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3675" yWindow="-225" windowWidth="8355" windowHeight="5295" tabRatio="786" firstSheet="2" activeTab="8"/>
  </bookViews>
  <sheets>
    <sheet name="Balanceanp" sheetId="52069" r:id="rId1"/>
    <sheet name="Sommaire" sheetId="1" r:id="rId2"/>
    <sheet name="Balance" sheetId="2" r:id="rId3"/>
    <sheet name="Vannes" sheetId="21" r:id="rId4"/>
    <sheet name="Rennes" sheetId="52064" r:id="rId5"/>
    <sheet name="Orléans" sheetId="148" r:id="rId6"/>
    <sheet name="Angers" sheetId="105" r:id="rId7"/>
    <sheet name="Thouars" sheetId="108" r:id="rId8"/>
    <sheet name="Château" sheetId="52087" r:id="rId9"/>
    <sheet name="Chartres" sheetId="52088" r:id="rId10"/>
    <sheet name="Bosc" sheetId="101" r:id="rId11"/>
    <sheet name="Cham" sheetId="52067" r:id="rId12"/>
    <sheet name="Saumur" sheetId="52079" r:id="rId13"/>
    <sheet name="Mans" sheetId="52071" r:id="rId14"/>
    <sheet name="Chalette" sheetId="52099" r:id="rId15"/>
    <sheet name="Tourcoing" sheetId="52091" r:id="rId16"/>
    <sheet name="Boulogne" sheetId="114" r:id="rId17"/>
    <sheet name="StOmer" sheetId="52080" r:id="rId18"/>
    <sheet name="Béthune" sheetId="52095" r:id="rId19"/>
    <sheet name="Calais" sheetId="52090" r:id="rId20"/>
    <sheet name="Compiègne" sheetId="115" r:id="rId21"/>
    <sheet name="Amiens" sheetId="20" r:id="rId22"/>
    <sheet name="Cambrai" sheetId="12" r:id="rId23"/>
    <sheet name="Caudry" sheetId="77" r:id="rId24"/>
    <sheet name="Eu" sheetId="52089" r:id="rId25"/>
    <sheet name="Dijon" sheetId="52100" r:id="rId26"/>
    <sheet name="Nancy" sheetId="52072" r:id="rId27"/>
    <sheet name="Roanne" sheetId="32" r:id="rId28"/>
    <sheet name="Madeleine" sheetId="52092" r:id="rId29"/>
    <sheet name="Lens" sheetId="52093" r:id="rId30"/>
    <sheet name="Bois" sheetId="52094" r:id="rId31"/>
    <sheet name="Montpe" sheetId="91" r:id="rId32"/>
    <sheet name="Grenoble" sheetId="48" r:id="rId33"/>
    <sheet name="STMarcelin" sheetId="52066" r:id="rId34"/>
    <sheet name="PSA" sheetId="52081" r:id="rId35"/>
    <sheet name="Lille" sheetId="93" r:id="rId36"/>
    <sheet name="Repart" sheetId="52096" r:id="rId37"/>
    <sheet name="Région Bretagne +" sheetId="52098" r:id="rId38"/>
    <sheet name="Pays de la Loire" sheetId="52083" r:id="rId39"/>
    <sheet name="Région Centre 2" sheetId="52082" r:id="rId40"/>
    <sheet name="Picardie" sheetId="52074" r:id="rId41"/>
    <sheet name="Cambraisi" sheetId="52076" r:id="rId42"/>
    <sheet name="CB" sheetId="52075" r:id="rId43"/>
    <sheet name="PB" sheetId="52077" r:id="rId44"/>
    <sheet name="TS" sheetId="52104" r:id="rId45"/>
    <sheet name="DF" sheetId="52103" r:id="rId46"/>
    <sheet name="CT" sheetId="52102" r:id="rId47"/>
    <sheet name="Sous Région Sud" sheetId="52084" r:id="rId48"/>
    <sheet name="Bretagne" sheetId="9" r:id="rId49"/>
    <sheet name="Centre" sheetId="52097" r:id="rId50"/>
    <sheet name="Nord" sheetId="111" r:id="rId51"/>
    <sheet name="Sud" sheetId="110" r:id="rId52"/>
    <sheet name="Conso" sheetId="233" r:id="rId53"/>
    <sheet name="Clients" sheetId="97" r:id="rId54"/>
    <sheet name="Stocks" sheetId="52085" r:id="rId55"/>
    <sheet name="CA" sheetId="52078" r:id="rId56"/>
  </sheets>
  <externalReferences>
    <externalReference r:id="rId57"/>
    <externalReference r:id="rId58"/>
    <externalReference r:id="rId59"/>
  </externalReferences>
  <definedNames>
    <definedName name="_xlnm._FilterDatabase" localSheetId="21" hidden="1">Amiens!$L$1:$L$256</definedName>
    <definedName name="_xlnm._FilterDatabase" localSheetId="18" hidden="1">Béthune!$L$1:$L$256</definedName>
    <definedName name="_xlnm._FilterDatabase" localSheetId="30" hidden="1">Bois!$L$1:$L$256</definedName>
    <definedName name="_xlnm._FilterDatabase" localSheetId="16" hidden="1">Boulogne!$L$1:$L$256</definedName>
    <definedName name="_xlnm._FilterDatabase" localSheetId="19" hidden="1">Calais!$L$1:$L$256</definedName>
    <definedName name="_xlnm._FilterDatabase" localSheetId="22" hidden="1">Cambrai!$L$1:$L$256</definedName>
    <definedName name="_xlnm._FilterDatabase" localSheetId="23" hidden="1">Caudry!$L$1:$L$256</definedName>
    <definedName name="_xlnm._FilterDatabase" localSheetId="42" hidden="1">CB!$M$1:$M$257</definedName>
    <definedName name="_xlnm._FilterDatabase" localSheetId="20" hidden="1">Compiègne!$L$1:$L$256</definedName>
    <definedName name="_xlnm._FilterDatabase" localSheetId="52" hidden="1">Conso!$M$1:$M$258</definedName>
    <definedName name="_xlnm._FilterDatabase" localSheetId="46" hidden="1">CT!$M$1:$M$257</definedName>
    <definedName name="_xlnm._FilterDatabase" localSheetId="45" hidden="1">DF!$M$1:$M$256</definedName>
    <definedName name="_xlnm._FilterDatabase" localSheetId="25" hidden="1">Dijon!$L$1:$L$256</definedName>
    <definedName name="_xlnm._FilterDatabase" localSheetId="24" hidden="1">Eu!$L$1:$L$256</definedName>
    <definedName name="_xlnm._FilterDatabase" localSheetId="32" hidden="1">Grenoble!$L$1:$L$256</definedName>
    <definedName name="_xlnm._FilterDatabase" localSheetId="29" hidden="1">Lens!$L$1:$L$256</definedName>
    <definedName name="_xlnm._FilterDatabase" localSheetId="28" hidden="1">Madeleine!$L$1:$L$256</definedName>
    <definedName name="_xlnm._FilterDatabase" localSheetId="31" hidden="1">Montpe!$L$1:$L$256</definedName>
    <definedName name="_xlnm._FilterDatabase" localSheetId="26" hidden="1">Nancy!$L$1:$L$256</definedName>
    <definedName name="_xlnm._FilterDatabase" localSheetId="50" hidden="1">Nord!$V$1:$V$256</definedName>
    <definedName name="_xlnm._FilterDatabase" localSheetId="43" hidden="1">PB!$L$1:$L$257</definedName>
    <definedName name="_xlnm._FilterDatabase" localSheetId="34" hidden="1">PSA!$L$1:$L$256</definedName>
    <definedName name="_xlnm._FilterDatabase" localSheetId="27" hidden="1">Roanne!$L$1:$L$256</definedName>
    <definedName name="_xlnm._FilterDatabase" localSheetId="33" hidden="1">STMarcelin!$L$1:$L$256</definedName>
    <definedName name="_xlnm._FilterDatabase" localSheetId="17" hidden="1">StOmer!$L$1:$L$256</definedName>
    <definedName name="_xlnm._FilterDatabase" localSheetId="51" hidden="1">Sud!$P$1:$P$258</definedName>
    <definedName name="_xlnm._FilterDatabase" localSheetId="44" hidden="1">TS!$M$1:$M$256</definedName>
    <definedName name="_xlnm.Print_Titles" localSheetId="21">Amiens!$3:$6</definedName>
    <definedName name="_xlnm.Print_Titles" localSheetId="18">Béthune!$3:$6</definedName>
    <definedName name="_xlnm.Print_Titles" localSheetId="30">Bois!$1:$6</definedName>
    <definedName name="_xlnm.Print_Titles" localSheetId="16">Boulogne!$3:$6</definedName>
    <definedName name="_xlnm.Print_Titles" localSheetId="48">Bretagne!$3:$6</definedName>
    <definedName name="_xlnm.Print_Titles" localSheetId="19">Calais!$3:$6</definedName>
    <definedName name="_xlnm.Print_Titles" localSheetId="22">Cambrai!$3:$6</definedName>
    <definedName name="_xlnm.Print_Titles" localSheetId="23">Caudry!$3:$6</definedName>
    <definedName name="_xlnm.Print_Titles" localSheetId="42">CB!$3:$6</definedName>
    <definedName name="_xlnm.Print_Titles" localSheetId="49">Centre!$3:$6</definedName>
    <definedName name="_xlnm.Print_Titles" localSheetId="20">Compiègne!$3:$6</definedName>
    <definedName name="_xlnm.Print_Titles" localSheetId="52">Conso!$3:$6</definedName>
    <definedName name="_xlnm.Print_Titles" localSheetId="46">CT!$3:$6</definedName>
    <definedName name="_xlnm.Print_Titles" localSheetId="45">DF!$3:$6</definedName>
    <definedName name="_xlnm.Print_Titles" localSheetId="25">Dijon!$3:$6</definedName>
    <definedName name="_xlnm.Print_Titles" localSheetId="24">Eu!$3:$6</definedName>
    <definedName name="_xlnm.Print_Titles" localSheetId="32">Grenoble!$3:$6</definedName>
    <definedName name="_xlnm.Print_Titles" localSheetId="29">Lens!$3:$6</definedName>
    <definedName name="_xlnm.Print_Titles" localSheetId="28">Madeleine!$3:$6</definedName>
    <definedName name="_xlnm.Print_Titles" localSheetId="31">Montpe!$3:$6</definedName>
    <definedName name="_xlnm.Print_Titles" localSheetId="26">Nancy!$3:$6</definedName>
    <definedName name="_xlnm.Print_Titles" localSheetId="50">Nord!$3:$6</definedName>
    <definedName name="_xlnm.Print_Titles" localSheetId="43">PB!$3:$6</definedName>
    <definedName name="_xlnm.Print_Titles" localSheetId="34">PSA!$3:$6</definedName>
    <definedName name="_xlnm.Print_Titles" localSheetId="27">Roanne!$3:$6</definedName>
    <definedName name="_xlnm.Print_Titles" localSheetId="33">STMarcelin!$3:$6</definedName>
    <definedName name="_xlnm.Print_Titles" localSheetId="17">StOmer!$3:$6</definedName>
    <definedName name="_xlnm.Print_Titles" localSheetId="51">Sud!$3:$6</definedName>
    <definedName name="_xlnm.Print_Titles" localSheetId="44">TS!$3:$6</definedName>
    <definedName name="_xlnm.Print_Area" localSheetId="21">Amiens!$A$3:$J$255</definedName>
    <definedName name="_xlnm.Print_Area" localSheetId="6">Angers!$228:$256</definedName>
    <definedName name="_xlnm.Print_Area" localSheetId="2">Balance!$997:$1068</definedName>
    <definedName name="_xlnm.Print_Area" localSheetId="0">Balanceanp!$A$767:$G$846</definedName>
    <definedName name="_xlnm.Print_Area" localSheetId="18">Béthune!$A$3:$J$255</definedName>
    <definedName name="_xlnm.Print_Area" localSheetId="30">Bois!$A$3:$J$255</definedName>
    <definedName name="_xlnm.Print_Area" localSheetId="10">Bosc!$228:$256</definedName>
    <definedName name="_xlnm.Print_Area" localSheetId="16">Boulogne!$A$3:$J$255</definedName>
    <definedName name="_xlnm.Print_Area" localSheetId="48">Bretagne!$A$1:$J$224</definedName>
    <definedName name="_xlnm.Print_Area" localSheetId="19">Calais!$A$3:$J$255</definedName>
    <definedName name="_xlnm.Print_Area" localSheetId="22">Cambrai!$A$3:$J$255</definedName>
    <definedName name="_xlnm.Print_Area" localSheetId="23">Caudry!$A$3:$J$255</definedName>
    <definedName name="_xlnm.Print_Area" localSheetId="42">CB!$A$3:$L$253</definedName>
    <definedName name="_xlnm.Print_Area" localSheetId="49">Centre!$A$3:$R$224</definedName>
    <definedName name="_xlnm.Print_Area" localSheetId="14">Chalette!$A$228:$J$255</definedName>
    <definedName name="_xlnm.Print_Area" localSheetId="11">Cham!$228:$256</definedName>
    <definedName name="_xlnm.Print_Area" localSheetId="9">Chartres!$228:$256</definedName>
    <definedName name="_xlnm.Print_Area" localSheetId="8">Château!$228:$256</definedName>
    <definedName name="_xlnm.Print_Area" localSheetId="20">Compiègne!$A$3:$J$255</definedName>
    <definedName name="_xlnm.Print_Area" localSheetId="52">Conso!$A$1:$L$224</definedName>
    <definedName name="_xlnm.Print_Area" localSheetId="46">CT!$A$3:$L$254</definedName>
    <definedName name="_xlnm.Print_Area" localSheetId="45">DF!$A$3:$L$253</definedName>
    <definedName name="_xlnm.Print_Area" localSheetId="25">Dijon!$A$3:$J$255</definedName>
    <definedName name="_xlnm.Print_Area" localSheetId="24">Eu!$A$3:$J$255</definedName>
    <definedName name="_xlnm.Print_Area" localSheetId="32">Grenoble!$A$3:$J$255</definedName>
    <definedName name="_xlnm.Print_Area" localSheetId="29">Lens!$A$3:$J$255</definedName>
    <definedName name="_xlnm.Print_Area" localSheetId="35">Lille!$A$1:$I$204</definedName>
    <definedName name="_xlnm.Print_Area" localSheetId="28">Madeleine!$A$3:$J$255</definedName>
    <definedName name="_xlnm.Print_Area" localSheetId="13">Mans!$228:$256</definedName>
    <definedName name="_xlnm.Print_Area" localSheetId="31">Montpe!$A$3:$J$255</definedName>
    <definedName name="_xlnm.Print_Area" localSheetId="26">Nancy!$A$3:$J$255</definedName>
    <definedName name="_xlnm.Print_Area" localSheetId="50">Nord!$A$3:$U$219</definedName>
    <definedName name="_xlnm.Print_Area" localSheetId="5">Orléans!$228:$256</definedName>
    <definedName name="_xlnm.Print_Area" localSheetId="38">'Pays de la Loire'!$A$227:$L$254</definedName>
    <definedName name="_xlnm.Print_Area" localSheetId="43">PB!$A$3:$K$253</definedName>
    <definedName name="_xlnm.Print_Area" localSheetId="34">PSA!$A$3:$J$257</definedName>
    <definedName name="_xlnm.Print_Area" localSheetId="37">'Région Bretagne +'!$A$227:$K$254</definedName>
    <definedName name="_xlnm.Print_Area" localSheetId="39">'Région Centre 2'!$A$228:$M$255</definedName>
    <definedName name="_xlnm.Print_Area" localSheetId="4">Rennes!$228:$256</definedName>
    <definedName name="_xlnm.Print_Area" localSheetId="36">Repart!$M$1:$Q$48</definedName>
    <definedName name="_xlnm.Print_Area" localSheetId="27">Roanne!$A$3:$J$255</definedName>
    <definedName name="_xlnm.Print_Area" localSheetId="12">Saumur!$228:$256</definedName>
    <definedName name="_xlnm.Print_Area" localSheetId="1">Sommaire!$A$1:$K$47</definedName>
    <definedName name="_xlnm.Print_Area" localSheetId="33">STMarcelin!$A$3:$J$255</definedName>
    <definedName name="_xlnm.Print_Area" localSheetId="17">StOmer!$A$3:$J$255</definedName>
    <definedName name="_xlnm.Print_Area" localSheetId="51">Sud!$A$1:$O$224</definedName>
    <definedName name="_xlnm.Print_Area" localSheetId="7">Thouars!$228:$256</definedName>
    <definedName name="_xlnm.Print_Area" localSheetId="15">Tourcoing!$228:$256</definedName>
    <definedName name="_xlnm.Print_Area" localSheetId="44">TS!$A$3:$L$253</definedName>
    <definedName name="_xlnm.Print_Area" localSheetId="3">Vannes!$228:$256</definedName>
  </definedNames>
  <calcPr calcId="144525"/>
  <fileRecoveryPr autoRecover="0"/>
</workbook>
</file>

<file path=xl/calcChain.xml><?xml version="1.0" encoding="utf-8"?>
<calcChain xmlns="http://schemas.openxmlformats.org/spreadsheetml/2006/main">
  <c r="K255" i="52097" l="1"/>
  <c r="I232" i="52098"/>
  <c r="J232" i="52098"/>
  <c r="A229" i="52099"/>
  <c r="F28" i="52099"/>
  <c r="G213" i="52099"/>
  <c r="F213" i="52099"/>
  <c r="G179" i="52099"/>
  <c r="G122" i="52099"/>
  <c r="F120" i="52099"/>
  <c r="F119" i="52099"/>
  <c r="F118" i="52099"/>
  <c r="G118" i="52071"/>
  <c r="G82" i="52099"/>
  <c r="G99" i="52099"/>
  <c r="F101" i="52099"/>
  <c r="F100" i="52099"/>
  <c r="F98" i="52099"/>
  <c r="F97" i="52099"/>
  <c r="F95" i="52099"/>
  <c r="F94" i="52099"/>
  <c r="F92" i="52099"/>
  <c r="F91" i="52099"/>
  <c r="F90" i="52099"/>
  <c r="F89" i="52099"/>
  <c r="F88" i="52099"/>
  <c r="F87" i="52099"/>
  <c r="F84" i="52099"/>
  <c r="F83" i="52099"/>
  <c r="F81" i="52099"/>
  <c r="F80" i="52099"/>
  <c r="F78" i="52099"/>
  <c r="F76" i="52099"/>
  <c r="F75" i="52099"/>
  <c r="F74" i="52099"/>
  <c r="F72" i="52099"/>
  <c r="F68" i="52099"/>
  <c r="F67" i="52099"/>
  <c r="F64" i="52099"/>
  <c r="G64" i="52099"/>
  <c r="G131" i="52099"/>
  <c r="G120" i="52099" s="1"/>
  <c r="G64" i="52071"/>
  <c r="G179" i="101"/>
  <c r="G64" i="52088"/>
  <c r="G64" i="52087"/>
  <c r="G58" i="93"/>
  <c r="L151" i="233"/>
  <c r="G8" i="52081"/>
  <c r="E254" i="52102"/>
  <c r="D254" i="52102"/>
  <c r="C254" i="52102"/>
  <c r="B254" i="52102"/>
  <c r="D253" i="52075"/>
  <c r="B253" i="52075"/>
  <c r="G255" i="48"/>
  <c r="B253" i="52103" s="1"/>
  <c r="E253" i="52103"/>
  <c r="C253" i="52103"/>
  <c r="I43" i="52104"/>
  <c r="I25" i="52104"/>
  <c r="I26" i="52104"/>
  <c r="I27" i="52104"/>
  <c r="I29" i="52104"/>
  <c r="I31" i="52104"/>
  <c r="I32" i="52104"/>
  <c r="I33" i="52104"/>
  <c r="I34" i="52104"/>
  <c r="I37" i="52104"/>
  <c r="I38" i="52104"/>
  <c r="I39" i="52104"/>
  <c r="I40" i="52104"/>
  <c r="G178" i="52104"/>
  <c r="F181" i="52104"/>
  <c r="G38" i="52104"/>
  <c r="G39" i="52104"/>
  <c r="G40" i="52104"/>
  <c r="G24" i="52104"/>
  <c r="G25" i="52104"/>
  <c r="G26" i="52104"/>
  <c r="G27" i="52104"/>
  <c r="G29" i="52104"/>
  <c r="F31" i="52104"/>
  <c r="G31" i="52104"/>
  <c r="G32" i="52104"/>
  <c r="G33" i="52104"/>
  <c r="F34" i="52104"/>
  <c r="G34" i="52104"/>
  <c r="G37" i="52104"/>
  <c r="G23" i="52104"/>
  <c r="F89" i="52104"/>
  <c r="I108" i="52104"/>
  <c r="G113" i="52104"/>
  <c r="I113" i="52104"/>
  <c r="G121" i="52104"/>
  <c r="F151" i="52104"/>
  <c r="G151" i="52104"/>
  <c r="I151" i="52104"/>
  <c r="I132" i="52104"/>
  <c r="I133" i="52104"/>
  <c r="I134" i="52104"/>
  <c r="I135" i="52104"/>
  <c r="I136" i="52104"/>
  <c r="I137" i="52104"/>
  <c r="I138" i="52104"/>
  <c r="I139" i="52104"/>
  <c r="I140" i="52104"/>
  <c r="I156" i="52104"/>
  <c r="I157" i="52104"/>
  <c r="I158" i="52104"/>
  <c r="I159" i="52104"/>
  <c r="H187" i="52104"/>
  <c r="I187" i="52104"/>
  <c r="H188" i="52104"/>
  <c r="I188" i="52104"/>
  <c r="H189" i="52104"/>
  <c r="I189" i="52104"/>
  <c r="H190" i="52104"/>
  <c r="I190" i="52104"/>
  <c r="H191" i="52104"/>
  <c r="I191" i="52104"/>
  <c r="H192" i="52104"/>
  <c r="I192" i="52104"/>
  <c r="H193" i="52104"/>
  <c r="I193" i="52104"/>
  <c r="H194" i="52104"/>
  <c r="I194" i="52104"/>
  <c r="H195" i="52104"/>
  <c r="I195" i="52104"/>
  <c r="H196" i="52104"/>
  <c r="I196" i="52104"/>
  <c r="H197" i="52104"/>
  <c r="I197" i="52104"/>
  <c r="H198" i="52104"/>
  <c r="I198" i="52104"/>
  <c r="H186" i="52104"/>
  <c r="I186" i="52104"/>
  <c r="N229" i="52104"/>
  <c r="N228" i="52104"/>
  <c r="N81" i="52104"/>
  <c r="I131" i="52104"/>
  <c r="I49" i="52104"/>
  <c r="I8" i="52104"/>
  <c r="E253" i="52104"/>
  <c r="D253" i="52104"/>
  <c r="C253" i="52104"/>
  <c r="C198" i="52104"/>
  <c r="C197" i="52104"/>
  <c r="C196" i="52104"/>
  <c r="C195" i="52104"/>
  <c r="C194" i="52104"/>
  <c r="C193" i="52104"/>
  <c r="C192" i="52104"/>
  <c r="C191" i="52104"/>
  <c r="C190" i="52104"/>
  <c r="C189" i="52104"/>
  <c r="C188" i="52104"/>
  <c r="C187" i="52104"/>
  <c r="C186" i="52104"/>
  <c r="C172" i="52104"/>
  <c r="C159" i="52104"/>
  <c r="C158" i="52104"/>
  <c r="C157" i="52104"/>
  <c r="C156" i="52104"/>
  <c r="C140" i="52104"/>
  <c r="C139" i="52104"/>
  <c r="C138" i="52104"/>
  <c r="C137" i="52104"/>
  <c r="C136" i="52104"/>
  <c r="C135" i="52104"/>
  <c r="C134" i="52104"/>
  <c r="C133" i="52104"/>
  <c r="C132" i="52104"/>
  <c r="C131" i="52104"/>
  <c r="C124" i="52104"/>
  <c r="C123" i="52104"/>
  <c r="C113" i="52104"/>
  <c r="C108" i="52104"/>
  <c r="C61" i="52104"/>
  <c r="C57" i="52104"/>
  <c r="C56" i="52104"/>
  <c r="C49" i="52104"/>
  <c r="C40" i="52104"/>
  <c r="C39" i="52104"/>
  <c r="C38" i="52104"/>
  <c r="C37" i="52104"/>
  <c r="C29" i="52104"/>
  <c r="C27" i="52104"/>
  <c r="C26" i="52104"/>
  <c r="C25" i="52104"/>
  <c r="C23" i="52104"/>
  <c r="C8" i="52104"/>
  <c r="E198" i="52104"/>
  <c r="D198" i="52104"/>
  <c r="E197" i="52104"/>
  <c r="D197" i="52104"/>
  <c r="E196" i="52104"/>
  <c r="D196" i="52104"/>
  <c r="E195" i="52104"/>
  <c r="D195" i="52104"/>
  <c r="E194" i="52104"/>
  <c r="D194" i="52104"/>
  <c r="E193" i="52104"/>
  <c r="D193" i="52104"/>
  <c r="E192" i="52104"/>
  <c r="D192" i="52104"/>
  <c r="E191" i="52104"/>
  <c r="D191" i="52104"/>
  <c r="E190" i="52104"/>
  <c r="D190" i="52104"/>
  <c r="E189" i="52104"/>
  <c r="D189" i="52104"/>
  <c r="E188" i="52104"/>
  <c r="D188" i="52104"/>
  <c r="E187" i="52104"/>
  <c r="D187" i="52104"/>
  <c r="E186" i="52104"/>
  <c r="E200" i="52104"/>
  <c r="D186" i="52104"/>
  <c r="D200" i="52104"/>
  <c r="E176" i="52104"/>
  <c r="E159" i="52104"/>
  <c r="D159" i="52104"/>
  <c r="E158" i="52104"/>
  <c r="D158" i="52104"/>
  <c r="E157" i="52104"/>
  <c r="D157" i="52104"/>
  <c r="E156" i="52104"/>
  <c r="D156" i="52104"/>
  <c r="E140" i="52104"/>
  <c r="D140" i="52104"/>
  <c r="E139" i="52104"/>
  <c r="D139" i="52104"/>
  <c r="E138" i="52104"/>
  <c r="D138" i="52104"/>
  <c r="E137" i="52104"/>
  <c r="D137" i="52104"/>
  <c r="E136" i="52104"/>
  <c r="D136" i="52104"/>
  <c r="E135" i="52104"/>
  <c r="D135" i="52104"/>
  <c r="E134" i="52104"/>
  <c r="D134" i="52104"/>
  <c r="E133" i="52104"/>
  <c r="D133" i="52104"/>
  <c r="E132" i="52104"/>
  <c r="D132" i="52104"/>
  <c r="E131" i="52104"/>
  <c r="D131" i="52104"/>
  <c r="E124" i="52104"/>
  <c r="D124" i="52104"/>
  <c r="E123" i="52104"/>
  <c r="E113" i="52104"/>
  <c r="D113" i="52104"/>
  <c r="E110" i="52104"/>
  <c r="E108" i="52104"/>
  <c r="D108" i="52104"/>
  <c r="E98" i="52104"/>
  <c r="E61" i="52104"/>
  <c r="D61" i="52104"/>
  <c r="E57" i="52104"/>
  <c r="D57" i="52104"/>
  <c r="E56" i="52104"/>
  <c r="D56" i="52104"/>
  <c r="E49" i="52104"/>
  <c r="D49" i="52104"/>
  <c r="E40" i="52104"/>
  <c r="D40" i="52104"/>
  <c r="E39" i="52104"/>
  <c r="D39" i="52104"/>
  <c r="E38" i="52104"/>
  <c r="D38" i="52104"/>
  <c r="E37" i="52104"/>
  <c r="D37" i="52104"/>
  <c r="E29" i="52104"/>
  <c r="D29" i="52104"/>
  <c r="E27" i="52104"/>
  <c r="D27" i="52104"/>
  <c r="E26" i="52104"/>
  <c r="D26" i="52104"/>
  <c r="E25" i="52104"/>
  <c r="D25" i="52104"/>
  <c r="E23" i="52104"/>
  <c r="D23" i="52104"/>
  <c r="E8" i="52104"/>
  <c r="E21" i="52104"/>
  <c r="D8" i="52104"/>
  <c r="D21" i="52104"/>
  <c r="B253" i="52104"/>
  <c r="C227" i="52104"/>
  <c r="B227" i="52104"/>
  <c r="B198" i="52104"/>
  <c r="B197" i="52104"/>
  <c r="B196" i="52104"/>
  <c r="B195" i="52104"/>
  <c r="B194" i="52104"/>
  <c r="B193" i="52104"/>
  <c r="B192" i="52104"/>
  <c r="B191" i="52104"/>
  <c r="B190" i="52104"/>
  <c r="B189" i="52104"/>
  <c r="B188" i="52104"/>
  <c r="B187" i="52104"/>
  <c r="C200" i="52104"/>
  <c r="B186" i="52104"/>
  <c r="B200" i="52104"/>
  <c r="N200" i="52104" s="1"/>
  <c r="B159" i="52104"/>
  <c r="B158" i="52104"/>
  <c r="B157" i="52104"/>
  <c r="N157" i="52104" s="1"/>
  <c r="B156" i="52104"/>
  <c r="B140" i="52104"/>
  <c r="N140" i="52104"/>
  <c r="B139" i="52104"/>
  <c r="B138" i="52104"/>
  <c r="B137" i="52104"/>
  <c r="B136" i="52104"/>
  <c r="B135" i="52104"/>
  <c r="N135" i="52104"/>
  <c r="B134" i="52104"/>
  <c r="B133" i="52104"/>
  <c r="N133" i="52104" s="1"/>
  <c r="B132" i="52104"/>
  <c r="B131" i="52104"/>
  <c r="B123" i="52104"/>
  <c r="B113" i="52104"/>
  <c r="N113" i="52104" s="1"/>
  <c r="B108" i="52104"/>
  <c r="N108" i="52104" s="1"/>
  <c r="B106" i="52104"/>
  <c r="B61" i="52104"/>
  <c r="B57" i="52104"/>
  <c r="B56" i="52104"/>
  <c r="B49" i="52104"/>
  <c r="N49" i="52104" s="1"/>
  <c r="B40" i="52104"/>
  <c r="B39" i="52104"/>
  <c r="B38" i="52104"/>
  <c r="B37" i="52104"/>
  <c r="B29" i="52104"/>
  <c r="B27" i="52104"/>
  <c r="B26" i="52104"/>
  <c r="B25" i="52104"/>
  <c r="B23" i="52104"/>
  <c r="C21" i="52104"/>
  <c r="B8" i="52104"/>
  <c r="N8" i="52104" s="1"/>
  <c r="B21" i="52104"/>
  <c r="M254" i="52104"/>
  <c r="M250" i="52104"/>
  <c r="H249" i="52104"/>
  <c r="M248" i="52104"/>
  <c r="H247" i="52104"/>
  <c r="M246" i="52104"/>
  <c r="H245" i="52104"/>
  <c r="M244" i="52104"/>
  <c r="H243" i="52104"/>
  <c r="M242" i="52104"/>
  <c r="H241" i="52104"/>
  <c r="H240" i="52104"/>
  <c r="H239" i="52104"/>
  <c r="H238" i="52104"/>
  <c r="H237" i="52104"/>
  <c r="H236" i="52104"/>
  <c r="M235" i="52104"/>
  <c r="H234" i="52104"/>
  <c r="H233" i="52104"/>
  <c r="M232" i="52104"/>
  <c r="K231" i="52104"/>
  <c r="J231" i="52104"/>
  <c r="H231" i="52104"/>
  <c r="M230" i="52104"/>
  <c r="F229" i="52104"/>
  <c r="I229" i="52104" s="1"/>
  <c r="K228" i="52104"/>
  <c r="M228" i="52104" s="1"/>
  <c r="K227" i="52104"/>
  <c r="F227" i="52104"/>
  <c r="H227" i="52104" s="1"/>
  <c r="A227" i="52104"/>
  <c r="M226" i="52104"/>
  <c r="M225" i="52104"/>
  <c r="M224" i="52104"/>
  <c r="M223" i="52104"/>
  <c r="H221" i="52104"/>
  <c r="H252" i="52104" s="1"/>
  <c r="M220" i="52104"/>
  <c r="M219" i="52104"/>
  <c r="M218" i="52104"/>
  <c r="M215" i="52104"/>
  <c r="M213" i="52104"/>
  <c r="M209" i="52104"/>
  <c r="M207" i="52104"/>
  <c r="M205" i="52104"/>
  <c r="M203" i="52104"/>
  <c r="M201" i="52104"/>
  <c r="M199" i="52104"/>
  <c r="I200" i="52104"/>
  <c r="M185" i="52104"/>
  <c r="M183" i="52104"/>
  <c r="J181" i="52104"/>
  <c r="M168" i="52104"/>
  <c r="M166" i="52104"/>
  <c r="M154" i="52104"/>
  <c r="M152" i="52104"/>
  <c r="K151" i="52104"/>
  <c r="J151" i="52104"/>
  <c r="M130" i="52104"/>
  <c r="M128" i="52104"/>
  <c r="M117" i="52104"/>
  <c r="M115" i="52104"/>
  <c r="K113" i="52104"/>
  <c r="M104" i="52104"/>
  <c r="M102" i="52104"/>
  <c r="J89" i="52104"/>
  <c r="M71" i="52104"/>
  <c r="M69" i="52104"/>
  <c r="M63" i="52104"/>
  <c r="M61" i="52104"/>
  <c r="M59" i="52104"/>
  <c r="M58" i="52104"/>
  <c r="M55" i="52104"/>
  <c r="M52" i="52104"/>
  <c r="M50" i="52104"/>
  <c r="M48" i="52104"/>
  <c r="M45" i="52104"/>
  <c r="M43" i="52104"/>
  <c r="M34" i="52104"/>
  <c r="M31" i="52104"/>
  <c r="M22" i="52104"/>
  <c r="M20" i="52104"/>
  <c r="I21" i="52104"/>
  <c r="I51" i="52104" s="1"/>
  <c r="I231" i="52104" s="1"/>
  <c r="M7" i="52104"/>
  <c r="H5" i="52104"/>
  <c r="D8" i="52076"/>
  <c r="D15" i="52076"/>
  <c r="D23" i="52076"/>
  <c r="D25" i="52076"/>
  <c r="D26" i="52076"/>
  <c r="D27" i="52076"/>
  <c r="D29" i="52076"/>
  <c r="D37" i="52076"/>
  <c r="D38" i="52076"/>
  <c r="D39" i="52076"/>
  <c r="D40" i="52076"/>
  <c r="D49" i="52076"/>
  <c r="D56" i="52076"/>
  <c r="D57" i="52076"/>
  <c r="D61" i="52076"/>
  <c r="D106" i="52076"/>
  <c r="D108" i="52076"/>
  <c r="D113" i="52076"/>
  <c r="D123" i="52076"/>
  <c r="D124" i="52076"/>
  <c r="D131" i="52076"/>
  <c r="D132" i="52076"/>
  <c r="D156" i="52076"/>
  <c r="D157" i="52076"/>
  <c r="D158" i="52076"/>
  <c r="D159" i="52076"/>
  <c r="D172" i="52076"/>
  <c r="D186" i="52076"/>
  <c r="D187" i="52076"/>
  <c r="D188" i="52076"/>
  <c r="D189" i="52076"/>
  <c r="D190" i="52076"/>
  <c r="D191" i="52076"/>
  <c r="D192" i="52076"/>
  <c r="D193" i="52076"/>
  <c r="D194" i="52076"/>
  <c r="D195" i="52076"/>
  <c r="D196" i="52076"/>
  <c r="D197" i="52076"/>
  <c r="D198" i="52076"/>
  <c r="D200" i="52076"/>
  <c r="I200" i="52076" s="1"/>
  <c r="D217" i="52076"/>
  <c r="D228" i="52076"/>
  <c r="E60" i="115"/>
  <c r="L255" i="52077"/>
  <c r="L254" i="52077"/>
  <c r="L250" i="52077"/>
  <c r="L248" i="52077"/>
  <c r="L246" i="52077"/>
  <c r="L244" i="52077"/>
  <c r="L242" i="52077"/>
  <c r="L235" i="52077"/>
  <c r="L232" i="52077"/>
  <c r="L230" i="52077"/>
  <c r="L229" i="52077"/>
  <c r="L228" i="52077"/>
  <c r="L226" i="52077"/>
  <c r="L225" i="52077"/>
  <c r="L224" i="52077"/>
  <c r="L223" i="52077"/>
  <c r="L220" i="52077"/>
  <c r="L219" i="52077"/>
  <c r="L218" i="52077"/>
  <c r="L215" i="52077"/>
  <c r="L213" i="52077"/>
  <c r="L209" i="52077"/>
  <c r="L207" i="52077"/>
  <c r="L205" i="52077"/>
  <c r="L203" i="52077"/>
  <c r="L201" i="52077"/>
  <c r="L199" i="52077"/>
  <c r="L185" i="52077"/>
  <c r="L183" i="52077"/>
  <c r="L168" i="52077"/>
  <c r="L166" i="52077"/>
  <c r="L154" i="52077"/>
  <c r="L152" i="52077"/>
  <c r="L130" i="52077"/>
  <c r="L128" i="52077"/>
  <c r="L117" i="52077"/>
  <c r="L115" i="52077"/>
  <c r="L104" i="52077"/>
  <c r="L102" i="52077"/>
  <c r="L71" i="52077"/>
  <c r="L69" i="52077"/>
  <c r="L63" i="52077"/>
  <c r="L59" i="52077"/>
  <c r="L58" i="52077"/>
  <c r="L55" i="52077"/>
  <c r="L52" i="52077"/>
  <c r="L50" i="52077"/>
  <c r="L48" i="52077"/>
  <c r="L45" i="52077"/>
  <c r="L43" i="52077"/>
  <c r="L34" i="52077"/>
  <c r="L31" i="52077"/>
  <c r="L22" i="52077"/>
  <c r="L20" i="52077"/>
  <c r="L7" i="52077"/>
  <c r="G5" i="52084"/>
  <c r="G5" i="52074"/>
  <c r="H5" i="52075"/>
  <c r="H5" i="52102"/>
  <c r="H5" i="52103"/>
  <c r="G5" i="52076"/>
  <c r="G5" i="52077"/>
  <c r="J5" i="52082"/>
  <c r="I5" i="52082"/>
  <c r="H5" i="52082"/>
  <c r="G5" i="52082"/>
  <c r="M255" i="52102"/>
  <c r="M251" i="52102"/>
  <c r="M249" i="52102"/>
  <c r="M247" i="52102"/>
  <c r="M245" i="52102"/>
  <c r="M243" i="52102"/>
  <c r="M236" i="52102"/>
  <c r="M233" i="52102"/>
  <c r="M231" i="52102"/>
  <c r="M227" i="52102"/>
  <c r="M226" i="52102"/>
  <c r="M225" i="52102"/>
  <c r="M224" i="52102"/>
  <c r="M221" i="52102"/>
  <c r="M220" i="52102"/>
  <c r="M219" i="52102"/>
  <c r="M218" i="52102"/>
  <c r="M215" i="52102"/>
  <c r="M213" i="52102"/>
  <c r="M209" i="52102"/>
  <c r="M207" i="52102"/>
  <c r="M205" i="52102"/>
  <c r="M203" i="52102"/>
  <c r="M201" i="52102"/>
  <c r="M199" i="52102"/>
  <c r="M185" i="52102"/>
  <c r="M183" i="52102"/>
  <c r="M168" i="52102"/>
  <c r="M166" i="52102"/>
  <c r="M154" i="52102"/>
  <c r="M152" i="52102"/>
  <c r="M130" i="52102"/>
  <c r="M128" i="52102"/>
  <c r="M117" i="52102"/>
  <c r="M115" i="52102"/>
  <c r="M104" i="52102"/>
  <c r="M102" i="52102"/>
  <c r="M71" i="52102"/>
  <c r="M69" i="52102"/>
  <c r="M63" i="52102"/>
  <c r="M59" i="52102"/>
  <c r="M58" i="52102"/>
  <c r="M55" i="52102"/>
  <c r="M52" i="52102"/>
  <c r="M50" i="52102"/>
  <c r="M48" i="52102"/>
  <c r="M45" i="52102"/>
  <c r="M43" i="52102"/>
  <c r="M34" i="52102"/>
  <c r="M31" i="52102"/>
  <c r="M22" i="52102"/>
  <c r="M20" i="52102"/>
  <c r="M7" i="52102"/>
  <c r="M220" i="52103"/>
  <c r="V20" i="111"/>
  <c r="V22" i="111"/>
  <c r="V31" i="111"/>
  <c r="V34" i="111"/>
  <c r="V43" i="111"/>
  <c r="V45" i="111"/>
  <c r="V48" i="111"/>
  <c r="V50" i="111"/>
  <c r="V52" i="111"/>
  <c r="V55" i="111"/>
  <c r="V58" i="111"/>
  <c r="V59" i="111"/>
  <c r="V63" i="111"/>
  <c r="V69" i="111"/>
  <c r="V71" i="111"/>
  <c r="V104" i="111"/>
  <c r="V115" i="111"/>
  <c r="V117" i="111"/>
  <c r="V128" i="111"/>
  <c r="V130" i="111"/>
  <c r="V153" i="111"/>
  <c r="V155" i="111"/>
  <c r="V167" i="111"/>
  <c r="V169" i="111"/>
  <c r="V184" i="111"/>
  <c r="V186" i="111"/>
  <c r="V200" i="111"/>
  <c r="V202" i="111"/>
  <c r="V204" i="111"/>
  <c r="V206" i="111"/>
  <c r="V208" i="111"/>
  <c r="V210" i="111"/>
  <c r="V214" i="111"/>
  <c r="V216" i="111"/>
  <c r="V220" i="111"/>
  <c r="V221" i="111"/>
  <c r="V222" i="111"/>
  <c r="V225" i="111"/>
  <c r="V226" i="111"/>
  <c r="V227" i="111"/>
  <c r="V232" i="111"/>
  <c r="V234" i="111"/>
  <c r="V237" i="111"/>
  <c r="V244" i="111"/>
  <c r="V246" i="111"/>
  <c r="V248" i="111"/>
  <c r="V250" i="111"/>
  <c r="V252" i="111"/>
  <c r="V7" i="111"/>
  <c r="I29" i="52103"/>
  <c r="I26" i="52103"/>
  <c r="I25" i="52103"/>
  <c r="D253" i="52077"/>
  <c r="C253" i="52077"/>
  <c r="B253" i="52077"/>
  <c r="M20" i="52103"/>
  <c r="M22" i="52103"/>
  <c r="M31" i="52103"/>
  <c r="M34" i="52103"/>
  <c r="M43" i="52103"/>
  <c r="M45" i="52103"/>
  <c r="M48" i="52103"/>
  <c r="M50" i="52103"/>
  <c r="M52" i="52103"/>
  <c r="M55" i="52103"/>
  <c r="M58" i="52103"/>
  <c r="M59" i="52103"/>
  <c r="M63" i="52103"/>
  <c r="M69" i="52103"/>
  <c r="M71" i="52103"/>
  <c r="M102" i="52103"/>
  <c r="M104" i="52103"/>
  <c r="M115" i="52103"/>
  <c r="M117" i="52103"/>
  <c r="M128" i="52103"/>
  <c r="M130" i="52103"/>
  <c r="M152" i="52103"/>
  <c r="M154" i="52103"/>
  <c r="M166" i="52103"/>
  <c r="M168" i="52103"/>
  <c r="M183" i="52103"/>
  <c r="M185" i="52103"/>
  <c r="M199" i="52103"/>
  <c r="M201" i="52103"/>
  <c r="M203" i="52103"/>
  <c r="M205" i="52103"/>
  <c r="M207" i="52103"/>
  <c r="M209" i="52103"/>
  <c r="M213" i="52103"/>
  <c r="M215" i="52103"/>
  <c r="M218" i="52103"/>
  <c r="M219" i="52103"/>
  <c r="M221" i="52103"/>
  <c r="M224" i="52103"/>
  <c r="M225" i="52103"/>
  <c r="M226" i="52103"/>
  <c r="M230" i="52103"/>
  <c r="M232" i="52103"/>
  <c r="M235" i="52103"/>
  <c r="M242" i="52103"/>
  <c r="M244" i="52103"/>
  <c r="M246" i="52103"/>
  <c r="M248" i="52103"/>
  <c r="M250" i="52103"/>
  <c r="M254" i="52103"/>
  <c r="M7" i="52103"/>
  <c r="I198" i="52103"/>
  <c r="I197" i="52103"/>
  <c r="I196" i="52103"/>
  <c r="I195" i="52103"/>
  <c r="I194" i="52103"/>
  <c r="I193" i="52103"/>
  <c r="I192" i="52103"/>
  <c r="I191" i="52103"/>
  <c r="I190" i="52103"/>
  <c r="I189" i="52103"/>
  <c r="I188" i="52103"/>
  <c r="I187" i="52103"/>
  <c r="I186" i="52103"/>
  <c r="G178" i="52103"/>
  <c r="I159" i="52103"/>
  <c r="I158" i="52103"/>
  <c r="I157" i="52103"/>
  <c r="I156" i="52103"/>
  <c r="I132" i="52103"/>
  <c r="I131" i="52103"/>
  <c r="G121" i="52103"/>
  <c r="I113" i="52103"/>
  <c r="G113" i="52103"/>
  <c r="K113" i="52103" s="1"/>
  <c r="F89" i="52103"/>
  <c r="F65" i="52103"/>
  <c r="I49" i="52103"/>
  <c r="I8" i="52103"/>
  <c r="J89" i="52103"/>
  <c r="E198" i="52103"/>
  <c r="E197" i="52103"/>
  <c r="E196" i="52103"/>
  <c r="E195" i="52103"/>
  <c r="E194" i="52103"/>
  <c r="E193" i="52103"/>
  <c r="E192" i="52103"/>
  <c r="E191" i="52103"/>
  <c r="E190" i="52103"/>
  <c r="E189" i="52103"/>
  <c r="E188" i="52103"/>
  <c r="E187" i="52103"/>
  <c r="E186" i="52103"/>
  <c r="E160" i="52103"/>
  <c r="E159" i="52103"/>
  <c r="E158" i="52103"/>
  <c r="E157" i="52103"/>
  <c r="E156" i="52103"/>
  <c r="E140" i="52103"/>
  <c r="E139" i="52103"/>
  <c r="E138" i="52103"/>
  <c r="E137" i="52103"/>
  <c r="E136" i="52103"/>
  <c r="E135" i="52103"/>
  <c r="E134" i="52103"/>
  <c r="E133" i="52103"/>
  <c r="E132" i="52103"/>
  <c r="E131" i="52103"/>
  <c r="E124" i="52103"/>
  <c r="E113" i="52103"/>
  <c r="E110" i="52103"/>
  <c r="E96" i="52103"/>
  <c r="E61" i="52103"/>
  <c r="E57" i="52103"/>
  <c r="E56" i="52103"/>
  <c r="E49" i="52103"/>
  <c r="E40" i="52103"/>
  <c r="E39" i="52103"/>
  <c r="E38" i="52103"/>
  <c r="E37" i="52103"/>
  <c r="E29" i="52103"/>
  <c r="E27" i="52103"/>
  <c r="E26" i="52103"/>
  <c r="E25" i="52103"/>
  <c r="E23" i="52103"/>
  <c r="E15" i="52103"/>
  <c r="E14" i="52103"/>
  <c r="E13" i="52103"/>
  <c r="E12" i="52103"/>
  <c r="E11" i="52103"/>
  <c r="E10" i="52103"/>
  <c r="E9" i="52103"/>
  <c r="E8" i="52103"/>
  <c r="D198" i="52103"/>
  <c r="C198" i="52103"/>
  <c r="B198" i="52103"/>
  <c r="D197" i="52103"/>
  <c r="C197" i="52103"/>
  <c r="B197" i="52103"/>
  <c r="D196" i="52103"/>
  <c r="C196" i="52103"/>
  <c r="B196" i="52103"/>
  <c r="D195" i="52103"/>
  <c r="C195" i="52103"/>
  <c r="B195" i="52103"/>
  <c r="D194" i="52103"/>
  <c r="C194" i="52103"/>
  <c r="B194" i="52103"/>
  <c r="D193" i="52103"/>
  <c r="C193" i="52103"/>
  <c r="B193" i="52103"/>
  <c r="D192" i="52103"/>
  <c r="C192" i="52103"/>
  <c r="B192" i="52103"/>
  <c r="D191" i="52103"/>
  <c r="C191" i="52103"/>
  <c r="B191" i="52103"/>
  <c r="D190" i="52103"/>
  <c r="C190" i="52103"/>
  <c r="B190" i="52103"/>
  <c r="D189" i="52103"/>
  <c r="C189" i="52103"/>
  <c r="B189" i="52103"/>
  <c r="D188" i="52103"/>
  <c r="C188" i="52103"/>
  <c r="B188" i="52103"/>
  <c r="D187" i="52103"/>
  <c r="C187" i="52103"/>
  <c r="B187" i="52103"/>
  <c r="D186" i="52103"/>
  <c r="D200" i="52103" s="1"/>
  <c r="C186" i="52103"/>
  <c r="B186" i="52103"/>
  <c r="B200" i="52103" s="1"/>
  <c r="D159" i="52103"/>
  <c r="C159" i="52103"/>
  <c r="B159" i="52103"/>
  <c r="D158" i="52103"/>
  <c r="C158" i="52103"/>
  <c r="B158" i="52103"/>
  <c r="D157" i="52103"/>
  <c r="C157" i="52103"/>
  <c r="B157" i="52103"/>
  <c r="D156" i="52103"/>
  <c r="C156" i="52103"/>
  <c r="B156" i="52103"/>
  <c r="D140" i="52103"/>
  <c r="B140" i="52103"/>
  <c r="D139" i="52103"/>
  <c r="B139" i="52103"/>
  <c r="D138" i="52103"/>
  <c r="B138" i="52103"/>
  <c r="D137" i="52103"/>
  <c r="B137" i="52103"/>
  <c r="D136" i="52103"/>
  <c r="B136" i="52103"/>
  <c r="D135" i="52103"/>
  <c r="B135" i="52103"/>
  <c r="D134" i="52103"/>
  <c r="B134" i="52103"/>
  <c r="D133" i="52103"/>
  <c r="B133" i="52103"/>
  <c r="D132" i="52103"/>
  <c r="C132" i="52103"/>
  <c r="B132" i="52103"/>
  <c r="D131" i="52103"/>
  <c r="C131" i="52103"/>
  <c r="B131" i="52103"/>
  <c r="D126" i="52103"/>
  <c r="D125" i="52103"/>
  <c r="D124" i="52103"/>
  <c r="B124" i="52103"/>
  <c r="C123" i="52103"/>
  <c r="B123" i="52103"/>
  <c r="D114" i="52103"/>
  <c r="D113" i="52103"/>
  <c r="C113" i="52103"/>
  <c r="B113" i="52103"/>
  <c r="D112" i="52103"/>
  <c r="D111" i="52103"/>
  <c r="D110" i="52103"/>
  <c r="C110" i="52103"/>
  <c r="D109" i="52103"/>
  <c r="D106" i="52103"/>
  <c r="D96" i="52103"/>
  <c r="D88" i="52103"/>
  <c r="D67" i="52103"/>
  <c r="D64" i="52103"/>
  <c r="D61" i="52103"/>
  <c r="C61" i="52103"/>
  <c r="B61" i="52103"/>
  <c r="D57" i="52103"/>
  <c r="C57" i="52103"/>
  <c r="B57" i="52103"/>
  <c r="D56" i="52103"/>
  <c r="C56" i="52103"/>
  <c r="B56" i="52103"/>
  <c r="D49" i="52103"/>
  <c r="C49" i="52103"/>
  <c r="B49" i="52103"/>
  <c r="D40" i="52103"/>
  <c r="C40" i="52103"/>
  <c r="B40" i="52103"/>
  <c r="D39" i="52103"/>
  <c r="C39" i="52103"/>
  <c r="B39" i="52103"/>
  <c r="D38" i="52103"/>
  <c r="C38" i="52103"/>
  <c r="B38" i="52103"/>
  <c r="D37" i="52103"/>
  <c r="C37" i="52103"/>
  <c r="B37" i="52103"/>
  <c r="D29" i="52103"/>
  <c r="C29" i="52103"/>
  <c r="B29" i="52103"/>
  <c r="D27" i="52103"/>
  <c r="C27" i="52103"/>
  <c r="B27" i="52103"/>
  <c r="D26" i="52103"/>
  <c r="C26" i="52103"/>
  <c r="B26" i="52103"/>
  <c r="D25" i="52103"/>
  <c r="C25" i="52103"/>
  <c r="B25" i="52103"/>
  <c r="D23" i="52103"/>
  <c r="C23" i="52103"/>
  <c r="B23" i="52103"/>
  <c r="D19" i="52103"/>
  <c r="B19" i="52103"/>
  <c r="D18" i="52103"/>
  <c r="B18" i="52103"/>
  <c r="D17" i="52103"/>
  <c r="B17" i="52103"/>
  <c r="D16" i="52103"/>
  <c r="B16" i="52103"/>
  <c r="D15" i="52103"/>
  <c r="C15" i="52103"/>
  <c r="B15" i="52103"/>
  <c r="D14" i="52103"/>
  <c r="B14" i="52103"/>
  <c r="D13" i="52103"/>
  <c r="B13" i="52103"/>
  <c r="D12" i="52103"/>
  <c r="B12" i="52103"/>
  <c r="D11" i="52103"/>
  <c r="B11" i="52103"/>
  <c r="D10" i="52103"/>
  <c r="D9" i="52103"/>
  <c r="D8" i="52103"/>
  <c r="D21" i="52103"/>
  <c r="C8" i="52103"/>
  <c r="B8" i="52103"/>
  <c r="H249" i="52103"/>
  <c r="H247" i="52103"/>
  <c r="H245" i="52103"/>
  <c r="H243" i="52103"/>
  <c r="H241" i="52103"/>
  <c r="H240" i="52103"/>
  <c r="H239" i="52103"/>
  <c r="H238" i="52103"/>
  <c r="H237" i="52103"/>
  <c r="H236" i="52103"/>
  <c r="H234" i="52103"/>
  <c r="H233" i="52103"/>
  <c r="K231" i="52103"/>
  <c r="J231" i="52103"/>
  <c r="H231" i="52103"/>
  <c r="F229" i="52103"/>
  <c r="I229" i="52103" s="1"/>
  <c r="M229" i="52103" s="1"/>
  <c r="K228" i="52103"/>
  <c r="M228" i="52103"/>
  <c r="K227" i="52103"/>
  <c r="F227" i="52103"/>
  <c r="I227" i="52103" s="1"/>
  <c r="A227" i="52103"/>
  <c r="H222" i="52103"/>
  <c r="H252" i="52103" s="1"/>
  <c r="I200" i="52103"/>
  <c r="E200" i="52103"/>
  <c r="J65" i="52103"/>
  <c r="K19" i="52103"/>
  <c r="K18" i="52103"/>
  <c r="K17" i="52103"/>
  <c r="K16" i="52103"/>
  <c r="K15" i="52103"/>
  <c r="K14" i="52103"/>
  <c r="K13" i="52103"/>
  <c r="K12" i="52103"/>
  <c r="K11" i="52103"/>
  <c r="K10" i="52103"/>
  <c r="K9" i="52103"/>
  <c r="I21" i="52103"/>
  <c r="G255" i="52081"/>
  <c r="D253" i="52103" s="1"/>
  <c r="G79" i="52066"/>
  <c r="C79" i="52103" s="1"/>
  <c r="I51" i="52103"/>
  <c r="H227" i="52103"/>
  <c r="I231" i="52103"/>
  <c r="L256" i="52066"/>
  <c r="L252" i="52066"/>
  <c r="L250" i="52066"/>
  <c r="L248" i="52066"/>
  <c r="L246" i="52066"/>
  <c r="L244" i="52066"/>
  <c r="L237" i="52066"/>
  <c r="L234" i="52066"/>
  <c r="L232" i="52066"/>
  <c r="L231" i="52066"/>
  <c r="L230" i="52066"/>
  <c r="L229" i="52066"/>
  <c r="L228" i="52066"/>
  <c r="L227" i="52066"/>
  <c r="L224" i="52066"/>
  <c r="L221" i="52066"/>
  <c r="L216" i="52066"/>
  <c r="L214" i="52066"/>
  <c r="L210" i="52066"/>
  <c r="L208" i="52066"/>
  <c r="L206" i="52066"/>
  <c r="L204" i="52066"/>
  <c r="L202" i="52066"/>
  <c r="L200" i="52066"/>
  <c r="L186" i="52066"/>
  <c r="L184" i="52066"/>
  <c r="L169" i="52066"/>
  <c r="L167" i="52066"/>
  <c r="L155" i="52066"/>
  <c r="L153" i="52066"/>
  <c r="L130" i="52066"/>
  <c r="L128" i="52066"/>
  <c r="L117" i="52066"/>
  <c r="L115" i="52066"/>
  <c r="L104" i="52066"/>
  <c r="L102" i="52066"/>
  <c r="L71" i="52066"/>
  <c r="L69" i="52066"/>
  <c r="L63" i="52066"/>
  <c r="L59" i="52066"/>
  <c r="L52" i="52066"/>
  <c r="L50" i="52066"/>
  <c r="L45" i="52066"/>
  <c r="L43" i="52066"/>
  <c r="L31" i="52066"/>
  <c r="L22" i="52066"/>
  <c r="L7" i="52066"/>
  <c r="L256" i="48"/>
  <c r="L252" i="48"/>
  <c r="L250" i="48"/>
  <c r="L248" i="48"/>
  <c r="L246" i="48"/>
  <c r="L244" i="48"/>
  <c r="L237" i="48"/>
  <c r="L234" i="48"/>
  <c r="L232" i="48"/>
  <c r="L231" i="48"/>
  <c r="L230" i="48"/>
  <c r="L229" i="48"/>
  <c r="L228" i="48"/>
  <c r="L227" i="48"/>
  <c r="L224" i="48"/>
  <c r="L221" i="48"/>
  <c r="L216" i="48"/>
  <c r="L214" i="48"/>
  <c r="L210" i="48"/>
  <c r="L208" i="48"/>
  <c r="L206" i="48"/>
  <c r="L204" i="48"/>
  <c r="L202" i="48"/>
  <c r="L200" i="48"/>
  <c r="L186" i="48"/>
  <c r="L184" i="48"/>
  <c r="L169" i="48"/>
  <c r="L167" i="48"/>
  <c r="L155" i="48"/>
  <c r="L153" i="48"/>
  <c r="L130" i="48"/>
  <c r="L128" i="48"/>
  <c r="L117" i="48"/>
  <c r="L115" i="48"/>
  <c r="L104" i="48"/>
  <c r="L102" i="48"/>
  <c r="L71" i="48"/>
  <c r="L69" i="48"/>
  <c r="L63" i="48"/>
  <c r="L59" i="48"/>
  <c r="L52" i="48"/>
  <c r="L50" i="48"/>
  <c r="L45" i="48"/>
  <c r="L43" i="48"/>
  <c r="L31" i="48"/>
  <c r="L22" i="48"/>
  <c r="L7" i="48"/>
  <c r="L256" i="52094"/>
  <c r="L252" i="52094"/>
  <c r="L250" i="52094"/>
  <c r="L248" i="52094"/>
  <c r="L246" i="52094"/>
  <c r="L244" i="52094"/>
  <c r="L237" i="52094"/>
  <c r="L234" i="52094"/>
  <c r="L232" i="52094"/>
  <c r="L231" i="52094"/>
  <c r="L230" i="52094"/>
  <c r="L229" i="52094"/>
  <c r="L228" i="52094"/>
  <c r="L227" i="52094"/>
  <c r="L224" i="52094"/>
  <c r="L221" i="52094"/>
  <c r="L216" i="52094"/>
  <c r="L214" i="52094"/>
  <c r="L210" i="52094"/>
  <c r="L208" i="52094"/>
  <c r="L206" i="52094"/>
  <c r="L204" i="52094"/>
  <c r="L202" i="52094"/>
  <c r="L200" i="52094"/>
  <c r="L186" i="52094"/>
  <c r="L184" i="52094"/>
  <c r="L169" i="52094"/>
  <c r="L167" i="52094"/>
  <c r="L155" i="52094"/>
  <c r="L153" i="52094"/>
  <c r="L130" i="52094"/>
  <c r="L128" i="52094"/>
  <c r="L117" i="52094"/>
  <c r="L115" i="52094"/>
  <c r="L104" i="52094"/>
  <c r="L102" i="52094"/>
  <c r="L71" i="52094"/>
  <c r="L69" i="52094"/>
  <c r="L63" i="52094"/>
  <c r="L59" i="52094"/>
  <c r="L52" i="52094"/>
  <c r="L50" i="52094"/>
  <c r="L45" i="52094"/>
  <c r="L43" i="52094"/>
  <c r="L31" i="52094"/>
  <c r="L22" i="52094"/>
  <c r="L7" i="52094"/>
  <c r="L256" i="52093"/>
  <c r="L252" i="52093"/>
  <c r="L250" i="52093"/>
  <c r="L248" i="52093"/>
  <c r="L246" i="52093"/>
  <c r="L244" i="52093"/>
  <c r="L237" i="52093"/>
  <c r="L234" i="52093"/>
  <c r="L232" i="52093"/>
  <c r="L231" i="52093"/>
  <c r="L230" i="52093"/>
  <c r="L229" i="52093"/>
  <c r="L228" i="52093"/>
  <c r="L227" i="52093"/>
  <c r="L224" i="52093"/>
  <c r="L221" i="52093"/>
  <c r="L216" i="52093"/>
  <c r="L214" i="52093"/>
  <c r="L210" i="52093"/>
  <c r="L208" i="52093"/>
  <c r="L206" i="52093"/>
  <c r="L204" i="52093"/>
  <c r="L202" i="52093"/>
  <c r="L200" i="52093"/>
  <c r="L186" i="52093"/>
  <c r="L184" i="52093"/>
  <c r="L169" i="52093"/>
  <c r="L167" i="52093"/>
  <c r="L155" i="52093"/>
  <c r="L153" i="52093"/>
  <c r="L130" i="52093"/>
  <c r="L128" i="52093"/>
  <c r="L117" i="52093"/>
  <c r="L115" i="52093"/>
  <c r="L104" i="52093"/>
  <c r="L102" i="52093"/>
  <c r="L71" i="52093"/>
  <c r="L69" i="52093"/>
  <c r="L63" i="52093"/>
  <c r="L59" i="52093"/>
  <c r="L52" i="52093"/>
  <c r="L50" i="52093"/>
  <c r="L45" i="52093"/>
  <c r="L43" i="52093"/>
  <c r="L31" i="52093"/>
  <c r="L22" i="52093"/>
  <c r="L7" i="52093"/>
  <c r="L256" i="52092"/>
  <c r="L252" i="52092"/>
  <c r="L250" i="52092"/>
  <c r="L248" i="52092"/>
  <c r="L246" i="52092"/>
  <c r="L244" i="52092"/>
  <c r="L237" i="52092"/>
  <c r="L234" i="52092"/>
  <c r="L232" i="52092"/>
  <c r="L231" i="52092"/>
  <c r="L230" i="52092"/>
  <c r="L229" i="52092"/>
  <c r="L228" i="52092"/>
  <c r="L227" i="52092"/>
  <c r="L224" i="52092"/>
  <c r="L221" i="52092"/>
  <c r="L216" i="52092"/>
  <c r="L214" i="52092"/>
  <c r="L210" i="52092"/>
  <c r="L208" i="52092"/>
  <c r="L206" i="52092"/>
  <c r="L204" i="52092"/>
  <c r="L202" i="52092"/>
  <c r="L200" i="52092"/>
  <c r="L186" i="52092"/>
  <c r="L184" i="52092"/>
  <c r="L169" i="52092"/>
  <c r="L167" i="52092"/>
  <c r="L155" i="52092"/>
  <c r="L153" i="52092"/>
  <c r="L130" i="52092"/>
  <c r="L128" i="52092"/>
  <c r="L117" i="52092"/>
  <c r="L115" i="52092"/>
  <c r="L104" i="52092"/>
  <c r="L102" i="52092"/>
  <c r="L71" i="52092"/>
  <c r="L69" i="52092"/>
  <c r="L63" i="52092"/>
  <c r="L59" i="52092"/>
  <c r="L52" i="52092"/>
  <c r="L50" i="52092"/>
  <c r="L45" i="52092"/>
  <c r="L43" i="52092"/>
  <c r="L31" i="52092"/>
  <c r="L22" i="52092"/>
  <c r="L7" i="52092"/>
  <c r="L256" i="52091"/>
  <c r="L252" i="52091"/>
  <c r="L250" i="52091"/>
  <c r="L248" i="52091"/>
  <c r="L246" i="52091"/>
  <c r="L244" i="52091"/>
  <c r="L237" i="52091"/>
  <c r="L234" i="52091"/>
  <c r="L232" i="52091"/>
  <c r="L231" i="52091"/>
  <c r="L230" i="52091"/>
  <c r="L229" i="52091"/>
  <c r="L228" i="52091"/>
  <c r="L227" i="52091"/>
  <c r="L224" i="52091"/>
  <c r="L221" i="52091"/>
  <c r="L216" i="52091"/>
  <c r="L214" i="52091"/>
  <c r="L210" i="52091"/>
  <c r="L208" i="52091"/>
  <c r="L206" i="52091"/>
  <c r="L204" i="52091"/>
  <c r="L202" i="52091"/>
  <c r="L200" i="52091"/>
  <c r="L186" i="52091"/>
  <c r="L184" i="52091"/>
  <c r="L169" i="52091"/>
  <c r="L167" i="52091"/>
  <c r="L155" i="52091"/>
  <c r="L153" i="52091"/>
  <c r="L130" i="52091"/>
  <c r="L128" i="52091"/>
  <c r="L117" i="52091"/>
  <c r="L115" i="52091"/>
  <c r="L104" i="52091"/>
  <c r="L102" i="52091"/>
  <c r="L71" i="52091"/>
  <c r="L69" i="52091"/>
  <c r="L63" i="52091"/>
  <c r="L59" i="52091"/>
  <c r="L52" i="52091"/>
  <c r="L50" i="52091"/>
  <c r="L45" i="52091"/>
  <c r="L43" i="52091"/>
  <c r="L31" i="52091"/>
  <c r="L22" i="52091"/>
  <c r="L7" i="52091"/>
  <c r="L256" i="52100"/>
  <c r="L252" i="52100"/>
  <c r="L250" i="52100"/>
  <c r="L248" i="52100"/>
  <c r="L246" i="52100"/>
  <c r="L244" i="52100"/>
  <c r="L237" i="52100"/>
  <c r="L234" i="52100"/>
  <c r="L232" i="52100"/>
  <c r="L231" i="52100"/>
  <c r="L230" i="52100"/>
  <c r="L229" i="52100"/>
  <c r="L228" i="52100"/>
  <c r="L227" i="52100"/>
  <c r="L224" i="52100"/>
  <c r="L221" i="52100"/>
  <c r="L216" i="52100"/>
  <c r="L214" i="52100"/>
  <c r="L210" i="52100"/>
  <c r="L208" i="52100"/>
  <c r="L206" i="52100"/>
  <c r="L204" i="52100"/>
  <c r="L202" i="52100"/>
  <c r="L200" i="52100"/>
  <c r="L186" i="52100"/>
  <c r="L184" i="52100"/>
  <c r="L169" i="52100"/>
  <c r="L167" i="52100"/>
  <c r="L155" i="52100"/>
  <c r="L153" i="52100"/>
  <c r="L130" i="52100"/>
  <c r="L128" i="52100"/>
  <c r="L117" i="52100"/>
  <c r="L115" i="52100"/>
  <c r="L104" i="52100"/>
  <c r="L102" i="52100"/>
  <c r="L71" i="52100"/>
  <c r="L69" i="52100"/>
  <c r="L63" i="52100"/>
  <c r="L59" i="52100"/>
  <c r="L52" i="52100"/>
  <c r="L50" i="52100"/>
  <c r="L45" i="52100"/>
  <c r="L43" i="52100"/>
  <c r="L31" i="52100"/>
  <c r="L22" i="52100"/>
  <c r="L7" i="52100"/>
  <c r="L256" i="32"/>
  <c r="L252" i="32"/>
  <c r="L250" i="32"/>
  <c r="L248" i="32"/>
  <c r="L246" i="32"/>
  <c r="L244" i="32"/>
  <c r="L237" i="32"/>
  <c r="L234" i="32"/>
  <c r="L232" i="32"/>
  <c r="L231" i="32"/>
  <c r="L230" i="32"/>
  <c r="L229" i="32"/>
  <c r="L228" i="32"/>
  <c r="L227" i="32"/>
  <c r="L224" i="32"/>
  <c r="L221" i="32"/>
  <c r="L216" i="32"/>
  <c r="L214" i="32"/>
  <c r="L210" i="32"/>
  <c r="L208" i="32"/>
  <c r="L206" i="32"/>
  <c r="L204" i="32"/>
  <c r="L202" i="32"/>
  <c r="L200" i="32"/>
  <c r="L186" i="32"/>
  <c r="L184" i="32"/>
  <c r="L169" i="32"/>
  <c r="L167" i="32"/>
  <c r="L155" i="32"/>
  <c r="L153" i="32"/>
  <c r="L130" i="32"/>
  <c r="L128" i="32"/>
  <c r="L117" i="32"/>
  <c r="L115" i="32"/>
  <c r="L104" i="32"/>
  <c r="L102" i="32"/>
  <c r="L71" i="32"/>
  <c r="L69" i="32"/>
  <c r="L63" i="32"/>
  <c r="L59" i="32"/>
  <c r="L52" i="32"/>
  <c r="L50" i="32"/>
  <c r="L45" i="32"/>
  <c r="L43" i="32"/>
  <c r="L31" i="32"/>
  <c r="L22" i="32"/>
  <c r="L7" i="32"/>
  <c r="L256" i="52072"/>
  <c r="L252" i="52072"/>
  <c r="L250" i="52072"/>
  <c r="L248" i="52072"/>
  <c r="L246" i="52072"/>
  <c r="L244" i="52072"/>
  <c r="L237" i="52072"/>
  <c r="L234" i="52072"/>
  <c r="L232" i="52072"/>
  <c r="L231" i="52072"/>
  <c r="L230" i="52072"/>
  <c r="L229" i="52072"/>
  <c r="L228" i="52072"/>
  <c r="L227" i="52072"/>
  <c r="L224" i="52072"/>
  <c r="L221" i="52072"/>
  <c r="L216" i="52072"/>
  <c r="L214" i="52072"/>
  <c r="L210" i="52072"/>
  <c r="L208" i="52072"/>
  <c r="L206" i="52072"/>
  <c r="L204" i="52072"/>
  <c r="L202" i="52072"/>
  <c r="L200" i="52072"/>
  <c r="L186" i="52072"/>
  <c r="L184" i="52072"/>
  <c r="L169" i="52072"/>
  <c r="L167" i="52072"/>
  <c r="L155" i="52072"/>
  <c r="L153" i="52072"/>
  <c r="L130" i="52072"/>
  <c r="L128" i="52072"/>
  <c r="L117" i="52072"/>
  <c r="L115" i="52072"/>
  <c r="L104" i="52072"/>
  <c r="L102" i="52072"/>
  <c r="L71" i="52072"/>
  <c r="L69" i="52072"/>
  <c r="L63" i="52072"/>
  <c r="L59" i="52072"/>
  <c r="L52" i="52072"/>
  <c r="L50" i="52072"/>
  <c r="L45" i="52072"/>
  <c r="L43" i="52072"/>
  <c r="L31" i="52072"/>
  <c r="L22" i="52072"/>
  <c r="L7" i="52072"/>
  <c r="L256" i="52089"/>
  <c r="L252" i="52089"/>
  <c r="L250" i="52089"/>
  <c r="L248" i="52089"/>
  <c r="L246" i="52089"/>
  <c r="L244" i="52089"/>
  <c r="L237" i="52089"/>
  <c r="L234" i="52089"/>
  <c r="L232" i="52089"/>
  <c r="L231" i="52089"/>
  <c r="L230" i="52089"/>
  <c r="L229" i="52089"/>
  <c r="L228" i="52089"/>
  <c r="L227" i="52089"/>
  <c r="L224" i="52089"/>
  <c r="L221" i="52089"/>
  <c r="L216" i="52089"/>
  <c r="L214" i="52089"/>
  <c r="L210" i="52089"/>
  <c r="L208" i="52089"/>
  <c r="L206" i="52089"/>
  <c r="L204" i="52089"/>
  <c r="L202" i="52089"/>
  <c r="L200" i="52089"/>
  <c r="L186" i="52089"/>
  <c r="L184" i="52089"/>
  <c r="L169" i="52089"/>
  <c r="L167" i="52089"/>
  <c r="L155" i="52089"/>
  <c r="L153" i="52089"/>
  <c r="L130" i="52089"/>
  <c r="L128" i="52089"/>
  <c r="L117" i="52089"/>
  <c r="L115" i="52089"/>
  <c r="L104" i="52089"/>
  <c r="L102" i="52089"/>
  <c r="L71" i="52089"/>
  <c r="L69" i="52089"/>
  <c r="L63" i="52089"/>
  <c r="L59" i="52089"/>
  <c r="L52" i="52089"/>
  <c r="L50" i="52089"/>
  <c r="L45" i="52089"/>
  <c r="L43" i="52089"/>
  <c r="L31" i="52089"/>
  <c r="L22" i="52089"/>
  <c r="L7" i="52089"/>
  <c r="L256" i="77"/>
  <c r="L252" i="77"/>
  <c r="L250" i="77"/>
  <c r="L248" i="77"/>
  <c r="L246" i="77"/>
  <c r="L244" i="77"/>
  <c r="L237" i="77"/>
  <c r="L234" i="77"/>
  <c r="L232" i="77"/>
  <c r="L231" i="77"/>
  <c r="L230" i="77"/>
  <c r="L229" i="77"/>
  <c r="L228" i="77"/>
  <c r="L227" i="77"/>
  <c r="L224" i="77"/>
  <c r="L221" i="77"/>
  <c r="L216" i="77"/>
  <c r="L214" i="77"/>
  <c r="L210" i="77"/>
  <c r="L208" i="77"/>
  <c r="L206" i="77"/>
  <c r="L204" i="77"/>
  <c r="L202" i="77"/>
  <c r="L200" i="77"/>
  <c r="L186" i="77"/>
  <c r="L184" i="77"/>
  <c r="L169" i="77"/>
  <c r="L167" i="77"/>
  <c r="L155" i="77"/>
  <c r="L153" i="77"/>
  <c r="L130" i="77"/>
  <c r="L128" i="77"/>
  <c r="L117" i="77"/>
  <c r="L115" i="77"/>
  <c r="L104" i="77"/>
  <c r="L102" i="77"/>
  <c r="L71" i="77"/>
  <c r="L69" i="77"/>
  <c r="L63" i="77"/>
  <c r="L59" i="77"/>
  <c r="L52" i="77"/>
  <c r="L50" i="77"/>
  <c r="L45" i="77"/>
  <c r="L43" i="77"/>
  <c r="L31" i="77"/>
  <c r="L22" i="77"/>
  <c r="L7" i="77"/>
  <c r="L256" i="12"/>
  <c r="L252" i="12"/>
  <c r="L250" i="12"/>
  <c r="L248" i="12"/>
  <c r="L246" i="12"/>
  <c r="L244" i="12"/>
  <c r="L237" i="12"/>
  <c r="L234" i="12"/>
  <c r="L232" i="12"/>
  <c r="L231" i="12"/>
  <c r="L230" i="12"/>
  <c r="L229" i="12"/>
  <c r="L228" i="12"/>
  <c r="L227" i="12"/>
  <c r="L224" i="12"/>
  <c r="L221" i="12"/>
  <c r="L216" i="12"/>
  <c r="L214" i="12"/>
  <c r="L210" i="12"/>
  <c r="L208" i="12"/>
  <c r="L206" i="12"/>
  <c r="L204" i="12"/>
  <c r="L202" i="12"/>
  <c r="L200" i="12"/>
  <c r="L186" i="12"/>
  <c r="L184" i="12"/>
  <c r="L169" i="12"/>
  <c r="L167" i="12"/>
  <c r="L155" i="12"/>
  <c r="L153" i="12"/>
  <c r="L130" i="12"/>
  <c r="L128" i="12"/>
  <c r="L117" i="12"/>
  <c r="L115" i="12"/>
  <c r="L104" i="12"/>
  <c r="L102" i="12"/>
  <c r="L71" i="12"/>
  <c r="L69" i="12"/>
  <c r="L63" i="12"/>
  <c r="L59" i="12"/>
  <c r="L52" i="12"/>
  <c r="L50" i="12"/>
  <c r="L45" i="12"/>
  <c r="L43" i="12"/>
  <c r="L31" i="12"/>
  <c r="L22" i="12"/>
  <c r="L7" i="12"/>
  <c r="L256" i="20"/>
  <c r="L252" i="20"/>
  <c r="L250" i="20"/>
  <c r="L248" i="20"/>
  <c r="L246" i="20"/>
  <c r="L244" i="20"/>
  <c r="L237" i="20"/>
  <c r="L234" i="20"/>
  <c r="L232" i="20"/>
  <c r="L231" i="20"/>
  <c r="L230" i="20"/>
  <c r="L229" i="20"/>
  <c r="L228" i="20"/>
  <c r="L227" i="20"/>
  <c r="L224" i="20"/>
  <c r="L221" i="20"/>
  <c r="L216" i="20"/>
  <c r="L214" i="20"/>
  <c r="L210" i="20"/>
  <c r="L208" i="20"/>
  <c r="L206" i="20"/>
  <c r="L204" i="20"/>
  <c r="L202" i="20"/>
  <c r="L200" i="20"/>
  <c r="L186" i="20"/>
  <c r="L184" i="20"/>
  <c r="L169" i="20"/>
  <c r="L167" i="20"/>
  <c r="L155" i="20"/>
  <c r="L153" i="20"/>
  <c r="L130" i="20"/>
  <c r="L128" i="20"/>
  <c r="L117" i="20"/>
  <c r="L115" i="20"/>
  <c r="L104" i="20"/>
  <c r="L102" i="20"/>
  <c r="L71" i="20"/>
  <c r="L69" i="20"/>
  <c r="L63" i="20"/>
  <c r="L59" i="20"/>
  <c r="L52" i="20"/>
  <c r="L50" i="20"/>
  <c r="L45" i="20"/>
  <c r="L43" i="20"/>
  <c r="L31" i="20"/>
  <c r="L22" i="20"/>
  <c r="L7" i="20"/>
  <c r="L256" i="115"/>
  <c r="L252" i="115"/>
  <c r="L250" i="115"/>
  <c r="L248" i="115"/>
  <c r="L246" i="115"/>
  <c r="L244" i="115"/>
  <c r="L237" i="115"/>
  <c r="L234" i="115"/>
  <c r="L232" i="115"/>
  <c r="L231" i="115"/>
  <c r="L230" i="115"/>
  <c r="L229" i="115"/>
  <c r="L228" i="115"/>
  <c r="L227" i="115"/>
  <c r="L224" i="115"/>
  <c r="L221" i="115"/>
  <c r="L216" i="115"/>
  <c r="L214" i="115"/>
  <c r="L210" i="115"/>
  <c r="L208" i="115"/>
  <c r="L206" i="115"/>
  <c r="L204" i="115"/>
  <c r="L202" i="115"/>
  <c r="L200" i="115"/>
  <c r="L186" i="115"/>
  <c r="L184" i="115"/>
  <c r="L169" i="115"/>
  <c r="L167" i="115"/>
  <c r="L155" i="115"/>
  <c r="L153" i="115"/>
  <c r="L130" i="115"/>
  <c r="L128" i="115"/>
  <c r="L117" i="115"/>
  <c r="L115" i="115"/>
  <c r="L104" i="115"/>
  <c r="L102" i="115"/>
  <c r="L71" i="115"/>
  <c r="L69" i="115"/>
  <c r="L63" i="115"/>
  <c r="L59" i="115"/>
  <c r="L52" i="115"/>
  <c r="L50" i="115"/>
  <c r="L45" i="115"/>
  <c r="L43" i="115"/>
  <c r="L31" i="115"/>
  <c r="L22" i="115"/>
  <c r="L7" i="115"/>
  <c r="L256" i="52090"/>
  <c r="L252" i="52090"/>
  <c r="L250" i="52090"/>
  <c r="L248" i="52090"/>
  <c r="L246" i="52090"/>
  <c r="L244" i="52090"/>
  <c r="L237" i="52090"/>
  <c r="L234" i="52090"/>
  <c r="L232" i="52090"/>
  <c r="L231" i="52090"/>
  <c r="L230" i="52090"/>
  <c r="L229" i="52090"/>
  <c r="L228" i="52090"/>
  <c r="L227" i="52090"/>
  <c r="L224" i="52090"/>
  <c r="L221" i="52090"/>
  <c r="L216" i="52090"/>
  <c r="L214" i="52090"/>
  <c r="L210" i="52090"/>
  <c r="L208" i="52090"/>
  <c r="L206" i="52090"/>
  <c r="L204" i="52090"/>
  <c r="L202" i="52090"/>
  <c r="L200" i="52090"/>
  <c r="L186" i="52090"/>
  <c r="L184" i="52090"/>
  <c r="L169" i="52090"/>
  <c r="L167" i="52090"/>
  <c r="L155" i="52090"/>
  <c r="L153" i="52090"/>
  <c r="L130" i="52090"/>
  <c r="L128" i="52090"/>
  <c r="L117" i="52090"/>
  <c r="L115" i="52090"/>
  <c r="L104" i="52090"/>
  <c r="L102" i="52090"/>
  <c r="L71" i="52090"/>
  <c r="L69" i="52090"/>
  <c r="L63" i="52090"/>
  <c r="L59" i="52090"/>
  <c r="L52" i="52090"/>
  <c r="L50" i="52090"/>
  <c r="L45" i="52090"/>
  <c r="L43" i="52090"/>
  <c r="L31" i="52090"/>
  <c r="L22" i="52090"/>
  <c r="L7" i="52090"/>
  <c r="L256" i="52095"/>
  <c r="L252" i="52095"/>
  <c r="L250" i="52095"/>
  <c r="L248" i="52095"/>
  <c r="L246" i="52095"/>
  <c r="L244" i="52095"/>
  <c r="L237" i="52095"/>
  <c r="L234" i="52095"/>
  <c r="L232" i="52095"/>
  <c r="L231" i="52095"/>
  <c r="L230" i="52095"/>
  <c r="L229" i="52095"/>
  <c r="L228" i="52095"/>
  <c r="L227" i="52095"/>
  <c r="L224" i="52095"/>
  <c r="L221" i="52095"/>
  <c r="L216" i="52095"/>
  <c r="L214" i="52095"/>
  <c r="L210" i="52095"/>
  <c r="L208" i="52095"/>
  <c r="L206" i="52095"/>
  <c r="L204" i="52095"/>
  <c r="L202" i="52095"/>
  <c r="L200" i="52095"/>
  <c r="L186" i="52095"/>
  <c r="L184" i="52095"/>
  <c r="L169" i="52095"/>
  <c r="L167" i="52095"/>
  <c r="L155" i="52095"/>
  <c r="L153" i="52095"/>
  <c r="L130" i="52095"/>
  <c r="L128" i="52095"/>
  <c r="L117" i="52095"/>
  <c r="L115" i="52095"/>
  <c r="L104" i="52095"/>
  <c r="L102" i="52095"/>
  <c r="L71" i="52095"/>
  <c r="L69" i="52095"/>
  <c r="L63" i="52095"/>
  <c r="L59" i="52095"/>
  <c r="L52" i="52095"/>
  <c r="L50" i="52095"/>
  <c r="L45" i="52095"/>
  <c r="L43" i="52095"/>
  <c r="L31" i="52095"/>
  <c r="L22" i="52095"/>
  <c r="L7" i="52095"/>
  <c r="L256" i="52080"/>
  <c r="L252" i="52080"/>
  <c r="L250" i="52080"/>
  <c r="L248" i="52080"/>
  <c r="L246" i="52080"/>
  <c r="L244" i="52080"/>
  <c r="L237" i="52080"/>
  <c r="L234" i="52080"/>
  <c r="L232" i="52080"/>
  <c r="L231" i="52080"/>
  <c r="L230" i="52080"/>
  <c r="L229" i="52080"/>
  <c r="L228" i="52080"/>
  <c r="L227" i="52080"/>
  <c r="L224" i="52080"/>
  <c r="L221" i="52080"/>
  <c r="L216" i="52080"/>
  <c r="L214" i="52080"/>
  <c r="L210" i="52080"/>
  <c r="L208" i="52080"/>
  <c r="L206" i="52080"/>
  <c r="L204" i="52080"/>
  <c r="L202" i="52080"/>
  <c r="L200" i="52080"/>
  <c r="L186" i="52080"/>
  <c r="L184" i="52080"/>
  <c r="L169" i="52080"/>
  <c r="L167" i="52080"/>
  <c r="L155" i="52080"/>
  <c r="L153" i="52080"/>
  <c r="L130" i="52080"/>
  <c r="L128" i="52080"/>
  <c r="L117" i="52080"/>
  <c r="L115" i="52080"/>
  <c r="L104" i="52080"/>
  <c r="L102" i="52080"/>
  <c r="L71" i="52080"/>
  <c r="L69" i="52080"/>
  <c r="L63" i="52080"/>
  <c r="L59" i="52080"/>
  <c r="L52" i="52080"/>
  <c r="L50" i="52080"/>
  <c r="L45" i="52080"/>
  <c r="L43" i="52080"/>
  <c r="L31" i="52080"/>
  <c r="L22" i="52080"/>
  <c r="L7" i="52080"/>
  <c r="L256" i="114"/>
  <c r="L252" i="114"/>
  <c r="L250" i="114"/>
  <c r="L248" i="114"/>
  <c r="L246" i="114"/>
  <c r="L244" i="114"/>
  <c r="L237" i="114"/>
  <c r="L234" i="114"/>
  <c r="L232" i="114"/>
  <c r="L231" i="114"/>
  <c r="L230" i="114"/>
  <c r="L229" i="114"/>
  <c r="L228" i="114"/>
  <c r="L227" i="114"/>
  <c r="L224" i="114"/>
  <c r="L221" i="114"/>
  <c r="L216" i="114"/>
  <c r="L214" i="114"/>
  <c r="L210" i="114"/>
  <c r="L208" i="114"/>
  <c r="L206" i="114"/>
  <c r="L204" i="114"/>
  <c r="L202" i="114"/>
  <c r="L200" i="114"/>
  <c r="L186" i="114"/>
  <c r="L184" i="114"/>
  <c r="L169" i="114"/>
  <c r="L167" i="114"/>
  <c r="L155" i="114"/>
  <c r="L153" i="114"/>
  <c r="L130" i="114"/>
  <c r="L128" i="114"/>
  <c r="L117" i="114"/>
  <c r="L115" i="114"/>
  <c r="L104" i="114"/>
  <c r="L102" i="114"/>
  <c r="L71" i="114"/>
  <c r="L69" i="114"/>
  <c r="L63" i="114"/>
  <c r="L59" i="114"/>
  <c r="L52" i="114"/>
  <c r="L50" i="114"/>
  <c r="L45" i="114"/>
  <c r="L43" i="114"/>
  <c r="L31" i="114"/>
  <c r="L22" i="114"/>
  <c r="L7" i="114"/>
  <c r="L22" i="91"/>
  <c r="L31" i="91"/>
  <c r="L43" i="91"/>
  <c r="L45" i="91"/>
  <c r="L50" i="91"/>
  <c r="L52" i="91"/>
  <c r="L59" i="91"/>
  <c r="L63" i="91"/>
  <c r="L69" i="91"/>
  <c r="L71" i="91"/>
  <c r="L102" i="91"/>
  <c r="L104" i="91"/>
  <c r="L115" i="91"/>
  <c r="L117" i="91"/>
  <c r="L128" i="91"/>
  <c r="L130" i="91"/>
  <c r="L153" i="91"/>
  <c r="L155" i="91"/>
  <c r="L167" i="91"/>
  <c r="L169" i="91"/>
  <c r="L184" i="91"/>
  <c r="L186" i="91"/>
  <c r="L200" i="91"/>
  <c r="L202" i="91"/>
  <c r="L204" i="91"/>
  <c r="L206" i="91"/>
  <c r="L208" i="91"/>
  <c r="L210" i="91"/>
  <c r="L214" i="91"/>
  <c r="L216" i="91"/>
  <c r="L221" i="91"/>
  <c r="L224" i="91"/>
  <c r="L227" i="91"/>
  <c r="L228" i="91"/>
  <c r="L229" i="91"/>
  <c r="L230" i="91"/>
  <c r="L231" i="91"/>
  <c r="L232" i="91"/>
  <c r="L234" i="91"/>
  <c r="L237" i="91"/>
  <c r="L244" i="91"/>
  <c r="L246" i="91"/>
  <c r="L248" i="91"/>
  <c r="L250" i="91"/>
  <c r="L252" i="91"/>
  <c r="L256" i="91"/>
  <c r="L7" i="91"/>
  <c r="E198" i="52102"/>
  <c r="E197" i="52102"/>
  <c r="E196" i="52102"/>
  <c r="E195" i="52102"/>
  <c r="E194" i="52102"/>
  <c r="E193" i="52102"/>
  <c r="E192" i="52102"/>
  <c r="E191" i="52102"/>
  <c r="E190" i="52102"/>
  <c r="E189" i="52102"/>
  <c r="E188" i="52102"/>
  <c r="E187" i="52102"/>
  <c r="E186" i="52102"/>
  <c r="E200" i="52102" s="1"/>
  <c r="F181" i="52102"/>
  <c r="G178" i="52102"/>
  <c r="E159" i="52102"/>
  <c r="E158" i="52102"/>
  <c r="E157" i="52102"/>
  <c r="E156" i="52102"/>
  <c r="E140" i="52102"/>
  <c r="E139" i="52102"/>
  <c r="E138" i="52102"/>
  <c r="E137" i="52102"/>
  <c r="E136" i="52102"/>
  <c r="E135" i="52102"/>
  <c r="E134" i="52102"/>
  <c r="E133" i="52102"/>
  <c r="I132" i="52102"/>
  <c r="E132" i="52102"/>
  <c r="I131" i="52102"/>
  <c r="E131" i="52102"/>
  <c r="G122" i="52102"/>
  <c r="I113" i="52102"/>
  <c r="G113" i="52102"/>
  <c r="E113" i="52102"/>
  <c r="E110" i="52102"/>
  <c r="F89" i="52102"/>
  <c r="J89" i="52102" s="1"/>
  <c r="E61" i="52102"/>
  <c r="E57" i="52102"/>
  <c r="E56" i="52102"/>
  <c r="I49" i="52102"/>
  <c r="E49" i="52102"/>
  <c r="E40" i="52102"/>
  <c r="E39" i="52102"/>
  <c r="E38" i="52102"/>
  <c r="E37" i="52102"/>
  <c r="E29" i="52102"/>
  <c r="E27" i="52102"/>
  <c r="E26" i="52102"/>
  <c r="E25" i="52102"/>
  <c r="E23" i="52102"/>
  <c r="E15" i="52102"/>
  <c r="E14" i="52102"/>
  <c r="E13" i="52102"/>
  <c r="E12" i="52102"/>
  <c r="E11" i="52102"/>
  <c r="E10" i="52102"/>
  <c r="E9" i="52102"/>
  <c r="I8" i="52102"/>
  <c r="I21" i="52102" s="1"/>
  <c r="I51" i="52102" s="1"/>
  <c r="I232" i="52102" s="1"/>
  <c r="E8" i="52102"/>
  <c r="D198" i="52102"/>
  <c r="D197" i="52102"/>
  <c r="D196" i="52102"/>
  <c r="D195" i="52102"/>
  <c r="D194" i="52102"/>
  <c r="D193" i="52102"/>
  <c r="D192" i="52102"/>
  <c r="D191" i="52102"/>
  <c r="D190" i="52102"/>
  <c r="D189" i="52102"/>
  <c r="D188" i="52102"/>
  <c r="D187" i="52102"/>
  <c r="D186" i="52102"/>
  <c r="D200" i="52102" s="1"/>
  <c r="D159" i="52102"/>
  <c r="D158" i="52102"/>
  <c r="D157" i="52102"/>
  <c r="D156" i="52102"/>
  <c r="D132" i="52102"/>
  <c r="D131" i="52102"/>
  <c r="D124" i="52102"/>
  <c r="D123" i="52102"/>
  <c r="D113" i="52102"/>
  <c r="D110" i="52102"/>
  <c r="D109" i="52102"/>
  <c r="D106" i="52102"/>
  <c r="D61" i="52102"/>
  <c r="D57" i="52102"/>
  <c r="D56" i="52102"/>
  <c r="D49" i="52102"/>
  <c r="D40" i="52102"/>
  <c r="D39" i="52102"/>
  <c r="D38" i="52102"/>
  <c r="D37" i="52102"/>
  <c r="D29" i="52102"/>
  <c r="D27" i="52102"/>
  <c r="D26" i="52102"/>
  <c r="D25" i="52102"/>
  <c r="D23" i="52102"/>
  <c r="D16" i="52102"/>
  <c r="D15" i="52102"/>
  <c r="D14" i="52102"/>
  <c r="D13" i="52102"/>
  <c r="D12" i="52102"/>
  <c r="D11" i="52102"/>
  <c r="D10" i="52102"/>
  <c r="D9" i="52102"/>
  <c r="D8" i="52102"/>
  <c r="C198" i="52102"/>
  <c r="C197" i="52102"/>
  <c r="C196" i="52102"/>
  <c r="C195" i="52102"/>
  <c r="C194" i="52102"/>
  <c r="C193" i="52102"/>
  <c r="C192" i="52102"/>
  <c r="C191" i="52102"/>
  <c r="C190" i="52102"/>
  <c r="C189" i="52102"/>
  <c r="C188" i="52102"/>
  <c r="C187" i="52102"/>
  <c r="C186" i="52102"/>
  <c r="C159" i="52102"/>
  <c r="C158" i="52102"/>
  <c r="C157" i="52102"/>
  <c r="C156" i="52102"/>
  <c r="C140" i="52102"/>
  <c r="C139" i="52102"/>
  <c r="C138" i="52102"/>
  <c r="C137" i="52102"/>
  <c r="C136" i="52102"/>
  <c r="C135" i="52102"/>
  <c r="C134" i="52102"/>
  <c r="C133" i="52102"/>
  <c r="C132" i="52102"/>
  <c r="C131" i="52102"/>
  <c r="C113" i="52102"/>
  <c r="C108" i="52102"/>
  <c r="C79" i="52102"/>
  <c r="C61" i="52102"/>
  <c r="C57" i="52102"/>
  <c r="C56" i="52102"/>
  <c r="C49" i="52102"/>
  <c r="C40" i="52102"/>
  <c r="C39" i="52102"/>
  <c r="C38" i="52102"/>
  <c r="C37" i="52102"/>
  <c r="C29" i="52102"/>
  <c r="C27" i="52102"/>
  <c r="C26" i="52102"/>
  <c r="C25" i="52102"/>
  <c r="C23" i="52102"/>
  <c r="C15" i="52102"/>
  <c r="C14" i="52102"/>
  <c r="C13" i="52102"/>
  <c r="C12" i="52102"/>
  <c r="C11" i="52102"/>
  <c r="C10" i="52102"/>
  <c r="C9" i="52102"/>
  <c r="C8" i="52102"/>
  <c r="B132" i="52102"/>
  <c r="B131" i="52102"/>
  <c r="B124" i="52102"/>
  <c r="B122" i="52102"/>
  <c r="B113" i="52102"/>
  <c r="B110" i="52102"/>
  <c r="B109" i="52102"/>
  <c r="B108" i="52102"/>
  <c r="B106" i="52102"/>
  <c r="B61" i="52102"/>
  <c r="B57" i="52102"/>
  <c r="B56" i="52102"/>
  <c r="B49" i="52102"/>
  <c r="B40" i="52102"/>
  <c r="B39" i="52102"/>
  <c r="B38" i="52102"/>
  <c r="B37" i="52102"/>
  <c r="B29" i="52102"/>
  <c r="B27" i="52102"/>
  <c r="B26" i="52102"/>
  <c r="B25" i="52102"/>
  <c r="B23" i="52102"/>
  <c r="B16" i="52102"/>
  <c r="B15" i="52102"/>
  <c r="B14" i="52102"/>
  <c r="B13" i="52102"/>
  <c r="B12" i="52102"/>
  <c r="B11" i="52102"/>
  <c r="B10" i="52102"/>
  <c r="B9" i="52102"/>
  <c r="B8" i="52102"/>
  <c r="I254" i="52102"/>
  <c r="H250" i="52102"/>
  <c r="H248" i="52102"/>
  <c r="H246" i="52102"/>
  <c r="H244" i="52102"/>
  <c r="H242" i="52102"/>
  <c r="H241" i="52102"/>
  <c r="H240" i="52102"/>
  <c r="H239" i="52102"/>
  <c r="H238" i="52102"/>
  <c r="H237" i="52102"/>
  <c r="H235" i="52102"/>
  <c r="H234" i="52102"/>
  <c r="K232" i="52102"/>
  <c r="J232" i="52102"/>
  <c r="H232" i="52102"/>
  <c r="F230" i="52102"/>
  <c r="I230" i="52102"/>
  <c r="M230" i="52102" s="1"/>
  <c r="K229" i="52102"/>
  <c r="M229" i="52102" s="1"/>
  <c r="K228" i="52102"/>
  <c r="F228" i="52102"/>
  <c r="I228" i="52102" s="1"/>
  <c r="A228" i="52102"/>
  <c r="H222" i="52102"/>
  <c r="H223" i="52102"/>
  <c r="H253" i="52102" s="1"/>
  <c r="C200" i="52102"/>
  <c r="J181" i="52102"/>
  <c r="K113" i="52102"/>
  <c r="K19" i="52102"/>
  <c r="K18" i="52102"/>
  <c r="K17" i="52102"/>
  <c r="K16" i="52102"/>
  <c r="K15" i="52102"/>
  <c r="K14" i="52102"/>
  <c r="K13" i="52102"/>
  <c r="K12" i="52102"/>
  <c r="K11" i="52102"/>
  <c r="K10" i="52102"/>
  <c r="K9" i="52102"/>
  <c r="G255" i="52080"/>
  <c r="E253" i="52075" s="1"/>
  <c r="G255" i="114"/>
  <c r="C253" i="52075" s="1"/>
  <c r="H228" i="52102"/>
  <c r="M228" i="52102" s="1"/>
  <c r="G143" i="93"/>
  <c r="G179" i="77"/>
  <c r="C178" i="52104" s="1"/>
  <c r="G179" i="105"/>
  <c r="G179" i="52087"/>
  <c r="G179" i="52088"/>
  <c r="G179" i="52067"/>
  <c r="G179" i="114"/>
  <c r="G179" i="52095"/>
  <c r="G179" i="115"/>
  <c r="E178" i="52104" s="1"/>
  <c r="G179" i="20"/>
  <c r="G179" i="12"/>
  <c r="B178" i="52104"/>
  <c r="G179" i="52094"/>
  <c r="G179" i="52081"/>
  <c r="D178" i="52103" s="1"/>
  <c r="G179" i="52100"/>
  <c r="G179" i="21"/>
  <c r="G179" i="108"/>
  <c r="G179" i="52066"/>
  <c r="G179" i="52079"/>
  <c r="G179" i="32"/>
  <c r="G179" i="52064"/>
  <c r="G179" i="148"/>
  <c r="G179" i="52072"/>
  <c r="G179" i="91"/>
  <c r="E178" i="52103" s="1"/>
  <c r="G179" i="52092"/>
  <c r="C178" i="52077" s="1"/>
  <c r="G179" i="52093"/>
  <c r="D178" i="52076" s="1"/>
  <c r="G179" i="48"/>
  <c r="B178" i="52103" s="1"/>
  <c r="G179" i="52089"/>
  <c r="G179" i="52071"/>
  <c r="G179" i="52090"/>
  <c r="F88" i="20"/>
  <c r="F66" i="20"/>
  <c r="G66" i="20" s="1"/>
  <c r="D66" i="52104" s="1"/>
  <c r="F79" i="48"/>
  <c r="G79" i="48"/>
  <c r="B79" i="52103" s="1"/>
  <c r="F79" i="77"/>
  <c r="F79" i="52066"/>
  <c r="J79" i="52066" s="1"/>
  <c r="F79" i="52081"/>
  <c r="G79" i="52081"/>
  <c r="D79" i="52103"/>
  <c r="G123" i="91"/>
  <c r="E123" i="52103"/>
  <c r="K8" i="52080"/>
  <c r="F178" i="52077"/>
  <c r="F121" i="52077"/>
  <c r="F113" i="52077"/>
  <c r="F29" i="52077"/>
  <c r="F27" i="52077"/>
  <c r="F26" i="52077"/>
  <c r="F25" i="52077"/>
  <c r="F24" i="52077"/>
  <c r="F23" i="52077"/>
  <c r="D198" i="52077"/>
  <c r="C198" i="52077"/>
  <c r="B198" i="52077"/>
  <c r="D197" i="52077"/>
  <c r="C197" i="52077"/>
  <c r="B197" i="52077"/>
  <c r="D196" i="52077"/>
  <c r="C196" i="52077"/>
  <c r="B196" i="52077"/>
  <c r="D195" i="52077"/>
  <c r="C195" i="52077"/>
  <c r="B195" i="52077"/>
  <c r="D194" i="52077"/>
  <c r="C194" i="52077"/>
  <c r="B194" i="52077"/>
  <c r="D193" i="52077"/>
  <c r="C193" i="52077"/>
  <c r="B193" i="52077"/>
  <c r="D192" i="52077"/>
  <c r="C192" i="52077"/>
  <c r="B192" i="52077"/>
  <c r="D191" i="52077"/>
  <c r="C191" i="52077"/>
  <c r="B191" i="52077"/>
  <c r="D190" i="52077"/>
  <c r="C190" i="52077"/>
  <c r="B190" i="52077"/>
  <c r="D189" i="52077"/>
  <c r="C189" i="52077"/>
  <c r="B189" i="52077"/>
  <c r="D188" i="52077"/>
  <c r="C188" i="52077"/>
  <c r="B188" i="52077"/>
  <c r="D187" i="52077"/>
  <c r="C187" i="52077"/>
  <c r="B187" i="52077"/>
  <c r="D186" i="52077"/>
  <c r="C186" i="52077"/>
  <c r="B186" i="52077"/>
  <c r="D178" i="52077"/>
  <c r="B178" i="52077"/>
  <c r="D172" i="52077"/>
  <c r="D159" i="52077"/>
  <c r="C159" i="52077"/>
  <c r="B159" i="52077"/>
  <c r="D158" i="52077"/>
  <c r="C158" i="52077"/>
  <c r="B158" i="52077"/>
  <c r="D157" i="52077"/>
  <c r="C157" i="52077"/>
  <c r="B157" i="52077"/>
  <c r="D156" i="52077"/>
  <c r="C156" i="52077"/>
  <c r="B156" i="52077"/>
  <c r="C140" i="52077"/>
  <c r="B140" i="52077"/>
  <c r="C139" i="52077"/>
  <c r="B139" i="52077"/>
  <c r="C138" i="52077"/>
  <c r="B138" i="52077"/>
  <c r="C137" i="52077"/>
  <c r="B137" i="52077"/>
  <c r="C136" i="52077"/>
  <c r="B136" i="52077"/>
  <c r="C135" i="52077"/>
  <c r="B135" i="52077"/>
  <c r="C134" i="52077"/>
  <c r="B134" i="52077"/>
  <c r="C133" i="52077"/>
  <c r="B133" i="52077"/>
  <c r="D132" i="52077"/>
  <c r="C132" i="52077"/>
  <c r="B132" i="52077"/>
  <c r="D131" i="52077"/>
  <c r="C131" i="52077"/>
  <c r="B131" i="52077"/>
  <c r="D124" i="52077"/>
  <c r="C124" i="52077"/>
  <c r="B124" i="52077"/>
  <c r="D123" i="52077"/>
  <c r="C123" i="52077"/>
  <c r="B123" i="52077"/>
  <c r="D113" i="52077"/>
  <c r="C113" i="52077"/>
  <c r="B113" i="52077"/>
  <c r="B109" i="52077"/>
  <c r="D108" i="52077"/>
  <c r="C108" i="52077"/>
  <c r="B108" i="52077"/>
  <c r="D106" i="52077"/>
  <c r="B106" i="52077"/>
  <c r="B96" i="52077"/>
  <c r="D61" i="52077"/>
  <c r="C61" i="52077"/>
  <c r="B61" i="52077"/>
  <c r="D57" i="52077"/>
  <c r="C57" i="52077"/>
  <c r="B57" i="52077"/>
  <c r="D56" i="52077"/>
  <c r="C56" i="52077"/>
  <c r="B56" i="52077"/>
  <c r="D49" i="52077"/>
  <c r="C49" i="52077"/>
  <c r="D40" i="52077"/>
  <c r="C40" i="52077"/>
  <c r="B40" i="52077"/>
  <c r="D39" i="52077"/>
  <c r="C39" i="52077"/>
  <c r="B39" i="52077"/>
  <c r="D38" i="52077"/>
  <c r="C38" i="52077"/>
  <c r="B38" i="52077"/>
  <c r="D37" i="52077"/>
  <c r="C37" i="52077"/>
  <c r="B37" i="52077"/>
  <c r="D29" i="52077"/>
  <c r="C29" i="52077"/>
  <c r="B29" i="52077"/>
  <c r="D27" i="52077"/>
  <c r="C27" i="52077"/>
  <c r="B27" i="52077"/>
  <c r="D26" i="52077"/>
  <c r="C26" i="52077"/>
  <c r="B26" i="52077"/>
  <c r="D25" i="52077"/>
  <c r="C25" i="52077"/>
  <c r="B25" i="52077"/>
  <c r="D23" i="52077"/>
  <c r="C23" i="52077"/>
  <c r="B23" i="52077"/>
  <c r="C16" i="52077"/>
  <c r="D15" i="52077"/>
  <c r="C15" i="52077"/>
  <c r="B15" i="52077"/>
  <c r="C14" i="52077"/>
  <c r="B14" i="52077"/>
  <c r="B11" i="52077"/>
  <c r="B9" i="52077"/>
  <c r="D8" i="52077"/>
  <c r="C8" i="52077"/>
  <c r="B8" i="52077"/>
  <c r="H198" i="52077"/>
  <c r="H197" i="52077"/>
  <c r="H196" i="52077"/>
  <c r="H195" i="52077"/>
  <c r="H194" i="52077"/>
  <c r="H193" i="52077"/>
  <c r="H192" i="52077"/>
  <c r="H191" i="52077"/>
  <c r="H190" i="52077"/>
  <c r="H189" i="52077"/>
  <c r="H188" i="52077"/>
  <c r="H187" i="52077"/>
  <c r="H186" i="52077"/>
  <c r="H159" i="52077"/>
  <c r="H158" i="52077"/>
  <c r="H157" i="52077"/>
  <c r="H156" i="52077"/>
  <c r="H132" i="52077"/>
  <c r="H131" i="52077"/>
  <c r="H124" i="52077"/>
  <c r="H123" i="52077"/>
  <c r="H113" i="52077"/>
  <c r="H108" i="52077"/>
  <c r="H57" i="52077"/>
  <c r="H56" i="52077"/>
  <c r="H40" i="52077"/>
  <c r="H39" i="52077"/>
  <c r="H38" i="52077"/>
  <c r="H37" i="52077"/>
  <c r="H29" i="52077"/>
  <c r="H27" i="52077"/>
  <c r="H26" i="52077"/>
  <c r="H25" i="52077"/>
  <c r="H23" i="52077"/>
  <c r="H15" i="52077"/>
  <c r="H8" i="52077"/>
  <c r="H24" i="32"/>
  <c r="G121" i="52071"/>
  <c r="F86" i="93"/>
  <c r="F123" i="52100"/>
  <c r="G123" i="52100" s="1"/>
  <c r="B123" i="52102" s="1"/>
  <c r="F182" i="52100"/>
  <c r="F151" i="52100"/>
  <c r="F89" i="52100"/>
  <c r="G79" i="77"/>
  <c r="C79" i="52104"/>
  <c r="D106" i="52064"/>
  <c r="D107" i="52064"/>
  <c r="D108" i="52064"/>
  <c r="D109" i="52064"/>
  <c r="D110" i="52064"/>
  <c r="D111" i="52064"/>
  <c r="D112" i="52064"/>
  <c r="D113" i="52064"/>
  <c r="D114" i="52064"/>
  <c r="D105" i="52064"/>
  <c r="F157" i="93"/>
  <c r="F182" i="148"/>
  <c r="F89" i="148"/>
  <c r="F65" i="148"/>
  <c r="F89" i="105"/>
  <c r="F65" i="105"/>
  <c r="F89" i="108"/>
  <c r="F65" i="108"/>
  <c r="F89" i="52087"/>
  <c r="F65" i="52087"/>
  <c r="F89" i="52088"/>
  <c r="F65" i="52088"/>
  <c r="F89" i="101"/>
  <c r="F65" i="101"/>
  <c r="F182" i="52067"/>
  <c r="F89" i="52067"/>
  <c r="F182" i="52079"/>
  <c r="F89" i="52079"/>
  <c r="F89" i="52071"/>
  <c r="F65" i="52071"/>
  <c r="F89" i="114"/>
  <c r="F65" i="114"/>
  <c r="F182" i="115"/>
  <c r="F89" i="115"/>
  <c r="F65" i="115"/>
  <c r="F182" i="20"/>
  <c r="F89" i="20"/>
  <c r="F65" i="20"/>
  <c r="F182" i="12"/>
  <c r="F89" i="12"/>
  <c r="F182" i="77"/>
  <c r="F89" i="77"/>
  <c r="F65" i="77"/>
  <c r="F182" i="52089"/>
  <c r="F89" i="52089"/>
  <c r="F65" i="52089"/>
  <c r="F182" i="52090"/>
  <c r="F89" i="52090"/>
  <c r="F65" i="52090"/>
  <c r="F182" i="52092"/>
  <c r="F89" i="52092"/>
  <c r="F65" i="52092"/>
  <c r="F89" i="52093"/>
  <c r="F65" i="52093"/>
  <c r="F182" i="52094"/>
  <c r="F89" i="52094"/>
  <c r="F65" i="52094"/>
  <c r="F182" i="52095"/>
  <c r="F89" i="52095"/>
  <c r="F65" i="52095"/>
  <c r="F182" i="52080"/>
  <c r="F89" i="52080"/>
  <c r="F65" i="52080"/>
  <c r="F182" i="32"/>
  <c r="F89" i="32"/>
  <c r="F65" i="32"/>
  <c r="F89" i="91"/>
  <c r="F65" i="91"/>
  <c r="F182" i="48"/>
  <c r="F89" i="48"/>
  <c r="F65" i="48"/>
  <c r="F182" i="52066"/>
  <c r="F89" i="52066"/>
  <c r="F65" i="52066"/>
  <c r="F182" i="52072"/>
  <c r="F89" i="52072"/>
  <c r="F182" i="52081"/>
  <c r="F89" i="52081"/>
  <c r="G89" i="52103" s="1"/>
  <c r="K89" i="52103" s="1"/>
  <c r="F65" i="52081"/>
  <c r="G65" i="52103"/>
  <c r="K65" i="52103" s="1"/>
  <c r="F182" i="21"/>
  <c r="F89" i="21"/>
  <c r="F65" i="21"/>
  <c r="F182" i="52064"/>
  <c r="F89" i="52064"/>
  <c r="F65" i="52064"/>
  <c r="F199" i="52099"/>
  <c r="F198" i="52099"/>
  <c r="F197" i="52099"/>
  <c r="F196" i="52099"/>
  <c r="F195" i="52099"/>
  <c r="F194" i="52099"/>
  <c r="F193" i="52099"/>
  <c r="F192" i="52099"/>
  <c r="F191" i="52099"/>
  <c r="F190" i="52099"/>
  <c r="F189" i="52099"/>
  <c r="F188" i="52099"/>
  <c r="F187" i="52099"/>
  <c r="F183" i="52099"/>
  <c r="F182" i="52099"/>
  <c r="F181" i="52099"/>
  <c r="F180" i="52099"/>
  <c r="F178" i="52099"/>
  <c r="G178" i="52099" s="1"/>
  <c r="F177" i="52099"/>
  <c r="F176" i="52099"/>
  <c r="F175" i="52099"/>
  <c r="F174" i="52099"/>
  <c r="F171" i="52099"/>
  <c r="F166" i="52099"/>
  <c r="G166" i="52099" s="1"/>
  <c r="F165" i="52099"/>
  <c r="F164" i="52099"/>
  <c r="G164" i="52099" s="1"/>
  <c r="F163" i="52099"/>
  <c r="F162" i="52099"/>
  <c r="G162" i="52099" s="1"/>
  <c r="F161" i="52099"/>
  <c r="F160" i="52099"/>
  <c r="G160" i="52099" s="1"/>
  <c r="F159" i="52099"/>
  <c r="F152" i="52099"/>
  <c r="F151" i="52099"/>
  <c r="F150" i="52099"/>
  <c r="G150" i="52099" s="1"/>
  <c r="F149" i="52099"/>
  <c r="F148" i="52099"/>
  <c r="G148" i="52099" s="1"/>
  <c r="F147" i="52099"/>
  <c r="F146" i="52099"/>
  <c r="G146" i="52099" s="1"/>
  <c r="F145" i="52099"/>
  <c r="F144" i="52099"/>
  <c r="F143" i="52099"/>
  <c r="F142" i="52099"/>
  <c r="F141" i="52099"/>
  <c r="F140" i="52099"/>
  <c r="F139" i="52099"/>
  <c r="F138" i="52099"/>
  <c r="F137" i="52099"/>
  <c r="F136" i="52099"/>
  <c r="F135" i="52099"/>
  <c r="F134" i="52099"/>
  <c r="F133" i="52099"/>
  <c r="F132" i="52099"/>
  <c r="G132" i="52099" s="1"/>
  <c r="F125" i="52099"/>
  <c r="F124" i="52099"/>
  <c r="F123" i="52099"/>
  <c r="F114" i="52099"/>
  <c r="F112" i="52099"/>
  <c r="F110" i="52099"/>
  <c r="F109" i="52099"/>
  <c r="F108" i="52099"/>
  <c r="F107" i="52099"/>
  <c r="F66" i="52099"/>
  <c r="F49" i="52099"/>
  <c r="F19" i="52099"/>
  <c r="G19" i="52099" s="1"/>
  <c r="F19" i="52082" s="1"/>
  <c r="F18" i="52099"/>
  <c r="F17" i="52099"/>
  <c r="G17" i="52099" s="1"/>
  <c r="F17" i="52082" s="1"/>
  <c r="F16" i="52099"/>
  <c r="F15" i="52099"/>
  <c r="G15" i="52099" s="1"/>
  <c r="F15" i="52082" s="1"/>
  <c r="F14" i="52099"/>
  <c r="F13" i="52099"/>
  <c r="G13" i="52099" s="1"/>
  <c r="F13" i="52082" s="1"/>
  <c r="F12" i="52099"/>
  <c r="F11" i="52099"/>
  <c r="G11" i="52099" s="1"/>
  <c r="F11" i="52082" s="1"/>
  <c r="F10" i="52099"/>
  <c r="F9" i="52099"/>
  <c r="G9" i="52099" s="1"/>
  <c r="F9" i="52082" s="1"/>
  <c r="G116" i="52091"/>
  <c r="H152" i="52091"/>
  <c r="H24" i="52100"/>
  <c r="H24" i="52081"/>
  <c r="H24" i="52072"/>
  <c r="H24" i="52066"/>
  <c r="H24" i="48"/>
  <c r="H24" i="91"/>
  <c r="H24" i="52080"/>
  <c r="H24" i="52095"/>
  <c r="H24" i="52094"/>
  <c r="H24" i="52093"/>
  <c r="H24" i="52092"/>
  <c r="H24" i="52091"/>
  <c r="H24" i="52090"/>
  <c r="H24" i="77"/>
  <c r="H24" i="12"/>
  <c r="H24" i="20"/>
  <c r="H24" i="115"/>
  <c r="H24" i="114"/>
  <c r="H24" i="52089"/>
  <c r="F60" i="21"/>
  <c r="G123" i="32"/>
  <c r="G123" i="52089"/>
  <c r="G123" i="52081"/>
  <c r="I123" i="52103"/>
  <c r="G123" i="52071"/>
  <c r="G123" i="52067"/>
  <c r="G123" i="20"/>
  <c r="G122" i="148"/>
  <c r="G79" i="148"/>
  <c r="F79" i="148"/>
  <c r="G79" i="21"/>
  <c r="F79" i="21"/>
  <c r="G79" i="91"/>
  <c r="I79" i="52103"/>
  <c r="F79" i="91"/>
  <c r="F79" i="52067"/>
  <c r="G79" i="52067"/>
  <c r="G79" i="52087"/>
  <c r="F79" i="52087"/>
  <c r="F79" i="12"/>
  <c r="G79" i="12" s="1"/>
  <c r="G79" i="52090"/>
  <c r="F79" i="52090"/>
  <c r="F79" i="114"/>
  <c r="G79" i="114" s="1"/>
  <c r="F79" i="105"/>
  <c r="G79" i="105" s="1"/>
  <c r="G79" i="32"/>
  <c r="E79" i="52102" s="1"/>
  <c r="F79" i="32"/>
  <c r="G79" i="52094"/>
  <c r="B79" i="52077"/>
  <c r="F79" i="52094"/>
  <c r="G79" i="20"/>
  <c r="D79" i="52104" s="1"/>
  <c r="F79" i="20"/>
  <c r="G122" i="20"/>
  <c r="D122" i="52104" s="1"/>
  <c r="G79" i="52064"/>
  <c r="F79" i="52064"/>
  <c r="F122" i="115"/>
  <c r="G122" i="115"/>
  <c r="E122" i="52104" s="1"/>
  <c r="G79" i="115"/>
  <c r="E79" i="52104" s="1"/>
  <c r="F79" i="115"/>
  <c r="G79" i="101"/>
  <c r="F79" i="101"/>
  <c r="G79" i="52093"/>
  <c r="D79" i="52076" s="1"/>
  <c r="F79" i="52093"/>
  <c r="G79" i="52072"/>
  <c r="D79" i="52102" s="1"/>
  <c r="F79" i="52072"/>
  <c r="G79" i="52092"/>
  <c r="C79" i="52077"/>
  <c r="F79" i="52092"/>
  <c r="G79" i="108"/>
  <c r="F79" i="108"/>
  <c r="G45" i="93"/>
  <c r="F45" i="93"/>
  <c r="F79" i="52099"/>
  <c r="G79" i="52099"/>
  <c r="F79" i="52071"/>
  <c r="G79" i="52071" s="1"/>
  <c r="K79" i="52098" s="1"/>
  <c r="F79" i="52089"/>
  <c r="G79" i="52100"/>
  <c r="I79" i="52102" s="1"/>
  <c r="F79" i="52100"/>
  <c r="F79" i="52080"/>
  <c r="G79" i="52080" s="1"/>
  <c r="G79" i="52088"/>
  <c r="F79" i="52088"/>
  <c r="G79" i="52095"/>
  <c r="F79" i="52095"/>
  <c r="G79" i="52079"/>
  <c r="F79" i="52079"/>
  <c r="K79" i="52079"/>
  <c r="G65" i="52099"/>
  <c r="F6" i="52099"/>
  <c r="C173" i="52099"/>
  <c r="F173" i="52099" s="1"/>
  <c r="C207" i="52099"/>
  <c r="C8" i="52099"/>
  <c r="C170" i="52099"/>
  <c r="C118" i="52099"/>
  <c r="C99" i="52099"/>
  <c r="C93" i="52099"/>
  <c r="C35" i="52099"/>
  <c r="C24" i="52099"/>
  <c r="C73" i="52099"/>
  <c r="F73" i="52099" s="1"/>
  <c r="D207" i="52099"/>
  <c r="D188" i="52099"/>
  <c r="D189" i="52099"/>
  <c r="G189" i="52099"/>
  <c r="D190" i="52099"/>
  <c r="G190" i="52099"/>
  <c r="D191" i="52099"/>
  <c r="G191" i="52099"/>
  <c r="D192" i="52099"/>
  <c r="G192" i="52099"/>
  <c r="D193" i="52099"/>
  <c r="G193" i="52099"/>
  <c r="D194" i="52099"/>
  <c r="G194" i="52099"/>
  <c r="D195" i="52099"/>
  <c r="G195" i="52099"/>
  <c r="D196" i="52099"/>
  <c r="G196" i="52099"/>
  <c r="D197" i="52099"/>
  <c r="G197" i="52099"/>
  <c r="D198" i="52099"/>
  <c r="G198" i="52099"/>
  <c r="D199" i="52099"/>
  <c r="G199" i="52099"/>
  <c r="D187" i="52099"/>
  <c r="G187" i="52099"/>
  <c r="D171" i="52099"/>
  <c r="G171" i="52099"/>
  <c r="D172" i="52099"/>
  <c r="D173" i="52099"/>
  <c r="D174" i="52099"/>
  <c r="D175" i="52099"/>
  <c r="D176" i="52099"/>
  <c r="D177" i="52099"/>
  <c r="G177" i="52099"/>
  <c r="D178" i="52099"/>
  <c r="D179" i="52099"/>
  <c r="D180" i="52099"/>
  <c r="G180" i="52099"/>
  <c r="D181" i="52099"/>
  <c r="G181" i="52099"/>
  <c r="D182" i="52099"/>
  <c r="G182" i="52099"/>
  <c r="D183" i="52099"/>
  <c r="G183" i="52099"/>
  <c r="D170" i="52099"/>
  <c r="D157" i="52099"/>
  <c r="G157" i="52099"/>
  <c r="D158" i="52099"/>
  <c r="G158" i="52099"/>
  <c r="D159" i="52099"/>
  <c r="G159" i="52099"/>
  <c r="D160" i="52099"/>
  <c r="D161" i="52099"/>
  <c r="G161" i="52099"/>
  <c r="D162" i="52099"/>
  <c r="D163" i="52099"/>
  <c r="G163" i="52099"/>
  <c r="D164" i="52099"/>
  <c r="D165" i="52099"/>
  <c r="G165" i="52099"/>
  <c r="D166" i="52099"/>
  <c r="D156" i="52099"/>
  <c r="D212" i="52099"/>
  <c r="D213" i="52099"/>
  <c r="D211" i="52099"/>
  <c r="D132" i="52099"/>
  <c r="D133" i="52099"/>
  <c r="G133" i="52099"/>
  <c r="D134" i="52099"/>
  <c r="D135" i="52099"/>
  <c r="D136" i="52099"/>
  <c r="D137" i="52099"/>
  <c r="D138" i="52099"/>
  <c r="D139" i="52099"/>
  <c r="G139" i="52099"/>
  <c r="D140" i="52099"/>
  <c r="G140" i="52099"/>
  <c r="D141" i="52099"/>
  <c r="D142" i="52099"/>
  <c r="D143" i="52099"/>
  <c r="D144" i="52099"/>
  <c r="D145" i="52099"/>
  <c r="D146" i="52099"/>
  <c r="D147" i="52099"/>
  <c r="G147" i="52099"/>
  <c r="D148" i="52099"/>
  <c r="D149" i="52099"/>
  <c r="G149" i="52099"/>
  <c r="D150" i="52099"/>
  <c r="D151" i="52099"/>
  <c r="D152" i="52099"/>
  <c r="G152" i="52099"/>
  <c r="D131" i="52099"/>
  <c r="J131" i="52099"/>
  <c r="D119" i="52099"/>
  <c r="D120" i="52099"/>
  <c r="D121" i="52099"/>
  <c r="G121" i="52099"/>
  <c r="D122" i="52099"/>
  <c r="D123" i="52099"/>
  <c r="D124" i="52099"/>
  <c r="G124" i="52099"/>
  <c r="D125" i="52099"/>
  <c r="G125" i="52099"/>
  <c r="D126" i="52099"/>
  <c r="D127" i="52099"/>
  <c r="D118" i="52099"/>
  <c r="D106" i="52099"/>
  <c r="F106" i="52082"/>
  <c r="D107" i="52099"/>
  <c r="D108" i="52099"/>
  <c r="G108" i="52099"/>
  <c r="F108" i="52082" s="1"/>
  <c r="D109" i="52099"/>
  <c r="D110" i="52099"/>
  <c r="D111" i="52099"/>
  <c r="D112" i="52099"/>
  <c r="G112" i="52099"/>
  <c r="F112" i="52082" s="1"/>
  <c r="D113" i="52099"/>
  <c r="D114" i="52099"/>
  <c r="D105" i="52099"/>
  <c r="D73" i="52099"/>
  <c r="D74" i="52099"/>
  <c r="G74" i="52099"/>
  <c r="D75" i="52099"/>
  <c r="D76" i="52099"/>
  <c r="G76" i="52099"/>
  <c r="D77" i="52099"/>
  <c r="D78" i="52099"/>
  <c r="G78" i="52099"/>
  <c r="F78" i="52082"/>
  <c r="D79" i="52099"/>
  <c r="D80" i="52099"/>
  <c r="G80" i="52099"/>
  <c r="F80" i="52082"/>
  <c r="D81" i="52099"/>
  <c r="D82" i="52099"/>
  <c r="D83" i="52099"/>
  <c r="D84" i="52099"/>
  <c r="D85" i="52099"/>
  <c r="D86" i="52099"/>
  <c r="F86" i="52082"/>
  <c r="D87" i="52099"/>
  <c r="D88" i="52099"/>
  <c r="G88" i="52099"/>
  <c r="D89" i="52099"/>
  <c r="D90" i="52099"/>
  <c r="D91" i="52099"/>
  <c r="D92" i="52099"/>
  <c r="G92" i="52099"/>
  <c r="F92" i="52082"/>
  <c r="D93" i="52099"/>
  <c r="D94" i="52099"/>
  <c r="G94" i="52099"/>
  <c r="D95" i="52099"/>
  <c r="D96" i="52099"/>
  <c r="D97" i="52099"/>
  <c r="D98" i="52099"/>
  <c r="G98" i="52099"/>
  <c r="F98" i="52082" s="1"/>
  <c r="D99" i="52099"/>
  <c r="D100" i="52099"/>
  <c r="G100" i="52099"/>
  <c r="D101" i="52099"/>
  <c r="D72" i="52099"/>
  <c r="G72" i="52099"/>
  <c r="D65" i="52099"/>
  <c r="D66" i="52099"/>
  <c r="G66" i="52099"/>
  <c r="F66" i="52082" s="1"/>
  <c r="D67" i="52099"/>
  <c r="G67" i="52099"/>
  <c r="D68" i="52099"/>
  <c r="G68" i="52099"/>
  <c r="D64" i="52099"/>
  <c r="D28" i="52099"/>
  <c r="D9" i="52099"/>
  <c r="D10" i="52099"/>
  <c r="D11" i="52099"/>
  <c r="D12" i="52099"/>
  <c r="D13" i="52099"/>
  <c r="D14" i="52099"/>
  <c r="D15" i="52099"/>
  <c r="D16" i="52099"/>
  <c r="D17" i="52099"/>
  <c r="D18" i="52099"/>
  <c r="D19" i="52099"/>
  <c r="D8" i="52099"/>
  <c r="I24" i="52099"/>
  <c r="J24" i="52099"/>
  <c r="I25" i="52099"/>
  <c r="J25" i="52099"/>
  <c r="I26" i="52099"/>
  <c r="J26" i="52099"/>
  <c r="I27" i="52099"/>
  <c r="J27" i="52099"/>
  <c r="I28" i="52099"/>
  <c r="J28" i="52099"/>
  <c r="I29" i="52099"/>
  <c r="J29" i="52099"/>
  <c r="J23" i="52099"/>
  <c r="I23" i="52099"/>
  <c r="E212" i="52099"/>
  <c r="E211" i="52099"/>
  <c r="E207" i="52099"/>
  <c r="B151" i="111"/>
  <c r="C151" i="111"/>
  <c r="D151" i="111"/>
  <c r="E151" i="111"/>
  <c r="F151" i="111"/>
  <c r="G151" i="111"/>
  <c r="H151" i="111"/>
  <c r="J151" i="111"/>
  <c r="K151" i="111"/>
  <c r="L151" i="111"/>
  <c r="M151" i="111"/>
  <c r="N151" i="111"/>
  <c r="O151" i="111"/>
  <c r="S151" i="111" s="1"/>
  <c r="B151" i="52097"/>
  <c r="C151" i="52097"/>
  <c r="D151" i="52097"/>
  <c r="E151" i="52097"/>
  <c r="F151" i="52097"/>
  <c r="G151" i="52097"/>
  <c r="H151" i="52097"/>
  <c r="I151" i="52097"/>
  <c r="J151" i="52097"/>
  <c r="L151" i="52097"/>
  <c r="P151" i="52097" s="1"/>
  <c r="B151" i="9"/>
  <c r="C151" i="9"/>
  <c r="D151" i="9"/>
  <c r="E151" i="9"/>
  <c r="H151" i="9"/>
  <c r="I151" i="9"/>
  <c r="B151" i="110"/>
  <c r="C151" i="110"/>
  <c r="D151" i="110"/>
  <c r="E151" i="110"/>
  <c r="F151" i="110"/>
  <c r="G151" i="110"/>
  <c r="I151" i="110"/>
  <c r="M151" i="110" s="1"/>
  <c r="F182" i="52091"/>
  <c r="F151" i="52091"/>
  <c r="P151" i="111" s="1"/>
  <c r="T151" i="111" s="1"/>
  <c r="F89" i="52091"/>
  <c r="F65" i="52091"/>
  <c r="D46" i="52096"/>
  <c r="E46" i="52096"/>
  <c r="C46" i="52096"/>
  <c r="E44" i="52096"/>
  <c r="D44" i="52096"/>
  <c r="E29" i="52096"/>
  <c r="D29" i="52096"/>
  <c r="E20" i="52096"/>
  <c r="D20" i="52096"/>
  <c r="E8" i="52096"/>
  <c r="D8" i="52096"/>
  <c r="C31" i="52096"/>
  <c r="C32" i="52096"/>
  <c r="C33" i="52096"/>
  <c r="C34" i="52096"/>
  <c r="C35" i="52096"/>
  <c r="C36" i="52096"/>
  <c r="C37" i="52096"/>
  <c r="I37" i="52096" s="1"/>
  <c r="C38" i="52096"/>
  <c r="C39" i="52096"/>
  <c r="C40" i="52096"/>
  <c r="C41" i="52096"/>
  <c r="C42" i="52096"/>
  <c r="C30" i="52096"/>
  <c r="C43" i="52096" s="1"/>
  <c r="C27" i="52096"/>
  <c r="C10" i="52096"/>
  <c r="C11" i="52096"/>
  <c r="C12" i="52096"/>
  <c r="C13" i="52096"/>
  <c r="C14" i="52096"/>
  <c r="C15" i="52096"/>
  <c r="C16" i="52096"/>
  <c r="C17" i="52096"/>
  <c r="C9" i="52096"/>
  <c r="E37" i="52096"/>
  <c r="D37" i="52096"/>
  <c r="C21" i="52096"/>
  <c r="C23" i="52096"/>
  <c r="C24" i="52096"/>
  <c r="C25" i="52096"/>
  <c r="C6" i="52096"/>
  <c r="C26" i="52096"/>
  <c r="C5" i="52096"/>
  <c r="C7" i="52096" s="1"/>
  <c r="C22" i="52096"/>
  <c r="D34" i="52096"/>
  <c r="E10" i="52096"/>
  <c r="D22" i="52096"/>
  <c r="D33" i="52096"/>
  <c r="D38" i="52096"/>
  <c r="E14" i="52096"/>
  <c r="E33" i="52096"/>
  <c r="E39" i="52096"/>
  <c r="E41" i="52096"/>
  <c r="E13" i="52096"/>
  <c r="E32" i="52096"/>
  <c r="D11" i="52096"/>
  <c r="E12" i="52096"/>
  <c r="E15" i="52096"/>
  <c r="E17" i="52096"/>
  <c r="D31" i="52096"/>
  <c r="E36" i="52096"/>
  <c r="D26" i="52096"/>
  <c r="E35" i="52096"/>
  <c r="E31" i="52096"/>
  <c r="D35" i="52096"/>
  <c r="D15" i="52096"/>
  <c r="E42" i="52096"/>
  <c r="E30" i="52096"/>
  <c r="E5" i="52096"/>
  <c r="D30" i="52096"/>
  <c r="D9" i="52096"/>
  <c r="E21" i="52096"/>
  <c r="D5" i="52096"/>
  <c r="E9" i="52096"/>
  <c r="D21" i="52096"/>
  <c r="D13" i="52096"/>
  <c r="D40" i="52096"/>
  <c r="E11" i="52096"/>
  <c r="D32" i="52096"/>
  <c r="D16" i="52096"/>
  <c r="D17" i="52096"/>
  <c r="E34" i="52096"/>
  <c r="D25" i="52096"/>
  <c r="E40" i="52096"/>
  <c r="D41" i="52096"/>
  <c r="E23" i="52096"/>
  <c r="E27" i="52096"/>
  <c r="D24" i="52096"/>
  <c r="E26" i="52096"/>
  <c r="E24" i="52096"/>
  <c r="E38" i="52096"/>
  <c r="E6" i="52096"/>
  <c r="D36" i="52096"/>
  <c r="E22" i="52096"/>
  <c r="D6" i="52096"/>
  <c r="E25" i="52096"/>
  <c r="D42" i="52096"/>
  <c r="D23" i="52096"/>
  <c r="D14" i="52096"/>
  <c r="D39" i="52096"/>
  <c r="D10" i="52096"/>
  <c r="D27" i="52096"/>
  <c r="D12" i="52096"/>
  <c r="E16" i="52096"/>
  <c r="G151" i="52082"/>
  <c r="B151" i="52082"/>
  <c r="C151" i="52082"/>
  <c r="D151" i="52082"/>
  <c r="E151" i="52082"/>
  <c r="L152" i="52082"/>
  <c r="K152" i="52082"/>
  <c r="F255" i="52082"/>
  <c r="F179" i="52082"/>
  <c r="F61" i="52082"/>
  <c r="F60" i="52082"/>
  <c r="F235" i="52082" s="1"/>
  <c r="F57" i="52082"/>
  <c r="F56" i="52082"/>
  <c r="F42" i="52082"/>
  <c r="F41" i="52082"/>
  <c r="F40" i="52082"/>
  <c r="F39" i="52082"/>
  <c r="F38" i="52082"/>
  <c r="F37" i="52082"/>
  <c r="F36" i="52082"/>
  <c r="F35" i="52082"/>
  <c r="F29" i="52082"/>
  <c r="F28" i="52082"/>
  <c r="F27" i="52082"/>
  <c r="F26" i="52082"/>
  <c r="F25" i="52082"/>
  <c r="F24" i="52082"/>
  <c r="F23" i="52082"/>
  <c r="G113" i="108"/>
  <c r="D11" i="93"/>
  <c r="G164" i="52078"/>
  <c r="G158" i="52078"/>
  <c r="G159" i="52078"/>
  <c r="G160" i="52078"/>
  <c r="G161" i="52078"/>
  <c r="G162" i="52078"/>
  <c r="G163" i="52078"/>
  <c r="G49" i="52078"/>
  <c r="G50" i="52078"/>
  <c r="G51" i="52078"/>
  <c r="G52" i="52078"/>
  <c r="G53" i="52078"/>
  <c r="G54" i="52078"/>
  <c r="G55" i="52078"/>
  <c r="G56" i="52078"/>
  <c r="G57" i="52078"/>
  <c r="G58" i="52078"/>
  <c r="G60" i="52078"/>
  <c r="F8" i="114"/>
  <c r="G61" i="52078"/>
  <c r="G62" i="52078"/>
  <c r="G63" i="52078"/>
  <c r="G64" i="52078"/>
  <c r="G65" i="52078"/>
  <c r="G66" i="52078"/>
  <c r="G67" i="52078"/>
  <c r="F8" i="20"/>
  <c r="G68" i="52078"/>
  <c r="G69" i="52078"/>
  <c r="G70" i="52078"/>
  <c r="G71" i="52078"/>
  <c r="F8" i="115" s="1"/>
  <c r="G72" i="52078"/>
  <c r="G73" i="52078"/>
  <c r="G74" i="52078"/>
  <c r="G75" i="52078"/>
  <c r="G76" i="52078"/>
  <c r="F8" i="12" s="1"/>
  <c r="G77" i="52078"/>
  <c r="G78" i="52078"/>
  <c r="G79" i="52078"/>
  <c r="G80" i="52078"/>
  <c r="F8" i="77"/>
  <c r="G81" i="52078"/>
  <c r="G82" i="52078"/>
  <c r="G83" i="52078"/>
  <c r="G84" i="52078"/>
  <c r="G85" i="52078"/>
  <c r="F8" i="52089"/>
  <c r="G86" i="52078"/>
  <c r="G87" i="52078"/>
  <c r="G88" i="52078"/>
  <c r="G89" i="52078"/>
  <c r="G90" i="52078"/>
  <c r="F8" i="52090"/>
  <c r="G91" i="52078"/>
  <c r="G92" i="52078"/>
  <c r="G93" i="52078"/>
  <c r="G94" i="52078"/>
  <c r="G95" i="52078"/>
  <c r="F8" i="52093"/>
  <c r="G96" i="52078"/>
  <c r="G97" i="52078"/>
  <c r="G98" i="52078"/>
  <c r="G99" i="52078"/>
  <c r="G100" i="52078"/>
  <c r="F8" i="52092"/>
  <c r="G101" i="52078"/>
  <c r="G102" i="52078"/>
  <c r="G103" i="52078"/>
  <c r="G104" i="52078"/>
  <c r="G105" i="52078"/>
  <c r="G106" i="52078"/>
  <c r="G107" i="52078"/>
  <c r="F8" i="52094"/>
  <c r="F8" i="52077" s="1"/>
  <c r="G108" i="52078"/>
  <c r="G109" i="52078"/>
  <c r="G110" i="52078"/>
  <c r="G111" i="52078"/>
  <c r="F8" i="52095" s="1"/>
  <c r="G112" i="52078"/>
  <c r="G113" i="52078"/>
  <c r="G114" i="52078"/>
  <c r="G115" i="52078"/>
  <c r="G116" i="52078"/>
  <c r="G117" i="52078"/>
  <c r="G118" i="52078"/>
  <c r="G119" i="52078"/>
  <c r="G120" i="52078"/>
  <c r="F8" i="52080" s="1"/>
  <c r="G121" i="52078"/>
  <c r="G122" i="52078"/>
  <c r="G123" i="52078"/>
  <c r="G124" i="52078"/>
  <c r="G126" i="52078"/>
  <c r="F8" i="32" s="1"/>
  <c r="G127" i="52078"/>
  <c r="G128" i="52078"/>
  <c r="G129" i="52078"/>
  <c r="G130" i="52078"/>
  <c r="G131" i="52078"/>
  <c r="G132" i="52078"/>
  <c r="G133" i="52078"/>
  <c r="G134" i="52078"/>
  <c r="F8" i="91" s="1"/>
  <c r="G135" i="52078"/>
  <c r="G136" i="52078"/>
  <c r="G137" i="52078"/>
  <c r="G138" i="52078"/>
  <c r="G139" i="52078"/>
  <c r="G140" i="52078"/>
  <c r="F8" i="48" s="1"/>
  <c r="G141" i="52078"/>
  <c r="G142" i="52078"/>
  <c r="G143" i="52078"/>
  <c r="G144" i="52078"/>
  <c r="G145" i="52078"/>
  <c r="G146" i="52078"/>
  <c r="F8" i="52066"/>
  <c r="G147" i="52078"/>
  <c r="G148" i="52078"/>
  <c r="G149" i="52078"/>
  <c r="G150" i="52078"/>
  <c r="F8" i="52072" s="1"/>
  <c r="G151" i="52078"/>
  <c r="G152" i="52078"/>
  <c r="G153" i="52078"/>
  <c r="G154" i="52078"/>
  <c r="G155" i="52078"/>
  <c r="G156" i="52078"/>
  <c r="G157" i="52078"/>
  <c r="F8" i="52081" s="1"/>
  <c r="G165" i="52078"/>
  <c r="G166" i="52078"/>
  <c r="G167" i="52078"/>
  <c r="G168" i="52078"/>
  <c r="G170" i="52078"/>
  <c r="G172" i="52078"/>
  <c r="G173" i="52078"/>
  <c r="G174" i="52078"/>
  <c r="G175" i="52078"/>
  <c r="G176" i="52078"/>
  <c r="G177" i="52078"/>
  <c r="G178" i="52078"/>
  <c r="G179" i="52078"/>
  <c r="G180" i="52078"/>
  <c r="G181" i="52078"/>
  <c r="G182" i="52078"/>
  <c r="G183" i="52078"/>
  <c r="G184" i="52078"/>
  <c r="G185" i="52078"/>
  <c r="G186" i="52078"/>
  <c r="G187" i="52078"/>
  <c r="G188" i="52078"/>
  <c r="G189" i="52078"/>
  <c r="G190" i="52078"/>
  <c r="G191" i="52078"/>
  <c r="G192" i="52078"/>
  <c r="G193" i="52078"/>
  <c r="G195" i="52078"/>
  <c r="G196" i="52078"/>
  <c r="G197" i="52078"/>
  <c r="G198" i="52078"/>
  <c r="G199" i="52078"/>
  <c r="G200" i="52078"/>
  <c r="G201" i="52078"/>
  <c r="G202" i="52078"/>
  <c r="G203" i="52078"/>
  <c r="G205" i="52078"/>
  <c r="G206" i="52078"/>
  <c r="G208" i="52078"/>
  <c r="G4" i="52078"/>
  <c r="G5" i="52078"/>
  <c r="G6" i="52078"/>
  <c r="G7" i="52078"/>
  <c r="G8" i="52078"/>
  <c r="G9" i="52078"/>
  <c r="G10" i="52078"/>
  <c r="G11" i="52078"/>
  <c r="G12" i="52078"/>
  <c r="G13" i="52078"/>
  <c r="G14" i="52078"/>
  <c r="G15" i="52078"/>
  <c r="G16" i="52078"/>
  <c r="G17" i="52078"/>
  <c r="G18" i="52078"/>
  <c r="G19" i="52078"/>
  <c r="G20" i="52078"/>
  <c r="G21" i="52078"/>
  <c r="G22" i="52078"/>
  <c r="G23" i="52078"/>
  <c r="G24" i="52078"/>
  <c r="G25" i="52078"/>
  <c r="G26" i="52078"/>
  <c r="G27" i="52078"/>
  <c r="G28" i="52078"/>
  <c r="G29" i="52078"/>
  <c r="G30" i="52078"/>
  <c r="G31" i="52078"/>
  <c r="G32" i="52078"/>
  <c r="G33" i="52078"/>
  <c r="G34" i="52078"/>
  <c r="G35" i="52078"/>
  <c r="G36" i="52078"/>
  <c r="G37" i="52078"/>
  <c r="G38" i="52078"/>
  <c r="G39" i="52078"/>
  <c r="G40" i="52078"/>
  <c r="G41" i="52078"/>
  <c r="G42" i="52078"/>
  <c r="G43" i="52078"/>
  <c r="G44" i="52078"/>
  <c r="G45" i="52078"/>
  <c r="G46" i="52078"/>
  <c r="G47" i="52078"/>
  <c r="G3" i="52078"/>
  <c r="D218" i="52100"/>
  <c r="D213" i="52100"/>
  <c r="D212" i="52100"/>
  <c r="D211" i="52100"/>
  <c r="D207" i="52100"/>
  <c r="D199" i="52100"/>
  <c r="D198" i="52100"/>
  <c r="D197" i="52100"/>
  <c r="D196" i="52100"/>
  <c r="D195" i="52100"/>
  <c r="D194" i="52100"/>
  <c r="D193" i="52100"/>
  <c r="D192" i="52100"/>
  <c r="D191" i="52100"/>
  <c r="D190" i="52100"/>
  <c r="D189" i="52100"/>
  <c r="D188" i="52100"/>
  <c r="D187" i="52100"/>
  <c r="D183" i="52100"/>
  <c r="D182" i="52100"/>
  <c r="D181" i="52100"/>
  <c r="D180" i="52100"/>
  <c r="D179" i="52100"/>
  <c r="D178" i="52100"/>
  <c r="D177" i="52100"/>
  <c r="D176" i="52100"/>
  <c r="D175" i="52100"/>
  <c r="D174" i="52100"/>
  <c r="D173" i="52100"/>
  <c r="D172" i="52100"/>
  <c r="D171" i="52100"/>
  <c r="D170" i="52100"/>
  <c r="D166" i="52100"/>
  <c r="D165" i="52100"/>
  <c r="D164" i="52100"/>
  <c r="D163" i="52100"/>
  <c r="D162" i="52100"/>
  <c r="D161" i="52100"/>
  <c r="D160" i="52100"/>
  <c r="D159" i="52100"/>
  <c r="D158" i="52100"/>
  <c r="D157" i="52100"/>
  <c r="D156" i="52100"/>
  <c r="D152" i="52100"/>
  <c r="D151" i="52100"/>
  <c r="D150" i="52100"/>
  <c r="D149" i="52100"/>
  <c r="D148" i="52100"/>
  <c r="D147" i="52100"/>
  <c r="D146" i="52100"/>
  <c r="D145" i="52100"/>
  <c r="D144" i="52100"/>
  <c r="D143" i="52100"/>
  <c r="D142" i="52100"/>
  <c r="D141" i="52100"/>
  <c r="D140" i="52100"/>
  <c r="D139" i="52100"/>
  <c r="D138" i="52100"/>
  <c r="D137" i="52100"/>
  <c r="D136" i="52100"/>
  <c r="D135" i="52100"/>
  <c r="D134" i="52100"/>
  <c r="D133" i="52100"/>
  <c r="D132" i="52100"/>
  <c r="D131" i="52100"/>
  <c r="D127" i="52100"/>
  <c r="D126" i="52100"/>
  <c r="D125" i="52100"/>
  <c r="D124" i="52100"/>
  <c r="D123" i="52100"/>
  <c r="D122" i="52100"/>
  <c r="D121" i="52100"/>
  <c r="D120" i="52100"/>
  <c r="D119" i="52100"/>
  <c r="D118" i="52100"/>
  <c r="D114" i="52100"/>
  <c r="D113" i="52100"/>
  <c r="D112" i="52100"/>
  <c r="D111" i="52100"/>
  <c r="D110" i="52100"/>
  <c r="D109" i="52100"/>
  <c r="D108" i="52100"/>
  <c r="D107" i="52100"/>
  <c r="D106" i="52100"/>
  <c r="D105" i="52100"/>
  <c r="D101" i="52100"/>
  <c r="D100" i="52100"/>
  <c r="D99" i="52100"/>
  <c r="D98" i="52100"/>
  <c r="D97" i="52100"/>
  <c r="D96" i="52100"/>
  <c r="D95" i="52100"/>
  <c r="D94" i="52100"/>
  <c r="D93" i="52100"/>
  <c r="D92" i="52100"/>
  <c r="D91" i="52100"/>
  <c r="D90" i="52100"/>
  <c r="D89" i="52100"/>
  <c r="D88" i="52100"/>
  <c r="D87" i="52100"/>
  <c r="D86" i="52100"/>
  <c r="D85" i="52100"/>
  <c r="D84" i="52100"/>
  <c r="D83" i="52100"/>
  <c r="D82" i="52100"/>
  <c r="D81" i="52100"/>
  <c r="D80" i="52100"/>
  <c r="D79" i="52100"/>
  <c r="D78" i="52100"/>
  <c r="D77" i="52100"/>
  <c r="D76" i="52100"/>
  <c r="D75" i="52100"/>
  <c r="D74" i="52100"/>
  <c r="D73" i="52100"/>
  <c r="D72" i="52100"/>
  <c r="D68" i="52100"/>
  <c r="D67" i="52100"/>
  <c r="D66" i="52100"/>
  <c r="D65" i="52100"/>
  <c r="D64" i="52100"/>
  <c r="D60" i="52100"/>
  <c r="D49" i="52100"/>
  <c r="D19" i="52100"/>
  <c r="D18" i="52100"/>
  <c r="D17" i="52100"/>
  <c r="D16" i="52100"/>
  <c r="D15" i="52100"/>
  <c r="D14" i="52100"/>
  <c r="D13" i="52100"/>
  <c r="D12" i="52100"/>
  <c r="D11" i="52100"/>
  <c r="D10" i="52100"/>
  <c r="D9" i="52100"/>
  <c r="D8" i="52100"/>
  <c r="D218" i="52081"/>
  <c r="D213" i="52081"/>
  <c r="D212" i="52081"/>
  <c r="D211" i="52081"/>
  <c r="D207" i="52081"/>
  <c r="D199" i="52081"/>
  <c r="D198" i="52081"/>
  <c r="D197" i="52081"/>
  <c r="D196" i="52081"/>
  <c r="D195" i="52081"/>
  <c r="D194" i="52081"/>
  <c r="D193" i="52081"/>
  <c r="D192" i="52081"/>
  <c r="D191" i="52081"/>
  <c r="D190" i="52081"/>
  <c r="D189" i="52081"/>
  <c r="D188" i="52081"/>
  <c r="D187" i="52081"/>
  <c r="D183" i="52081"/>
  <c r="D182" i="52081"/>
  <c r="D181" i="52081"/>
  <c r="D180" i="52081"/>
  <c r="D179" i="52081"/>
  <c r="D178" i="52081"/>
  <c r="D177" i="52081"/>
  <c r="D176" i="52081"/>
  <c r="D175" i="52081"/>
  <c r="D174" i="52081"/>
  <c r="D173" i="52081"/>
  <c r="D172" i="52081"/>
  <c r="D171" i="52081"/>
  <c r="D170" i="52081"/>
  <c r="D166" i="52081"/>
  <c r="D165" i="52081"/>
  <c r="D164" i="52081"/>
  <c r="D163" i="52081"/>
  <c r="D162" i="52081"/>
  <c r="D161" i="52081"/>
  <c r="D160" i="52081"/>
  <c r="D159" i="52081"/>
  <c r="D158" i="52081"/>
  <c r="D157" i="52081"/>
  <c r="D156" i="52081"/>
  <c r="D152" i="52081"/>
  <c r="D151" i="52081"/>
  <c r="D150" i="52081"/>
  <c r="D149" i="52081"/>
  <c r="D148" i="52081"/>
  <c r="D147" i="52081"/>
  <c r="D146" i="52081"/>
  <c r="D145" i="52081"/>
  <c r="D144" i="52081"/>
  <c r="D143" i="52081"/>
  <c r="D142" i="52081"/>
  <c r="D141" i="52081"/>
  <c r="D140" i="52081"/>
  <c r="D139" i="52081"/>
  <c r="D138" i="52081"/>
  <c r="D137" i="52081"/>
  <c r="D136" i="52081"/>
  <c r="D135" i="52081"/>
  <c r="D134" i="52081"/>
  <c r="D133" i="52081"/>
  <c r="D132" i="52081"/>
  <c r="D131" i="52081"/>
  <c r="D127" i="52081"/>
  <c r="D126" i="52081"/>
  <c r="D125" i="52081"/>
  <c r="D124" i="52081"/>
  <c r="D123" i="52081"/>
  <c r="D122" i="52081"/>
  <c r="D121" i="52081"/>
  <c r="D120" i="52081"/>
  <c r="D119" i="52081"/>
  <c r="D118" i="52081"/>
  <c r="D114" i="52081"/>
  <c r="D113" i="52081"/>
  <c r="D112" i="52081"/>
  <c r="D111" i="52081"/>
  <c r="D110" i="52081"/>
  <c r="D109" i="52081"/>
  <c r="D108" i="52081"/>
  <c r="D107" i="52081"/>
  <c r="D106" i="52081"/>
  <c r="D105" i="52081"/>
  <c r="D101" i="52081"/>
  <c r="D100" i="52081"/>
  <c r="D99" i="52081"/>
  <c r="D98" i="52081"/>
  <c r="D97" i="52081"/>
  <c r="D96" i="52081"/>
  <c r="D95" i="52081"/>
  <c r="D94" i="52081"/>
  <c r="D93" i="52081"/>
  <c r="D92" i="52081"/>
  <c r="D91" i="52081"/>
  <c r="D90" i="52081"/>
  <c r="D89" i="52081"/>
  <c r="D88" i="52081"/>
  <c r="D87" i="52081"/>
  <c r="D86" i="52081"/>
  <c r="D85" i="52081"/>
  <c r="D84" i="52081"/>
  <c r="D83" i="52081"/>
  <c r="D82" i="52081"/>
  <c r="D81" i="52081"/>
  <c r="D80" i="52081"/>
  <c r="D79" i="52081"/>
  <c r="D78" i="52081"/>
  <c r="D77" i="52081"/>
  <c r="D76" i="52081"/>
  <c r="D75" i="52081"/>
  <c r="D74" i="52081"/>
  <c r="D73" i="52081"/>
  <c r="D72" i="52081"/>
  <c r="D68" i="52081"/>
  <c r="D67" i="52081"/>
  <c r="D66" i="52081"/>
  <c r="D65" i="52081"/>
  <c r="D64" i="52081"/>
  <c r="D60" i="52081"/>
  <c r="D49" i="52081"/>
  <c r="D19" i="52081"/>
  <c r="D18" i="52081"/>
  <c r="D17" i="52081"/>
  <c r="D16" i="52081"/>
  <c r="D15" i="52081"/>
  <c r="D14" i="52081"/>
  <c r="D13" i="52081"/>
  <c r="D12" i="52081"/>
  <c r="D11" i="52081"/>
  <c r="D10" i="52081"/>
  <c r="D9" i="52081"/>
  <c r="D8" i="52081"/>
  <c r="D218" i="52072"/>
  <c r="D213" i="52072"/>
  <c r="D212" i="52072"/>
  <c r="D211" i="52072"/>
  <c r="D207" i="52072"/>
  <c r="D199" i="52072"/>
  <c r="D198" i="52072"/>
  <c r="D197" i="52072"/>
  <c r="D196" i="52072"/>
  <c r="D195" i="52072"/>
  <c r="D194" i="52072"/>
  <c r="D193" i="52072"/>
  <c r="D192" i="52072"/>
  <c r="D191" i="52072"/>
  <c r="D190" i="52072"/>
  <c r="D189" i="52072"/>
  <c r="D188" i="52072"/>
  <c r="D187" i="52072"/>
  <c r="D183" i="52072"/>
  <c r="D182" i="52072"/>
  <c r="D181" i="52072"/>
  <c r="D180" i="52072"/>
  <c r="D179" i="52072"/>
  <c r="D178" i="52072"/>
  <c r="D177" i="52072"/>
  <c r="D176" i="52072"/>
  <c r="D175" i="52072"/>
  <c r="D174" i="52072"/>
  <c r="D173" i="52072"/>
  <c r="D172" i="52072"/>
  <c r="D171" i="52072"/>
  <c r="D170" i="52072"/>
  <c r="D166" i="52072"/>
  <c r="D165" i="52072"/>
  <c r="D164" i="52072"/>
  <c r="D163" i="52072"/>
  <c r="D162" i="52072"/>
  <c r="D161" i="52072"/>
  <c r="D160" i="52072"/>
  <c r="D159" i="52072"/>
  <c r="D158" i="52072"/>
  <c r="D157" i="52072"/>
  <c r="D156" i="52072"/>
  <c r="D152" i="52072"/>
  <c r="D151" i="52072"/>
  <c r="L151" i="52072"/>
  <c r="D150" i="52072"/>
  <c r="D149" i="52072"/>
  <c r="D148" i="52072"/>
  <c r="D147" i="52072"/>
  <c r="D146" i="52072"/>
  <c r="D145" i="52072"/>
  <c r="D144" i="52072"/>
  <c r="D143" i="52072"/>
  <c r="D142" i="52072"/>
  <c r="D141" i="52072"/>
  <c r="D140" i="52072"/>
  <c r="D139" i="52072"/>
  <c r="D138" i="52072"/>
  <c r="D137" i="52072"/>
  <c r="D136" i="52072"/>
  <c r="D135" i="52072"/>
  <c r="D134" i="52072"/>
  <c r="D133" i="52072"/>
  <c r="D132" i="52072"/>
  <c r="D131" i="52072"/>
  <c r="D127" i="52072"/>
  <c r="D126" i="52072"/>
  <c r="D125" i="52072"/>
  <c r="D124" i="52072"/>
  <c r="D123" i="52072"/>
  <c r="D122" i="52072"/>
  <c r="D121" i="52072"/>
  <c r="D120" i="52072"/>
  <c r="D119" i="52072"/>
  <c r="D118" i="52072"/>
  <c r="D114" i="52072"/>
  <c r="D113" i="52072"/>
  <c r="D112" i="52072"/>
  <c r="D111" i="52072"/>
  <c r="D110" i="52072"/>
  <c r="D109" i="52072"/>
  <c r="D108" i="52072"/>
  <c r="D107" i="52072"/>
  <c r="D106" i="52072"/>
  <c r="D105" i="52072"/>
  <c r="D101" i="52072"/>
  <c r="D100" i="52072"/>
  <c r="D99" i="52072"/>
  <c r="D98" i="52072"/>
  <c r="D97" i="52072"/>
  <c r="D96" i="52072"/>
  <c r="D95" i="52072"/>
  <c r="D94" i="52072"/>
  <c r="D93" i="52072"/>
  <c r="D92" i="52072"/>
  <c r="D91" i="52072"/>
  <c r="D90" i="52072"/>
  <c r="D89" i="52072"/>
  <c r="D88" i="52072"/>
  <c r="D87" i="52072"/>
  <c r="D86" i="52072"/>
  <c r="D85" i="52072"/>
  <c r="D84" i="52072"/>
  <c r="D83" i="52072"/>
  <c r="D82" i="52072"/>
  <c r="D81" i="52072"/>
  <c r="D80" i="52072"/>
  <c r="D79" i="52072"/>
  <c r="D78" i="52072"/>
  <c r="D77" i="52072"/>
  <c r="D76" i="52072"/>
  <c r="D75" i="52072"/>
  <c r="D74" i="52072"/>
  <c r="D73" i="52072"/>
  <c r="D72" i="52072"/>
  <c r="D68" i="52072"/>
  <c r="D67" i="52072"/>
  <c r="D66" i="52072"/>
  <c r="D65" i="52072"/>
  <c r="D64" i="52072"/>
  <c r="D60" i="52072"/>
  <c r="D49" i="52072"/>
  <c r="D19" i="52072"/>
  <c r="D18" i="52072"/>
  <c r="D17" i="52072"/>
  <c r="D16" i="52072"/>
  <c r="D15" i="52072"/>
  <c r="D14" i="52072"/>
  <c r="D13" i="52072"/>
  <c r="D12" i="52072"/>
  <c r="D11" i="52072"/>
  <c r="D10" i="52072"/>
  <c r="D9" i="52072"/>
  <c r="D8" i="52072"/>
  <c r="D218" i="52066"/>
  <c r="D213" i="52066"/>
  <c r="D212" i="52066"/>
  <c r="D211" i="52066"/>
  <c r="D207" i="52066"/>
  <c r="D199" i="52066"/>
  <c r="D198" i="52066"/>
  <c r="D197" i="52066"/>
  <c r="D196" i="52066"/>
  <c r="D195" i="52066"/>
  <c r="D194" i="52066"/>
  <c r="D193" i="52066"/>
  <c r="D192" i="52066"/>
  <c r="D191" i="52066"/>
  <c r="D190" i="52066"/>
  <c r="D189" i="52066"/>
  <c r="D188" i="52066"/>
  <c r="D187" i="52066"/>
  <c r="D183" i="52066"/>
  <c r="D182" i="52066"/>
  <c r="D181" i="52066"/>
  <c r="D180" i="52066"/>
  <c r="D179" i="52066"/>
  <c r="D178" i="52066"/>
  <c r="D177" i="52066"/>
  <c r="D176" i="52066"/>
  <c r="D175" i="52066"/>
  <c r="D174" i="52066"/>
  <c r="D173" i="52066"/>
  <c r="D172" i="52066"/>
  <c r="D171" i="52066"/>
  <c r="D170" i="52066"/>
  <c r="D166" i="52066"/>
  <c r="D165" i="52066"/>
  <c r="D164" i="52066"/>
  <c r="D163" i="52066"/>
  <c r="D162" i="52066"/>
  <c r="D161" i="52066"/>
  <c r="D160" i="52066"/>
  <c r="D159" i="52066"/>
  <c r="D158" i="52066"/>
  <c r="D157" i="52066"/>
  <c r="D156" i="52066"/>
  <c r="D152" i="52066"/>
  <c r="D151" i="52066"/>
  <c r="L151" i="52066" s="1"/>
  <c r="D150" i="52066"/>
  <c r="D149" i="52066"/>
  <c r="D148" i="52066"/>
  <c r="D147" i="52066"/>
  <c r="D146" i="52066"/>
  <c r="D145" i="52066"/>
  <c r="D144" i="52066"/>
  <c r="D143" i="52066"/>
  <c r="D142" i="52066"/>
  <c r="D141" i="52066"/>
  <c r="D140" i="52066"/>
  <c r="D139" i="52066"/>
  <c r="D138" i="52066"/>
  <c r="D137" i="52066"/>
  <c r="D136" i="52066"/>
  <c r="D135" i="52066"/>
  <c r="D134" i="52066"/>
  <c r="D133" i="52066"/>
  <c r="D132" i="52066"/>
  <c r="D131" i="52066"/>
  <c r="D127" i="52066"/>
  <c r="D126" i="52066"/>
  <c r="D125" i="52066"/>
  <c r="D124" i="52066"/>
  <c r="D123" i="52066"/>
  <c r="D122" i="52066"/>
  <c r="D121" i="52066"/>
  <c r="D120" i="52066"/>
  <c r="D119" i="52066"/>
  <c r="D118" i="52066"/>
  <c r="D114" i="52066"/>
  <c r="D113" i="52066"/>
  <c r="D112" i="52066"/>
  <c r="D111" i="52066"/>
  <c r="D110" i="52066"/>
  <c r="D109" i="52066"/>
  <c r="D108" i="52066"/>
  <c r="D107" i="52066"/>
  <c r="D106" i="52066"/>
  <c r="D105" i="52066"/>
  <c r="D101" i="52066"/>
  <c r="D100" i="52066"/>
  <c r="D99" i="52066"/>
  <c r="D98" i="52066"/>
  <c r="D97" i="52066"/>
  <c r="D96" i="52066"/>
  <c r="D95" i="52066"/>
  <c r="D94" i="52066"/>
  <c r="D93" i="52066"/>
  <c r="D92" i="52066"/>
  <c r="D91" i="52066"/>
  <c r="D90" i="52066"/>
  <c r="D89" i="52066"/>
  <c r="D88" i="52066"/>
  <c r="D87" i="52066"/>
  <c r="D86" i="52066"/>
  <c r="D85" i="52066"/>
  <c r="D84" i="52066"/>
  <c r="D83" i="52066"/>
  <c r="D82" i="52066"/>
  <c r="D81" i="52066"/>
  <c r="D80" i="52066"/>
  <c r="D79" i="52066"/>
  <c r="D78" i="52066"/>
  <c r="D77" i="52066"/>
  <c r="D76" i="52066"/>
  <c r="D75" i="52066"/>
  <c r="D74" i="52066"/>
  <c r="D73" i="52066"/>
  <c r="D72" i="52066"/>
  <c r="D68" i="52066"/>
  <c r="D67" i="52066"/>
  <c r="D66" i="52066"/>
  <c r="D65" i="52066"/>
  <c r="D64" i="52066"/>
  <c r="D60" i="52066"/>
  <c r="D49" i="52066"/>
  <c r="D19" i="52066"/>
  <c r="D18" i="52066"/>
  <c r="D17" i="52066"/>
  <c r="D16" i="52066"/>
  <c r="D15" i="52066"/>
  <c r="D14" i="52066"/>
  <c r="D13" i="52066"/>
  <c r="D12" i="52066"/>
  <c r="D11" i="52066"/>
  <c r="D10" i="52066"/>
  <c r="D9" i="52066"/>
  <c r="D8" i="52066"/>
  <c r="D218" i="48"/>
  <c r="D213" i="48"/>
  <c r="D212" i="48"/>
  <c r="D211" i="48"/>
  <c r="D207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3" i="48"/>
  <c r="D182" i="48"/>
  <c r="D181" i="48"/>
  <c r="D180" i="48"/>
  <c r="D179" i="48"/>
  <c r="D178" i="48"/>
  <c r="D177" i="48"/>
  <c r="D176" i="48"/>
  <c r="D175" i="48"/>
  <c r="D174" i="48"/>
  <c r="D173" i="48"/>
  <c r="D172" i="48"/>
  <c r="D171" i="48"/>
  <c r="D170" i="48"/>
  <c r="D166" i="48"/>
  <c r="D165" i="48"/>
  <c r="D164" i="48"/>
  <c r="D163" i="48"/>
  <c r="D162" i="48"/>
  <c r="D161" i="48"/>
  <c r="D160" i="48"/>
  <c r="D159" i="48"/>
  <c r="D158" i="48"/>
  <c r="D157" i="48"/>
  <c r="D156" i="48"/>
  <c r="D152" i="48"/>
  <c r="D151" i="48"/>
  <c r="L151" i="48"/>
  <c r="D150" i="48"/>
  <c r="D149" i="48"/>
  <c r="D148" i="48"/>
  <c r="D147" i="48"/>
  <c r="D146" i="48"/>
  <c r="D145" i="48"/>
  <c r="D144" i="48"/>
  <c r="D143" i="48"/>
  <c r="D142" i="48"/>
  <c r="D141" i="48"/>
  <c r="D140" i="48"/>
  <c r="D139" i="48"/>
  <c r="D138" i="48"/>
  <c r="D137" i="48"/>
  <c r="D136" i="48"/>
  <c r="D135" i="48"/>
  <c r="D134" i="48"/>
  <c r="D133" i="48"/>
  <c r="D132" i="48"/>
  <c r="D131" i="48"/>
  <c r="D127" i="48"/>
  <c r="D126" i="48"/>
  <c r="D125" i="48"/>
  <c r="D124" i="48"/>
  <c r="D123" i="48"/>
  <c r="D122" i="48"/>
  <c r="D121" i="48"/>
  <c r="D120" i="48"/>
  <c r="D119" i="48"/>
  <c r="D118" i="48"/>
  <c r="D114" i="48"/>
  <c r="D113" i="48"/>
  <c r="D112" i="48"/>
  <c r="D111" i="48"/>
  <c r="D110" i="48"/>
  <c r="D109" i="48"/>
  <c r="D108" i="48"/>
  <c r="D107" i="48"/>
  <c r="D106" i="48"/>
  <c r="D105" i="48"/>
  <c r="D101" i="48"/>
  <c r="D100" i="48"/>
  <c r="D99" i="48"/>
  <c r="D98" i="48"/>
  <c r="D97" i="48"/>
  <c r="D96" i="48"/>
  <c r="D95" i="48"/>
  <c r="D94" i="48"/>
  <c r="D93" i="48"/>
  <c r="D92" i="48"/>
  <c r="D91" i="48"/>
  <c r="D90" i="48"/>
  <c r="D89" i="48"/>
  <c r="D88" i="48"/>
  <c r="D87" i="48"/>
  <c r="D86" i="48"/>
  <c r="D85" i="48"/>
  <c r="D84" i="48"/>
  <c r="D83" i="48"/>
  <c r="D82" i="48"/>
  <c r="D81" i="48"/>
  <c r="D80" i="48"/>
  <c r="D79" i="48"/>
  <c r="D78" i="48"/>
  <c r="D77" i="48"/>
  <c r="D76" i="48"/>
  <c r="D75" i="48"/>
  <c r="D74" i="48"/>
  <c r="D73" i="48"/>
  <c r="D72" i="48"/>
  <c r="D68" i="48"/>
  <c r="D67" i="48"/>
  <c r="D66" i="48"/>
  <c r="D65" i="48"/>
  <c r="D64" i="48"/>
  <c r="D60" i="48"/>
  <c r="D49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218" i="91"/>
  <c r="D213" i="91"/>
  <c r="D212" i="91"/>
  <c r="D211" i="91"/>
  <c r="D207" i="91"/>
  <c r="D199" i="91"/>
  <c r="D198" i="91"/>
  <c r="D197" i="91"/>
  <c r="D196" i="91"/>
  <c r="D195" i="91"/>
  <c r="D194" i="91"/>
  <c r="D193" i="91"/>
  <c r="D192" i="91"/>
  <c r="D191" i="91"/>
  <c r="D190" i="91"/>
  <c r="D189" i="91"/>
  <c r="D188" i="91"/>
  <c r="D187" i="91"/>
  <c r="D183" i="91"/>
  <c r="D182" i="91"/>
  <c r="D181" i="91"/>
  <c r="D180" i="91"/>
  <c r="D179" i="91"/>
  <c r="D178" i="91"/>
  <c r="D177" i="91"/>
  <c r="D176" i="91"/>
  <c r="D175" i="91"/>
  <c r="D174" i="91"/>
  <c r="D173" i="91"/>
  <c r="D172" i="91"/>
  <c r="D171" i="91"/>
  <c r="D170" i="91"/>
  <c r="D166" i="91"/>
  <c r="D165" i="91"/>
  <c r="D164" i="91"/>
  <c r="D163" i="91"/>
  <c r="D162" i="91"/>
  <c r="D161" i="91"/>
  <c r="D160" i="91"/>
  <c r="D159" i="91"/>
  <c r="D158" i="91"/>
  <c r="D157" i="91"/>
  <c r="D156" i="91"/>
  <c r="D152" i="91"/>
  <c r="D151" i="91"/>
  <c r="L151" i="91" s="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27" i="91"/>
  <c r="D126" i="91"/>
  <c r="D125" i="91"/>
  <c r="D124" i="91"/>
  <c r="D123" i="91"/>
  <c r="D122" i="91"/>
  <c r="D121" i="91"/>
  <c r="D120" i="91"/>
  <c r="D119" i="91"/>
  <c r="D118" i="91"/>
  <c r="D114" i="91"/>
  <c r="D113" i="91"/>
  <c r="D112" i="91"/>
  <c r="D111" i="91"/>
  <c r="D110" i="91"/>
  <c r="D109" i="91"/>
  <c r="D108" i="91"/>
  <c r="D107" i="91"/>
  <c r="D106" i="91"/>
  <c r="D105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68" i="91"/>
  <c r="D67" i="91"/>
  <c r="D66" i="91"/>
  <c r="D65" i="91"/>
  <c r="D64" i="91"/>
  <c r="D60" i="91"/>
  <c r="D49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213" i="32"/>
  <c r="D212" i="32"/>
  <c r="D211" i="32"/>
  <c r="D207" i="32"/>
  <c r="D199" i="32"/>
  <c r="D198" i="32"/>
  <c r="D197" i="32"/>
  <c r="D196" i="32"/>
  <c r="D195" i="32"/>
  <c r="D194" i="32"/>
  <c r="D193" i="32"/>
  <c r="D192" i="32"/>
  <c r="D191" i="32"/>
  <c r="D190" i="32"/>
  <c r="D189" i="32"/>
  <c r="D188" i="32"/>
  <c r="D187" i="32"/>
  <c r="D183" i="32"/>
  <c r="D182" i="32"/>
  <c r="D181" i="32"/>
  <c r="D180" i="32"/>
  <c r="D179" i="32"/>
  <c r="D178" i="32"/>
  <c r="D177" i="32"/>
  <c r="D176" i="32"/>
  <c r="D175" i="32"/>
  <c r="D174" i="32"/>
  <c r="D173" i="32"/>
  <c r="D172" i="32"/>
  <c r="D171" i="32"/>
  <c r="D170" i="32"/>
  <c r="D166" i="32"/>
  <c r="D165" i="32"/>
  <c r="D164" i="32"/>
  <c r="D163" i="32"/>
  <c r="D162" i="32"/>
  <c r="D161" i="32"/>
  <c r="D160" i="32"/>
  <c r="D159" i="32"/>
  <c r="D158" i="32"/>
  <c r="D157" i="32"/>
  <c r="D156" i="32"/>
  <c r="D152" i="32"/>
  <c r="D151" i="32"/>
  <c r="L151" i="32" s="1"/>
  <c r="D150" i="32"/>
  <c r="D149" i="32"/>
  <c r="D148" i="32"/>
  <c r="D147" i="32"/>
  <c r="D146" i="32"/>
  <c r="D145" i="32"/>
  <c r="D144" i="32"/>
  <c r="D143" i="32"/>
  <c r="D142" i="32"/>
  <c r="D141" i="32"/>
  <c r="D140" i="32"/>
  <c r="D139" i="32"/>
  <c r="D138" i="32"/>
  <c r="D137" i="32"/>
  <c r="D136" i="32"/>
  <c r="D135" i="32"/>
  <c r="D134" i="32"/>
  <c r="D133" i="32"/>
  <c r="D132" i="32"/>
  <c r="D131" i="32"/>
  <c r="D127" i="32"/>
  <c r="D126" i="32"/>
  <c r="D125" i="32"/>
  <c r="D124" i="32"/>
  <c r="D123" i="32"/>
  <c r="D122" i="32"/>
  <c r="D121" i="32"/>
  <c r="D120" i="32"/>
  <c r="D119" i="32"/>
  <c r="D118" i="32"/>
  <c r="D114" i="32"/>
  <c r="D113" i="32"/>
  <c r="D112" i="32"/>
  <c r="D111" i="32"/>
  <c r="D110" i="32"/>
  <c r="D109" i="32"/>
  <c r="D108" i="32"/>
  <c r="D107" i="32"/>
  <c r="D106" i="32"/>
  <c r="D105" i="32"/>
  <c r="D101" i="32"/>
  <c r="D100" i="32"/>
  <c r="D99" i="32"/>
  <c r="D98" i="32"/>
  <c r="D97" i="32"/>
  <c r="D96" i="32"/>
  <c r="D95" i="32"/>
  <c r="D94" i="32"/>
  <c r="D93" i="32"/>
  <c r="D92" i="32"/>
  <c r="D91" i="32"/>
  <c r="D90" i="32"/>
  <c r="D89" i="32"/>
  <c r="D88" i="32"/>
  <c r="D87" i="32"/>
  <c r="D86" i="32"/>
  <c r="D85" i="32"/>
  <c r="D84" i="32"/>
  <c r="D83" i="32"/>
  <c r="D82" i="32"/>
  <c r="D81" i="32"/>
  <c r="D80" i="32"/>
  <c r="D79" i="32"/>
  <c r="D78" i="32"/>
  <c r="D77" i="32"/>
  <c r="D76" i="32"/>
  <c r="D75" i="32"/>
  <c r="D74" i="32"/>
  <c r="D73" i="32"/>
  <c r="D72" i="32"/>
  <c r="D68" i="32"/>
  <c r="D67" i="32"/>
  <c r="D66" i="32"/>
  <c r="D65" i="32"/>
  <c r="D64" i="32"/>
  <c r="D60" i="32"/>
  <c r="D49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D218" i="52080"/>
  <c r="D213" i="52080"/>
  <c r="D212" i="52080"/>
  <c r="D211" i="52080"/>
  <c r="D207" i="52080"/>
  <c r="D199" i="52080"/>
  <c r="D198" i="52080"/>
  <c r="D197" i="52080"/>
  <c r="D196" i="52080"/>
  <c r="D195" i="52080"/>
  <c r="D194" i="52080"/>
  <c r="D193" i="52080"/>
  <c r="D192" i="52080"/>
  <c r="D191" i="52080"/>
  <c r="D190" i="52080"/>
  <c r="D189" i="52080"/>
  <c r="D188" i="52080"/>
  <c r="D187" i="52080"/>
  <c r="D183" i="52080"/>
  <c r="D182" i="52080"/>
  <c r="D181" i="52080"/>
  <c r="D180" i="52080"/>
  <c r="D179" i="52080"/>
  <c r="D178" i="52080"/>
  <c r="D177" i="52080"/>
  <c r="D176" i="52080"/>
  <c r="D175" i="52080"/>
  <c r="D174" i="52080"/>
  <c r="D173" i="52080"/>
  <c r="D172" i="52080"/>
  <c r="D171" i="52080"/>
  <c r="D170" i="52080"/>
  <c r="D166" i="52080"/>
  <c r="D165" i="52080"/>
  <c r="D164" i="52080"/>
  <c r="D163" i="52080"/>
  <c r="D162" i="52080"/>
  <c r="D161" i="52080"/>
  <c r="D160" i="52080"/>
  <c r="D159" i="52080"/>
  <c r="D158" i="52080"/>
  <c r="D157" i="52080"/>
  <c r="D156" i="52080"/>
  <c r="D152" i="52080"/>
  <c r="D151" i="52080"/>
  <c r="L151" i="52080"/>
  <c r="D150" i="52080"/>
  <c r="D149" i="52080"/>
  <c r="D148" i="52080"/>
  <c r="D147" i="52080"/>
  <c r="D146" i="52080"/>
  <c r="D145" i="52080"/>
  <c r="D144" i="52080"/>
  <c r="D143" i="52080"/>
  <c r="D142" i="52080"/>
  <c r="D141" i="52080"/>
  <c r="D140" i="52080"/>
  <c r="D139" i="52080"/>
  <c r="D138" i="52080"/>
  <c r="D137" i="52080"/>
  <c r="D136" i="52080"/>
  <c r="D135" i="52080"/>
  <c r="D134" i="52080"/>
  <c r="D133" i="52080"/>
  <c r="D132" i="52080"/>
  <c r="D131" i="52080"/>
  <c r="D127" i="52080"/>
  <c r="D126" i="52080"/>
  <c r="D125" i="52080"/>
  <c r="D124" i="52080"/>
  <c r="D123" i="52080"/>
  <c r="D122" i="52080"/>
  <c r="D121" i="52080"/>
  <c r="D120" i="52080"/>
  <c r="D119" i="52080"/>
  <c r="D118" i="52080"/>
  <c r="D114" i="52080"/>
  <c r="D113" i="52080"/>
  <c r="D112" i="52080"/>
  <c r="D111" i="52080"/>
  <c r="D110" i="52080"/>
  <c r="D109" i="52080"/>
  <c r="D108" i="52080"/>
  <c r="D107" i="52080"/>
  <c r="D106" i="52080"/>
  <c r="D105" i="52080"/>
  <c r="D101" i="52080"/>
  <c r="D100" i="52080"/>
  <c r="D99" i="52080"/>
  <c r="D98" i="52080"/>
  <c r="D97" i="52080"/>
  <c r="D96" i="52080"/>
  <c r="D95" i="52080"/>
  <c r="D94" i="52080"/>
  <c r="D93" i="52080"/>
  <c r="D92" i="52080"/>
  <c r="D91" i="52080"/>
  <c r="D90" i="52080"/>
  <c r="D89" i="52080"/>
  <c r="D88" i="52080"/>
  <c r="D87" i="52080"/>
  <c r="D86" i="52080"/>
  <c r="D85" i="52080"/>
  <c r="D84" i="52080"/>
  <c r="D83" i="52080"/>
  <c r="D82" i="52080"/>
  <c r="D81" i="52080"/>
  <c r="D80" i="52080"/>
  <c r="D79" i="52080"/>
  <c r="D78" i="52080"/>
  <c r="D77" i="52080"/>
  <c r="D76" i="52080"/>
  <c r="D75" i="52080"/>
  <c r="D74" i="52080"/>
  <c r="D73" i="52080"/>
  <c r="D72" i="52080"/>
  <c r="D68" i="52080"/>
  <c r="D67" i="52080"/>
  <c r="D66" i="52080"/>
  <c r="D65" i="52080"/>
  <c r="D64" i="52080"/>
  <c r="D60" i="52080"/>
  <c r="D49" i="52080"/>
  <c r="D19" i="52080"/>
  <c r="D18" i="52080"/>
  <c r="D17" i="52080"/>
  <c r="D16" i="52080"/>
  <c r="D15" i="52080"/>
  <c r="D14" i="52080"/>
  <c r="D13" i="52080"/>
  <c r="D12" i="52080"/>
  <c r="D11" i="52080"/>
  <c r="D10" i="52080"/>
  <c r="D9" i="52080"/>
  <c r="D8" i="52080"/>
  <c r="D218" i="52095"/>
  <c r="D213" i="52095"/>
  <c r="D212" i="52095"/>
  <c r="D211" i="52095"/>
  <c r="D207" i="52095"/>
  <c r="D199" i="52095"/>
  <c r="D198" i="52095"/>
  <c r="D197" i="52095"/>
  <c r="D196" i="52095"/>
  <c r="D195" i="52095"/>
  <c r="D194" i="52095"/>
  <c r="D193" i="52095"/>
  <c r="D192" i="52095"/>
  <c r="D191" i="52095"/>
  <c r="D190" i="52095"/>
  <c r="D189" i="52095"/>
  <c r="D188" i="52095"/>
  <c r="D187" i="52095"/>
  <c r="D183" i="52095"/>
  <c r="D182" i="52095"/>
  <c r="D181" i="52095"/>
  <c r="D180" i="52095"/>
  <c r="D179" i="52095"/>
  <c r="D178" i="52095"/>
  <c r="D177" i="52095"/>
  <c r="D176" i="52095"/>
  <c r="D175" i="52095"/>
  <c r="D174" i="52095"/>
  <c r="D173" i="52095"/>
  <c r="D172" i="52095"/>
  <c r="D171" i="52095"/>
  <c r="D170" i="52095"/>
  <c r="D166" i="52095"/>
  <c r="D165" i="52095"/>
  <c r="D164" i="52095"/>
  <c r="D163" i="52095"/>
  <c r="D162" i="52095"/>
  <c r="D161" i="52095"/>
  <c r="D160" i="52095"/>
  <c r="D159" i="52095"/>
  <c r="D158" i="52095"/>
  <c r="D157" i="52095"/>
  <c r="D156" i="52095"/>
  <c r="D152" i="52095"/>
  <c r="D151" i="52095"/>
  <c r="L151" i="52095" s="1"/>
  <c r="D150" i="52095"/>
  <c r="D149" i="52095"/>
  <c r="D148" i="52095"/>
  <c r="D147" i="52095"/>
  <c r="D146" i="52095"/>
  <c r="D145" i="52095"/>
  <c r="D144" i="52095"/>
  <c r="D143" i="52095"/>
  <c r="D142" i="52095"/>
  <c r="D141" i="52095"/>
  <c r="D140" i="52095"/>
  <c r="D139" i="52095"/>
  <c r="D138" i="52095"/>
  <c r="D137" i="52095"/>
  <c r="D136" i="52095"/>
  <c r="D135" i="52095"/>
  <c r="D134" i="52095"/>
  <c r="D133" i="52095"/>
  <c r="D132" i="52095"/>
  <c r="D131" i="52095"/>
  <c r="D127" i="52095"/>
  <c r="D126" i="52095"/>
  <c r="D125" i="52095"/>
  <c r="D124" i="52095"/>
  <c r="D123" i="52095"/>
  <c r="D122" i="52095"/>
  <c r="D121" i="52095"/>
  <c r="D120" i="52095"/>
  <c r="D119" i="52095"/>
  <c r="D118" i="52095"/>
  <c r="D114" i="52095"/>
  <c r="D113" i="52095"/>
  <c r="D112" i="52095"/>
  <c r="D111" i="52095"/>
  <c r="D110" i="52095"/>
  <c r="D109" i="52095"/>
  <c r="D108" i="52095"/>
  <c r="D107" i="52095"/>
  <c r="D106" i="52095"/>
  <c r="D105" i="52095"/>
  <c r="D101" i="52095"/>
  <c r="D100" i="52095"/>
  <c r="D99" i="52095"/>
  <c r="D98" i="52095"/>
  <c r="D97" i="52095"/>
  <c r="D96" i="52095"/>
  <c r="D95" i="52095"/>
  <c r="D94" i="52095"/>
  <c r="D93" i="52095"/>
  <c r="D92" i="52095"/>
  <c r="D91" i="52095"/>
  <c r="D90" i="52095"/>
  <c r="D89" i="52095"/>
  <c r="D88" i="52095"/>
  <c r="D87" i="52095"/>
  <c r="D86" i="52095"/>
  <c r="D85" i="52095"/>
  <c r="D84" i="52095"/>
  <c r="D83" i="52095"/>
  <c r="D82" i="52095"/>
  <c r="D81" i="52095"/>
  <c r="D80" i="52095"/>
  <c r="D79" i="52095"/>
  <c r="D78" i="52095"/>
  <c r="D77" i="52095"/>
  <c r="D76" i="52095"/>
  <c r="D75" i="52095"/>
  <c r="D74" i="52095"/>
  <c r="D73" i="52095"/>
  <c r="D72" i="52095"/>
  <c r="D68" i="52095"/>
  <c r="D67" i="52095"/>
  <c r="D66" i="52095"/>
  <c r="D65" i="52095"/>
  <c r="D64" i="52095"/>
  <c r="D60" i="52095"/>
  <c r="D49" i="52095"/>
  <c r="D19" i="52095"/>
  <c r="D18" i="52095"/>
  <c r="D17" i="52095"/>
  <c r="D16" i="52095"/>
  <c r="D15" i="52095"/>
  <c r="D14" i="52095"/>
  <c r="D13" i="52095"/>
  <c r="D12" i="52095"/>
  <c r="D11" i="52095"/>
  <c r="D10" i="52095"/>
  <c r="D9" i="52095"/>
  <c r="D8" i="52095"/>
  <c r="D213" i="52094"/>
  <c r="D212" i="52094"/>
  <c r="D211" i="52094"/>
  <c r="D207" i="52094"/>
  <c r="D199" i="52094"/>
  <c r="D198" i="52094"/>
  <c r="D197" i="52094"/>
  <c r="D196" i="52094"/>
  <c r="D195" i="52094"/>
  <c r="D194" i="52094"/>
  <c r="D193" i="52094"/>
  <c r="D192" i="52094"/>
  <c r="D191" i="52094"/>
  <c r="D190" i="52094"/>
  <c r="D189" i="52094"/>
  <c r="D188" i="52094"/>
  <c r="D187" i="52094"/>
  <c r="D183" i="52094"/>
  <c r="D182" i="52094"/>
  <c r="D181" i="52094"/>
  <c r="D180" i="52094"/>
  <c r="D179" i="52094"/>
  <c r="D178" i="52094"/>
  <c r="D177" i="52094"/>
  <c r="D176" i="52094"/>
  <c r="D175" i="52094"/>
  <c r="D174" i="52094"/>
  <c r="D173" i="52094"/>
  <c r="D172" i="52094"/>
  <c r="D171" i="52094"/>
  <c r="D170" i="52094"/>
  <c r="D166" i="52094"/>
  <c r="D165" i="52094"/>
  <c r="D164" i="52094"/>
  <c r="D163" i="52094"/>
  <c r="D162" i="52094"/>
  <c r="D161" i="52094"/>
  <c r="D160" i="52094"/>
  <c r="D159" i="52094"/>
  <c r="D158" i="52094"/>
  <c r="D157" i="52094"/>
  <c r="D156" i="52094"/>
  <c r="D152" i="52094"/>
  <c r="D151" i="52094"/>
  <c r="L151" i="52094" s="1"/>
  <c r="D150" i="52094"/>
  <c r="D149" i="52094"/>
  <c r="D148" i="52094"/>
  <c r="D147" i="52094"/>
  <c r="D146" i="52094"/>
  <c r="D145" i="52094"/>
  <c r="D144" i="52094"/>
  <c r="D143" i="52094"/>
  <c r="D142" i="52094"/>
  <c r="D141" i="52094"/>
  <c r="D140" i="52094"/>
  <c r="D139" i="52094"/>
  <c r="D138" i="52094"/>
  <c r="D137" i="52094"/>
  <c r="D136" i="52094"/>
  <c r="D135" i="52094"/>
  <c r="D134" i="52094"/>
  <c r="D133" i="52094"/>
  <c r="D132" i="52094"/>
  <c r="D131" i="52094"/>
  <c r="D127" i="52094"/>
  <c r="D126" i="52094"/>
  <c r="D125" i="52094"/>
  <c r="D124" i="52094"/>
  <c r="D123" i="52094"/>
  <c r="D122" i="52094"/>
  <c r="D121" i="52094"/>
  <c r="D120" i="52094"/>
  <c r="D119" i="52094"/>
  <c r="D118" i="52094"/>
  <c r="D114" i="52094"/>
  <c r="D113" i="52094"/>
  <c r="D112" i="52094"/>
  <c r="D111" i="52094"/>
  <c r="D110" i="52094"/>
  <c r="D109" i="52094"/>
  <c r="D108" i="52094"/>
  <c r="D107" i="52094"/>
  <c r="D106" i="52094"/>
  <c r="D105" i="52094"/>
  <c r="D101" i="52094"/>
  <c r="D100" i="52094"/>
  <c r="D99" i="52094"/>
  <c r="D98" i="52094"/>
  <c r="D97" i="52094"/>
  <c r="D96" i="52094"/>
  <c r="D95" i="52094"/>
  <c r="D94" i="52094"/>
  <c r="D93" i="52094"/>
  <c r="D92" i="52094"/>
  <c r="D91" i="52094"/>
  <c r="D90" i="52094"/>
  <c r="D89" i="52094"/>
  <c r="D88" i="52094"/>
  <c r="D87" i="52094"/>
  <c r="D86" i="52094"/>
  <c r="D85" i="52094"/>
  <c r="D84" i="52094"/>
  <c r="D83" i="52094"/>
  <c r="D82" i="52094"/>
  <c r="D81" i="52094"/>
  <c r="D80" i="52094"/>
  <c r="D79" i="52094"/>
  <c r="D78" i="52094"/>
  <c r="D77" i="52094"/>
  <c r="D76" i="52094"/>
  <c r="D75" i="52094"/>
  <c r="D74" i="52094"/>
  <c r="D73" i="52094"/>
  <c r="D72" i="52094"/>
  <c r="D68" i="52094"/>
  <c r="D67" i="52094"/>
  <c r="D66" i="52094"/>
  <c r="D65" i="52094"/>
  <c r="D64" i="52094"/>
  <c r="D60" i="52094"/>
  <c r="D49" i="52094"/>
  <c r="D19" i="52094"/>
  <c r="D18" i="52094"/>
  <c r="D17" i="52094"/>
  <c r="D16" i="52094"/>
  <c r="D15" i="52094"/>
  <c r="D14" i="52094"/>
  <c r="D13" i="52094"/>
  <c r="D12" i="52094"/>
  <c r="D11" i="52094"/>
  <c r="D10" i="52094"/>
  <c r="D9" i="52094"/>
  <c r="D8" i="52094"/>
  <c r="D218" i="52092"/>
  <c r="D213" i="52092"/>
  <c r="D212" i="52092"/>
  <c r="D211" i="52092"/>
  <c r="D207" i="52092"/>
  <c r="D199" i="52092"/>
  <c r="D198" i="52092"/>
  <c r="D197" i="52092"/>
  <c r="D196" i="52092"/>
  <c r="D195" i="52092"/>
  <c r="D194" i="52092"/>
  <c r="D193" i="52092"/>
  <c r="D192" i="52092"/>
  <c r="D191" i="52092"/>
  <c r="D190" i="52092"/>
  <c r="D189" i="52092"/>
  <c r="D188" i="52092"/>
  <c r="D187" i="52092"/>
  <c r="D183" i="52092"/>
  <c r="D182" i="52092"/>
  <c r="D181" i="52092"/>
  <c r="D180" i="52092"/>
  <c r="D179" i="52092"/>
  <c r="D178" i="52092"/>
  <c r="D177" i="52092"/>
  <c r="D176" i="52092"/>
  <c r="D175" i="52092"/>
  <c r="D174" i="52092"/>
  <c r="D173" i="52092"/>
  <c r="D172" i="52092"/>
  <c r="D171" i="52092"/>
  <c r="D170" i="52092"/>
  <c r="D166" i="52092"/>
  <c r="D165" i="52092"/>
  <c r="D164" i="52092"/>
  <c r="D163" i="52092"/>
  <c r="D162" i="52092"/>
  <c r="D161" i="52092"/>
  <c r="D160" i="52092"/>
  <c r="D159" i="52092"/>
  <c r="D158" i="52092"/>
  <c r="D157" i="52092"/>
  <c r="D156" i="52092"/>
  <c r="D152" i="52092"/>
  <c r="D151" i="52092"/>
  <c r="L151" i="52092"/>
  <c r="D150" i="52092"/>
  <c r="D149" i="52092"/>
  <c r="D148" i="52092"/>
  <c r="D147" i="52092"/>
  <c r="D146" i="52092"/>
  <c r="D145" i="52092"/>
  <c r="D144" i="52092"/>
  <c r="D143" i="52092"/>
  <c r="D142" i="52092"/>
  <c r="D141" i="52092"/>
  <c r="D140" i="52092"/>
  <c r="D139" i="52092"/>
  <c r="D138" i="52092"/>
  <c r="D137" i="52092"/>
  <c r="D136" i="52092"/>
  <c r="D135" i="52092"/>
  <c r="D134" i="52092"/>
  <c r="D133" i="52092"/>
  <c r="D132" i="52092"/>
  <c r="D131" i="52092"/>
  <c r="D127" i="52092"/>
  <c r="D126" i="52092"/>
  <c r="D125" i="52092"/>
  <c r="D124" i="52092"/>
  <c r="D123" i="52092"/>
  <c r="D122" i="52092"/>
  <c r="D121" i="52092"/>
  <c r="D120" i="52092"/>
  <c r="D119" i="52092"/>
  <c r="D118" i="52092"/>
  <c r="D114" i="52092"/>
  <c r="D113" i="52092"/>
  <c r="D112" i="52092"/>
  <c r="D111" i="52092"/>
  <c r="D110" i="52092"/>
  <c r="D109" i="52092"/>
  <c r="D108" i="52092"/>
  <c r="D107" i="52092"/>
  <c r="D106" i="52092"/>
  <c r="D105" i="52092"/>
  <c r="D101" i="52092"/>
  <c r="D100" i="52092"/>
  <c r="D99" i="52092"/>
  <c r="D98" i="52092"/>
  <c r="D97" i="52092"/>
  <c r="D96" i="52092"/>
  <c r="D95" i="52092"/>
  <c r="D94" i="52092"/>
  <c r="D93" i="52092"/>
  <c r="D92" i="52092"/>
  <c r="D91" i="52092"/>
  <c r="D90" i="52092"/>
  <c r="D89" i="52092"/>
  <c r="D88" i="52092"/>
  <c r="D87" i="52092"/>
  <c r="D86" i="52092"/>
  <c r="D85" i="52092"/>
  <c r="D84" i="52092"/>
  <c r="D83" i="52092"/>
  <c r="D82" i="52092"/>
  <c r="D81" i="52092"/>
  <c r="D80" i="52092"/>
  <c r="D79" i="52092"/>
  <c r="D78" i="52092"/>
  <c r="D77" i="52092"/>
  <c r="D76" i="52092"/>
  <c r="D75" i="52092"/>
  <c r="D74" i="52092"/>
  <c r="D73" i="52092"/>
  <c r="D72" i="52092"/>
  <c r="D68" i="52092"/>
  <c r="D67" i="52092"/>
  <c r="D66" i="52092"/>
  <c r="D65" i="52092"/>
  <c r="D64" i="52092"/>
  <c r="D60" i="52092"/>
  <c r="D49" i="52092"/>
  <c r="D19" i="52092"/>
  <c r="D18" i="52092"/>
  <c r="D17" i="52092"/>
  <c r="D16" i="52092"/>
  <c r="D15" i="52092"/>
  <c r="D14" i="52092"/>
  <c r="D13" i="52092"/>
  <c r="D12" i="52092"/>
  <c r="D11" i="52092"/>
  <c r="D10" i="52092"/>
  <c r="D9" i="52092"/>
  <c r="D8" i="52092"/>
  <c r="D218" i="52093"/>
  <c r="D213" i="52093"/>
  <c r="D212" i="52093"/>
  <c r="D211" i="52093"/>
  <c r="D207" i="52093"/>
  <c r="D199" i="52093"/>
  <c r="D198" i="52093"/>
  <c r="D197" i="52093"/>
  <c r="D196" i="52093"/>
  <c r="D195" i="52093"/>
  <c r="D194" i="52093"/>
  <c r="D193" i="52093"/>
  <c r="D192" i="52093"/>
  <c r="D191" i="52093"/>
  <c r="D190" i="52093"/>
  <c r="D189" i="52093"/>
  <c r="D188" i="52093"/>
  <c r="D187" i="52093"/>
  <c r="D183" i="52093"/>
  <c r="D182" i="52093"/>
  <c r="D181" i="52093"/>
  <c r="D180" i="52093"/>
  <c r="D179" i="52093"/>
  <c r="D178" i="52093"/>
  <c r="D177" i="52093"/>
  <c r="D176" i="52093"/>
  <c r="D175" i="52093"/>
  <c r="D174" i="52093"/>
  <c r="D173" i="52093"/>
  <c r="D172" i="52093"/>
  <c r="D171" i="52093"/>
  <c r="D170" i="52093"/>
  <c r="D166" i="52093"/>
  <c r="D165" i="52093"/>
  <c r="D164" i="52093"/>
  <c r="D163" i="52093"/>
  <c r="D162" i="52093"/>
  <c r="D161" i="52093"/>
  <c r="D160" i="52093"/>
  <c r="D159" i="52093"/>
  <c r="D158" i="52093"/>
  <c r="D157" i="52093"/>
  <c r="D156" i="52093"/>
  <c r="D152" i="52093"/>
  <c r="D151" i="52093"/>
  <c r="L151" i="52093" s="1"/>
  <c r="D150" i="52093"/>
  <c r="D149" i="52093"/>
  <c r="D148" i="52093"/>
  <c r="D147" i="52093"/>
  <c r="D146" i="52093"/>
  <c r="D145" i="52093"/>
  <c r="D144" i="52093"/>
  <c r="D143" i="52093"/>
  <c r="D142" i="52093"/>
  <c r="D141" i="52093"/>
  <c r="D140" i="52093"/>
  <c r="D139" i="52093"/>
  <c r="D138" i="52093"/>
  <c r="D137" i="52093"/>
  <c r="D136" i="52093"/>
  <c r="D135" i="52093"/>
  <c r="D134" i="52093"/>
  <c r="D133" i="52093"/>
  <c r="D132" i="52093"/>
  <c r="D131" i="52093"/>
  <c r="D127" i="52093"/>
  <c r="D126" i="52093"/>
  <c r="D125" i="52093"/>
  <c r="D124" i="52093"/>
  <c r="D123" i="52093"/>
  <c r="D122" i="52093"/>
  <c r="D121" i="52093"/>
  <c r="D120" i="52093"/>
  <c r="D119" i="52093"/>
  <c r="D118" i="52093"/>
  <c r="D114" i="52093"/>
  <c r="D113" i="52093"/>
  <c r="D112" i="52093"/>
  <c r="D111" i="52093"/>
  <c r="D110" i="52093"/>
  <c r="D109" i="52093"/>
  <c r="D108" i="52093"/>
  <c r="D107" i="52093"/>
  <c r="D106" i="52093"/>
  <c r="D105" i="52093"/>
  <c r="D101" i="52093"/>
  <c r="D100" i="52093"/>
  <c r="D99" i="52093"/>
  <c r="D98" i="52093"/>
  <c r="D97" i="52093"/>
  <c r="D96" i="52093"/>
  <c r="D95" i="52093"/>
  <c r="D94" i="52093"/>
  <c r="D93" i="52093"/>
  <c r="D92" i="52093"/>
  <c r="D91" i="52093"/>
  <c r="D90" i="52093"/>
  <c r="D89" i="52093"/>
  <c r="D88" i="52093"/>
  <c r="D87" i="52093"/>
  <c r="D86" i="52093"/>
  <c r="D85" i="52093"/>
  <c r="D84" i="52093"/>
  <c r="D83" i="52093"/>
  <c r="D82" i="52093"/>
  <c r="D81" i="52093"/>
  <c r="D80" i="52093"/>
  <c r="D79" i="52093"/>
  <c r="D78" i="52093"/>
  <c r="D77" i="52093"/>
  <c r="D76" i="52093"/>
  <c r="D75" i="52093"/>
  <c r="D74" i="52093"/>
  <c r="D73" i="52093"/>
  <c r="D72" i="52093"/>
  <c r="D68" i="52093"/>
  <c r="D67" i="52093"/>
  <c r="D66" i="52093"/>
  <c r="D65" i="52093"/>
  <c r="D64" i="52093"/>
  <c r="D60" i="52093"/>
  <c r="D49" i="52093"/>
  <c r="D19" i="52093"/>
  <c r="D18" i="52093"/>
  <c r="D17" i="52093"/>
  <c r="D16" i="52093"/>
  <c r="D15" i="52093"/>
  <c r="D14" i="52093"/>
  <c r="D13" i="52093"/>
  <c r="D12" i="52093"/>
  <c r="D11" i="52093"/>
  <c r="D10" i="52093"/>
  <c r="D9" i="52093"/>
  <c r="D8" i="52093"/>
  <c r="D218" i="52091"/>
  <c r="D213" i="52091"/>
  <c r="D212" i="52091"/>
  <c r="D211" i="52091"/>
  <c r="D207" i="52091"/>
  <c r="D199" i="52091"/>
  <c r="D198" i="52091"/>
  <c r="D197" i="52091"/>
  <c r="D196" i="52091"/>
  <c r="D195" i="52091"/>
  <c r="D194" i="52091"/>
  <c r="D193" i="52091"/>
  <c r="D192" i="52091"/>
  <c r="D191" i="52091"/>
  <c r="D190" i="52091"/>
  <c r="D189" i="52091"/>
  <c r="D188" i="52091"/>
  <c r="D187" i="52091"/>
  <c r="D183" i="52091"/>
  <c r="D182" i="52091"/>
  <c r="D181" i="52091"/>
  <c r="D180" i="52091"/>
  <c r="D179" i="52091"/>
  <c r="D178" i="52091"/>
  <c r="D177" i="52091"/>
  <c r="D176" i="52091"/>
  <c r="D175" i="52091"/>
  <c r="D174" i="52091"/>
  <c r="D173" i="52091"/>
  <c r="D172" i="52091"/>
  <c r="D171" i="52091"/>
  <c r="D170" i="52091"/>
  <c r="D166" i="52091"/>
  <c r="D165" i="52091"/>
  <c r="D164" i="52091"/>
  <c r="D163" i="52091"/>
  <c r="D162" i="52091"/>
  <c r="D161" i="52091"/>
  <c r="D160" i="52091"/>
  <c r="D159" i="52091"/>
  <c r="D158" i="52091"/>
  <c r="D157" i="52091"/>
  <c r="D156" i="52091"/>
  <c r="D152" i="52091"/>
  <c r="D151" i="52091"/>
  <c r="L151" i="52091"/>
  <c r="D150" i="52091"/>
  <c r="D149" i="52091"/>
  <c r="D148" i="52091"/>
  <c r="D147" i="52091"/>
  <c r="D146" i="52091"/>
  <c r="D145" i="52091"/>
  <c r="D144" i="52091"/>
  <c r="D143" i="52091"/>
  <c r="D142" i="52091"/>
  <c r="D141" i="52091"/>
  <c r="D140" i="52091"/>
  <c r="D139" i="52091"/>
  <c r="D138" i="52091"/>
  <c r="D137" i="52091"/>
  <c r="D136" i="52091"/>
  <c r="D135" i="52091"/>
  <c r="D134" i="52091"/>
  <c r="D133" i="52091"/>
  <c r="D132" i="52091"/>
  <c r="D131" i="52091"/>
  <c r="D127" i="52091"/>
  <c r="D126" i="52091"/>
  <c r="D125" i="52091"/>
  <c r="D124" i="52091"/>
  <c r="D123" i="52091"/>
  <c r="D122" i="52091"/>
  <c r="D121" i="52091"/>
  <c r="D120" i="52091"/>
  <c r="D119" i="52091"/>
  <c r="D118" i="52091"/>
  <c r="D114" i="52091"/>
  <c r="D113" i="52091"/>
  <c r="D112" i="52091"/>
  <c r="D111" i="52091"/>
  <c r="D110" i="52091"/>
  <c r="D109" i="52091"/>
  <c r="D108" i="52091"/>
  <c r="D107" i="52091"/>
  <c r="D106" i="52091"/>
  <c r="D105" i="52091"/>
  <c r="D101" i="52091"/>
  <c r="D100" i="52091"/>
  <c r="D99" i="52091"/>
  <c r="D98" i="52091"/>
  <c r="D97" i="52091"/>
  <c r="D96" i="52091"/>
  <c r="D95" i="52091"/>
  <c r="D94" i="52091"/>
  <c r="D93" i="52091"/>
  <c r="D92" i="52091"/>
  <c r="D91" i="52091"/>
  <c r="D90" i="52091"/>
  <c r="D89" i="52091"/>
  <c r="D88" i="52091"/>
  <c r="D87" i="52091"/>
  <c r="D86" i="52091"/>
  <c r="D85" i="52091"/>
  <c r="D84" i="52091"/>
  <c r="D83" i="52091"/>
  <c r="D82" i="52091"/>
  <c r="D81" i="52091"/>
  <c r="D80" i="52091"/>
  <c r="D79" i="52091"/>
  <c r="D78" i="52091"/>
  <c r="D77" i="52091"/>
  <c r="D76" i="52091"/>
  <c r="D75" i="52091"/>
  <c r="D74" i="52091"/>
  <c r="D73" i="52091"/>
  <c r="D72" i="52091"/>
  <c r="D68" i="52091"/>
  <c r="D67" i="52091"/>
  <c r="D66" i="52091"/>
  <c r="D65" i="52091"/>
  <c r="D64" i="52091"/>
  <c r="D60" i="52091"/>
  <c r="D49" i="52091"/>
  <c r="D19" i="52091"/>
  <c r="D18" i="52091"/>
  <c r="D17" i="52091"/>
  <c r="D16" i="52091"/>
  <c r="D15" i="52091"/>
  <c r="D14" i="52091"/>
  <c r="D13" i="52091"/>
  <c r="D12" i="52091"/>
  <c r="D11" i="52091"/>
  <c r="D10" i="52091"/>
  <c r="D9" i="52091"/>
  <c r="D8" i="52091"/>
  <c r="D218" i="52090"/>
  <c r="D213" i="52090"/>
  <c r="D212" i="52090"/>
  <c r="D211" i="52090"/>
  <c r="D207" i="52090"/>
  <c r="D199" i="52090"/>
  <c r="D198" i="52090"/>
  <c r="D197" i="52090"/>
  <c r="D196" i="52090"/>
  <c r="D195" i="52090"/>
  <c r="D194" i="52090"/>
  <c r="D193" i="52090"/>
  <c r="D192" i="52090"/>
  <c r="D191" i="52090"/>
  <c r="D190" i="52090"/>
  <c r="D189" i="52090"/>
  <c r="D188" i="52090"/>
  <c r="D187" i="52090"/>
  <c r="D183" i="52090"/>
  <c r="D182" i="52090"/>
  <c r="D181" i="52090"/>
  <c r="D180" i="52090"/>
  <c r="D179" i="52090"/>
  <c r="D178" i="52090"/>
  <c r="D177" i="52090"/>
  <c r="D176" i="52090"/>
  <c r="D175" i="52090"/>
  <c r="D174" i="52090"/>
  <c r="D173" i="52090"/>
  <c r="D172" i="52090"/>
  <c r="D171" i="52090"/>
  <c r="D170" i="52090"/>
  <c r="D166" i="52090"/>
  <c r="D165" i="52090"/>
  <c r="D164" i="52090"/>
  <c r="D163" i="52090"/>
  <c r="D162" i="52090"/>
  <c r="D161" i="52090"/>
  <c r="D160" i="52090"/>
  <c r="D159" i="52090"/>
  <c r="D158" i="52090"/>
  <c r="D157" i="52090"/>
  <c r="D156" i="52090"/>
  <c r="D152" i="52090"/>
  <c r="D151" i="52090"/>
  <c r="L151" i="52090" s="1"/>
  <c r="D150" i="52090"/>
  <c r="D149" i="52090"/>
  <c r="D148" i="52090"/>
  <c r="D147" i="52090"/>
  <c r="D146" i="52090"/>
  <c r="D145" i="52090"/>
  <c r="D144" i="52090"/>
  <c r="D143" i="52090"/>
  <c r="D142" i="52090"/>
  <c r="D141" i="52090"/>
  <c r="D140" i="52090"/>
  <c r="D139" i="52090"/>
  <c r="D138" i="52090"/>
  <c r="D137" i="52090"/>
  <c r="D136" i="52090"/>
  <c r="D135" i="52090"/>
  <c r="D134" i="52090"/>
  <c r="D133" i="52090"/>
  <c r="D132" i="52090"/>
  <c r="D131" i="52090"/>
  <c r="D127" i="52090"/>
  <c r="D126" i="52090"/>
  <c r="D125" i="52090"/>
  <c r="D124" i="52090"/>
  <c r="D123" i="52090"/>
  <c r="D122" i="52090"/>
  <c r="D121" i="52090"/>
  <c r="D120" i="52090"/>
  <c r="D119" i="52090"/>
  <c r="D118" i="52090"/>
  <c r="D114" i="52090"/>
  <c r="D113" i="52090"/>
  <c r="D112" i="52090"/>
  <c r="D111" i="52090"/>
  <c r="D110" i="52090"/>
  <c r="D109" i="52090"/>
  <c r="D108" i="52090"/>
  <c r="D107" i="52090"/>
  <c r="D106" i="52090"/>
  <c r="D105" i="52090"/>
  <c r="D101" i="52090"/>
  <c r="D100" i="52090"/>
  <c r="D99" i="52090"/>
  <c r="D98" i="52090"/>
  <c r="D97" i="52090"/>
  <c r="D96" i="52090"/>
  <c r="D95" i="52090"/>
  <c r="D94" i="52090"/>
  <c r="D93" i="52090"/>
  <c r="D92" i="52090"/>
  <c r="D91" i="52090"/>
  <c r="D90" i="52090"/>
  <c r="D89" i="52090"/>
  <c r="D88" i="52090"/>
  <c r="D87" i="52090"/>
  <c r="D86" i="52090"/>
  <c r="D85" i="52090"/>
  <c r="D84" i="52090"/>
  <c r="D83" i="52090"/>
  <c r="D82" i="52090"/>
  <c r="D81" i="52090"/>
  <c r="D80" i="52090"/>
  <c r="D79" i="52090"/>
  <c r="D78" i="52090"/>
  <c r="D77" i="52090"/>
  <c r="D76" i="52090"/>
  <c r="D75" i="52090"/>
  <c r="D74" i="52090"/>
  <c r="D73" i="52090"/>
  <c r="D72" i="52090"/>
  <c r="D68" i="52090"/>
  <c r="D67" i="52090"/>
  <c r="D66" i="52090"/>
  <c r="D65" i="52090"/>
  <c r="D64" i="52090"/>
  <c r="D60" i="52090"/>
  <c r="D49" i="52090"/>
  <c r="D19" i="52090"/>
  <c r="D18" i="52090"/>
  <c r="D17" i="52090"/>
  <c r="D16" i="52090"/>
  <c r="D15" i="52090"/>
  <c r="D14" i="52090"/>
  <c r="D13" i="52090"/>
  <c r="D12" i="52090"/>
  <c r="D11" i="52090"/>
  <c r="D10" i="52090"/>
  <c r="D9" i="52090"/>
  <c r="D8" i="52090"/>
  <c r="D218" i="52089"/>
  <c r="D213" i="52089"/>
  <c r="D212" i="52089"/>
  <c r="D211" i="52089"/>
  <c r="D207" i="52089"/>
  <c r="D199" i="52089"/>
  <c r="D198" i="52089"/>
  <c r="D197" i="52089"/>
  <c r="D196" i="52089"/>
  <c r="D195" i="52089"/>
  <c r="D194" i="52089"/>
  <c r="D193" i="52089"/>
  <c r="D192" i="52089"/>
  <c r="D191" i="52089"/>
  <c r="D190" i="52089"/>
  <c r="D189" i="52089"/>
  <c r="D188" i="52089"/>
  <c r="D187" i="52089"/>
  <c r="D183" i="52089"/>
  <c r="D182" i="52089"/>
  <c r="D181" i="52089"/>
  <c r="D180" i="52089"/>
  <c r="D179" i="52089"/>
  <c r="D178" i="52089"/>
  <c r="D177" i="52089"/>
  <c r="D176" i="52089"/>
  <c r="D175" i="52089"/>
  <c r="D174" i="52089"/>
  <c r="D173" i="52089"/>
  <c r="D172" i="52089"/>
  <c r="D171" i="52089"/>
  <c r="D170" i="52089"/>
  <c r="D166" i="52089"/>
  <c r="D165" i="52089"/>
  <c r="D164" i="52089"/>
  <c r="D163" i="52089"/>
  <c r="D162" i="52089"/>
  <c r="D161" i="52089"/>
  <c r="D160" i="52089"/>
  <c r="D159" i="52089"/>
  <c r="D158" i="52089"/>
  <c r="D157" i="52089"/>
  <c r="D156" i="52089"/>
  <c r="D152" i="52089"/>
  <c r="D151" i="52089"/>
  <c r="L151" i="52089"/>
  <c r="D150" i="52089"/>
  <c r="D149" i="52089"/>
  <c r="D148" i="52089"/>
  <c r="D147" i="52089"/>
  <c r="D146" i="52089"/>
  <c r="D145" i="52089"/>
  <c r="D144" i="52089"/>
  <c r="D143" i="52089"/>
  <c r="D142" i="52089"/>
  <c r="D141" i="52089"/>
  <c r="D140" i="52089"/>
  <c r="D139" i="52089"/>
  <c r="D138" i="52089"/>
  <c r="D137" i="52089"/>
  <c r="D136" i="52089"/>
  <c r="D135" i="52089"/>
  <c r="D134" i="52089"/>
  <c r="D133" i="52089"/>
  <c r="D132" i="52089"/>
  <c r="D131" i="52089"/>
  <c r="D127" i="52089"/>
  <c r="D126" i="52089"/>
  <c r="D125" i="52089"/>
  <c r="D124" i="52089"/>
  <c r="D123" i="52089"/>
  <c r="D122" i="52089"/>
  <c r="D121" i="52089"/>
  <c r="D120" i="52089"/>
  <c r="D119" i="52089"/>
  <c r="D118" i="52089"/>
  <c r="D114" i="52089"/>
  <c r="D113" i="52089"/>
  <c r="D112" i="52089"/>
  <c r="D111" i="52089"/>
  <c r="D110" i="52089"/>
  <c r="D109" i="52089"/>
  <c r="D108" i="52089"/>
  <c r="D107" i="52089"/>
  <c r="D106" i="52089"/>
  <c r="D105" i="52089"/>
  <c r="D101" i="52089"/>
  <c r="D100" i="52089"/>
  <c r="D99" i="52089"/>
  <c r="D98" i="52089"/>
  <c r="D97" i="52089"/>
  <c r="D96" i="52089"/>
  <c r="D95" i="52089"/>
  <c r="D94" i="52089"/>
  <c r="D93" i="52089"/>
  <c r="D92" i="52089"/>
  <c r="D91" i="52089"/>
  <c r="D90" i="52089"/>
  <c r="D89" i="52089"/>
  <c r="D88" i="52089"/>
  <c r="D87" i="52089"/>
  <c r="D86" i="52089"/>
  <c r="D85" i="52089"/>
  <c r="D84" i="52089"/>
  <c r="D83" i="52089"/>
  <c r="D82" i="52089"/>
  <c r="D81" i="52089"/>
  <c r="D80" i="52089"/>
  <c r="D79" i="52089"/>
  <c r="D78" i="52089"/>
  <c r="D77" i="52089"/>
  <c r="D76" i="52089"/>
  <c r="D75" i="52089"/>
  <c r="D74" i="52089"/>
  <c r="D73" i="52089"/>
  <c r="D72" i="52089"/>
  <c r="D68" i="52089"/>
  <c r="D67" i="52089"/>
  <c r="D66" i="52089"/>
  <c r="D65" i="52089"/>
  <c r="D64" i="52089"/>
  <c r="D60" i="52089"/>
  <c r="D49" i="52089"/>
  <c r="L49" i="52104" s="1"/>
  <c r="D19" i="52089"/>
  <c r="D18" i="52089"/>
  <c r="D17" i="52089"/>
  <c r="D16" i="52089"/>
  <c r="D15" i="52089"/>
  <c r="D14" i="52089"/>
  <c r="D13" i="52089"/>
  <c r="D12" i="52089"/>
  <c r="D11" i="52089"/>
  <c r="D10" i="52089"/>
  <c r="D9" i="52089"/>
  <c r="D8" i="52089"/>
  <c r="D213" i="77"/>
  <c r="D212" i="77"/>
  <c r="D211" i="77"/>
  <c r="D207" i="77"/>
  <c r="D199" i="77"/>
  <c r="D198" i="77"/>
  <c r="D197" i="77"/>
  <c r="D196" i="77"/>
  <c r="D195" i="77"/>
  <c r="D194" i="77"/>
  <c r="D193" i="77"/>
  <c r="D192" i="77"/>
  <c r="D191" i="77"/>
  <c r="D190" i="77"/>
  <c r="D189" i="77"/>
  <c r="D188" i="77"/>
  <c r="D187" i="77"/>
  <c r="D183" i="77"/>
  <c r="D182" i="77"/>
  <c r="D181" i="77"/>
  <c r="D180" i="77"/>
  <c r="D179" i="77"/>
  <c r="D178" i="77"/>
  <c r="D177" i="77"/>
  <c r="D176" i="77"/>
  <c r="D175" i="77"/>
  <c r="D174" i="77"/>
  <c r="D173" i="77"/>
  <c r="D172" i="77"/>
  <c r="D171" i="77"/>
  <c r="D170" i="77"/>
  <c r="D166" i="77"/>
  <c r="D165" i="77"/>
  <c r="D164" i="77"/>
  <c r="D163" i="77"/>
  <c r="D162" i="77"/>
  <c r="D161" i="77"/>
  <c r="D160" i="77"/>
  <c r="D159" i="77"/>
  <c r="D158" i="77"/>
  <c r="D157" i="77"/>
  <c r="D156" i="77"/>
  <c r="D152" i="77"/>
  <c r="D151" i="77"/>
  <c r="L151" i="77"/>
  <c r="D150" i="77"/>
  <c r="D149" i="77"/>
  <c r="D148" i="77"/>
  <c r="D147" i="77"/>
  <c r="D146" i="77"/>
  <c r="D145" i="77"/>
  <c r="D144" i="77"/>
  <c r="D143" i="77"/>
  <c r="D142" i="77"/>
  <c r="D141" i="77"/>
  <c r="D140" i="77"/>
  <c r="D139" i="77"/>
  <c r="D138" i="77"/>
  <c r="D137" i="77"/>
  <c r="D136" i="77"/>
  <c r="D135" i="77"/>
  <c r="D134" i="77"/>
  <c r="D133" i="77"/>
  <c r="D132" i="77"/>
  <c r="D131" i="77"/>
  <c r="D127" i="77"/>
  <c r="D126" i="77"/>
  <c r="D125" i="77"/>
  <c r="D124" i="77"/>
  <c r="D123" i="77"/>
  <c r="D122" i="77"/>
  <c r="D121" i="77"/>
  <c r="D120" i="77"/>
  <c r="D119" i="77"/>
  <c r="D118" i="77"/>
  <c r="D114" i="77"/>
  <c r="D113" i="77"/>
  <c r="D112" i="77"/>
  <c r="D111" i="77"/>
  <c r="D110" i="77"/>
  <c r="D109" i="77"/>
  <c r="D108" i="77"/>
  <c r="D107" i="77"/>
  <c r="D106" i="77"/>
  <c r="D105" i="77"/>
  <c r="D101" i="77"/>
  <c r="D100" i="77"/>
  <c r="D99" i="77"/>
  <c r="D98" i="77"/>
  <c r="D97" i="77"/>
  <c r="D96" i="77"/>
  <c r="D95" i="77"/>
  <c r="D94" i="77"/>
  <c r="D93" i="77"/>
  <c r="D92" i="77"/>
  <c r="D91" i="77"/>
  <c r="D90" i="77"/>
  <c r="D89" i="77"/>
  <c r="D88" i="77"/>
  <c r="D87" i="77"/>
  <c r="D86" i="77"/>
  <c r="D85" i="77"/>
  <c r="D84" i="77"/>
  <c r="D83" i="77"/>
  <c r="D82" i="77"/>
  <c r="D81" i="77"/>
  <c r="D80" i="77"/>
  <c r="D79" i="77"/>
  <c r="D78" i="77"/>
  <c r="D77" i="77"/>
  <c r="D76" i="77"/>
  <c r="D75" i="77"/>
  <c r="D74" i="77"/>
  <c r="D73" i="77"/>
  <c r="D72" i="77"/>
  <c r="D68" i="77"/>
  <c r="D67" i="77"/>
  <c r="D66" i="77"/>
  <c r="D65" i="77"/>
  <c r="D64" i="77"/>
  <c r="D60" i="77"/>
  <c r="D49" i="77"/>
  <c r="D19" i="77"/>
  <c r="D18" i="77"/>
  <c r="D17" i="77"/>
  <c r="D16" i="77"/>
  <c r="D15" i="77"/>
  <c r="D14" i="77"/>
  <c r="D13" i="77"/>
  <c r="D12" i="77"/>
  <c r="D11" i="77"/>
  <c r="D10" i="77"/>
  <c r="D9" i="77"/>
  <c r="D8" i="77"/>
  <c r="D218" i="12"/>
  <c r="D213" i="12"/>
  <c r="D212" i="12"/>
  <c r="D211" i="12"/>
  <c r="D207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6" i="12"/>
  <c r="D165" i="12"/>
  <c r="D164" i="12"/>
  <c r="D163" i="12"/>
  <c r="D162" i="12"/>
  <c r="D161" i="12"/>
  <c r="D160" i="12"/>
  <c r="D159" i="12"/>
  <c r="D158" i="12"/>
  <c r="D157" i="12"/>
  <c r="D156" i="12"/>
  <c r="D152" i="12"/>
  <c r="D151" i="12"/>
  <c r="L151" i="12" s="1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27" i="12"/>
  <c r="D126" i="12"/>
  <c r="D125" i="12"/>
  <c r="D124" i="12"/>
  <c r="D123" i="12"/>
  <c r="D122" i="12"/>
  <c r="D121" i="12"/>
  <c r="D120" i="12"/>
  <c r="D119" i="12"/>
  <c r="D118" i="12"/>
  <c r="D114" i="12"/>
  <c r="D113" i="12"/>
  <c r="D112" i="12"/>
  <c r="D111" i="12"/>
  <c r="D110" i="12"/>
  <c r="D109" i="12"/>
  <c r="D108" i="12"/>
  <c r="D107" i="12"/>
  <c r="D106" i="12"/>
  <c r="D105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68" i="12"/>
  <c r="D67" i="12"/>
  <c r="D66" i="12"/>
  <c r="D65" i="12"/>
  <c r="D64" i="12"/>
  <c r="D60" i="12"/>
  <c r="D49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218" i="20"/>
  <c r="D213" i="20"/>
  <c r="D212" i="20"/>
  <c r="D211" i="20"/>
  <c r="D207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6" i="20"/>
  <c r="D165" i="20"/>
  <c r="D164" i="20"/>
  <c r="D163" i="20"/>
  <c r="D162" i="20"/>
  <c r="D161" i="20"/>
  <c r="D160" i="20"/>
  <c r="D159" i="20"/>
  <c r="D158" i="20"/>
  <c r="D157" i="20"/>
  <c r="D156" i="20"/>
  <c r="D152" i="20"/>
  <c r="D151" i="20"/>
  <c r="L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27" i="20"/>
  <c r="D126" i="20"/>
  <c r="D125" i="20"/>
  <c r="D124" i="20"/>
  <c r="D123" i="20"/>
  <c r="D122" i="20"/>
  <c r="D121" i="20"/>
  <c r="D120" i="20"/>
  <c r="D119" i="20"/>
  <c r="D118" i="20"/>
  <c r="D114" i="20"/>
  <c r="D113" i="20"/>
  <c r="D112" i="20"/>
  <c r="D111" i="20"/>
  <c r="D110" i="20"/>
  <c r="D109" i="20"/>
  <c r="D108" i="20"/>
  <c r="D107" i="20"/>
  <c r="D106" i="20"/>
  <c r="D105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68" i="20"/>
  <c r="D67" i="20"/>
  <c r="D66" i="20"/>
  <c r="D65" i="20"/>
  <c r="D64" i="20"/>
  <c r="D60" i="20"/>
  <c r="D49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218" i="115"/>
  <c r="D213" i="115"/>
  <c r="D212" i="115"/>
  <c r="D211" i="115"/>
  <c r="D207" i="115"/>
  <c r="D199" i="115"/>
  <c r="D198" i="115"/>
  <c r="D197" i="115"/>
  <c r="D196" i="115"/>
  <c r="D195" i="115"/>
  <c r="D194" i="115"/>
  <c r="D193" i="115"/>
  <c r="D192" i="115"/>
  <c r="D191" i="115"/>
  <c r="D190" i="115"/>
  <c r="D189" i="115"/>
  <c r="D188" i="115"/>
  <c r="D187" i="115"/>
  <c r="D183" i="115"/>
  <c r="D182" i="115"/>
  <c r="D181" i="115"/>
  <c r="D180" i="115"/>
  <c r="D179" i="115"/>
  <c r="D178" i="115"/>
  <c r="D177" i="115"/>
  <c r="D176" i="115"/>
  <c r="D175" i="115"/>
  <c r="D174" i="115"/>
  <c r="D173" i="115"/>
  <c r="D172" i="115"/>
  <c r="D171" i="115"/>
  <c r="D170" i="115"/>
  <c r="D166" i="115"/>
  <c r="D165" i="115"/>
  <c r="D164" i="115"/>
  <c r="D163" i="115"/>
  <c r="D162" i="115"/>
  <c r="D161" i="115"/>
  <c r="D160" i="115"/>
  <c r="D159" i="115"/>
  <c r="D158" i="115"/>
  <c r="D157" i="115"/>
  <c r="D156" i="115"/>
  <c r="D152" i="115"/>
  <c r="D151" i="115"/>
  <c r="L151" i="115" s="1"/>
  <c r="D150" i="115"/>
  <c r="D149" i="115"/>
  <c r="D148" i="115"/>
  <c r="D147" i="115"/>
  <c r="D146" i="115"/>
  <c r="D145" i="115"/>
  <c r="D144" i="115"/>
  <c r="D143" i="115"/>
  <c r="D142" i="115"/>
  <c r="D141" i="115"/>
  <c r="D140" i="115"/>
  <c r="D139" i="115"/>
  <c r="D138" i="115"/>
  <c r="D137" i="115"/>
  <c r="D136" i="115"/>
  <c r="D135" i="115"/>
  <c r="D134" i="115"/>
  <c r="D133" i="115"/>
  <c r="D132" i="115"/>
  <c r="D131" i="115"/>
  <c r="D127" i="115"/>
  <c r="D126" i="115"/>
  <c r="D125" i="115"/>
  <c r="D124" i="115"/>
  <c r="D123" i="115"/>
  <c r="D122" i="115"/>
  <c r="D121" i="115"/>
  <c r="D120" i="115"/>
  <c r="D119" i="115"/>
  <c r="D118" i="115"/>
  <c r="D114" i="115"/>
  <c r="D113" i="115"/>
  <c r="D112" i="115"/>
  <c r="D111" i="115"/>
  <c r="D110" i="115"/>
  <c r="D109" i="115"/>
  <c r="D108" i="115"/>
  <c r="D107" i="115"/>
  <c r="D106" i="115"/>
  <c r="D105" i="115"/>
  <c r="D101" i="115"/>
  <c r="D100" i="115"/>
  <c r="D99" i="115"/>
  <c r="D98" i="115"/>
  <c r="D97" i="115"/>
  <c r="D96" i="115"/>
  <c r="D95" i="115"/>
  <c r="D94" i="115"/>
  <c r="D93" i="115"/>
  <c r="D92" i="115"/>
  <c r="D91" i="115"/>
  <c r="D90" i="115"/>
  <c r="D89" i="115"/>
  <c r="D88" i="115"/>
  <c r="D87" i="115"/>
  <c r="D86" i="115"/>
  <c r="D85" i="115"/>
  <c r="D84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68" i="115"/>
  <c r="D67" i="115"/>
  <c r="D66" i="115"/>
  <c r="D65" i="115"/>
  <c r="D64" i="115"/>
  <c r="D60" i="115"/>
  <c r="D49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218" i="114"/>
  <c r="D213" i="114"/>
  <c r="D212" i="114"/>
  <c r="D211" i="114"/>
  <c r="D207" i="114"/>
  <c r="D199" i="114"/>
  <c r="D198" i="114"/>
  <c r="D197" i="114"/>
  <c r="D196" i="114"/>
  <c r="D195" i="114"/>
  <c r="D194" i="114"/>
  <c r="D193" i="114"/>
  <c r="D192" i="114"/>
  <c r="D191" i="114"/>
  <c r="D190" i="114"/>
  <c r="D189" i="114"/>
  <c r="D188" i="114"/>
  <c r="D187" i="114"/>
  <c r="D183" i="114"/>
  <c r="D182" i="114"/>
  <c r="D181" i="114"/>
  <c r="D180" i="114"/>
  <c r="D179" i="114"/>
  <c r="D178" i="114"/>
  <c r="D177" i="114"/>
  <c r="D176" i="114"/>
  <c r="D175" i="114"/>
  <c r="D174" i="114"/>
  <c r="D173" i="114"/>
  <c r="D172" i="114"/>
  <c r="D171" i="114"/>
  <c r="D170" i="114"/>
  <c r="D166" i="114"/>
  <c r="D165" i="114"/>
  <c r="D164" i="114"/>
  <c r="D163" i="114"/>
  <c r="D162" i="114"/>
  <c r="D161" i="114"/>
  <c r="D160" i="114"/>
  <c r="D159" i="114"/>
  <c r="D158" i="114"/>
  <c r="D157" i="114"/>
  <c r="D156" i="114"/>
  <c r="D152" i="114"/>
  <c r="D151" i="114"/>
  <c r="L151" i="114"/>
  <c r="D150" i="114"/>
  <c r="D149" i="114"/>
  <c r="D148" i="114"/>
  <c r="D147" i="114"/>
  <c r="D146" i="114"/>
  <c r="D145" i="114"/>
  <c r="D144" i="114"/>
  <c r="D143" i="114"/>
  <c r="D142" i="114"/>
  <c r="D141" i="114"/>
  <c r="D140" i="114"/>
  <c r="D139" i="114"/>
  <c r="D138" i="114"/>
  <c r="D137" i="114"/>
  <c r="D136" i="114"/>
  <c r="D135" i="114"/>
  <c r="D134" i="114"/>
  <c r="D133" i="114"/>
  <c r="D132" i="114"/>
  <c r="D131" i="114"/>
  <c r="D127" i="114"/>
  <c r="D126" i="114"/>
  <c r="D125" i="114"/>
  <c r="D124" i="114"/>
  <c r="D123" i="114"/>
  <c r="D122" i="114"/>
  <c r="D121" i="114"/>
  <c r="D120" i="114"/>
  <c r="D119" i="114"/>
  <c r="D118" i="114"/>
  <c r="D114" i="114"/>
  <c r="D113" i="114"/>
  <c r="D112" i="114"/>
  <c r="D111" i="114"/>
  <c r="D110" i="114"/>
  <c r="D109" i="114"/>
  <c r="D108" i="114"/>
  <c r="D107" i="114"/>
  <c r="D106" i="114"/>
  <c r="D105" i="114"/>
  <c r="D101" i="114"/>
  <c r="D100" i="114"/>
  <c r="D99" i="114"/>
  <c r="D98" i="114"/>
  <c r="D97" i="114"/>
  <c r="D96" i="114"/>
  <c r="D95" i="114"/>
  <c r="D94" i="114"/>
  <c r="D93" i="114"/>
  <c r="D92" i="114"/>
  <c r="D91" i="114"/>
  <c r="D90" i="114"/>
  <c r="D89" i="114"/>
  <c r="D88" i="114"/>
  <c r="D87" i="114"/>
  <c r="D86" i="114"/>
  <c r="D85" i="114"/>
  <c r="D84" i="114"/>
  <c r="D83" i="114"/>
  <c r="D82" i="114"/>
  <c r="D81" i="114"/>
  <c r="D80" i="114"/>
  <c r="D79" i="114"/>
  <c r="D78" i="114"/>
  <c r="D77" i="114"/>
  <c r="D76" i="114"/>
  <c r="D75" i="114"/>
  <c r="D74" i="114"/>
  <c r="D73" i="114"/>
  <c r="D72" i="114"/>
  <c r="D68" i="114"/>
  <c r="D67" i="114"/>
  <c r="D66" i="114"/>
  <c r="D65" i="114"/>
  <c r="D64" i="114"/>
  <c r="D60" i="114"/>
  <c r="D49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218" i="52071"/>
  <c r="D213" i="52071"/>
  <c r="D212" i="52071"/>
  <c r="D211" i="52071"/>
  <c r="D207" i="52071"/>
  <c r="D199" i="52071"/>
  <c r="D198" i="52071"/>
  <c r="D197" i="52071"/>
  <c r="D196" i="52071"/>
  <c r="D195" i="52071"/>
  <c r="D194" i="52071"/>
  <c r="D193" i="52071"/>
  <c r="D192" i="52071"/>
  <c r="D191" i="52071"/>
  <c r="D190" i="52071"/>
  <c r="D189" i="52071"/>
  <c r="D188" i="52071"/>
  <c r="D187" i="52071"/>
  <c r="D183" i="52071"/>
  <c r="D182" i="52071"/>
  <c r="D181" i="52071"/>
  <c r="D180" i="52071"/>
  <c r="D179" i="52071"/>
  <c r="D178" i="52071"/>
  <c r="D177" i="52071"/>
  <c r="D176" i="52071"/>
  <c r="D175" i="52071"/>
  <c r="D174" i="52071"/>
  <c r="D173" i="52071"/>
  <c r="D172" i="52071"/>
  <c r="D171" i="52071"/>
  <c r="D170" i="52071"/>
  <c r="D166" i="52071"/>
  <c r="D165" i="52071"/>
  <c r="D164" i="52071"/>
  <c r="D163" i="52071"/>
  <c r="D162" i="52071"/>
  <c r="D161" i="52071"/>
  <c r="D160" i="52071"/>
  <c r="D159" i="52071"/>
  <c r="D158" i="52071"/>
  <c r="D157" i="52071"/>
  <c r="D156" i="52071"/>
  <c r="D152" i="52071"/>
  <c r="D151" i="52071"/>
  <c r="D150" i="52071"/>
  <c r="D149" i="52071"/>
  <c r="D148" i="52071"/>
  <c r="D147" i="52071"/>
  <c r="D146" i="52071"/>
  <c r="D145" i="52071"/>
  <c r="D144" i="52071"/>
  <c r="D143" i="52071"/>
  <c r="D142" i="52071"/>
  <c r="D141" i="52071"/>
  <c r="D140" i="52071"/>
  <c r="D139" i="52071"/>
  <c r="D138" i="52071"/>
  <c r="D137" i="52071"/>
  <c r="D136" i="52071"/>
  <c r="D135" i="52071"/>
  <c r="D134" i="52071"/>
  <c r="D133" i="52071"/>
  <c r="D132" i="52071"/>
  <c r="D131" i="52071"/>
  <c r="D127" i="52071"/>
  <c r="D126" i="52071"/>
  <c r="D125" i="52071"/>
  <c r="D124" i="52071"/>
  <c r="D123" i="52071"/>
  <c r="D122" i="52071"/>
  <c r="D121" i="52071"/>
  <c r="D120" i="52071"/>
  <c r="D119" i="52071"/>
  <c r="D118" i="52071"/>
  <c r="D114" i="52071"/>
  <c r="D113" i="52071"/>
  <c r="D112" i="52071"/>
  <c r="D111" i="52071"/>
  <c r="D110" i="52071"/>
  <c r="D109" i="52071"/>
  <c r="D108" i="52071"/>
  <c r="D107" i="52071"/>
  <c r="D106" i="52071"/>
  <c r="D105" i="52071"/>
  <c r="D101" i="52071"/>
  <c r="D100" i="52071"/>
  <c r="D99" i="52071"/>
  <c r="D98" i="52071"/>
  <c r="D97" i="52071"/>
  <c r="D96" i="52071"/>
  <c r="D95" i="52071"/>
  <c r="D94" i="52071"/>
  <c r="D93" i="52071"/>
  <c r="D92" i="52071"/>
  <c r="D91" i="52071"/>
  <c r="D90" i="52071"/>
  <c r="D89" i="52071"/>
  <c r="D88" i="52071"/>
  <c r="D87" i="52071"/>
  <c r="D86" i="52071"/>
  <c r="D85" i="52071"/>
  <c r="D84" i="52071"/>
  <c r="D83" i="52071"/>
  <c r="D82" i="52071"/>
  <c r="D81" i="52071"/>
  <c r="D80" i="52071"/>
  <c r="D79" i="52071"/>
  <c r="D78" i="52071"/>
  <c r="D77" i="52071"/>
  <c r="D76" i="52071"/>
  <c r="D75" i="52071"/>
  <c r="D74" i="52071"/>
  <c r="D73" i="52071"/>
  <c r="D72" i="52071"/>
  <c r="D68" i="52071"/>
  <c r="D67" i="52071"/>
  <c r="D66" i="52071"/>
  <c r="D65" i="52071"/>
  <c r="D64" i="52071"/>
  <c r="D60" i="52071"/>
  <c r="D49" i="52071"/>
  <c r="D19" i="52071"/>
  <c r="D18" i="52071"/>
  <c r="D17" i="52071"/>
  <c r="D16" i="52071"/>
  <c r="D15" i="52071"/>
  <c r="D14" i="52071"/>
  <c r="D13" i="52071"/>
  <c r="D12" i="52071"/>
  <c r="D11" i="52071"/>
  <c r="D10" i="52071"/>
  <c r="D9" i="52071"/>
  <c r="D8" i="52071"/>
  <c r="D218" i="52079"/>
  <c r="D213" i="52079"/>
  <c r="D212" i="52079"/>
  <c r="D211" i="52079"/>
  <c r="D207" i="52079"/>
  <c r="D199" i="52079"/>
  <c r="D198" i="52079"/>
  <c r="D197" i="52079"/>
  <c r="D196" i="52079"/>
  <c r="D195" i="52079"/>
  <c r="D194" i="52079"/>
  <c r="D193" i="52079"/>
  <c r="D192" i="52079"/>
  <c r="D191" i="52079"/>
  <c r="D190" i="52079"/>
  <c r="D189" i="52079"/>
  <c r="D188" i="52079"/>
  <c r="D187" i="52079"/>
  <c r="D183" i="52079"/>
  <c r="D182" i="52079"/>
  <c r="D181" i="52079"/>
  <c r="D180" i="52079"/>
  <c r="D179" i="52079"/>
  <c r="D178" i="52079"/>
  <c r="D177" i="52079"/>
  <c r="D176" i="52079"/>
  <c r="D175" i="52079"/>
  <c r="D174" i="52079"/>
  <c r="D173" i="52079"/>
  <c r="D172" i="52079"/>
  <c r="D171" i="52079"/>
  <c r="D170" i="52079"/>
  <c r="D166" i="52079"/>
  <c r="D165" i="52079"/>
  <c r="D164" i="52079"/>
  <c r="D163" i="52079"/>
  <c r="D162" i="52079"/>
  <c r="D161" i="52079"/>
  <c r="D160" i="52079"/>
  <c r="D159" i="52079"/>
  <c r="D158" i="52079"/>
  <c r="D157" i="52079"/>
  <c r="D156" i="52079"/>
  <c r="D152" i="52079"/>
  <c r="D151" i="52079"/>
  <c r="D150" i="52079"/>
  <c r="D149" i="52079"/>
  <c r="D148" i="52079"/>
  <c r="D147" i="52079"/>
  <c r="D146" i="52079"/>
  <c r="D145" i="52079"/>
  <c r="D144" i="52079"/>
  <c r="D143" i="52079"/>
  <c r="D142" i="52079"/>
  <c r="D141" i="52079"/>
  <c r="D140" i="52079"/>
  <c r="D139" i="52079"/>
  <c r="D138" i="52079"/>
  <c r="D137" i="52079"/>
  <c r="D136" i="52079"/>
  <c r="D135" i="52079"/>
  <c r="D134" i="52079"/>
  <c r="D133" i="52079"/>
  <c r="D132" i="52079"/>
  <c r="D131" i="52079"/>
  <c r="D127" i="52079"/>
  <c r="D126" i="52079"/>
  <c r="D125" i="52079"/>
  <c r="D124" i="52079"/>
  <c r="D123" i="52079"/>
  <c r="D122" i="52079"/>
  <c r="D121" i="52079"/>
  <c r="D120" i="52079"/>
  <c r="D119" i="52079"/>
  <c r="D118" i="52079"/>
  <c r="D114" i="52079"/>
  <c r="D113" i="52079"/>
  <c r="D112" i="52079"/>
  <c r="D111" i="52079"/>
  <c r="D110" i="52079"/>
  <c r="D109" i="52079"/>
  <c r="D108" i="52079"/>
  <c r="D107" i="52079"/>
  <c r="D106" i="52079"/>
  <c r="D105" i="52079"/>
  <c r="D101" i="52079"/>
  <c r="D100" i="52079"/>
  <c r="D99" i="52079"/>
  <c r="D98" i="52079"/>
  <c r="D97" i="52079"/>
  <c r="D96" i="52079"/>
  <c r="D95" i="52079"/>
  <c r="D94" i="52079"/>
  <c r="D93" i="52079"/>
  <c r="D92" i="52079"/>
  <c r="D91" i="52079"/>
  <c r="D90" i="52079"/>
  <c r="D89" i="52079"/>
  <c r="D88" i="52079"/>
  <c r="D87" i="52079"/>
  <c r="D86" i="52079"/>
  <c r="D85" i="52079"/>
  <c r="D84" i="52079"/>
  <c r="D83" i="52079"/>
  <c r="D82" i="52079"/>
  <c r="D81" i="52079"/>
  <c r="D80" i="52079"/>
  <c r="D79" i="52079"/>
  <c r="D78" i="52079"/>
  <c r="D77" i="52079"/>
  <c r="D76" i="52079"/>
  <c r="D75" i="52079"/>
  <c r="D74" i="52079"/>
  <c r="D73" i="52079"/>
  <c r="D72" i="52079"/>
  <c r="D68" i="52079"/>
  <c r="D67" i="52079"/>
  <c r="D66" i="52079"/>
  <c r="D65" i="52079"/>
  <c r="D64" i="52079"/>
  <c r="D60" i="52079"/>
  <c r="D49" i="52079"/>
  <c r="D19" i="52079"/>
  <c r="D18" i="52079"/>
  <c r="D17" i="52079"/>
  <c r="D16" i="52079"/>
  <c r="D15" i="52079"/>
  <c r="D14" i="52079"/>
  <c r="D13" i="52079"/>
  <c r="D12" i="52079"/>
  <c r="D11" i="52079"/>
  <c r="D10" i="52079"/>
  <c r="D9" i="52079"/>
  <c r="D8" i="52079"/>
  <c r="D218" i="52067"/>
  <c r="D213" i="52067"/>
  <c r="D212" i="52067"/>
  <c r="D211" i="52067"/>
  <c r="D207" i="52067"/>
  <c r="D199" i="52067"/>
  <c r="D198" i="52067"/>
  <c r="D197" i="52067"/>
  <c r="D196" i="52067"/>
  <c r="D195" i="52067"/>
  <c r="D194" i="52067"/>
  <c r="D193" i="52067"/>
  <c r="D192" i="52067"/>
  <c r="D191" i="52067"/>
  <c r="D190" i="52067"/>
  <c r="D189" i="52067"/>
  <c r="D188" i="52067"/>
  <c r="D187" i="52067"/>
  <c r="D183" i="52067"/>
  <c r="D182" i="52067"/>
  <c r="D181" i="52067"/>
  <c r="D180" i="52067"/>
  <c r="D179" i="52067"/>
  <c r="D178" i="52067"/>
  <c r="D177" i="52067"/>
  <c r="D176" i="52067"/>
  <c r="D175" i="52067"/>
  <c r="D174" i="52067"/>
  <c r="D173" i="52067"/>
  <c r="D172" i="52067"/>
  <c r="D171" i="52067"/>
  <c r="D170" i="52067"/>
  <c r="D166" i="52067"/>
  <c r="D165" i="52067"/>
  <c r="D164" i="52067"/>
  <c r="D163" i="52067"/>
  <c r="D162" i="52067"/>
  <c r="D161" i="52067"/>
  <c r="D160" i="52067"/>
  <c r="D159" i="52067"/>
  <c r="D158" i="52067"/>
  <c r="D157" i="52067"/>
  <c r="D156" i="52067"/>
  <c r="D152" i="52067"/>
  <c r="D151" i="52067"/>
  <c r="D150" i="52067"/>
  <c r="D149" i="52067"/>
  <c r="D148" i="52067"/>
  <c r="D147" i="52067"/>
  <c r="D146" i="52067"/>
  <c r="D145" i="52067"/>
  <c r="D144" i="52067"/>
  <c r="D143" i="52067"/>
  <c r="D142" i="52067"/>
  <c r="D141" i="52067"/>
  <c r="D140" i="52067"/>
  <c r="D139" i="52067"/>
  <c r="D138" i="52067"/>
  <c r="D137" i="52067"/>
  <c r="D136" i="52067"/>
  <c r="D135" i="52067"/>
  <c r="D134" i="52067"/>
  <c r="D133" i="52067"/>
  <c r="D132" i="52067"/>
  <c r="D131" i="52067"/>
  <c r="D127" i="52067"/>
  <c r="D126" i="52067"/>
  <c r="D125" i="52067"/>
  <c r="D124" i="52067"/>
  <c r="D123" i="52067"/>
  <c r="D122" i="52067"/>
  <c r="D121" i="52067"/>
  <c r="D120" i="52067"/>
  <c r="D119" i="52067"/>
  <c r="D118" i="52067"/>
  <c r="D114" i="52067"/>
  <c r="D113" i="52067"/>
  <c r="D112" i="52067"/>
  <c r="D111" i="52067"/>
  <c r="D110" i="52067"/>
  <c r="D109" i="52067"/>
  <c r="D108" i="52067"/>
  <c r="D107" i="52067"/>
  <c r="D106" i="52067"/>
  <c r="D105" i="52067"/>
  <c r="D101" i="52067"/>
  <c r="D100" i="52067"/>
  <c r="D99" i="52067"/>
  <c r="D98" i="52067"/>
  <c r="D97" i="52067"/>
  <c r="D96" i="52067"/>
  <c r="D95" i="52067"/>
  <c r="D94" i="52067"/>
  <c r="D93" i="52067"/>
  <c r="D92" i="52067"/>
  <c r="D91" i="52067"/>
  <c r="D90" i="52067"/>
  <c r="D89" i="52067"/>
  <c r="D88" i="52067"/>
  <c r="D87" i="52067"/>
  <c r="D86" i="52067"/>
  <c r="D85" i="52067"/>
  <c r="D84" i="52067"/>
  <c r="D83" i="52067"/>
  <c r="D82" i="52067"/>
  <c r="D81" i="52067"/>
  <c r="D80" i="52067"/>
  <c r="D79" i="52067"/>
  <c r="D78" i="52067"/>
  <c r="D77" i="52067"/>
  <c r="D76" i="52067"/>
  <c r="D75" i="52067"/>
  <c r="D74" i="52067"/>
  <c r="D73" i="52067"/>
  <c r="D72" i="52067"/>
  <c r="D68" i="52067"/>
  <c r="D67" i="52067"/>
  <c r="D66" i="52067"/>
  <c r="D65" i="52067"/>
  <c r="D64" i="52067"/>
  <c r="D60" i="52067"/>
  <c r="D49" i="52067"/>
  <c r="D19" i="52067"/>
  <c r="D18" i="52067"/>
  <c r="D17" i="52067"/>
  <c r="D16" i="52067"/>
  <c r="D15" i="52067"/>
  <c r="D14" i="52067"/>
  <c r="D13" i="52067"/>
  <c r="D12" i="52067"/>
  <c r="D11" i="52067"/>
  <c r="D10" i="52067"/>
  <c r="D9" i="52067"/>
  <c r="D8" i="52067"/>
  <c r="D218" i="101"/>
  <c r="D213" i="101"/>
  <c r="D212" i="101"/>
  <c r="D211" i="101"/>
  <c r="D207" i="101"/>
  <c r="D199" i="101"/>
  <c r="D198" i="101"/>
  <c r="D197" i="101"/>
  <c r="D196" i="101"/>
  <c r="D195" i="101"/>
  <c r="D194" i="101"/>
  <c r="D193" i="101"/>
  <c r="D192" i="101"/>
  <c r="D191" i="101"/>
  <c r="D190" i="101"/>
  <c r="D189" i="101"/>
  <c r="D188" i="101"/>
  <c r="D187" i="101"/>
  <c r="D183" i="101"/>
  <c r="D182" i="101"/>
  <c r="D181" i="101"/>
  <c r="D180" i="101"/>
  <c r="D179" i="101"/>
  <c r="D178" i="101"/>
  <c r="D177" i="101"/>
  <c r="D176" i="101"/>
  <c r="D175" i="101"/>
  <c r="D174" i="101"/>
  <c r="D173" i="101"/>
  <c r="D172" i="101"/>
  <c r="D171" i="101"/>
  <c r="D170" i="101"/>
  <c r="D166" i="101"/>
  <c r="D165" i="101"/>
  <c r="D164" i="101"/>
  <c r="D163" i="101"/>
  <c r="D162" i="101"/>
  <c r="D161" i="101"/>
  <c r="D160" i="101"/>
  <c r="D159" i="101"/>
  <c r="D158" i="101"/>
  <c r="D157" i="101"/>
  <c r="D156" i="101"/>
  <c r="D152" i="101"/>
  <c r="D151" i="101"/>
  <c r="D150" i="101"/>
  <c r="D149" i="101"/>
  <c r="D148" i="101"/>
  <c r="D147" i="101"/>
  <c r="D146" i="101"/>
  <c r="D145" i="101"/>
  <c r="D144" i="101"/>
  <c r="D143" i="101"/>
  <c r="D142" i="101"/>
  <c r="D141" i="101"/>
  <c r="D140" i="101"/>
  <c r="D139" i="101"/>
  <c r="D138" i="101"/>
  <c r="D137" i="101"/>
  <c r="D136" i="101"/>
  <c r="D135" i="101"/>
  <c r="D134" i="101"/>
  <c r="D133" i="101"/>
  <c r="D132" i="101"/>
  <c r="D131" i="101"/>
  <c r="D127" i="101"/>
  <c r="D126" i="101"/>
  <c r="D125" i="101"/>
  <c r="D124" i="101"/>
  <c r="D123" i="101"/>
  <c r="D122" i="101"/>
  <c r="D121" i="101"/>
  <c r="D120" i="101"/>
  <c r="D119" i="101"/>
  <c r="D118" i="101"/>
  <c r="D114" i="101"/>
  <c r="D113" i="101"/>
  <c r="D112" i="101"/>
  <c r="D111" i="101"/>
  <c r="D110" i="101"/>
  <c r="D109" i="101"/>
  <c r="D108" i="101"/>
  <c r="D107" i="101"/>
  <c r="D106" i="101"/>
  <c r="D105" i="101"/>
  <c r="D101" i="101"/>
  <c r="D100" i="101"/>
  <c r="D99" i="101"/>
  <c r="D98" i="101"/>
  <c r="D97" i="101"/>
  <c r="D96" i="101"/>
  <c r="D95" i="101"/>
  <c r="D94" i="101"/>
  <c r="D93" i="101"/>
  <c r="D92" i="101"/>
  <c r="D91" i="101"/>
  <c r="D90" i="101"/>
  <c r="D89" i="101"/>
  <c r="D88" i="101"/>
  <c r="D87" i="101"/>
  <c r="D86" i="101"/>
  <c r="D85" i="101"/>
  <c r="D84" i="101"/>
  <c r="D83" i="101"/>
  <c r="D82" i="101"/>
  <c r="D81" i="101"/>
  <c r="D80" i="101"/>
  <c r="D79" i="101"/>
  <c r="D78" i="101"/>
  <c r="D77" i="101"/>
  <c r="D76" i="101"/>
  <c r="D75" i="101"/>
  <c r="D74" i="101"/>
  <c r="D73" i="101"/>
  <c r="D72" i="101"/>
  <c r="D68" i="101"/>
  <c r="D67" i="101"/>
  <c r="D66" i="101"/>
  <c r="D65" i="101"/>
  <c r="D64" i="101"/>
  <c r="D60" i="101"/>
  <c r="D49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213" i="52088"/>
  <c r="D212" i="52088"/>
  <c r="D211" i="52088"/>
  <c r="D207" i="52088"/>
  <c r="D199" i="52088"/>
  <c r="D198" i="52088"/>
  <c r="D197" i="52088"/>
  <c r="D196" i="52088"/>
  <c r="D195" i="52088"/>
  <c r="D194" i="52088"/>
  <c r="D193" i="52088"/>
  <c r="D192" i="52088"/>
  <c r="D191" i="52088"/>
  <c r="D190" i="52088"/>
  <c r="D189" i="52088"/>
  <c r="D188" i="52088"/>
  <c r="D187" i="52088"/>
  <c r="D183" i="52088"/>
  <c r="D182" i="52088"/>
  <c r="D181" i="52088"/>
  <c r="D180" i="52088"/>
  <c r="D179" i="52088"/>
  <c r="D178" i="52088"/>
  <c r="D177" i="52088"/>
  <c r="D176" i="52088"/>
  <c r="D175" i="52088"/>
  <c r="D174" i="52088"/>
  <c r="D173" i="52088"/>
  <c r="D172" i="52088"/>
  <c r="D171" i="52088"/>
  <c r="D170" i="52088"/>
  <c r="D166" i="52088"/>
  <c r="D165" i="52088"/>
  <c r="D164" i="52088"/>
  <c r="D163" i="52088"/>
  <c r="D162" i="52088"/>
  <c r="D161" i="52088"/>
  <c r="D160" i="52088"/>
  <c r="D159" i="52088"/>
  <c r="D158" i="52088"/>
  <c r="D157" i="52088"/>
  <c r="D156" i="52088"/>
  <c r="D152" i="52088"/>
  <c r="D151" i="52088"/>
  <c r="D150" i="52088"/>
  <c r="D149" i="52088"/>
  <c r="D148" i="52088"/>
  <c r="D147" i="52088"/>
  <c r="D146" i="52088"/>
  <c r="D145" i="52088"/>
  <c r="D144" i="52088"/>
  <c r="D143" i="52088"/>
  <c r="D142" i="52088"/>
  <c r="D141" i="52088"/>
  <c r="D140" i="52088"/>
  <c r="D139" i="52088"/>
  <c r="D138" i="52088"/>
  <c r="D137" i="52088"/>
  <c r="D136" i="52088"/>
  <c r="D135" i="52088"/>
  <c r="D134" i="52088"/>
  <c r="D133" i="52088"/>
  <c r="D132" i="52088"/>
  <c r="D131" i="52088"/>
  <c r="D127" i="52088"/>
  <c r="D126" i="52088"/>
  <c r="D125" i="52088"/>
  <c r="D124" i="52088"/>
  <c r="D123" i="52088"/>
  <c r="D122" i="52088"/>
  <c r="D121" i="52088"/>
  <c r="D120" i="52088"/>
  <c r="D119" i="52088"/>
  <c r="D118" i="52088"/>
  <c r="D114" i="52088"/>
  <c r="D113" i="52088"/>
  <c r="D112" i="52088"/>
  <c r="D111" i="52088"/>
  <c r="D110" i="52088"/>
  <c r="D109" i="52088"/>
  <c r="D108" i="52088"/>
  <c r="D107" i="52088"/>
  <c r="D106" i="52088"/>
  <c r="D105" i="52088"/>
  <c r="D101" i="52088"/>
  <c r="D100" i="52088"/>
  <c r="D99" i="52088"/>
  <c r="D98" i="52088"/>
  <c r="D97" i="52088"/>
  <c r="D96" i="52088"/>
  <c r="D95" i="52088"/>
  <c r="D94" i="52088"/>
  <c r="D93" i="52088"/>
  <c r="D92" i="52088"/>
  <c r="D91" i="52088"/>
  <c r="D90" i="52088"/>
  <c r="D89" i="52088"/>
  <c r="D88" i="52088"/>
  <c r="D87" i="52088"/>
  <c r="D86" i="52088"/>
  <c r="D85" i="52088"/>
  <c r="D84" i="52088"/>
  <c r="D83" i="52088"/>
  <c r="D82" i="52088"/>
  <c r="D81" i="52088"/>
  <c r="D80" i="52088"/>
  <c r="D79" i="52088"/>
  <c r="D78" i="52088"/>
  <c r="D77" i="52088"/>
  <c r="D76" i="52088"/>
  <c r="D75" i="52088"/>
  <c r="D74" i="52088"/>
  <c r="D73" i="52088"/>
  <c r="D72" i="52088"/>
  <c r="D68" i="52088"/>
  <c r="D67" i="52088"/>
  <c r="D66" i="52088"/>
  <c r="D65" i="52088"/>
  <c r="D64" i="52088"/>
  <c r="D60" i="52088"/>
  <c r="D49" i="52088"/>
  <c r="D19" i="52088"/>
  <c r="D18" i="52088"/>
  <c r="D17" i="52088"/>
  <c r="D16" i="52088"/>
  <c r="D15" i="52088"/>
  <c r="D14" i="52088"/>
  <c r="D13" i="52088"/>
  <c r="D12" i="52088"/>
  <c r="D11" i="52088"/>
  <c r="D10" i="52088"/>
  <c r="D9" i="52088"/>
  <c r="D8" i="52088"/>
  <c r="D218" i="52087"/>
  <c r="D213" i="52087"/>
  <c r="D212" i="52087"/>
  <c r="D211" i="52087"/>
  <c r="D207" i="52087"/>
  <c r="D199" i="52087"/>
  <c r="D198" i="52087"/>
  <c r="D197" i="52087"/>
  <c r="D196" i="52087"/>
  <c r="D195" i="52087"/>
  <c r="D194" i="52087"/>
  <c r="D193" i="52087"/>
  <c r="D192" i="52087"/>
  <c r="D191" i="52087"/>
  <c r="D190" i="52087"/>
  <c r="D189" i="52087"/>
  <c r="D188" i="52087"/>
  <c r="D187" i="52087"/>
  <c r="D183" i="52087"/>
  <c r="D182" i="52087"/>
  <c r="D181" i="52087"/>
  <c r="D180" i="52087"/>
  <c r="D179" i="52087"/>
  <c r="D178" i="52087"/>
  <c r="D177" i="52087"/>
  <c r="D176" i="52087"/>
  <c r="D175" i="52087"/>
  <c r="D174" i="52087"/>
  <c r="D173" i="52087"/>
  <c r="D172" i="52087"/>
  <c r="D171" i="52087"/>
  <c r="D170" i="52087"/>
  <c r="D166" i="52087"/>
  <c r="D165" i="52087"/>
  <c r="D164" i="52087"/>
  <c r="D163" i="52087"/>
  <c r="D162" i="52087"/>
  <c r="D161" i="52087"/>
  <c r="D160" i="52087"/>
  <c r="D159" i="52087"/>
  <c r="D158" i="52087"/>
  <c r="D157" i="52087"/>
  <c r="D156" i="52087"/>
  <c r="D152" i="52087"/>
  <c r="D151" i="52087"/>
  <c r="D150" i="52087"/>
  <c r="D149" i="52087"/>
  <c r="D148" i="52087"/>
  <c r="D147" i="52087"/>
  <c r="D146" i="52087"/>
  <c r="D145" i="52087"/>
  <c r="D144" i="52087"/>
  <c r="D143" i="52087"/>
  <c r="D142" i="52087"/>
  <c r="D141" i="52087"/>
  <c r="D140" i="52087"/>
  <c r="D139" i="52087"/>
  <c r="D138" i="52087"/>
  <c r="D137" i="52087"/>
  <c r="D136" i="52087"/>
  <c r="D135" i="52087"/>
  <c r="D134" i="52087"/>
  <c r="D133" i="52087"/>
  <c r="D132" i="52087"/>
  <c r="D131" i="52087"/>
  <c r="D127" i="52087"/>
  <c r="D126" i="52087"/>
  <c r="D125" i="52087"/>
  <c r="D124" i="52087"/>
  <c r="D123" i="52087"/>
  <c r="D122" i="52087"/>
  <c r="D121" i="52087"/>
  <c r="D120" i="52087"/>
  <c r="D119" i="52087"/>
  <c r="D118" i="52087"/>
  <c r="D114" i="52087"/>
  <c r="D113" i="52087"/>
  <c r="D112" i="52087"/>
  <c r="D111" i="52087"/>
  <c r="D110" i="52087"/>
  <c r="D109" i="52087"/>
  <c r="D108" i="52087"/>
  <c r="D107" i="52087"/>
  <c r="D106" i="52087"/>
  <c r="D105" i="52087"/>
  <c r="D101" i="52087"/>
  <c r="D100" i="52087"/>
  <c r="D99" i="52087"/>
  <c r="D98" i="52087"/>
  <c r="D97" i="52087"/>
  <c r="D96" i="52087"/>
  <c r="D95" i="52087"/>
  <c r="D94" i="52087"/>
  <c r="D93" i="52087"/>
  <c r="D92" i="52087"/>
  <c r="D91" i="52087"/>
  <c r="D90" i="52087"/>
  <c r="D89" i="52087"/>
  <c r="D88" i="52087"/>
  <c r="D87" i="52087"/>
  <c r="D86" i="52087"/>
  <c r="D85" i="52087"/>
  <c r="D84" i="52087"/>
  <c r="D83" i="52087"/>
  <c r="D82" i="52087"/>
  <c r="D81" i="52087"/>
  <c r="D80" i="52087"/>
  <c r="D79" i="52087"/>
  <c r="D78" i="52087"/>
  <c r="D77" i="52087"/>
  <c r="D76" i="52087"/>
  <c r="D75" i="52087"/>
  <c r="D74" i="52087"/>
  <c r="D73" i="52087"/>
  <c r="D72" i="52087"/>
  <c r="D68" i="52087"/>
  <c r="D67" i="52087"/>
  <c r="D66" i="52087"/>
  <c r="D65" i="52087"/>
  <c r="D64" i="52087"/>
  <c r="D60" i="52087"/>
  <c r="D49" i="52087"/>
  <c r="D19" i="52087"/>
  <c r="D18" i="52087"/>
  <c r="D17" i="52087"/>
  <c r="D16" i="52087"/>
  <c r="D15" i="52087"/>
  <c r="D14" i="52087"/>
  <c r="D13" i="52087"/>
  <c r="D12" i="52087"/>
  <c r="D11" i="52087"/>
  <c r="D10" i="52087"/>
  <c r="D9" i="52087"/>
  <c r="D8" i="52087"/>
  <c r="D218" i="108"/>
  <c r="D213" i="108"/>
  <c r="D212" i="108"/>
  <c r="D211" i="108"/>
  <c r="D207" i="108"/>
  <c r="D199" i="108"/>
  <c r="D198" i="108"/>
  <c r="D197" i="108"/>
  <c r="D196" i="108"/>
  <c r="D195" i="108"/>
  <c r="D194" i="108"/>
  <c r="D193" i="108"/>
  <c r="D192" i="108"/>
  <c r="D191" i="108"/>
  <c r="D190" i="108"/>
  <c r="D189" i="108"/>
  <c r="D188" i="108"/>
  <c r="D187" i="108"/>
  <c r="D183" i="108"/>
  <c r="D182" i="108"/>
  <c r="D181" i="108"/>
  <c r="D180" i="108"/>
  <c r="D179" i="108"/>
  <c r="D178" i="108"/>
  <c r="D177" i="108"/>
  <c r="D176" i="108"/>
  <c r="D175" i="108"/>
  <c r="D174" i="108"/>
  <c r="D173" i="108"/>
  <c r="D172" i="108"/>
  <c r="D171" i="108"/>
  <c r="D170" i="108"/>
  <c r="D166" i="108"/>
  <c r="D165" i="108"/>
  <c r="D164" i="108"/>
  <c r="D163" i="108"/>
  <c r="D162" i="108"/>
  <c r="D161" i="108"/>
  <c r="D160" i="108"/>
  <c r="D159" i="108"/>
  <c r="D158" i="108"/>
  <c r="D157" i="108"/>
  <c r="D156" i="108"/>
  <c r="D152" i="108"/>
  <c r="D151" i="108"/>
  <c r="D150" i="108"/>
  <c r="D149" i="108"/>
  <c r="D148" i="108"/>
  <c r="D147" i="108"/>
  <c r="D146" i="108"/>
  <c r="D145" i="108"/>
  <c r="D144" i="108"/>
  <c r="D143" i="108"/>
  <c r="D142" i="108"/>
  <c r="D141" i="108"/>
  <c r="D140" i="108"/>
  <c r="D139" i="108"/>
  <c r="D138" i="108"/>
  <c r="D137" i="108"/>
  <c r="D136" i="108"/>
  <c r="D135" i="108"/>
  <c r="D134" i="108"/>
  <c r="D133" i="108"/>
  <c r="D132" i="108"/>
  <c r="D131" i="108"/>
  <c r="D127" i="108"/>
  <c r="D126" i="108"/>
  <c r="D125" i="108"/>
  <c r="D124" i="108"/>
  <c r="D123" i="108"/>
  <c r="D122" i="108"/>
  <c r="D121" i="108"/>
  <c r="D120" i="108"/>
  <c r="D119" i="108"/>
  <c r="D118" i="108"/>
  <c r="D114" i="108"/>
  <c r="D113" i="108"/>
  <c r="D112" i="108"/>
  <c r="D111" i="108"/>
  <c r="D110" i="108"/>
  <c r="D109" i="108"/>
  <c r="D108" i="108"/>
  <c r="D107" i="108"/>
  <c r="D106" i="108"/>
  <c r="D105" i="108"/>
  <c r="D101" i="108"/>
  <c r="D100" i="108"/>
  <c r="D99" i="108"/>
  <c r="D98" i="108"/>
  <c r="D97" i="108"/>
  <c r="D96" i="108"/>
  <c r="D95" i="108"/>
  <c r="D94" i="108"/>
  <c r="D93" i="108"/>
  <c r="D92" i="108"/>
  <c r="D91" i="108"/>
  <c r="D90" i="108"/>
  <c r="D89" i="108"/>
  <c r="D88" i="108"/>
  <c r="D87" i="108"/>
  <c r="D86" i="108"/>
  <c r="D85" i="108"/>
  <c r="D84" i="108"/>
  <c r="D83" i="108"/>
  <c r="D82" i="108"/>
  <c r="D81" i="108"/>
  <c r="D80" i="108"/>
  <c r="D79" i="108"/>
  <c r="D78" i="108"/>
  <c r="D77" i="108"/>
  <c r="D76" i="108"/>
  <c r="D75" i="108"/>
  <c r="D74" i="108"/>
  <c r="D73" i="108"/>
  <c r="D72" i="108"/>
  <c r="D68" i="108"/>
  <c r="D67" i="108"/>
  <c r="D66" i="108"/>
  <c r="D65" i="108"/>
  <c r="D64" i="108"/>
  <c r="D60" i="108"/>
  <c r="D49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218" i="105"/>
  <c r="D213" i="105"/>
  <c r="D212" i="105"/>
  <c r="D211" i="105"/>
  <c r="D207" i="105"/>
  <c r="D199" i="105"/>
  <c r="D198" i="105"/>
  <c r="D197" i="105"/>
  <c r="D196" i="105"/>
  <c r="D195" i="105"/>
  <c r="D194" i="105"/>
  <c r="D193" i="105"/>
  <c r="D192" i="105"/>
  <c r="D191" i="105"/>
  <c r="D190" i="105"/>
  <c r="D189" i="105"/>
  <c r="D188" i="105"/>
  <c r="D187" i="105"/>
  <c r="D183" i="105"/>
  <c r="D182" i="105"/>
  <c r="D181" i="105"/>
  <c r="D180" i="105"/>
  <c r="D179" i="105"/>
  <c r="D178" i="105"/>
  <c r="D177" i="105"/>
  <c r="D176" i="105"/>
  <c r="D175" i="105"/>
  <c r="D174" i="105"/>
  <c r="D173" i="105"/>
  <c r="D172" i="105"/>
  <c r="D171" i="105"/>
  <c r="D170" i="105"/>
  <c r="D166" i="105"/>
  <c r="D165" i="105"/>
  <c r="D164" i="105"/>
  <c r="D163" i="105"/>
  <c r="D162" i="105"/>
  <c r="D161" i="105"/>
  <c r="D160" i="105"/>
  <c r="D159" i="105"/>
  <c r="D158" i="105"/>
  <c r="D157" i="105"/>
  <c r="D156" i="105"/>
  <c r="D152" i="105"/>
  <c r="D151" i="105"/>
  <c r="D150" i="105"/>
  <c r="D149" i="105"/>
  <c r="D148" i="105"/>
  <c r="D147" i="105"/>
  <c r="D146" i="105"/>
  <c r="D145" i="105"/>
  <c r="D144" i="105"/>
  <c r="D143" i="105"/>
  <c r="D142" i="105"/>
  <c r="D141" i="105"/>
  <c r="D140" i="105"/>
  <c r="D139" i="105"/>
  <c r="D138" i="105"/>
  <c r="D137" i="105"/>
  <c r="D136" i="105"/>
  <c r="D135" i="105"/>
  <c r="D134" i="105"/>
  <c r="D133" i="105"/>
  <c r="D132" i="105"/>
  <c r="D131" i="105"/>
  <c r="D127" i="105"/>
  <c r="D126" i="105"/>
  <c r="D125" i="105"/>
  <c r="D124" i="105"/>
  <c r="D123" i="105"/>
  <c r="D122" i="105"/>
  <c r="D121" i="105"/>
  <c r="D120" i="105"/>
  <c r="D119" i="105"/>
  <c r="D118" i="105"/>
  <c r="D114" i="105"/>
  <c r="D113" i="105"/>
  <c r="D112" i="105"/>
  <c r="D111" i="105"/>
  <c r="D110" i="105"/>
  <c r="D109" i="105"/>
  <c r="D108" i="105"/>
  <c r="D107" i="105"/>
  <c r="D106" i="105"/>
  <c r="D105" i="105"/>
  <c r="D101" i="105"/>
  <c r="D100" i="105"/>
  <c r="D99" i="105"/>
  <c r="D98" i="105"/>
  <c r="D97" i="105"/>
  <c r="D96" i="105"/>
  <c r="D95" i="105"/>
  <c r="D94" i="105"/>
  <c r="D93" i="105"/>
  <c r="D92" i="105"/>
  <c r="D91" i="105"/>
  <c r="D90" i="105"/>
  <c r="D89" i="105"/>
  <c r="D88" i="105"/>
  <c r="D87" i="105"/>
  <c r="D86" i="105"/>
  <c r="D85" i="105"/>
  <c r="D84" i="105"/>
  <c r="D83" i="105"/>
  <c r="D82" i="105"/>
  <c r="D81" i="105"/>
  <c r="D80" i="105"/>
  <c r="D79" i="105"/>
  <c r="D78" i="105"/>
  <c r="D77" i="105"/>
  <c r="D76" i="105"/>
  <c r="D75" i="105"/>
  <c r="D74" i="105"/>
  <c r="D73" i="105"/>
  <c r="D72" i="105"/>
  <c r="D68" i="105"/>
  <c r="D67" i="105"/>
  <c r="D66" i="105"/>
  <c r="D65" i="105"/>
  <c r="D64" i="105"/>
  <c r="D60" i="105"/>
  <c r="D49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D213" i="148"/>
  <c r="D212" i="148"/>
  <c r="D211" i="148"/>
  <c r="D207" i="148"/>
  <c r="D199" i="148"/>
  <c r="D198" i="148"/>
  <c r="D197" i="148"/>
  <c r="D196" i="148"/>
  <c r="D195" i="148"/>
  <c r="D194" i="148"/>
  <c r="D193" i="148"/>
  <c r="D192" i="148"/>
  <c r="D191" i="148"/>
  <c r="D190" i="148"/>
  <c r="D189" i="148"/>
  <c r="D188" i="148"/>
  <c r="D187" i="148"/>
  <c r="D183" i="148"/>
  <c r="D182" i="148"/>
  <c r="D181" i="148"/>
  <c r="D180" i="148"/>
  <c r="D179" i="148"/>
  <c r="D178" i="148"/>
  <c r="D177" i="148"/>
  <c r="D176" i="148"/>
  <c r="D175" i="148"/>
  <c r="D174" i="148"/>
  <c r="D173" i="148"/>
  <c r="D172" i="148"/>
  <c r="D171" i="148"/>
  <c r="D170" i="148"/>
  <c r="D166" i="148"/>
  <c r="D165" i="148"/>
  <c r="D164" i="148"/>
  <c r="D163" i="148"/>
  <c r="D162" i="148"/>
  <c r="D161" i="148"/>
  <c r="D160" i="148"/>
  <c r="D159" i="148"/>
  <c r="D158" i="148"/>
  <c r="D157" i="148"/>
  <c r="D156" i="148"/>
  <c r="D152" i="148"/>
  <c r="D151" i="148"/>
  <c r="D150" i="148"/>
  <c r="D149" i="148"/>
  <c r="D148" i="148"/>
  <c r="D147" i="148"/>
  <c r="D146" i="148"/>
  <c r="D145" i="148"/>
  <c r="D144" i="148"/>
  <c r="D143" i="148"/>
  <c r="D142" i="148"/>
  <c r="D141" i="148"/>
  <c r="D140" i="148"/>
  <c r="D139" i="148"/>
  <c r="D138" i="148"/>
  <c r="D137" i="148"/>
  <c r="D136" i="148"/>
  <c r="D135" i="148"/>
  <c r="D134" i="148"/>
  <c r="D133" i="148"/>
  <c r="D132" i="148"/>
  <c r="D131" i="148"/>
  <c r="D127" i="148"/>
  <c r="D126" i="148"/>
  <c r="D125" i="148"/>
  <c r="D124" i="148"/>
  <c r="D123" i="148"/>
  <c r="D122" i="148"/>
  <c r="D121" i="148"/>
  <c r="D120" i="148"/>
  <c r="D119" i="148"/>
  <c r="D118" i="148"/>
  <c r="D114" i="148"/>
  <c r="D113" i="148"/>
  <c r="D112" i="148"/>
  <c r="D111" i="148"/>
  <c r="D110" i="148"/>
  <c r="D109" i="148"/>
  <c r="D108" i="148"/>
  <c r="D107" i="148"/>
  <c r="D106" i="148"/>
  <c r="D105" i="148"/>
  <c r="D101" i="148"/>
  <c r="D100" i="148"/>
  <c r="D99" i="148"/>
  <c r="D98" i="148"/>
  <c r="D97" i="148"/>
  <c r="D96" i="148"/>
  <c r="D95" i="148"/>
  <c r="D94" i="148"/>
  <c r="D93" i="148"/>
  <c r="D92" i="148"/>
  <c r="D91" i="148"/>
  <c r="D90" i="148"/>
  <c r="D89" i="148"/>
  <c r="D88" i="148"/>
  <c r="D87" i="148"/>
  <c r="D86" i="148"/>
  <c r="D85" i="148"/>
  <c r="D84" i="148"/>
  <c r="D83" i="148"/>
  <c r="D82" i="148"/>
  <c r="D81" i="148"/>
  <c r="D80" i="148"/>
  <c r="D79" i="148"/>
  <c r="D78" i="148"/>
  <c r="D77" i="148"/>
  <c r="D76" i="148"/>
  <c r="D75" i="148"/>
  <c r="D74" i="148"/>
  <c r="D73" i="148"/>
  <c r="D72" i="148"/>
  <c r="D68" i="148"/>
  <c r="D67" i="148"/>
  <c r="D66" i="148"/>
  <c r="D65" i="148"/>
  <c r="D64" i="148"/>
  <c r="D60" i="148"/>
  <c r="D49" i="148"/>
  <c r="D19" i="148"/>
  <c r="D18" i="148"/>
  <c r="D17" i="148"/>
  <c r="D16" i="148"/>
  <c r="D15" i="148"/>
  <c r="D14" i="148"/>
  <c r="D13" i="148"/>
  <c r="D12" i="148"/>
  <c r="D11" i="148"/>
  <c r="D10" i="148"/>
  <c r="D9" i="148"/>
  <c r="D8" i="148"/>
  <c r="D218" i="52064"/>
  <c r="D213" i="52064"/>
  <c r="D212" i="52064"/>
  <c r="D211" i="52064"/>
  <c r="D207" i="52064"/>
  <c r="D188" i="52064"/>
  <c r="D189" i="52064"/>
  <c r="D190" i="52064"/>
  <c r="D191" i="52064"/>
  <c r="D192" i="52064"/>
  <c r="D193" i="52064"/>
  <c r="D194" i="52064"/>
  <c r="D195" i="52064"/>
  <c r="D196" i="52064"/>
  <c r="D197" i="52064"/>
  <c r="D198" i="52064"/>
  <c r="D199" i="52064"/>
  <c r="D187" i="52064"/>
  <c r="D171" i="52064"/>
  <c r="D172" i="52064"/>
  <c r="D173" i="52064"/>
  <c r="D174" i="52064"/>
  <c r="D175" i="52064"/>
  <c r="D176" i="52064"/>
  <c r="D177" i="52064"/>
  <c r="D178" i="52064"/>
  <c r="D179" i="52064"/>
  <c r="D180" i="52064"/>
  <c r="D181" i="52064"/>
  <c r="D182" i="52064"/>
  <c r="D183" i="52064"/>
  <c r="D170" i="52064"/>
  <c r="D157" i="52064"/>
  <c r="D158" i="52064"/>
  <c r="D159" i="52064"/>
  <c r="D160" i="52064"/>
  <c r="D161" i="52064"/>
  <c r="D162" i="52064"/>
  <c r="D163" i="52064"/>
  <c r="D164" i="52064"/>
  <c r="D165" i="52064"/>
  <c r="D166" i="52064"/>
  <c r="D156" i="52064"/>
  <c r="D132" i="52064"/>
  <c r="D133" i="52064"/>
  <c r="D134" i="52064"/>
  <c r="D135" i="52064"/>
  <c r="D136" i="52064"/>
  <c r="D137" i="52064"/>
  <c r="D138" i="52064"/>
  <c r="D139" i="52064"/>
  <c r="D140" i="52064"/>
  <c r="D141" i="52064"/>
  <c r="D142" i="52064"/>
  <c r="D143" i="52064"/>
  <c r="D144" i="52064"/>
  <c r="D145" i="52064"/>
  <c r="D146" i="52064"/>
  <c r="D147" i="52064"/>
  <c r="D148" i="52064"/>
  <c r="D149" i="52064"/>
  <c r="D150" i="52064"/>
  <c r="D151" i="52064"/>
  <c r="D152" i="52064"/>
  <c r="D131" i="52064"/>
  <c r="D119" i="52064"/>
  <c r="D120" i="52064"/>
  <c r="D121" i="52064"/>
  <c r="D122" i="52064"/>
  <c r="D123" i="52064"/>
  <c r="D124" i="52064"/>
  <c r="D125" i="52064"/>
  <c r="D126" i="52064"/>
  <c r="D127" i="52064"/>
  <c r="D118" i="52064"/>
  <c r="D73" i="52064"/>
  <c r="D74" i="52064"/>
  <c r="D75" i="52064"/>
  <c r="D76" i="52064"/>
  <c r="D77" i="52064"/>
  <c r="D78" i="52064"/>
  <c r="D79" i="52064"/>
  <c r="D80" i="52064"/>
  <c r="D81" i="52064"/>
  <c r="D82" i="52064"/>
  <c r="D83" i="52064"/>
  <c r="D84" i="52064"/>
  <c r="D85" i="52064"/>
  <c r="D86" i="52064"/>
  <c r="D87" i="52064"/>
  <c r="D88" i="52064"/>
  <c r="D89" i="52064"/>
  <c r="D90" i="52064"/>
  <c r="D91" i="52064"/>
  <c r="D92" i="52064"/>
  <c r="D93" i="52064"/>
  <c r="D94" i="52064"/>
  <c r="D95" i="52064"/>
  <c r="D96" i="52064"/>
  <c r="D97" i="52064"/>
  <c r="D98" i="52064"/>
  <c r="D99" i="52064"/>
  <c r="D100" i="52064"/>
  <c r="D101" i="52064"/>
  <c r="D72" i="52064"/>
  <c r="D60" i="52064"/>
  <c r="D65" i="52064"/>
  <c r="D66" i="52064"/>
  <c r="D67" i="52064"/>
  <c r="D68" i="52064"/>
  <c r="D64" i="52064"/>
  <c r="D49" i="52064"/>
  <c r="D9" i="52064"/>
  <c r="D10" i="52064"/>
  <c r="D11" i="52064"/>
  <c r="D12" i="52064"/>
  <c r="D13" i="52064"/>
  <c r="D14" i="52064"/>
  <c r="D15" i="52064"/>
  <c r="D16" i="52064"/>
  <c r="D17" i="52064"/>
  <c r="D18" i="52064"/>
  <c r="D19" i="52064"/>
  <c r="D8" i="52064"/>
  <c r="C213" i="52100"/>
  <c r="F213" i="52100" s="1"/>
  <c r="C207" i="52100"/>
  <c r="C61" i="52100"/>
  <c r="C60" i="52100"/>
  <c r="F60" i="52100" s="1"/>
  <c r="C57" i="52100"/>
  <c r="C56" i="52100"/>
  <c r="C213" i="52081"/>
  <c r="F213" i="52081" s="1"/>
  <c r="C207" i="52081"/>
  <c r="C61" i="52081"/>
  <c r="C60" i="52081"/>
  <c r="F60" i="52081" s="1"/>
  <c r="C57" i="52081"/>
  <c r="C56" i="52081"/>
  <c r="C213" i="52072"/>
  <c r="F213" i="52072" s="1"/>
  <c r="C207" i="52072"/>
  <c r="C61" i="52072"/>
  <c r="C60" i="52072"/>
  <c r="F60" i="52072" s="1"/>
  <c r="C57" i="52072"/>
  <c r="C56" i="52072"/>
  <c r="C213" i="52066"/>
  <c r="F213" i="52066" s="1"/>
  <c r="C207" i="52066"/>
  <c r="C61" i="52066"/>
  <c r="C60" i="52066"/>
  <c r="F60" i="52066" s="1"/>
  <c r="C57" i="52066"/>
  <c r="C56" i="52066"/>
  <c r="C213" i="48"/>
  <c r="F213" i="48" s="1"/>
  <c r="C207" i="48"/>
  <c r="C61" i="48"/>
  <c r="C60" i="48"/>
  <c r="F60" i="48" s="1"/>
  <c r="C57" i="48"/>
  <c r="C56" i="48"/>
  <c r="C213" i="91"/>
  <c r="F213" i="91" s="1"/>
  <c r="G212" i="52103" s="1"/>
  <c r="C207" i="91"/>
  <c r="C61" i="91"/>
  <c r="C60" i="91"/>
  <c r="F60" i="91" s="1"/>
  <c r="C57" i="91"/>
  <c r="C56" i="91"/>
  <c r="C213" i="32"/>
  <c r="F213" i="32" s="1"/>
  <c r="C207" i="32"/>
  <c r="C61" i="32"/>
  <c r="C60" i="32"/>
  <c r="F60" i="32" s="1"/>
  <c r="C57" i="32"/>
  <c r="C56" i="32"/>
  <c r="C213" i="52080"/>
  <c r="F213" i="52080" s="1"/>
  <c r="C207" i="52080"/>
  <c r="C61" i="52080"/>
  <c r="C60" i="52080"/>
  <c r="F60" i="52080" s="1"/>
  <c r="F235" i="52080" s="1"/>
  <c r="C57" i="52080"/>
  <c r="C56" i="52080"/>
  <c r="C213" i="52095"/>
  <c r="F213" i="52095" s="1"/>
  <c r="C207" i="52095"/>
  <c r="C61" i="52095"/>
  <c r="C60" i="52095"/>
  <c r="F60" i="52095" s="1"/>
  <c r="C57" i="52095"/>
  <c r="C56" i="52095"/>
  <c r="C213" i="52094"/>
  <c r="F213" i="52094" s="1"/>
  <c r="C207" i="52094"/>
  <c r="C61" i="52094"/>
  <c r="C60" i="52094"/>
  <c r="F60" i="52094" s="1"/>
  <c r="C57" i="52094"/>
  <c r="C56" i="52094"/>
  <c r="C213" i="52093"/>
  <c r="F213" i="52093" s="1"/>
  <c r="C207" i="52093"/>
  <c r="C61" i="52093"/>
  <c r="C60" i="52093"/>
  <c r="F60" i="52093"/>
  <c r="F235" i="52093" s="1"/>
  <c r="C57" i="52093"/>
  <c r="C56" i="52093"/>
  <c r="C213" i="52092"/>
  <c r="F213" i="52092" s="1"/>
  <c r="C207" i="52092"/>
  <c r="C61" i="52092"/>
  <c r="C60" i="52092"/>
  <c r="F60" i="52092" s="1"/>
  <c r="C57" i="52092"/>
  <c r="C56" i="52092"/>
  <c r="C213" i="52091"/>
  <c r="F213" i="52091" s="1"/>
  <c r="C212" i="52091"/>
  <c r="C211" i="52091"/>
  <c r="C207" i="52091"/>
  <c r="C61" i="52091"/>
  <c r="C60" i="52091"/>
  <c r="C57" i="52091"/>
  <c r="C56" i="52091"/>
  <c r="C213" i="52090"/>
  <c r="F213" i="52090" s="1"/>
  <c r="C207" i="52090"/>
  <c r="C61" i="52090"/>
  <c r="C60" i="52090"/>
  <c r="F60" i="52090"/>
  <c r="F235" i="52090" s="1"/>
  <c r="C57" i="52090"/>
  <c r="C56" i="52090"/>
  <c r="C213" i="52089"/>
  <c r="F213" i="52089" s="1"/>
  <c r="C207" i="52089"/>
  <c r="C61" i="52089"/>
  <c r="C60" i="52089"/>
  <c r="F60" i="52089" s="1"/>
  <c r="C57" i="52089"/>
  <c r="C56" i="52089"/>
  <c r="C213" i="77"/>
  <c r="F213" i="77" s="1"/>
  <c r="C207" i="77"/>
  <c r="C61" i="77"/>
  <c r="C60" i="77"/>
  <c r="F60" i="77" s="1"/>
  <c r="C57" i="77"/>
  <c r="C56" i="77"/>
  <c r="C213" i="12"/>
  <c r="F213" i="12" s="1"/>
  <c r="C207" i="12"/>
  <c r="C61" i="12"/>
  <c r="C60" i="12"/>
  <c r="F60" i="12" s="1"/>
  <c r="F235" i="12" s="1"/>
  <c r="C57" i="12"/>
  <c r="C56" i="12"/>
  <c r="C213" i="20"/>
  <c r="F213" i="20" s="1"/>
  <c r="C207" i="20"/>
  <c r="C61" i="20"/>
  <c r="C60" i="20"/>
  <c r="F60" i="20"/>
  <c r="C57" i="20"/>
  <c r="C56" i="20"/>
  <c r="C213" i="115"/>
  <c r="F213" i="115"/>
  <c r="C207" i="115"/>
  <c r="C61" i="115"/>
  <c r="C60" i="115"/>
  <c r="F60" i="115"/>
  <c r="F235" i="115" s="1"/>
  <c r="C57" i="115"/>
  <c r="C56" i="115"/>
  <c r="C213" i="114"/>
  <c r="F213" i="114" s="1"/>
  <c r="C207" i="114"/>
  <c r="C61" i="114"/>
  <c r="C60" i="114"/>
  <c r="F60" i="114" s="1"/>
  <c r="F235" i="114" s="1"/>
  <c r="C57" i="114"/>
  <c r="C56" i="114"/>
  <c r="C213" i="52071"/>
  <c r="F213" i="52071"/>
  <c r="C207" i="52071"/>
  <c r="C61" i="52071"/>
  <c r="C60" i="52071"/>
  <c r="F60" i="52071"/>
  <c r="C57" i="52071"/>
  <c r="C56" i="52071"/>
  <c r="C213" i="52079"/>
  <c r="F213" i="52079"/>
  <c r="C207" i="52079"/>
  <c r="C61" i="52079"/>
  <c r="C60" i="52079"/>
  <c r="C57" i="52079"/>
  <c r="C56" i="52079"/>
  <c r="C213" i="52067"/>
  <c r="C207" i="52067"/>
  <c r="C61" i="52067"/>
  <c r="C60" i="52067"/>
  <c r="F235" i="52067"/>
  <c r="C57" i="52067"/>
  <c r="C56" i="52067"/>
  <c r="C213" i="101"/>
  <c r="F213" i="101"/>
  <c r="C207" i="101"/>
  <c r="C61" i="101"/>
  <c r="C60" i="101"/>
  <c r="F235" i="101"/>
  <c r="C57" i="101"/>
  <c r="C56" i="101"/>
  <c r="C213" i="52088"/>
  <c r="F213" i="52088"/>
  <c r="C207" i="52088"/>
  <c r="C61" i="52088"/>
  <c r="C60" i="52088"/>
  <c r="F235" i="52088"/>
  <c r="C57" i="52088"/>
  <c r="C56" i="52088"/>
  <c r="C213" i="52087"/>
  <c r="F213" i="52087"/>
  <c r="C207" i="52087"/>
  <c r="C61" i="52087"/>
  <c r="C60" i="52087"/>
  <c r="F60" i="52087"/>
  <c r="F235" i="52087" s="1"/>
  <c r="C57" i="52087"/>
  <c r="C56" i="52087"/>
  <c r="C213" i="108"/>
  <c r="F213" i="108" s="1"/>
  <c r="C207" i="108"/>
  <c r="C61" i="108"/>
  <c r="C60" i="108"/>
  <c r="F60" i="108" s="1"/>
  <c r="F235" i="108" s="1"/>
  <c r="C57" i="108"/>
  <c r="C56" i="108"/>
  <c r="C213" i="105"/>
  <c r="F213" i="105"/>
  <c r="C207" i="105"/>
  <c r="C61" i="105"/>
  <c r="C60" i="105"/>
  <c r="F60" i="105"/>
  <c r="F235" i="105" s="1"/>
  <c r="C57" i="105"/>
  <c r="C56" i="105"/>
  <c r="C213" i="148"/>
  <c r="F213" i="148" s="1"/>
  <c r="C207" i="148"/>
  <c r="C61" i="148"/>
  <c r="C60" i="148"/>
  <c r="F60" i="148" s="1"/>
  <c r="C57" i="148"/>
  <c r="C56" i="148"/>
  <c r="C213" i="52064"/>
  <c r="F213" i="52064" s="1"/>
  <c r="C207" i="52064"/>
  <c r="C61" i="52099"/>
  <c r="C61" i="52064"/>
  <c r="C60" i="52064"/>
  <c r="F60" i="52064"/>
  <c r="F235" i="52064" s="1"/>
  <c r="C57" i="52064"/>
  <c r="C56" i="52064"/>
  <c r="C213" i="21"/>
  <c r="F213" i="21" s="1"/>
  <c r="C207" i="21"/>
  <c r="C57" i="21"/>
  <c r="C56" i="21"/>
  <c r="G2373" i="2"/>
  <c r="B2373" i="2"/>
  <c r="A2373" i="2"/>
  <c r="C2373" i="2" s="1"/>
  <c r="G2372" i="2"/>
  <c r="B2372" i="2"/>
  <c r="A2372" i="2"/>
  <c r="C2372" i="2" s="1"/>
  <c r="G2371" i="2"/>
  <c r="B2371" i="2"/>
  <c r="A2371" i="2"/>
  <c r="C2371" i="2" s="1"/>
  <c r="G2370" i="2"/>
  <c r="B2370" i="2"/>
  <c r="A2370" i="2"/>
  <c r="C2370" i="2" s="1"/>
  <c r="G2369" i="2"/>
  <c r="B2369" i="2"/>
  <c r="A2369" i="2"/>
  <c r="C2369" i="2" s="1"/>
  <c r="G2368" i="2"/>
  <c r="B2368" i="2"/>
  <c r="A2368" i="2"/>
  <c r="C2368" i="2" s="1"/>
  <c r="G2367" i="2"/>
  <c r="B2367" i="2"/>
  <c r="A2367" i="2"/>
  <c r="C2367" i="2" s="1"/>
  <c r="G2366" i="2"/>
  <c r="B2366" i="2"/>
  <c r="A2366" i="2"/>
  <c r="C2366" i="2" s="1"/>
  <c r="G2365" i="2"/>
  <c r="J2374" i="2" s="1"/>
  <c r="B2365" i="2"/>
  <c r="A2365" i="2"/>
  <c r="G2364" i="2"/>
  <c r="B2364" i="2"/>
  <c r="A2364" i="2"/>
  <c r="C2364" i="2" s="1"/>
  <c r="G2363" i="2"/>
  <c r="B2363" i="2"/>
  <c r="A2363" i="2"/>
  <c r="G2362" i="2"/>
  <c r="B2362" i="2"/>
  <c r="A2362" i="2"/>
  <c r="C2362" i="2" s="1"/>
  <c r="G2361" i="2"/>
  <c r="B2361" i="2"/>
  <c r="A2361" i="2"/>
  <c r="G2360" i="2"/>
  <c r="B2360" i="2"/>
  <c r="A2360" i="2"/>
  <c r="C2360" i="2" s="1"/>
  <c r="G2359" i="2"/>
  <c r="B2359" i="2"/>
  <c r="A2359" i="2"/>
  <c r="G2358" i="2"/>
  <c r="B2358" i="2"/>
  <c r="A2358" i="2"/>
  <c r="C2358" i="2" s="1"/>
  <c r="G2357" i="2"/>
  <c r="B2357" i="2"/>
  <c r="A2357" i="2"/>
  <c r="G2356" i="2"/>
  <c r="B2356" i="2"/>
  <c r="A2356" i="2"/>
  <c r="C2356" i="2" s="1"/>
  <c r="G2355" i="2"/>
  <c r="B2355" i="2"/>
  <c r="A2355" i="2"/>
  <c r="G2354" i="2"/>
  <c r="B2354" i="2"/>
  <c r="A2354" i="2"/>
  <c r="C2354" i="2" s="1"/>
  <c r="G2353" i="2"/>
  <c r="B2353" i="2"/>
  <c r="A2353" i="2"/>
  <c r="G2352" i="2"/>
  <c r="B2352" i="2"/>
  <c r="A2352" i="2"/>
  <c r="C2352" i="2" s="1"/>
  <c r="G2351" i="2"/>
  <c r="B2351" i="2"/>
  <c r="A2351" i="2"/>
  <c r="G2350" i="2"/>
  <c r="B2350" i="2"/>
  <c r="A2350" i="2"/>
  <c r="C2350" i="2" s="1"/>
  <c r="G2349" i="2"/>
  <c r="B2349" i="2"/>
  <c r="A2349" i="2"/>
  <c r="G2348" i="2"/>
  <c r="B2348" i="2"/>
  <c r="A2348" i="2"/>
  <c r="C2348" i="2" s="1"/>
  <c r="G2347" i="2"/>
  <c r="B2347" i="2"/>
  <c r="A2347" i="2"/>
  <c r="G2346" i="2"/>
  <c r="B2346" i="2"/>
  <c r="A2346" i="2"/>
  <c r="C2346" i="2" s="1"/>
  <c r="G2345" i="2"/>
  <c r="B2345" i="2"/>
  <c r="A2345" i="2"/>
  <c r="G2344" i="2"/>
  <c r="B2344" i="2"/>
  <c r="A2344" i="2"/>
  <c r="C2344" i="2" s="1"/>
  <c r="G2343" i="2"/>
  <c r="B2343" i="2"/>
  <c r="A2343" i="2"/>
  <c r="G2342" i="2"/>
  <c r="B2342" i="2"/>
  <c r="A2342" i="2"/>
  <c r="C2342" i="2" s="1"/>
  <c r="G2341" i="2"/>
  <c r="B2341" i="2"/>
  <c r="A2341" i="2"/>
  <c r="G2340" i="2"/>
  <c r="B2340" i="2"/>
  <c r="A2340" i="2"/>
  <c r="C2340" i="2" s="1"/>
  <c r="G2339" i="2"/>
  <c r="B2339" i="2"/>
  <c r="A2339" i="2"/>
  <c r="G2338" i="2"/>
  <c r="B2338" i="2"/>
  <c r="A2338" i="2"/>
  <c r="C2338" i="2" s="1"/>
  <c r="G2337" i="2"/>
  <c r="B2337" i="2"/>
  <c r="A2337" i="2"/>
  <c r="G2336" i="2"/>
  <c r="B2336" i="2"/>
  <c r="A2336" i="2"/>
  <c r="C2336" i="2" s="1"/>
  <c r="G2335" i="2"/>
  <c r="B2335" i="2"/>
  <c r="A2335" i="2"/>
  <c r="G2334" i="2"/>
  <c r="B2334" i="2"/>
  <c r="A2334" i="2"/>
  <c r="C2334" i="2" s="1"/>
  <c r="G2333" i="2"/>
  <c r="B2333" i="2"/>
  <c r="A2333" i="2"/>
  <c r="G2332" i="2"/>
  <c r="B2332" i="2"/>
  <c r="A2332" i="2"/>
  <c r="C2332" i="2" s="1"/>
  <c r="G2331" i="2"/>
  <c r="B2331" i="2"/>
  <c r="A2331" i="2"/>
  <c r="G2330" i="2"/>
  <c r="B2330" i="2"/>
  <c r="A2330" i="2"/>
  <c r="C2330" i="2" s="1"/>
  <c r="G2329" i="2"/>
  <c r="B2329" i="2"/>
  <c r="A2329" i="2"/>
  <c r="G2328" i="2"/>
  <c r="B2328" i="2"/>
  <c r="A2328" i="2"/>
  <c r="C2328" i="2" s="1"/>
  <c r="G2327" i="2"/>
  <c r="B2327" i="2"/>
  <c r="A2327" i="2"/>
  <c r="G2326" i="2"/>
  <c r="B2326" i="2"/>
  <c r="A2326" i="2"/>
  <c r="C2326" i="2" s="1"/>
  <c r="G2325" i="2"/>
  <c r="B2325" i="2"/>
  <c r="A2325" i="2"/>
  <c r="G2324" i="2"/>
  <c r="B2324" i="2"/>
  <c r="A2324" i="2"/>
  <c r="C2324" i="2" s="1"/>
  <c r="G2323" i="2"/>
  <c r="B2323" i="2"/>
  <c r="A2323" i="2"/>
  <c r="G2322" i="2"/>
  <c r="B2322" i="2"/>
  <c r="A2322" i="2"/>
  <c r="C2322" i="2" s="1"/>
  <c r="G2321" i="2"/>
  <c r="B2321" i="2"/>
  <c r="A2321" i="2"/>
  <c r="G2320" i="2"/>
  <c r="B2320" i="2"/>
  <c r="A2320" i="2"/>
  <c r="C2320" i="2" s="1"/>
  <c r="G2319" i="2"/>
  <c r="B2319" i="2"/>
  <c r="A2319" i="2"/>
  <c r="G2318" i="2"/>
  <c r="B2318" i="2"/>
  <c r="A2318" i="2"/>
  <c r="C2318" i="2" s="1"/>
  <c r="G2317" i="2"/>
  <c r="B2317" i="2"/>
  <c r="A2317" i="2"/>
  <c r="G2316" i="2"/>
  <c r="B2316" i="2"/>
  <c r="A2316" i="2"/>
  <c r="C2316" i="2" s="1"/>
  <c r="G2315" i="2"/>
  <c r="B2315" i="2"/>
  <c r="A2315" i="2"/>
  <c r="G2314" i="2"/>
  <c r="B2314" i="2"/>
  <c r="A2314" i="2"/>
  <c r="C2314" i="2" s="1"/>
  <c r="G2313" i="2"/>
  <c r="B2313" i="2"/>
  <c r="A2313" i="2"/>
  <c r="G2312" i="2"/>
  <c r="B2312" i="2"/>
  <c r="A2312" i="2"/>
  <c r="C2312" i="2" s="1"/>
  <c r="G2311" i="2"/>
  <c r="B2311" i="2"/>
  <c r="A2311" i="2"/>
  <c r="G2310" i="2"/>
  <c r="B2310" i="2"/>
  <c r="A2310" i="2"/>
  <c r="C2310" i="2" s="1"/>
  <c r="G2309" i="2"/>
  <c r="B2309" i="2"/>
  <c r="A2309" i="2"/>
  <c r="G2308" i="2"/>
  <c r="B2308" i="2"/>
  <c r="A2308" i="2"/>
  <c r="C2308" i="2" s="1"/>
  <c r="G2307" i="2"/>
  <c r="B2307" i="2"/>
  <c r="A2307" i="2"/>
  <c r="G2306" i="2"/>
  <c r="B2306" i="2"/>
  <c r="A2306" i="2"/>
  <c r="C2306" i="2" s="1"/>
  <c r="G2305" i="2"/>
  <c r="B2305" i="2"/>
  <c r="A2305" i="2"/>
  <c r="G2304" i="2"/>
  <c r="B2304" i="2"/>
  <c r="A2304" i="2"/>
  <c r="C2304" i="2" s="1"/>
  <c r="G2303" i="2"/>
  <c r="B2303" i="2"/>
  <c r="A2303" i="2"/>
  <c r="G2302" i="2"/>
  <c r="B2302" i="2"/>
  <c r="A2302" i="2"/>
  <c r="C2302" i="2" s="1"/>
  <c r="G2301" i="2"/>
  <c r="B2301" i="2"/>
  <c r="A2301" i="2"/>
  <c r="G2300" i="2"/>
  <c r="B2300" i="2"/>
  <c r="A2300" i="2"/>
  <c r="C2300" i="2" s="1"/>
  <c r="G2299" i="2"/>
  <c r="B2299" i="2"/>
  <c r="A2299" i="2"/>
  <c r="G2298" i="2"/>
  <c r="B2298" i="2"/>
  <c r="A2298" i="2"/>
  <c r="C2298" i="2" s="1"/>
  <c r="G2297" i="2"/>
  <c r="B2297" i="2"/>
  <c r="A2297" i="2"/>
  <c r="G2296" i="2"/>
  <c r="B2296" i="2"/>
  <c r="A2296" i="2"/>
  <c r="C2296" i="2" s="1"/>
  <c r="G2295" i="2"/>
  <c r="B2295" i="2"/>
  <c r="A2295" i="2"/>
  <c r="G2294" i="2"/>
  <c r="B2294" i="2"/>
  <c r="A2294" i="2"/>
  <c r="C2294" i="2" s="1"/>
  <c r="G2293" i="2"/>
  <c r="B2293" i="2"/>
  <c r="A2293" i="2"/>
  <c r="G2292" i="2"/>
  <c r="B2292" i="2"/>
  <c r="A2292" i="2"/>
  <c r="C2292" i="2" s="1"/>
  <c r="G2291" i="2"/>
  <c r="B2291" i="2"/>
  <c r="A2291" i="2"/>
  <c r="G2290" i="2"/>
  <c r="B2290" i="2"/>
  <c r="A2290" i="2"/>
  <c r="C2290" i="2" s="1"/>
  <c r="G2289" i="2"/>
  <c r="B2289" i="2"/>
  <c r="A2289" i="2"/>
  <c r="G2288" i="2"/>
  <c r="B2288" i="2"/>
  <c r="A2288" i="2"/>
  <c r="C2288" i="2" s="1"/>
  <c r="G2287" i="2"/>
  <c r="B2287" i="2"/>
  <c r="A2287" i="2"/>
  <c r="G2286" i="2"/>
  <c r="B2286" i="2"/>
  <c r="A2286" i="2"/>
  <c r="C2286" i="2" s="1"/>
  <c r="G2285" i="2"/>
  <c r="B2285" i="2"/>
  <c r="A2285" i="2"/>
  <c r="G2284" i="2"/>
  <c r="B2284" i="2"/>
  <c r="A2284" i="2"/>
  <c r="C2284" i="2" s="1"/>
  <c r="G2283" i="2"/>
  <c r="B2283" i="2"/>
  <c r="A2283" i="2"/>
  <c r="G2282" i="2"/>
  <c r="B2282" i="2"/>
  <c r="A2282" i="2"/>
  <c r="C2282" i="2" s="1"/>
  <c r="G2281" i="2"/>
  <c r="B2281" i="2"/>
  <c r="A2281" i="2"/>
  <c r="G2280" i="2"/>
  <c r="B2280" i="2"/>
  <c r="A2280" i="2"/>
  <c r="C2280" i="2" s="1"/>
  <c r="G2279" i="2"/>
  <c r="B2279" i="2"/>
  <c r="A2279" i="2"/>
  <c r="G2278" i="2"/>
  <c r="B2278" i="2"/>
  <c r="A2278" i="2"/>
  <c r="C2278" i="2" s="1"/>
  <c r="G2277" i="2"/>
  <c r="B2277" i="2"/>
  <c r="A2277" i="2"/>
  <c r="G2276" i="2"/>
  <c r="B2276" i="2"/>
  <c r="A2276" i="2"/>
  <c r="C2276" i="2" s="1"/>
  <c r="G2275" i="2"/>
  <c r="B2275" i="2"/>
  <c r="A2275" i="2"/>
  <c r="G2274" i="2"/>
  <c r="B2274" i="2"/>
  <c r="A2274" i="2"/>
  <c r="C2274" i="2" s="1"/>
  <c r="G2273" i="2"/>
  <c r="B2273" i="2"/>
  <c r="A2273" i="2"/>
  <c r="G2272" i="2"/>
  <c r="B2272" i="2"/>
  <c r="A2272" i="2"/>
  <c r="C2272" i="2" s="1"/>
  <c r="G2271" i="2"/>
  <c r="B2271" i="2"/>
  <c r="A2271" i="2"/>
  <c r="G2270" i="2"/>
  <c r="B2270" i="2"/>
  <c r="A2270" i="2"/>
  <c r="C2270" i="2" s="1"/>
  <c r="G2269" i="2"/>
  <c r="B2269" i="2"/>
  <c r="A2269" i="2"/>
  <c r="G2268" i="2"/>
  <c r="B2268" i="2"/>
  <c r="A2268" i="2"/>
  <c r="C2268" i="2" s="1"/>
  <c r="G2267" i="2"/>
  <c r="B2267" i="2"/>
  <c r="A2267" i="2"/>
  <c r="G2266" i="2"/>
  <c r="B2266" i="2"/>
  <c r="A2266" i="2"/>
  <c r="C2266" i="2" s="1"/>
  <c r="G2265" i="2"/>
  <c r="B2265" i="2"/>
  <c r="A2265" i="2"/>
  <c r="G2264" i="2"/>
  <c r="B2264" i="2"/>
  <c r="A2264" i="2"/>
  <c r="C2264" i="2" s="1"/>
  <c r="G2263" i="2"/>
  <c r="B2263" i="2"/>
  <c r="A2263" i="2"/>
  <c r="G2262" i="2"/>
  <c r="B2262" i="2"/>
  <c r="A2262" i="2"/>
  <c r="C2262" i="2" s="1"/>
  <c r="G2261" i="2"/>
  <c r="B2261" i="2"/>
  <c r="A2261" i="2"/>
  <c r="G2260" i="2"/>
  <c r="B2260" i="2"/>
  <c r="A2260" i="2"/>
  <c r="C2260" i="2" s="1"/>
  <c r="G2259" i="2"/>
  <c r="B2259" i="2"/>
  <c r="A2259" i="2"/>
  <c r="G2258" i="2"/>
  <c r="B2258" i="2"/>
  <c r="A2258" i="2"/>
  <c r="C2258" i="2" s="1"/>
  <c r="G2257" i="2"/>
  <c r="B2257" i="2"/>
  <c r="A2257" i="2"/>
  <c r="G2256" i="2"/>
  <c r="B2256" i="2"/>
  <c r="A2256" i="2"/>
  <c r="C2256" i="2" s="1"/>
  <c r="G2255" i="2"/>
  <c r="B2255" i="2"/>
  <c r="A2255" i="2"/>
  <c r="G2254" i="2"/>
  <c r="B2254" i="2"/>
  <c r="A2254" i="2"/>
  <c r="C2254" i="2" s="1"/>
  <c r="G2253" i="2"/>
  <c r="B2253" i="2"/>
  <c r="A2253" i="2"/>
  <c r="G2252" i="2"/>
  <c r="B2252" i="2"/>
  <c r="A2252" i="2"/>
  <c r="C2252" i="2" s="1"/>
  <c r="G2251" i="2"/>
  <c r="B2251" i="2"/>
  <c r="A2251" i="2"/>
  <c r="G2250" i="2"/>
  <c r="B2250" i="2"/>
  <c r="A2250" i="2"/>
  <c r="C2250" i="2" s="1"/>
  <c r="G2249" i="2"/>
  <c r="B2249" i="2"/>
  <c r="A2249" i="2"/>
  <c r="G2248" i="2"/>
  <c r="B2248" i="2"/>
  <c r="A2248" i="2"/>
  <c r="C2248" i="2" s="1"/>
  <c r="G2247" i="2"/>
  <c r="B2247" i="2"/>
  <c r="A2247" i="2"/>
  <c r="C2247" i="2"/>
  <c r="G2246" i="2"/>
  <c r="B2246" i="2"/>
  <c r="A2246" i="2"/>
  <c r="C2246" i="2"/>
  <c r="G2245" i="2"/>
  <c r="B2245" i="2"/>
  <c r="A2245" i="2"/>
  <c r="C2245" i="2"/>
  <c r="G2244" i="2"/>
  <c r="B2244" i="2"/>
  <c r="A2244" i="2"/>
  <c r="C2244" i="2"/>
  <c r="H2243" i="2"/>
  <c r="F2243" i="2"/>
  <c r="G2243" i="2" s="1"/>
  <c r="B2243" i="2"/>
  <c r="A2243" i="2"/>
  <c r="C2243" i="2" s="1"/>
  <c r="G2242" i="2"/>
  <c r="B2242" i="2"/>
  <c r="A2242" i="2"/>
  <c r="C2242" i="2" s="1"/>
  <c r="G2241" i="2"/>
  <c r="B2241" i="2"/>
  <c r="A2241" i="2"/>
  <c r="C2241" i="2" s="1"/>
  <c r="G2240" i="2"/>
  <c r="B2240" i="2"/>
  <c r="A2240" i="2"/>
  <c r="C2240" i="2" s="1"/>
  <c r="G2239" i="2"/>
  <c r="B2239" i="2"/>
  <c r="A2239" i="2"/>
  <c r="C2239" i="2" s="1"/>
  <c r="G2238" i="2"/>
  <c r="B2238" i="2"/>
  <c r="A2238" i="2"/>
  <c r="C2238" i="2" s="1"/>
  <c r="G2237" i="2"/>
  <c r="B2237" i="2"/>
  <c r="A2237" i="2"/>
  <c r="C2237" i="2" s="1"/>
  <c r="G2236" i="2"/>
  <c r="B2236" i="2"/>
  <c r="A2236" i="2"/>
  <c r="C2236" i="2" s="1"/>
  <c r="G2235" i="2"/>
  <c r="B2235" i="2"/>
  <c r="A2235" i="2"/>
  <c r="C2235" i="2" s="1"/>
  <c r="G2234" i="2"/>
  <c r="B2234" i="2"/>
  <c r="A2234" i="2"/>
  <c r="C2234" i="2" s="1"/>
  <c r="G2233" i="2"/>
  <c r="B2233" i="2"/>
  <c r="A2233" i="2"/>
  <c r="C2233" i="2" s="1"/>
  <c r="G2232" i="2"/>
  <c r="B2232" i="2"/>
  <c r="A2232" i="2"/>
  <c r="C2232" i="2" s="1"/>
  <c r="G2231" i="2"/>
  <c r="B2231" i="2"/>
  <c r="A2231" i="2"/>
  <c r="C2231" i="2" s="1"/>
  <c r="G2230" i="2"/>
  <c r="B2230" i="2"/>
  <c r="A2230" i="2"/>
  <c r="C2230" i="2" s="1"/>
  <c r="G2229" i="2"/>
  <c r="B2229" i="2"/>
  <c r="A2229" i="2"/>
  <c r="C2229" i="2" s="1"/>
  <c r="G2228" i="2"/>
  <c r="B2228" i="2"/>
  <c r="A2228" i="2"/>
  <c r="C2228" i="2" s="1"/>
  <c r="G2227" i="2"/>
  <c r="B2227" i="2"/>
  <c r="A2227" i="2"/>
  <c r="C2227" i="2" s="1"/>
  <c r="G2226" i="2"/>
  <c r="B2226" i="2"/>
  <c r="A2226" i="2"/>
  <c r="C2226" i="2" s="1"/>
  <c r="G2225" i="2"/>
  <c r="B2225" i="2"/>
  <c r="A2225" i="2"/>
  <c r="C2225" i="2" s="1"/>
  <c r="G2224" i="2"/>
  <c r="B2224" i="2"/>
  <c r="A2224" i="2"/>
  <c r="C2224" i="2" s="1"/>
  <c r="G2223" i="2"/>
  <c r="B2223" i="2"/>
  <c r="A2223" i="2"/>
  <c r="C2223" i="2" s="1"/>
  <c r="G2222" i="2"/>
  <c r="B2222" i="2"/>
  <c r="A2222" i="2"/>
  <c r="C2222" i="2" s="1"/>
  <c r="G2221" i="2"/>
  <c r="B2221" i="2"/>
  <c r="A2221" i="2"/>
  <c r="C2221" i="2" s="1"/>
  <c r="G2220" i="2"/>
  <c r="B2220" i="2"/>
  <c r="A2220" i="2"/>
  <c r="C2220" i="2" s="1"/>
  <c r="G2219" i="2"/>
  <c r="B2219" i="2"/>
  <c r="A2219" i="2"/>
  <c r="C2219" i="2" s="1"/>
  <c r="G2218" i="2"/>
  <c r="B2218" i="2"/>
  <c r="A2218" i="2"/>
  <c r="C2218" i="2" s="1"/>
  <c r="G2217" i="2"/>
  <c r="B2217" i="2"/>
  <c r="A2217" i="2"/>
  <c r="C2217" i="2" s="1"/>
  <c r="G2216" i="2"/>
  <c r="B2216" i="2"/>
  <c r="A2216" i="2"/>
  <c r="C2216" i="2" s="1"/>
  <c r="G2215" i="2"/>
  <c r="B2215" i="2"/>
  <c r="A2215" i="2"/>
  <c r="C2215" i="2" s="1"/>
  <c r="G2214" i="2"/>
  <c r="B2214" i="2"/>
  <c r="A2214" i="2"/>
  <c r="C2214" i="2" s="1"/>
  <c r="G2213" i="2"/>
  <c r="B2213" i="2"/>
  <c r="A2213" i="2"/>
  <c r="C2213" i="2" s="1"/>
  <c r="G2212" i="2"/>
  <c r="B2212" i="2"/>
  <c r="A2212" i="2"/>
  <c r="C2212" i="2" s="1"/>
  <c r="G2211" i="2"/>
  <c r="B2211" i="2"/>
  <c r="A2211" i="2"/>
  <c r="C2211" i="2" s="1"/>
  <c r="G2210" i="2"/>
  <c r="B2210" i="2"/>
  <c r="A2210" i="2"/>
  <c r="C2210" i="2" s="1"/>
  <c r="G2209" i="2"/>
  <c r="B2209" i="2"/>
  <c r="A2209" i="2"/>
  <c r="C2209" i="2" s="1"/>
  <c r="G2208" i="2"/>
  <c r="B2208" i="2"/>
  <c r="A2208" i="2"/>
  <c r="C2208" i="2" s="1"/>
  <c r="G2207" i="2"/>
  <c r="B2207" i="2"/>
  <c r="A2207" i="2"/>
  <c r="C2207" i="2" s="1"/>
  <c r="G2206" i="2"/>
  <c r="B2206" i="2"/>
  <c r="A2206" i="2"/>
  <c r="C2206" i="2" s="1"/>
  <c r="G2205" i="2"/>
  <c r="B2205" i="2"/>
  <c r="A2205" i="2"/>
  <c r="C2205" i="2" s="1"/>
  <c r="G2204" i="2"/>
  <c r="B2204" i="2"/>
  <c r="A2204" i="2"/>
  <c r="C2204" i="2" s="1"/>
  <c r="G2203" i="2"/>
  <c r="B2203" i="2"/>
  <c r="A2203" i="2"/>
  <c r="C2203" i="2" s="1"/>
  <c r="G2202" i="2"/>
  <c r="B2202" i="2"/>
  <c r="A2202" i="2"/>
  <c r="C2202" i="2" s="1"/>
  <c r="G2201" i="2"/>
  <c r="B2201" i="2"/>
  <c r="A2201" i="2"/>
  <c r="C2201" i="2" s="1"/>
  <c r="G2200" i="2"/>
  <c r="B2200" i="2"/>
  <c r="A2200" i="2"/>
  <c r="C2200" i="2" s="1"/>
  <c r="G2199" i="2"/>
  <c r="B2199" i="2"/>
  <c r="A2199" i="2"/>
  <c r="C2199" i="2" s="1"/>
  <c r="G2198" i="2"/>
  <c r="B2198" i="2"/>
  <c r="A2198" i="2"/>
  <c r="C2198" i="2" s="1"/>
  <c r="G2197" i="2"/>
  <c r="B2197" i="2"/>
  <c r="A2197" i="2"/>
  <c r="C2197" i="2" s="1"/>
  <c r="G2196" i="2"/>
  <c r="B2196" i="2"/>
  <c r="A2196" i="2"/>
  <c r="C2196" i="2" s="1"/>
  <c r="G2195" i="2"/>
  <c r="B2195" i="2"/>
  <c r="A2195" i="2"/>
  <c r="C2195" i="2" s="1"/>
  <c r="G2194" i="2"/>
  <c r="B2194" i="2"/>
  <c r="A2194" i="2"/>
  <c r="C2194" i="2" s="1"/>
  <c r="G2193" i="2"/>
  <c r="B2193" i="2"/>
  <c r="A2193" i="2"/>
  <c r="C2193" i="2" s="1"/>
  <c r="G2192" i="2"/>
  <c r="B2192" i="2"/>
  <c r="A2192" i="2"/>
  <c r="C2192" i="2" s="1"/>
  <c r="G2191" i="2"/>
  <c r="B2191" i="2"/>
  <c r="A2191" i="2"/>
  <c r="C2191" i="2" s="1"/>
  <c r="G2190" i="2"/>
  <c r="B2190" i="2"/>
  <c r="A2190" i="2"/>
  <c r="C2190" i="2" s="1"/>
  <c r="G2189" i="2"/>
  <c r="B2189" i="2"/>
  <c r="A2189" i="2"/>
  <c r="C2189" i="2" s="1"/>
  <c r="G2188" i="2"/>
  <c r="B2188" i="2"/>
  <c r="A2188" i="2"/>
  <c r="C2188" i="2" s="1"/>
  <c r="G2187" i="2"/>
  <c r="B2187" i="2"/>
  <c r="A2187" i="2"/>
  <c r="C2187" i="2" s="1"/>
  <c r="G2186" i="2"/>
  <c r="B2186" i="2"/>
  <c r="A2186" i="2"/>
  <c r="C2186" i="2" s="1"/>
  <c r="G2185" i="2"/>
  <c r="B2185" i="2"/>
  <c r="A2185" i="2"/>
  <c r="C2185" i="2" s="1"/>
  <c r="G2184" i="2"/>
  <c r="B2184" i="2"/>
  <c r="A2184" i="2"/>
  <c r="C2184" i="2" s="1"/>
  <c r="G2183" i="2"/>
  <c r="B2183" i="2"/>
  <c r="A2183" i="2"/>
  <c r="C2183" i="2" s="1"/>
  <c r="G2182" i="2"/>
  <c r="B2182" i="2"/>
  <c r="A2182" i="2"/>
  <c r="C2182" i="2" s="1"/>
  <c r="G2181" i="2"/>
  <c r="B2181" i="2"/>
  <c r="A2181" i="2"/>
  <c r="C2181" i="2" s="1"/>
  <c r="G2180" i="2"/>
  <c r="B2180" i="2"/>
  <c r="A2180" i="2"/>
  <c r="C2180" i="2" s="1"/>
  <c r="G2179" i="2"/>
  <c r="B2179" i="2"/>
  <c r="A2179" i="2"/>
  <c r="C2179" i="2" s="1"/>
  <c r="G2178" i="2"/>
  <c r="B2178" i="2"/>
  <c r="A2178" i="2"/>
  <c r="C2178" i="2" s="1"/>
  <c r="G2177" i="2"/>
  <c r="B2177" i="2"/>
  <c r="A2177" i="2"/>
  <c r="C2177" i="2" s="1"/>
  <c r="G2176" i="2"/>
  <c r="B2176" i="2"/>
  <c r="A2176" i="2"/>
  <c r="C2176" i="2" s="1"/>
  <c r="G2175" i="2"/>
  <c r="B2175" i="2"/>
  <c r="A2175" i="2"/>
  <c r="C2175" i="2" s="1"/>
  <c r="G2174" i="2"/>
  <c r="B2174" i="2"/>
  <c r="A2174" i="2"/>
  <c r="C2174" i="2" s="1"/>
  <c r="G2173" i="2"/>
  <c r="B2173" i="2"/>
  <c r="A2173" i="2"/>
  <c r="C2173" i="2" s="1"/>
  <c r="G2172" i="2"/>
  <c r="B2172" i="2"/>
  <c r="A2172" i="2"/>
  <c r="C2172" i="2" s="1"/>
  <c r="G2171" i="2"/>
  <c r="B2171" i="2"/>
  <c r="A2171" i="2"/>
  <c r="C2171" i="2" s="1"/>
  <c r="G2170" i="2"/>
  <c r="B2170" i="2"/>
  <c r="A2170" i="2"/>
  <c r="C2170" i="2" s="1"/>
  <c r="G2169" i="2"/>
  <c r="B2169" i="2"/>
  <c r="A2169" i="2"/>
  <c r="C2169" i="2" s="1"/>
  <c r="G2168" i="2"/>
  <c r="B2168" i="2"/>
  <c r="A2168" i="2"/>
  <c r="C2168" i="2" s="1"/>
  <c r="G2167" i="2"/>
  <c r="B2167" i="2"/>
  <c r="A2167" i="2"/>
  <c r="C2167" i="2" s="1"/>
  <c r="G2166" i="2"/>
  <c r="B2166" i="2"/>
  <c r="A2166" i="2"/>
  <c r="C2166" i="2" s="1"/>
  <c r="G2165" i="2"/>
  <c r="B2165" i="2"/>
  <c r="A2165" i="2"/>
  <c r="C2165" i="2" s="1"/>
  <c r="G2164" i="2"/>
  <c r="B2164" i="2"/>
  <c r="A2164" i="2"/>
  <c r="C2164" i="2" s="1"/>
  <c r="G2163" i="2"/>
  <c r="B2163" i="2"/>
  <c r="A2163" i="2"/>
  <c r="C2163" i="2" s="1"/>
  <c r="G2162" i="2"/>
  <c r="B2162" i="2"/>
  <c r="A2162" i="2"/>
  <c r="C2162" i="2" s="1"/>
  <c r="G2161" i="2"/>
  <c r="B2161" i="2"/>
  <c r="A2161" i="2"/>
  <c r="C2161" i="2" s="1"/>
  <c r="G2160" i="2"/>
  <c r="B2160" i="2"/>
  <c r="A2160" i="2"/>
  <c r="C2160" i="2" s="1"/>
  <c r="G2159" i="2"/>
  <c r="B2159" i="2"/>
  <c r="A2159" i="2"/>
  <c r="C2159" i="2" s="1"/>
  <c r="G2158" i="2"/>
  <c r="B2158" i="2"/>
  <c r="A2158" i="2"/>
  <c r="C2158" i="2" s="1"/>
  <c r="G2157" i="2"/>
  <c r="B2157" i="2"/>
  <c r="A2157" i="2"/>
  <c r="C2157" i="2" s="1"/>
  <c r="G2156" i="2"/>
  <c r="B2156" i="2"/>
  <c r="A2156" i="2"/>
  <c r="C2156" i="2" s="1"/>
  <c r="G2155" i="2"/>
  <c r="B2155" i="2"/>
  <c r="A2155" i="2"/>
  <c r="C2155" i="2" s="1"/>
  <c r="G2154" i="2"/>
  <c r="B2154" i="2"/>
  <c r="A2154" i="2"/>
  <c r="C2154" i="2" s="1"/>
  <c r="G2153" i="2"/>
  <c r="B2153" i="2"/>
  <c r="A2153" i="2"/>
  <c r="C2153" i="2" s="1"/>
  <c r="G2152" i="2"/>
  <c r="B2152" i="2"/>
  <c r="A2152" i="2"/>
  <c r="C2152" i="2" s="1"/>
  <c r="G2151" i="2"/>
  <c r="B2151" i="2"/>
  <c r="A2151" i="2"/>
  <c r="C2151" i="2" s="1"/>
  <c r="G2150" i="2"/>
  <c r="B2150" i="2"/>
  <c r="A2150" i="2"/>
  <c r="C2150" i="2" s="1"/>
  <c r="G2149" i="2"/>
  <c r="B2149" i="2"/>
  <c r="A2149" i="2"/>
  <c r="C2149" i="2" s="1"/>
  <c r="G2148" i="2"/>
  <c r="B2148" i="2"/>
  <c r="A2148" i="2"/>
  <c r="C2148" i="2" s="1"/>
  <c r="G2147" i="2"/>
  <c r="B2147" i="2"/>
  <c r="A2147" i="2"/>
  <c r="C2147" i="2" s="1"/>
  <c r="G2146" i="2"/>
  <c r="B2146" i="2"/>
  <c r="A2146" i="2"/>
  <c r="C2146" i="2" s="1"/>
  <c r="G2145" i="2"/>
  <c r="B2145" i="2"/>
  <c r="A2145" i="2"/>
  <c r="C2145" i="2" s="1"/>
  <c r="G2144" i="2"/>
  <c r="B2144" i="2"/>
  <c r="A2144" i="2"/>
  <c r="C2144" i="2" s="1"/>
  <c r="G2143" i="2"/>
  <c r="B2143" i="2"/>
  <c r="A2143" i="2"/>
  <c r="C2143" i="2" s="1"/>
  <c r="G2142" i="2"/>
  <c r="B2142" i="2"/>
  <c r="A2142" i="2"/>
  <c r="C2142" i="2" s="1"/>
  <c r="G2141" i="2"/>
  <c r="B2141" i="2"/>
  <c r="A2141" i="2"/>
  <c r="C2141" i="2" s="1"/>
  <c r="G2140" i="2"/>
  <c r="B2140" i="2"/>
  <c r="A2140" i="2"/>
  <c r="C2140" i="2" s="1"/>
  <c r="G2139" i="2"/>
  <c r="B2139" i="2"/>
  <c r="A2139" i="2"/>
  <c r="C2139" i="2" s="1"/>
  <c r="G2138" i="2"/>
  <c r="B2138" i="2"/>
  <c r="A2138" i="2"/>
  <c r="C2138" i="2" s="1"/>
  <c r="G2137" i="2"/>
  <c r="B2137" i="2"/>
  <c r="A2137" i="2"/>
  <c r="C2137" i="2" s="1"/>
  <c r="G2136" i="2"/>
  <c r="B2136" i="2"/>
  <c r="A2136" i="2"/>
  <c r="C2136" i="2" s="1"/>
  <c r="G2135" i="2"/>
  <c r="B2135" i="2"/>
  <c r="A2135" i="2"/>
  <c r="C2135" i="2" s="1"/>
  <c r="G2134" i="2"/>
  <c r="B2134" i="2"/>
  <c r="A2134" i="2"/>
  <c r="C2134" i="2" s="1"/>
  <c r="G2133" i="2"/>
  <c r="B2133" i="2"/>
  <c r="A2133" i="2"/>
  <c r="C2133" i="2" s="1"/>
  <c r="G2132" i="2"/>
  <c r="B2132" i="2"/>
  <c r="A2132" i="2"/>
  <c r="C2132" i="2" s="1"/>
  <c r="G2131" i="2"/>
  <c r="B2131" i="2"/>
  <c r="A2131" i="2"/>
  <c r="C2131" i="2" s="1"/>
  <c r="G2130" i="2"/>
  <c r="B2130" i="2"/>
  <c r="A2130" i="2"/>
  <c r="C2130" i="2" s="1"/>
  <c r="G2129" i="2"/>
  <c r="B2129" i="2"/>
  <c r="A2129" i="2"/>
  <c r="C2129" i="2" s="1"/>
  <c r="G2128" i="2"/>
  <c r="B2128" i="2"/>
  <c r="A2128" i="2"/>
  <c r="C2128" i="2" s="1"/>
  <c r="G2127" i="2"/>
  <c r="B2127" i="2"/>
  <c r="A2127" i="2"/>
  <c r="C2127" i="2" s="1"/>
  <c r="G2126" i="2"/>
  <c r="B2126" i="2"/>
  <c r="A2126" i="2"/>
  <c r="C2126" i="2" s="1"/>
  <c r="G2125" i="2"/>
  <c r="B2125" i="2"/>
  <c r="A2125" i="2"/>
  <c r="C2125" i="2" s="1"/>
  <c r="G2124" i="2"/>
  <c r="B2124" i="2"/>
  <c r="A2124" i="2"/>
  <c r="C2124" i="2" s="1"/>
  <c r="G2123" i="2"/>
  <c r="B2123" i="2"/>
  <c r="A2123" i="2"/>
  <c r="C2123" i="2" s="1"/>
  <c r="G2122" i="2"/>
  <c r="B2122" i="2"/>
  <c r="A2122" i="2"/>
  <c r="G2121" i="2"/>
  <c r="B2121" i="2"/>
  <c r="A2121" i="2"/>
  <c r="G2120" i="2"/>
  <c r="B2120" i="2"/>
  <c r="A2120" i="2"/>
  <c r="C2120" i="2" s="1"/>
  <c r="G2119" i="2"/>
  <c r="B2119" i="2"/>
  <c r="A2119" i="2"/>
  <c r="G2118" i="2"/>
  <c r="B2118" i="2"/>
  <c r="A2118" i="2"/>
  <c r="C2118" i="2" s="1"/>
  <c r="G2117" i="2"/>
  <c r="B2117" i="2"/>
  <c r="A2117" i="2"/>
  <c r="G2116" i="2"/>
  <c r="B2116" i="2"/>
  <c r="A2116" i="2"/>
  <c r="C2116" i="2" s="1"/>
  <c r="G2115" i="2"/>
  <c r="B2115" i="2"/>
  <c r="A2115" i="2"/>
  <c r="G2114" i="2"/>
  <c r="B2114" i="2"/>
  <c r="A2114" i="2"/>
  <c r="C2114" i="2" s="1"/>
  <c r="G2113" i="2"/>
  <c r="B2113" i="2"/>
  <c r="A2113" i="2"/>
  <c r="G2112" i="2"/>
  <c r="B2112" i="2"/>
  <c r="A2112" i="2"/>
  <c r="C2112" i="2" s="1"/>
  <c r="G2111" i="2"/>
  <c r="B2111" i="2"/>
  <c r="A2111" i="2"/>
  <c r="G2110" i="2"/>
  <c r="B2110" i="2"/>
  <c r="A2110" i="2"/>
  <c r="C2110" i="2" s="1"/>
  <c r="G2109" i="2"/>
  <c r="B2109" i="2"/>
  <c r="A2109" i="2"/>
  <c r="G2108" i="2"/>
  <c r="B2108" i="2"/>
  <c r="A2108" i="2"/>
  <c r="C2108" i="2" s="1"/>
  <c r="G2107" i="2"/>
  <c r="B2107" i="2"/>
  <c r="A2107" i="2"/>
  <c r="G2106" i="2"/>
  <c r="B2106" i="2"/>
  <c r="A2106" i="2"/>
  <c r="C2106" i="2" s="1"/>
  <c r="G2105" i="2"/>
  <c r="B2105" i="2"/>
  <c r="A2105" i="2"/>
  <c r="G2104" i="2"/>
  <c r="B2104" i="2"/>
  <c r="A2104" i="2"/>
  <c r="C2104" i="2" s="1"/>
  <c r="G2103" i="2"/>
  <c r="B2103" i="2"/>
  <c r="A2103" i="2"/>
  <c r="G2102" i="2"/>
  <c r="B2102" i="2"/>
  <c r="A2102" i="2"/>
  <c r="C2102" i="2" s="1"/>
  <c r="G2101" i="2"/>
  <c r="B2101" i="2"/>
  <c r="A2101" i="2"/>
  <c r="G2100" i="2"/>
  <c r="B2100" i="2"/>
  <c r="A2100" i="2"/>
  <c r="C2100" i="2" s="1"/>
  <c r="G2099" i="2"/>
  <c r="B2099" i="2"/>
  <c r="A2099" i="2"/>
  <c r="G2098" i="2"/>
  <c r="B2098" i="2"/>
  <c r="A2098" i="2"/>
  <c r="C2098" i="2" s="1"/>
  <c r="G2097" i="2"/>
  <c r="B2097" i="2"/>
  <c r="A2097" i="2"/>
  <c r="G2096" i="2"/>
  <c r="B2096" i="2"/>
  <c r="A2096" i="2"/>
  <c r="C2096" i="2" s="1"/>
  <c r="G2095" i="2"/>
  <c r="B2095" i="2"/>
  <c r="A2095" i="2"/>
  <c r="G2094" i="2"/>
  <c r="B2094" i="2"/>
  <c r="A2094" i="2"/>
  <c r="C2094" i="2" s="1"/>
  <c r="G2093" i="2"/>
  <c r="B2093" i="2"/>
  <c r="A2093" i="2"/>
  <c r="G2092" i="2"/>
  <c r="B2092" i="2"/>
  <c r="A2092" i="2"/>
  <c r="C2092" i="2" s="1"/>
  <c r="G2091" i="2"/>
  <c r="B2091" i="2"/>
  <c r="A2091" i="2"/>
  <c r="G2090" i="2"/>
  <c r="B2090" i="2"/>
  <c r="A2090" i="2"/>
  <c r="C2090" i="2" s="1"/>
  <c r="G2089" i="2"/>
  <c r="B2089" i="2"/>
  <c r="A2089" i="2"/>
  <c r="G2088" i="2"/>
  <c r="B2088" i="2"/>
  <c r="A2088" i="2"/>
  <c r="C2088" i="2" s="1"/>
  <c r="G2087" i="2"/>
  <c r="B2087" i="2"/>
  <c r="A2087" i="2"/>
  <c r="G2086" i="2"/>
  <c r="B2086" i="2"/>
  <c r="A2086" i="2"/>
  <c r="C2086" i="2" s="1"/>
  <c r="G2085" i="2"/>
  <c r="B2085" i="2"/>
  <c r="A2085" i="2"/>
  <c r="G2084" i="2"/>
  <c r="B2084" i="2"/>
  <c r="A2084" i="2"/>
  <c r="C2084" i="2" s="1"/>
  <c r="G2083" i="2"/>
  <c r="B2083" i="2"/>
  <c r="A2083" i="2"/>
  <c r="G2082" i="2"/>
  <c r="B2082" i="2"/>
  <c r="A2082" i="2"/>
  <c r="C2082" i="2" s="1"/>
  <c r="G2081" i="2"/>
  <c r="B2081" i="2"/>
  <c r="A2081" i="2"/>
  <c r="G2080" i="2"/>
  <c r="B2080" i="2"/>
  <c r="A2080" i="2"/>
  <c r="C2080" i="2" s="1"/>
  <c r="G2079" i="2"/>
  <c r="B2079" i="2"/>
  <c r="A2079" i="2"/>
  <c r="G2078" i="2"/>
  <c r="B2078" i="2"/>
  <c r="A2078" i="2"/>
  <c r="C2078" i="2" s="1"/>
  <c r="G2077" i="2"/>
  <c r="B2077" i="2"/>
  <c r="A2077" i="2"/>
  <c r="G2076" i="2"/>
  <c r="B2076" i="2"/>
  <c r="A2076" i="2"/>
  <c r="C2076" i="2" s="1"/>
  <c r="G2075" i="2"/>
  <c r="B2075" i="2"/>
  <c r="A2075" i="2"/>
  <c r="G2074" i="2"/>
  <c r="B2074" i="2"/>
  <c r="A2074" i="2"/>
  <c r="C2074" i="2" s="1"/>
  <c r="G2073" i="2"/>
  <c r="B2073" i="2"/>
  <c r="A2073" i="2"/>
  <c r="G2072" i="2"/>
  <c r="B2072" i="2"/>
  <c r="A2072" i="2"/>
  <c r="C2072" i="2" s="1"/>
  <c r="G2071" i="2"/>
  <c r="B2071" i="2"/>
  <c r="A2071" i="2"/>
  <c r="G2070" i="2"/>
  <c r="B2070" i="2"/>
  <c r="A2070" i="2"/>
  <c r="C2070" i="2" s="1"/>
  <c r="G2069" i="2"/>
  <c r="B2069" i="2"/>
  <c r="A2069" i="2"/>
  <c r="G2068" i="2"/>
  <c r="B2068" i="2"/>
  <c r="A2068" i="2"/>
  <c r="C2068" i="2" s="1"/>
  <c r="G2067" i="2"/>
  <c r="B2067" i="2"/>
  <c r="A2067" i="2"/>
  <c r="G2066" i="2"/>
  <c r="B2066" i="2"/>
  <c r="A2066" i="2"/>
  <c r="C2066" i="2" s="1"/>
  <c r="G2065" i="2"/>
  <c r="J2375" i="2" s="1"/>
  <c r="B2065" i="2"/>
  <c r="A2065" i="2"/>
  <c r="C2065" i="2"/>
  <c r="G2064" i="2"/>
  <c r="B2064" i="2"/>
  <c r="A2064" i="2"/>
  <c r="C2064" i="2"/>
  <c r="G2063" i="2"/>
  <c r="B2063" i="2"/>
  <c r="A2063" i="2"/>
  <c r="C2063" i="2"/>
  <c r="G2062" i="2"/>
  <c r="B2062" i="2"/>
  <c r="A2062" i="2"/>
  <c r="C2062" i="2"/>
  <c r="G2061" i="2"/>
  <c r="B2061" i="2"/>
  <c r="A2061" i="2"/>
  <c r="C2061" i="2"/>
  <c r="G2060" i="2"/>
  <c r="B2060" i="2"/>
  <c r="A2060" i="2"/>
  <c r="C2060" i="2"/>
  <c r="G2059" i="2"/>
  <c r="B2059" i="2"/>
  <c r="A2059" i="2"/>
  <c r="C2059" i="2"/>
  <c r="G2058" i="2"/>
  <c r="B2058" i="2"/>
  <c r="A2058" i="2"/>
  <c r="C2058" i="2"/>
  <c r="G2057" i="2"/>
  <c r="B2057" i="2"/>
  <c r="A2057" i="2"/>
  <c r="C2057" i="2"/>
  <c r="G2056" i="2"/>
  <c r="B2056" i="2"/>
  <c r="A2056" i="2"/>
  <c r="C2056" i="2"/>
  <c r="G2055" i="2"/>
  <c r="B2055" i="2"/>
  <c r="A2055" i="2"/>
  <c r="C2055" i="2"/>
  <c r="G2054" i="2"/>
  <c r="B2054" i="2"/>
  <c r="A2054" i="2"/>
  <c r="C2054" i="2"/>
  <c r="G2053" i="2"/>
  <c r="B2053" i="2"/>
  <c r="A2053" i="2"/>
  <c r="C2053" i="2"/>
  <c r="G2052" i="2"/>
  <c r="B2052" i="2"/>
  <c r="A2052" i="2"/>
  <c r="C2052" i="2"/>
  <c r="G2051" i="2"/>
  <c r="B2051" i="2"/>
  <c r="A2051" i="2"/>
  <c r="C2051" i="2"/>
  <c r="G2050" i="2"/>
  <c r="B2050" i="2"/>
  <c r="A2050" i="2"/>
  <c r="C2050" i="2"/>
  <c r="G2049" i="2"/>
  <c r="B2049" i="2"/>
  <c r="A2049" i="2"/>
  <c r="C2049" i="2"/>
  <c r="G2048" i="2"/>
  <c r="B2048" i="2"/>
  <c r="A2048" i="2"/>
  <c r="C2048" i="2"/>
  <c r="G2047" i="2"/>
  <c r="B2047" i="2"/>
  <c r="A2047" i="2"/>
  <c r="C2047" i="2"/>
  <c r="G2046" i="2"/>
  <c r="B2046" i="2"/>
  <c r="A2046" i="2"/>
  <c r="C2046" i="2"/>
  <c r="G2045" i="2"/>
  <c r="B2045" i="2"/>
  <c r="A2045" i="2"/>
  <c r="C2045" i="2"/>
  <c r="G2044" i="2"/>
  <c r="B2044" i="2"/>
  <c r="A2044" i="2"/>
  <c r="C2044" i="2"/>
  <c r="G2043" i="2"/>
  <c r="B2043" i="2"/>
  <c r="A2043" i="2"/>
  <c r="C2043" i="2"/>
  <c r="G2042" i="2"/>
  <c r="B2042" i="2"/>
  <c r="A2042" i="2"/>
  <c r="C2042" i="2"/>
  <c r="G2041" i="2"/>
  <c r="B2041" i="2"/>
  <c r="A2041" i="2"/>
  <c r="C2041" i="2"/>
  <c r="G2040" i="2"/>
  <c r="B2040" i="2"/>
  <c r="A2040" i="2"/>
  <c r="C2040" i="2"/>
  <c r="G2039" i="2"/>
  <c r="B2039" i="2"/>
  <c r="A2039" i="2"/>
  <c r="C2039" i="2"/>
  <c r="G2038" i="2"/>
  <c r="B2038" i="2"/>
  <c r="A2038" i="2"/>
  <c r="C2038" i="2"/>
  <c r="G2037" i="2"/>
  <c r="B2037" i="2"/>
  <c r="A2037" i="2"/>
  <c r="C2037" i="2"/>
  <c r="G2036" i="2"/>
  <c r="B2036" i="2"/>
  <c r="A2036" i="2"/>
  <c r="C2036" i="2"/>
  <c r="G2035" i="2"/>
  <c r="B2035" i="2"/>
  <c r="A2035" i="2"/>
  <c r="C2035" i="2"/>
  <c r="G2034" i="2"/>
  <c r="B2034" i="2"/>
  <c r="A2034" i="2"/>
  <c r="C2034" i="2"/>
  <c r="G2033" i="2"/>
  <c r="B2033" i="2"/>
  <c r="A2033" i="2"/>
  <c r="C2033" i="2"/>
  <c r="G2032" i="2"/>
  <c r="B2032" i="2"/>
  <c r="A2032" i="2"/>
  <c r="C2032" i="2"/>
  <c r="G2031" i="2"/>
  <c r="B2031" i="2"/>
  <c r="A2031" i="2"/>
  <c r="C2031" i="2"/>
  <c r="G2030" i="2"/>
  <c r="B2030" i="2"/>
  <c r="A2030" i="2"/>
  <c r="C2030" i="2"/>
  <c r="G2029" i="2"/>
  <c r="B2029" i="2"/>
  <c r="A2029" i="2"/>
  <c r="C2029" i="2"/>
  <c r="J2028" i="2"/>
  <c r="G2028" i="2"/>
  <c r="B2028" i="2"/>
  <c r="A2028" i="2"/>
  <c r="C2028" i="2" s="1"/>
  <c r="G2027" i="2"/>
  <c r="B2027" i="2"/>
  <c r="A2027" i="2"/>
  <c r="G2026" i="2"/>
  <c r="B2026" i="2"/>
  <c r="A2026" i="2"/>
  <c r="C2026" i="2" s="1"/>
  <c r="G2025" i="2"/>
  <c r="B2025" i="2"/>
  <c r="A2025" i="2"/>
  <c r="G2024" i="2"/>
  <c r="B2024" i="2"/>
  <c r="A2024" i="2"/>
  <c r="C2024" i="2" s="1"/>
  <c r="G2023" i="2"/>
  <c r="B2023" i="2"/>
  <c r="A2023" i="2"/>
  <c r="G2022" i="2"/>
  <c r="B2022" i="2"/>
  <c r="A2022" i="2"/>
  <c r="C2022" i="2" s="1"/>
  <c r="G2021" i="2"/>
  <c r="B2021" i="2"/>
  <c r="A2021" i="2"/>
  <c r="G2020" i="2"/>
  <c r="B2020" i="2"/>
  <c r="A2020" i="2"/>
  <c r="C2020" i="2" s="1"/>
  <c r="G2019" i="2"/>
  <c r="B2019" i="2"/>
  <c r="A2019" i="2"/>
  <c r="G2018" i="2"/>
  <c r="B2018" i="2"/>
  <c r="A2018" i="2"/>
  <c r="C2018" i="2" s="1"/>
  <c r="G2017" i="2"/>
  <c r="B2017" i="2"/>
  <c r="A2017" i="2"/>
  <c r="G2016" i="2"/>
  <c r="B2016" i="2"/>
  <c r="A2016" i="2"/>
  <c r="C2016" i="2" s="1"/>
  <c r="G2015" i="2"/>
  <c r="B2015" i="2"/>
  <c r="A2015" i="2"/>
  <c r="G2014" i="2"/>
  <c r="B2014" i="2"/>
  <c r="A2014" i="2"/>
  <c r="C2014" i="2" s="1"/>
  <c r="G2013" i="2"/>
  <c r="B2013" i="2"/>
  <c r="A2013" i="2"/>
  <c r="G2012" i="2"/>
  <c r="B2012" i="2"/>
  <c r="A2012" i="2"/>
  <c r="C2012" i="2" s="1"/>
  <c r="G2011" i="2"/>
  <c r="B2011" i="2"/>
  <c r="A2011" i="2"/>
  <c r="G2010" i="2"/>
  <c r="B2010" i="2"/>
  <c r="A2010" i="2"/>
  <c r="C2010" i="2" s="1"/>
  <c r="G2009" i="2"/>
  <c r="B2009" i="2"/>
  <c r="A2009" i="2"/>
  <c r="G2008" i="2"/>
  <c r="B2008" i="2"/>
  <c r="A2008" i="2"/>
  <c r="C2008" i="2" s="1"/>
  <c r="G2007" i="2"/>
  <c r="B2007" i="2"/>
  <c r="A2007" i="2"/>
  <c r="G2006" i="2"/>
  <c r="B2006" i="2"/>
  <c r="A2006" i="2"/>
  <c r="C2006" i="2" s="1"/>
  <c r="G2005" i="2"/>
  <c r="B2005" i="2"/>
  <c r="A2005" i="2"/>
  <c r="G2004" i="2"/>
  <c r="B2004" i="2"/>
  <c r="A2004" i="2"/>
  <c r="C2004" i="2" s="1"/>
  <c r="G2003" i="2"/>
  <c r="B2003" i="2"/>
  <c r="A2003" i="2"/>
  <c r="G2002" i="2"/>
  <c r="B2002" i="2"/>
  <c r="A2002" i="2"/>
  <c r="C2002" i="2" s="1"/>
  <c r="G2001" i="2"/>
  <c r="B2001" i="2"/>
  <c r="A2001" i="2"/>
  <c r="G2000" i="2"/>
  <c r="B2000" i="2"/>
  <c r="A2000" i="2"/>
  <c r="C2000" i="2" s="1"/>
  <c r="G1999" i="2"/>
  <c r="B1999" i="2"/>
  <c r="A1999" i="2"/>
  <c r="G1998" i="2"/>
  <c r="B1998" i="2"/>
  <c r="A1998" i="2"/>
  <c r="C1998" i="2" s="1"/>
  <c r="G1997" i="2"/>
  <c r="B1997" i="2"/>
  <c r="A1997" i="2"/>
  <c r="G1996" i="2"/>
  <c r="B1996" i="2"/>
  <c r="A1996" i="2"/>
  <c r="C1996" i="2" s="1"/>
  <c r="G1995" i="2"/>
  <c r="B1995" i="2"/>
  <c r="A1995" i="2"/>
  <c r="G1994" i="2"/>
  <c r="B1994" i="2"/>
  <c r="A1994" i="2"/>
  <c r="C1994" i="2" s="1"/>
  <c r="G1993" i="2"/>
  <c r="B1993" i="2"/>
  <c r="A1993" i="2"/>
  <c r="G1992" i="2"/>
  <c r="B1992" i="2"/>
  <c r="A1992" i="2"/>
  <c r="C1992" i="2" s="1"/>
  <c r="G1991" i="2"/>
  <c r="B1991" i="2"/>
  <c r="A1991" i="2"/>
  <c r="G1990" i="2"/>
  <c r="B1990" i="2"/>
  <c r="A1990" i="2"/>
  <c r="C1990" i="2" s="1"/>
  <c r="G1989" i="2"/>
  <c r="B1989" i="2"/>
  <c r="A1989" i="2"/>
  <c r="G1988" i="2"/>
  <c r="B1988" i="2"/>
  <c r="A1988" i="2"/>
  <c r="C1988" i="2" s="1"/>
  <c r="G1987" i="2"/>
  <c r="B1987" i="2"/>
  <c r="A1987" i="2"/>
  <c r="G1986" i="2"/>
  <c r="B1986" i="2"/>
  <c r="A1986" i="2"/>
  <c r="C1986" i="2" s="1"/>
  <c r="G1985" i="2"/>
  <c r="B1985" i="2"/>
  <c r="A1985" i="2"/>
  <c r="G1984" i="2"/>
  <c r="B1984" i="2"/>
  <c r="A1984" i="2"/>
  <c r="C1984" i="2" s="1"/>
  <c r="G1983" i="2"/>
  <c r="B1983" i="2"/>
  <c r="A1983" i="2"/>
  <c r="G1982" i="2"/>
  <c r="B1982" i="2"/>
  <c r="A1982" i="2"/>
  <c r="C1982" i="2" s="1"/>
  <c r="G1981" i="2"/>
  <c r="B1981" i="2"/>
  <c r="A1981" i="2"/>
  <c r="G1980" i="2"/>
  <c r="B1980" i="2"/>
  <c r="A1980" i="2"/>
  <c r="C1980" i="2" s="1"/>
  <c r="G1979" i="2"/>
  <c r="B1979" i="2"/>
  <c r="A1979" i="2"/>
  <c r="G1978" i="2"/>
  <c r="B1978" i="2"/>
  <c r="A1978" i="2"/>
  <c r="C1978" i="2" s="1"/>
  <c r="G1977" i="2"/>
  <c r="B1977" i="2"/>
  <c r="A1977" i="2"/>
  <c r="G1976" i="2"/>
  <c r="B1976" i="2"/>
  <c r="A1976" i="2"/>
  <c r="C1976" i="2" s="1"/>
  <c r="G1975" i="2"/>
  <c r="B1975" i="2"/>
  <c r="A1975" i="2"/>
  <c r="G1974" i="2"/>
  <c r="B1974" i="2"/>
  <c r="A1974" i="2"/>
  <c r="C1974" i="2" s="1"/>
  <c r="G1973" i="2"/>
  <c r="B1973" i="2"/>
  <c r="A1973" i="2"/>
  <c r="G1972" i="2"/>
  <c r="B1972" i="2"/>
  <c r="A1972" i="2"/>
  <c r="C1972" i="2" s="1"/>
  <c r="G1971" i="2"/>
  <c r="B1971" i="2"/>
  <c r="A1971" i="2"/>
  <c r="G1970" i="2"/>
  <c r="B1970" i="2"/>
  <c r="A1970" i="2"/>
  <c r="C1970" i="2" s="1"/>
  <c r="G1969" i="2"/>
  <c r="B1969" i="2"/>
  <c r="A1969" i="2"/>
  <c r="G1968" i="2"/>
  <c r="B1968" i="2"/>
  <c r="A1968" i="2"/>
  <c r="C1968" i="2" s="1"/>
  <c r="G1967" i="2"/>
  <c r="B1967" i="2"/>
  <c r="A1967" i="2"/>
  <c r="G1966" i="2"/>
  <c r="B1966" i="2"/>
  <c r="A1966" i="2"/>
  <c r="C1966" i="2" s="1"/>
  <c r="G1965" i="2"/>
  <c r="J2029" i="2" s="1"/>
  <c r="B1965" i="2"/>
  <c r="A1965" i="2"/>
  <c r="C1965" i="2"/>
  <c r="G1964" i="2"/>
  <c r="B1964" i="2"/>
  <c r="A1964" i="2"/>
  <c r="C1964" i="2"/>
  <c r="G1963" i="2"/>
  <c r="B1963" i="2"/>
  <c r="A1963" i="2"/>
  <c r="C1963" i="2"/>
  <c r="G1962" i="2"/>
  <c r="B1962" i="2"/>
  <c r="A1962" i="2"/>
  <c r="C1962" i="2"/>
  <c r="G1961" i="2"/>
  <c r="B1961" i="2"/>
  <c r="A1961" i="2"/>
  <c r="C1961" i="2"/>
  <c r="G1960" i="2"/>
  <c r="B1960" i="2"/>
  <c r="A1960" i="2"/>
  <c r="C1960" i="2"/>
  <c r="G1959" i="2"/>
  <c r="B1959" i="2"/>
  <c r="A1959" i="2"/>
  <c r="C1959" i="2"/>
  <c r="G1958" i="2"/>
  <c r="B1958" i="2"/>
  <c r="A1958" i="2"/>
  <c r="C1958" i="2"/>
  <c r="G1957" i="2"/>
  <c r="B1957" i="2"/>
  <c r="A1957" i="2"/>
  <c r="C1957" i="2"/>
  <c r="G1956" i="2"/>
  <c r="B1956" i="2"/>
  <c r="A1956" i="2"/>
  <c r="C1956" i="2"/>
  <c r="G1955" i="2"/>
  <c r="B1955" i="2"/>
  <c r="A1955" i="2"/>
  <c r="C1955" i="2"/>
  <c r="G1954" i="2"/>
  <c r="B1954" i="2"/>
  <c r="A1954" i="2"/>
  <c r="C1954" i="2"/>
  <c r="G1953" i="2"/>
  <c r="B1953" i="2"/>
  <c r="A1953" i="2"/>
  <c r="C1953" i="2"/>
  <c r="G1952" i="2"/>
  <c r="B1952" i="2"/>
  <c r="A1952" i="2"/>
  <c r="C1952" i="2"/>
  <c r="G1951" i="2"/>
  <c r="B1951" i="2"/>
  <c r="A1951" i="2"/>
  <c r="C1951" i="2"/>
  <c r="G1950" i="2"/>
  <c r="B1950" i="2"/>
  <c r="A1950" i="2"/>
  <c r="C1950" i="2"/>
  <c r="G1949" i="2"/>
  <c r="B1949" i="2"/>
  <c r="A1949" i="2"/>
  <c r="C1949" i="2"/>
  <c r="G1948" i="2"/>
  <c r="B1948" i="2"/>
  <c r="A1948" i="2"/>
  <c r="C1948" i="2"/>
  <c r="G1947" i="2"/>
  <c r="B1947" i="2"/>
  <c r="A1947" i="2"/>
  <c r="C1947" i="2"/>
  <c r="G1946" i="2"/>
  <c r="B1946" i="2"/>
  <c r="A1946" i="2"/>
  <c r="C1946" i="2"/>
  <c r="G1945" i="2"/>
  <c r="B1945" i="2"/>
  <c r="A1945" i="2"/>
  <c r="C1945" i="2"/>
  <c r="G1944" i="2"/>
  <c r="B1944" i="2"/>
  <c r="A1944" i="2"/>
  <c r="C1944" i="2"/>
  <c r="G1943" i="2"/>
  <c r="B1943" i="2"/>
  <c r="A1943" i="2"/>
  <c r="C1943" i="2"/>
  <c r="G1942" i="2"/>
  <c r="B1942" i="2"/>
  <c r="A1942" i="2"/>
  <c r="C1942" i="2"/>
  <c r="G1941" i="2"/>
  <c r="B1941" i="2"/>
  <c r="A1941" i="2"/>
  <c r="C1941" i="2"/>
  <c r="G1940" i="2"/>
  <c r="B1940" i="2"/>
  <c r="A1940" i="2"/>
  <c r="C1940" i="2"/>
  <c r="G1939" i="2"/>
  <c r="B1939" i="2"/>
  <c r="A1939" i="2"/>
  <c r="C1939" i="2"/>
  <c r="G1938" i="2"/>
  <c r="B1938" i="2"/>
  <c r="A1938" i="2"/>
  <c r="C1938" i="2"/>
  <c r="G1937" i="2"/>
  <c r="B1937" i="2"/>
  <c r="A1937" i="2"/>
  <c r="C1937" i="2"/>
  <c r="G1936" i="2"/>
  <c r="B1936" i="2"/>
  <c r="A1936" i="2"/>
  <c r="C1936" i="2"/>
  <c r="G1935" i="2"/>
  <c r="B1935" i="2"/>
  <c r="A1935" i="2"/>
  <c r="C1935" i="2"/>
  <c r="G1934" i="2"/>
  <c r="B1934" i="2"/>
  <c r="A1934" i="2"/>
  <c r="C1934" i="2"/>
  <c r="G1933" i="2"/>
  <c r="B1933" i="2"/>
  <c r="A1933" i="2"/>
  <c r="C1933" i="2"/>
  <c r="G1932" i="2"/>
  <c r="B1932" i="2"/>
  <c r="A1932" i="2"/>
  <c r="C1932" i="2"/>
  <c r="G1931" i="2"/>
  <c r="B1931" i="2"/>
  <c r="A1931" i="2"/>
  <c r="C1931" i="2"/>
  <c r="G1930" i="2"/>
  <c r="B1930" i="2"/>
  <c r="A1930" i="2"/>
  <c r="C1930" i="2"/>
  <c r="G1929" i="2"/>
  <c r="B1929" i="2"/>
  <c r="A1929" i="2"/>
  <c r="C1929" i="2"/>
  <c r="G1928" i="2"/>
  <c r="B1928" i="2"/>
  <c r="A1928" i="2"/>
  <c r="C1928" i="2"/>
  <c r="G1927" i="2"/>
  <c r="B1927" i="2"/>
  <c r="A1927" i="2"/>
  <c r="C1927" i="2"/>
  <c r="G1926" i="2"/>
  <c r="B1926" i="2"/>
  <c r="A1926" i="2"/>
  <c r="C1926" i="2"/>
  <c r="G1925" i="2"/>
  <c r="B1925" i="2"/>
  <c r="A1925" i="2"/>
  <c r="C1925" i="2"/>
  <c r="G1924" i="2"/>
  <c r="B1924" i="2"/>
  <c r="A1924" i="2"/>
  <c r="C1924" i="2"/>
  <c r="G1923" i="2"/>
  <c r="B1923" i="2"/>
  <c r="A1923" i="2"/>
  <c r="C1923" i="2"/>
  <c r="G1922" i="2"/>
  <c r="B1922" i="2"/>
  <c r="A1922" i="2"/>
  <c r="C1922" i="2"/>
  <c r="G1921" i="2"/>
  <c r="B1921" i="2"/>
  <c r="A1921" i="2"/>
  <c r="C1921" i="2"/>
  <c r="G1920" i="2"/>
  <c r="B1920" i="2"/>
  <c r="A1920" i="2"/>
  <c r="C1920" i="2"/>
  <c r="G1919" i="2"/>
  <c r="B1919" i="2"/>
  <c r="A1919" i="2"/>
  <c r="C1919" i="2"/>
  <c r="G1918" i="2"/>
  <c r="B1918" i="2"/>
  <c r="A1918" i="2"/>
  <c r="C1918" i="2"/>
  <c r="G1917" i="2"/>
  <c r="B1917" i="2"/>
  <c r="A1917" i="2"/>
  <c r="C1917" i="2"/>
  <c r="G1916" i="2"/>
  <c r="B1916" i="2"/>
  <c r="A1916" i="2"/>
  <c r="C1916" i="2"/>
  <c r="G1915" i="2"/>
  <c r="B1915" i="2"/>
  <c r="A1915" i="2"/>
  <c r="C1915" i="2"/>
  <c r="G1914" i="2"/>
  <c r="B1914" i="2"/>
  <c r="A1914" i="2"/>
  <c r="C1914" i="2"/>
  <c r="G1913" i="2"/>
  <c r="B1913" i="2"/>
  <c r="A1913" i="2"/>
  <c r="C1913" i="2"/>
  <c r="G1912" i="2"/>
  <c r="B1912" i="2"/>
  <c r="A1912" i="2"/>
  <c r="C1912" i="2"/>
  <c r="G1911" i="2"/>
  <c r="B1911" i="2"/>
  <c r="A1911" i="2"/>
  <c r="C1911" i="2"/>
  <c r="G1910" i="2"/>
  <c r="B1910" i="2"/>
  <c r="A1910" i="2"/>
  <c r="C1910" i="2"/>
  <c r="G1909" i="2"/>
  <c r="B1909" i="2"/>
  <c r="A1909" i="2"/>
  <c r="C1909" i="2"/>
  <c r="G1908" i="2"/>
  <c r="B1908" i="2"/>
  <c r="A1908" i="2"/>
  <c r="C1908" i="2"/>
  <c r="G1907" i="2"/>
  <c r="B1907" i="2"/>
  <c r="A1907" i="2"/>
  <c r="C1907" i="2"/>
  <c r="G1906" i="2"/>
  <c r="B1906" i="2"/>
  <c r="A1906" i="2"/>
  <c r="C1906" i="2"/>
  <c r="G1905" i="2"/>
  <c r="B1905" i="2"/>
  <c r="A1905" i="2"/>
  <c r="C1905" i="2"/>
  <c r="G1904" i="2"/>
  <c r="B1904" i="2"/>
  <c r="A1904" i="2"/>
  <c r="C1904" i="2"/>
  <c r="G1903" i="2"/>
  <c r="B1903" i="2"/>
  <c r="A1903" i="2"/>
  <c r="C1903" i="2"/>
  <c r="G1902" i="2"/>
  <c r="B1902" i="2"/>
  <c r="A1902" i="2"/>
  <c r="C1902" i="2"/>
  <c r="G1901" i="2"/>
  <c r="B1901" i="2"/>
  <c r="A1901" i="2"/>
  <c r="C1901" i="2"/>
  <c r="G1900" i="2"/>
  <c r="B1900" i="2"/>
  <c r="A1900" i="2"/>
  <c r="C1900" i="2"/>
  <c r="G1899" i="2"/>
  <c r="B1899" i="2"/>
  <c r="A1899" i="2"/>
  <c r="C1899" i="2"/>
  <c r="G1898" i="2"/>
  <c r="B1898" i="2"/>
  <c r="A1898" i="2"/>
  <c r="C1898" i="2"/>
  <c r="G1897" i="2"/>
  <c r="B1897" i="2"/>
  <c r="A1897" i="2"/>
  <c r="C1897" i="2"/>
  <c r="G1896" i="2"/>
  <c r="B1896" i="2"/>
  <c r="A1896" i="2"/>
  <c r="C1896" i="2"/>
  <c r="G1895" i="2"/>
  <c r="B1895" i="2"/>
  <c r="A1895" i="2"/>
  <c r="C1895" i="2"/>
  <c r="G1894" i="2"/>
  <c r="B1894" i="2"/>
  <c r="A1894" i="2"/>
  <c r="C1894" i="2"/>
  <c r="G1893" i="2"/>
  <c r="B1893" i="2"/>
  <c r="A1893" i="2"/>
  <c r="C1893" i="2"/>
  <c r="G1892" i="2"/>
  <c r="B1892" i="2"/>
  <c r="A1892" i="2"/>
  <c r="C1892" i="2"/>
  <c r="G1891" i="2"/>
  <c r="B1891" i="2"/>
  <c r="A1891" i="2"/>
  <c r="C1891" i="2"/>
  <c r="G1890" i="2"/>
  <c r="B1890" i="2"/>
  <c r="A1890" i="2"/>
  <c r="C1890" i="2"/>
  <c r="G1889" i="2"/>
  <c r="B1889" i="2"/>
  <c r="A1889" i="2"/>
  <c r="C1889" i="2"/>
  <c r="G1888" i="2"/>
  <c r="B1888" i="2"/>
  <c r="A1888" i="2"/>
  <c r="C1888" i="2"/>
  <c r="G1887" i="2"/>
  <c r="B1887" i="2"/>
  <c r="A1887" i="2"/>
  <c r="C1887" i="2"/>
  <c r="G1886" i="2"/>
  <c r="B1886" i="2"/>
  <c r="A1886" i="2"/>
  <c r="C1886" i="2"/>
  <c r="G1885" i="2"/>
  <c r="B1885" i="2"/>
  <c r="A1885" i="2"/>
  <c r="C1885" i="2"/>
  <c r="G1884" i="2"/>
  <c r="B1884" i="2"/>
  <c r="A1884" i="2"/>
  <c r="C1884" i="2"/>
  <c r="G1883" i="2"/>
  <c r="B1883" i="2"/>
  <c r="A1883" i="2"/>
  <c r="C1883" i="2"/>
  <c r="G1882" i="2"/>
  <c r="B1882" i="2"/>
  <c r="A1882" i="2"/>
  <c r="C1882" i="2"/>
  <c r="G1881" i="2"/>
  <c r="B1881" i="2"/>
  <c r="A1881" i="2"/>
  <c r="C1881" i="2"/>
  <c r="G1880" i="2"/>
  <c r="B1880" i="2"/>
  <c r="A1880" i="2"/>
  <c r="C1880" i="2"/>
  <c r="G1879" i="2"/>
  <c r="B1879" i="2"/>
  <c r="A1879" i="2"/>
  <c r="C1879" i="2"/>
  <c r="G1878" i="2"/>
  <c r="B1878" i="2"/>
  <c r="A1878" i="2"/>
  <c r="C1878" i="2"/>
  <c r="G1877" i="2"/>
  <c r="B1877" i="2"/>
  <c r="A1877" i="2"/>
  <c r="C1877" i="2"/>
  <c r="G1876" i="2"/>
  <c r="B1876" i="2"/>
  <c r="A1876" i="2"/>
  <c r="C1876" i="2"/>
  <c r="G1875" i="2"/>
  <c r="B1875" i="2"/>
  <c r="A1875" i="2"/>
  <c r="C1875" i="2"/>
  <c r="G1874" i="2"/>
  <c r="B1874" i="2"/>
  <c r="A1874" i="2"/>
  <c r="C1874" i="2"/>
  <c r="G1873" i="2"/>
  <c r="B1873" i="2"/>
  <c r="A1873" i="2"/>
  <c r="C1873" i="2"/>
  <c r="G1872" i="2"/>
  <c r="B1872" i="2"/>
  <c r="A1872" i="2"/>
  <c r="C1872" i="2"/>
  <c r="G1871" i="2"/>
  <c r="B1871" i="2"/>
  <c r="A1871" i="2"/>
  <c r="C1871" i="2"/>
  <c r="G1870" i="2"/>
  <c r="B1870" i="2"/>
  <c r="A1870" i="2"/>
  <c r="C1870" i="2"/>
  <c r="G1869" i="2"/>
  <c r="B1869" i="2"/>
  <c r="A1869" i="2"/>
  <c r="C1869" i="2"/>
  <c r="G1868" i="2"/>
  <c r="B1868" i="2"/>
  <c r="A1868" i="2"/>
  <c r="C1868" i="2"/>
  <c r="G1867" i="2"/>
  <c r="B1867" i="2"/>
  <c r="A1867" i="2"/>
  <c r="C1867" i="2"/>
  <c r="G1866" i="2"/>
  <c r="B1866" i="2"/>
  <c r="A1866" i="2"/>
  <c r="C1866" i="2"/>
  <c r="G1865" i="2"/>
  <c r="B1865" i="2"/>
  <c r="A1865" i="2"/>
  <c r="C1865" i="2"/>
  <c r="G1864" i="2"/>
  <c r="B1864" i="2"/>
  <c r="A1864" i="2"/>
  <c r="C1864" i="2"/>
  <c r="G1863" i="2"/>
  <c r="B1863" i="2"/>
  <c r="A1863" i="2"/>
  <c r="C1863" i="2"/>
  <c r="G1862" i="2"/>
  <c r="B1862" i="2"/>
  <c r="A1862" i="2"/>
  <c r="C1862" i="2"/>
  <c r="G1861" i="2"/>
  <c r="B1861" i="2"/>
  <c r="A1861" i="2"/>
  <c r="C1861" i="2"/>
  <c r="G1860" i="2"/>
  <c r="B1860" i="2"/>
  <c r="A1860" i="2"/>
  <c r="C1860" i="2"/>
  <c r="G1859" i="2"/>
  <c r="B1859" i="2"/>
  <c r="A1859" i="2"/>
  <c r="C1859" i="2"/>
  <c r="G1858" i="2"/>
  <c r="B1858" i="2"/>
  <c r="A1858" i="2"/>
  <c r="C1858" i="2"/>
  <c r="G1857" i="2"/>
  <c r="B1857" i="2"/>
  <c r="A1857" i="2"/>
  <c r="C1857" i="2"/>
  <c r="G1856" i="2"/>
  <c r="B1856" i="2"/>
  <c r="A1856" i="2"/>
  <c r="C1856" i="2"/>
  <c r="G1855" i="2"/>
  <c r="B1855" i="2"/>
  <c r="A1855" i="2"/>
  <c r="C1855" i="2"/>
  <c r="G1854" i="2"/>
  <c r="B1854" i="2"/>
  <c r="A1854" i="2"/>
  <c r="C1854" i="2"/>
  <c r="G1853" i="2"/>
  <c r="B1853" i="2"/>
  <c r="A1853" i="2"/>
  <c r="C1853" i="2"/>
  <c r="G1852" i="2"/>
  <c r="B1852" i="2"/>
  <c r="A1852" i="2"/>
  <c r="C1852" i="2"/>
  <c r="G1851" i="2"/>
  <c r="B1851" i="2"/>
  <c r="A1851" i="2"/>
  <c r="C1851" i="2"/>
  <c r="G1850" i="2"/>
  <c r="B1850" i="2"/>
  <c r="A1850" i="2"/>
  <c r="C1850" i="2"/>
  <c r="G1849" i="2"/>
  <c r="B1849" i="2"/>
  <c r="A1849" i="2"/>
  <c r="C1849" i="2"/>
  <c r="G1848" i="2"/>
  <c r="B1848" i="2"/>
  <c r="A1848" i="2"/>
  <c r="C1848" i="2"/>
  <c r="G1847" i="2"/>
  <c r="B1847" i="2"/>
  <c r="A1847" i="2"/>
  <c r="C1847" i="2"/>
  <c r="G1846" i="2"/>
  <c r="B1846" i="2"/>
  <c r="A1846" i="2"/>
  <c r="C1846" i="2"/>
  <c r="G1845" i="2"/>
  <c r="B1845" i="2"/>
  <c r="A1845" i="2"/>
  <c r="C1845" i="2"/>
  <c r="G1844" i="2"/>
  <c r="B1844" i="2"/>
  <c r="A1844" i="2"/>
  <c r="C1844" i="2"/>
  <c r="G1843" i="2"/>
  <c r="B1843" i="2"/>
  <c r="A1843" i="2"/>
  <c r="C1843" i="2"/>
  <c r="G1842" i="2"/>
  <c r="B1842" i="2"/>
  <c r="A1842" i="2"/>
  <c r="C1842" i="2"/>
  <c r="G1841" i="2"/>
  <c r="B1841" i="2"/>
  <c r="A1841" i="2"/>
  <c r="C1841" i="2"/>
  <c r="G1840" i="2"/>
  <c r="B1840" i="2"/>
  <c r="A1840" i="2"/>
  <c r="C1840" i="2"/>
  <c r="G1839" i="2"/>
  <c r="B1839" i="2"/>
  <c r="A1839" i="2"/>
  <c r="C1839" i="2"/>
  <c r="G1838" i="2"/>
  <c r="B1838" i="2"/>
  <c r="A1838" i="2"/>
  <c r="C1838" i="2"/>
  <c r="G1837" i="2"/>
  <c r="B1837" i="2"/>
  <c r="A1837" i="2"/>
  <c r="C1837" i="2"/>
  <c r="G1836" i="2"/>
  <c r="B1836" i="2"/>
  <c r="A1836" i="2"/>
  <c r="C1836" i="2"/>
  <c r="G1835" i="2"/>
  <c r="B1835" i="2"/>
  <c r="A1835" i="2"/>
  <c r="C1835" i="2"/>
  <c r="G1834" i="2"/>
  <c r="B1834" i="2"/>
  <c r="A1834" i="2"/>
  <c r="C1834" i="2"/>
  <c r="G1833" i="2"/>
  <c r="B1833" i="2"/>
  <c r="A1833" i="2"/>
  <c r="C1833" i="2"/>
  <c r="G1832" i="2"/>
  <c r="B1832" i="2"/>
  <c r="A1832" i="2"/>
  <c r="C1832" i="2"/>
  <c r="G1831" i="2"/>
  <c r="B1831" i="2"/>
  <c r="A1831" i="2"/>
  <c r="C1831" i="2"/>
  <c r="G1830" i="2"/>
  <c r="B1830" i="2"/>
  <c r="A1830" i="2"/>
  <c r="C1830" i="2"/>
  <c r="G1829" i="2"/>
  <c r="B1829" i="2"/>
  <c r="A1829" i="2"/>
  <c r="C1829" i="2"/>
  <c r="G1828" i="2"/>
  <c r="B1828" i="2"/>
  <c r="A1828" i="2"/>
  <c r="C1828" i="2"/>
  <c r="G1827" i="2"/>
  <c r="B1827" i="2"/>
  <c r="A1827" i="2"/>
  <c r="C1827" i="2"/>
  <c r="G1826" i="2"/>
  <c r="B1826" i="2"/>
  <c r="A1826" i="2"/>
  <c r="C1826" i="2"/>
  <c r="G1825" i="2"/>
  <c r="B1825" i="2"/>
  <c r="A1825" i="2"/>
  <c r="C1825" i="2"/>
  <c r="G1824" i="2"/>
  <c r="B1824" i="2"/>
  <c r="A1824" i="2"/>
  <c r="C1824" i="2"/>
  <c r="G1823" i="2"/>
  <c r="B1823" i="2"/>
  <c r="A1823" i="2"/>
  <c r="C1823" i="2"/>
  <c r="G1822" i="2"/>
  <c r="B1822" i="2"/>
  <c r="A1822" i="2"/>
  <c r="C1822" i="2"/>
  <c r="G1821" i="2"/>
  <c r="B1821" i="2"/>
  <c r="A1821" i="2"/>
  <c r="C1821" i="2"/>
  <c r="G1820" i="2"/>
  <c r="B1820" i="2"/>
  <c r="A1820" i="2"/>
  <c r="C1820" i="2"/>
  <c r="G1819" i="2"/>
  <c r="B1819" i="2"/>
  <c r="A1819" i="2"/>
  <c r="C1819" i="2"/>
  <c r="G1818" i="2"/>
  <c r="B1818" i="2"/>
  <c r="A1818" i="2"/>
  <c r="C1818" i="2"/>
  <c r="G1817" i="2"/>
  <c r="B1817" i="2"/>
  <c r="A1817" i="2"/>
  <c r="C1817" i="2"/>
  <c r="G1816" i="2"/>
  <c r="B1816" i="2"/>
  <c r="A1816" i="2"/>
  <c r="C1816" i="2"/>
  <c r="G1815" i="2"/>
  <c r="B1815" i="2"/>
  <c r="A1815" i="2"/>
  <c r="C1815" i="2"/>
  <c r="G1814" i="2"/>
  <c r="B1814" i="2"/>
  <c r="A1814" i="2"/>
  <c r="C1814" i="2"/>
  <c r="G1813" i="2"/>
  <c r="B1813" i="2"/>
  <c r="A1813" i="2"/>
  <c r="C1813" i="2"/>
  <c r="G1812" i="2"/>
  <c r="B1812" i="2"/>
  <c r="A1812" i="2"/>
  <c r="C1812" i="2"/>
  <c r="G1811" i="2"/>
  <c r="B1811" i="2"/>
  <c r="A1811" i="2"/>
  <c r="C1811" i="2"/>
  <c r="G1810" i="2"/>
  <c r="B1810" i="2"/>
  <c r="A1810" i="2"/>
  <c r="C1810" i="2"/>
  <c r="G1809" i="2"/>
  <c r="B1809" i="2"/>
  <c r="A1809" i="2"/>
  <c r="C1809" i="2"/>
  <c r="G1808" i="2"/>
  <c r="B1808" i="2"/>
  <c r="A1808" i="2"/>
  <c r="C1808" i="2"/>
  <c r="G1807" i="2"/>
  <c r="B1807" i="2"/>
  <c r="A1807" i="2"/>
  <c r="C1807" i="2"/>
  <c r="G1806" i="2"/>
  <c r="B1806" i="2"/>
  <c r="A1806" i="2"/>
  <c r="C1806" i="2"/>
  <c r="G1805" i="2"/>
  <c r="B1805" i="2"/>
  <c r="A1805" i="2"/>
  <c r="C1805" i="2"/>
  <c r="G1804" i="2"/>
  <c r="B1804" i="2"/>
  <c r="A1804" i="2"/>
  <c r="C1804" i="2"/>
  <c r="G1803" i="2"/>
  <c r="B1803" i="2"/>
  <c r="A1803" i="2"/>
  <c r="C1803" i="2"/>
  <c r="G1802" i="2"/>
  <c r="B1802" i="2"/>
  <c r="A1802" i="2"/>
  <c r="C1802" i="2"/>
  <c r="G1801" i="2"/>
  <c r="B1801" i="2"/>
  <c r="A1801" i="2"/>
  <c r="C1801" i="2"/>
  <c r="G1800" i="2"/>
  <c r="B1800" i="2"/>
  <c r="A1800" i="2"/>
  <c r="C1800" i="2"/>
  <c r="G1799" i="2"/>
  <c r="B1799" i="2"/>
  <c r="A1799" i="2"/>
  <c r="C1799" i="2"/>
  <c r="G1798" i="2"/>
  <c r="B1798" i="2"/>
  <c r="A1798" i="2"/>
  <c r="C1798" i="2"/>
  <c r="G1797" i="2"/>
  <c r="B1797" i="2"/>
  <c r="A1797" i="2"/>
  <c r="C1797" i="2"/>
  <c r="G1796" i="2"/>
  <c r="B1796" i="2"/>
  <c r="A1796" i="2"/>
  <c r="C1796" i="2"/>
  <c r="G1795" i="2"/>
  <c r="B1795" i="2"/>
  <c r="A1795" i="2"/>
  <c r="C1795" i="2"/>
  <c r="G1794" i="2"/>
  <c r="B1794" i="2"/>
  <c r="A1794" i="2"/>
  <c r="C1794" i="2"/>
  <c r="G1793" i="2"/>
  <c r="B1793" i="2"/>
  <c r="A1793" i="2"/>
  <c r="C1793" i="2"/>
  <c r="G1792" i="2"/>
  <c r="B1792" i="2"/>
  <c r="A1792" i="2"/>
  <c r="C1792" i="2"/>
  <c r="G1791" i="2"/>
  <c r="B1791" i="2"/>
  <c r="A1791" i="2"/>
  <c r="C1791" i="2"/>
  <c r="G1790" i="2"/>
  <c r="B1790" i="2"/>
  <c r="A1790" i="2"/>
  <c r="C1790" i="2"/>
  <c r="G1789" i="2"/>
  <c r="B1789" i="2"/>
  <c r="A1789" i="2"/>
  <c r="C1789" i="2"/>
  <c r="G1788" i="2"/>
  <c r="B1788" i="2"/>
  <c r="A1788" i="2"/>
  <c r="C1788" i="2"/>
  <c r="G1787" i="2"/>
  <c r="B1787" i="2"/>
  <c r="A1787" i="2"/>
  <c r="C1787" i="2"/>
  <c r="G1786" i="2"/>
  <c r="B1786" i="2"/>
  <c r="A1786" i="2"/>
  <c r="C1786" i="2"/>
  <c r="G1785" i="2"/>
  <c r="B1785" i="2"/>
  <c r="A1785" i="2"/>
  <c r="C1785" i="2"/>
  <c r="G1784" i="2"/>
  <c r="B1784" i="2"/>
  <c r="A1784" i="2"/>
  <c r="C1784" i="2"/>
  <c r="G1783" i="2"/>
  <c r="B1783" i="2"/>
  <c r="A1783" i="2"/>
  <c r="C1783" i="2"/>
  <c r="G1782" i="2"/>
  <c r="B1782" i="2"/>
  <c r="A1782" i="2"/>
  <c r="C1782" i="2"/>
  <c r="G1781" i="2"/>
  <c r="B1781" i="2"/>
  <c r="A1781" i="2"/>
  <c r="C1781" i="2"/>
  <c r="G1780" i="2"/>
  <c r="B1780" i="2"/>
  <c r="A1780" i="2"/>
  <c r="C1780" i="2"/>
  <c r="G1779" i="2"/>
  <c r="B1779" i="2"/>
  <c r="A1779" i="2"/>
  <c r="C1779" i="2"/>
  <c r="G1778" i="2"/>
  <c r="B1778" i="2"/>
  <c r="A1778" i="2"/>
  <c r="C1778" i="2"/>
  <c r="G1777" i="2"/>
  <c r="B1777" i="2"/>
  <c r="A1777" i="2"/>
  <c r="C1777" i="2"/>
  <c r="G1776" i="2"/>
  <c r="B1776" i="2"/>
  <c r="A1776" i="2"/>
  <c r="C1776" i="2"/>
  <c r="G1775" i="2"/>
  <c r="B1775" i="2"/>
  <c r="A1775" i="2"/>
  <c r="C1775" i="2"/>
  <c r="G1774" i="2"/>
  <c r="B1774" i="2"/>
  <c r="A1774" i="2"/>
  <c r="C1774" i="2"/>
  <c r="G1773" i="2"/>
  <c r="B1773" i="2"/>
  <c r="A1773" i="2"/>
  <c r="C1773" i="2"/>
  <c r="G1772" i="2"/>
  <c r="B1772" i="2"/>
  <c r="A1772" i="2"/>
  <c r="C1772" i="2"/>
  <c r="G1771" i="2"/>
  <c r="B1771" i="2"/>
  <c r="A1771" i="2"/>
  <c r="C1771" i="2"/>
  <c r="G1770" i="2"/>
  <c r="B1770" i="2"/>
  <c r="A1770" i="2"/>
  <c r="C1770" i="2"/>
  <c r="G1769" i="2"/>
  <c r="B1769" i="2"/>
  <c r="A1769" i="2"/>
  <c r="C1769" i="2"/>
  <c r="G1768" i="2"/>
  <c r="B1768" i="2"/>
  <c r="A1768" i="2"/>
  <c r="C1768" i="2"/>
  <c r="G1767" i="2"/>
  <c r="B1767" i="2"/>
  <c r="A1767" i="2"/>
  <c r="C1767" i="2"/>
  <c r="G1766" i="2"/>
  <c r="B1766" i="2"/>
  <c r="A1766" i="2"/>
  <c r="C1766" i="2"/>
  <c r="G1765" i="2"/>
  <c r="B1765" i="2"/>
  <c r="A1765" i="2"/>
  <c r="C1765" i="2"/>
  <c r="G1764" i="2"/>
  <c r="B1764" i="2"/>
  <c r="A1764" i="2"/>
  <c r="C1764" i="2"/>
  <c r="G1763" i="2"/>
  <c r="B1763" i="2"/>
  <c r="A1763" i="2"/>
  <c r="C1763" i="2"/>
  <c r="G1762" i="2"/>
  <c r="B1762" i="2"/>
  <c r="A1762" i="2"/>
  <c r="C1762" i="2"/>
  <c r="G1761" i="2"/>
  <c r="B1761" i="2"/>
  <c r="A1761" i="2"/>
  <c r="C1761" i="2"/>
  <c r="G1760" i="2"/>
  <c r="B1760" i="2"/>
  <c r="A1760" i="2"/>
  <c r="C1760" i="2"/>
  <c r="G1759" i="2"/>
  <c r="B1759" i="2"/>
  <c r="A1759" i="2"/>
  <c r="C1759" i="2"/>
  <c r="G1758" i="2"/>
  <c r="B1758" i="2"/>
  <c r="A1758" i="2"/>
  <c r="C1758" i="2"/>
  <c r="G1757" i="2"/>
  <c r="B1757" i="2"/>
  <c r="A1757" i="2"/>
  <c r="C1757" i="2"/>
  <c r="G1756" i="2"/>
  <c r="B1756" i="2"/>
  <c r="A1756" i="2"/>
  <c r="C1756" i="2"/>
  <c r="G1755" i="2"/>
  <c r="B1755" i="2"/>
  <c r="A1755" i="2"/>
  <c r="C1755" i="2"/>
  <c r="G1754" i="2"/>
  <c r="B1754" i="2"/>
  <c r="A1754" i="2"/>
  <c r="C1754" i="2"/>
  <c r="G1753" i="2"/>
  <c r="B1753" i="2"/>
  <c r="A1753" i="2"/>
  <c r="C1753" i="2"/>
  <c r="G1752" i="2"/>
  <c r="B1752" i="2"/>
  <c r="A1752" i="2"/>
  <c r="C1752" i="2"/>
  <c r="G1751" i="2"/>
  <c r="B1751" i="2"/>
  <c r="A1751" i="2"/>
  <c r="C1751" i="2"/>
  <c r="G1750" i="2"/>
  <c r="B1750" i="2"/>
  <c r="A1750" i="2"/>
  <c r="C1750" i="2"/>
  <c r="G1749" i="2"/>
  <c r="B1749" i="2"/>
  <c r="A1749" i="2"/>
  <c r="C1749" i="2"/>
  <c r="G1748" i="2"/>
  <c r="B1748" i="2"/>
  <c r="A1748" i="2"/>
  <c r="C1748" i="2"/>
  <c r="G1747" i="2"/>
  <c r="B1747" i="2"/>
  <c r="A1747" i="2"/>
  <c r="C1747" i="2"/>
  <c r="G1746" i="2"/>
  <c r="B1746" i="2"/>
  <c r="A1746" i="2"/>
  <c r="C1746" i="2"/>
  <c r="G1745" i="2"/>
  <c r="B1745" i="2"/>
  <c r="A1745" i="2"/>
  <c r="C1745" i="2"/>
  <c r="G1744" i="2"/>
  <c r="B1744" i="2"/>
  <c r="A1744" i="2"/>
  <c r="C1744" i="2"/>
  <c r="G1743" i="2"/>
  <c r="B1743" i="2"/>
  <c r="A1743" i="2"/>
  <c r="C1743" i="2"/>
  <c r="G1742" i="2"/>
  <c r="B1742" i="2"/>
  <c r="A1742" i="2"/>
  <c r="C1742" i="2"/>
  <c r="G1741" i="2"/>
  <c r="B1741" i="2"/>
  <c r="A1741" i="2"/>
  <c r="C1741" i="2"/>
  <c r="G1740" i="2"/>
  <c r="B1740" i="2"/>
  <c r="A1740" i="2"/>
  <c r="C1740" i="2"/>
  <c r="G1739" i="2"/>
  <c r="B1739" i="2"/>
  <c r="A1739" i="2"/>
  <c r="C1739" i="2"/>
  <c r="G1738" i="2"/>
  <c r="B1738" i="2"/>
  <c r="A1738" i="2"/>
  <c r="C1738" i="2"/>
  <c r="G1737" i="2"/>
  <c r="B1737" i="2"/>
  <c r="A1737" i="2"/>
  <c r="C1737" i="2"/>
  <c r="G1736" i="2"/>
  <c r="B1736" i="2"/>
  <c r="A1736" i="2"/>
  <c r="C1736" i="2"/>
  <c r="G1735" i="2"/>
  <c r="B1735" i="2"/>
  <c r="A1735" i="2"/>
  <c r="C1735" i="2"/>
  <c r="G1734" i="2"/>
  <c r="B1734" i="2"/>
  <c r="A1734" i="2"/>
  <c r="C1734" i="2"/>
  <c r="G1733" i="2"/>
  <c r="B1733" i="2"/>
  <c r="A1733" i="2"/>
  <c r="C1733" i="2"/>
  <c r="G1732" i="2"/>
  <c r="B1732" i="2"/>
  <c r="A1732" i="2"/>
  <c r="C1732" i="2"/>
  <c r="G1731" i="2"/>
  <c r="B1731" i="2"/>
  <c r="A1731" i="2"/>
  <c r="C1731" i="2"/>
  <c r="G1730" i="2"/>
  <c r="B1730" i="2"/>
  <c r="A1730" i="2"/>
  <c r="C1730" i="2"/>
  <c r="G1729" i="2"/>
  <c r="B1729" i="2"/>
  <c r="A1729" i="2"/>
  <c r="C1729" i="2"/>
  <c r="G1728" i="2"/>
  <c r="B1728" i="2"/>
  <c r="A1728" i="2"/>
  <c r="C1728" i="2"/>
  <c r="G1727" i="2"/>
  <c r="B1727" i="2"/>
  <c r="A1727" i="2"/>
  <c r="C1727" i="2"/>
  <c r="G1726" i="2"/>
  <c r="B1726" i="2"/>
  <c r="A1726" i="2"/>
  <c r="C1726" i="2"/>
  <c r="G1725" i="2"/>
  <c r="B1725" i="2"/>
  <c r="A1725" i="2"/>
  <c r="C1725" i="2"/>
  <c r="G1724" i="2"/>
  <c r="B1724" i="2"/>
  <c r="A1724" i="2"/>
  <c r="C1724" i="2"/>
  <c r="G1723" i="2"/>
  <c r="B1723" i="2"/>
  <c r="A1723" i="2"/>
  <c r="C1723" i="2"/>
  <c r="G1722" i="2"/>
  <c r="B1722" i="2"/>
  <c r="A1722" i="2"/>
  <c r="C1722" i="2"/>
  <c r="G1721" i="2"/>
  <c r="B1721" i="2"/>
  <c r="A1721" i="2"/>
  <c r="C1721" i="2"/>
  <c r="G1720" i="2"/>
  <c r="B1720" i="2"/>
  <c r="A1720" i="2"/>
  <c r="C1720" i="2"/>
  <c r="G1719" i="2"/>
  <c r="B1719" i="2"/>
  <c r="A1719" i="2"/>
  <c r="C1719" i="2"/>
  <c r="G1718" i="2"/>
  <c r="B1718" i="2"/>
  <c r="A1718" i="2"/>
  <c r="C1718" i="2"/>
  <c r="G1717" i="2"/>
  <c r="B1717" i="2"/>
  <c r="A1717" i="2"/>
  <c r="C1717" i="2"/>
  <c r="G1716" i="2"/>
  <c r="B1716" i="2"/>
  <c r="A1716" i="2"/>
  <c r="C1716" i="2"/>
  <c r="G1715" i="2"/>
  <c r="B1715" i="2"/>
  <c r="A1715" i="2"/>
  <c r="C1715" i="2"/>
  <c r="G1714" i="2"/>
  <c r="B1714" i="2"/>
  <c r="A1714" i="2"/>
  <c r="C1714" i="2"/>
  <c r="G1713" i="2"/>
  <c r="B1713" i="2"/>
  <c r="A1713" i="2"/>
  <c r="C1713" i="2"/>
  <c r="G1712" i="2"/>
  <c r="B1712" i="2"/>
  <c r="A1712" i="2"/>
  <c r="C1712" i="2"/>
  <c r="G1711" i="2"/>
  <c r="B1711" i="2"/>
  <c r="A1711" i="2"/>
  <c r="C1711" i="2"/>
  <c r="G1710" i="2"/>
  <c r="B1710" i="2"/>
  <c r="A1710" i="2"/>
  <c r="C1710" i="2"/>
  <c r="G1709" i="2"/>
  <c r="B1709" i="2"/>
  <c r="A1709" i="2"/>
  <c r="C1709" i="2"/>
  <c r="G1708" i="2"/>
  <c r="B1708" i="2"/>
  <c r="A1708" i="2"/>
  <c r="C1708" i="2"/>
  <c r="G1707" i="2"/>
  <c r="B1707" i="2"/>
  <c r="A1707" i="2"/>
  <c r="C1707" i="2"/>
  <c r="G1706" i="2"/>
  <c r="B1706" i="2"/>
  <c r="A1706" i="2"/>
  <c r="C1706" i="2"/>
  <c r="G1705" i="2"/>
  <c r="B1705" i="2"/>
  <c r="A1705" i="2"/>
  <c r="C1705" i="2"/>
  <c r="G1704" i="2"/>
  <c r="B1704" i="2"/>
  <c r="A1704" i="2"/>
  <c r="C1704" i="2"/>
  <c r="G1703" i="2"/>
  <c r="B1703" i="2"/>
  <c r="A1703" i="2"/>
  <c r="C1703" i="2"/>
  <c r="G1702" i="2"/>
  <c r="B1702" i="2"/>
  <c r="A1702" i="2"/>
  <c r="C1702" i="2"/>
  <c r="G1701" i="2"/>
  <c r="B1701" i="2"/>
  <c r="A1701" i="2"/>
  <c r="C1701" i="2"/>
  <c r="G1700" i="2"/>
  <c r="B1700" i="2"/>
  <c r="A1700" i="2"/>
  <c r="C1700" i="2"/>
  <c r="G1699" i="2"/>
  <c r="B1699" i="2"/>
  <c r="A1699" i="2"/>
  <c r="C1699" i="2"/>
  <c r="G1698" i="2"/>
  <c r="B1698" i="2"/>
  <c r="A1698" i="2"/>
  <c r="C1698" i="2"/>
  <c r="G1697" i="2"/>
  <c r="B1697" i="2"/>
  <c r="A1697" i="2"/>
  <c r="C1697" i="2"/>
  <c r="G1696" i="2"/>
  <c r="B1696" i="2"/>
  <c r="A1696" i="2"/>
  <c r="C1696" i="2"/>
  <c r="G1695" i="2"/>
  <c r="B1695" i="2"/>
  <c r="A1695" i="2"/>
  <c r="C1695" i="2"/>
  <c r="G1694" i="2"/>
  <c r="B1694" i="2"/>
  <c r="A1694" i="2"/>
  <c r="C1694" i="2"/>
  <c r="G1693" i="2"/>
  <c r="B1693" i="2"/>
  <c r="A1693" i="2"/>
  <c r="C1693" i="2"/>
  <c r="G1692" i="2"/>
  <c r="B1692" i="2"/>
  <c r="A1692" i="2"/>
  <c r="C1692" i="2"/>
  <c r="G1691" i="2"/>
  <c r="B1691" i="2"/>
  <c r="A1691" i="2"/>
  <c r="C1691" i="2"/>
  <c r="G1690" i="2"/>
  <c r="B1690" i="2"/>
  <c r="A1690" i="2"/>
  <c r="C1690" i="2"/>
  <c r="G1689" i="2"/>
  <c r="B1689" i="2"/>
  <c r="A1689" i="2"/>
  <c r="C1689" i="2"/>
  <c r="G1688" i="2"/>
  <c r="B1688" i="2"/>
  <c r="A1688" i="2"/>
  <c r="C1688" i="2"/>
  <c r="G1687" i="2"/>
  <c r="B1687" i="2"/>
  <c r="A1687" i="2"/>
  <c r="C1687" i="2"/>
  <c r="G1686" i="2"/>
  <c r="B1686" i="2"/>
  <c r="A1686" i="2"/>
  <c r="C1686" i="2"/>
  <c r="G1685" i="2"/>
  <c r="B1685" i="2"/>
  <c r="A1685" i="2"/>
  <c r="C1685" i="2"/>
  <c r="G1684" i="2"/>
  <c r="B1684" i="2"/>
  <c r="A1684" i="2"/>
  <c r="C1684" i="2"/>
  <c r="G1683" i="2"/>
  <c r="B1683" i="2"/>
  <c r="A1683" i="2"/>
  <c r="C1683" i="2"/>
  <c r="G1682" i="2"/>
  <c r="B1682" i="2"/>
  <c r="A1682" i="2"/>
  <c r="C1682" i="2"/>
  <c r="G1681" i="2"/>
  <c r="B1681" i="2"/>
  <c r="A1681" i="2"/>
  <c r="C1681" i="2"/>
  <c r="G1680" i="2"/>
  <c r="B1680" i="2"/>
  <c r="A1680" i="2"/>
  <c r="C1680" i="2"/>
  <c r="G1679" i="2"/>
  <c r="B1679" i="2"/>
  <c r="A1679" i="2"/>
  <c r="C1679" i="2"/>
  <c r="G1678" i="2"/>
  <c r="B1678" i="2"/>
  <c r="A1678" i="2"/>
  <c r="C1678" i="2"/>
  <c r="G1677" i="2"/>
  <c r="B1677" i="2"/>
  <c r="A1677" i="2"/>
  <c r="C1677" i="2"/>
  <c r="G1676" i="2"/>
  <c r="B1676" i="2"/>
  <c r="A1676" i="2"/>
  <c r="C1676" i="2"/>
  <c r="G1675" i="2"/>
  <c r="B1675" i="2"/>
  <c r="A1675" i="2"/>
  <c r="C1675" i="2"/>
  <c r="G1674" i="2"/>
  <c r="B1674" i="2"/>
  <c r="A1674" i="2"/>
  <c r="C1674" i="2"/>
  <c r="G1673" i="2"/>
  <c r="B1673" i="2"/>
  <c r="A1673" i="2"/>
  <c r="C1673" i="2"/>
  <c r="G1672" i="2"/>
  <c r="B1672" i="2"/>
  <c r="A1672" i="2"/>
  <c r="C1672" i="2"/>
  <c r="G1671" i="2"/>
  <c r="B1671" i="2"/>
  <c r="A1671" i="2"/>
  <c r="C1671" i="2"/>
  <c r="G1670" i="2"/>
  <c r="B1670" i="2"/>
  <c r="A1670" i="2"/>
  <c r="C1670" i="2"/>
  <c r="G1669" i="2"/>
  <c r="B1669" i="2"/>
  <c r="A1669" i="2"/>
  <c r="C1669" i="2"/>
  <c r="G1668" i="2"/>
  <c r="B1668" i="2"/>
  <c r="A1668" i="2"/>
  <c r="C1668" i="2"/>
  <c r="G1667" i="2"/>
  <c r="B1667" i="2"/>
  <c r="A1667" i="2"/>
  <c r="C1667" i="2"/>
  <c r="G1666" i="2"/>
  <c r="B1666" i="2"/>
  <c r="A1666" i="2"/>
  <c r="C1666" i="2"/>
  <c r="G1665" i="2"/>
  <c r="B1665" i="2"/>
  <c r="A1665" i="2"/>
  <c r="C1665" i="2"/>
  <c r="G1664" i="2"/>
  <c r="B1664" i="2"/>
  <c r="A1664" i="2"/>
  <c r="C1664" i="2"/>
  <c r="G1663" i="2"/>
  <c r="B1663" i="2"/>
  <c r="A1663" i="2"/>
  <c r="C1663" i="2"/>
  <c r="G1662" i="2"/>
  <c r="B1662" i="2"/>
  <c r="A1662" i="2"/>
  <c r="C1662" i="2"/>
  <c r="G1661" i="2"/>
  <c r="B1661" i="2"/>
  <c r="A1661" i="2"/>
  <c r="C1661" i="2"/>
  <c r="G1660" i="2"/>
  <c r="B1660" i="2"/>
  <c r="A1660" i="2"/>
  <c r="C1660" i="2"/>
  <c r="G1659" i="2"/>
  <c r="B1659" i="2"/>
  <c r="A1659" i="2"/>
  <c r="C1659" i="2"/>
  <c r="G1658" i="2"/>
  <c r="B1658" i="2"/>
  <c r="A1658" i="2"/>
  <c r="C1658" i="2"/>
  <c r="G1657" i="2"/>
  <c r="B1657" i="2"/>
  <c r="A1657" i="2"/>
  <c r="C1657" i="2"/>
  <c r="G1656" i="2"/>
  <c r="B1656" i="2"/>
  <c r="A1656" i="2"/>
  <c r="C1656" i="2"/>
  <c r="G1655" i="2"/>
  <c r="B1655" i="2"/>
  <c r="A1655" i="2"/>
  <c r="C1655" i="2"/>
  <c r="G1654" i="2"/>
  <c r="B1654" i="2"/>
  <c r="A1654" i="2"/>
  <c r="C1654" i="2"/>
  <c r="G1653" i="2"/>
  <c r="B1653" i="2"/>
  <c r="A1653" i="2"/>
  <c r="C1653" i="2"/>
  <c r="G1652" i="2"/>
  <c r="B1652" i="2"/>
  <c r="A1652" i="2"/>
  <c r="C1652" i="2"/>
  <c r="G1651" i="2"/>
  <c r="B1651" i="2"/>
  <c r="A1651" i="2"/>
  <c r="C1651" i="2"/>
  <c r="G1650" i="2"/>
  <c r="B1650" i="2"/>
  <c r="A1650" i="2"/>
  <c r="C1650" i="2"/>
  <c r="G1649" i="2"/>
  <c r="B1649" i="2"/>
  <c r="A1649" i="2"/>
  <c r="C1649" i="2"/>
  <c r="G1648" i="2"/>
  <c r="B1648" i="2"/>
  <c r="A1648" i="2"/>
  <c r="C1648" i="2"/>
  <c r="G1647" i="2"/>
  <c r="B1647" i="2"/>
  <c r="A1647" i="2"/>
  <c r="C1647" i="2"/>
  <c r="G1646" i="2"/>
  <c r="B1646" i="2"/>
  <c r="A1646" i="2"/>
  <c r="C1646" i="2"/>
  <c r="G1645" i="2"/>
  <c r="B1645" i="2"/>
  <c r="A1645" i="2"/>
  <c r="C1645" i="2"/>
  <c r="G1644" i="2"/>
  <c r="B1644" i="2"/>
  <c r="A1644" i="2"/>
  <c r="C1644" i="2"/>
  <c r="G1643" i="2"/>
  <c r="B1643" i="2"/>
  <c r="A1643" i="2"/>
  <c r="C1643" i="2"/>
  <c r="G1642" i="2"/>
  <c r="B1642" i="2"/>
  <c r="A1642" i="2"/>
  <c r="C1642" i="2"/>
  <c r="G1641" i="2"/>
  <c r="B1641" i="2"/>
  <c r="A1641" i="2"/>
  <c r="C1641" i="2"/>
  <c r="G1640" i="2"/>
  <c r="B1640" i="2"/>
  <c r="A1640" i="2"/>
  <c r="C1640" i="2"/>
  <c r="G1639" i="2"/>
  <c r="B1639" i="2"/>
  <c r="A1639" i="2"/>
  <c r="C1639" i="2"/>
  <c r="G1638" i="2"/>
  <c r="B1638" i="2"/>
  <c r="A1638" i="2"/>
  <c r="C1638" i="2"/>
  <c r="G1637" i="2"/>
  <c r="B1637" i="2"/>
  <c r="A1637" i="2"/>
  <c r="C1637" i="2"/>
  <c r="G1636" i="2"/>
  <c r="B1636" i="2"/>
  <c r="A1636" i="2"/>
  <c r="C1636" i="2"/>
  <c r="G1635" i="2"/>
  <c r="B1635" i="2"/>
  <c r="A1635" i="2"/>
  <c r="C1635" i="2"/>
  <c r="G1634" i="2"/>
  <c r="B1634" i="2"/>
  <c r="A1634" i="2"/>
  <c r="C1634" i="2"/>
  <c r="G1633" i="2"/>
  <c r="B1633" i="2"/>
  <c r="A1633" i="2"/>
  <c r="C1633" i="2"/>
  <c r="G1632" i="2"/>
  <c r="B1632" i="2"/>
  <c r="A1632" i="2"/>
  <c r="C1632" i="2"/>
  <c r="G1631" i="2"/>
  <c r="B1631" i="2"/>
  <c r="A1631" i="2"/>
  <c r="C1631" i="2"/>
  <c r="G1630" i="2"/>
  <c r="B1630" i="2"/>
  <c r="A1630" i="2"/>
  <c r="C1630" i="2"/>
  <c r="G1629" i="2"/>
  <c r="B1629" i="2"/>
  <c r="A1629" i="2"/>
  <c r="C1629" i="2"/>
  <c r="G1628" i="2"/>
  <c r="B1628" i="2"/>
  <c r="A1628" i="2"/>
  <c r="C1628" i="2"/>
  <c r="G1627" i="2"/>
  <c r="B1627" i="2"/>
  <c r="A1627" i="2"/>
  <c r="C1627" i="2"/>
  <c r="G1626" i="2"/>
  <c r="B1626" i="2"/>
  <c r="A1626" i="2"/>
  <c r="C1626" i="2"/>
  <c r="H1625" i="2"/>
  <c r="E1625" i="2"/>
  <c r="G1625" i="2" s="1"/>
  <c r="B1625" i="2"/>
  <c r="A1625" i="2"/>
  <c r="C1625" i="2" s="1"/>
  <c r="G1624" i="2"/>
  <c r="B1624" i="2"/>
  <c r="A1624" i="2"/>
  <c r="C1624" i="2" s="1"/>
  <c r="H1623" i="2"/>
  <c r="E1623" i="2" s="1"/>
  <c r="G1623" i="2" s="1"/>
  <c r="B1623" i="2"/>
  <c r="A1623" i="2"/>
  <c r="C1623" i="2"/>
  <c r="G1622" i="2"/>
  <c r="B1622" i="2"/>
  <c r="A1622" i="2"/>
  <c r="C1622" i="2"/>
  <c r="G1621" i="2"/>
  <c r="B1621" i="2"/>
  <c r="A1621" i="2"/>
  <c r="C1621" i="2"/>
  <c r="G1620" i="2"/>
  <c r="B1620" i="2"/>
  <c r="A1620" i="2"/>
  <c r="C1620" i="2"/>
  <c r="G1619" i="2"/>
  <c r="B1619" i="2"/>
  <c r="A1619" i="2"/>
  <c r="C1619" i="2"/>
  <c r="H1618" i="2"/>
  <c r="E1618" i="2"/>
  <c r="G1618" i="2" s="1"/>
  <c r="B1618" i="2"/>
  <c r="A1618" i="2"/>
  <c r="C1618" i="2" s="1"/>
  <c r="G1617" i="2"/>
  <c r="B1617" i="2"/>
  <c r="A1617" i="2"/>
  <c r="C1617" i="2" s="1"/>
  <c r="G1616" i="2"/>
  <c r="B1616" i="2"/>
  <c r="A1616" i="2"/>
  <c r="C1616" i="2" s="1"/>
  <c r="G1615" i="2"/>
  <c r="B1615" i="2"/>
  <c r="A1615" i="2"/>
  <c r="C1615" i="2" s="1"/>
  <c r="G1614" i="2"/>
  <c r="B1614" i="2"/>
  <c r="A1614" i="2"/>
  <c r="C1614" i="2" s="1"/>
  <c r="H1613" i="2"/>
  <c r="E1613" i="2" s="1"/>
  <c r="G1613" i="2" s="1"/>
  <c r="B1613" i="2"/>
  <c r="A1613" i="2"/>
  <c r="C1613" i="2"/>
  <c r="H1612" i="2"/>
  <c r="E1612" i="2"/>
  <c r="G1612" i="2" s="1"/>
  <c r="B1612" i="2"/>
  <c r="A1612" i="2"/>
  <c r="C1612" i="2" s="1"/>
  <c r="G1611" i="2"/>
  <c r="B1611" i="2"/>
  <c r="A1611" i="2"/>
  <c r="C1611" i="2" s="1"/>
  <c r="G1610" i="2"/>
  <c r="B1610" i="2"/>
  <c r="A1610" i="2"/>
  <c r="C1610" i="2" s="1"/>
  <c r="G1609" i="2"/>
  <c r="B1609" i="2"/>
  <c r="A1609" i="2"/>
  <c r="C1609" i="2" s="1"/>
  <c r="G1608" i="2"/>
  <c r="B1608" i="2"/>
  <c r="A1608" i="2"/>
  <c r="C1608" i="2" s="1"/>
  <c r="G1607" i="2"/>
  <c r="B1607" i="2"/>
  <c r="A1607" i="2"/>
  <c r="C1607" i="2" s="1"/>
  <c r="G1606" i="2"/>
  <c r="B1606" i="2"/>
  <c r="A1606" i="2"/>
  <c r="C1606" i="2" s="1"/>
  <c r="H1605" i="2"/>
  <c r="E1605" i="2" s="1"/>
  <c r="G1605" i="2" s="1"/>
  <c r="B1605" i="2"/>
  <c r="A1605" i="2"/>
  <c r="C1605" i="2"/>
  <c r="G1604" i="2"/>
  <c r="B1604" i="2"/>
  <c r="A1604" i="2"/>
  <c r="C1604" i="2"/>
  <c r="G1603" i="2"/>
  <c r="B1603" i="2"/>
  <c r="A1603" i="2"/>
  <c r="C1603" i="2"/>
  <c r="G1602" i="2"/>
  <c r="B1602" i="2"/>
  <c r="A1602" i="2"/>
  <c r="C1602" i="2"/>
  <c r="G1601" i="2"/>
  <c r="B1601" i="2"/>
  <c r="A1601" i="2"/>
  <c r="C1601" i="2"/>
  <c r="G1600" i="2"/>
  <c r="B1600" i="2"/>
  <c r="A1600" i="2"/>
  <c r="C1600" i="2"/>
  <c r="G1599" i="2"/>
  <c r="B1599" i="2"/>
  <c r="A1599" i="2"/>
  <c r="C1599" i="2"/>
  <c r="G1598" i="2"/>
  <c r="B1598" i="2"/>
  <c r="A1598" i="2"/>
  <c r="C1598" i="2"/>
  <c r="G1597" i="2"/>
  <c r="B1597" i="2"/>
  <c r="A1597" i="2"/>
  <c r="C1597" i="2"/>
  <c r="G1596" i="2"/>
  <c r="B1596" i="2"/>
  <c r="A1596" i="2"/>
  <c r="C1596" i="2"/>
  <c r="G1595" i="2"/>
  <c r="B1595" i="2"/>
  <c r="A1595" i="2"/>
  <c r="C1595" i="2"/>
  <c r="G1594" i="2"/>
  <c r="B1594" i="2"/>
  <c r="A1594" i="2"/>
  <c r="C1594" i="2"/>
  <c r="G1593" i="2"/>
  <c r="B1593" i="2"/>
  <c r="A1593" i="2"/>
  <c r="C1593" i="2"/>
  <c r="G1592" i="2"/>
  <c r="B1592" i="2"/>
  <c r="A1592" i="2"/>
  <c r="C1592" i="2"/>
  <c r="G1591" i="2"/>
  <c r="B1591" i="2"/>
  <c r="A1591" i="2"/>
  <c r="C1591" i="2"/>
  <c r="G1590" i="2"/>
  <c r="B1590" i="2"/>
  <c r="A1590" i="2"/>
  <c r="C1590" i="2"/>
  <c r="G1589" i="2"/>
  <c r="B1589" i="2"/>
  <c r="A1589" i="2"/>
  <c r="C1589" i="2"/>
  <c r="G1588" i="2"/>
  <c r="B1588" i="2"/>
  <c r="A1588" i="2"/>
  <c r="C1588" i="2"/>
  <c r="G1587" i="2"/>
  <c r="B1587" i="2"/>
  <c r="A1587" i="2"/>
  <c r="C1587" i="2"/>
  <c r="G1586" i="2"/>
  <c r="B1586" i="2"/>
  <c r="A1586" i="2"/>
  <c r="C1586" i="2"/>
  <c r="G1585" i="2"/>
  <c r="B1585" i="2"/>
  <c r="A1585" i="2"/>
  <c r="C1585" i="2"/>
  <c r="G1584" i="2"/>
  <c r="B1584" i="2"/>
  <c r="A1584" i="2"/>
  <c r="C1584" i="2"/>
  <c r="G1583" i="2"/>
  <c r="B1583" i="2"/>
  <c r="A1583" i="2"/>
  <c r="C1583" i="2"/>
  <c r="G1582" i="2"/>
  <c r="B1582" i="2"/>
  <c r="A1582" i="2"/>
  <c r="C1582" i="2"/>
  <c r="G1581" i="2"/>
  <c r="B1581" i="2"/>
  <c r="A1581" i="2"/>
  <c r="C1581" i="2"/>
  <c r="G1580" i="2"/>
  <c r="B1580" i="2"/>
  <c r="A1580" i="2"/>
  <c r="C1580" i="2"/>
  <c r="G1579" i="2"/>
  <c r="B1579" i="2"/>
  <c r="A1579" i="2"/>
  <c r="C1579" i="2"/>
  <c r="G1578" i="2"/>
  <c r="B1578" i="2"/>
  <c r="A1578" i="2"/>
  <c r="C1578" i="2"/>
  <c r="G1577" i="2"/>
  <c r="B1577" i="2"/>
  <c r="A1577" i="2"/>
  <c r="C1577" i="2"/>
  <c r="G1576" i="2"/>
  <c r="B1576" i="2"/>
  <c r="A1576" i="2"/>
  <c r="C1576" i="2"/>
  <c r="G1575" i="2"/>
  <c r="B1575" i="2"/>
  <c r="A1575" i="2"/>
  <c r="C1575" i="2"/>
  <c r="G1574" i="2"/>
  <c r="B1574" i="2"/>
  <c r="A1574" i="2"/>
  <c r="C1574" i="2"/>
  <c r="G1573" i="2"/>
  <c r="B1573" i="2"/>
  <c r="A1573" i="2"/>
  <c r="C1573" i="2"/>
  <c r="G1572" i="2"/>
  <c r="B1572" i="2"/>
  <c r="A1572" i="2"/>
  <c r="C1572" i="2"/>
  <c r="G1571" i="2"/>
  <c r="B1571" i="2"/>
  <c r="A1571" i="2"/>
  <c r="C1571" i="2"/>
  <c r="G1570" i="2"/>
  <c r="B1570" i="2"/>
  <c r="A1570" i="2"/>
  <c r="C1570" i="2"/>
  <c r="G1569" i="2"/>
  <c r="B1569" i="2"/>
  <c r="A1569" i="2"/>
  <c r="C1569" i="2"/>
  <c r="G1568" i="2"/>
  <c r="B1568" i="2"/>
  <c r="A1568" i="2"/>
  <c r="C1568" i="2"/>
  <c r="G1567" i="2"/>
  <c r="B1567" i="2"/>
  <c r="A1567" i="2"/>
  <c r="C1567" i="2"/>
  <c r="G1566" i="2"/>
  <c r="B1566" i="2"/>
  <c r="A1566" i="2"/>
  <c r="C1566" i="2"/>
  <c r="G1565" i="2"/>
  <c r="B1565" i="2"/>
  <c r="A1565" i="2"/>
  <c r="C1565" i="2"/>
  <c r="G1564" i="2"/>
  <c r="B1564" i="2"/>
  <c r="A1564" i="2"/>
  <c r="C1564" i="2"/>
  <c r="G1563" i="2"/>
  <c r="B1563" i="2"/>
  <c r="A1563" i="2"/>
  <c r="C1563" i="2"/>
  <c r="G1562" i="2"/>
  <c r="B1562" i="2"/>
  <c r="A1562" i="2"/>
  <c r="C1562" i="2"/>
  <c r="G1561" i="2"/>
  <c r="B1561" i="2"/>
  <c r="A1561" i="2"/>
  <c r="C1561" i="2"/>
  <c r="G1560" i="2"/>
  <c r="B1560" i="2"/>
  <c r="A1560" i="2"/>
  <c r="C1560" i="2"/>
  <c r="G1559" i="2"/>
  <c r="B1559" i="2"/>
  <c r="A1559" i="2"/>
  <c r="C1559" i="2"/>
  <c r="G1558" i="2"/>
  <c r="B1558" i="2"/>
  <c r="A1558" i="2"/>
  <c r="C1558" i="2"/>
  <c r="G1557" i="2"/>
  <c r="B1557" i="2"/>
  <c r="A1557" i="2"/>
  <c r="C1557" i="2"/>
  <c r="G1556" i="2"/>
  <c r="B1556" i="2"/>
  <c r="A1556" i="2"/>
  <c r="C1556" i="2"/>
  <c r="G1555" i="2"/>
  <c r="B1555" i="2"/>
  <c r="A1555" i="2"/>
  <c r="C1555" i="2"/>
  <c r="G1554" i="2"/>
  <c r="B1554" i="2"/>
  <c r="A1554" i="2"/>
  <c r="C1554" i="2"/>
  <c r="G1553" i="2"/>
  <c r="B1553" i="2"/>
  <c r="A1553" i="2"/>
  <c r="C1553" i="2"/>
  <c r="G1552" i="2"/>
  <c r="B1552" i="2"/>
  <c r="A1552" i="2"/>
  <c r="C1552" i="2"/>
  <c r="G1551" i="2"/>
  <c r="B1551" i="2"/>
  <c r="A1551" i="2"/>
  <c r="C1551" i="2"/>
  <c r="G1550" i="2"/>
  <c r="B1550" i="2"/>
  <c r="A1550" i="2"/>
  <c r="C1550" i="2"/>
  <c r="G1549" i="2"/>
  <c r="B1549" i="2"/>
  <c r="A1549" i="2"/>
  <c r="C1549" i="2"/>
  <c r="G1548" i="2"/>
  <c r="B1548" i="2"/>
  <c r="A1548" i="2"/>
  <c r="C1548" i="2"/>
  <c r="G1547" i="2"/>
  <c r="B1547" i="2"/>
  <c r="A1547" i="2"/>
  <c r="C1547" i="2"/>
  <c r="G1546" i="2"/>
  <c r="B1546" i="2"/>
  <c r="A1546" i="2"/>
  <c r="C1546" i="2"/>
  <c r="G1545" i="2"/>
  <c r="B1545" i="2"/>
  <c r="A1545" i="2"/>
  <c r="C1545" i="2"/>
  <c r="G1544" i="2"/>
  <c r="B1544" i="2"/>
  <c r="A1544" i="2"/>
  <c r="C1544" i="2"/>
  <c r="G1543" i="2"/>
  <c r="B1543" i="2"/>
  <c r="A1543" i="2"/>
  <c r="C1543" i="2"/>
  <c r="G1542" i="2"/>
  <c r="B1542" i="2"/>
  <c r="A1542" i="2"/>
  <c r="C1542" i="2"/>
  <c r="G1541" i="2"/>
  <c r="B1541" i="2"/>
  <c r="A1541" i="2"/>
  <c r="C1541" i="2"/>
  <c r="G1540" i="2"/>
  <c r="B1540" i="2"/>
  <c r="A1540" i="2"/>
  <c r="C1540" i="2"/>
  <c r="G1539" i="2"/>
  <c r="B1539" i="2"/>
  <c r="A1539" i="2"/>
  <c r="C1539" i="2"/>
  <c r="H1538" i="2"/>
  <c r="E1538" i="2"/>
  <c r="G1538" i="2" s="1"/>
  <c r="B1538" i="2"/>
  <c r="A1538" i="2"/>
  <c r="C1538" i="2" s="1"/>
  <c r="G1537" i="2"/>
  <c r="B1537" i="2"/>
  <c r="A1537" i="2"/>
  <c r="C1537" i="2" s="1"/>
  <c r="H1536" i="2"/>
  <c r="E1536" i="2" s="1"/>
  <c r="G1536" i="2" s="1"/>
  <c r="B1536" i="2"/>
  <c r="A1536" i="2"/>
  <c r="C1536" i="2"/>
  <c r="G1535" i="2"/>
  <c r="B1535" i="2"/>
  <c r="A1535" i="2"/>
  <c r="C1535" i="2"/>
  <c r="G1534" i="2"/>
  <c r="B1534" i="2"/>
  <c r="A1534" i="2"/>
  <c r="C1534" i="2"/>
  <c r="G1533" i="2"/>
  <c r="B1533" i="2"/>
  <c r="A1533" i="2"/>
  <c r="C1533" i="2"/>
  <c r="G1532" i="2"/>
  <c r="B1532" i="2"/>
  <c r="A1532" i="2"/>
  <c r="C1532" i="2"/>
  <c r="H1531" i="2"/>
  <c r="E1531" i="2"/>
  <c r="G1531" i="2" s="1"/>
  <c r="B1531" i="2"/>
  <c r="A1531" i="2"/>
  <c r="C1531" i="2" s="1"/>
  <c r="G1530" i="2"/>
  <c r="B1530" i="2"/>
  <c r="A1530" i="2"/>
  <c r="C1530" i="2" s="1"/>
  <c r="G1529" i="2"/>
  <c r="B1529" i="2"/>
  <c r="A1529" i="2"/>
  <c r="C1529" i="2" s="1"/>
  <c r="G1528" i="2"/>
  <c r="B1528" i="2"/>
  <c r="A1528" i="2"/>
  <c r="C1528" i="2" s="1"/>
  <c r="G1527" i="2"/>
  <c r="B1527" i="2"/>
  <c r="A1527" i="2"/>
  <c r="C1527" i="2" s="1"/>
  <c r="H1526" i="2"/>
  <c r="E1526" i="2" s="1"/>
  <c r="G1526" i="2" s="1"/>
  <c r="B1526" i="2"/>
  <c r="A1526" i="2"/>
  <c r="C1526" i="2"/>
  <c r="H1525" i="2"/>
  <c r="E1525" i="2"/>
  <c r="G1525" i="2" s="1"/>
  <c r="B1525" i="2"/>
  <c r="A1525" i="2"/>
  <c r="C1525" i="2" s="1"/>
  <c r="G1524" i="2"/>
  <c r="B1524" i="2"/>
  <c r="A1524" i="2"/>
  <c r="C1524" i="2" s="1"/>
  <c r="G1523" i="2"/>
  <c r="B1523" i="2"/>
  <c r="A1523" i="2"/>
  <c r="C1523" i="2" s="1"/>
  <c r="G1522" i="2"/>
  <c r="B1522" i="2"/>
  <c r="A1522" i="2"/>
  <c r="C1522" i="2" s="1"/>
  <c r="G1521" i="2"/>
  <c r="B1521" i="2"/>
  <c r="A1521" i="2"/>
  <c r="C1521" i="2" s="1"/>
  <c r="G1520" i="2"/>
  <c r="B1520" i="2"/>
  <c r="A1520" i="2"/>
  <c r="C1520" i="2" s="1"/>
  <c r="G1519" i="2"/>
  <c r="B1519" i="2"/>
  <c r="A1519" i="2"/>
  <c r="C1519" i="2" s="1"/>
  <c r="H1518" i="2"/>
  <c r="E1518" i="2" s="1"/>
  <c r="G1518" i="2" s="1"/>
  <c r="B1518" i="2"/>
  <c r="A1518" i="2"/>
  <c r="C1518" i="2"/>
  <c r="G1517" i="2"/>
  <c r="B1517" i="2"/>
  <c r="A1517" i="2"/>
  <c r="C1517" i="2"/>
  <c r="G1516" i="2"/>
  <c r="B1516" i="2"/>
  <c r="A1516" i="2"/>
  <c r="C1516" i="2"/>
  <c r="G1515" i="2"/>
  <c r="B1515" i="2"/>
  <c r="A1515" i="2"/>
  <c r="C1515" i="2"/>
  <c r="G1514" i="2"/>
  <c r="B1514" i="2"/>
  <c r="A1514" i="2"/>
  <c r="C1514" i="2"/>
  <c r="G1513" i="2"/>
  <c r="B1513" i="2"/>
  <c r="A1513" i="2"/>
  <c r="C1513" i="2"/>
  <c r="G1512" i="2"/>
  <c r="B1512" i="2"/>
  <c r="A1512" i="2"/>
  <c r="C1512" i="2"/>
  <c r="G1511" i="2"/>
  <c r="B1511" i="2"/>
  <c r="A1511" i="2"/>
  <c r="C1511" i="2"/>
  <c r="G1510" i="2"/>
  <c r="B1510" i="2"/>
  <c r="A1510" i="2"/>
  <c r="C1510" i="2"/>
  <c r="G1509" i="2"/>
  <c r="B1509" i="2"/>
  <c r="A1509" i="2"/>
  <c r="C1509" i="2"/>
  <c r="G1508" i="2"/>
  <c r="B1508" i="2"/>
  <c r="A1508" i="2"/>
  <c r="C1508" i="2"/>
  <c r="G1507" i="2"/>
  <c r="B1507" i="2"/>
  <c r="A1507" i="2"/>
  <c r="C1507" i="2"/>
  <c r="G1506" i="2"/>
  <c r="B1506" i="2"/>
  <c r="A1506" i="2"/>
  <c r="C1506" i="2"/>
  <c r="G1505" i="2"/>
  <c r="B1505" i="2"/>
  <c r="A1505" i="2"/>
  <c r="C1505" i="2"/>
  <c r="G1504" i="2"/>
  <c r="B1504" i="2"/>
  <c r="A1504" i="2"/>
  <c r="C1504" i="2"/>
  <c r="G1503" i="2"/>
  <c r="B1503" i="2"/>
  <c r="A1503" i="2"/>
  <c r="C1503" i="2"/>
  <c r="G1502" i="2"/>
  <c r="B1502" i="2"/>
  <c r="A1502" i="2"/>
  <c r="C1502" i="2"/>
  <c r="G1501" i="2"/>
  <c r="B1501" i="2"/>
  <c r="A1501" i="2"/>
  <c r="C1501" i="2"/>
  <c r="G1500" i="2"/>
  <c r="B1500" i="2"/>
  <c r="A1500" i="2"/>
  <c r="C1500" i="2"/>
  <c r="G1499" i="2"/>
  <c r="B1499" i="2"/>
  <c r="A1499" i="2"/>
  <c r="C1499" i="2"/>
  <c r="G1498" i="2"/>
  <c r="B1498" i="2"/>
  <c r="A1498" i="2"/>
  <c r="C1498" i="2"/>
  <c r="G1497" i="2"/>
  <c r="B1497" i="2"/>
  <c r="A1497" i="2"/>
  <c r="C1497" i="2"/>
  <c r="G1496" i="2"/>
  <c r="B1496" i="2"/>
  <c r="A1496" i="2"/>
  <c r="C1496" i="2"/>
  <c r="G1495" i="2"/>
  <c r="B1495" i="2"/>
  <c r="A1495" i="2"/>
  <c r="C1495" i="2"/>
  <c r="G1494" i="2"/>
  <c r="B1494" i="2"/>
  <c r="A1494" i="2"/>
  <c r="C1494" i="2"/>
  <c r="G1493" i="2"/>
  <c r="B1493" i="2"/>
  <c r="A1493" i="2"/>
  <c r="C1493" i="2"/>
  <c r="G1492" i="2"/>
  <c r="B1492" i="2"/>
  <c r="A1492" i="2"/>
  <c r="C1492" i="2"/>
  <c r="G1491" i="2"/>
  <c r="B1491" i="2"/>
  <c r="A1491" i="2"/>
  <c r="C1491" i="2"/>
  <c r="G1490" i="2"/>
  <c r="B1490" i="2"/>
  <c r="A1490" i="2"/>
  <c r="C1490" i="2"/>
  <c r="G1489" i="2"/>
  <c r="B1489" i="2"/>
  <c r="A1489" i="2"/>
  <c r="C1489" i="2"/>
  <c r="G1488" i="2"/>
  <c r="B1488" i="2"/>
  <c r="A1488" i="2"/>
  <c r="C1488" i="2"/>
  <c r="G1487" i="2"/>
  <c r="B1487" i="2"/>
  <c r="A1487" i="2"/>
  <c r="C1487" i="2"/>
  <c r="G1486" i="2"/>
  <c r="B1486" i="2"/>
  <c r="A1486" i="2"/>
  <c r="C1486" i="2"/>
  <c r="G1485" i="2"/>
  <c r="B1485" i="2"/>
  <c r="A1485" i="2"/>
  <c r="C1485" i="2"/>
  <c r="G1484" i="2"/>
  <c r="B1484" i="2"/>
  <c r="A1484" i="2"/>
  <c r="C1484" i="2"/>
  <c r="G1483" i="2"/>
  <c r="B1483" i="2"/>
  <c r="A1483" i="2"/>
  <c r="C1483" i="2"/>
  <c r="G1482" i="2"/>
  <c r="B1482" i="2"/>
  <c r="A1482" i="2"/>
  <c r="C1482" i="2"/>
  <c r="G1481" i="2"/>
  <c r="B1481" i="2"/>
  <c r="A1481" i="2"/>
  <c r="C1481" i="2"/>
  <c r="E1480" i="2"/>
  <c r="G1480" i="2"/>
  <c r="B1480" i="2"/>
  <c r="A1480" i="2"/>
  <c r="C1480" i="2" s="1"/>
  <c r="G1479" i="2"/>
  <c r="B1479" i="2"/>
  <c r="A1479" i="2"/>
  <c r="G1478" i="2"/>
  <c r="B1478" i="2"/>
  <c r="A1478" i="2"/>
  <c r="C1478" i="2" s="1"/>
  <c r="G1477" i="2"/>
  <c r="B1477" i="2"/>
  <c r="A1477" i="2"/>
  <c r="E1476" i="2"/>
  <c r="G1476" i="2" s="1"/>
  <c r="B1476" i="2"/>
  <c r="A1476" i="2"/>
  <c r="C1476" i="2" s="1"/>
  <c r="G1475" i="2"/>
  <c r="B1475" i="2"/>
  <c r="A1475" i="2"/>
  <c r="C1475" i="2" s="1"/>
  <c r="G1474" i="2"/>
  <c r="B1474" i="2"/>
  <c r="A1474" i="2"/>
  <c r="C1474" i="2" s="1"/>
  <c r="G1473" i="2"/>
  <c r="B1473" i="2"/>
  <c r="A1473" i="2"/>
  <c r="C1473" i="2" s="1"/>
  <c r="G1472" i="2"/>
  <c r="B1472" i="2"/>
  <c r="A1472" i="2"/>
  <c r="C1472" i="2" s="1"/>
  <c r="G1471" i="2"/>
  <c r="B1471" i="2"/>
  <c r="A1471" i="2"/>
  <c r="C1471" i="2" s="1"/>
  <c r="G1470" i="2"/>
  <c r="B1470" i="2"/>
  <c r="A1470" i="2"/>
  <c r="C1470" i="2" s="1"/>
  <c r="G1469" i="2"/>
  <c r="B1469" i="2"/>
  <c r="A1469" i="2"/>
  <c r="C1469" i="2" s="1"/>
  <c r="G1468" i="2"/>
  <c r="B1468" i="2"/>
  <c r="A1468" i="2"/>
  <c r="C1468" i="2" s="1"/>
  <c r="G1467" i="2"/>
  <c r="B1467" i="2"/>
  <c r="A1467" i="2"/>
  <c r="C1467" i="2" s="1"/>
  <c r="G1466" i="2"/>
  <c r="B1466" i="2"/>
  <c r="A1466" i="2"/>
  <c r="C1466" i="2" s="1"/>
  <c r="G1465" i="2"/>
  <c r="B1465" i="2"/>
  <c r="A1465" i="2"/>
  <c r="C1465" i="2" s="1"/>
  <c r="G1464" i="2"/>
  <c r="B1464" i="2"/>
  <c r="A1464" i="2"/>
  <c r="C1464" i="2" s="1"/>
  <c r="G1463" i="2"/>
  <c r="B1463" i="2"/>
  <c r="A1463" i="2"/>
  <c r="C1463" i="2" s="1"/>
  <c r="G1462" i="2"/>
  <c r="B1462" i="2"/>
  <c r="A1462" i="2"/>
  <c r="C1462" i="2" s="1"/>
  <c r="G1461" i="2"/>
  <c r="B1461" i="2"/>
  <c r="A1461" i="2"/>
  <c r="C1461" i="2" s="1"/>
  <c r="G1460" i="2"/>
  <c r="B1460" i="2"/>
  <c r="A1460" i="2"/>
  <c r="C1460" i="2" s="1"/>
  <c r="G1459" i="2"/>
  <c r="B1459" i="2"/>
  <c r="A1459" i="2"/>
  <c r="C1459" i="2" s="1"/>
  <c r="G1458" i="2"/>
  <c r="B1458" i="2"/>
  <c r="A1458" i="2"/>
  <c r="C1458" i="2" s="1"/>
  <c r="G1457" i="2"/>
  <c r="B1457" i="2"/>
  <c r="A1457" i="2"/>
  <c r="C1457" i="2" s="1"/>
  <c r="G1456" i="2"/>
  <c r="B1456" i="2"/>
  <c r="A1456" i="2"/>
  <c r="C1456" i="2" s="1"/>
  <c r="G1455" i="2"/>
  <c r="B1455" i="2"/>
  <c r="A1455" i="2"/>
  <c r="C1455" i="2"/>
  <c r="G1454" i="2"/>
  <c r="B1454" i="2"/>
  <c r="A1454" i="2"/>
  <c r="C1454" i="2"/>
  <c r="G1453" i="2"/>
  <c r="B1453" i="2"/>
  <c r="A1453" i="2"/>
  <c r="C1453" i="2"/>
  <c r="G1452" i="2"/>
  <c r="B1452" i="2"/>
  <c r="A1452" i="2"/>
  <c r="C1452" i="2"/>
  <c r="G1451" i="2"/>
  <c r="B1451" i="2"/>
  <c r="A1451" i="2"/>
  <c r="C1451" i="2"/>
  <c r="G1450" i="2"/>
  <c r="B1450" i="2"/>
  <c r="A1450" i="2"/>
  <c r="C1450" i="2"/>
  <c r="G1449" i="2"/>
  <c r="B1449" i="2"/>
  <c r="A1449" i="2"/>
  <c r="C1449" i="2"/>
  <c r="G1448" i="2"/>
  <c r="B1448" i="2"/>
  <c r="A1448" i="2"/>
  <c r="C1448" i="2"/>
  <c r="G1447" i="2"/>
  <c r="B1447" i="2"/>
  <c r="A1447" i="2"/>
  <c r="C1447" i="2"/>
  <c r="G1446" i="2"/>
  <c r="B1446" i="2"/>
  <c r="A1446" i="2"/>
  <c r="C1446" i="2"/>
  <c r="G1445" i="2"/>
  <c r="B1445" i="2"/>
  <c r="A1445" i="2"/>
  <c r="C1445" i="2"/>
  <c r="G1444" i="2"/>
  <c r="B1444" i="2"/>
  <c r="A1444" i="2"/>
  <c r="C1444" i="2"/>
  <c r="G1443" i="2"/>
  <c r="B1443" i="2"/>
  <c r="A1443" i="2"/>
  <c r="C1443" i="2"/>
  <c r="G1442" i="2"/>
  <c r="B1442" i="2"/>
  <c r="A1442" i="2"/>
  <c r="C1442" i="2"/>
  <c r="G1441" i="2"/>
  <c r="B1441" i="2"/>
  <c r="A1441" i="2"/>
  <c r="C1441" i="2"/>
  <c r="G1440" i="2"/>
  <c r="B1440" i="2"/>
  <c r="A1440" i="2"/>
  <c r="C1440" i="2"/>
  <c r="G1439" i="2"/>
  <c r="B1439" i="2"/>
  <c r="A1439" i="2"/>
  <c r="C1439" i="2"/>
  <c r="G1438" i="2"/>
  <c r="B1438" i="2"/>
  <c r="A1438" i="2"/>
  <c r="C1438" i="2"/>
  <c r="G1437" i="2"/>
  <c r="B1437" i="2"/>
  <c r="A1437" i="2"/>
  <c r="C1437" i="2"/>
  <c r="G1436" i="2"/>
  <c r="B1436" i="2"/>
  <c r="A1436" i="2"/>
  <c r="C1436" i="2"/>
  <c r="G1435" i="2"/>
  <c r="B1435" i="2"/>
  <c r="A1435" i="2"/>
  <c r="C1435" i="2"/>
  <c r="G1434" i="2"/>
  <c r="B1434" i="2"/>
  <c r="A1434" i="2"/>
  <c r="C1434" i="2"/>
  <c r="G1433" i="2"/>
  <c r="B1433" i="2"/>
  <c r="A1433" i="2"/>
  <c r="C1433" i="2"/>
  <c r="G1432" i="2"/>
  <c r="B1432" i="2"/>
  <c r="A1432" i="2"/>
  <c r="C1432" i="2"/>
  <c r="G1431" i="2"/>
  <c r="B1431" i="2"/>
  <c r="A1431" i="2"/>
  <c r="C1431" i="2"/>
  <c r="G1430" i="2"/>
  <c r="B1430" i="2"/>
  <c r="A1430" i="2"/>
  <c r="C1430" i="2"/>
  <c r="G1429" i="2"/>
  <c r="B1429" i="2"/>
  <c r="A1429" i="2"/>
  <c r="C1429" i="2"/>
  <c r="G1428" i="2"/>
  <c r="B1428" i="2"/>
  <c r="A1428" i="2"/>
  <c r="C1428" i="2"/>
  <c r="G1427" i="2"/>
  <c r="B1427" i="2"/>
  <c r="A1427" i="2"/>
  <c r="C1427" i="2"/>
  <c r="G1426" i="2"/>
  <c r="B1426" i="2"/>
  <c r="A1426" i="2"/>
  <c r="C1426" i="2"/>
  <c r="G1425" i="2"/>
  <c r="B1425" i="2"/>
  <c r="A1425" i="2"/>
  <c r="C1425" i="2"/>
  <c r="G1424" i="2"/>
  <c r="B1424" i="2"/>
  <c r="A1424" i="2"/>
  <c r="C1424" i="2"/>
  <c r="G1423" i="2"/>
  <c r="B1423" i="2"/>
  <c r="A1423" i="2"/>
  <c r="C1423" i="2"/>
  <c r="G1422" i="2"/>
  <c r="B1422" i="2"/>
  <c r="A1422" i="2"/>
  <c r="C1422" i="2"/>
  <c r="G1421" i="2"/>
  <c r="B1421" i="2"/>
  <c r="A1421" i="2"/>
  <c r="C1421" i="2"/>
  <c r="G1420" i="2"/>
  <c r="B1420" i="2"/>
  <c r="A1420" i="2"/>
  <c r="C1420" i="2"/>
  <c r="G1419" i="2"/>
  <c r="B1419" i="2"/>
  <c r="A1419" i="2"/>
  <c r="C1419" i="2"/>
  <c r="G1418" i="2"/>
  <c r="B1418" i="2"/>
  <c r="A1418" i="2"/>
  <c r="C1418" i="2"/>
  <c r="G1417" i="2"/>
  <c r="B1417" i="2"/>
  <c r="A1417" i="2"/>
  <c r="C1417" i="2"/>
  <c r="G1416" i="2"/>
  <c r="B1416" i="2"/>
  <c r="A1416" i="2"/>
  <c r="C1416" i="2"/>
  <c r="G1415" i="2"/>
  <c r="B1415" i="2"/>
  <c r="A1415" i="2"/>
  <c r="C1415" i="2"/>
  <c r="G1414" i="2"/>
  <c r="B1414" i="2"/>
  <c r="A1414" i="2"/>
  <c r="C1414" i="2"/>
  <c r="G1413" i="2"/>
  <c r="B1413" i="2"/>
  <c r="A1413" i="2"/>
  <c r="C1413" i="2"/>
  <c r="G1412" i="2"/>
  <c r="B1412" i="2"/>
  <c r="A1412" i="2"/>
  <c r="C1412" i="2"/>
  <c r="G1411" i="2"/>
  <c r="B1411" i="2"/>
  <c r="A1411" i="2"/>
  <c r="C1411" i="2"/>
  <c r="G1410" i="2"/>
  <c r="B1410" i="2"/>
  <c r="A1410" i="2"/>
  <c r="C1410" i="2"/>
  <c r="G1409" i="2"/>
  <c r="B1409" i="2"/>
  <c r="A1409" i="2"/>
  <c r="C1409" i="2"/>
  <c r="G1408" i="2"/>
  <c r="B1408" i="2"/>
  <c r="A1408" i="2"/>
  <c r="C1408" i="2"/>
  <c r="G1407" i="2"/>
  <c r="B1407" i="2"/>
  <c r="A1407" i="2"/>
  <c r="C1407" i="2"/>
  <c r="G1406" i="2"/>
  <c r="B1406" i="2"/>
  <c r="A1406" i="2"/>
  <c r="C1406" i="2"/>
  <c r="G1405" i="2"/>
  <c r="B1405" i="2"/>
  <c r="A1405" i="2"/>
  <c r="C1405" i="2"/>
  <c r="G1404" i="2"/>
  <c r="B1404" i="2"/>
  <c r="A1404" i="2"/>
  <c r="C1404" i="2"/>
  <c r="G1403" i="2"/>
  <c r="B1403" i="2"/>
  <c r="A1403" i="2"/>
  <c r="C1403" i="2"/>
  <c r="G1402" i="2"/>
  <c r="B1402" i="2"/>
  <c r="A1402" i="2"/>
  <c r="C1402" i="2"/>
  <c r="G1401" i="2"/>
  <c r="B1401" i="2"/>
  <c r="A1401" i="2"/>
  <c r="C1401" i="2"/>
  <c r="G1400" i="2"/>
  <c r="B1400" i="2"/>
  <c r="A1400" i="2"/>
  <c r="C1400" i="2"/>
  <c r="G1399" i="2"/>
  <c r="B1399" i="2"/>
  <c r="A1399" i="2"/>
  <c r="C1399" i="2"/>
  <c r="G1398" i="2"/>
  <c r="B1398" i="2"/>
  <c r="A1398" i="2"/>
  <c r="C1398" i="2"/>
  <c r="G1397" i="2"/>
  <c r="B1397" i="2"/>
  <c r="A1397" i="2"/>
  <c r="C1397" i="2"/>
  <c r="G1396" i="2"/>
  <c r="B1396" i="2"/>
  <c r="A1396" i="2"/>
  <c r="C1396" i="2"/>
  <c r="G1395" i="2"/>
  <c r="B1395" i="2"/>
  <c r="A1395" i="2"/>
  <c r="C1395" i="2"/>
  <c r="G1394" i="2"/>
  <c r="B1394" i="2"/>
  <c r="A1394" i="2"/>
  <c r="C1394" i="2"/>
  <c r="G1393" i="2"/>
  <c r="B1393" i="2"/>
  <c r="A1393" i="2"/>
  <c r="C1393" i="2"/>
  <c r="G1392" i="2"/>
  <c r="B1392" i="2"/>
  <c r="A1392" i="2"/>
  <c r="C1392" i="2"/>
  <c r="G1391" i="2"/>
  <c r="B1391" i="2"/>
  <c r="A1391" i="2"/>
  <c r="C1391" i="2"/>
  <c r="G1390" i="2"/>
  <c r="B1390" i="2"/>
  <c r="A1390" i="2"/>
  <c r="C1390" i="2"/>
  <c r="G1389" i="2"/>
  <c r="B1389" i="2"/>
  <c r="A1389" i="2"/>
  <c r="C1389" i="2"/>
  <c r="G1388" i="2"/>
  <c r="B1388" i="2"/>
  <c r="A1388" i="2"/>
  <c r="C1388" i="2"/>
  <c r="G1387" i="2"/>
  <c r="B1387" i="2"/>
  <c r="A1387" i="2"/>
  <c r="C1387" i="2"/>
  <c r="G1386" i="2"/>
  <c r="B1386" i="2"/>
  <c r="A1386" i="2"/>
  <c r="C1386" i="2"/>
  <c r="G1385" i="2"/>
  <c r="B1385" i="2"/>
  <c r="A1385" i="2"/>
  <c r="C1385" i="2"/>
  <c r="G1384" i="2"/>
  <c r="B1384" i="2"/>
  <c r="A1384" i="2"/>
  <c r="C1384" i="2"/>
  <c r="G1383" i="2"/>
  <c r="B1383" i="2"/>
  <c r="A1383" i="2"/>
  <c r="C1383" i="2"/>
  <c r="G1382" i="2"/>
  <c r="B1382" i="2"/>
  <c r="A1382" i="2"/>
  <c r="C1382" i="2"/>
  <c r="G1381" i="2"/>
  <c r="B1381" i="2"/>
  <c r="A1381" i="2"/>
  <c r="C1381" i="2"/>
  <c r="G1380" i="2"/>
  <c r="B1380" i="2"/>
  <c r="A1380" i="2"/>
  <c r="C1380" i="2"/>
  <c r="G1379" i="2"/>
  <c r="B1379" i="2"/>
  <c r="A1379" i="2"/>
  <c r="C1379" i="2"/>
  <c r="G1378" i="2"/>
  <c r="B1378" i="2"/>
  <c r="A1378" i="2"/>
  <c r="C1378" i="2"/>
  <c r="G1377" i="2"/>
  <c r="B1377" i="2"/>
  <c r="A1377" i="2"/>
  <c r="C1377" i="2"/>
  <c r="G1376" i="2"/>
  <c r="B1376" i="2"/>
  <c r="A1376" i="2"/>
  <c r="C1376" i="2"/>
  <c r="G1375" i="2"/>
  <c r="B1375" i="2"/>
  <c r="A1375" i="2"/>
  <c r="C1375" i="2"/>
  <c r="G1374" i="2"/>
  <c r="B1374" i="2"/>
  <c r="A1374" i="2"/>
  <c r="C1374" i="2"/>
  <c r="G1373" i="2"/>
  <c r="B1373" i="2"/>
  <c r="A1373" i="2"/>
  <c r="C1373" i="2"/>
  <c r="G1372" i="2"/>
  <c r="B1372" i="2"/>
  <c r="A1372" i="2"/>
  <c r="C1372" i="2"/>
  <c r="G1371" i="2"/>
  <c r="B1371" i="2"/>
  <c r="A1371" i="2"/>
  <c r="C1371" i="2"/>
  <c r="G1370" i="2"/>
  <c r="B1370" i="2"/>
  <c r="A1370" i="2"/>
  <c r="C1370" i="2"/>
  <c r="G1369" i="2"/>
  <c r="B1369" i="2"/>
  <c r="A1369" i="2"/>
  <c r="C1369" i="2"/>
  <c r="G1368" i="2"/>
  <c r="B1368" i="2"/>
  <c r="A1368" i="2"/>
  <c r="C1368" i="2"/>
  <c r="G1367" i="2"/>
  <c r="B1367" i="2"/>
  <c r="A1367" i="2"/>
  <c r="C1367" i="2"/>
  <c r="G1366" i="2"/>
  <c r="B1366" i="2"/>
  <c r="A1366" i="2"/>
  <c r="C1366" i="2"/>
  <c r="G1365" i="2"/>
  <c r="B1365" i="2"/>
  <c r="A1365" i="2"/>
  <c r="C1365" i="2"/>
  <c r="G1364" i="2"/>
  <c r="B1364" i="2"/>
  <c r="A1364" i="2"/>
  <c r="C1364" i="2"/>
  <c r="G1363" i="2"/>
  <c r="B1363" i="2"/>
  <c r="A1363" i="2"/>
  <c r="C1363" i="2"/>
  <c r="G1362" i="2"/>
  <c r="B1362" i="2"/>
  <c r="A1362" i="2"/>
  <c r="C1362" i="2"/>
  <c r="G1361" i="2"/>
  <c r="B1361" i="2"/>
  <c r="A1361" i="2"/>
  <c r="C1361" i="2"/>
  <c r="G1360" i="2"/>
  <c r="B1360" i="2"/>
  <c r="A1360" i="2"/>
  <c r="C1360" i="2"/>
  <c r="G1359" i="2"/>
  <c r="B1359" i="2"/>
  <c r="A1359" i="2"/>
  <c r="C1359" i="2"/>
  <c r="G1358" i="2"/>
  <c r="B1358" i="2"/>
  <c r="A1358" i="2"/>
  <c r="C1358" i="2"/>
  <c r="G1357" i="2"/>
  <c r="B1357" i="2"/>
  <c r="A1357" i="2"/>
  <c r="C1357" i="2"/>
  <c r="G1356" i="2"/>
  <c r="B1356" i="2"/>
  <c r="A1356" i="2"/>
  <c r="C1356" i="2"/>
  <c r="G1355" i="2"/>
  <c r="B1355" i="2"/>
  <c r="A1355" i="2"/>
  <c r="C1355" i="2"/>
  <c r="G1354" i="2"/>
  <c r="B1354" i="2"/>
  <c r="A1354" i="2"/>
  <c r="C1354" i="2"/>
  <c r="G1353" i="2"/>
  <c r="B1353" i="2"/>
  <c r="A1353" i="2"/>
  <c r="C1353" i="2"/>
  <c r="G1352" i="2"/>
  <c r="B1352" i="2"/>
  <c r="A1352" i="2"/>
  <c r="C1352" i="2"/>
  <c r="G1351" i="2"/>
  <c r="B1351" i="2"/>
  <c r="A1351" i="2"/>
  <c r="C1351" i="2"/>
  <c r="G1350" i="2"/>
  <c r="B1350" i="2"/>
  <c r="A1350" i="2"/>
  <c r="C1350" i="2"/>
  <c r="G1349" i="2"/>
  <c r="B1349" i="2"/>
  <c r="A1349" i="2"/>
  <c r="C1349" i="2"/>
  <c r="G1348" i="2"/>
  <c r="B1348" i="2"/>
  <c r="A1348" i="2"/>
  <c r="C1348" i="2"/>
  <c r="G1347" i="2"/>
  <c r="B1347" i="2"/>
  <c r="A1347" i="2"/>
  <c r="C1347" i="2"/>
  <c r="G1346" i="2"/>
  <c r="B1346" i="2"/>
  <c r="A1346" i="2"/>
  <c r="C1346" i="2"/>
  <c r="G1345" i="2"/>
  <c r="B1345" i="2"/>
  <c r="A1345" i="2"/>
  <c r="C1345" i="2"/>
  <c r="G1344" i="2"/>
  <c r="B1344" i="2"/>
  <c r="A1344" i="2"/>
  <c r="C1344" i="2"/>
  <c r="G1343" i="2"/>
  <c r="B1343" i="2"/>
  <c r="A1343" i="2"/>
  <c r="C1343" i="2"/>
  <c r="G1342" i="2"/>
  <c r="B1342" i="2"/>
  <c r="A1342" i="2"/>
  <c r="C1342" i="2"/>
  <c r="G1341" i="2"/>
  <c r="B1341" i="2"/>
  <c r="A1341" i="2"/>
  <c r="C1341" i="2"/>
  <c r="G1340" i="2"/>
  <c r="B1340" i="2"/>
  <c r="A1340" i="2"/>
  <c r="C1340" i="2"/>
  <c r="G1339" i="2"/>
  <c r="B1339" i="2"/>
  <c r="A1339" i="2"/>
  <c r="C1339" i="2"/>
  <c r="G1338" i="2"/>
  <c r="B1338" i="2"/>
  <c r="A1338" i="2"/>
  <c r="C1338" i="2"/>
  <c r="G1337" i="2"/>
  <c r="B1337" i="2"/>
  <c r="A1337" i="2"/>
  <c r="C1337" i="2"/>
  <c r="G1336" i="2"/>
  <c r="B1336" i="2"/>
  <c r="A1336" i="2"/>
  <c r="C1336" i="2"/>
  <c r="G1335" i="2"/>
  <c r="B1335" i="2"/>
  <c r="A1335" i="2"/>
  <c r="C1335" i="2"/>
  <c r="G1334" i="2"/>
  <c r="B1334" i="2"/>
  <c r="A1334" i="2"/>
  <c r="C1334" i="2"/>
  <c r="G1333" i="2"/>
  <c r="B1333" i="2"/>
  <c r="A1333" i="2"/>
  <c r="C1333" i="2"/>
  <c r="G1332" i="2"/>
  <c r="B1332" i="2"/>
  <c r="A1332" i="2"/>
  <c r="C1332" i="2"/>
  <c r="G1331" i="2"/>
  <c r="B1331" i="2"/>
  <c r="A1331" i="2"/>
  <c r="C1331" i="2"/>
  <c r="G1330" i="2"/>
  <c r="B1330" i="2"/>
  <c r="A1330" i="2"/>
  <c r="C1330" i="2"/>
  <c r="G1329" i="2"/>
  <c r="B1329" i="2"/>
  <c r="A1329" i="2"/>
  <c r="C1329" i="2"/>
  <c r="G1328" i="2"/>
  <c r="B1328" i="2"/>
  <c r="A1328" i="2"/>
  <c r="C1328" i="2"/>
  <c r="G1327" i="2"/>
  <c r="B1327" i="2"/>
  <c r="A1327" i="2"/>
  <c r="C1327" i="2"/>
  <c r="G1326" i="2"/>
  <c r="B1326" i="2"/>
  <c r="A1326" i="2"/>
  <c r="C1326" i="2"/>
  <c r="G1325" i="2"/>
  <c r="B1325" i="2"/>
  <c r="A1325" i="2"/>
  <c r="C1325" i="2"/>
  <c r="G1324" i="2"/>
  <c r="B1324" i="2"/>
  <c r="A1324" i="2"/>
  <c r="C1324" i="2"/>
  <c r="G1323" i="2"/>
  <c r="B1323" i="2"/>
  <c r="A1323" i="2"/>
  <c r="C1323" i="2"/>
  <c r="G1322" i="2"/>
  <c r="B1322" i="2"/>
  <c r="A1322" i="2"/>
  <c r="C1322" i="2"/>
  <c r="G1321" i="2"/>
  <c r="B1321" i="2"/>
  <c r="A1321" i="2"/>
  <c r="C1321" i="2"/>
  <c r="G1320" i="2"/>
  <c r="B1320" i="2"/>
  <c r="A1320" i="2"/>
  <c r="C1320" i="2"/>
  <c r="G1319" i="2"/>
  <c r="B1319" i="2"/>
  <c r="A1319" i="2"/>
  <c r="C1319" i="2"/>
  <c r="G1318" i="2"/>
  <c r="B1318" i="2"/>
  <c r="A1318" i="2"/>
  <c r="C1318" i="2"/>
  <c r="G1317" i="2"/>
  <c r="B1317" i="2"/>
  <c r="A1317" i="2"/>
  <c r="C1317" i="2"/>
  <c r="G1316" i="2"/>
  <c r="B1316" i="2"/>
  <c r="A1316" i="2"/>
  <c r="C1316" i="2"/>
  <c r="G1315" i="2"/>
  <c r="B1315" i="2"/>
  <c r="A1315" i="2"/>
  <c r="C1315" i="2"/>
  <c r="G1314" i="2"/>
  <c r="B1314" i="2"/>
  <c r="A1314" i="2"/>
  <c r="C1314" i="2"/>
  <c r="G1313" i="2"/>
  <c r="B1313" i="2"/>
  <c r="A1313" i="2"/>
  <c r="C1313" i="2"/>
  <c r="G1312" i="2"/>
  <c r="B1312" i="2"/>
  <c r="A1312" i="2"/>
  <c r="C1312" i="2"/>
  <c r="G1311" i="2"/>
  <c r="B1311" i="2"/>
  <c r="A1311" i="2"/>
  <c r="C1311" i="2"/>
  <c r="G1310" i="2"/>
  <c r="B1310" i="2"/>
  <c r="A1310" i="2"/>
  <c r="C1310" i="2"/>
  <c r="G1309" i="2"/>
  <c r="B1309" i="2"/>
  <c r="A1309" i="2"/>
  <c r="C1309" i="2"/>
  <c r="G1308" i="2"/>
  <c r="B1308" i="2"/>
  <c r="A1308" i="2"/>
  <c r="C1308" i="2"/>
  <c r="G1307" i="2"/>
  <c r="B1307" i="2"/>
  <c r="A1307" i="2"/>
  <c r="C1307" i="2"/>
  <c r="G1306" i="2"/>
  <c r="B1306" i="2"/>
  <c r="A1306" i="2"/>
  <c r="C1306" i="2"/>
  <c r="G1305" i="2"/>
  <c r="B1305" i="2"/>
  <c r="A1305" i="2"/>
  <c r="C1305" i="2"/>
  <c r="G1304" i="2"/>
  <c r="B1304" i="2"/>
  <c r="A1304" i="2"/>
  <c r="C1304" i="2"/>
  <c r="G1303" i="2"/>
  <c r="B1303" i="2"/>
  <c r="A1303" i="2"/>
  <c r="C1303" i="2"/>
  <c r="G1302" i="2"/>
  <c r="B1302" i="2"/>
  <c r="A1302" i="2"/>
  <c r="C1302" i="2"/>
  <c r="G1301" i="2"/>
  <c r="B1301" i="2"/>
  <c r="A1301" i="2"/>
  <c r="C1301" i="2"/>
  <c r="G1300" i="2"/>
  <c r="B1300" i="2"/>
  <c r="A1300" i="2"/>
  <c r="C1300" i="2"/>
  <c r="G1299" i="2"/>
  <c r="B1299" i="2"/>
  <c r="A1299" i="2"/>
  <c r="C1299" i="2"/>
  <c r="G1298" i="2"/>
  <c r="B1298" i="2"/>
  <c r="A1298" i="2"/>
  <c r="C1298" i="2"/>
  <c r="G1297" i="2"/>
  <c r="B1297" i="2"/>
  <c r="A1297" i="2"/>
  <c r="C1297" i="2"/>
  <c r="G1296" i="2"/>
  <c r="B1296" i="2"/>
  <c r="A1296" i="2"/>
  <c r="C1296" i="2"/>
  <c r="G1295" i="2"/>
  <c r="B1295" i="2"/>
  <c r="A1295" i="2"/>
  <c r="C1295" i="2"/>
  <c r="G1294" i="2"/>
  <c r="B1294" i="2"/>
  <c r="A1294" i="2"/>
  <c r="C1294" i="2"/>
  <c r="G1293" i="2"/>
  <c r="B1293" i="2"/>
  <c r="A1293" i="2"/>
  <c r="C1293" i="2"/>
  <c r="G1292" i="2"/>
  <c r="B1292" i="2"/>
  <c r="A1292" i="2"/>
  <c r="C1292" i="2"/>
  <c r="G1291" i="2"/>
  <c r="B1291" i="2"/>
  <c r="A1291" i="2"/>
  <c r="C1291" i="2"/>
  <c r="G1290" i="2"/>
  <c r="B1290" i="2"/>
  <c r="A1290" i="2"/>
  <c r="C1290" i="2"/>
  <c r="G1289" i="2"/>
  <c r="B1289" i="2"/>
  <c r="A1289" i="2"/>
  <c r="C1289" i="2"/>
  <c r="G1288" i="2"/>
  <c r="B1288" i="2"/>
  <c r="A1288" i="2"/>
  <c r="C1288" i="2"/>
  <c r="G1287" i="2"/>
  <c r="B1287" i="2"/>
  <c r="A1287" i="2"/>
  <c r="C1287" i="2"/>
  <c r="G1286" i="2"/>
  <c r="B1286" i="2"/>
  <c r="A1286" i="2"/>
  <c r="C1286" i="2"/>
  <c r="G1285" i="2"/>
  <c r="B1285" i="2"/>
  <c r="A1285" i="2"/>
  <c r="C1285" i="2"/>
  <c r="G1284" i="2"/>
  <c r="B1284" i="2"/>
  <c r="A1284" i="2"/>
  <c r="C1284" i="2"/>
  <c r="G1283" i="2"/>
  <c r="B1283" i="2"/>
  <c r="A1283" i="2"/>
  <c r="C1283" i="2"/>
  <c r="G1282" i="2"/>
  <c r="B1282" i="2"/>
  <c r="A1282" i="2"/>
  <c r="C1282" i="2"/>
  <c r="G1281" i="2"/>
  <c r="B1281" i="2"/>
  <c r="A1281" i="2"/>
  <c r="C1281" i="2"/>
  <c r="G1280" i="2"/>
  <c r="B1280" i="2"/>
  <c r="A1280" i="2"/>
  <c r="C1280" i="2"/>
  <c r="G1279" i="2"/>
  <c r="B1279" i="2"/>
  <c r="A1279" i="2"/>
  <c r="C1279" i="2"/>
  <c r="G1278" i="2"/>
  <c r="B1278" i="2"/>
  <c r="A1278" i="2"/>
  <c r="C1278" i="2"/>
  <c r="G1277" i="2"/>
  <c r="B1277" i="2"/>
  <c r="A1277" i="2"/>
  <c r="C1277" i="2"/>
  <c r="G1276" i="2"/>
  <c r="B1276" i="2"/>
  <c r="A1276" i="2"/>
  <c r="C1276" i="2"/>
  <c r="G1275" i="2"/>
  <c r="B1275" i="2"/>
  <c r="A1275" i="2"/>
  <c r="C1275" i="2"/>
  <c r="G1274" i="2"/>
  <c r="B1274" i="2"/>
  <c r="A1274" i="2"/>
  <c r="C1274" i="2"/>
  <c r="G1273" i="2"/>
  <c r="B1273" i="2"/>
  <c r="A1273" i="2"/>
  <c r="C1273" i="2"/>
  <c r="G1272" i="2"/>
  <c r="B1272" i="2"/>
  <c r="A1272" i="2"/>
  <c r="C1272" i="2"/>
  <c r="G1271" i="2"/>
  <c r="B1271" i="2"/>
  <c r="A1271" i="2"/>
  <c r="C1271" i="2"/>
  <c r="G1270" i="2"/>
  <c r="B1270" i="2"/>
  <c r="A1270" i="2"/>
  <c r="C1270" i="2"/>
  <c r="G1269" i="2"/>
  <c r="B1269" i="2"/>
  <c r="A1269" i="2"/>
  <c r="C1269" i="2"/>
  <c r="G1268" i="2"/>
  <c r="B1268" i="2"/>
  <c r="A1268" i="2"/>
  <c r="C1268" i="2"/>
  <c r="G1267" i="2"/>
  <c r="B1267" i="2"/>
  <c r="A1267" i="2"/>
  <c r="C1267" i="2"/>
  <c r="G1266" i="2"/>
  <c r="B1266" i="2"/>
  <c r="A1266" i="2"/>
  <c r="C1266" i="2"/>
  <c r="G1265" i="2"/>
  <c r="B1265" i="2"/>
  <c r="A1265" i="2"/>
  <c r="C1265" i="2"/>
  <c r="G1264" i="2"/>
  <c r="B1264" i="2"/>
  <c r="A1264" i="2"/>
  <c r="C1264" i="2"/>
  <c r="G1263" i="2"/>
  <c r="B1263" i="2"/>
  <c r="A1263" i="2"/>
  <c r="C1263" i="2"/>
  <c r="G1262" i="2"/>
  <c r="B1262" i="2"/>
  <c r="A1262" i="2"/>
  <c r="C1262" i="2"/>
  <c r="G1261" i="2"/>
  <c r="B1261" i="2"/>
  <c r="A1261" i="2"/>
  <c r="C1261" i="2"/>
  <c r="G1260" i="2"/>
  <c r="B1260" i="2"/>
  <c r="A1260" i="2"/>
  <c r="C1260" i="2"/>
  <c r="G1259" i="2"/>
  <c r="B1259" i="2"/>
  <c r="A1259" i="2"/>
  <c r="C1259" i="2"/>
  <c r="G1258" i="2"/>
  <c r="B1258" i="2"/>
  <c r="A1258" i="2"/>
  <c r="C1258" i="2"/>
  <c r="G1257" i="2"/>
  <c r="B1257" i="2"/>
  <c r="A1257" i="2"/>
  <c r="C1257" i="2"/>
  <c r="G1256" i="2"/>
  <c r="B1256" i="2"/>
  <c r="A1256" i="2"/>
  <c r="C1256" i="2"/>
  <c r="G1255" i="2"/>
  <c r="B1255" i="2"/>
  <c r="A1255" i="2"/>
  <c r="C1255" i="2"/>
  <c r="G1254" i="2"/>
  <c r="B1254" i="2"/>
  <c r="A1254" i="2"/>
  <c r="C1254" i="2"/>
  <c r="G1253" i="2"/>
  <c r="B1253" i="2"/>
  <c r="A1253" i="2"/>
  <c r="C1253" i="2"/>
  <c r="G1252" i="2"/>
  <c r="B1252" i="2"/>
  <c r="A1252" i="2"/>
  <c r="C1252" i="2"/>
  <c r="G1251" i="2"/>
  <c r="B1251" i="2"/>
  <c r="A1251" i="2"/>
  <c r="C1251" i="2"/>
  <c r="G1250" i="2"/>
  <c r="B1250" i="2"/>
  <c r="A1250" i="2"/>
  <c r="C1250" i="2"/>
  <c r="G1249" i="2"/>
  <c r="B1249" i="2"/>
  <c r="A1249" i="2"/>
  <c r="C1249" i="2"/>
  <c r="G1248" i="2"/>
  <c r="B1248" i="2"/>
  <c r="A1248" i="2"/>
  <c r="C1248" i="2"/>
  <c r="G1247" i="2"/>
  <c r="B1247" i="2"/>
  <c r="A1247" i="2"/>
  <c r="C1247" i="2"/>
  <c r="G1246" i="2"/>
  <c r="B1246" i="2"/>
  <c r="A1246" i="2"/>
  <c r="C1246" i="2"/>
  <c r="G1245" i="2"/>
  <c r="B1245" i="2"/>
  <c r="A1245" i="2"/>
  <c r="C1245" i="2"/>
  <c r="G1244" i="2"/>
  <c r="B1244" i="2"/>
  <c r="A1244" i="2"/>
  <c r="C1244" i="2"/>
  <c r="G1243" i="2"/>
  <c r="B1243" i="2"/>
  <c r="A1243" i="2"/>
  <c r="C1243" i="2"/>
  <c r="G1242" i="2"/>
  <c r="B1242" i="2"/>
  <c r="A1242" i="2"/>
  <c r="C1242" i="2"/>
  <c r="G1241" i="2"/>
  <c r="B1241" i="2"/>
  <c r="A1241" i="2"/>
  <c r="C1241" i="2"/>
  <c r="F1240" i="2"/>
  <c r="G1240" i="2"/>
  <c r="B1240" i="2"/>
  <c r="A1240" i="2"/>
  <c r="C1240" i="2" s="1"/>
  <c r="F1239" i="2"/>
  <c r="G1239" i="2" s="1"/>
  <c r="B1239" i="2"/>
  <c r="A1239" i="2"/>
  <c r="C1239" i="2"/>
  <c r="F1238" i="2"/>
  <c r="G1238" i="2"/>
  <c r="B1238" i="2"/>
  <c r="A1238" i="2"/>
  <c r="C1238" i="2" s="1"/>
  <c r="G1237" i="2"/>
  <c r="B1237" i="2"/>
  <c r="A1237" i="2"/>
  <c r="F1236" i="2"/>
  <c r="G1236" i="2" s="1"/>
  <c r="B1236" i="2"/>
  <c r="A1236" i="2"/>
  <c r="C1236" i="2" s="1"/>
  <c r="G1235" i="2"/>
  <c r="B1235" i="2"/>
  <c r="A1235" i="2"/>
  <c r="C1235" i="2" s="1"/>
  <c r="G1234" i="2"/>
  <c r="B1234" i="2"/>
  <c r="A1234" i="2"/>
  <c r="C1234" i="2" s="1"/>
  <c r="F1233" i="2"/>
  <c r="G1233" i="2" s="1"/>
  <c r="B1233" i="2"/>
  <c r="A1233" i="2"/>
  <c r="G1232" i="2"/>
  <c r="B1232" i="2"/>
  <c r="A1232" i="2"/>
  <c r="C1232" i="2" s="1"/>
  <c r="G1231" i="2"/>
  <c r="B1231" i="2"/>
  <c r="A1231" i="2"/>
  <c r="G1230" i="2"/>
  <c r="B1230" i="2"/>
  <c r="A1230" i="2"/>
  <c r="C1230" i="2" s="1"/>
  <c r="G1229" i="2"/>
  <c r="B1229" i="2"/>
  <c r="A1229" i="2"/>
  <c r="F1228" i="2"/>
  <c r="G1228" i="2" s="1"/>
  <c r="B1228" i="2"/>
  <c r="A1228" i="2"/>
  <c r="C1228" i="2" s="1"/>
  <c r="F1227" i="2"/>
  <c r="G1227" i="2" s="1"/>
  <c r="B1227" i="2"/>
  <c r="A1227" i="2"/>
  <c r="F1226" i="2"/>
  <c r="G1226" i="2" s="1"/>
  <c r="B1226" i="2"/>
  <c r="A1226" i="2"/>
  <c r="C1226" i="2" s="1"/>
  <c r="F1225" i="2"/>
  <c r="G1225" i="2" s="1"/>
  <c r="B1225" i="2"/>
  <c r="A1225" i="2"/>
  <c r="G1224" i="2"/>
  <c r="B1224" i="2"/>
  <c r="A1224" i="2"/>
  <c r="C1224" i="2" s="1"/>
  <c r="G1223" i="2"/>
  <c r="B1223" i="2"/>
  <c r="A1223" i="2"/>
  <c r="F1222" i="2"/>
  <c r="G1222" i="2" s="1"/>
  <c r="B1222" i="2"/>
  <c r="A1222" i="2"/>
  <c r="C1222" i="2" s="1"/>
  <c r="G1221" i="2"/>
  <c r="B1221" i="2"/>
  <c r="A1221" i="2"/>
  <c r="C1221" i="2" s="1"/>
  <c r="F1220" i="2"/>
  <c r="G1220" i="2" s="1"/>
  <c r="B1220" i="2"/>
  <c r="A1220" i="2"/>
  <c r="G1219" i="2"/>
  <c r="B1219" i="2"/>
  <c r="A1219" i="2"/>
  <c r="C1219" i="2" s="1"/>
  <c r="G1218" i="2"/>
  <c r="B1218" i="2"/>
  <c r="A1218" i="2"/>
  <c r="G1217" i="2"/>
  <c r="B1217" i="2"/>
  <c r="A1217" i="2"/>
  <c r="C1217" i="2" s="1"/>
  <c r="G1216" i="2"/>
  <c r="B1216" i="2"/>
  <c r="A1216" i="2"/>
  <c r="G1215" i="2"/>
  <c r="B1215" i="2"/>
  <c r="A1215" i="2"/>
  <c r="C1215" i="2" s="1"/>
  <c r="G1214" i="2"/>
  <c r="B1214" i="2"/>
  <c r="A1214" i="2"/>
  <c r="G1213" i="2"/>
  <c r="B1213" i="2"/>
  <c r="A1213" i="2"/>
  <c r="C1213" i="2" s="1"/>
  <c r="G1212" i="2"/>
  <c r="B1212" i="2"/>
  <c r="A1212" i="2"/>
  <c r="G1211" i="2"/>
  <c r="B1211" i="2"/>
  <c r="A1211" i="2"/>
  <c r="C1211" i="2" s="1"/>
  <c r="G1210" i="2"/>
  <c r="B1210" i="2"/>
  <c r="A1210" i="2"/>
  <c r="G1209" i="2"/>
  <c r="B1209" i="2"/>
  <c r="A1209" i="2"/>
  <c r="C1209" i="2" s="1"/>
  <c r="G1208" i="2"/>
  <c r="B1208" i="2"/>
  <c r="A1208" i="2"/>
  <c r="G1207" i="2"/>
  <c r="B1207" i="2"/>
  <c r="A1207" i="2"/>
  <c r="C1207" i="2" s="1"/>
  <c r="G1206" i="2"/>
  <c r="B1206" i="2"/>
  <c r="A1206" i="2"/>
  <c r="G1205" i="2"/>
  <c r="B1205" i="2"/>
  <c r="A1205" i="2"/>
  <c r="C1205" i="2" s="1"/>
  <c r="G1204" i="2"/>
  <c r="B1204" i="2"/>
  <c r="A1204" i="2"/>
  <c r="G1203" i="2"/>
  <c r="B1203" i="2"/>
  <c r="A1203" i="2"/>
  <c r="C1203" i="2" s="1"/>
  <c r="G1202" i="2"/>
  <c r="B1202" i="2"/>
  <c r="A1202" i="2"/>
  <c r="G1201" i="2"/>
  <c r="B1201" i="2"/>
  <c r="A1201" i="2"/>
  <c r="C1201" i="2" s="1"/>
  <c r="G1200" i="2"/>
  <c r="B1200" i="2"/>
  <c r="A1200" i="2"/>
  <c r="G1199" i="2"/>
  <c r="B1199" i="2"/>
  <c r="A1199" i="2"/>
  <c r="C1199" i="2" s="1"/>
  <c r="G1198" i="2"/>
  <c r="B1198" i="2"/>
  <c r="A1198" i="2"/>
  <c r="G1197" i="2"/>
  <c r="B1197" i="2"/>
  <c r="A1197" i="2"/>
  <c r="C1197" i="2" s="1"/>
  <c r="G1196" i="2"/>
  <c r="B1196" i="2"/>
  <c r="A1196" i="2"/>
  <c r="G1195" i="2"/>
  <c r="B1195" i="2"/>
  <c r="A1195" i="2"/>
  <c r="C1195" i="2" s="1"/>
  <c r="G1194" i="2"/>
  <c r="B1194" i="2"/>
  <c r="A1194" i="2"/>
  <c r="G1193" i="2"/>
  <c r="B1193" i="2"/>
  <c r="A1193" i="2"/>
  <c r="C1193" i="2" s="1"/>
  <c r="G1192" i="2"/>
  <c r="B1192" i="2"/>
  <c r="A1192" i="2"/>
  <c r="G1191" i="2"/>
  <c r="B1191" i="2"/>
  <c r="A1191" i="2"/>
  <c r="C1191" i="2" s="1"/>
  <c r="G1190" i="2"/>
  <c r="B1190" i="2"/>
  <c r="A1190" i="2"/>
  <c r="G1189" i="2"/>
  <c r="B1189" i="2"/>
  <c r="A1189" i="2"/>
  <c r="C1189" i="2" s="1"/>
  <c r="G1188" i="2"/>
  <c r="B1188" i="2"/>
  <c r="A1188" i="2"/>
  <c r="G1187" i="2"/>
  <c r="B1187" i="2"/>
  <c r="A1187" i="2"/>
  <c r="C1187" i="2" s="1"/>
  <c r="G1186" i="2"/>
  <c r="B1186" i="2"/>
  <c r="A1186" i="2"/>
  <c r="G1185" i="2"/>
  <c r="B1185" i="2"/>
  <c r="A1185" i="2"/>
  <c r="C1185" i="2" s="1"/>
  <c r="G1184" i="2"/>
  <c r="B1184" i="2"/>
  <c r="A1184" i="2"/>
  <c r="G1183" i="2"/>
  <c r="B1183" i="2"/>
  <c r="A1183" i="2"/>
  <c r="C1183" i="2" s="1"/>
  <c r="G1182" i="2"/>
  <c r="B1182" i="2"/>
  <c r="A1182" i="2"/>
  <c r="G1181" i="2"/>
  <c r="B1181" i="2"/>
  <c r="A1181" i="2"/>
  <c r="C1181" i="2" s="1"/>
  <c r="G1180" i="2"/>
  <c r="B1180" i="2"/>
  <c r="A1180" i="2"/>
  <c r="G1179" i="2"/>
  <c r="B1179" i="2"/>
  <c r="A1179" i="2"/>
  <c r="C1179" i="2" s="1"/>
  <c r="G1178" i="2"/>
  <c r="B1178" i="2"/>
  <c r="A1178" i="2"/>
  <c r="G1177" i="2"/>
  <c r="B1177" i="2"/>
  <c r="A1177" i="2"/>
  <c r="C1177" i="2" s="1"/>
  <c r="G1176" i="2"/>
  <c r="B1176" i="2"/>
  <c r="A1176" i="2"/>
  <c r="G1175" i="2"/>
  <c r="B1175" i="2"/>
  <c r="A1175" i="2"/>
  <c r="C1175" i="2" s="1"/>
  <c r="G1174" i="2"/>
  <c r="B1174" i="2"/>
  <c r="A1174" i="2"/>
  <c r="G1173" i="2"/>
  <c r="B1173" i="2"/>
  <c r="A1173" i="2"/>
  <c r="C1173" i="2" s="1"/>
  <c r="G1172" i="2"/>
  <c r="B1172" i="2"/>
  <c r="A1172" i="2"/>
  <c r="G1171" i="2"/>
  <c r="B1171" i="2"/>
  <c r="A1171" i="2"/>
  <c r="C1171" i="2" s="1"/>
  <c r="G1170" i="2"/>
  <c r="B1170" i="2"/>
  <c r="A1170" i="2"/>
  <c r="G1169" i="2"/>
  <c r="B1169" i="2"/>
  <c r="A1169" i="2"/>
  <c r="C1169" i="2" s="1"/>
  <c r="G1168" i="2"/>
  <c r="B1168" i="2"/>
  <c r="A1168" i="2"/>
  <c r="G1167" i="2"/>
  <c r="B1167" i="2"/>
  <c r="A1167" i="2"/>
  <c r="C1167" i="2" s="1"/>
  <c r="G1166" i="2"/>
  <c r="B1166" i="2"/>
  <c r="A1166" i="2"/>
  <c r="G1165" i="2"/>
  <c r="B1165" i="2"/>
  <c r="A1165" i="2"/>
  <c r="C1165" i="2" s="1"/>
  <c r="G1164" i="2"/>
  <c r="B1164" i="2"/>
  <c r="A1164" i="2"/>
  <c r="G1163" i="2"/>
  <c r="B1163" i="2"/>
  <c r="A1163" i="2"/>
  <c r="C1163" i="2" s="1"/>
  <c r="G1162" i="2"/>
  <c r="B1162" i="2"/>
  <c r="A1162" i="2"/>
  <c r="G1161" i="2"/>
  <c r="B1161" i="2"/>
  <c r="A1161" i="2"/>
  <c r="C1161" i="2" s="1"/>
  <c r="G1160" i="2"/>
  <c r="B1160" i="2"/>
  <c r="A1160" i="2"/>
  <c r="G1159" i="2"/>
  <c r="B1159" i="2"/>
  <c r="A1159" i="2"/>
  <c r="C1159" i="2" s="1"/>
  <c r="G1158" i="2"/>
  <c r="B1158" i="2"/>
  <c r="A1158" i="2"/>
  <c r="G1157" i="2"/>
  <c r="B1157" i="2"/>
  <c r="A1157" i="2"/>
  <c r="C1157" i="2" s="1"/>
  <c r="G1156" i="2"/>
  <c r="B1156" i="2"/>
  <c r="A1156" i="2"/>
  <c r="G1155" i="2"/>
  <c r="B1155" i="2"/>
  <c r="A1155" i="2"/>
  <c r="C1155" i="2" s="1"/>
  <c r="G1154" i="2"/>
  <c r="B1154" i="2"/>
  <c r="A1154" i="2"/>
  <c r="G1153" i="2"/>
  <c r="B1153" i="2"/>
  <c r="A1153" i="2"/>
  <c r="C1153" i="2" s="1"/>
  <c r="G1152" i="2"/>
  <c r="B1152" i="2"/>
  <c r="A1152" i="2"/>
  <c r="G1151" i="2"/>
  <c r="B1151" i="2"/>
  <c r="A1151" i="2"/>
  <c r="C1151" i="2" s="1"/>
  <c r="G1150" i="2"/>
  <c r="B1150" i="2"/>
  <c r="A1150" i="2"/>
  <c r="G1149" i="2"/>
  <c r="B1149" i="2"/>
  <c r="A1149" i="2"/>
  <c r="C1149" i="2" s="1"/>
  <c r="G1148" i="2"/>
  <c r="B1148" i="2"/>
  <c r="A1148" i="2"/>
  <c r="G1147" i="2"/>
  <c r="B1147" i="2"/>
  <c r="A1147" i="2"/>
  <c r="C1147" i="2" s="1"/>
  <c r="G1146" i="2"/>
  <c r="B1146" i="2"/>
  <c r="A1146" i="2"/>
  <c r="G1145" i="2"/>
  <c r="B1145" i="2"/>
  <c r="A1145" i="2"/>
  <c r="C1145" i="2" s="1"/>
  <c r="G1144" i="2"/>
  <c r="B1144" i="2"/>
  <c r="A1144" i="2"/>
  <c r="G1143" i="2"/>
  <c r="B1143" i="2"/>
  <c r="A1143" i="2"/>
  <c r="C1143" i="2" s="1"/>
  <c r="G1142" i="2"/>
  <c r="B1142" i="2"/>
  <c r="A1142" i="2"/>
  <c r="G1141" i="2"/>
  <c r="B1141" i="2"/>
  <c r="A1141" i="2"/>
  <c r="C1141" i="2" s="1"/>
  <c r="G1140" i="2"/>
  <c r="B1140" i="2"/>
  <c r="A1140" i="2"/>
  <c r="G1139" i="2"/>
  <c r="B1139" i="2"/>
  <c r="A1139" i="2"/>
  <c r="C1139" i="2" s="1"/>
  <c r="G1138" i="2"/>
  <c r="B1138" i="2"/>
  <c r="A1138" i="2"/>
  <c r="G1137" i="2"/>
  <c r="B1137" i="2"/>
  <c r="A1137" i="2"/>
  <c r="C1137" i="2" s="1"/>
  <c r="G1136" i="2"/>
  <c r="B1136" i="2"/>
  <c r="A1136" i="2"/>
  <c r="G1135" i="2"/>
  <c r="B1135" i="2"/>
  <c r="A1135" i="2"/>
  <c r="C1135" i="2" s="1"/>
  <c r="G1134" i="2"/>
  <c r="B1134" i="2"/>
  <c r="A1134" i="2"/>
  <c r="G1133" i="2"/>
  <c r="B1133" i="2"/>
  <c r="A1133" i="2"/>
  <c r="C1133" i="2" s="1"/>
  <c r="G1132" i="2"/>
  <c r="B1132" i="2"/>
  <c r="A1132" i="2"/>
  <c r="G1131" i="2"/>
  <c r="B1131" i="2"/>
  <c r="A1131" i="2"/>
  <c r="C1131" i="2" s="1"/>
  <c r="G1130" i="2"/>
  <c r="B1130" i="2"/>
  <c r="A1130" i="2"/>
  <c r="G1129" i="2"/>
  <c r="B1129" i="2"/>
  <c r="A1129" i="2"/>
  <c r="C1129" i="2" s="1"/>
  <c r="G1128" i="2"/>
  <c r="B1128" i="2"/>
  <c r="A1128" i="2"/>
  <c r="G1127" i="2"/>
  <c r="B1127" i="2"/>
  <c r="A1127" i="2"/>
  <c r="C1127" i="2" s="1"/>
  <c r="G1126" i="2"/>
  <c r="B1126" i="2"/>
  <c r="A1126" i="2"/>
  <c r="G1125" i="2"/>
  <c r="B1125" i="2"/>
  <c r="A1125" i="2"/>
  <c r="C1125" i="2" s="1"/>
  <c r="G1124" i="2"/>
  <c r="B1124" i="2"/>
  <c r="A1124" i="2"/>
  <c r="G1123" i="2"/>
  <c r="B1123" i="2"/>
  <c r="A1123" i="2"/>
  <c r="C1123" i="2" s="1"/>
  <c r="G1122" i="2"/>
  <c r="B1122" i="2"/>
  <c r="A1122" i="2"/>
  <c r="G1121" i="2"/>
  <c r="B1121" i="2"/>
  <c r="A1121" i="2"/>
  <c r="C1121" i="2" s="1"/>
  <c r="G1120" i="2"/>
  <c r="B1120" i="2"/>
  <c r="A1120" i="2"/>
  <c r="G1119" i="2"/>
  <c r="B1119" i="2"/>
  <c r="A1119" i="2"/>
  <c r="C1119" i="2" s="1"/>
  <c r="G1118" i="2"/>
  <c r="B1118" i="2"/>
  <c r="A1118" i="2"/>
  <c r="G1117" i="2"/>
  <c r="B1117" i="2"/>
  <c r="A1117" i="2"/>
  <c r="C1117" i="2" s="1"/>
  <c r="G1116" i="2"/>
  <c r="B1116" i="2"/>
  <c r="A1116" i="2"/>
  <c r="G1115" i="2"/>
  <c r="B1115" i="2"/>
  <c r="A1115" i="2"/>
  <c r="C1115" i="2" s="1"/>
  <c r="G1114" i="2"/>
  <c r="B1114" i="2"/>
  <c r="A1114" i="2"/>
  <c r="G1113" i="2"/>
  <c r="B1113" i="2"/>
  <c r="A1113" i="2"/>
  <c r="C1113" i="2" s="1"/>
  <c r="G1112" i="2"/>
  <c r="B1112" i="2"/>
  <c r="A1112" i="2"/>
  <c r="G1111" i="2"/>
  <c r="B1111" i="2"/>
  <c r="A1111" i="2"/>
  <c r="C1111" i="2" s="1"/>
  <c r="G1110" i="2"/>
  <c r="B1110" i="2"/>
  <c r="A1110" i="2"/>
  <c r="G1109" i="2"/>
  <c r="B1109" i="2"/>
  <c r="A1109" i="2"/>
  <c r="C1109" i="2" s="1"/>
  <c r="G1108" i="2"/>
  <c r="B1108" i="2"/>
  <c r="A1108" i="2"/>
  <c r="G1107" i="2"/>
  <c r="B1107" i="2"/>
  <c r="A1107" i="2"/>
  <c r="C1107" i="2" s="1"/>
  <c r="G1106" i="2"/>
  <c r="B1106" i="2"/>
  <c r="A1106" i="2"/>
  <c r="G1105" i="2"/>
  <c r="B1105" i="2"/>
  <c r="A1105" i="2"/>
  <c r="C1105" i="2" s="1"/>
  <c r="G1104" i="2"/>
  <c r="B1104" i="2"/>
  <c r="A1104" i="2"/>
  <c r="G1103" i="2"/>
  <c r="B1103" i="2"/>
  <c r="A1103" i="2"/>
  <c r="C1103" i="2" s="1"/>
  <c r="G1102" i="2"/>
  <c r="B1102" i="2"/>
  <c r="A1102" i="2"/>
  <c r="G1101" i="2"/>
  <c r="B1101" i="2"/>
  <c r="A1101" i="2"/>
  <c r="C1101" i="2" s="1"/>
  <c r="G1100" i="2"/>
  <c r="B1100" i="2"/>
  <c r="A1100" i="2"/>
  <c r="G1099" i="2"/>
  <c r="B1099" i="2"/>
  <c r="A1099" i="2"/>
  <c r="C1099" i="2" s="1"/>
  <c r="G1098" i="2"/>
  <c r="B1098" i="2"/>
  <c r="A1098" i="2"/>
  <c r="G1097" i="2"/>
  <c r="B1097" i="2"/>
  <c r="A1097" i="2"/>
  <c r="C1097" i="2" s="1"/>
  <c r="G1096" i="2"/>
  <c r="B1096" i="2"/>
  <c r="A1096" i="2"/>
  <c r="G1095" i="2"/>
  <c r="B1095" i="2"/>
  <c r="A1095" i="2"/>
  <c r="C1095" i="2" s="1"/>
  <c r="G1094" i="2"/>
  <c r="B1094" i="2"/>
  <c r="A1094" i="2"/>
  <c r="G1093" i="2"/>
  <c r="B1093" i="2"/>
  <c r="A1093" i="2"/>
  <c r="C1093" i="2" s="1"/>
  <c r="G1092" i="2"/>
  <c r="B1092" i="2"/>
  <c r="A1092" i="2"/>
  <c r="G1091" i="2"/>
  <c r="B1091" i="2"/>
  <c r="A1091" i="2"/>
  <c r="C1091" i="2" s="1"/>
  <c r="G1090" i="2"/>
  <c r="B1090" i="2"/>
  <c r="A1090" i="2"/>
  <c r="G1089" i="2"/>
  <c r="B1089" i="2"/>
  <c r="A1089" i="2"/>
  <c r="C1089" i="2" s="1"/>
  <c r="G1088" i="2"/>
  <c r="B1088" i="2"/>
  <c r="A1088" i="2"/>
  <c r="G1087" i="2"/>
  <c r="B1087" i="2"/>
  <c r="A1087" i="2"/>
  <c r="C1087" i="2" s="1"/>
  <c r="G1086" i="2"/>
  <c r="B1086" i="2"/>
  <c r="A1086" i="2"/>
  <c r="G1085" i="2"/>
  <c r="B1085" i="2"/>
  <c r="A1085" i="2"/>
  <c r="C1085" i="2" s="1"/>
  <c r="G1084" i="2"/>
  <c r="B1084" i="2"/>
  <c r="A1084" i="2"/>
  <c r="G1083" i="2"/>
  <c r="B1083" i="2"/>
  <c r="A1083" i="2"/>
  <c r="C1083" i="2" s="1"/>
  <c r="G1082" i="2"/>
  <c r="B1082" i="2"/>
  <c r="A1082" i="2"/>
  <c r="G1081" i="2"/>
  <c r="B1081" i="2"/>
  <c r="A1081" i="2"/>
  <c r="C1081" i="2" s="1"/>
  <c r="G1080" i="2"/>
  <c r="B1080" i="2"/>
  <c r="A1080" i="2"/>
  <c r="G1079" i="2"/>
  <c r="B1079" i="2"/>
  <c r="A1079" i="2"/>
  <c r="C1079" i="2" s="1"/>
  <c r="G1078" i="2"/>
  <c r="B1078" i="2"/>
  <c r="A1078" i="2"/>
  <c r="G1077" i="2"/>
  <c r="B1077" i="2"/>
  <c r="A1077" i="2"/>
  <c r="C1077" i="2" s="1"/>
  <c r="G1076" i="2"/>
  <c r="B1076" i="2"/>
  <c r="A1076" i="2"/>
  <c r="G1075" i="2"/>
  <c r="B1075" i="2"/>
  <c r="A1075" i="2"/>
  <c r="C1075" i="2" s="1"/>
  <c r="G1074" i="2"/>
  <c r="B1074" i="2"/>
  <c r="A1074" i="2"/>
  <c r="G1073" i="2"/>
  <c r="B1073" i="2"/>
  <c r="A1073" i="2"/>
  <c r="C1073" i="2" s="1"/>
  <c r="G1072" i="2"/>
  <c r="B1072" i="2"/>
  <c r="A1072" i="2"/>
  <c r="G1071" i="2"/>
  <c r="B1071" i="2"/>
  <c r="A1071" i="2"/>
  <c r="C1071" i="2" s="1"/>
  <c r="G1070" i="2"/>
  <c r="B1070" i="2"/>
  <c r="A1070" i="2"/>
  <c r="G1069" i="2"/>
  <c r="B1069" i="2"/>
  <c r="A1069" i="2"/>
  <c r="C1069" i="2" s="1"/>
  <c r="G1068" i="2"/>
  <c r="B1068" i="2"/>
  <c r="A1068" i="2"/>
  <c r="G1067" i="2"/>
  <c r="B1067" i="2"/>
  <c r="A1067" i="2"/>
  <c r="C1067" i="2" s="1"/>
  <c r="G1066" i="2"/>
  <c r="B1066" i="2"/>
  <c r="A1066" i="2"/>
  <c r="G1065" i="2"/>
  <c r="B1065" i="2"/>
  <c r="A1065" i="2"/>
  <c r="C1065" i="2" s="1"/>
  <c r="G1064" i="2"/>
  <c r="B1064" i="2"/>
  <c r="A1064" i="2"/>
  <c r="G1063" i="2"/>
  <c r="B1063" i="2"/>
  <c r="A1063" i="2"/>
  <c r="C1063" i="2" s="1"/>
  <c r="G1062" i="2"/>
  <c r="B1062" i="2"/>
  <c r="A1062" i="2"/>
  <c r="G1061" i="2"/>
  <c r="B1061" i="2"/>
  <c r="A1061" i="2"/>
  <c r="C1061" i="2" s="1"/>
  <c r="G1060" i="2"/>
  <c r="B1060" i="2"/>
  <c r="A1060" i="2"/>
  <c r="G1059" i="2"/>
  <c r="B1059" i="2"/>
  <c r="A1059" i="2"/>
  <c r="C1059" i="2" s="1"/>
  <c r="G1058" i="2"/>
  <c r="B1058" i="2"/>
  <c r="A1058" i="2"/>
  <c r="G1057" i="2"/>
  <c r="B1057" i="2"/>
  <c r="A1057" i="2"/>
  <c r="C1057" i="2" s="1"/>
  <c r="G1056" i="2"/>
  <c r="B1056" i="2"/>
  <c r="A1056" i="2"/>
  <c r="G1055" i="2"/>
  <c r="B1055" i="2"/>
  <c r="A1055" i="2"/>
  <c r="C1055" i="2" s="1"/>
  <c r="G1054" i="2"/>
  <c r="B1054" i="2"/>
  <c r="A1054" i="2"/>
  <c r="G1053" i="2"/>
  <c r="B1053" i="2"/>
  <c r="A1053" i="2"/>
  <c r="C1053" i="2" s="1"/>
  <c r="G1052" i="2"/>
  <c r="B1052" i="2"/>
  <c r="A1052" i="2"/>
  <c r="G1051" i="2"/>
  <c r="B1051" i="2"/>
  <c r="A1051" i="2"/>
  <c r="C1051" i="2" s="1"/>
  <c r="G1050" i="2"/>
  <c r="B1050" i="2"/>
  <c r="A1050" i="2"/>
  <c r="G1049" i="2"/>
  <c r="B1049" i="2"/>
  <c r="A1049" i="2"/>
  <c r="C1049" i="2" s="1"/>
  <c r="G1048" i="2"/>
  <c r="B1048" i="2"/>
  <c r="A1048" i="2"/>
  <c r="G1047" i="2"/>
  <c r="B1047" i="2"/>
  <c r="A1047" i="2"/>
  <c r="C1047" i="2" s="1"/>
  <c r="G1046" i="2"/>
  <c r="B1046" i="2"/>
  <c r="A1046" i="2"/>
  <c r="G1045" i="2"/>
  <c r="B1045" i="2"/>
  <c r="A1045" i="2"/>
  <c r="C1045" i="2" s="1"/>
  <c r="G1044" i="2"/>
  <c r="B1044" i="2"/>
  <c r="A1044" i="2"/>
  <c r="G1043" i="2"/>
  <c r="B1043" i="2"/>
  <c r="A1043" i="2"/>
  <c r="C1043" i="2" s="1"/>
  <c r="G1042" i="2"/>
  <c r="B1042" i="2"/>
  <c r="A1042" i="2"/>
  <c r="G1041" i="2"/>
  <c r="B1041" i="2"/>
  <c r="A1041" i="2"/>
  <c r="C1041" i="2" s="1"/>
  <c r="G1040" i="2"/>
  <c r="B1040" i="2"/>
  <c r="A1040" i="2"/>
  <c r="G1039" i="2"/>
  <c r="B1039" i="2"/>
  <c r="A1039" i="2"/>
  <c r="C1039" i="2" s="1"/>
  <c r="G1038" i="2"/>
  <c r="B1038" i="2"/>
  <c r="A1038" i="2"/>
  <c r="G1037" i="2"/>
  <c r="B1037" i="2"/>
  <c r="A1037" i="2"/>
  <c r="C1037" i="2" s="1"/>
  <c r="G1036" i="2"/>
  <c r="B1036" i="2"/>
  <c r="A1036" i="2"/>
  <c r="G1035" i="2"/>
  <c r="B1035" i="2"/>
  <c r="A1035" i="2"/>
  <c r="C1035" i="2" s="1"/>
  <c r="G1034" i="2"/>
  <c r="B1034" i="2"/>
  <c r="A1034" i="2"/>
  <c r="G1033" i="2"/>
  <c r="B1033" i="2"/>
  <c r="A1033" i="2"/>
  <c r="C1033" i="2" s="1"/>
  <c r="G1032" i="2"/>
  <c r="B1032" i="2"/>
  <c r="A1032" i="2"/>
  <c r="G1031" i="2"/>
  <c r="B1031" i="2"/>
  <c r="A1031" i="2"/>
  <c r="C1031" i="2" s="1"/>
  <c r="G1030" i="2"/>
  <c r="B1030" i="2"/>
  <c r="A1030" i="2"/>
  <c r="G1029" i="2"/>
  <c r="B1029" i="2"/>
  <c r="A1029" i="2"/>
  <c r="C1029" i="2" s="1"/>
  <c r="G1028" i="2"/>
  <c r="B1028" i="2"/>
  <c r="A1028" i="2"/>
  <c r="G1027" i="2"/>
  <c r="B1027" i="2"/>
  <c r="A1027" i="2"/>
  <c r="C1027" i="2" s="1"/>
  <c r="G1026" i="2"/>
  <c r="B1026" i="2"/>
  <c r="A1026" i="2"/>
  <c r="G1025" i="2"/>
  <c r="B1025" i="2"/>
  <c r="A1025" i="2"/>
  <c r="C1025" i="2" s="1"/>
  <c r="G1024" i="2"/>
  <c r="B1024" i="2"/>
  <c r="A1024" i="2"/>
  <c r="G1023" i="2"/>
  <c r="B1023" i="2"/>
  <c r="A1023" i="2"/>
  <c r="C1023" i="2" s="1"/>
  <c r="G1022" i="2"/>
  <c r="B1022" i="2"/>
  <c r="A1022" i="2"/>
  <c r="G1021" i="2"/>
  <c r="B1021" i="2"/>
  <c r="A1021" i="2"/>
  <c r="C1021" i="2" s="1"/>
  <c r="G1020" i="2"/>
  <c r="B1020" i="2"/>
  <c r="A1020" i="2"/>
  <c r="G1019" i="2"/>
  <c r="B1019" i="2"/>
  <c r="A1019" i="2"/>
  <c r="C1019" i="2" s="1"/>
  <c r="G1018" i="2"/>
  <c r="B1018" i="2"/>
  <c r="A1018" i="2"/>
  <c r="G1017" i="2"/>
  <c r="B1017" i="2"/>
  <c r="A1017" i="2"/>
  <c r="C1017" i="2" s="1"/>
  <c r="G1016" i="2"/>
  <c r="B1016" i="2"/>
  <c r="A1016" i="2"/>
  <c r="G1015" i="2"/>
  <c r="B1015" i="2"/>
  <c r="A1015" i="2"/>
  <c r="C1015" i="2" s="1"/>
  <c r="G1014" i="2"/>
  <c r="B1014" i="2"/>
  <c r="A1014" i="2"/>
  <c r="G1013" i="2"/>
  <c r="B1013" i="2"/>
  <c r="A1013" i="2"/>
  <c r="C1013" i="2" s="1"/>
  <c r="G1012" i="2"/>
  <c r="B1012" i="2"/>
  <c r="A1012" i="2"/>
  <c r="G1011" i="2"/>
  <c r="B1011" i="2"/>
  <c r="A1011" i="2"/>
  <c r="C1011" i="2" s="1"/>
  <c r="G1010" i="2"/>
  <c r="B1010" i="2"/>
  <c r="A1010" i="2"/>
  <c r="G1009" i="2"/>
  <c r="B1009" i="2"/>
  <c r="A1009" i="2"/>
  <c r="C1009" i="2" s="1"/>
  <c r="G1008" i="2"/>
  <c r="B1008" i="2"/>
  <c r="A1008" i="2"/>
  <c r="G1007" i="2"/>
  <c r="B1007" i="2"/>
  <c r="A1007" i="2"/>
  <c r="C1007" i="2" s="1"/>
  <c r="G1006" i="2"/>
  <c r="B1006" i="2"/>
  <c r="A1006" i="2"/>
  <c r="G1005" i="2"/>
  <c r="B1005" i="2"/>
  <c r="A1005" i="2"/>
  <c r="C1005" i="2" s="1"/>
  <c r="G1004" i="2"/>
  <c r="B1004" i="2"/>
  <c r="A1004" i="2"/>
  <c r="G1003" i="2"/>
  <c r="B1003" i="2"/>
  <c r="A1003" i="2"/>
  <c r="C1003" i="2" s="1"/>
  <c r="G1002" i="2"/>
  <c r="B1002" i="2"/>
  <c r="A1002" i="2"/>
  <c r="G1001" i="2"/>
  <c r="B1001" i="2"/>
  <c r="A1001" i="2"/>
  <c r="C1001" i="2" s="1"/>
  <c r="G1000" i="2"/>
  <c r="B1000" i="2"/>
  <c r="A1000" i="2"/>
  <c r="G999" i="2"/>
  <c r="B999" i="2"/>
  <c r="A999" i="2"/>
  <c r="C999" i="2" s="1"/>
  <c r="G998" i="2"/>
  <c r="B998" i="2"/>
  <c r="A998" i="2"/>
  <c r="G997" i="2"/>
  <c r="B997" i="2"/>
  <c r="A997" i="2"/>
  <c r="C997" i="2" s="1"/>
  <c r="G996" i="2"/>
  <c r="B996" i="2"/>
  <c r="A996" i="2"/>
  <c r="G995" i="2"/>
  <c r="B995" i="2"/>
  <c r="A995" i="2"/>
  <c r="C995" i="2" s="1"/>
  <c r="G994" i="2"/>
  <c r="B994" i="2"/>
  <c r="A994" i="2"/>
  <c r="G993" i="2"/>
  <c r="B993" i="2"/>
  <c r="A993" i="2"/>
  <c r="C993" i="2" s="1"/>
  <c r="E992" i="2"/>
  <c r="G992" i="2" s="1"/>
  <c r="B992" i="2"/>
  <c r="A992" i="2"/>
  <c r="C992" i="2"/>
  <c r="G991" i="2"/>
  <c r="B991" i="2"/>
  <c r="A991" i="2"/>
  <c r="C991" i="2"/>
  <c r="G990" i="2"/>
  <c r="B990" i="2"/>
  <c r="A990" i="2"/>
  <c r="C990" i="2"/>
  <c r="G989" i="2"/>
  <c r="B989" i="2"/>
  <c r="A989" i="2"/>
  <c r="C989" i="2"/>
  <c r="G988" i="2"/>
  <c r="B988" i="2"/>
  <c r="A988" i="2"/>
  <c r="C988" i="2"/>
  <c r="G987" i="2"/>
  <c r="B987" i="2"/>
  <c r="A987" i="2"/>
  <c r="C987" i="2"/>
  <c r="G986" i="2"/>
  <c r="B986" i="2"/>
  <c r="A986" i="2"/>
  <c r="C986" i="2"/>
  <c r="G985" i="2"/>
  <c r="B985" i="2"/>
  <c r="A985" i="2"/>
  <c r="C985" i="2"/>
  <c r="G984" i="2"/>
  <c r="B984" i="2"/>
  <c r="A984" i="2"/>
  <c r="C984" i="2"/>
  <c r="G983" i="2"/>
  <c r="B983" i="2"/>
  <c r="A983" i="2"/>
  <c r="C983" i="2"/>
  <c r="G982" i="2"/>
  <c r="B982" i="2"/>
  <c r="A982" i="2"/>
  <c r="C982" i="2"/>
  <c r="G981" i="2"/>
  <c r="B981" i="2"/>
  <c r="A981" i="2"/>
  <c r="C981" i="2"/>
  <c r="G980" i="2"/>
  <c r="B980" i="2"/>
  <c r="A980" i="2"/>
  <c r="C980" i="2"/>
  <c r="G979" i="2"/>
  <c r="B979" i="2"/>
  <c r="A979" i="2"/>
  <c r="C979" i="2"/>
  <c r="G978" i="2"/>
  <c r="B978" i="2"/>
  <c r="A978" i="2"/>
  <c r="C978" i="2"/>
  <c r="G977" i="2"/>
  <c r="B977" i="2"/>
  <c r="A977" i="2"/>
  <c r="C977" i="2"/>
  <c r="G976" i="2"/>
  <c r="B976" i="2"/>
  <c r="A976" i="2"/>
  <c r="C976" i="2"/>
  <c r="G975" i="2"/>
  <c r="B975" i="2"/>
  <c r="A975" i="2"/>
  <c r="C975" i="2"/>
  <c r="G974" i="2"/>
  <c r="B974" i="2"/>
  <c r="A974" i="2"/>
  <c r="C974" i="2"/>
  <c r="G973" i="2"/>
  <c r="B973" i="2"/>
  <c r="A973" i="2"/>
  <c r="C973" i="2"/>
  <c r="G972" i="2"/>
  <c r="B972" i="2"/>
  <c r="A972" i="2"/>
  <c r="C972" i="2"/>
  <c r="G971" i="2"/>
  <c r="B971" i="2"/>
  <c r="A971" i="2"/>
  <c r="C971" i="2"/>
  <c r="G970" i="2"/>
  <c r="B970" i="2"/>
  <c r="A970" i="2"/>
  <c r="C970" i="2"/>
  <c r="G969" i="2"/>
  <c r="B969" i="2"/>
  <c r="A969" i="2"/>
  <c r="C969" i="2"/>
  <c r="G968" i="2"/>
  <c r="B968" i="2"/>
  <c r="A968" i="2"/>
  <c r="C968" i="2"/>
  <c r="E967" i="2"/>
  <c r="G967" i="2"/>
  <c r="B967" i="2"/>
  <c r="A967" i="2"/>
  <c r="C967" i="2" s="1"/>
  <c r="G966" i="2"/>
  <c r="B966" i="2"/>
  <c r="A966" i="2"/>
  <c r="G965" i="2"/>
  <c r="B965" i="2"/>
  <c r="A965" i="2"/>
  <c r="C965" i="2" s="1"/>
  <c r="G964" i="2"/>
  <c r="B964" i="2"/>
  <c r="A964" i="2"/>
  <c r="F963" i="2"/>
  <c r="G963" i="2" s="1"/>
  <c r="B963" i="2"/>
  <c r="A963" i="2"/>
  <c r="C963" i="2" s="1"/>
  <c r="G962" i="2"/>
  <c r="B962" i="2"/>
  <c r="A962" i="2"/>
  <c r="C962" i="2" s="1"/>
  <c r="F961" i="2"/>
  <c r="G961" i="2" s="1"/>
  <c r="B961" i="2"/>
  <c r="A961" i="2"/>
  <c r="H960" i="2"/>
  <c r="E960" i="2" s="1"/>
  <c r="G960" i="2" s="1"/>
  <c r="B960" i="2"/>
  <c r="A960" i="2"/>
  <c r="C960" i="2" s="1"/>
  <c r="F959" i="2"/>
  <c r="G959" i="2" s="1"/>
  <c r="B959" i="2"/>
  <c r="A959" i="2"/>
  <c r="C959" i="2"/>
  <c r="E958" i="2"/>
  <c r="G958" i="2"/>
  <c r="B958" i="2"/>
  <c r="A958" i="2"/>
  <c r="C958" i="2" s="1"/>
  <c r="G957" i="2"/>
  <c r="B957" i="2"/>
  <c r="A957" i="2"/>
  <c r="F956" i="2"/>
  <c r="G956" i="2" s="1"/>
  <c r="B956" i="2"/>
  <c r="A956" i="2"/>
  <c r="C956" i="2" s="1"/>
  <c r="E955" i="2"/>
  <c r="G955" i="2" s="1"/>
  <c r="B955" i="2"/>
  <c r="A955" i="2"/>
  <c r="G954" i="2"/>
  <c r="B954" i="2"/>
  <c r="A954" i="2"/>
  <c r="C954" i="2" s="1"/>
  <c r="G953" i="2"/>
  <c r="B953" i="2"/>
  <c r="A953" i="2"/>
  <c r="G952" i="2"/>
  <c r="B952" i="2"/>
  <c r="A952" i="2"/>
  <c r="C952" i="2" s="1"/>
  <c r="F951" i="2"/>
  <c r="G951" i="2" s="1"/>
  <c r="B951" i="2"/>
  <c r="A951" i="2"/>
  <c r="C951" i="2"/>
  <c r="F950" i="2"/>
  <c r="G950" i="2"/>
  <c r="B950" i="2"/>
  <c r="A950" i="2"/>
  <c r="C950" i="2" s="1"/>
  <c r="F949" i="2"/>
  <c r="G949" i="2" s="1"/>
  <c r="B949" i="2"/>
  <c r="A949" i="2"/>
  <c r="C949" i="2"/>
  <c r="F948" i="2"/>
  <c r="G948" i="2"/>
  <c r="B948" i="2"/>
  <c r="A948" i="2"/>
  <c r="C948" i="2" s="1"/>
  <c r="F947" i="2"/>
  <c r="G947" i="2" s="1"/>
  <c r="B947" i="2"/>
  <c r="A947" i="2"/>
  <c r="C947" i="2"/>
  <c r="F946" i="2"/>
  <c r="G946" i="2"/>
  <c r="B946" i="2"/>
  <c r="A946" i="2"/>
  <c r="C946" i="2" s="1"/>
  <c r="G945" i="2"/>
  <c r="B945" i="2"/>
  <c r="A945" i="2"/>
  <c r="F944" i="2"/>
  <c r="G944" i="2" s="1"/>
  <c r="B944" i="2"/>
  <c r="A944" i="2"/>
  <c r="C944" i="2" s="1"/>
  <c r="G943" i="2"/>
  <c r="B943" i="2"/>
  <c r="A943" i="2"/>
  <c r="C943" i="2" s="1"/>
  <c r="G942" i="2"/>
  <c r="B942" i="2"/>
  <c r="A942" i="2"/>
  <c r="C942" i="2" s="1"/>
  <c r="G941" i="2"/>
  <c r="B941" i="2"/>
  <c r="A941" i="2"/>
  <c r="C941" i="2" s="1"/>
  <c r="G940" i="2"/>
  <c r="B940" i="2"/>
  <c r="A940" i="2"/>
  <c r="C940" i="2" s="1"/>
  <c r="G939" i="2"/>
  <c r="B939" i="2"/>
  <c r="A939" i="2"/>
  <c r="C939" i="2" s="1"/>
  <c r="G938" i="2"/>
  <c r="B938" i="2"/>
  <c r="A938" i="2"/>
  <c r="C938" i="2" s="1"/>
  <c r="G937" i="2"/>
  <c r="B937" i="2"/>
  <c r="A937" i="2"/>
  <c r="C937" i="2" s="1"/>
  <c r="G936" i="2"/>
  <c r="B936" i="2"/>
  <c r="A936" i="2"/>
  <c r="C936" i="2" s="1"/>
  <c r="G935" i="2"/>
  <c r="B935" i="2"/>
  <c r="A935" i="2"/>
  <c r="C935" i="2" s="1"/>
  <c r="G934" i="2"/>
  <c r="B934" i="2"/>
  <c r="A934" i="2"/>
  <c r="C934" i="2" s="1"/>
  <c r="G933" i="2"/>
  <c r="B933" i="2"/>
  <c r="A933" i="2"/>
  <c r="C933" i="2" s="1"/>
  <c r="G932" i="2"/>
  <c r="B932" i="2"/>
  <c r="A932" i="2"/>
  <c r="C932" i="2" s="1"/>
  <c r="G931" i="2"/>
  <c r="B931" i="2"/>
  <c r="A931" i="2"/>
  <c r="C931" i="2" s="1"/>
  <c r="G930" i="2"/>
  <c r="B930" i="2"/>
  <c r="A930" i="2"/>
  <c r="C930" i="2" s="1"/>
  <c r="G929" i="2"/>
  <c r="B929" i="2"/>
  <c r="A929" i="2"/>
  <c r="C929" i="2" s="1"/>
  <c r="G928" i="2"/>
  <c r="B928" i="2"/>
  <c r="A928" i="2"/>
  <c r="C928" i="2" s="1"/>
  <c r="G927" i="2"/>
  <c r="B927" i="2"/>
  <c r="A927" i="2"/>
  <c r="C927" i="2" s="1"/>
  <c r="G926" i="2"/>
  <c r="B926" i="2"/>
  <c r="A926" i="2"/>
  <c r="C926" i="2" s="1"/>
  <c r="G925" i="2"/>
  <c r="B925" i="2"/>
  <c r="A925" i="2"/>
  <c r="C925" i="2" s="1"/>
  <c r="G924" i="2"/>
  <c r="B924" i="2"/>
  <c r="A924" i="2"/>
  <c r="C924" i="2" s="1"/>
  <c r="G923" i="2"/>
  <c r="B923" i="2"/>
  <c r="A923" i="2"/>
  <c r="C923" i="2" s="1"/>
  <c r="G922" i="2"/>
  <c r="B922" i="2"/>
  <c r="A922" i="2"/>
  <c r="C922" i="2" s="1"/>
  <c r="G921" i="2"/>
  <c r="B921" i="2"/>
  <c r="A921" i="2"/>
  <c r="C921" i="2" s="1"/>
  <c r="G920" i="2"/>
  <c r="B920" i="2"/>
  <c r="A920" i="2"/>
  <c r="C920" i="2" s="1"/>
  <c r="G919" i="2"/>
  <c r="B919" i="2"/>
  <c r="A919" i="2"/>
  <c r="C919" i="2" s="1"/>
  <c r="G918" i="2"/>
  <c r="B918" i="2"/>
  <c r="A918" i="2"/>
  <c r="C918" i="2"/>
  <c r="G917" i="2"/>
  <c r="B917" i="2"/>
  <c r="A917" i="2"/>
  <c r="C917" i="2"/>
  <c r="G916" i="2"/>
  <c r="B916" i="2"/>
  <c r="A916" i="2"/>
  <c r="C916" i="2"/>
  <c r="G915" i="2"/>
  <c r="B915" i="2"/>
  <c r="A915" i="2"/>
  <c r="C915" i="2"/>
  <c r="G914" i="2"/>
  <c r="B914" i="2"/>
  <c r="A914" i="2"/>
  <c r="C914" i="2"/>
  <c r="G913" i="2"/>
  <c r="B913" i="2"/>
  <c r="A913" i="2"/>
  <c r="C913" i="2"/>
  <c r="G912" i="2"/>
  <c r="B912" i="2"/>
  <c r="A912" i="2"/>
  <c r="C912" i="2"/>
  <c r="G911" i="2"/>
  <c r="B911" i="2"/>
  <c r="A911" i="2"/>
  <c r="C911" i="2"/>
  <c r="G910" i="2"/>
  <c r="B910" i="2"/>
  <c r="A910" i="2"/>
  <c r="C910" i="2"/>
  <c r="G909" i="2"/>
  <c r="B909" i="2"/>
  <c r="A909" i="2"/>
  <c r="C909" i="2"/>
  <c r="G908" i="2"/>
  <c r="B908" i="2"/>
  <c r="A908" i="2"/>
  <c r="C908" i="2"/>
  <c r="G907" i="2"/>
  <c r="B907" i="2"/>
  <c r="A907" i="2"/>
  <c r="C907" i="2"/>
  <c r="G906" i="2"/>
  <c r="B906" i="2"/>
  <c r="A906" i="2"/>
  <c r="C906" i="2"/>
  <c r="G905" i="2"/>
  <c r="B905" i="2"/>
  <c r="A905" i="2"/>
  <c r="C905" i="2"/>
  <c r="G904" i="2"/>
  <c r="B904" i="2"/>
  <c r="A904" i="2"/>
  <c r="C904" i="2"/>
  <c r="G903" i="2"/>
  <c r="B903" i="2"/>
  <c r="A903" i="2"/>
  <c r="C903" i="2"/>
  <c r="G902" i="2"/>
  <c r="B902" i="2"/>
  <c r="A902" i="2"/>
  <c r="C902" i="2"/>
  <c r="G901" i="2"/>
  <c r="B901" i="2"/>
  <c r="A901" i="2"/>
  <c r="C901" i="2"/>
  <c r="G900" i="2"/>
  <c r="B900" i="2"/>
  <c r="A900" i="2"/>
  <c r="C900" i="2"/>
  <c r="G899" i="2"/>
  <c r="B899" i="2"/>
  <c r="A899" i="2"/>
  <c r="C899" i="2"/>
  <c r="G898" i="2"/>
  <c r="B898" i="2"/>
  <c r="A898" i="2"/>
  <c r="C898" i="2"/>
  <c r="G897" i="2"/>
  <c r="B897" i="2"/>
  <c r="A897" i="2"/>
  <c r="C897" i="2"/>
  <c r="G896" i="2"/>
  <c r="B896" i="2"/>
  <c r="A896" i="2"/>
  <c r="C896" i="2"/>
  <c r="G895" i="2"/>
  <c r="B895" i="2"/>
  <c r="A895" i="2"/>
  <c r="C895" i="2"/>
  <c r="G894" i="2"/>
  <c r="B894" i="2"/>
  <c r="A894" i="2"/>
  <c r="C894" i="2"/>
  <c r="G893" i="2"/>
  <c r="B893" i="2"/>
  <c r="A893" i="2"/>
  <c r="C893" i="2"/>
  <c r="G892" i="2"/>
  <c r="B892" i="2"/>
  <c r="A892" i="2"/>
  <c r="C892" i="2"/>
  <c r="G891" i="2"/>
  <c r="B891" i="2"/>
  <c r="A891" i="2"/>
  <c r="C891" i="2"/>
  <c r="G890" i="2"/>
  <c r="B890" i="2"/>
  <c r="A890" i="2"/>
  <c r="C890" i="2"/>
  <c r="G889" i="2"/>
  <c r="B889" i="2"/>
  <c r="A889" i="2"/>
  <c r="C889" i="2"/>
  <c r="G888" i="2"/>
  <c r="B888" i="2"/>
  <c r="A888" i="2"/>
  <c r="C888" i="2"/>
  <c r="G887" i="2"/>
  <c r="B887" i="2"/>
  <c r="A887" i="2"/>
  <c r="C887" i="2"/>
  <c r="G886" i="2"/>
  <c r="B886" i="2"/>
  <c r="A886" i="2"/>
  <c r="C886" i="2"/>
  <c r="G885" i="2"/>
  <c r="B885" i="2"/>
  <c r="A885" i="2"/>
  <c r="C885" i="2"/>
  <c r="G884" i="2"/>
  <c r="B884" i="2"/>
  <c r="A884" i="2"/>
  <c r="C884" i="2"/>
  <c r="G883" i="2"/>
  <c r="B883" i="2"/>
  <c r="A883" i="2"/>
  <c r="C883" i="2"/>
  <c r="G882" i="2"/>
  <c r="B882" i="2"/>
  <c r="A882" i="2"/>
  <c r="C882" i="2"/>
  <c r="G881" i="2"/>
  <c r="B881" i="2"/>
  <c r="A881" i="2"/>
  <c r="C881" i="2"/>
  <c r="G880" i="2"/>
  <c r="B880" i="2"/>
  <c r="A880" i="2"/>
  <c r="C880" i="2"/>
  <c r="G879" i="2"/>
  <c r="B879" i="2"/>
  <c r="A879" i="2"/>
  <c r="C879" i="2"/>
  <c r="G878" i="2"/>
  <c r="B878" i="2"/>
  <c r="A878" i="2"/>
  <c r="C878" i="2"/>
  <c r="G877" i="2"/>
  <c r="B877" i="2"/>
  <c r="A877" i="2"/>
  <c r="C877" i="2"/>
  <c r="G876" i="2"/>
  <c r="B876" i="2"/>
  <c r="A876" i="2"/>
  <c r="C876" i="2"/>
  <c r="G875" i="2"/>
  <c r="B875" i="2"/>
  <c r="A875" i="2"/>
  <c r="C875" i="2"/>
  <c r="G874" i="2"/>
  <c r="B874" i="2"/>
  <c r="A874" i="2"/>
  <c r="C874" i="2"/>
  <c r="G873" i="2"/>
  <c r="B873" i="2"/>
  <c r="A873" i="2"/>
  <c r="C873" i="2"/>
  <c r="G872" i="2"/>
  <c r="B872" i="2"/>
  <c r="A872" i="2"/>
  <c r="C872" i="2"/>
  <c r="G871" i="2"/>
  <c r="B871" i="2"/>
  <c r="A871" i="2"/>
  <c r="C871" i="2"/>
  <c r="G870" i="2"/>
  <c r="B870" i="2"/>
  <c r="A870" i="2"/>
  <c r="C870" i="2"/>
  <c r="G869" i="2"/>
  <c r="B869" i="2"/>
  <c r="A869" i="2"/>
  <c r="C869" i="2"/>
  <c r="G868" i="2"/>
  <c r="B868" i="2"/>
  <c r="A868" i="2"/>
  <c r="C868" i="2"/>
  <c r="G867" i="2"/>
  <c r="B867" i="2"/>
  <c r="A867" i="2"/>
  <c r="C867" i="2"/>
  <c r="G866" i="2"/>
  <c r="B866" i="2"/>
  <c r="A866" i="2"/>
  <c r="C866" i="2"/>
  <c r="G865" i="2"/>
  <c r="B865" i="2"/>
  <c r="A865" i="2"/>
  <c r="C865" i="2"/>
  <c r="G864" i="2"/>
  <c r="B864" i="2"/>
  <c r="A864" i="2"/>
  <c r="C864" i="2"/>
  <c r="G863" i="2"/>
  <c r="B863" i="2"/>
  <c r="A863" i="2"/>
  <c r="C863" i="2"/>
  <c r="G862" i="2"/>
  <c r="B862" i="2"/>
  <c r="A862" i="2"/>
  <c r="C862" i="2"/>
  <c r="G861" i="2"/>
  <c r="B861" i="2"/>
  <c r="A861" i="2"/>
  <c r="C861" i="2"/>
  <c r="G860" i="2"/>
  <c r="B860" i="2"/>
  <c r="A860" i="2"/>
  <c r="C860" i="2"/>
  <c r="G859" i="2"/>
  <c r="B859" i="2"/>
  <c r="A859" i="2"/>
  <c r="C859" i="2"/>
  <c r="G858" i="2"/>
  <c r="B858" i="2"/>
  <c r="A858" i="2"/>
  <c r="C858" i="2"/>
  <c r="G857" i="2"/>
  <c r="B857" i="2"/>
  <c r="A857" i="2"/>
  <c r="C857" i="2"/>
  <c r="G856" i="2"/>
  <c r="B856" i="2"/>
  <c r="A856" i="2"/>
  <c r="C856" i="2"/>
  <c r="G855" i="2"/>
  <c r="B855" i="2"/>
  <c r="A855" i="2"/>
  <c r="C855" i="2"/>
  <c r="G854" i="2"/>
  <c r="B854" i="2"/>
  <c r="A854" i="2"/>
  <c r="C854" i="2"/>
  <c r="G853" i="2"/>
  <c r="B853" i="2"/>
  <c r="A853" i="2"/>
  <c r="C853" i="2"/>
  <c r="G852" i="2"/>
  <c r="B852" i="2"/>
  <c r="A852" i="2"/>
  <c r="C852" i="2"/>
  <c r="G851" i="2"/>
  <c r="B851" i="2"/>
  <c r="A851" i="2"/>
  <c r="C851" i="2"/>
  <c r="G850" i="2"/>
  <c r="B850" i="2"/>
  <c r="A850" i="2"/>
  <c r="C850" i="2"/>
  <c r="G849" i="2"/>
  <c r="B849" i="2"/>
  <c r="A849" i="2"/>
  <c r="C849" i="2"/>
  <c r="G848" i="2"/>
  <c r="B848" i="2"/>
  <c r="A848" i="2"/>
  <c r="C848" i="2"/>
  <c r="G847" i="2"/>
  <c r="B847" i="2"/>
  <c r="A847" i="2"/>
  <c r="C847" i="2"/>
  <c r="G846" i="2"/>
  <c r="B846" i="2"/>
  <c r="A846" i="2"/>
  <c r="C846" i="2"/>
  <c r="G845" i="2"/>
  <c r="B845" i="2"/>
  <c r="A845" i="2"/>
  <c r="C845" i="2"/>
  <c r="G844" i="2"/>
  <c r="B844" i="2"/>
  <c r="A844" i="2"/>
  <c r="C844" i="2"/>
  <c r="G843" i="2"/>
  <c r="B843" i="2"/>
  <c r="A843" i="2"/>
  <c r="C843" i="2"/>
  <c r="G842" i="2"/>
  <c r="B842" i="2"/>
  <c r="A842" i="2"/>
  <c r="C842" i="2"/>
  <c r="G841" i="2"/>
  <c r="B841" i="2"/>
  <c r="A841" i="2"/>
  <c r="C841" i="2"/>
  <c r="G840" i="2"/>
  <c r="B840" i="2"/>
  <c r="A840" i="2"/>
  <c r="C840" i="2"/>
  <c r="G839" i="2"/>
  <c r="B839" i="2"/>
  <c r="A839" i="2"/>
  <c r="C839" i="2"/>
  <c r="G838" i="2"/>
  <c r="B838" i="2"/>
  <c r="A838" i="2"/>
  <c r="C838" i="2"/>
  <c r="G837" i="2"/>
  <c r="B837" i="2"/>
  <c r="A837" i="2"/>
  <c r="C837" i="2"/>
  <c r="G836" i="2"/>
  <c r="B836" i="2"/>
  <c r="A836" i="2"/>
  <c r="C836" i="2"/>
  <c r="G835" i="2"/>
  <c r="B835" i="2"/>
  <c r="A835" i="2"/>
  <c r="C835" i="2"/>
  <c r="G834" i="2"/>
  <c r="B834" i="2"/>
  <c r="A834" i="2"/>
  <c r="C834" i="2"/>
  <c r="G833" i="2"/>
  <c r="B833" i="2"/>
  <c r="A833" i="2"/>
  <c r="C833" i="2"/>
  <c r="G832" i="2"/>
  <c r="B832" i="2"/>
  <c r="A832" i="2"/>
  <c r="C832" i="2"/>
  <c r="G831" i="2"/>
  <c r="B831" i="2"/>
  <c r="A831" i="2"/>
  <c r="C831" i="2"/>
  <c r="G830" i="2"/>
  <c r="B830" i="2"/>
  <c r="A830" i="2"/>
  <c r="C830" i="2"/>
  <c r="G829" i="2"/>
  <c r="B829" i="2"/>
  <c r="A829" i="2"/>
  <c r="C829" i="2"/>
  <c r="G828" i="2"/>
  <c r="B828" i="2"/>
  <c r="A828" i="2"/>
  <c r="C828" i="2"/>
  <c r="G827" i="2"/>
  <c r="B827" i="2"/>
  <c r="A827" i="2"/>
  <c r="C827" i="2"/>
  <c r="G826" i="2"/>
  <c r="B826" i="2"/>
  <c r="A826" i="2"/>
  <c r="C826" i="2"/>
  <c r="G825" i="2"/>
  <c r="B825" i="2"/>
  <c r="A825" i="2"/>
  <c r="C825" i="2"/>
  <c r="G824" i="2"/>
  <c r="B824" i="2"/>
  <c r="A824" i="2"/>
  <c r="C824" i="2"/>
  <c r="G823" i="2"/>
  <c r="B823" i="2"/>
  <c r="A823" i="2"/>
  <c r="C823" i="2"/>
  <c r="G822" i="2"/>
  <c r="B822" i="2"/>
  <c r="A822" i="2"/>
  <c r="C822" i="2"/>
  <c r="G821" i="2"/>
  <c r="J2030" i="2"/>
  <c r="B821" i="2"/>
  <c r="A821" i="2"/>
  <c r="C821" i="2" s="1"/>
  <c r="G820" i="2"/>
  <c r="B820" i="2"/>
  <c r="A820" i="2"/>
  <c r="G819" i="2"/>
  <c r="B819" i="2"/>
  <c r="A819" i="2"/>
  <c r="C819" i="2" s="1"/>
  <c r="G818" i="2"/>
  <c r="B818" i="2"/>
  <c r="A818" i="2"/>
  <c r="G817" i="2"/>
  <c r="B817" i="2"/>
  <c r="A817" i="2"/>
  <c r="C817" i="2" s="1"/>
  <c r="G816" i="2"/>
  <c r="B816" i="2"/>
  <c r="A816" i="2"/>
  <c r="G815" i="2"/>
  <c r="B815" i="2"/>
  <c r="A815" i="2"/>
  <c r="C815" i="2" s="1"/>
  <c r="G814" i="2"/>
  <c r="B814" i="2"/>
  <c r="A814" i="2"/>
  <c r="G813" i="2"/>
  <c r="B813" i="2"/>
  <c r="A813" i="2"/>
  <c r="C813" i="2" s="1"/>
  <c r="G812" i="2"/>
  <c r="B812" i="2"/>
  <c r="A812" i="2"/>
  <c r="G811" i="2"/>
  <c r="B811" i="2"/>
  <c r="A811" i="2"/>
  <c r="C811" i="2" s="1"/>
  <c r="G810" i="2"/>
  <c r="B810" i="2"/>
  <c r="A810" i="2"/>
  <c r="G809" i="2"/>
  <c r="B809" i="2"/>
  <c r="A809" i="2"/>
  <c r="C809" i="2" s="1"/>
  <c r="G808" i="2"/>
  <c r="B808" i="2"/>
  <c r="A808" i="2"/>
  <c r="G807" i="2"/>
  <c r="B807" i="2"/>
  <c r="A807" i="2"/>
  <c r="C807" i="2" s="1"/>
  <c r="G806" i="2"/>
  <c r="B806" i="2"/>
  <c r="A806" i="2"/>
  <c r="G805" i="2"/>
  <c r="B805" i="2"/>
  <c r="A805" i="2"/>
  <c r="C805" i="2" s="1"/>
  <c r="G804" i="2"/>
  <c r="B804" i="2"/>
  <c r="A804" i="2"/>
  <c r="G803" i="2"/>
  <c r="B803" i="2"/>
  <c r="A803" i="2"/>
  <c r="C803" i="2" s="1"/>
  <c r="G802" i="2"/>
  <c r="B802" i="2"/>
  <c r="A802" i="2"/>
  <c r="G801" i="2"/>
  <c r="B801" i="2"/>
  <c r="A801" i="2"/>
  <c r="C801" i="2" s="1"/>
  <c r="G800" i="2"/>
  <c r="B800" i="2"/>
  <c r="A800" i="2"/>
  <c r="G799" i="2"/>
  <c r="B799" i="2"/>
  <c r="A799" i="2"/>
  <c r="C799" i="2" s="1"/>
  <c r="G798" i="2"/>
  <c r="B798" i="2"/>
  <c r="A798" i="2"/>
  <c r="G797" i="2"/>
  <c r="B797" i="2"/>
  <c r="A797" i="2"/>
  <c r="C797" i="2" s="1"/>
  <c r="G796" i="2"/>
  <c r="B796" i="2"/>
  <c r="A796" i="2"/>
  <c r="G795" i="2"/>
  <c r="B795" i="2"/>
  <c r="A795" i="2"/>
  <c r="C795" i="2" s="1"/>
  <c r="G794" i="2"/>
  <c r="B794" i="2"/>
  <c r="A794" i="2"/>
  <c r="G793" i="2"/>
  <c r="B793" i="2"/>
  <c r="A793" i="2"/>
  <c r="C793" i="2" s="1"/>
  <c r="G792" i="2"/>
  <c r="B792" i="2"/>
  <c r="A792" i="2"/>
  <c r="G791" i="2"/>
  <c r="B791" i="2"/>
  <c r="A791" i="2"/>
  <c r="C791" i="2" s="1"/>
  <c r="G790" i="2"/>
  <c r="B790" i="2"/>
  <c r="A790" i="2"/>
  <c r="G789" i="2"/>
  <c r="B789" i="2"/>
  <c r="A789" i="2"/>
  <c r="C789" i="2" s="1"/>
  <c r="G788" i="2"/>
  <c r="B788" i="2"/>
  <c r="A788" i="2"/>
  <c r="G787" i="2"/>
  <c r="B787" i="2"/>
  <c r="A787" i="2"/>
  <c r="C787" i="2" s="1"/>
  <c r="G786" i="2"/>
  <c r="B786" i="2"/>
  <c r="A786" i="2"/>
  <c r="G785" i="2"/>
  <c r="B785" i="2"/>
  <c r="A785" i="2"/>
  <c r="C785" i="2" s="1"/>
  <c r="G784" i="2"/>
  <c r="B784" i="2"/>
  <c r="A784" i="2"/>
  <c r="G783" i="2"/>
  <c r="B783" i="2"/>
  <c r="A783" i="2"/>
  <c r="C783" i="2" s="1"/>
  <c r="G782" i="2"/>
  <c r="B782" i="2"/>
  <c r="A782" i="2"/>
  <c r="G781" i="2"/>
  <c r="B781" i="2"/>
  <c r="A781" i="2"/>
  <c r="C781" i="2" s="1"/>
  <c r="G780" i="2"/>
  <c r="B780" i="2"/>
  <c r="A780" i="2"/>
  <c r="G779" i="2"/>
  <c r="B779" i="2"/>
  <c r="A779" i="2"/>
  <c r="C779" i="2" s="1"/>
  <c r="G778" i="2"/>
  <c r="B778" i="2"/>
  <c r="A778" i="2"/>
  <c r="G777" i="2"/>
  <c r="B777" i="2"/>
  <c r="A777" i="2"/>
  <c r="C777" i="2" s="1"/>
  <c r="G776" i="2"/>
  <c r="B776" i="2"/>
  <c r="A776" i="2"/>
  <c r="G775" i="2"/>
  <c r="B775" i="2"/>
  <c r="A775" i="2"/>
  <c r="C775" i="2" s="1"/>
  <c r="G774" i="2"/>
  <c r="B774" i="2"/>
  <c r="A774" i="2"/>
  <c r="G773" i="2"/>
  <c r="B773" i="2"/>
  <c r="A773" i="2"/>
  <c r="C773" i="2" s="1"/>
  <c r="G772" i="2"/>
  <c r="B772" i="2"/>
  <c r="A772" i="2"/>
  <c r="G771" i="2"/>
  <c r="B771" i="2"/>
  <c r="A771" i="2"/>
  <c r="C771" i="2" s="1"/>
  <c r="G770" i="2"/>
  <c r="B770" i="2"/>
  <c r="A770" i="2"/>
  <c r="G769" i="2"/>
  <c r="B769" i="2"/>
  <c r="A769" i="2"/>
  <c r="C769" i="2" s="1"/>
  <c r="G768" i="2"/>
  <c r="B768" i="2"/>
  <c r="A768" i="2"/>
  <c r="G767" i="2"/>
  <c r="B767" i="2"/>
  <c r="A767" i="2"/>
  <c r="C767" i="2" s="1"/>
  <c r="G766" i="2"/>
  <c r="B766" i="2"/>
  <c r="A766" i="2"/>
  <c r="G765" i="2"/>
  <c r="B765" i="2"/>
  <c r="A765" i="2"/>
  <c r="C765" i="2" s="1"/>
  <c r="G764" i="2"/>
  <c r="B764" i="2"/>
  <c r="A764" i="2"/>
  <c r="G763" i="2"/>
  <c r="B763" i="2"/>
  <c r="A763" i="2"/>
  <c r="C763" i="2" s="1"/>
  <c r="G762" i="2"/>
  <c r="B762" i="2"/>
  <c r="A762" i="2"/>
  <c r="G761" i="2"/>
  <c r="B761" i="2"/>
  <c r="A761" i="2"/>
  <c r="C761" i="2" s="1"/>
  <c r="G760" i="2"/>
  <c r="B760" i="2"/>
  <c r="A760" i="2"/>
  <c r="G759" i="2"/>
  <c r="B759" i="2"/>
  <c r="A759" i="2"/>
  <c r="C759" i="2" s="1"/>
  <c r="G758" i="2"/>
  <c r="B758" i="2"/>
  <c r="A758" i="2"/>
  <c r="G757" i="2"/>
  <c r="B757" i="2"/>
  <c r="A757" i="2"/>
  <c r="C757" i="2" s="1"/>
  <c r="G756" i="2"/>
  <c r="B756" i="2"/>
  <c r="A756" i="2"/>
  <c r="G755" i="2"/>
  <c r="B755" i="2"/>
  <c r="A755" i="2"/>
  <c r="C755" i="2" s="1"/>
  <c r="G754" i="2"/>
  <c r="B754" i="2"/>
  <c r="A754" i="2"/>
  <c r="G753" i="2"/>
  <c r="B753" i="2"/>
  <c r="A753" i="2"/>
  <c r="C753" i="2" s="1"/>
  <c r="G752" i="2"/>
  <c r="B752" i="2"/>
  <c r="A752" i="2"/>
  <c r="G751" i="2"/>
  <c r="B751" i="2"/>
  <c r="A751" i="2"/>
  <c r="C751" i="2" s="1"/>
  <c r="G750" i="2"/>
  <c r="B750" i="2"/>
  <c r="A750" i="2"/>
  <c r="G749" i="2"/>
  <c r="B749" i="2"/>
  <c r="A749" i="2"/>
  <c r="C749" i="2" s="1"/>
  <c r="G748" i="2"/>
  <c r="B748" i="2"/>
  <c r="A748" i="2"/>
  <c r="G747" i="2"/>
  <c r="B747" i="2"/>
  <c r="A747" i="2"/>
  <c r="C747" i="2" s="1"/>
  <c r="G746" i="2"/>
  <c r="B746" i="2"/>
  <c r="A746" i="2"/>
  <c r="G745" i="2"/>
  <c r="B745" i="2"/>
  <c r="A745" i="2"/>
  <c r="C745" i="2" s="1"/>
  <c r="G744" i="2"/>
  <c r="B744" i="2"/>
  <c r="A744" i="2"/>
  <c r="G743" i="2"/>
  <c r="B743" i="2"/>
  <c r="A743" i="2"/>
  <c r="C743" i="2" s="1"/>
  <c r="G742" i="2"/>
  <c r="B742" i="2"/>
  <c r="A742" i="2"/>
  <c r="G741" i="2"/>
  <c r="B741" i="2"/>
  <c r="A741" i="2"/>
  <c r="C741" i="2" s="1"/>
  <c r="G740" i="2"/>
  <c r="B740" i="2"/>
  <c r="A740" i="2"/>
  <c r="G739" i="2"/>
  <c r="B739" i="2"/>
  <c r="A739" i="2"/>
  <c r="C739" i="2" s="1"/>
  <c r="G738" i="2"/>
  <c r="B738" i="2"/>
  <c r="A738" i="2"/>
  <c r="G737" i="2"/>
  <c r="B737" i="2"/>
  <c r="A737" i="2"/>
  <c r="C737" i="2" s="1"/>
  <c r="G736" i="2"/>
  <c r="B736" i="2"/>
  <c r="A736" i="2"/>
  <c r="G735" i="2"/>
  <c r="B735" i="2"/>
  <c r="A735" i="2"/>
  <c r="C735" i="2" s="1"/>
  <c r="G734" i="2"/>
  <c r="B734" i="2"/>
  <c r="A734" i="2"/>
  <c r="G733" i="2"/>
  <c r="B733" i="2"/>
  <c r="A733" i="2"/>
  <c r="C733" i="2" s="1"/>
  <c r="G732" i="2"/>
  <c r="B732" i="2"/>
  <c r="A732" i="2"/>
  <c r="G731" i="2"/>
  <c r="B731" i="2"/>
  <c r="A731" i="2"/>
  <c r="C731" i="2" s="1"/>
  <c r="G730" i="2"/>
  <c r="B730" i="2"/>
  <c r="A730" i="2"/>
  <c r="G729" i="2"/>
  <c r="B729" i="2"/>
  <c r="A729" i="2"/>
  <c r="C729" i="2" s="1"/>
  <c r="G728" i="2"/>
  <c r="B728" i="2"/>
  <c r="A728" i="2"/>
  <c r="G727" i="2"/>
  <c r="B727" i="2"/>
  <c r="A727" i="2"/>
  <c r="C727" i="2" s="1"/>
  <c r="G726" i="2"/>
  <c r="B726" i="2"/>
  <c r="A726" i="2"/>
  <c r="G725" i="2"/>
  <c r="B725" i="2"/>
  <c r="A725" i="2"/>
  <c r="C725" i="2" s="1"/>
  <c r="G724" i="2"/>
  <c r="B724" i="2"/>
  <c r="A724" i="2"/>
  <c r="G723" i="2"/>
  <c r="B723" i="2"/>
  <c r="A723" i="2"/>
  <c r="C723" i="2" s="1"/>
  <c r="G722" i="2"/>
  <c r="B722" i="2"/>
  <c r="A722" i="2"/>
  <c r="G721" i="2"/>
  <c r="B721" i="2"/>
  <c r="A721" i="2"/>
  <c r="C721" i="2" s="1"/>
  <c r="G720" i="2"/>
  <c r="B720" i="2"/>
  <c r="A720" i="2"/>
  <c r="G719" i="2"/>
  <c r="B719" i="2"/>
  <c r="A719" i="2"/>
  <c r="C719" i="2" s="1"/>
  <c r="G718" i="2"/>
  <c r="B718" i="2"/>
  <c r="A718" i="2"/>
  <c r="G717" i="2"/>
  <c r="B717" i="2"/>
  <c r="A717" i="2"/>
  <c r="C717" i="2" s="1"/>
  <c r="G716" i="2"/>
  <c r="B716" i="2"/>
  <c r="A716" i="2"/>
  <c r="G715" i="2"/>
  <c r="B715" i="2"/>
  <c r="A715" i="2"/>
  <c r="C715" i="2" s="1"/>
  <c r="G714" i="2"/>
  <c r="B714" i="2"/>
  <c r="A714" i="2"/>
  <c r="G713" i="2"/>
  <c r="B713" i="2"/>
  <c r="A713" i="2"/>
  <c r="C713" i="2" s="1"/>
  <c r="G712" i="2"/>
  <c r="B712" i="2"/>
  <c r="A712" i="2"/>
  <c r="G711" i="2"/>
  <c r="B711" i="2"/>
  <c r="A711" i="2"/>
  <c r="C711" i="2" s="1"/>
  <c r="G710" i="2"/>
  <c r="B710" i="2"/>
  <c r="A710" i="2"/>
  <c r="G709" i="2"/>
  <c r="B709" i="2"/>
  <c r="A709" i="2"/>
  <c r="C709" i="2" s="1"/>
  <c r="G708" i="2"/>
  <c r="B708" i="2"/>
  <c r="A708" i="2"/>
  <c r="G707" i="2"/>
  <c r="B707" i="2"/>
  <c r="A707" i="2"/>
  <c r="C707" i="2" s="1"/>
  <c r="G706" i="2"/>
  <c r="B706" i="2"/>
  <c r="A706" i="2"/>
  <c r="G705" i="2"/>
  <c r="B705" i="2"/>
  <c r="A705" i="2"/>
  <c r="C705" i="2" s="1"/>
  <c r="G704" i="2"/>
  <c r="B704" i="2"/>
  <c r="A704" i="2"/>
  <c r="G703" i="2"/>
  <c r="B703" i="2"/>
  <c r="A703" i="2"/>
  <c r="C703" i="2" s="1"/>
  <c r="G702" i="2"/>
  <c r="B702" i="2"/>
  <c r="A702" i="2"/>
  <c r="G701" i="2"/>
  <c r="B701" i="2"/>
  <c r="A701" i="2"/>
  <c r="C701" i="2" s="1"/>
  <c r="G700" i="2"/>
  <c r="B700" i="2"/>
  <c r="A700" i="2"/>
  <c r="G699" i="2"/>
  <c r="B699" i="2"/>
  <c r="A699" i="2"/>
  <c r="C699" i="2" s="1"/>
  <c r="G698" i="2"/>
  <c r="B698" i="2"/>
  <c r="A698" i="2"/>
  <c r="G697" i="2"/>
  <c r="B697" i="2"/>
  <c r="A697" i="2"/>
  <c r="C697" i="2" s="1"/>
  <c r="G696" i="2"/>
  <c r="B696" i="2"/>
  <c r="A696" i="2"/>
  <c r="G695" i="2"/>
  <c r="B695" i="2"/>
  <c r="A695" i="2"/>
  <c r="C695" i="2" s="1"/>
  <c r="G694" i="2"/>
  <c r="B694" i="2"/>
  <c r="A694" i="2"/>
  <c r="G693" i="2"/>
  <c r="B693" i="2"/>
  <c r="A693" i="2"/>
  <c r="C693" i="2" s="1"/>
  <c r="G692" i="2"/>
  <c r="B692" i="2"/>
  <c r="A692" i="2"/>
  <c r="G691" i="2"/>
  <c r="B691" i="2"/>
  <c r="A691" i="2"/>
  <c r="C691" i="2" s="1"/>
  <c r="G690" i="2"/>
  <c r="B690" i="2"/>
  <c r="A690" i="2"/>
  <c r="G689" i="2"/>
  <c r="B689" i="2"/>
  <c r="A689" i="2"/>
  <c r="C689" i="2" s="1"/>
  <c r="G688" i="2"/>
  <c r="B688" i="2"/>
  <c r="A688" i="2"/>
  <c r="G687" i="2"/>
  <c r="B687" i="2"/>
  <c r="A687" i="2"/>
  <c r="C687" i="2" s="1"/>
  <c r="G686" i="2"/>
  <c r="B686" i="2"/>
  <c r="A686" i="2"/>
  <c r="G685" i="2"/>
  <c r="B685" i="2"/>
  <c r="A685" i="2"/>
  <c r="C685" i="2" s="1"/>
  <c r="G684" i="2"/>
  <c r="B684" i="2"/>
  <c r="A684" i="2"/>
  <c r="G683" i="2"/>
  <c r="B683" i="2"/>
  <c r="A683" i="2"/>
  <c r="C683" i="2" s="1"/>
  <c r="G682" i="2"/>
  <c r="B682" i="2"/>
  <c r="A682" i="2"/>
  <c r="G681" i="2"/>
  <c r="B681" i="2"/>
  <c r="A681" i="2"/>
  <c r="C681" i="2" s="1"/>
  <c r="G680" i="2"/>
  <c r="B680" i="2"/>
  <c r="A680" i="2"/>
  <c r="G679" i="2"/>
  <c r="B679" i="2"/>
  <c r="A679" i="2"/>
  <c r="C679" i="2" s="1"/>
  <c r="G678" i="2"/>
  <c r="B678" i="2"/>
  <c r="A678" i="2"/>
  <c r="G677" i="2"/>
  <c r="B677" i="2"/>
  <c r="A677" i="2"/>
  <c r="C677" i="2" s="1"/>
  <c r="G676" i="2"/>
  <c r="B676" i="2"/>
  <c r="A676" i="2"/>
  <c r="G675" i="2"/>
  <c r="B675" i="2"/>
  <c r="A675" i="2"/>
  <c r="C675" i="2" s="1"/>
  <c r="G674" i="2"/>
  <c r="B674" i="2"/>
  <c r="A674" i="2"/>
  <c r="G673" i="2"/>
  <c r="B673" i="2"/>
  <c r="A673" i="2"/>
  <c r="C673" i="2" s="1"/>
  <c r="G672" i="2"/>
  <c r="B672" i="2"/>
  <c r="A672" i="2"/>
  <c r="G671" i="2"/>
  <c r="B671" i="2"/>
  <c r="A671" i="2"/>
  <c r="C671" i="2" s="1"/>
  <c r="G670" i="2"/>
  <c r="B670" i="2"/>
  <c r="A670" i="2"/>
  <c r="G669" i="2"/>
  <c r="B669" i="2"/>
  <c r="A669" i="2"/>
  <c r="C669" i="2" s="1"/>
  <c r="G668" i="2"/>
  <c r="B668" i="2"/>
  <c r="A668" i="2"/>
  <c r="G667" i="2"/>
  <c r="B667" i="2"/>
  <c r="A667" i="2"/>
  <c r="C667" i="2" s="1"/>
  <c r="G666" i="2"/>
  <c r="B666" i="2"/>
  <c r="A666" i="2"/>
  <c r="G665" i="2"/>
  <c r="B665" i="2"/>
  <c r="A665" i="2"/>
  <c r="C665" i="2" s="1"/>
  <c r="G664" i="2"/>
  <c r="B664" i="2"/>
  <c r="A664" i="2"/>
  <c r="G663" i="2"/>
  <c r="B663" i="2"/>
  <c r="A663" i="2"/>
  <c r="C663" i="2" s="1"/>
  <c r="G662" i="2"/>
  <c r="B662" i="2"/>
  <c r="A662" i="2"/>
  <c r="G661" i="2"/>
  <c r="B661" i="2"/>
  <c r="A661" i="2"/>
  <c r="C661" i="2" s="1"/>
  <c r="G660" i="2"/>
  <c r="B660" i="2"/>
  <c r="A660" i="2"/>
  <c r="G659" i="2"/>
  <c r="B659" i="2"/>
  <c r="A659" i="2"/>
  <c r="C659" i="2" s="1"/>
  <c r="G658" i="2"/>
  <c r="B658" i="2"/>
  <c r="A658" i="2"/>
  <c r="G657" i="2"/>
  <c r="B657" i="2"/>
  <c r="A657" i="2"/>
  <c r="C657" i="2" s="1"/>
  <c r="G656" i="2"/>
  <c r="B656" i="2"/>
  <c r="A656" i="2"/>
  <c r="G655" i="2"/>
  <c r="B655" i="2"/>
  <c r="A655" i="2"/>
  <c r="C655" i="2" s="1"/>
  <c r="G654" i="2"/>
  <c r="B654" i="2"/>
  <c r="A654" i="2"/>
  <c r="G653" i="2"/>
  <c r="B653" i="2"/>
  <c r="A653" i="2"/>
  <c r="C653" i="2" s="1"/>
  <c r="G652" i="2"/>
  <c r="B652" i="2"/>
  <c r="A652" i="2"/>
  <c r="G651" i="2"/>
  <c r="B651" i="2"/>
  <c r="A651" i="2"/>
  <c r="C651" i="2" s="1"/>
  <c r="G650" i="2"/>
  <c r="B650" i="2"/>
  <c r="A650" i="2"/>
  <c r="G649" i="2"/>
  <c r="B649" i="2"/>
  <c r="A649" i="2"/>
  <c r="C649" i="2" s="1"/>
  <c r="G648" i="2"/>
  <c r="B648" i="2"/>
  <c r="A648" i="2"/>
  <c r="G647" i="2"/>
  <c r="B647" i="2"/>
  <c r="A647" i="2"/>
  <c r="C647" i="2" s="1"/>
  <c r="G646" i="2"/>
  <c r="B646" i="2"/>
  <c r="A646" i="2"/>
  <c r="G645" i="2"/>
  <c r="B645" i="2"/>
  <c r="A645" i="2"/>
  <c r="C645" i="2" s="1"/>
  <c r="G644" i="2"/>
  <c r="B644" i="2"/>
  <c r="A644" i="2"/>
  <c r="G643" i="2"/>
  <c r="B643" i="2"/>
  <c r="A643" i="2"/>
  <c r="C643" i="2" s="1"/>
  <c r="G642" i="2"/>
  <c r="B642" i="2"/>
  <c r="A642" i="2"/>
  <c r="G641" i="2"/>
  <c r="B641" i="2"/>
  <c r="A641" i="2"/>
  <c r="C641" i="2" s="1"/>
  <c r="G640" i="2"/>
  <c r="B640" i="2"/>
  <c r="A640" i="2"/>
  <c r="G639" i="2"/>
  <c r="B639" i="2"/>
  <c r="A639" i="2"/>
  <c r="C639" i="2" s="1"/>
  <c r="G638" i="2"/>
  <c r="B638" i="2"/>
  <c r="A638" i="2"/>
  <c r="G637" i="2"/>
  <c r="B637" i="2"/>
  <c r="A637" i="2"/>
  <c r="C637" i="2" s="1"/>
  <c r="G636" i="2"/>
  <c r="B636" i="2"/>
  <c r="A636" i="2"/>
  <c r="G635" i="2"/>
  <c r="B635" i="2"/>
  <c r="A635" i="2"/>
  <c r="C635" i="2" s="1"/>
  <c r="G634" i="2"/>
  <c r="B634" i="2"/>
  <c r="A634" i="2"/>
  <c r="G633" i="2"/>
  <c r="B633" i="2"/>
  <c r="A633" i="2"/>
  <c r="C633" i="2" s="1"/>
  <c r="G632" i="2"/>
  <c r="B632" i="2"/>
  <c r="A632" i="2"/>
  <c r="G631" i="2"/>
  <c r="B631" i="2"/>
  <c r="A631" i="2"/>
  <c r="C631" i="2" s="1"/>
  <c r="G630" i="2"/>
  <c r="B630" i="2"/>
  <c r="A630" i="2"/>
  <c r="G629" i="2"/>
  <c r="B629" i="2"/>
  <c r="A629" i="2"/>
  <c r="C629" i="2" s="1"/>
  <c r="G628" i="2"/>
  <c r="B628" i="2"/>
  <c r="A628" i="2"/>
  <c r="G627" i="2"/>
  <c r="B627" i="2"/>
  <c r="A627" i="2"/>
  <c r="C627" i="2" s="1"/>
  <c r="G626" i="2"/>
  <c r="B626" i="2"/>
  <c r="A626" i="2"/>
  <c r="G625" i="2"/>
  <c r="B625" i="2"/>
  <c r="A625" i="2"/>
  <c r="C625" i="2" s="1"/>
  <c r="G624" i="2"/>
  <c r="B624" i="2"/>
  <c r="A624" i="2"/>
  <c r="G623" i="2"/>
  <c r="B623" i="2"/>
  <c r="A623" i="2"/>
  <c r="C623" i="2" s="1"/>
  <c r="G622" i="2"/>
  <c r="B622" i="2"/>
  <c r="A622" i="2"/>
  <c r="G621" i="2"/>
  <c r="B621" i="2"/>
  <c r="A621" i="2"/>
  <c r="C621" i="2" s="1"/>
  <c r="G620" i="2"/>
  <c r="B620" i="2"/>
  <c r="A620" i="2"/>
  <c r="G619" i="2"/>
  <c r="B619" i="2"/>
  <c r="A619" i="2"/>
  <c r="C619" i="2" s="1"/>
  <c r="G618" i="2"/>
  <c r="B618" i="2"/>
  <c r="A618" i="2"/>
  <c r="G617" i="2"/>
  <c r="B617" i="2"/>
  <c r="A617" i="2"/>
  <c r="C617" i="2" s="1"/>
  <c r="G616" i="2"/>
  <c r="B616" i="2"/>
  <c r="A616" i="2"/>
  <c r="G615" i="2"/>
  <c r="B615" i="2"/>
  <c r="A615" i="2"/>
  <c r="C615" i="2" s="1"/>
  <c r="G614" i="2"/>
  <c r="B614" i="2"/>
  <c r="A614" i="2"/>
  <c r="G613" i="2"/>
  <c r="B613" i="2"/>
  <c r="A613" i="2"/>
  <c r="C613" i="2" s="1"/>
  <c r="G612" i="2"/>
  <c r="B612" i="2"/>
  <c r="A612" i="2"/>
  <c r="G611" i="2"/>
  <c r="B611" i="2"/>
  <c r="A611" i="2"/>
  <c r="C611" i="2" s="1"/>
  <c r="G610" i="2"/>
  <c r="B610" i="2"/>
  <c r="A610" i="2"/>
  <c r="G609" i="2"/>
  <c r="B609" i="2"/>
  <c r="A609" i="2"/>
  <c r="C609" i="2" s="1"/>
  <c r="G608" i="2"/>
  <c r="B608" i="2"/>
  <c r="A608" i="2"/>
  <c r="G607" i="2"/>
  <c r="B607" i="2"/>
  <c r="A607" i="2"/>
  <c r="C607" i="2" s="1"/>
  <c r="G606" i="2"/>
  <c r="B606" i="2"/>
  <c r="A606" i="2"/>
  <c r="G605" i="2"/>
  <c r="B605" i="2"/>
  <c r="A605" i="2"/>
  <c r="C605" i="2" s="1"/>
  <c r="G604" i="2"/>
  <c r="B604" i="2"/>
  <c r="A604" i="2"/>
  <c r="G603" i="2"/>
  <c r="B603" i="2"/>
  <c r="A603" i="2"/>
  <c r="C603" i="2" s="1"/>
  <c r="G602" i="2"/>
  <c r="B602" i="2"/>
  <c r="A602" i="2"/>
  <c r="G601" i="2"/>
  <c r="B601" i="2"/>
  <c r="A601" i="2"/>
  <c r="C601" i="2" s="1"/>
  <c r="G600" i="2"/>
  <c r="B600" i="2"/>
  <c r="A600" i="2"/>
  <c r="G599" i="2"/>
  <c r="B599" i="2"/>
  <c r="A599" i="2"/>
  <c r="C599" i="2" s="1"/>
  <c r="G598" i="2"/>
  <c r="B598" i="2"/>
  <c r="A598" i="2"/>
  <c r="G597" i="2"/>
  <c r="B597" i="2"/>
  <c r="A597" i="2"/>
  <c r="C597" i="2" s="1"/>
  <c r="G596" i="2"/>
  <c r="B596" i="2"/>
  <c r="A596" i="2"/>
  <c r="G595" i="2"/>
  <c r="B595" i="2"/>
  <c r="A595" i="2"/>
  <c r="C595" i="2" s="1"/>
  <c r="G594" i="2"/>
  <c r="B594" i="2"/>
  <c r="A594" i="2"/>
  <c r="G593" i="2"/>
  <c r="B593" i="2"/>
  <c r="A593" i="2"/>
  <c r="C593" i="2" s="1"/>
  <c r="G592" i="2"/>
  <c r="B592" i="2"/>
  <c r="A592" i="2"/>
  <c r="G591" i="2"/>
  <c r="B591" i="2"/>
  <c r="A591" i="2"/>
  <c r="C591" i="2" s="1"/>
  <c r="G590" i="2"/>
  <c r="B590" i="2"/>
  <c r="A590" i="2"/>
  <c r="G589" i="2"/>
  <c r="B589" i="2"/>
  <c r="A589" i="2"/>
  <c r="C589" i="2" s="1"/>
  <c r="G588" i="2"/>
  <c r="B588" i="2"/>
  <c r="A588" i="2"/>
  <c r="G587" i="2"/>
  <c r="B587" i="2"/>
  <c r="A587" i="2"/>
  <c r="C587" i="2" s="1"/>
  <c r="G586" i="2"/>
  <c r="B586" i="2"/>
  <c r="A586" i="2"/>
  <c r="G585" i="2"/>
  <c r="B585" i="2"/>
  <c r="A585" i="2"/>
  <c r="C585" i="2" s="1"/>
  <c r="G584" i="2"/>
  <c r="B584" i="2"/>
  <c r="A584" i="2"/>
  <c r="G583" i="2"/>
  <c r="B583" i="2"/>
  <c r="A583" i="2"/>
  <c r="C583" i="2" s="1"/>
  <c r="G582" i="2"/>
  <c r="B582" i="2"/>
  <c r="A582" i="2"/>
  <c r="G581" i="2"/>
  <c r="B581" i="2"/>
  <c r="A581" i="2"/>
  <c r="C581" i="2" s="1"/>
  <c r="G580" i="2"/>
  <c r="B580" i="2"/>
  <c r="A580" i="2"/>
  <c r="G579" i="2"/>
  <c r="B579" i="2"/>
  <c r="A579" i="2"/>
  <c r="C579" i="2" s="1"/>
  <c r="G578" i="2"/>
  <c r="B578" i="2"/>
  <c r="A578" i="2"/>
  <c r="G577" i="2"/>
  <c r="B577" i="2"/>
  <c r="A577" i="2"/>
  <c r="C577" i="2" s="1"/>
  <c r="G576" i="2"/>
  <c r="B576" i="2"/>
  <c r="A576" i="2"/>
  <c r="G575" i="2"/>
  <c r="B575" i="2"/>
  <c r="A575" i="2"/>
  <c r="C575" i="2" s="1"/>
  <c r="G574" i="2"/>
  <c r="B574" i="2"/>
  <c r="A574" i="2"/>
  <c r="G573" i="2"/>
  <c r="B573" i="2"/>
  <c r="A573" i="2"/>
  <c r="C573" i="2" s="1"/>
  <c r="G572" i="2"/>
  <c r="B572" i="2"/>
  <c r="A572" i="2"/>
  <c r="G571" i="2"/>
  <c r="B571" i="2"/>
  <c r="A571" i="2"/>
  <c r="C571" i="2" s="1"/>
  <c r="G570" i="2"/>
  <c r="B570" i="2"/>
  <c r="A570" i="2"/>
  <c r="G569" i="2"/>
  <c r="B569" i="2"/>
  <c r="A569" i="2"/>
  <c r="C569" i="2" s="1"/>
  <c r="G568" i="2"/>
  <c r="B568" i="2"/>
  <c r="A568" i="2"/>
  <c r="G567" i="2"/>
  <c r="B567" i="2"/>
  <c r="A567" i="2"/>
  <c r="C567" i="2" s="1"/>
  <c r="G566" i="2"/>
  <c r="B566" i="2"/>
  <c r="A566" i="2"/>
  <c r="G565" i="2"/>
  <c r="B565" i="2"/>
  <c r="A565" i="2"/>
  <c r="C565" i="2" s="1"/>
  <c r="G564" i="2"/>
  <c r="B564" i="2"/>
  <c r="A564" i="2"/>
  <c r="G563" i="2"/>
  <c r="B563" i="2"/>
  <c r="A563" i="2"/>
  <c r="C563" i="2" s="1"/>
  <c r="G562" i="2"/>
  <c r="B562" i="2"/>
  <c r="A562" i="2"/>
  <c r="G561" i="2"/>
  <c r="B561" i="2"/>
  <c r="A561" i="2"/>
  <c r="C561" i="2" s="1"/>
  <c r="G560" i="2"/>
  <c r="B560" i="2"/>
  <c r="A560" i="2"/>
  <c r="G559" i="2"/>
  <c r="B559" i="2"/>
  <c r="A559" i="2"/>
  <c r="C559" i="2" s="1"/>
  <c r="G558" i="2"/>
  <c r="B558" i="2"/>
  <c r="A558" i="2"/>
  <c r="G557" i="2"/>
  <c r="B557" i="2"/>
  <c r="A557" i="2"/>
  <c r="C557" i="2" s="1"/>
  <c r="G556" i="2"/>
  <c r="B556" i="2"/>
  <c r="A556" i="2"/>
  <c r="G555" i="2"/>
  <c r="B555" i="2"/>
  <c r="A555" i="2"/>
  <c r="C555" i="2" s="1"/>
  <c r="G554" i="2"/>
  <c r="B554" i="2"/>
  <c r="A554" i="2"/>
  <c r="G553" i="2"/>
  <c r="B553" i="2"/>
  <c r="A553" i="2"/>
  <c r="C553" i="2" s="1"/>
  <c r="G552" i="2"/>
  <c r="B552" i="2"/>
  <c r="A552" i="2"/>
  <c r="G551" i="2"/>
  <c r="B551" i="2"/>
  <c r="A551" i="2"/>
  <c r="C551" i="2" s="1"/>
  <c r="G550" i="2"/>
  <c r="B550" i="2"/>
  <c r="A550" i="2"/>
  <c r="G549" i="2"/>
  <c r="B549" i="2"/>
  <c r="A549" i="2"/>
  <c r="C549" i="2" s="1"/>
  <c r="G548" i="2"/>
  <c r="B548" i="2"/>
  <c r="A548" i="2"/>
  <c r="G547" i="2"/>
  <c r="B547" i="2"/>
  <c r="A547" i="2"/>
  <c r="C547" i="2" s="1"/>
  <c r="G546" i="2"/>
  <c r="B546" i="2"/>
  <c r="A546" i="2"/>
  <c r="G545" i="2"/>
  <c r="B545" i="2"/>
  <c r="A545" i="2"/>
  <c r="C545" i="2" s="1"/>
  <c r="G544" i="2"/>
  <c r="B544" i="2"/>
  <c r="A544" i="2"/>
  <c r="G543" i="2"/>
  <c r="B543" i="2"/>
  <c r="A543" i="2"/>
  <c r="C543" i="2" s="1"/>
  <c r="G542" i="2"/>
  <c r="B542" i="2"/>
  <c r="A542" i="2"/>
  <c r="G541" i="2"/>
  <c r="B541" i="2"/>
  <c r="A541" i="2"/>
  <c r="C541" i="2" s="1"/>
  <c r="G540" i="2"/>
  <c r="B540" i="2"/>
  <c r="A540" i="2"/>
  <c r="G539" i="2"/>
  <c r="B539" i="2"/>
  <c r="A539" i="2"/>
  <c r="C539" i="2" s="1"/>
  <c r="G538" i="2"/>
  <c r="B538" i="2"/>
  <c r="A538" i="2"/>
  <c r="G537" i="2"/>
  <c r="B537" i="2"/>
  <c r="A537" i="2"/>
  <c r="C537" i="2" s="1"/>
  <c r="G536" i="2"/>
  <c r="B536" i="2"/>
  <c r="A536" i="2"/>
  <c r="G535" i="2"/>
  <c r="B535" i="2"/>
  <c r="A535" i="2"/>
  <c r="C535" i="2" s="1"/>
  <c r="G534" i="2"/>
  <c r="B534" i="2"/>
  <c r="A534" i="2"/>
  <c r="G533" i="2"/>
  <c r="B533" i="2"/>
  <c r="A533" i="2"/>
  <c r="C533" i="2" s="1"/>
  <c r="G532" i="2"/>
  <c r="B532" i="2"/>
  <c r="A532" i="2"/>
  <c r="G531" i="2"/>
  <c r="B531" i="2"/>
  <c r="A531" i="2"/>
  <c r="C531" i="2" s="1"/>
  <c r="G530" i="2"/>
  <c r="B530" i="2"/>
  <c r="A530" i="2"/>
  <c r="G529" i="2"/>
  <c r="B529" i="2"/>
  <c r="A529" i="2"/>
  <c r="C529" i="2" s="1"/>
  <c r="G528" i="2"/>
  <c r="B528" i="2"/>
  <c r="A528" i="2"/>
  <c r="G527" i="2"/>
  <c r="B527" i="2"/>
  <c r="A527" i="2"/>
  <c r="C527" i="2" s="1"/>
  <c r="G526" i="2"/>
  <c r="B526" i="2"/>
  <c r="A526" i="2"/>
  <c r="G525" i="2"/>
  <c r="B525" i="2"/>
  <c r="A525" i="2"/>
  <c r="C525" i="2" s="1"/>
  <c r="G524" i="2"/>
  <c r="B524" i="2"/>
  <c r="A524" i="2"/>
  <c r="G523" i="2"/>
  <c r="B523" i="2"/>
  <c r="A523" i="2"/>
  <c r="C523" i="2" s="1"/>
  <c r="G522" i="2"/>
  <c r="B522" i="2"/>
  <c r="A522" i="2"/>
  <c r="G521" i="2"/>
  <c r="B521" i="2"/>
  <c r="A521" i="2"/>
  <c r="C521" i="2" s="1"/>
  <c r="G520" i="2"/>
  <c r="B520" i="2"/>
  <c r="A520" i="2"/>
  <c r="G519" i="2"/>
  <c r="B519" i="2"/>
  <c r="A519" i="2"/>
  <c r="C519" i="2" s="1"/>
  <c r="G518" i="2"/>
  <c r="B518" i="2"/>
  <c r="A518" i="2"/>
  <c r="G517" i="2"/>
  <c r="B517" i="2"/>
  <c r="A517" i="2"/>
  <c r="C517" i="2" s="1"/>
  <c r="G516" i="2"/>
  <c r="B516" i="2"/>
  <c r="A516" i="2"/>
  <c r="G515" i="2"/>
  <c r="B515" i="2"/>
  <c r="A515" i="2"/>
  <c r="C515" i="2" s="1"/>
  <c r="G514" i="2"/>
  <c r="B514" i="2"/>
  <c r="A514" i="2"/>
  <c r="G513" i="2"/>
  <c r="B513" i="2"/>
  <c r="A513" i="2"/>
  <c r="C513" i="2" s="1"/>
  <c r="G512" i="2"/>
  <c r="B512" i="2"/>
  <c r="A512" i="2"/>
  <c r="G511" i="2"/>
  <c r="B511" i="2"/>
  <c r="A511" i="2"/>
  <c r="C511" i="2" s="1"/>
  <c r="G510" i="2"/>
  <c r="B510" i="2"/>
  <c r="A510" i="2"/>
  <c r="G509" i="2"/>
  <c r="B509" i="2"/>
  <c r="A509" i="2"/>
  <c r="C509" i="2" s="1"/>
  <c r="G508" i="2"/>
  <c r="B508" i="2"/>
  <c r="A508" i="2"/>
  <c r="G507" i="2"/>
  <c r="B507" i="2"/>
  <c r="A507" i="2"/>
  <c r="C507" i="2" s="1"/>
  <c r="G506" i="2"/>
  <c r="B506" i="2"/>
  <c r="A506" i="2"/>
  <c r="G505" i="2"/>
  <c r="B505" i="2"/>
  <c r="A505" i="2"/>
  <c r="C505" i="2" s="1"/>
  <c r="G504" i="2"/>
  <c r="B504" i="2"/>
  <c r="A504" i="2"/>
  <c r="G503" i="2"/>
  <c r="B503" i="2"/>
  <c r="A503" i="2"/>
  <c r="C503" i="2" s="1"/>
  <c r="G502" i="2"/>
  <c r="B502" i="2"/>
  <c r="A502" i="2"/>
  <c r="G501" i="2"/>
  <c r="B501" i="2"/>
  <c r="A501" i="2"/>
  <c r="C501" i="2" s="1"/>
  <c r="G500" i="2"/>
  <c r="B500" i="2"/>
  <c r="A500" i="2"/>
  <c r="G499" i="2"/>
  <c r="B499" i="2"/>
  <c r="A499" i="2"/>
  <c r="C499" i="2" s="1"/>
  <c r="G498" i="2"/>
  <c r="B498" i="2"/>
  <c r="A498" i="2"/>
  <c r="G497" i="2"/>
  <c r="B497" i="2"/>
  <c r="A497" i="2"/>
  <c r="C497" i="2" s="1"/>
  <c r="G496" i="2"/>
  <c r="B496" i="2"/>
  <c r="A496" i="2"/>
  <c r="G495" i="2"/>
  <c r="B495" i="2"/>
  <c r="A495" i="2"/>
  <c r="C495" i="2" s="1"/>
  <c r="G494" i="2"/>
  <c r="B494" i="2"/>
  <c r="A494" i="2"/>
  <c r="G493" i="2"/>
  <c r="B493" i="2"/>
  <c r="A493" i="2"/>
  <c r="C493" i="2" s="1"/>
  <c r="G492" i="2"/>
  <c r="B492" i="2"/>
  <c r="A492" i="2"/>
  <c r="G491" i="2"/>
  <c r="B491" i="2"/>
  <c r="A491" i="2"/>
  <c r="C491" i="2" s="1"/>
  <c r="G490" i="2"/>
  <c r="B490" i="2"/>
  <c r="A490" i="2"/>
  <c r="G489" i="2"/>
  <c r="B489" i="2"/>
  <c r="A489" i="2"/>
  <c r="C489" i="2" s="1"/>
  <c r="G488" i="2"/>
  <c r="B488" i="2"/>
  <c r="A488" i="2"/>
  <c r="G487" i="2"/>
  <c r="B487" i="2"/>
  <c r="A487" i="2"/>
  <c r="C487" i="2" s="1"/>
  <c r="G486" i="2"/>
  <c r="B486" i="2"/>
  <c r="A486" i="2"/>
  <c r="G485" i="2"/>
  <c r="B485" i="2"/>
  <c r="A485" i="2"/>
  <c r="C485" i="2" s="1"/>
  <c r="G484" i="2"/>
  <c r="B484" i="2"/>
  <c r="A484" i="2"/>
  <c r="G483" i="2"/>
  <c r="B483" i="2"/>
  <c r="A483" i="2"/>
  <c r="C483" i="2" s="1"/>
  <c r="G482" i="2"/>
  <c r="B482" i="2"/>
  <c r="A482" i="2"/>
  <c r="G481" i="2"/>
  <c r="B481" i="2"/>
  <c r="A481" i="2"/>
  <c r="C481" i="2" s="1"/>
  <c r="G480" i="2"/>
  <c r="B480" i="2"/>
  <c r="A480" i="2"/>
  <c r="G479" i="2"/>
  <c r="B479" i="2"/>
  <c r="A479" i="2"/>
  <c r="C479" i="2" s="1"/>
  <c r="G478" i="2"/>
  <c r="B478" i="2"/>
  <c r="A478" i="2"/>
  <c r="G477" i="2"/>
  <c r="B477" i="2"/>
  <c r="A477" i="2"/>
  <c r="C477" i="2" s="1"/>
  <c r="G476" i="2"/>
  <c r="B476" i="2"/>
  <c r="A476" i="2"/>
  <c r="G475" i="2"/>
  <c r="B475" i="2"/>
  <c r="A475" i="2"/>
  <c r="C475" i="2" s="1"/>
  <c r="G474" i="2"/>
  <c r="B474" i="2"/>
  <c r="A474" i="2"/>
  <c r="G473" i="2"/>
  <c r="B473" i="2"/>
  <c r="A473" i="2"/>
  <c r="C473" i="2" s="1"/>
  <c r="G472" i="2"/>
  <c r="B472" i="2"/>
  <c r="A472" i="2"/>
  <c r="G471" i="2"/>
  <c r="B471" i="2"/>
  <c r="A471" i="2"/>
  <c r="C471" i="2" s="1"/>
  <c r="G470" i="2"/>
  <c r="B470" i="2"/>
  <c r="A470" i="2"/>
  <c r="G469" i="2"/>
  <c r="B469" i="2"/>
  <c r="A469" i="2"/>
  <c r="C469" i="2" s="1"/>
  <c r="G468" i="2"/>
  <c r="B468" i="2"/>
  <c r="A468" i="2"/>
  <c r="G467" i="2"/>
  <c r="B467" i="2"/>
  <c r="A467" i="2"/>
  <c r="C467" i="2" s="1"/>
  <c r="G466" i="2"/>
  <c r="B466" i="2"/>
  <c r="A466" i="2"/>
  <c r="G465" i="2"/>
  <c r="B465" i="2"/>
  <c r="A465" i="2"/>
  <c r="C465" i="2" s="1"/>
  <c r="G464" i="2"/>
  <c r="B464" i="2"/>
  <c r="A464" i="2"/>
  <c r="C464" i="2"/>
  <c r="G463" i="2"/>
  <c r="B463" i="2"/>
  <c r="A463" i="2"/>
  <c r="C463" i="2"/>
  <c r="G462" i="2"/>
  <c r="B462" i="2"/>
  <c r="A462" i="2"/>
  <c r="C462" i="2"/>
  <c r="G461" i="2"/>
  <c r="B461" i="2"/>
  <c r="A461" i="2"/>
  <c r="C461" i="2"/>
  <c r="G460" i="2"/>
  <c r="B460" i="2"/>
  <c r="A460" i="2"/>
  <c r="C460" i="2"/>
  <c r="G459" i="2"/>
  <c r="B459" i="2"/>
  <c r="A459" i="2"/>
  <c r="C459" i="2"/>
  <c r="G458" i="2"/>
  <c r="B458" i="2"/>
  <c r="A458" i="2"/>
  <c r="C458" i="2"/>
  <c r="G457" i="2"/>
  <c r="B457" i="2"/>
  <c r="A457" i="2"/>
  <c r="C457" i="2"/>
  <c r="G456" i="2"/>
  <c r="B456" i="2"/>
  <c r="A456" i="2"/>
  <c r="C456" i="2"/>
  <c r="G455" i="2"/>
  <c r="B455" i="2"/>
  <c r="A455" i="2"/>
  <c r="C455" i="2"/>
  <c r="G454" i="2"/>
  <c r="B454" i="2"/>
  <c r="A454" i="2"/>
  <c r="C454" i="2"/>
  <c r="G453" i="2"/>
  <c r="B453" i="2"/>
  <c r="A453" i="2"/>
  <c r="C453" i="2"/>
  <c r="G452" i="2"/>
  <c r="B452" i="2"/>
  <c r="A452" i="2"/>
  <c r="C452" i="2"/>
  <c r="G451" i="2"/>
  <c r="B451" i="2"/>
  <c r="A451" i="2"/>
  <c r="C451" i="2"/>
  <c r="G450" i="2"/>
  <c r="B450" i="2"/>
  <c r="A450" i="2"/>
  <c r="C450" i="2"/>
  <c r="G449" i="2"/>
  <c r="B449" i="2"/>
  <c r="A449" i="2"/>
  <c r="C449" i="2"/>
  <c r="G448" i="2"/>
  <c r="B448" i="2"/>
  <c r="A448" i="2"/>
  <c r="C448" i="2"/>
  <c r="G447" i="2"/>
  <c r="B447" i="2"/>
  <c r="A447" i="2"/>
  <c r="C447" i="2"/>
  <c r="G446" i="2"/>
  <c r="B446" i="2"/>
  <c r="A446" i="2"/>
  <c r="C446" i="2"/>
  <c r="G445" i="2"/>
  <c r="B445" i="2"/>
  <c r="A445" i="2"/>
  <c r="C445" i="2"/>
  <c r="G444" i="2"/>
  <c r="B444" i="2"/>
  <c r="A444" i="2"/>
  <c r="C444" i="2"/>
  <c r="G443" i="2"/>
  <c r="B443" i="2"/>
  <c r="A443" i="2"/>
  <c r="C443" i="2"/>
  <c r="G442" i="2"/>
  <c r="B442" i="2"/>
  <c r="A442" i="2"/>
  <c r="C442" i="2"/>
  <c r="G441" i="2"/>
  <c r="B441" i="2"/>
  <c r="A441" i="2"/>
  <c r="C441" i="2"/>
  <c r="G440" i="2"/>
  <c r="B440" i="2"/>
  <c r="A440" i="2"/>
  <c r="C440" i="2"/>
  <c r="G439" i="2"/>
  <c r="B439" i="2"/>
  <c r="A439" i="2"/>
  <c r="C439" i="2"/>
  <c r="G438" i="2"/>
  <c r="B438" i="2"/>
  <c r="A438" i="2"/>
  <c r="C438" i="2"/>
  <c r="G437" i="2"/>
  <c r="B437" i="2"/>
  <c r="A437" i="2"/>
  <c r="C437" i="2"/>
  <c r="G436" i="2"/>
  <c r="B436" i="2"/>
  <c r="A436" i="2"/>
  <c r="C436" i="2"/>
  <c r="G435" i="2"/>
  <c r="B435" i="2"/>
  <c r="A435" i="2"/>
  <c r="C435" i="2"/>
  <c r="G434" i="2"/>
  <c r="B434" i="2"/>
  <c r="A434" i="2"/>
  <c r="C434" i="2"/>
  <c r="G433" i="2"/>
  <c r="B433" i="2"/>
  <c r="A433" i="2"/>
  <c r="C433" i="2"/>
  <c r="G432" i="2"/>
  <c r="B432" i="2"/>
  <c r="A432" i="2"/>
  <c r="C432" i="2"/>
  <c r="G431" i="2"/>
  <c r="B431" i="2"/>
  <c r="A431" i="2"/>
  <c r="C431" i="2"/>
  <c r="G430" i="2"/>
  <c r="B430" i="2"/>
  <c r="A430" i="2"/>
  <c r="C430" i="2"/>
  <c r="G429" i="2"/>
  <c r="B429" i="2"/>
  <c r="A429" i="2"/>
  <c r="C429" i="2"/>
  <c r="G428" i="2"/>
  <c r="B428" i="2"/>
  <c r="A428" i="2"/>
  <c r="C428" i="2"/>
  <c r="G427" i="2"/>
  <c r="B427" i="2"/>
  <c r="A427" i="2"/>
  <c r="C427" i="2"/>
  <c r="G426" i="2"/>
  <c r="B426" i="2"/>
  <c r="A426" i="2"/>
  <c r="C426" i="2"/>
  <c r="G425" i="2"/>
  <c r="B425" i="2"/>
  <c r="A425" i="2"/>
  <c r="C425" i="2"/>
  <c r="G424" i="2"/>
  <c r="B424" i="2"/>
  <c r="A424" i="2"/>
  <c r="C424" i="2"/>
  <c r="G423" i="2"/>
  <c r="B423" i="2"/>
  <c r="A423" i="2"/>
  <c r="C423" i="2"/>
  <c r="G422" i="2"/>
  <c r="B422" i="2"/>
  <c r="A422" i="2"/>
  <c r="C422" i="2"/>
  <c r="G421" i="2"/>
  <c r="B421" i="2"/>
  <c r="A421" i="2"/>
  <c r="C421" i="2"/>
  <c r="G420" i="2"/>
  <c r="B420" i="2"/>
  <c r="A420" i="2"/>
  <c r="C420" i="2"/>
  <c r="G419" i="2"/>
  <c r="B419" i="2"/>
  <c r="A419" i="2"/>
  <c r="C419" i="2"/>
  <c r="G418" i="2"/>
  <c r="B418" i="2"/>
  <c r="A418" i="2"/>
  <c r="C418" i="2"/>
  <c r="G417" i="2"/>
  <c r="B417" i="2"/>
  <c r="A417" i="2"/>
  <c r="C417" i="2"/>
  <c r="G416" i="2"/>
  <c r="B416" i="2"/>
  <c r="A416" i="2"/>
  <c r="C416" i="2"/>
  <c r="G415" i="2"/>
  <c r="B415" i="2"/>
  <c r="A415" i="2"/>
  <c r="C415" i="2"/>
  <c r="G414" i="2"/>
  <c r="B414" i="2"/>
  <c r="A414" i="2"/>
  <c r="C414" i="2"/>
  <c r="G413" i="2"/>
  <c r="B413" i="2"/>
  <c r="A413" i="2"/>
  <c r="C413" i="2"/>
  <c r="G412" i="2"/>
  <c r="B412" i="2"/>
  <c r="A412" i="2"/>
  <c r="C412" i="2"/>
  <c r="G411" i="2"/>
  <c r="B411" i="2"/>
  <c r="A411" i="2"/>
  <c r="C411" i="2"/>
  <c r="G410" i="2"/>
  <c r="B410" i="2"/>
  <c r="A410" i="2"/>
  <c r="C410" i="2"/>
  <c r="G409" i="2"/>
  <c r="B409" i="2"/>
  <c r="A409" i="2"/>
  <c r="C409" i="2"/>
  <c r="G408" i="2"/>
  <c r="B408" i="2"/>
  <c r="A408" i="2"/>
  <c r="C408" i="2"/>
  <c r="G407" i="2"/>
  <c r="B407" i="2"/>
  <c r="A407" i="2"/>
  <c r="C407" i="2"/>
  <c r="G406" i="2"/>
  <c r="B406" i="2"/>
  <c r="A406" i="2"/>
  <c r="C406" i="2"/>
  <c r="G405" i="2"/>
  <c r="B405" i="2"/>
  <c r="A405" i="2"/>
  <c r="C405" i="2"/>
  <c r="G404" i="2"/>
  <c r="B404" i="2"/>
  <c r="A404" i="2"/>
  <c r="C404" i="2"/>
  <c r="G403" i="2"/>
  <c r="B403" i="2"/>
  <c r="A403" i="2"/>
  <c r="C403" i="2"/>
  <c r="G402" i="2"/>
  <c r="B402" i="2"/>
  <c r="A402" i="2"/>
  <c r="C402" i="2"/>
  <c r="G401" i="2"/>
  <c r="B401" i="2"/>
  <c r="A401" i="2"/>
  <c r="C401" i="2"/>
  <c r="G400" i="2"/>
  <c r="B400" i="2"/>
  <c r="A400" i="2"/>
  <c r="C400" i="2"/>
  <c r="G399" i="2"/>
  <c r="B399" i="2"/>
  <c r="A399" i="2"/>
  <c r="C399" i="2"/>
  <c r="G398" i="2"/>
  <c r="B398" i="2"/>
  <c r="A398" i="2"/>
  <c r="C398" i="2"/>
  <c r="G397" i="2"/>
  <c r="B397" i="2"/>
  <c r="A397" i="2"/>
  <c r="C397" i="2"/>
  <c r="G396" i="2"/>
  <c r="B396" i="2"/>
  <c r="A396" i="2"/>
  <c r="C396" i="2"/>
  <c r="G395" i="2"/>
  <c r="B395" i="2"/>
  <c r="A395" i="2"/>
  <c r="C395" i="2"/>
  <c r="G394" i="2"/>
  <c r="B394" i="2"/>
  <c r="A394" i="2"/>
  <c r="C394" i="2"/>
  <c r="G393" i="2"/>
  <c r="B393" i="2"/>
  <c r="A393" i="2"/>
  <c r="C393" i="2"/>
  <c r="G392" i="2"/>
  <c r="B392" i="2"/>
  <c r="A392" i="2"/>
  <c r="C392" i="2"/>
  <c r="G391" i="2"/>
  <c r="B391" i="2"/>
  <c r="A391" i="2"/>
  <c r="C391" i="2"/>
  <c r="G390" i="2"/>
  <c r="B390" i="2"/>
  <c r="A390" i="2"/>
  <c r="C390" i="2"/>
  <c r="G389" i="2"/>
  <c r="B389" i="2"/>
  <c r="A389" i="2"/>
  <c r="C389" i="2"/>
  <c r="G388" i="2"/>
  <c r="B388" i="2"/>
  <c r="A388" i="2"/>
  <c r="C388" i="2"/>
  <c r="G387" i="2"/>
  <c r="B387" i="2"/>
  <c r="A387" i="2"/>
  <c r="C387" i="2"/>
  <c r="G386" i="2"/>
  <c r="B386" i="2"/>
  <c r="A386" i="2"/>
  <c r="C386" i="2"/>
  <c r="G385" i="2"/>
  <c r="B385" i="2"/>
  <c r="A385" i="2"/>
  <c r="C385" i="2"/>
  <c r="G384" i="2"/>
  <c r="B384" i="2"/>
  <c r="A384" i="2"/>
  <c r="C384" i="2"/>
  <c r="G383" i="2"/>
  <c r="B383" i="2"/>
  <c r="A383" i="2"/>
  <c r="C383" i="2"/>
  <c r="G382" i="2"/>
  <c r="B382" i="2"/>
  <c r="A382" i="2"/>
  <c r="C382" i="2"/>
  <c r="G381" i="2"/>
  <c r="B381" i="2"/>
  <c r="A381" i="2"/>
  <c r="C381" i="2"/>
  <c r="G380" i="2"/>
  <c r="B380" i="2"/>
  <c r="A380" i="2"/>
  <c r="C380" i="2"/>
  <c r="G379" i="2"/>
  <c r="B379" i="2"/>
  <c r="A379" i="2"/>
  <c r="C379" i="2"/>
  <c r="G378" i="2"/>
  <c r="B378" i="2"/>
  <c r="A378" i="2"/>
  <c r="C378" i="2"/>
  <c r="G377" i="2"/>
  <c r="B377" i="2"/>
  <c r="A377" i="2"/>
  <c r="C377" i="2"/>
  <c r="G376" i="2"/>
  <c r="B376" i="2"/>
  <c r="A376" i="2"/>
  <c r="C376" i="2"/>
  <c r="G375" i="2"/>
  <c r="B375" i="2"/>
  <c r="A375" i="2"/>
  <c r="C375" i="2"/>
  <c r="G374" i="2"/>
  <c r="B374" i="2"/>
  <c r="A374" i="2"/>
  <c r="C374" i="2"/>
  <c r="G373" i="2"/>
  <c r="B373" i="2"/>
  <c r="A373" i="2"/>
  <c r="C373" i="2"/>
  <c r="G372" i="2"/>
  <c r="B372" i="2"/>
  <c r="A372" i="2"/>
  <c r="C372" i="2"/>
  <c r="G371" i="2"/>
  <c r="B371" i="2"/>
  <c r="A371" i="2"/>
  <c r="C371" i="2"/>
  <c r="G370" i="2"/>
  <c r="B370" i="2"/>
  <c r="A370" i="2"/>
  <c r="C370" i="2"/>
  <c r="G369" i="2"/>
  <c r="B369" i="2"/>
  <c r="A369" i="2"/>
  <c r="C369" i="2"/>
  <c r="G368" i="2"/>
  <c r="B368" i="2"/>
  <c r="A368" i="2"/>
  <c r="C368" i="2"/>
  <c r="G367" i="2"/>
  <c r="B367" i="2"/>
  <c r="A367" i="2"/>
  <c r="C367" i="2"/>
  <c r="G366" i="2"/>
  <c r="B366" i="2"/>
  <c r="A366" i="2"/>
  <c r="C366" i="2"/>
  <c r="G365" i="2"/>
  <c r="B365" i="2"/>
  <c r="A365" i="2"/>
  <c r="C365" i="2"/>
  <c r="G364" i="2"/>
  <c r="B364" i="2"/>
  <c r="A364" i="2"/>
  <c r="C364" i="2"/>
  <c r="G363" i="2"/>
  <c r="B363" i="2"/>
  <c r="A363" i="2"/>
  <c r="C363" i="2"/>
  <c r="G362" i="2"/>
  <c r="B362" i="2"/>
  <c r="A362" i="2"/>
  <c r="C362" i="2"/>
  <c r="G361" i="2"/>
  <c r="B361" i="2"/>
  <c r="A361" i="2"/>
  <c r="C361" i="2"/>
  <c r="G360" i="2"/>
  <c r="B360" i="2"/>
  <c r="A360" i="2"/>
  <c r="C360" i="2"/>
  <c r="G359" i="2"/>
  <c r="B359" i="2"/>
  <c r="A359" i="2"/>
  <c r="C359" i="2"/>
  <c r="G358" i="2"/>
  <c r="B358" i="2"/>
  <c r="A358" i="2"/>
  <c r="C358" i="2"/>
  <c r="G357" i="2"/>
  <c r="B357" i="2"/>
  <c r="A357" i="2"/>
  <c r="C357" i="2"/>
  <c r="G356" i="2"/>
  <c r="B356" i="2"/>
  <c r="A356" i="2"/>
  <c r="C356" i="2"/>
  <c r="G355" i="2"/>
  <c r="B355" i="2"/>
  <c r="A355" i="2"/>
  <c r="C355" i="2"/>
  <c r="G354" i="2"/>
  <c r="B354" i="2"/>
  <c r="A354" i="2"/>
  <c r="C354" i="2"/>
  <c r="G353" i="2"/>
  <c r="B353" i="2"/>
  <c r="A353" i="2"/>
  <c r="C353" i="2"/>
  <c r="G352" i="2"/>
  <c r="B352" i="2"/>
  <c r="A352" i="2"/>
  <c r="C352" i="2"/>
  <c r="G351" i="2"/>
  <c r="B351" i="2"/>
  <c r="A351" i="2"/>
  <c r="C351" i="2"/>
  <c r="G350" i="2"/>
  <c r="B350" i="2"/>
  <c r="A350" i="2"/>
  <c r="C350" i="2"/>
  <c r="G349" i="2"/>
  <c r="B349" i="2"/>
  <c r="A349" i="2"/>
  <c r="C349" i="2"/>
  <c r="G348" i="2"/>
  <c r="B348" i="2"/>
  <c r="A348" i="2"/>
  <c r="C348" i="2"/>
  <c r="G347" i="2"/>
  <c r="B347" i="2"/>
  <c r="A347" i="2"/>
  <c r="C347" i="2"/>
  <c r="G346" i="2"/>
  <c r="B346" i="2"/>
  <c r="A346" i="2"/>
  <c r="C346" i="2"/>
  <c r="G345" i="2"/>
  <c r="B345" i="2"/>
  <c r="A345" i="2"/>
  <c r="C345" i="2"/>
  <c r="G344" i="2"/>
  <c r="B344" i="2"/>
  <c r="A344" i="2"/>
  <c r="C344" i="2"/>
  <c r="G343" i="2"/>
  <c r="B343" i="2"/>
  <c r="A343" i="2"/>
  <c r="C343" i="2"/>
  <c r="G342" i="2"/>
  <c r="B342" i="2"/>
  <c r="A342" i="2"/>
  <c r="C342" i="2"/>
  <c r="G341" i="2"/>
  <c r="B341" i="2"/>
  <c r="A341" i="2"/>
  <c r="C341" i="2"/>
  <c r="G340" i="2"/>
  <c r="B340" i="2"/>
  <c r="A340" i="2"/>
  <c r="C340" i="2"/>
  <c r="G339" i="2"/>
  <c r="B339" i="2"/>
  <c r="A339" i="2"/>
  <c r="C339" i="2"/>
  <c r="G338" i="2"/>
  <c r="B338" i="2"/>
  <c r="A338" i="2"/>
  <c r="C338" i="2"/>
  <c r="G337" i="2"/>
  <c r="B337" i="2"/>
  <c r="A337" i="2"/>
  <c r="C337" i="2"/>
  <c r="G336" i="2"/>
  <c r="B336" i="2"/>
  <c r="A336" i="2"/>
  <c r="C336" i="2"/>
  <c r="G335" i="2"/>
  <c r="B335" i="2"/>
  <c r="A335" i="2"/>
  <c r="C335" i="2"/>
  <c r="G334" i="2"/>
  <c r="B334" i="2"/>
  <c r="A334" i="2"/>
  <c r="C334" i="2"/>
  <c r="G333" i="2"/>
  <c r="B333" i="2"/>
  <c r="A333" i="2"/>
  <c r="C333" i="2"/>
  <c r="G332" i="2"/>
  <c r="B332" i="2"/>
  <c r="A332" i="2"/>
  <c r="C332" i="2"/>
  <c r="G331" i="2"/>
  <c r="B331" i="2"/>
  <c r="A331" i="2"/>
  <c r="C331" i="2"/>
  <c r="G330" i="2"/>
  <c r="B330" i="2"/>
  <c r="A330" i="2"/>
  <c r="C330" i="2"/>
  <c r="G329" i="2"/>
  <c r="B329" i="2"/>
  <c r="A329" i="2"/>
  <c r="C329" i="2"/>
  <c r="G328" i="2"/>
  <c r="B328" i="2"/>
  <c r="A328" i="2"/>
  <c r="C328" i="2"/>
  <c r="G327" i="2"/>
  <c r="B327" i="2"/>
  <c r="A327" i="2"/>
  <c r="C327" i="2"/>
  <c r="G326" i="2"/>
  <c r="B326" i="2"/>
  <c r="A326" i="2"/>
  <c r="C326" i="2"/>
  <c r="G325" i="2"/>
  <c r="B325" i="2"/>
  <c r="A325" i="2"/>
  <c r="C325" i="2"/>
  <c r="G324" i="2"/>
  <c r="B324" i="2"/>
  <c r="A324" i="2"/>
  <c r="C324" i="2"/>
  <c r="G323" i="2"/>
  <c r="B323" i="2"/>
  <c r="A323" i="2"/>
  <c r="C323" i="2"/>
  <c r="G322" i="2"/>
  <c r="B322" i="2"/>
  <c r="A322" i="2"/>
  <c r="C322" i="2"/>
  <c r="G321" i="2"/>
  <c r="B321" i="2"/>
  <c r="A321" i="2"/>
  <c r="C321" i="2"/>
  <c r="G320" i="2"/>
  <c r="B320" i="2"/>
  <c r="A320" i="2"/>
  <c r="C320" i="2"/>
  <c r="G319" i="2"/>
  <c r="B319" i="2"/>
  <c r="A319" i="2"/>
  <c r="C319" i="2"/>
  <c r="G318" i="2"/>
  <c r="B318" i="2"/>
  <c r="A318" i="2"/>
  <c r="C318" i="2"/>
  <c r="G317" i="2"/>
  <c r="B317" i="2"/>
  <c r="A317" i="2"/>
  <c r="C317" i="2"/>
  <c r="G316" i="2"/>
  <c r="B316" i="2"/>
  <c r="A316" i="2"/>
  <c r="C316" i="2"/>
  <c r="G315" i="2"/>
  <c r="B315" i="2"/>
  <c r="A315" i="2"/>
  <c r="C315" i="2"/>
  <c r="G314" i="2"/>
  <c r="B314" i="2"/>
  <c r="A314" i="2"/>
  <c r="C314" i="2"/>
  <c r="G313" i="2"/>
  <c r="B313" i="2"/>
  <c r="A313" i="2"/>
  <c r="C313" i="2"/>
  <c r="G312" i="2"/>
  <c r="B312" i="2"/>
  <c r="A312" i="2"/>
  <c r="C312" i="2"/>
  <c r="G311" i="2"/>
  <c r="B311" i="2"/>
  <c r="A311" i="2"/>
  <c r="C311" i="2"/>
  <c r="G310" i="2"/>
  <c r="B310" i="2"/>
  <c r="A310" i="2"/>
  <c r="C310" i="2"/>
  <c r="G309" i="2"/>
  <c r="B309" i="2"/>
  <c r="A309" i="2"/>
  <c r="C309" i="2"/>
  <c r="G308" i="2"/>
  <c r="B308" i="2"/>
  <c r="A308" i="2"/>
  <c r="C308" i="2"/>
  <c r="G307" i="2"/>
  <c r="B307" i="2"/>
  <c r="A307" i="2"/>
  <c r="C307" i="2"/>
  <c r="G306" i="2"/>
  <c r="B306" i="2"/>
  <c r="A306" i="2"/>
  <c r="C306" i="2"/>
  <c r="G305" i="2"/>
  <c r="B305" i="2"/>
  <c r="A305" i="2"/>
  <c r="C305" i="2"/>
  <c r="G304" i="2"/>
  <c r="B304" i="2"/>
  <c r="A304" i="2"/>
  <c r="C304" i="2"/>
  <c r="G303" i="2"/>
  <c r="B303" i="2"/>
  <c r="A303" i="2"/>
  <c r="C303" i="2"/>
  <c r="G302" i="2"/>
  <c r="B302" i="2"/>
  <c r="A302" i="2"/>
  <c r="C302" i="2"/>
  <c r="G301" i="2"/>
  <c r="B301" i="2"/>
  <c r="A301" i="2"/>
  <c r="C301" i="2"/>
  <c r="G300" i="2"/>
  <c r="B300" i="2"/>
  <c r="A300" i="2"/>
  <c r="C300" i="2"/>
  <c r="G299" i="2"/>
  <c r="B299" i="2"/>
  <c r="A299" i="2"/>
  <c r="C299" i="2"/>
  <c r="G298" i="2"/>
  <c r="B298" i="2"/>
  <c r="A298" i="2"/>
  <c r="C298" i="2"/>
  <c r="G297" i="2"/>
  <c r="B297" i="2"/>
  <c r="A297" i="2"/>
  <c r="C297" i="2"/>
  <c r="G296" i="2"/>
  <c r="B296" i="2"/>
  <c r="A296" i="2"/>
  <c r="C296" i="2"/>
  <c r="G295" i="2"/>
  <c r="B295" i="2"/>
  <c r="A295" i="2"/>
  <c r="C295" i="2"/>
  <c r="G294" i="2"/>
  <c r="B294" i="2"/>
  <c r="A294" i="2"/>
  <c r="C294" i="2"/>
  <c r="G293" i="2"/>
  <c r="B293" i="2"/>
  <c r="A293" i="2"/>
  <c r="C293" i="2"/>
  <c r="G292" i="2"/>
  <c r="B292" i="2"/>
  <c r="A292" i="2"/>
  <c r="C292" i="2"/>
  <c r="G291" i="2"/>
  <c r="B291" i="2"/>
  <c r="A291" i="2"/>
  <c r="C291" i="2"/>
  <c r="G290" i="2"/>
  <c r="B290" i="2"/>
  <c r="A290" i="2"/>
  <c r="C290" i="2"/>
  <c r="G289" i="2"/>
  <c r="B289" i="2"/>
  <c r="A289" i="2"/>
  <c r="C289" i="2"/>
  <c r="G288" i="2"/>
  <c r="B288" i="2"/>
  <c r="A288" i="2"/>
  <c r="C288" i="2"/>
  <c r="G287" i="2"/>
  <c r="B287" i="2"/>
  <c r="A287" i="2"/>
  <c r="C287" i="2"/>
  <c r="G286" i="2"/>
  <c r="B286" i="2"/>
  <c r="A286" i="2"/>
  <c r="C286" i="2"/>
  <c r="G285" i="2"/>
  <c r="B285" i="2"/>
  <c r="A285" i="2"/>
  <c r="C285" i="2"/>
  <c r="G284" i="2"/>
  <c r="B284" i="2"/>
  <c r="A284" i="2"/>
  <c r="C284" i="2"/>
  <c r="G283" i="2"/>
  <c r="B283" i="2"/>
  <c r="A283" i="2"/>
  <c r="C283" i="2"/>
  <c r="G282" i="2"/>
  <c r="B282" i="2"/>
  <c r="A282" i="2"/>
  <c r="C282" i="2"/>
  <c r="G281" i="2"/>
  <c r="B281" i="2"/>
  <c r="A281" i="2"/>
  <c r="C281" i="2"/>
  <c r="G280" i="2"/>
  <c r="B280" i="2"/>
  <c r="A280" i="2"/>
  <c r="C280" i="2"/>
  <c r="G279" i="2"/>
  <c r="B279" i="2"/>
  <c r="A279" i="2"/>
  <c r="C279" i="2"/>
  <c r="G278" i="2"/>
  <c r="B278" i="2"/>
  <c r="A278" i="2"/>
  <c r="C278" i="2"/>
  <c r="G277" i="2"/>
  <c r="B277" i="2"/>
  <c r="A277" i="2"/>
  <c r="C277" i="2"/>
  <c r="G276" i="2"/>
  <c r="B276" i="2"/>
  <c r="A276" i="2"/>
  <c r="C276" i="2"/>
  <c r="G275" i="2"/>
  <c r="B275" i="2"/>
  <c r="A275" i="2"/>
  <c r="C275" i="2"/>
  <c r="G274" i="2"/>
  <c r="B274" i="2"/>
  <c r="A274" i="2"/>
  <c r="C274" i="2"/>
  <c r="G273" i="2"/>
  <c r="B273" i="2"/>
  <c r="A273" i="2"/>
  <c r="C273" i="2"/>
  <c r="G272" i="2"/>
  <c r="B272" i="2"/>
  <c r="A272" i="2"/>
  <c r="C272" i="2"/>
  <c r="G271" i="2"/>
  <c r="B271" i="2"/>
  <c r="A271" i="2"/>
  <c r="C271" i="2"/>
  <c r="G270" i="2"/>
  <c r="B270" i="2"/>
  <c r="A270" i="2"/>
  <c r="C270" i="2"/>
  <c r="G269" i="2"/>
  <c r="B269" i="2"/>
  <c r="A269" i="2"/>
  <c r="C269" i="2"/>
  <c r="G268" i="2"/>
  <c r="B268" i="2"/>
  <c r="A268" i="2"/>
  <c r="C268" i="2"/>
  <c r="G267" i="2"/>
  <c r="B267" i="2"/>
  <c r="A267" i="2"/>
  <c r="C267" i="2"/>
  <c r="G266" i="2"/>
  <c r="B266" i="2"/>
  <c r="A266" i="2"/>
  <c r="C266" i="2"/>
  <c r="G265" i="2"/>
  <c r="B265" i="2"/>
  <c r="A265" i="2"/>
  <c r="C265" i="2"/>
  <c r="G264" i="2"/>
  <c r="B264" i="2"/>
  <c r="A264" i="2"/>
  <c r="C264" i="2"/>
  <c r="G263" i="2"/>
  <c r="B263" i="2"/>
  <c r="A263" i="2"/>
  <c r="C263" i="2"/>
  <c r="G262" i="2"/>
  <c r="B262" i="2"/>
  <c r="A262" i="2"/>
  <c r="C262" i="2"/>
  <c r="G261" i="2"/>
  <c r="B261" i="2"/>
  <c r="A261" i="2"/>
  <c r="C261" i="2"/>
  <c r="G260" i="2"/>
  <c r="B260" i="2"/>
  <c r="A260" i="2"/>
  <c r="C260" i="2"/>
  <c r="G259" i="2"/>
  <c r="B259" i="2"/>
  <c r="A259" i="2"/>
  <c r="C259" i="2"/>
  <c r="G258" i="2"/>
  <c r="B258" i="2"/>
  <c r="A258" i="2"/>
  <c r="C258" i="2"/>
  <c r="G257" i="2"/>
  <c r="B257" i="2"/>
  <c r="A257" i="2"/>
  <c r="C257" i="2"/>
  <c r="G256" i="2"/>
  <c r="B256" i="2"/>
  <c r="A256" i="2"/>
  <c r="C256" i="2"/>
  <c r="G255" i="2"/>
  <c r="B255" i="2"/>
  <c r="A255" i="2"/>
  <c r="C255" i="2"/>
  <c r="G254" i="2"/>
  <c r="B254" i="2"/>
  <c r="A254" i="2"/>
  <c r="C254" i="2"/>
  <c r="G253" i="2"/>
  <c r="B253" i="2"/>
  <c r="A253" i="2"/>
  <c r="C253" i="2"/>
  <c r="G252" i="2"/>
  <c r="B252" i="2"/>
  <c r="A252" i="2"/>
  <c r="C252" i="2"/>
  <c r="G251" i="2"/>
  <c r="B251" i="2"/>
  <c r="A251" i="2"/>
  <c r="C251" i="2"/>
  <c r="G250" i="2"/>
  <c r="B250" i="2"/>
  <c r="A250" i="2"/>
  <c r="C250" i="2"/>
  <c r="G249" i="2"/>
  <c r="B249" i="2"/>
  <c r="A249" i="2"/>
  <c r="C249" i="2"/>
  <c r="G248" i="2"/>
  <c r="B248" i="2"/>
  <c r="A248" i="2"/>
  <c r="C248" i="2"/>
  <c r="G247" i="2"/>
  <c r="B247" i="2"/>
  <c r="A247" i="2"/>
  <c r="C247" i="2"/>
  <c r="G246" i="2"/>
  <c r="B246" i="2"/>
  <c r="A246" i="2"/>
  <c r="C246" i="2"/>
  <c r="G245" i="2"/>
  <c r="B245" i="2"/>
  <c r="A245" i="2"/>
  <c r="C245" i="2"/>
  <c r="G244" i="2"/>
  <c r="B244" i="2"/>
  <c r="A244" i="2"/>
  <c r="C244" i="2"/>
  <c r="G243" i="2"/>
  <c r="B243" i="2"/>
  <c r="A243" i="2"/>
  <c r="C243" i="2"/>
  <c r="G242" i="2"/>
  <c r="B242" i="2"/>
  <c r="A242" i="2"/>
  <c r="C242" i="2"/>
  <c r="G241" i="2"/>
  <c r="B241" i="2"/>
  <c r="A241" i="2"/>
  <c r="C241" i="2"/>
  <c r="G240" i="2"/>
  <c r="B240" i="2"/>
  <c r="A240" i="2"/>
  <c r="C240" i="2"/>
  <c r="G239" i="2"/>
  <c r="B239" i="2"/>
  <c r="A239" i="2"/>
  <c r="C239" i="2"/>
  <c r="G238" i="2"/>
  <c r="B238" i="2"/>
  <c r="A238" i="2"/>
  <c r="C238" i="2"/>
  <c r="G237" i="2"/>
  <c r="B237" i="2"/>
  <c r="A237" i="2"/>
  <c r="C237" i="2"/>
  <c r="G236" i="2"/>
  <c r="B236" i="2"/>
  <c r="A236" i="2"/>
  <c r="C236" i="2"/>
  <c r="G235" i="2"/>
  <c r="B235" i="2"/>
  <c r="A235" i="2"/>
  <c r="C235" i="2"/>
  <c r="G234" i="2"/>
  <c r="B234" i="2"/>
  <c r="A234" i="2"/>
  <c r="C234" i="2"/>
  <c r="G233" i="2"/>
  <c r="B233" i="2"/>
  <c r="A233" i="2"/>
  <c r="C233" i="2"/>
  <c r="G232" i="2"/>
  <c r="B232" i="2"/>
  <c r="A232" i="2"/>
  <c r="C232" i="2"/>
  <c r="G231" i="2"/>
  <c r="B231" i="2"/>
  <c r="A231" i="2"/>
  <c r="C231" i="2"/>
  <c r="G230" i="2"/>
  <c r="B230" i="2"/>
  <c r="A230" i="2"/>
  <c r="C230" i="2"/>
  <c r="G229" i="2"/>
  <c r="B229" i="2"/>
  <c r="A229" i="2"/>
  <c r="C229" i="2"/>
  <c r="G228" i="2"/>
  <c r="B228" i="2"/>
  <c r="A228" i="2"/>
  <c r="C228" i="2"/>
  <c r="G227" i="2"/>
  <c r="B227" i="2"/>
  <c r="A227" i="2"/>
  <c r="C227" i="2"/>
  <c r="G226" i="2"/>
  <c r="B226" i="2"/>
  <c r="A226" i="2"/>
  <c r="C226" i="2"/>
  <c r="G225" i="2"/>
  <c r="B225" i="2"/>
  <c r="A225" i="2"/>
  <c r="C225" i="2"/>
  <c r="G224" i="2"/>
  <c r="B224" i="2"/>
  <c r="A224" i="2"/>
  <c r="C224" i="2"/>
  <c r="G223" i="2"/>
  <c r="B223" i="2"/>
  <c r="A223" i="2"/>
  <c r="C223" i="2"/>
  <c r="G222" i="2"/>
  <c r="B222" i="2"/>
  <c r="A222" i="2"/>
  <c r="C222" i="2"/>
  <c r="G221" i="2"/>
  <c r="B221" i="2"/>
  <c r="A221" i="2"/>
  <c r="C221" i="2"/>
  <c r="G220" i="2"/>
  <c r="B220" i="2"/>
  <c r="A220" i="2"/>
  <c r="C220" i="2"/>
  <c r="G219" i="2"/>
  <c r="B219" i="2"/>
  <c r="A219" i="2"/>
  <c r="C219" i="2"/>
  <c r="G218" i="2"/>
  <c r="B218" i="2"/>
  <c r="A218" i="2"/>
  <c r="C218" i="2"/>
  <c r="G217" i="2"/>
  <c r="B217" i="2"/>
  <c r="A217" i="2"/>
  <c r="C217" i="2"/>
  <c r="G216" i="2"/>
  <c r="B216" i="2"/>
  <c r="A216" i="2"/>
  <c r="C216" i="2"/>
  <c r="G215" i="2"/>
  <c r="B215" i="2"/>
  <c r="A215" i="2"/>
  <c r="C215" i="2"/>
  <c r="G214" i="2"/>
  <c r="B214" i="2"/>
  <c r="A214" i="2"/>
  <c r="C214" i="2"/>
  <c r="G213" i="2"/>
  <c r="B213" i="2"/>
  <c r="A213" i="2"/>
  <c r="C213" i="2"/>
  <c r="G212" i="2"/>
  <c r="B212" i="2"/>
  <c r="A212" i="2"/>
  <c r="C212" i="2"/>
  <c r="G211" i="2"/>
  <c r="B211" i="2"/>
  <c r="A211" i="2"/>
  <c r="C211" i="2"/>
  <c r="G210" i="2"/>
  <c r="B210" i="2"/>
  <c r="A210" i="2"/>
  <c r="C210" i="2"/>
  <c r="G209" i="2"/>
  <c r="B209" i="2"/>
  <c r="A209" i="2"/>
  <c r="C209" i="2"/>
  <c r="G208" i="2"/>
  <c r="B208" i="2"/>
  <c r="A208" i="2"/>
  <c r="C208" i="2"/>
  <c r="G207" i="2"/>
  <c r="B207" i="2"/>
  <c r="A207" i="2"/>
  <c r="C207" i="2"/>
  <c r="G206" i="2"/>
  <c r="B206" i="2"/>
  <c r="A206" i="2"/>
  <c r="C206" i="2"/>
  <c r="G205" i="2"/>
  <c r="B205" i="2"/>
  <c r="A205" i="2"/>
  <c r="C205" i="2"/>
  <c r="G204" i="2"/>
  <c r="B204" i="2"/>
  <c r="A204" i="2"/>
  <c r="C204" i="2"/>
  <c r="G203" i="2"/>
  <c r="B203" i="2"/>
  <c r="A203" i="2"/>
  <c r="C203" i="2"/>
  <c r="G202" i="2"/>
  <c r="B202" i="2"/>
  <c r="A202" i="2"/>
  <c r="C202" i="2"/>
  <c r="G201" i="2"/>
  <c r="B201" i="2"/>
  <c r="A201" i="2"/>
  <c r="C201" i="2"/>
  <c r="G200" i="2"/>
  <c r="B200" i="2"/>
  <c r="A200" i="2"/>
  <c r="C200" i="2"/>
  <c r="G199" i="2"/>
  <c r="B199" i="2"/>
  <c r="A199" i="2"/>
  <c r="C199" i="2"/>
  <c r="G198" i="2"/>
  <c r="B198" i="2"/>
  <c r="A198" i="2"/>
  <c r="C198" i="2"/>
  <c r="G197" i="2"/>
  <c r="B197" i="2"/>
  <c r="A197" i="2"/>
  <c r="C197" i="2"/>
  <c r="G196" i="2"/>
  <c r="B196" i="2"/>
  <c r="A196" i="2"/>
  <c r="C196" i="2"/>
  <c r="G195" i="2"/>
  <c r="B195" i="2"/>
  <c r="A195" i="2"/>
  <c r="C195" i="2"/>
  <c r="G194" i="2"/>
  <c r="B194" i="2"/>
  <c r="A194" i="2"/>
  <c r="C194" i="2"/>
  <c r="G193" i="2"/>
  <c r="B193" i="2"/>
  <c r="A193" i="2"/>
  <c r="C193" i="2"/>
  <c r="G192" i="2"/>
  <c r="B192" i="2"/>
  <c r="A192" i="2"/>
  <c r="C192" i="2"/>
  <c r="G191" i="2"/>
  <c r="B191" i="2"/>
  <c r="A191" i="2"/>
  <c r="C191" i="2"/>
  <c r="G190" i="2"/>
  <c r="B190" i="2"/>
  <c r="A190" i="2"/>
  <c r="C190" i="2"/>
  <c r="G189" i="2"/>
  <c r="B189" i="2"/>
  <c r="A189" i="2"/>
  <c r="C189" i="2"/>
  <c r="G188" i="2"/>
  <c r="J2031" i="2"/>
  <c r="B188" i="2"/>
  <c r="A188" i="2"/>
  <c r="C188" i="2" s="1"/>
  <c r="G187" i="2"/>
  <c r="B187" i="2"/>
  <c r="A187" i="2"/>
  <c r="G186" i="2"/>
  <c r="B186" i="2"/>
  <c r="A186" i="2"/>
  <c r="C186" i="2" s="1"/>
  <c r="G185" i="2"/>
  <c r="B185" i="2"/>
  <c r="A185" i="2"/>
  <c r="G184" i="2"/>
  <c r="B184" i="2"/>
  <c r="A184" i="2"/>
  <c r="C184" i="2" s="1"/>
  <c r="G183" i="2"/>
  <c r="B183" i="2"/>
  <c r="A183" i="2"/>
  <c r="G182" i="2"/>
  <c r="B182" i="2"/>
  <c r="A182" i="2"/>
  <c r="C182" i="2" s="1"/>
  <c r="G181" i="2"/>
  <c r="B181" i="2"/>
  <c r="A181" i="2"/>
  <c r="G180" i="2"/>
  <c r="B180" i="2"/>
  <c r="A180" i="2"/>
  <c r="C180" i="2" s="1"/>
  <c r="G179" i="2"/>
  <c r="B179" i="2"/>
  <c r="A179" i="2"/>
  <c r="G178" i="2"/>
  <c r="B178" i="2"/>
  <c r="A178" i="2"/>
  <c r="C178" i="2" s="1"/>
  <c r="G177" i="2"/>
  <c r="B177" i="2"/>
  <c r="A177" i="2"/>
  <c r="G176" i="2"/>
  <c r="B176" i="2"/>
  <c r="A176" i="2"/>
  <c r="C176" i="2" s="1"/>
  <c r="G175" i="2"/>
  <c r="B175" i="2"/>
  <c r="A175" i="2"/>
  <c r="G174" i="2"/>
  <c r="B174" i="2"/>
  <c r="A174" i="2"/>
  <c r="C174" i="2" s="1"/>
  <c r="G173" i="2"/>
  <c r="B173" i="2"/>
  <c r="A173" i="2"/>
  <c r="G172" i="2"/>
  <c r="B172" i="2"/>
  <c r="A172" i="2"/>
  <c r="C172" i="2" s="1"/>
  <c r="G171" i="2"/>
  <c r="B171" i="2"/>
  <c r="A171" i="2"/>
  <c r="G170" i="2"/>
  <c r="B170" i="2"/>
  <c r="A170" i="2"/>
  <c r="C170" i="2" s="1"/>
  <c r="G169" i="2"/>
  <c r="B169" i="2"/>
  <c r="A169" i="2"/>
  <c r="G168" i="2"/>
  <c r="B168" i="2"/>
  <c r="A168" i="2"/>
  <c r="C168" i="2" s="1"/>
  <c r="G167" i="2"/>
  <c r="B167" i="2"/>
  <c r="A167" i="2"/>
  <c r="G166" i="2"/>
  <c r="B166" i="2"/>
  <c r="A166" i="2"/>
  <c r="C166" i="2" s="1"/>
  <c r="G165" i="2"/>
  <c r="B165" i="2"/>
  <c r="A165" i="2"/>
  <c r="G164" i="2"/>
  <c r="B164" i="2"/>
  <c r="A164" i="2"/>
  <c r="C164" i="2" s="1"/>
  <c r="G163" i="2"/>
  <c r="B163" i="2"/>
  <c r="A163" i="2"/>
  <c r="G162" i="2"/>
  <c r="B162" i="2"/>
  <c r="A162" i="2"/>
  <c r="C162" i="2" s="1"/>
  <c r="G161" i="2"/>
  <c r="B161" i="2"/>
  <c r="A161" i="2"/>
  <c r="G160" i="2"/>
  <c r="B160" i="2"/>
  <c r="A160" i="2"/>
  <c r="C160" i="2" s="1"/>
  <c r="G159" i="2"/>
  <c r="B159" i="2"/>
  <c r="A159" i="2"/>
  <c r="G158" i="2"/>
  <c r="B158" i="2"/>
  <c r="A158" i="2"/>
  <c r="C158" i="2" s="1"/>
  <c r="G157" i="2"/>
  <c r="B157" i="2"/>
  <c r="A157" i="2"/>
  <c r="G156" i="2"/>
  <c r="B156" i="2"/>
  <c r="A156" i="2"/>
  <c r="C156" i="2" s="1"/>
  <c r="G155" i="2"/>
  <c r="B155" i="2"/>
  <c r="A155" i="2"/>
  <c r="G154" i="2"/>
  <c r="B154" i="2"/>
  <c r="A154" i="2"/>
  <c r="C154" i="2" s="1"/>
  <c r="G153" i="2"/>
  <c r="B153" i="2"/>
  <c r="A153" i="2"/>
  <c r="G152" i="2"/>
  <c r="B152" i="2"/>
  <c r="A152" i="2"/>
  <c r="C152" i="2" s="1"/>
  <c r="G151" i="2"/>
  <c r="B151" i="2"/>
  <c r="A151" i="2"/>
  <c r="G150" i="2"/>
  <c r="B150" i="2"/>
  <c r="A150" i="2"/>
  <c r="C150" i="2" s="1"/>
  <c r="G149" i="2"/>
  <c r="B149" i="2"/>
  <c r="A149" i="2"/>
  <c r="G148" i="2"/>
  <c r="B148" i="2"/>
  <c r="A148" i="2"/>
  <c r="C148" i="2" s="1"/>
  <c r="G147" i="2"/>
  <c r="B147" i="2"/>
  <c r="A147" i="2"/>
  <c r="G146" i="2"/>
  <c r="B146" i="2"/>
  <c r="A146" i="2"/>
  <c r="C146" i="2" s="1"/>
  <c r="G145" i="2"/>
  <c r="B145" i="2"/>
  <c r="A145" i="2"/>
  <c r="G144" i="2"/>
  <c r="B144" i="2"/>
  <c r="A144" i="2"/>
  <c r="C144" i="2" s="1"/>
  <c r="G143" i="2"/>
  <c r="B143" i="2"/>
  <c r="A143" i="2"/>
  <c r="G142" i="2"/>
  <c r="B142" i="2"/>
  <c r="A142" i="2"/>
  <c r="C142" i="2" s="1"/>
  <c r="G141" i="2"/>
  <c r="B141" i="2"/>
  <c r="A141" i="2"/>
  <c r="G140" i="2"/>
  <c r="B140" i="2"/>
  <c r="A140" i="2"/>
  <c r="C140" i="2" s="1"/>
  <c r="G139" i="2"/>
  <c r="B139" i="2"/>
  <c r="A139" i="2"/>
  <c r="G138" i="2"/>
  <c r="B138" i="2"/>
  <c r="A138" i="2"/>
  <c r="C138" i="2" s="1"/>
  <c r="G137" i="2"/>
  <c r="B137" i="2"/>
  <c r="A137" i="2"/>
  <c r="G136" i="2"/>
  <c r="B136" i="2"/>
  <c r="A136" i="2"/>
  <c r="C136" i="2" s="1"/>
  <c r="G135" i="2"/>
  <c r="B135" i="2"/>
  <c r="A135" i="2"/>
  <c r="G134" i="2"/>
  <c r="B134" i="2"/>
  <c r="A134" i="2"/>
  <c r="C134" i="2" s="1"/>
  <c r="G133" i="2"/>
  <c r="B133" i="2"/>
  <c r="A133" i="2"/>
  <c r="G132" i="2"/>
  <c r="B132" i="2"/>
  <c r="A132" i="2"/>
  <c r="C132" i="2" s="1"/>
  <c r="G131" i="2"/>
  <c r="B131" i="2"/>
  <c r="A131" i="2"/>
  <c r="G130" i="2"/>
  <c r="B130" i="2"/>
  <c r="A130" i="2"/>
  <c r="C130" i="2" s="1"/>
  <c r="G129" i="2"/>
  <c r="B129" i="2"/>
  <c r="A129" i="2"/>
  <c r="G128" i="2"/>
  <c r="B128" i="2"/>
  <c r="A128" i="2"/>
  <c r="C128" i="2" s="1"/>
  <c r="G127" i="2"/>
  <c r="B127" i="2"/>
  <c r="A127" i="2"/>
  <c r="G126" i="2"/>
  <c r="B126" i="2"/>
  <c r="A126" i="2"/>
  <c r="C126" i="2" s="1"/>
  <c r="G125" i="2"/>
  <c r="B125" i="2"/>
  <c r="A125" i="2"/>
  <c r="G124" i="2"/>
  <c r="B124" i="2"/>
  <c r="A124" i="2"/>
  <c r="C124" i="2" s="1"/>
  <c r="G123" i="2"/>
  <c r="B123" i="2"/>
  <c r="A123" i="2"/>
  <c r="G122" i="2"/>
  <c r="B122" i="2"/>
  <c r="A122" i="2"/>
  <c r="C122" i="2" s="1"/>
  <c r="G121" i="2"/>
  <c r="B121" i="2"/>
  <c r="A121" i="2"/>
  <c r="G120" i="2"/>
  <c r="B120" i="2"/>
  <c r="A120" i="2"/>
  <c r="C120" i="2" s="1"/>
  <c r="G119" i="2"/>
  <c r="B119" i="2"/>
  <c r="A119" i="2"/>
  <c r="G118" i="2"/>
  <c r="B118" i="2"/>
  <c r="A118" i="2"/>
  <c r="C118" i="2" s="1"/>
  <c r="G117" i="2"/>
  <c r="B117" i="2"/>
  <c r="A117" i="2"/>
  <c r="G116" i="2"/>
  <c r="B116" i="2"/>
  <c r="A116" i="2"/>
  <c r="C116" i="2" s="1"/>
  <c r="G115" i="2"/>
  <c r="B115" i="2"/>
  <c r="A115" i="2"/>
  <c r="G114" i="2"/>
  <c r="B114" i="2"/>
  <c r="A114" i="2"/>
  <c r="C114" i="2" s="1"/>
  <c r="G113" i="2"/>
  <c r="B113" i="2"/>
  <c r="A113" i="2"/>
  <c r="G112" i="2"/>
  <c r="B112" i="2"/>
  <c r="A112" i="2"/>
  <c r="C112" i="2" s="1"/>
  <c r="G111" i="2"/>
  <c r="B111" i="2"/>
  <c r="A111" i="2"/>
  <c r="G110" i="2"/>
  <c r="B110" i="2"/>
  <c r="A110" i="2"/>
  <c r="C110" i="2" s="1"/>
  <c r="G109" i="2"/>
  <c r="B109" i="2"/>
  <c r="A109" i="2"/>
  <c r="G108" i="2"/>
  <c r="B108" i="2"/>
  <c r="A108" i="2"/>
  <c r="C108" i="2" s="1"/>
  <c r="G107" i="2"/>
  <c r="B107" i="2"/>
  <c r="A107" i="2"/>
  <c r="G106" i="2"/>
  <c r="B106" i="2"/>
  <c r="A106" i="2"/>
  <c r="C106" i="2" s="1"/>
  <c r="G105" i="2"/>
  <c r="B105" i="2"/>
  <c r="A105" i="2"/>
  <c r="G104" i="2"/>
  <c r="B104" i="2"/>
  <c r="A104" i="2"/>
  <c r="C104" i="2" s="1"/>
  <c r="G103" i="2"/>
  <c r="B103" i="2"/>
  <c r="A103" i="2"/>
  <c r="G102" i="2"/>
  <c r="B102" i="2"/>
  <c r="A102" i="2"/>
  <c r="C102" i="2" s="1"/>
  <c r="G101" i="2"/>
  <c r="B101" i="2"/>
  <c r="A101" i="2"/>
  <c r="G100" i="2"/>
  <c r="B100" i="2"/>
  <c r="A100" i="2"/>
  <c r="C100" i="2" s="1"/>
  <c r="G99" i="2"/>
  <c r="B99" i="2"/>
  <c r="A99" i="2"/>
  <c r="G98" i="2"/>
  <c r="B98" i="2"/>
  <c r="A98" i="2"/>
  <c r="C98" i="2" s="1"/>
  <c r="G97" i="2"/>
  <c r="B97" i="2"/>
  <c r="A97" i="2"/>
  <c r="G96" i="2"/>
  <c r="B96" i="2"/>
  <c r="A96" i="2"/>
  <c r="C96" i="2" s="1"/>
  <c r="G95" i="2"/>
  <c r="B95" i="2"/>
  <c r="A95" i="2"/>
  <c r="G94" i="2"/>
  <c r="B94" i="2"/>
  <c r="A94" i="2"/>
  <c r="C94" i="2" s="1"/>
  <c r="G93" i="2"/>
  <c r="B93" i="2"/>
  <c r="A93" i="2"/>
  <c r="G92" i="2"/>
  <c r="B92" i="2"/>
  <c r="A92" i="2"/>
  <c r="C92" i="2" s="1"/>
  <c r="G91" i="2"/>
  <c r="B91" i="2"/>
  <c r="A91" i="2"/>
  <c r="G90" i="2"/>
  <c r="B90" i="2"/>
  <c r="A90" i="2"/>
  <c r="C90" i="2" s="1"/>
  <c r="G89" i="2"/>
  <c r="B89" i="2"/>
  <c r="A89" i="2"/>
  <c r="G88" i="2"/>
  <c r="B88" i="2"/>
  <c r="A88" i="2"/>
  <c r="C88" i="2" s="1"/>
  <c r="G87" i="2"/>
  <c r="B87" i="2"/>
  <c r="A87" i="2"/>
  <c r="G86" i="2"/>
  <c r="B86" i="2"/>
  <c r="A86" i="2"/>
  <c r="C86" i="2" s="1"/>
  <c r="G85" i="2"/>
  <c r="B85" i="2"/>
  <c r="A85" i="2"/>
  <c r="G84" i="2"/>
  <c r="B84" i="2"/>
  <c r="A84" i="2"/>
  <c r="C84" i="2" s="1"/>
  <c r="G83" i="2"/>
  <c r="B83" i="2"/>
  <c r="A83" i="2"/>
  <c r="G82" i="2"/>
  <c r="B82" i="2"/>
  <c r="A82" i="2"/>
  <c r="C82" i="2" s="1"/>
  <c r="G81" i="2"/>
  <c r="B81" i="2"/>
  <c r="A81" i="2"/>
  <c r="G80" i="2"/>
  <c r="B80" i="2"/>
  <c r="A80" i="2"/>
  <c r="C80" i="2" s="1"/>
  <c r="G79" i="2"/>
  <c r="B79" i="2"/>
  <c r="A79" i="2"/>
  <c r="G78" i="2"/>
  <c r="B78" i="2"/>
  <c r="A78" i="2"/>
  <c r="C78" i="2" s="1"/>
  <c r="G77" i="2"/>
  <c r="B77" i="2"/>
  <c r="A77" i="2"/>
  <c r="G76" i="2"/>
  <c r="B76" i="2"/>
  <c r="A76" i="2"/>
  <c r="C76" i="2" s="1"/>
  <c r="G75" i="2"/>
  <c r="B75" i="2"/>
  <c r="A75" i="2"/>
  <c r="G74" i="2"/>
  <c r="B74" i="2"/>
  <c r="A74" i="2"/>
  <c r="C74" i="2" s="1"/>
  <c r="G73" i="2"/>
  <c r="B73" i="2"/>
  <c r="A73" i="2"/>
  <c r="G72" i="2"/>
  <c r="B72" i="2"/>
  <c r="A72" i="2"/>
  <c r="C72" i="2" s="1"/>
  <c r="G71" i="2"/>
  <c r="B71" i="2"/>
  <c r="A71" i="2"/>
  <c r="G70" i="2"/>
  <c r="B70" i="2"/>
  <c r="A70" i="2"/>
  <c r="C70" i="2" s="1"/>
  <c r="G69" i="2"/>
  <c r="B69" i="2"/>
  <c r="A69" i="2"/>
  <c r="G68" i="2"/>
  <c r="B68" i="2"/>
  <c r="A68" i="2"/>
  <c r="C68" i="2" s="1"/>
  <c r="G67" i="2"/>
  <c r="B67" i="2"/>
  <c r="A67" i="2"/>
  <c r="G66" i="2"/>
  <c r="B66" i="2"/>
  <c r="A66" i="2"/>
  <c r="C66" i="2" s="1"/>
  <c r="G65" i="2"/>
  <c r="B65" i="2"/>
  <c r="A65" i="2"/>
  <c r="G64" i="2"/>
  <c r="B64" i="2"/>
  <c r="A64" i="2"/>
  <c r="C64" i="2" s="1"/>
  <c r="G63" i="2"/>
  <c r="B63" i="2"/>
  <c r="A63" i="2"/>
  <c r="G62" i="2"/>
  <c r="B62" i="2"/>
  <c r="A62" i="2"/>
  <c r="C62" i="2" s="1"/>
  <c r="G61" i="2"/>
  <c r="B61" i="2"/>
  <c r="A61" i="2"/>
  <c r="G60" i="2"/>
  <c r="B60" i="2"/>
  <c r="A60" i="2"/>
  <c r="C60" i="2" s="1"/>
  <c r="G59" i="2"/>
  <c r="B59" i="2"/>
  <c r="A59" i="2"/>
  <c r="G58" i="2"/>
  <c r="B58" i="2"/>
  <c r="A58" i="2"/>
  <c r="C58" i="2" s="1"/>
  <c r="G57" i="2"/>
  <c r="B57" i="2"/>
  <c r="A57" i="2"/>
  <c r="G56" i="2"/>
  <c r="B56" i="2"/>
  <c r="A56" i="2"/>
  <c r="C56" i="2" s="1"/>
  <c r="G55" i="2"/>
  <c r="B55" i="2"/>
  <c r="A55" i="2"/>
  <c r="G54" i="2"/>
  <c r="B54" i="2"/>
  <c r="A54" i="2"/>
  <c r="C54" i="2" s="1"/>
  <c r="G53" i="2"/>
  <c r="B53" i="2"/>
  <c r="A53" i="2"/>
  <c r="G52" i="2"/>
  <c r="B52" i="2"/>
  <c r="A52" i="2"/>
  <c r="C52" i="2" s="1"/>
  <c r="G51" i="2"/>
  <c r="B51" i="2"/>
  <c r="A51" i="2"/>
  <c r="G50" i="2"/>
  <c r="B50" i="2"/>
  <c r="A50" i="2"/>
  <c r="C50" i="2" s="1"/>
  <c r="G49" i="2"/>
  <c r="B49" i="2"/>
  <c r="A49" i="2"/>
  <c r="G48" i="2"/>
  <c r="B48" i="2"/>
  <c r="A48" i="2"/>
  <c r="C48" i="2" s="1"/>
  <c r="G47" i="2"/>
  <c r="B47" i="2"/>
  <c r="A47" i="2"/>
  <c r="G46" i="2"/>
  <c r="B46" i="2"/>
  <c r="A46" i="2"/>
  <c r="C46" i="2" s="1"/>
  <c r="G45" i="2"/>
  <c r="B45" i="2"/>
  <c r="A45" i="2"/>
  <c r="G44" i="2"/>
  <c r="B44" i="2"/>
  <c r="A44" i="2"/>
  <c r="C44" i="2" s="1"/>
  <c r="G43" i="2"/>
  <c r="B43" i="2"/>
  <c r="A43" i="2"/>
  <c r="G42" i="2"/>
  <c r="B42" i="2"/>
  <c r="A42" i="2"/>
  <c r="C42" i="2" s="1"/>
  <c r="G41" i="2"/>
  <c r="B41" i="2"/>
  <c r="A41" i="2"/>
  <c r="G40" i="2"/>
  <c r="B40" i="2"/>
  <c r="A40" i="2"/>
  <c r="C40" i="2" s="1"/>
  <c r="G39" i="2"/>
  <c r="B39" i="2"/>
  <c r="A39" i="2"/>
  <c r="G38" i="2"/>
  <c r="B38" i="2"/>
  <c r="A38" i="2"/>
  <c r="C38" i="2" s="1"/>
  <c r="G37" i="2"/>
  <c r="B37" i="2"/>
  <c r="A37" i="2"/>
  <c r="G36" i="2"/>
  <c r="B36" i="2"/>
  <c r="A36" i="2"/>
  <c r="C36" i="2" s="1"/>
  <c r="G35" i="2"/>
  <c r="B35" i="2"/>
  <c r="A35" i="2"/>
  <c r="G34" i="2"/>
  <c r="B34" i="2"/>
  <c r="A34" i="2"/>
  <c r="C34" i="2" s="1"/>
  <c r="G33" i="2"/>
  <c r="B33" i="2"/>
  <c r="A33" i="2"/>
  <c r="G32" i="2"/>
  <c r="B32" i="2"/>
  <c r="A32" i="2"/>
  <c r="C32" i="2" s="1"/>
  <c r="G31" i="2"/>
  <c r="B31" i="2"/>
  <c r="A31" i="2"/>
  <c r="G30" i="2"/>
  <c r="B30" i="2"/>
  <c r="A30" i="2"/>
  <c r="C30" i="2" s="1"/>
  <c r="G29" i="2"/>
  <c r="B29" i="2"/>
  <c r="A29" i="2"/>
  <c r="G28" i="2"/>
  <c r="B28" i="2"/>
  <c r="A28" i="2"/>
  <c r="C28" i="2" s="1"/>
  <c r="G27" i="2"/>
  <c r="B27" i="2"/>
  <c r="A27" i="2"/>
  <c r="G26" i="2"/>
  <c r="B26" i="2"/>
  <c r="A26" i="2"/>
  <c r="C26" i="2" s="1"/>
  <c r="G25" i="2"/>
  <c r="B25" i="2"/>
  <c r="A25" i="2"/>
  <c r="G24" i="2"/>
  <c r="B24" i="2"/>
  <c r="A24" i="2"/>
  <c r="C24" i="2" s="1"/>
  <c r="G23" i="2"/>
  <c r="B23" i="2"/>
  <c r="A23" i="2"/>
  <c r="G22" i="2"/>
  <c r="B22" i="2"/>
  <c r="A22" i="2"/>
  <c r="C22" i="2" s="1"/>
  <c r="G21" i="2"/>
  <c r="B21" i="2"/>
  <c r="A21" i="2"/>
  <c r="G20" i="2"/>
  <c r="B20" i="2"/>
  <c r="A20" i="2"/>
  <c r="C20" i="2" s="1"/>
  <c r="G19" i="2"/>
  <c r="B19" i="2"/>
  <c r="A19" i="2"/>
  <c r="G18" i="2"/>
  <c r="B18" i="2"/>
  <c r="A18" i="2"/>
  <c r="C18" i="2" s="1"/>
  <c r="G17" i="2"/>
  <c r="B17" i="2"/>
  <c r="A17" i="2"/>
  <c r="G16" i="2"/>
  <c r="B16" i="2"/>
  <c r="A16" i="2"/>
  <c r="C16" i="2" s="1"/>
  <c r="G15" i="2"/>
  <c r="B15" i="2"/>
  <c r="A15" i="2"/>
  <c r="G14" i="2"/>
  <c r="B14" i="2"/>
  <c r="A14" i="2"/>
  <c r="C14" i="2" s="1"/>
  <c r="G13" i="2"/>
  <c r="B13" i="2"/>
  <c r="A13" i="2"/>
  <c r="G12" i="2"/>
  <c r="B12" i="2"/>
  <c r="A12" i="2"/>
  <c r="C12" i="2" s="1"/>
  <c r="G11" i="2"/>
  <c r="B11" i="2"/>
  <c r="A11" i="2"/>
  <c r="G10" i="2"/>
  <c r="B10" i="2"/>
  <c r="A10" i="2"/>
  <c r="C10" i="2" s="1"/>
  <c r="G9" i="2"/>
  <c r="B9" i="2"/>
  <c r="A9" i="2"/>
  <c r="G8" i="2"/>
  <c r="B8" i="2"/>
  <c r="A8" i="2"/>
  <c r="C8" i="2" s="1"/>
  <c r="G7" i="2"/>
  <c r="B7" i="2"/>
  <c r="A7" i="2"/>
  <c r="G6" i="2"/>
  <c r="B6" i="2"/>
  <c r="A6" i="2"/>
  <c r="C6" i="2" s="1"/>
  <c r="G5" i="2"/>
  <c r="B5" i="2"/>
  <c r="A5" i="2"/>
  <c r="G4" i="2"/>
  <c r="B4" i="2"/>
  <c r="A4" i="2"/>
  <c r="C4" i="2" s="1"/>
  <c r="G3" i="2"/>
  <c r="B3" i="2"/>
  <c r="A3" i="2"/>
  <c r="L89" i="52097"/>
  <c r="D218" i="21"/>
  <c r="C2122" i="2"/>
  <c r="E213" i="52080"/>
  <c r="E207" i="52080"/>
  <c r="E60" i="52080"/>
  <c r="E235" i="52080" s="1"/>
  <c r="E57" i="52080"/>
  <c r="E56" i="52080"/>
  <c r="E38" i="52080" s="1"/>
  <c r="E60" i="52081"/>
  <c r="E57" i="52081"/>
  <c r="E56" i="52081"/>
  <c r="E213" i="52081"/>
  <c r="I213" i="52081" s="1"/>
  <c r="E207" i="52081"/>
  <c r="E213" i="52072"/>
  <c r="E207" i="52072"/>
  <c r="E213" i="52066"/>
  <c r="E207" i="52066"/>
  <c r="E213" i="48"/>
  <c r="E207" i="48"/>
  <c r="E213" i="91"/>
  <c r="F212" i="52103" s="1"/>
  <c r="E207" i="91"/>
  <c r="F206" i="52103" s="1"/>
  <c r="E213" i="32"/>
  <c r="E207" i="32"/>
  <c r="E213" i="52095"/>
  <c r="I213" i="52095" s="1"/>
  <c r="E207" i="52095"/>
  <c r="E213" i="52094"/>
  <c r="E207" i="52094"/>
  <c r="E213" i="52093"/>
  <c r="E207" i="52093"/>
  <c r="E213" i="52092"/>
  <c r="E207" i="52092"/>
  <c r="E213" i="52091"/>
  <c r="E207" i="52091"/>
  <c r="E213" i="52090"/>
  <c r="I213" i="52090" s="1"/>
  <c r="E207" i="52090"/>
  <c r="E213" i="52089"/>
  <c r="E207" i="52089"/>
  <c r="F206" i="52102"/>
  <c r="E213" i="77"/>
  <c r="I213" i="77"/>
  <c r="E207" i="77"/>
  <c r="E213" i="12"/>
  <c r="I213" i="12" s="1"/>
  <c r="E207" i="12"/>
  <c r="E213" i="20"/>
  <c r="E207" i="20"/>
  <c r="E213" i="115"/>
  <c r="F212" i="52104" s="1"/>
  <c r="E207" i="115"/>
  <c r="F206" i="52104" s="1"/>
  <c r="E213" i="114"/>
  <c r="E207" i="114"/>
  <c r="E213" i="52071"/>
  <c r="E207" i="52071"/>
  <c r="E213" i="52079"/>
  <c r="E207" i="52079"/>
  <c r="E213" i="52067"/>
  <c r="I213" i="52067" s="1"/>
  <c r="E207" i="52067"/>
  <c r="E213" i="101"/>
  <c r="E207" i="101"/>
  <c r="E213" i="52088"/>
  <c r="E207" i="52088"/>
  <c r="E213" i="52087"/>
  <c r="E207" i="52087"/>
  <c r="E213" i="108"/>
  <c r="E207" i="108"/>
  <c r="E213" i="105"/>
  <c r="E207" i="105"/>
  <c r="E213" i="148"/>
  <c r="E207" i="148"/>
  <c r="E213" i="52064"/>
  <c r="E207" i="52064"/>
  <c r="E207" i="21"/>
  <c r="E213" i="21"/>
  <c r="G2838" i="52069"/>
  <c r="B2838" i="52069"/>
  <c r="A2838" i="52069"/>
  <c r="C2838" i="52069" s="1"/>
  <c r="G2837" i="52069"/>
  <c r="B2837" i="52069"/>
  <c r="A2837" i="52069"/>
  <c r="G2836" i="52069"/>
  <c r="B2836" i="52069"/>
  <c r="A2836" i="52069"/>
  <c r="C2836" i="52069" s="1"/>
  <c r="G2835" i="52069"/>
  <c r="B2835" i="52069"/>
  <c r="A2835" i="52069"/>
  <c r="G2834" i="52069"/>
  <c r="B2834" i="52069"/>
  <c r="A2834" i="52069"/>
  <c r="C2834" i="52069" s="1"/>
  <c r="G2833" i="52069"/>
  <c r="B2833" i="52069"/>
  <c r="A2833" i="52069"/>
  <c r="G2832" i="52069"/>
  <c r="B2832" i="52069"/>
  <c r="A2832" i="52069"/>
  <c r="C2832" i="52069" s="1"/>
  <c r="G2831" i="52069"/>
  <c r="B2831" i="52069"/>
  <c r="A2831" i="52069"/>
  <c r="G2830" i="52069"/>
  <c r="B2830" i="52069"/>
  <c r="A2830" i="52069"/>
  <c r="C2830" i="52069" s="1"/>
  <c r="G2829" i="52069"/>
  <c r="B2829" i="52069"/>
  <c r="A2829" i="52069"/>
  <c r="G2828" i="52069"/>
  <c r="B2828" i="52069"/>
  <c r="A2828" i="52069"/>
  <c r="C2828" i="52069" s="1"/>
  <c r="G2827" i="52069"/>
  <c r="B2827" i="52069"/>
  <c r="A2827" i="52069"/>
  <c r="G2826" i="52069"/>
  <c r="B2826" i="52069"/>
  <c r="A2826" i="52069"/>
  <c r="C2826" i="52069" s="1"/>
  <c r="G2825" i="52069"/>
  <c r="B2825" i="52069"/>
  <c r="A2825" i="52069"/>
  <c r="G2824" i="52069"/>
  <c r="B2824" i="52069"/>
  <c r="A2824" i="52069"/>
  <c r="C2824" i="52069" s="1"/>
  <c r="G2823" i="52069"/>
  <c r="B2823" i="52069"/>
  <c r="A2823" i="52069"/>
  <c r="G2822" i="52069"/>
  <c r="B2822" i="52069"/>
  <c r="A2822" i="52069"/>
  <c r="C2822" i="52069" s="1"/>
  <c r="G2821" i="52069"/>
  <c r="B2821" i="52069"/>
  <c r="A2821" i="52069"/>
  <c r="G2820" i="52069"/>
  <c r="B2820" i="52069"/>
  <c r="A2820" i="52069"/>
  <c r="C2820" i="52069" s="1"/>
  <c r="G2819" i="52069"/>
  <c r="B2819" i="52069"/>
  <c r="A2819" i="52069"/>
  <c r="G2818" i="52069"/>
  <c r="B2818" i="52069"/>
  <c r="A2818" i="52069"/>
  <c r="C2818" i="52069" s="1"/>
  <c r="G2817" i="52069"/>
  <c r="B2817" i="52069"/>
  <c r="A2817" i="52069"/>
  <c r="G2816" i="52069"/>
  <c r="B2816" i="52069"/>
  <c r="A2816" i="52069"/>
  <c r="C2816" i="52069" s="1"/>
  <c r="G2815" i="52069"/>
  <c r="B2815" i="52069"/>
  <c r="A2815" i="52069"/>
  <c r="G2814" i="52069"/>
  <c r="K2839" i="52069" s="1"/>
  <c r="B2814" i="52069"/>
  <c r="A2814" i="52069"/>
  <c r="C2814" i="52069" s="1"/>
  <c r="G2813" i="52069"/>
  <c r="B2813" i="52069"/>
  <c r="A2813" i="52069"/>
  <c r="C2813" i="52069" s="1"/>
  <c r="G2812" i="52069"/>
  <c r="B2812" i="52069"/>
  <c r="A2812" i="52069"/>
  <c r="C2812" i="52069" s="1"/>
  <c r="G2811" i="52069"/>
  <c r="B2811" i="52069"/>
  <c r="A2811" i="52069"/>
  <c r="C2811" i="52069" s="1"/>
  <c r="G2810" i="52069"/>
  <c r="B2810" i="52069"/>
  <c r="A2810" i="52069"/>
  <c r="C2810" i="52069" s="1"/>
  <c r="G2809" i="52069"/>
  <c r="B2809" i="52069"/>
  <c r="A2809" i="52069"/>
  <c r="C2809" i="52069" s="1"/>
  <c r="G2808" i="52069"/>
  <c r="B2808" i="52069"/>
  <c r="A2808" i="52069"/>
  <c r="C2808" i="52069" s="1"/>
  <c r="G2807" i="52069"/>
  <c r="B2807" i="52069"/>
  <c r="A2807" i="52069"/>
  <c r="C2807" i="52069" s="1"/>
  <c r="G2806" i="52069"/>
  <c r="B2806" i="52069"/>
  <c r="A2806" i="52069"/>
  <c r="C2806" i="52069" s="1"/>
  <c r="G2805" i="52069"/>
  <c r="B2805" i="52069"/>
  <c r="A2805" i="52069"/>
  <c r="C2805" i="52069" s="1"/>
  <c r="G2804" i="52069"/>
  <c r="B2804" i="52069"/>
  <c r="A2804" i="52069"/>
  <c r="C2804" i="52069" s="1"/>
  <c r="G2803" i="52069"/>
  <c r="B2803" i="52069"/>
  <c r="A2803" i="52069"/>
  <c r="C2803" i="52069" s="1"/>
  <c r="G2802" i="52069"/>
  <c r="B2802" i="52069"/>
  <c r="A2802" i="52069"/>
  <c r="C2802" i="52069" s="1"/>
  <c r="G2801" i="52069"/>
  <c r="B2801" i="52069"/>
  <c r="A2801" i="52069"/>
  <c r="C2801" i="52069" s="1"/>
  <c r="G2800" i="52069"/>
  <c r="B2800" i="52069"/>
  <c r="A2800" i="52069"/>
  <c r="C2800" i="52069" s="1"/>
  <c r="G2799" i="52069"/>
  <c r="B2799" i="52069"/>
  <c r="A2799" i="52069"/>
  <c r="C2799" i="52069" s="1"/>
  <c r="G2798" i="52069"/>
  <c r="B2798" i="52069"/>
  <c r="A2798" i="52069"/>
  <c r="C2798" i="52069" s="1"/>
  <c r="G2797" i="52069"/>
  <c r="B2797" i="52069"/>
  <c r="A2797" i="52069"/>
  <c r="C2797" i="52069" s="1"/>
  <c r="G2796" i="52069"/>
  <c r="B2796" i="52069"/>
  <c r="A2796" i="52069"/>
  <c r="C2796" i="52069" s="1"/>
  <c r="G2795" i="52069"/>
  <c r="B2795" i="52069"/>
  <c r="A2795" i="52069"/>
  <c r="C2795" i="52069" s="1"/>
  <c r="G2794" i="52069"/>
  <c r="B2794" i="52069"/>
  <c r="A2794" i="52069"/>
  <c r="C2794" i="52069" s="1"/>
  <c r="G2793" i="52069"/>
  <c r="B2793" i="52069"/>
  <c r="A2793" i="52069"/>
  <c r="C2793" i="52069" s="1"/>
  <c r="G2792" i="52069"/>
  <c r="B2792" i="52069"/>
  <c r="A2792" i="52069"/>
  <c r="C2792" i="52069" s="1"/>
  <c r="G2791" i="52069"/>
  <c r="B2791" i="52069"/>
  <c r="A2791" i="52069"/>
  <c r="C2791" i="52069" s="1"/>
  <c r="G2790" i="52069"/>
  <c r="B2790" i="52069"/>
  <c r="A2790" i="52069"/>
  <c r="C2790" i="52069" s="1"/>
  <c r="G2789" i="52069"/>
  <c r="B2789" i="52069"/>
  <c r="A2789" i="52069"/>
  <c r="C2789" i="52069" s="1"/>
  <c r="G2788" i="52069"/>
  <c r="B2788" i="52069"/>
  <c r="A2788" i="52069"/>
  <c r="C2788" i="52069" s="1"/>
  <c r="G2787" i="52069"/>
  <c r="B2787" i="52069"/>
  <c r="A2787" i="52069"/>
  <c r="C2787" i="52069" s="1"/>
  <c r="G2786" i="52069"/>
  <c r="B2786" i="52069"/>
  <c r="A2786" i="52069"/>
  <c r="C2786" i="52069" s="1"/>
  <c r="G2785" i="52069"/>
  <c r="B2785" i="52069"/>
  <c r="A2785" i="52069"/>
  <c r="C2785" i="52069" s="1"/>
  <c r="G2784" i="52069"/>
  <c r="B2784" i="52069"/>
  <c r="A2784" i="52069"/>
  <c r="C2784" i="52069" s="1"/>
  <c r="G2783" i="52069"/>
  <c r="B2783" i="52069"/>
  <c r="A2783" i="52069"/>
  <c r="C2783" i="52069" s="1"/>
  <c r="G2782" i="52069"/>
  <c r="B2782" i="52069"/>
  <c r="A2782" i="52069"/>
  <c r="C2782" i="52069" s="1"/>
  <c r="G2781" i="52069"/>
  <c r="B2781" i="52069"/>
  <c r="A2781" i="52069"/>
  <c r="C2781" i="52069" s="1"/>
  <c r="G2780" i="52069"/>
  <c r="B2780" i="52069"/>
  <c r="A2780" i="52069"/>
  <c r="C2780" i="52069" s="1"/>
  <c r="G2779" i="52069"/>
  <c r="B2779" i="52069"/>
  <c r="A2779" i="52069"/>
  <c r="C2779" i="52069" s="1"/>
  <c r="G2778" i="52069"/>
  <c r="B2778" i="52069"/>
  <c r="A2778" i="52069"/>
  <c r="C2778" i="52069" s="1"/>
  <c r="G2777" i="52069"/>
  <c r="B2777" i="52069"/>
  <c r="A2777" i="52069"/>
  <c r="C2777" i="52069" s="1"/>
  <c r="G2776" i="52069"/>
  <c r="B2776" i="52069"/>
  <c r="A2776" i="52069"/>
  <c r="C2776" i="52069" s="1"/>
  <c r="G2775" i="52069"/>
  <c r="B2775" i="52069"/>
  <c r="A2775" i="52069"/>
  <c r="C2775" i="52069" s="1"/>
  <c r="G2774" i="52069"/>
  <c r="B2774" i="52069"/>
  <c r="A2774" i="52069"/>
  <c r="C2774" i="52069" s="1"/>
  <c r="G2773" i="52069"/>
  <c r="B2773" i="52069"/>
  <c r="A2773" i="52069"/>
  <c r="C2773" i="52069" s="1"/>
  <c r="G2772" i="52069"/>
  <c r="B2772" i="52069"/>
  <c r="A2772" i="52069"/>
  <c r="C2772" i="52069" s="1"/>
  <c r="G2771" i="52069"/>
  <c r="B2771" i="52069"/>
  <c r="A2771" i="52069"/>
  <c r="C2771" i="52069" s="1"/>
  <c r="G2770" i="52069"/>
  <c r="B2770" i="52069"/>
  <c r="A2770" i="52069"/>
  <c r="C2770" i="52069" s="1"/>
  <c r="G2769" i="52069"/>
  <c r="B2769" i="52069"/>
  <c r="A2769" i="52069"/>
  <c r="C2769" i="52069" s="1"/>
  <c r="G2768" i="52069"/>
  <c r="B2768" i="52069"/>
  <c r="A2768" i="52069"/>
  <c r="C2768" i="52069" s="1"/>
  <c r="G2767" i="52069"/>
  <c r="B2767" i="52069"/>
  <c r="A2767" i="52069"/>
  <c r="C2767" i="52069" s="1"/>
  <c r="G2766" i="52069"/>
  <c r="B2766" i="52069"/>
  <c r="A2766" i="52069"/>
  <c r="C2766" i="52069" s="1"/>
  <c r="G2765" i="52069"/>
  <c r="B2765" i="52069"/>
  <c r="A2765" i="52069"/>
  <c r="C2765" i="52069" s="1"/>
  <c r="G2764" i="52069"/>
  <c r="B2764" i="52069"/>
  <c r="A2764" i="52069"/>
  <c r="C2764" i="52069" s="1"/>
  <c r="G2763" i="52069"/>
  <c r="B2763" i="52069"/>
  <c r="A2763" i="52069"/>
  <c r="C2763" i="52069" s="1"/>
  <c r="G2762" i="52069"/>
  <c r="B2762" i="52069"/>
  <c r="A2762" i="52069"/>
  <c r="C2762" i="52069" s="1"/>
  <c r="G2761" i="52069"/>
  <c r="B2761" i="52069"/>
  <c r="A2761" i="52069"/>
  <c r="C2761" i="52069" s="1"/>
  <c r="G2760" i="52069"/>
  <c r="B2760" i="52069"/>
  <c r="A2760" i="52069"/>
  <c r="C2760" i="52069" s="1"/>
  <c r="G2759" i="52069"/>
  <c r="B2759" i="52069"/>
  <c r="A2759" i="52069"/>
  <c r="C2759" i="52069" s="1"/>
  <c r="G2758" i="52069"/>
  <c r="B2758" i="52069"/>
  <c r="A2758" i="52069"/>
  <c r="C2758" i="52069" s="1"/>
  <c r="G2757" i="52069"/>
  <c r="B2757" i="52069"/>
  <c r="A2757" i="52069"/>
  <c r="C2757" i="52069" s="1"/>
  <c r="G2756" i="52069"/>
  <c r="B2756" i="52069"/>
  <c r="A2756" i="52069"/>
  <c r="C2756" i="52069" s="1"/>
  <c r="G2755" i="52069"/>
  <c r="B2755" i="52069"/>
  <c r="A2755" i="52069"/>
  <c r="C2755" i="52069" s="1"/>
  <c r="G2754" i="52069"/>
  <c r="B2754" i="52069"/>
  <c r="A2754" i="52069"/>
  <c r="C2754" i="52069" s="1"/>
  <c r="G2753" i="52069"/>
  <c r="B2753" i="52069"/>
  <c r="A2753" i="52069"/>
  <c r="C2753" i="52069" s="1"/>
  <c r="G2752" i="52069"/>
  <c r="B2752" i="52069"/>
  <c r="A2752" i="52069"/>
  <c r="C2752" i="52069" s="1"/>
  <c r="G2751" i="52069"/>
  <c r="B2751" i="52069"/>
  <c r="A2751" i="52069"/>
  <c r="C2751" i="52069" s="1"/>
  <c r="G2750" i="52069"/>
  <c r="B2750" i="52069"/>
  <c r="A2750" i="52069"/>
  <c r="C2750" i="52069" s="1"/>
  <c r="G2749" i="52069"/>
  <c r="B2749" i="52069"/>
  <c r="A2749" i="52069"/>
  <c r="C2749" i="52069" s="1"/>
  <c r="G2748" i="52069"/>
  <c r="B2748" i="52069"/>
  <c r="A2748" i="52069"/>
  <c r="C2748" i="52069" s="1"/>
  <c r="G2747" i="52069"/>
  <c r="B2747" i="52069"/>
  <c r="A2747" i="52069"/>
  <c r="C2747" i="52069" s="1"/>
  <c r="G2746" i="52069"/>
  <c r="B2746" i="52069"/>
  <c r="A2746" i="52069"/>
  <c r="C2746" i="52069" s="1"/>
  <c r="G2745" i="52069"/>
  <c r="B2745" i="52069"/>
  <c r="A2745" i="52069"/>
  <c r="C2745" i="52069" s="1"/>
  <c r="G2744" i="52069"/>
  <c r="B2744" i="52069"/>
  <c r="A2744" i="52069"/>
  <c r="C2744" i="52069" s="1"/>
  <c r="G2743" i="52069"/>
  <c r="B2743" i="52069"/>
  <c r="A2743" i="52069"/>
  <c r="C2743" i="52069" s="1"/>
  <c r="G2742" i="52069"/>
  <c r="B2742" i="52069"/>
  <c r="A2742" i="52069"/>
  <c r="C2742" i="52069" s="1"/>
  <c r="G2741" i="52069"/>
  <c r="B2741" i="52069"/>
  <c r="A2741" i="52069"/>
  <c r="C2741" i="52069" s="1"/>
  <c r="G2740" i="52069"/>
  <c r="B2740" i="52069"/>
  <c r="A2740" i="52069"/>
  <c r="C2740" i="52069" s="1"/>
  <c r="G2739" i="52069"/>
  <c r="B2739" i="52069"/>
  <c r="A2739" i="52069"/>
  <c r="C2739" i="52069" s="1"/>
  <c r="G2738" i="52069"/>
  <c r="B2738" i="52069"/>
  <c r="A2738" i="52069"/>
  <c r="C2738" i="52069" s="1"/>
  <c r="G2737" i="52069"/>
  <c r="B2737" i="52069"/>
  <c r="A2737" i="52069"/>
  <c r="C2737" i="52069" s="1"/>
  <c r="G2736" i="52069"/>
  <c r="B2736" i="52069"/>
  <c r="A2736" i="52069"/>
  <c r="C2736" i="52069" s="1"/>
  <c r="G2735" i="52069"/>
  <c r="B2735" i="52069"/>
  <c r="A2735" i="52069"/>
  <c r="C2735" i="52069" s="1"/>
  <c r="G2734" i="52069"/>
  <c r="B2734" i="52069"/>
  <c r="A2734" i="52069"/>
  <c r="C2734" i="52069" s="1"/>
  <c r="G2733" i="52069"/>
  <c r="B2733" i="52069"/>
  <c r="A2733" i="52069"/>
  <c r="C2733" i="52069" s="1"/>
  <c r="G2732" i="52069"/>
  <c r="B2732" i="52069"/>
  <c r="A2732" i="52069"/>
  <c r="C2732" i="52069" s="1"/>
  <c r="G2731" i="52069"/>
  <c r="B2731" i="52069"/>
  <c r="A2731" i="52069"/>
  <c r="C2731" i="52069" s="1"/>
  <c r="G2730" i="52069"/>
  <c r="B2730" i="52069"/>
  <c r="A2730" i="52069"/>
  <c r="C2730" i="52069" s="1"/>
  <c r="G2729" i="52069"/>
  <c r="B2729" i="52069"/>
  <c r="A2729" i="52069"/>
  <c r="C2729" i="52069" s="1"/>
  <c r="G2728" i="52069"/>
  <c r="B2728" i="52069"/>
  <c r="A2728" i="52069"/>
  <c r="C2728" i="52069" s="1"/>
  <c r="G2727" i="52069"/>
  <c r="B2727" i="52069"/>
  <c r="A2727" i="52069"/>
  <c r="C2727" i="52069" s="1"/>
  <c r="G2726" i="52069"/>
  <c r="B2726" i="52069"/>
  <c r="A2726" i="52069"/>
  <c r="C2726" i="52069" s="1"/>
  <c r="G2725" i="52069"/>
  <c r="B2725" i="52069"/>
  <c r="A2725" i="52069"/>
  <c r="C2725" i="52069" s="1"/>
  <c r="G2724" i="52069"/>
  <c r="B2724" i="52069"/>
  <c r="A2724" i="52069"/>
  <c r="C2724" i="52069" s="1"/>
  <c r="G2723" i="52069"/>
  <c r="B2723" i="52069"/>
  <c r="A2723" i="52069"/>
  <c r="C2723" i="52069" s="1"/>
  <c r="G2722" i="52069"/>
  <c r="B2722" i="52069"/>
  <c r="A2722" i="52069"/>
  <c r="C2722" i="52069" s="1"/>
  <c r="G2721" i="52069"/>
  <c r="B2721" i="52069"/>
  <c r="A2721" i="52069"/>
  <c r="C2721" i="52069" s="1"/>
  <c r="G2720" i="52069"/>
  <c r="B2720" i="52069"/>
  <c r="A2720" i="52069"/>
  <c r="C2720" i="52069" s="1"/>
  <c r="G2719" i="52069"/>
  <c r="B2719" i="52069"/>
  <c r="A2719" i="52069"/>
  <c r="C2719" i="52069" s="1"/>
  <c r="G2718" i="52069"/>
  <c r="B2718" i="52069"/>
  <c r="A2718" i="52069"/>
  <c r="C2718" i="52069" s="1"/>
  <c r="G2717" i="52069"/>
  <c r="B2717" i="52069"/>
  <c r="A2717" i="52069"/>
  <c r="C2717" i="52069" s="1"/>
  <c r="G2716" i="52069"/>
  <c r="B2716" i="52069"/>
  <c r="A2716" i="52069"/>
  <c r="C2716" i="52069" s="1"/>
  <c r="G2715" i="52069"/>
  <c r="B2715" i="52069"/>
  <c r="A2715" i="52069"/>
  <c r="C2715" i="52069" s="1"/>
  <c r="G2714" i="52069"/>
  <c r="B2714" i="52069"/>
  <c r="A2714" i="52069"/>
  <c r="C2714" i="52069" s="1"/>
  <c r="G2713" i="52069"/>
  <c r="B2713" i="52069"/>
  <c r="A2713" i="52069"/>
  <c r="C2713" i="52069" s="1"/>
  <c r="G2712" i="52069"/>
  <c r="B2712" i="52069"/>
  <c r="A2712" i="52069"/>
  <c r="C2712" i="52069" s="1"/>
  <c r="G2711" i="52069"/>
  <c r="B2711" i="52069"/>
  <c r="A2711" i="52069"/>
  <c r="C2711" i="52069" s="1"/>
  <c r="G2710" i="52069"/>
  <c r="B2710" i="52069"/>
  <c r="A2710" i="52069"/>
  <c r="C2710" i="52069" s="1"/>
  <c r="G2709" i="52069"/>
  <c r="B2709" i="52069"/>
  <c r="A2709" i="52069"/>
  <c r="C2709" i="52069" s="1"/>
  <c r="G2708" i="52069"/>
  <c r="B2708" i="52069"/>
  <c r="A2708" i="52069"/>
  <c r="C2708" i="52069" s="1"/>
  <c r="G2707" i="52069"/>
  <c r="B2707" i="52069"/>
  <c r="A2707" i="52069"/>
  <c r="C2707" i="52069" s="1"/>
  <c r="G2706" i="52069"/>
  <c r="B2706" i="52069"/>
  <c r="A2706" i="52069"/>
  <c r="C2706" i="52069" s="1"/>
  <c r="G2705" i="52069"/>
  <c r="B2705" i="52069"/>
  <c r="A2705" i="52069"/>
  <c r="C2705" i="52069" s="1"/>
  <c r="G2704" i="52069"/>
  <c r="B2704" i="52069"/>
  <c r="A2704" i="52069"/>
  <c r="C2704" i="52069" s="1"/>
  <c r="G2703" i="52069"/>
  <c r="B2703" i="52069"/>
  <c r="A2703" i="52069"/>
  <c r="C2703" i="52069" s="1"/>
  <c r="G2702" i="52069"/>
  <c r="B2702" i="52069"/>
  <c r="A2702" i="52069"/>
  <c r="C2702" i="52069" s="1"/>
  <c r="G2701" i="52069"/>
  <c r="B2701" i="52069"/>
  <c r="A2701" i="52069"/>
  <c r="C2701" i="52069" s="1"/>
  <c r="G2700" i="52069"/>
  <c r="B2700" i="52069"/>
  <c r="A2700" i="52069"/>
  <c r="C2700" i="52069" s="1"/>
  <c r="G2699" i="52069"/>
  <c r="B2699" i="52069"/>
  <c r="A2699" i="52069"/>
  <c r="C2699" i="52069" s="1"/>
  <c r="G2698" i="52069"/>
  <c r="B2698" i="52069"/>
  <c r="A2698" i="52069"/>
  <c r="C2698" i="52069" s="1"/>
  <c r="G2697" i="52069"/>
  <c r="B2697" i="52069"/>
  <c r="A2697" i="52069"/>
  <c r="C2697" i="52069" s="1"/>
  <c r="G2696" i="52069"/>
  <c r="B2696" i="52069"/>
  <c r="A2696" i="52069"/>
  <c r="C2696" i="52069" s="1"/>
  <c r="G2695" i="52069"/>
  <c r="B2695" i="52069"/>
  <c r="A2695" i="52069"/>
  <c r="C2695" i="52069" s="1"/>
  <c r="G2694" i="52069"/>
  <c r="B2694" i="52069"/>
  <c r="A2694" i="52069"/>
  <c r="C2694" i="52069" s="1"/>
  <c r="G2693" i="52069"/>
  <c r="B2693" i="52069"/>
  <c r="A2693" i="52069"/>
  <c r="C2693" i="52069" s="1"/>
  <c r="G2692" i="52069"/>
  <c r="B2692" i="52069"/>
  <c r="A2692" i="52069"/>
  <c r="C2692" i="52069" s="1"/>
  <c r="G2691" i="52069"/>
  <c r="B2691" i="52069"/>
  <c r="A2691" i="52069"/>
  <c r="C2691" i="52069" s="1"/>
  <c r="G2690" i="52069"/>
  <c r="B2690" i="52069"/>
  <c r="A2690" i="52069"/>
  <c r="C2690" i="52069" s="1"/>
  <c r="G2689" i="52069"/>
  <c r="B2689" i="52069"/>
  <c r="A2689" i="52069"/>
  <c r="C2689" i="52069" s="1"/>
  <c r="G2688" i="52069"/>
  <c r="B2688" i="52069"/>
  <c r="A2688" i="52069"/>
  <c r="C2688" i="52069" s="1"/>
  <c r="G2687" i="52069"/>
  <c r="B2687" i="52069"/>
  <c r="A2687" i="52069"/>
  <c r="C2687" i="52069" s="1"/>
  <c r="G2686" i="52069"/>
  <c r="B2686" i="52069"/>
  <c r="A2686" i="52069"/>
  <c r="C2686" i="52069" s="1"/>
  <c r="G2685" i="52069"/>
  <c r="B2685" i="52069"/>
  <c r="A2685" i="52069"/>
  <c r="C2685" i="52069" s="1"/>
  <c r="G2684" i="52069"/>
  <c r="B2684" i="52069"/>
  <c r="A2684" i="52069"/>
  <c r="C2684" i="52069" s="1"/>
  <c r="G2683" i="52069"/>
  <c r="B2683" i="52069"/>
  <c r="A2683" i="52069"/>
  <c r="C2683" i="52069" s="1"/>
  <c r="G2682" i="52069"/>
  <c r="B2682" i="52069"/>
  <c r="A2682" i="52069"/>
  <c r="C2682" i="52069" s="1"/>
  <c r="G2681" i="52069"/>
  <c r="B2681" i="52069"/>
  <c r="A2681" i="52069"/>
  <c r="C2681" i="52069" s="1"/>
  <c r="G2680" i="52069"/>
  <c r="B2680" i="52069"/>
  <c r="A2680" i="52069"/>
  <c r="C2680" i="52069" s="1"/>
  <c r="G2679" i="52069"/>
  <c r="B2679" i="52069"/>
  <c r="A2679" i="52069"/>
  <c r="C2679" i="52069" s="1"/>
  <c r="G2678" i="52069"/>
  <c r="B2678" i="52069"/>
  <c r="A2678" i="52069"/>
  <c r="C2678" i="52069" s="1"/>
  <c r="G2677" i="52069"/>
  <c r="B2677" i="52069"/>
  <c r="A2677" i="52069"/>
  <c r="C2677" i="52069" s="1"/>
  <c r="G2676" i="52069"/>
  <c r="B2676" i="52069"/>
  <c r="A2676" i="52069"/>
  <c r="C2676" i="52069" s="1"/>
  <c r="G2675" i="52069"/>
  <c r="B2675" i="52069"/>
  <c r="A2675" i="52069"/>
  <c r="C2675" i="52069" s="1"/>
  <c r="G2674" i="52069"/>
  <c r="B2674" i="52069"/>
  <c r="A2674" i="52069"/>
  <c r="C2674" i="52069" s="1"/>
  <c r="G2673" i="52069"/>
  <c r="B2673" i="52069"/>
  <c r="A2673" i="52069"/>
  <c r="C2673" i="52069" s="1"/>
  <c r="G2672" i="52069"/>
  <c r="B2672" i="52069"/>
  <c r="A2672" i="52069"/>
  <c r="C2672" i="52069" s="1"/>
  <c r="G2671" i="52069"/>
  <c r="B2671" i="52069"/>
  <c r="A2671" i="52069"/>
  <c r="C2671" i="52069" s="1"/>
  <c r="G2670" i="52069"/>
  <c r="B2670" i="52069"/>
  <c r="A2670" i="52069"/>
  <c r="C2670" i="52069" s="1"/>
  <c r="G2669" i="52069"/>
  <c r="B2669" i="52069"/>
  <c r="A2669" i="52069"/>
  <c r="C2669" i="52069" s="1"/>
  <c r="G2668" i="52069"/>
  <c r="B2668" i="52069"/>
  <c r="A2668" i="52069"/>
  <c r="C2668" i="52069" s="1"/>
  <c r="G2667" i="52069"/>
  <c r="B2667" i="52069"/>
  <c r="A2667" i="52069"/>
  <c r="C2667" i="52069" s="1"/>
  <c r="G2666" i="52069"/>
  <c r="B2666" i="52069"/>
  <c r="A2666" i="52069"/>
  <c r="C2666" i="52069" s="1"/>
  <c r="G2665" i="52069"/>
  <c r="B2665" i="52069"/>
  <c r="A2665" i="52069"/>
  <c r="C2665" i="52069" s="1"/>
  <c r="G2664" i="52069"/>
  <c r="B2664" i="52069"/>
  <c r="A2664" i="52069"/>
  <c r="C2664" i="52069" s="1"/>
  <c r="G2663" i="52069"/>
  <c r="B2663" i="52069"/>
  <c r="A2663" i="52069"/>
  <c r="C2663" i="52069" s="1"/>
  <c r="G2662" i="52069"/>
  <c r="B2662" i="52069"/>
  <c r="A2662" i="52069"/>
  <c r="C2662" i="52069" s="1"/>
  <c r="G2661" i="52069"/>
  <c r="B2661" i="52069"/>
  <c r="A2661" i="52069"/>
  <c r="C2661" i="52069" s="1"/>
  <c r="G2660" i="52069"/>
  <c r="B2660" i="52069"/>
  <c r="A2660" i="52069"/>
  <c r="C2660" i="52069" s="1"/>
  <c r="G2659" i="52069"/>
  <c r="B2659" i="52069"/>
  <c r="A2659" i="52069"/>
  <c r="C2659" i="52069" s="1"/>
  <c r="G2658" i="52069"/>
  <c r="B2658" i="52069"/>
  <c r="A2658" i="52069"/>
  <c r="C2658" i="52069" s="1"/>
  <c r="G2657" i="52069"/>
  <c r="B2657" i="52069"/>
  <c r="A2657" i="52069"/>
  <c r="C2657" i="52069" s="1"/>
  <c r="G2656" i="52069"/>
  <c r="B2656" i="52069"/>
  <c r="A2656" i="52069"/>
  <c r="C2656" i="52069" s="1"/>
  <c r="G2655" i="52069"/>
  <c r="B2655" i="52069"/>
  <c r="A2655" i="52069"/>
  <c r="C2655" i="52069" s="1"/>
  <c r="G2654" i="52069"/>
  <c r="B2654" i="52069"/>
  <c r="A2654" i="52069"/>
  <c r="C2654" i="52069" s="1"/>
  <c r="G2653" i="52069"/>
  <c r="B2653" i="52069"/>
  <c r="A2653" i="52069"/>
  <c r="C2653" i="52069" s="1"/>
  <c r="G2652" i="52069"/>
  <c r="B2652" i="52069"/>
  <c r="A2652" i="52069"/>
  <c r="C2652" i="52069" s="1"/>
  <c r="G2651" i="52069"/>
  <c r="B2651" i="52069"/>
  <c r="A2651" i="52069"/>
  <c r="C2651" i="52069" s="1"/>
  <c r="G2650" i="52069"/>
  <c r="B2650" i="52069"/>
  <c r="A2650" i="52069"/>
  <c r="C2650" i="52069" s="1"/>
  <c r="G2649" i="52069"/>
  <c r="B2649" i="52069"/>
  <c r="A2649" i="52069"/>
  <c r="C2649" i="52069" s="1"/>
  <c r="G2648" i="52069"/>
  <c r="B2648" i="52069"/>
  <c r="A2648" i="52069"/>
  <c r="C2648" i="52069" s="1"/>
  <c r="G2647" i="52069"/>
  <c r="B2647" i="52069"/>
  <c r="A2647" i="52069"/>
  <c r="C2647" i="52069" s="1"/>
  <c r="G2646" i="52069"/>
  <c r="B2646" i="52069"/>
  <c r="A2646" i="52069"/>
  <c r="C2646" i="52069" s="1"/>
  <c r="G2645" i="52069"/>
  <c r="B2645" i="52069"/>
  <c r="A2645" i="52069"/>
  <c r="C2645" i="52069" s="1"/>
  <c r="G2644" i="52069"/>
  <c r="B2644" i="52069"/>
  <c r="A2644" i="52069"/>
  <c r="C2644" i="52069" s="1"/>
  <c r="G2643" i="52069"/>
  <c r="B2643" i="52069"/>
  <c r="A2643" i="52069"/>
  <c r="C2643" i="52069" s="1"/>
  <c r="G2642" i="52069"/>
  <c r="B2642" i="52069"/>
  <c r="A2642" i="52069"/>
  <c r="C2642" i="52069" s="1"/>
  <c r="G2641" i="52069"/>
  <c r="B2641" i="52069"/>
  <c r="A2641" i="52069"/>
  <c r="C2641" i="52069" s="1"/>
  <c r="G2640" i="52069"/>
  <c r="B2640" i="52069"/>
  <c r="A2640" i="52069"/>
  <c r="C2640" i="52069" s="1"/>
  <c r="G2639" i="52069"/>
  <c r="B2639" i="52069"/>
  <c r="A2639" i="52069"/>
  <c r="C2639" i="52069" s="1"/>
  <c r="G2638" i="52069"/>
  <c r="B2638" i="52069"/>
  <c r="A2638" i="52069"/>
  <c r="C2638" i="52069" s="1"/>
  <c r="G2637" i="52069"/>
  <c r="B2637" i="52069"/>
  <c r="A2637" i="52069"/>
  <c r="C2637" i="52069" s="1"/>
  <c r="G2636" i="52069"/>
  <c r="B2636" i="52069"/>
  <c r="A2636" i="52069"/>
  <c r="C2636" i="52069" s="1"/>
  <c r="G2635" i="52069"/>
  <c r="B2635" i="52069"/>
  <c r="A2635" i="52069"/>
  <c r="C2635" i="52069" s="1"/>
  <c r="G2634" i="52069"/>
  <c r="B2634" i="52069"/>
  <c r="A2634" i="52069"/>
  <c r="C2634" i="52069" s="1"/>
  <c r="G2633" i="52069"/>
  <c r="B2633" i="52069"/>
  <c r="A2633" i="52069"/>
  <c r="C2633" i="52069" s="1"/>
  <c r="G2632" i="52069"/>
  <c r="B2632" i="52069"/>
  <c r="A2632" i="52069"/>
  <c r="C2632" i="52069" s="1"/>
  <c r="G2631" i="52069"/>
  <c r="B2631" i="52069"/>
  <c r="A2631" i="52069"/>
  <c r="C2631" i="52069" s="1"/>
  <c r="G2630" i="52069"/>
  <c r="B2630" i="52069"/>
  <c r="A2630" i="52069"/>
  <c r="C2630" i="52069" s="1"/>
  <c r="G2629" i="52069"/>
  <c r="B2629" i="52069"/>
  <c r="A2629" i="52069"/>
  <c r="C2629" i="52069" s="1"/>
  <c r="G2628" i="52069"/>
  <c r="B2628" i="52069"/>
  <c r="A2628" i="52069"/>
  <c r="C2628" i="52069" s="1"/>
  <c r="G2627" i="52069"/>
  <c r="B2627" i="52069"/>
  <c r="A2627" i="52069"/>
  <c r="C2627" i="52069" s="1"/>
  <c r="G2626" i="52069"/>
  <c r="B2626" i="52069"/>
  <c r="A2626" i="52069"/>
  <c r="C2626" i="52069" s="1"/>
  <c r="G2625" i="52069"/>
  <c r="B2625" i="52069"/>
  <c r="A2625" i="52069"/>
  <c r="C2625" i="52069" s="1"/>
  <c r="G2624" i="52069"/>
  <c r="B2624" i="52069"/>
  <c r="A2624" i="52069"/>
  <c r="C2624" i="52069" s="1"/>
  <c r="G2623" i="52069"/>
  <c r="B2623" i="52069"/>
  <c r="A2623" i="52069"/>
  <c r="C2623" i="52069" s="1"/>
  <c r="G2622" i="52069"/>
  <c r="B2622" i="52069"/>
  <c r="A2622" i="52069"/>
  <c r="C2622" i="52069" s="1"/>
  <c r="G2621" i="52069"/>
  <c r="B2621" i="52069"/>
  <c r="A2621" i="52069"/>
  <c r="C2621" i="52069" s="1"/>
  <c r="G2620" i="52069"/>
  <c r="B2620" i="52069"/>
  <c r="A2620" i="52069"/>
  <c r="C2620" i="52069" s="1"/>
  <c r="G2619" i="52069"/>
  <c r="B2619" i="52069"/>
  <c r="A2619" i="52069"/>
  <c r="C2619" i="52069" s="1"/>
  <c r="G2618" i="52069"/>
  <c r="B2618" i="52069"/>
  <c r="A2618" i="52069"/>
  <c r="C2618" i="52069" s="1"/>
  <c r="G2617" i="52069"/>
  <c r="B2617" i="52069"/>
  <c r="A2617" i="52069"/>
  <c r="C2617" i="52069" s="1"/>
  <c r="G2616" i="52069"/>
  <c r="B2616" i="52069"/>
  <c r="A2616" i="52069"/>
  <c r="C2616" i="52069" s="1"/>
  <c r="G2615" i="52069"/>
  <c r="B2615" i="52069"/>
  <c r="A2615" i="52069"/>
  <c r="C2615" i="52069" s="1"/>
  <c r="G2614" i="52069"/>
  <c r="B2614" i="52069"/>
  <c r="A2614" i="52069"/>
  <c r="C2614" i="52069" s="1"/>
  <c r="G2613" i="52069"/>
  <c r="B2613" i="52069"/>
  <c r="A2613" i="52069"/>
  <c r="C2613" i="52069" s="1"/>
  <c r="G2612" i="52069"/>
  <c r="B2612" i="52069"/>
  <c r="A2612" i="52069"/>
  <c r="C2612" i="52069" s="1"/>
  <c r="G2611" i="52069"/>
  <c r="B2611" i="52069"/>
  <c r="A2611" i="52069"/>
  <c r="C2611" i="52069" s="1"/>
  <c r="G2610" i="52069"/>
  <c r="B2610" i="52069"/>
  <c r="A2610" i="52069"/>
  <c r="C2610" i="52069" s="1"/>
  <c r="G2609" i="52069"/>
  <c r="B2609" i="52069"/>
  <c r="A2609" i="52069"/>
  <c r="C2609" i="52069" s="1"/>
  <c r="G2608" i="52069"/>
  <c r="B2608" i="52069"/>
  <c r="A2608" i="52069"/>
  <c r="C2608" i="52069" s="1"/>
  <c r="G2607" i="52069"/>
  <c r="B2607" i="52069"/>
  <c r="A2607" i="52069"/>
  <c r="C2607" i="52069" s="1"/>
  <c r="G2606" i="52069"/>
  <c r="B2606" i="52069"/>
  <c r="A2606" i="52069"/>
  <c r="C2606" i="52069" s="1"/>
  <c r="G2605" i="52069"/>
  <c r="B2605" i="52069"/>
  <c r="A2605" i="52069"/>
  <c r="C2605" i="52069" s="1"/>
  <c r="G2604" i="52069"/>
  <c r="B2604" i="52069"/>
  <c r="A2604" i="52069"/>
  <c r="C2604" i="52069" s="1"/>
  <c r="G2603" i="52069"/>
  <c r="B2603" i="52069"/>
  <c r="A2603" i="52069"/>
  <c r="C2603" i="52069" s="1"/>
  <c r="G2602" i="52069"/>
  <c r="K2840" i="52069" s="1"/>
  <c r="B2602" i="52069"/>
  <c r="A2602" i="52069"/>
  <c r="G2601" i="52069"/>
  <c r="B2601" i="52069"/>
  <c r="A2601" i="52069"/>
  <c r="C2601" i="52069" s="1"/>
  <c r="G2600" i="52069"/>
  <c r="B2600" i="52069"/>
  <c r="A2600" i="52069"/>
  <c r="G2599" i="52069"/>
  <c r="B2599" i="52069"/>
  <c r="A2599" i="52069"/>
  <c r="C2599" i="52069" s="1"/>
  <c r="G2598" i="52069"/>
  <c r="B2598" i="52069"/>
  <c r="A2598" i="52069"/>
  <c r="G2597" i="52069"/>
  <c r="B2597" i="52069"/>
  <c r="A2597" i="52069"/>
  <c r="C2597" i="52069" s="1"/>
  <c r="G2596" i="52069"/>
  <c r="B2596" i="52069"/>
  <c r="A2596" i="52069"/>
  <c r="G2595" i="52069"/>
  <c r="B2595" i="52069"/>
  <c r="A2595" i="52069"/>
  <c r="C2595" i="52069" s="1"/>
  <c r="G2594" i="52069"/>
  <c r="B2594" i="52069"/>
  <c r="A2594" i="52069"/>
  <c r="G2593" i="52069"/>
  <c r="B2593" i="52069"/>
  <c r="A2593" i="52069"/>
  <c r="C2593" i="52069" s="1"/>
  <c r="G2592" i="52069"/>
  <c r="B2592" i="52069"/>
  <c r="A2592" i="52069"/>
  <c r="G2591" i="52069"/>
  <c r="B2591" i="52069"/>
  <c r="A2591" i="52069"/>
  <c r="C2591" i="52069" s="1"/>
  <c r="G2590" i="52069"/>
  <c r="B2590" i="52069"/>
  <c r="A2590" i="52069"/>
  <c r="G2589" i="52069"/>
  <c r="B2589" i="52069"/>
  <c r="A2589" i="52069"/>
  <c r="C2589" i="52069" s="1"/>
  <c r="G2588" i="52069"/>
  <c r="B2588" i="52069"/>
  <c r="A2588" i="52069"/>
  <c r="G2587" i="52069"/>
  <c r="B2587" i="52069"/>
  <c r="A2587" i="52069"/>
  <c r="G2586" i="52069"/>
  <c r="B2586" i="52069"/>
  <c r="A2586" i="52069"/>
  <c r="C2586" i="52069"/>
  <c r="G2585" i="52069"/>
  <c r="B2585" i="52069"/>
  <c r="A2585" i="52069"/>
  <c r="C2585" i="52069"/>
  <c r="G2584" i="52069"/>
  <c r="B2584" i="52069"/>
  <c r="A2584" i="52069"/>
  <c r="C2584" i="52069"/>
  <c r="G2583" i="52069"/>
  <c r="B2583" i="52069"/>
  <c r="A2583" i="52069"/>
  <c r="C2583" i="52069"/>
  <c r="G2582" i="52069"/>
  <c r="B2582" i="52069"/>
  <c r="A2582" i="52069"/>
  <c r="C2582" i="52069"/>
  <c r="G2581" i="52069"/>
  <c r="B2581" i="52069"/>
  <c r="A2581" i="52069"/>
  <c r="C2581" i="52069"/>
  <c r="G2580" i="52069"/>
  <c r="B2580" i="52069"/>
  <c r="A2580" i="52069"/>
  <c r="C2580" i="52069"/>
  <c r="G2579" i="52069"/>
  <c r="B2579" i="52069"/>
  <c r="A2579" i="52069"/>
  <c r="C2579" i="52069"/>
  <c r="G2578" i="52069"/>
  <c r="B2578" i="52069"/>
  <c r="A2578" i="52069"/>
  <c r="C2578" i="52069"/>
  <c r="G2577" i="52069"/>
  <c r="B2577" i="52069"/>
  <c r="A2577" i="52069"/>
  <c r="C2577" i="52069"/>
  <c r="G2576" i="52069"/>
  <c r="B2576" i="52069"/>
  <c r="A2576" i="52069"/>
  <c r="C2576" i="52069"/>
  <c r="G2575" i="52069"/>
  <c r="B2575" i="52069"/>
  <c r="A2575" i="52069"/>
  <c r="C2575" i="52069"/>
  <c r="G2574" i="52069"/>
  <c r="B2574" i="52069"/>
  <c r="A2574" i="52069"/>
  <c r="C2574" i="52069"/>
  <c r="G2573" i="52069"/>
  <c r="B2573" i="52069"/>
  <c r="A2573" i="52069"/>
  <c r="C2573" i="52069"/>
  <c r="G2572" i="52069"/>
  <c r="B2572" i="52069"/>
  <c r="A2572" i="52069"/>
  <c r="C2572" i="52069"/>
  <c r="G2571" i="52069"/>
  <c r="B2571" i="52069"/>
  <c r="A2571" i="52069"/>
  <c r="C2571" i="52069"/>
  <c r="G2570" i="52069"/>
  <c r="B2570" i="52069"/>
  <c r="A2570" i="52069"/>
  <c r="C2570" i="52069"/>
  <c r="G2569" i="52069"/>
  <c r="B2569" i="52069"/>
  <c r="A2569" i="52069"/>
  <c r="C2569" i="52069"/>
  <c r="G2568" i="52069"/>
  <c r="B2568" i="52069"/>
  <c r="A2568" i="52069"/>
  <c r="C2568" i="52069"/>
  <c r="G2567" i="52069"/>
  <c r="B2567" i="52069"/>
  <c r="A2567" i="52069"/>
  <c r="C2567" i="52069"/>
  <c r="G2566" i="52069"/>
  <c r="B2566" i="52069"/>
  <c r="A2566" i="52069"/>
  <c r="C2566" i="52069"/>
  <c r="G2565" i="52069"/>
  <c r="B2565" i="52069"/>
  <c r="A2565" i="52069"/>
  <c r="C2565" i="52069"/>
  <c r="G2564" i="52069"/>
  <c r="B2564" i="52069"/>
  <c r="A2564" i="52069"/>
  <c r="C2564" i="52069"/>
  <c r="G2563" i="52069"/>
  <c r="B2563" i="52069"/>
  <c r="A2563" i="52069"/>
  <c r="C2563" i="52069"/>
  <c r="G2562" i="52069"/>
  <c r="B2562" i="52069"/>
  <c r="A2562" i="52069"/>
  <c r="C2562" i="52069"/>
  <c r="G2561" i="52069"/>
  <c r="B2561" i="52069"/>
  <c r="A2561" i="52069"/>
  <c r="C2561" i="52069"/>
  <c r="G2560" i="52069"/>
  <c r="B2560" i="52069"/>
  <c r="A2560" i="52069"/>
  <c r="C2560" i="52069"/>
  <c r="G2559" i="52069"/>
  <c r="B2559" i="52069"/>
  <c r="A2559" i="52069"/>
  <c r="C2559" i="52069"/>
  <c r="G2558" i="52069"/>
  <c r="B2558" i="52069"/>
  <c r="A2558" i="52069"/>
  <c r="C2558" i="52069"/>
  <c r="G2557" i="52069"/>
  <c r="B2557" i="52069"/>
  <c r="A2557" i="52069"/>
  <c r="C2557" i="52069"/>
  <c r="G2556" i="52069"/>
  <c r="B2556" i="52069"/>
  <c r="A2556" i="52069"/>
  <c r="C2556" i="52069"/>
  <c r="G2555" i="52069"/>
  <c r="B2555" i="52069"/>
  <c r="A2555" i="52069"/>
  <c r="C2555" i="52069"/>
  <c r="G2554" i="52069"/>
  <c r="B2554" i="52069"/>
  <c r="A2554" i="52069"/>
  <c r="C2554" i="52069"/>
  <c r="G2553" i="52069"/>
  <c r="B2553" i="52069"/>
  <c r="A2553" i="52069"/>
  <c r="C2553" i="52069"/>
  <c r="G2552" i="52069"/>
  <c r="B2552" i="52069"/>
  <c r="A2552" i="52069"/>
  <c r="C2552" i="52069"/>
  <c r="G2551" i="52069"/>
  <c r="B2551" i="52069"/>
  <c r="A2551" i="52069"/>
  <c r="C2551" i="52069"/>
  <c r="G2550" i="52069"/>
  <c r="B2550" i="52069"/>
  <c r="A2550" i="52069"/>
  <c r="C2550" i="52069"/>
  <c r="G2549" i="52069"/>
  <c r="B2549" i="52069"/>
  <c r="A2549" i="52069"/>
  <c r="C2549" i="52069"/>
  <c r="G2548" i="52069"/>
  <c r="B2548" i="52069"/>
  <c r="A2548" i="52069"/>
  <c r="C2548" i="52069"/>
  <c r="G2547" i="52069"/>
  <c r="B2547" i="52069"/>
  <c r="A2547" i="52069"/>
  <c r="C2547" i="52069"/>
  <c r="G2546" i="52069"/>
  <c r="B2546" i="52069"/>
  <c r="A2546" i="52069"/>
  <c r="C2546" i="52069"/>
  <c r="G2545" i="52069"/>
  <c r="B2545" i="52069"/>
  <c r="A2545" i="52069"/>
  <c r="C2545" i="52069"/>
  <c r="G2544" i="52069"/>
  <c r="B2544" i="52069"/>
  <c r="A2544" i="52069"/>
  <c r="C2544" i="52069"/>
  <c r="G2543" i="52069"/>
  <c r="B2543" i="52069"/>
  <c r="A2543" i="52069"/>
  <c r="C2543" i="52069"/>
  <c r="G2542" i="52069"/>
  <c r="B2542" i="52069"/>
  <c r="A2542" i="52069"/>
  <c r="C2542" i="52069"/>
  <c r="G2541" i="52069"/>
  <c r="B2541" i="52069"/>
  <c r="A2541" i="52069"/>
  <c r="C2541" i="52069"/>
  <c r="G2540" i="52069"/>
  <c r="B2540" i="52069"/>
  <c r="A2540" i="52069"/>
  <c r="C2540" i="52069"/>
  <c r="G2539" i="52069"/>
  <c r="B2539" i="52069"/>
  <c r="A2539" i="52069"/>
  <c r="C2539" i="52069"/>
  <c r="G2538" i="52069"/>
  <c r="B2538" i="52069"/>
  <c r="A2538" i="52069"/>
  <c r="C2538" i="52069"/>
  <c r="G2537" i="52069"/>
  <c r="B2537" i="52069"/>
  <c r="A2537" i="52069"/>
  <c r="C2537" i="52069"/>
  <c r="G2536" i="52069"/>
  <c r="B2536" i="52069"/>
  <c r="A2536" i="52069"/>
  <c r="C2536" i="52069"/>
  <c r="G2535" i="52069"/>
  <c r="B2535" i="52069"/>
  <c r="A2535" i="52069"/>
  <c r="C2535" i="52069"/>
  <c r="G2534" i="52069"/>
  <c r="B2534" i="52069"/>
  <c r="A2534" i="52069"/>
  <c r="C2534" i="52069"/>
  <c r="G2533" i="52069"/>
  <c r="B2533" i="52069"/>
  <c r="A2533" i="52069"/>
  <c r="C2533" i="52069"/>
  <c r="G2532" i="52069"/>
  <c r="B2532" i="52069"/>
  <c r="A2532" i="52069"/>
  <c r="C2532" i="52069"/>
  <c r="G2531" i="52069"/>
  <c r="B2531" i="52069"/>
  <c r="A2531" i="52069"/>
  <c r="C2531" i="52069"/>
  <c r="G2530" i="52069"/>
  <c r="B2530" i="52069"/>
  <c r="A2530" i="52069"/>
  <c r="C2530" i="52069"/>
  <c r="G2529" i="52069"/>
  <c r="B2529" i="52069"/>
  <c r="A2529" i="52069"/>
  <c r="C2529" i="52069"/>
  <c r="G2528" i="52069"/>
  <c r="B2528" i="52069"/>
  <c r="A2528" i="52069"/>
  <c r="C2528" i="52069"/>
  <c r="G2527" i="52069"/>
  <c r="B2527" i="52069"/>
  <c r="A2527" i="52069"/>
  <c r="C2527" i="52069"/>
  <c r="G2526" i="52069"/>
  <c r="B2526" i="52069"/>
  <c r="A2526" i="52069"/>
  <c r="C2526" i="52069"/>
  <c r="G2525" i="52069"/>
  <c r="B2525" i="52069"/>
  <c r="A2525" i="52069"/>
  <c r="C2525" i="52069"/>
  <c r="G2524" i="52069"/>
  <c r="B2524" i="52069"/>
  <c r="A2524" i="52069"/>
  <c r="C2524" i="52069"/>
  <c r="G2523" i="52069"/>
  <c r="B2523" i="52069"/>
  <c r="A2523" i="52069"/>
  <c r="C2523" i="52069"/>
  <c r="G2522" i="52069"/>
  <c r="B2522" i="52069"/>
  <c r="A2522" i="52069"/>
  <c r="C2522" i="52069"/>
  <c r="G2521" i="52069"/>
  <c r="B2521" i="52069"/>
  <c r="A2521" i="52069"/>
  <c r="C2521" i="52069"/>
  <c r="G2520" i="52069"/>
  <c r="B2520" i="52069"/>
  <c r="A2520" i="52069"/>
  <c r="C2520" i="52069"/>
  <c r="G2519" i="52069"/>
  <c r="B2519" i="52069"/>
  <c r="A2519" i="52069"/>
  <c r="C2519" i="52069"/>
  <c r="G2518" i="52069"/>
  <c r="B2518" i="52069"/>
  <c r="A2518" i="52069"/>
  <c r="C2518" i="52069"/>
  <c r="G2517" i="52069"/>
  <c r="B2517" i="52069"/>
  <c r="A2517" i="52069"/>
  <c r="C2517" i="52069"/>
  <c r="G2516" i="52069"/>
  <c r="B2516" i="52069"/>
  <c r="A2516" i="52069"/>
  <c r="C2516" i="52069"/>
  <c r="G2515" i="52069"/>
  <c r="B2515" i="52069"/>
  <c r="A2515" i="52069"/>
  <c r="C2515" i="52069"/>
  <c r="G2514" i="52069"/>
  <c r="B2514" i="52069"/>
  <c r="A2514" i="52069"/>
  <c r="C2514" i="52069"/>
  <c r="G2513" i="52069"/>
  <c r="B2513" i="52069"/>
  <c r="A2513" i="52069"/>
  <c r="C2513" i="52069"/>
  <c r="G2512" i="52069"/>
  <c r="B2512" i="52069"/>
  <c r="A2512" i="52069"/>
  <c r="C2512" i="52069"/>
  <c r="G2511" i="52069"/>
  <c r="B2511" i="52069"/>
  <c r="A2511" i="52069"/>
  <c r="C2511" i="52069"/>
  <c r="G2510" i="52069"/>
  <c r="B2510" i="52069"/>
  <c r="A2510" i="52069"/>
  <c r="C2510" i="52069"/>
  <c r="G2509" i="52069"/>
  <c r="B2509" i="52069"/>
  <c r="A2509" i="52069"/>
  <c r="C2509" i="52069"/>
  <c r="G2508" i="52069"/>
  <c r="B2508" i="52069"/>
  <c r="A2508" i="52069"/>
  <c r="C2508" i="52069"/>
  <c r="G2507" i="52069"/>
  <c r="B2507" i="52069"/>
  <c r="A2507" i="52069"/>
  <c r="C2507" i="52069"/>
  <c r="G2506" i="52069"/>
  <c r="B2506" i="52069"/>
  <c r="A2506" i="52069"/>
  <c r="C2506" i="52069"/>
  <c r="G2505" i="52069"/>
  <c r="B2505" i="52069"/>
  <c r="A2505" i="52069"/>
  <c r="C2505" i="52069"/>
  <c r="G2504" i="52069"/>
  <c r="K2838" i="52069"/>
  <c r="B2504" i="52069"/>
  <c r="A2504" i="52069"/>
  <c r="C2504" i="52069" s="1"/>
  <c r="G2503" i="52069"/>
  <c r="B2503" i="52069"/>
  <c r="A2503" i="52069"/>
  <c r="G2502" i="52069"/>
  <c r="B2502" i="52069"/>
  <c r="A2502" i="52069"/>
  <c r="C2502" i="52069" s="1"/>
  <c r="G2501" i="52069"/>
  <c r="B2501" i="52069"/>
  <c r="A2501" i="52069"/>
  <c r="G2500" i="52069"/>
  <c r="B2500" i="52069"/>
  <c r="A2500" i="52069"/>
  <c r="C2500" i="52069" s="1"/>
  <c r="G2499" i="52069"/>
  <c r="B2499" i="52069"/>
  <c r="A2499" i="52069"/>
  <c r="G2498" i="52069"/>
  <c r="B2498" i="52069"/>
  <c r="A2498" i="52069"/>
  <c r="C2498" i="52069" s="1"/>
  <c r="G2497" i="52069"/>
  <c r="B2497" i="52069"/>
  <c r="A2497" i="52069"/>
  <c r="G2496" i="52069"/>
  <c r="B2496" i="52069"/>
  <c r="A2496" i="52069"/>
  <c r="C2496" i="52069" s="1"/>
  <c r="G2495" i="52069"/>
  <c r="B2495" i="52069"/>
  <c r="A2495" i="52069"/>
  <c r="G2494" i="52069"/>
  <c r="B2494" i="52069"/>
  <c r="A2494" i="52069"/>
  <c r="C2494" i="52069" s="1"/>
  <c r="G2493" i="52069"/>
  <c r="B2493" i="52069"/>
  <c r="A2493" i="52069"/>
  <c r="G2492" i="52069"/>
  <c r="B2492" i="52069"/>
  <c r="A2492" i="52069"/>
  <c r="C2492" i="52069" s="1"/>
  <c r="G2491" i="52069"/>
  <c r="B2491" i="52069"/>
  <c r="A2491" i="52069"/>
  <c r="G2490" i="52069"/>
  <c r="B2490" i="52069"/>
  <c r="A2490" i="52069"/>
  <c r="C2490" i="52069" s="1"/>
  <c r="G2489" i="52069"/>
  <c r="B2489" i="52069"/>
  <c r="A2489" i="52069"/>
  <c r="G2488" i="52069"/>
  <c r="B2488" i="52069"/>
  <c r="A2488" i="52069"/>
  <c r="C2488" i="52069" s="1"/>
  <c r="G2487" i="52069"/>
  <c r="B2487" i="52069"/>
  <c r="A2487" i="52069"/>
  <c r="G2486" i="52069"/>
  <c r="B2486" i="52069"/>
  <c r="A2486" i="52069"/>
  <c r="C2486" i="52069" s="1"/>
  <c r="G2485" i="52069"/>
  <c r="B2485" i="52069"/>
  <c r="A2485" i="52069"/>
  <c r="G2484" i="52069"/>
  <c r="B2484" i="52069"/>
  <c r="A2484" i="52069"/>
  <c r="C2484" i="52069" s="1"/>
  <c r="G2483" i="52069"/>
  <c r="B2483" i="52069"/>
  <c r="A2483" i="52069"/>
  <c r="G2482" i="52069"/>
  <c r="B2482" i="52069"/>
  <c r="A2482" i="52069"/>
  <c r="C2482" i="52069" s="1"/>
  <c r="G2481" i="52069"/>
  <c r="B2481" i="52069"/>
  <c r="A2481" i="52069"/>
  <c r="G2480" i="52069"/>
  <c r="B2480" i="52069"/>
  <c r="A2480" i="52069"/>
  <c r="C2480" i="52069" s="1"/>
  <c r="G2479" i="52069"/>
  <c r="B2479" i="52069"/>
  <c r="A2479" i="52069"/>
  <c r="G2478" i="52069"/>
  <c r="B2478" i="52069"/>
  <c r="A2478" i="52069"/>
  <c r="C2478" i="52069" s="1"/>
  <c r="G2477" i="52069"/>
  <c r="B2477" i="52069"/>
  <c r="A2477" i="52069"/>
  <c r="G2476" i="52069"/>
  <c r="B2476" i="52069"/>
  <c r="A2476" i="52069"/>
  <c r="C2476" i="52069" s="1"/>
  <c r="G2475" i="52069"/>
  <c r="B2475" i="52069"/>
  <c r="A2475" i="52069"/>
  <c r="G2474" i="52069"/>
  <c r="B2474" i="52069"/>
  <c r="A2474" i="52069"/>
  <c r="C2474" i="52069" s="1"/>
  <c r="G2473" i="52069"/>
  <c r="B2473" i="52069"/>
  <c r="A2473" i="52069"/>
  <c r="G2472" i="52069"/>
  <c r="B2472" i="52069"/>
  <c r="A2472" i="52069"/>
  <c r="C2472" i="52069" s="1"/>
  <c r="G2471" i="52069"/>
  <c r="B2471" i="52069"/>
  <c r="A2471" i="52069"/>
  <c r="G2470" i="52069"/>
  <c r="B2470" i="52069"/>
  <c r="A2470" i="52069"/>
  <c r="C2470" i="52069" s="1"/>
  <c r="G2469" i="52069"/>
  <c r="B2469" i="52069"/>
  <c r="A2469" i="52069"/>
  <c r="G2468" i="52069"/>
  <c r="B2468" i="52069"/>
  <c r="A2468" i="52069"/>
  <c r="C2468" i="52069" s="1"/>
  <c r="G2467" i="52069"/>
  <c r="B2467" i="52069"/>
  <c r="A2467" i="52069"/>
  <c r="G2466" i="52069"/>
  <c r="B2466" i="52069"/>
  <c r="A2466" i="52069"/>
  <c r="C2466" i="52069" s="1"/>
  <c r="G2465" i="52069"/>
  <c r="B2465" i="52069"/>
  <c r="A2465" i="52069"/>
  <c r="G2464" i="52069"/>
  <c r="B2464" i="52069"/>
  <c r="A2464" i="52069"/>
  <c r="C2464" i="52069" s="1"/>
  <c r="G2463" i="52069"/>
  <c r="B2463" i="52069"/>
  <c r="A2463" i="52069"/>
  <c r="G2462" i="52069"/>
  <c r="B2462" i="52069"/>
  <c r="A2462" i="52069"/>
  <c r="C2462" i="52069" s="1"/>
  <c r="G2461" i="52069"/>
  <c r="B2461" i="52069"/>
  <c r="A2461" i="52069"/>
  <c r="G2460" i="52069"/>
  <c r="B2460" i="52069"/>
  <c r="A2460" i="52069"/>
  <c r="C2460" i="52069" s="1"/>
  <c r="G2459" i="52069"/>
  <c r="B2459" i="52069"/>
  <c r="A2459" i="52069"/>
  <c r="G2458" i="52069"/>
  <c r="B2458" i="52069"/>
  <c r="A2458" i="52069"/>
  <c r="C2458" i="52069" s="1"/>
  <c r="G2457" i="52069"/>
  <c r="B2457" i="52069"/>
  <c r="A2457" i="52069"/>
  <c r="G2456" i="52069"/>
  <c r="B2456" i="52069"/>
  <c r="A2456" i="52069"/>
  <c r="C2456" i="52069" s="1"/>
  <c r="G2455" i="52069"/>
  <c r="B2455" i="52069"/>
  <c r="A2455" i="52069"/>
  <c r="G2454" i="52069"/>
  <c r="B2454" i="52069"/>
  <c r="A2454" i="52069"/>
  <c r="C2454" i="52069" s="1"/>
  <c r="G2453" i="52069"/>
  <c r="B2453" i="52069"/>
  <c r="A2453" i="52069"/>
  <c r="G2452" i="52069"/>
  <c r="B2452" i="52069"/>
  <c r="A2452" i="52069"/>
  <c r="C2452" i="52069" s="1"/>
  <c r="G2451" i="52069"/>
  <c r="B2451" i="52069"/>
  <c r="A2451" i="52069"/>
  <c r="G2450" i="52069"/>
  <c r="B2450" i="52069"/>
  <c r="A2450" i="52069"/>
  <c r="C2450" i="52069" s="1"/>
  <c r="G2449" i="52069"/>
  <c r="B2449" i="52069"/>
  <c r="A2449" i="52069"/>
  <c r="G2448" i="52069"/>
  <c r="B2448" i="52069"/>
  <c r="A2448" i="52069"/>
  <c r="C2448" i="52069" s="1"/>
  <c r="G2447" i="52069"/>
  <c r="B2447" i="52069"/>
  <c r="A2447" i="52069"/>
  <c r="G2446" i="52069"/>
  <c r="B2446" i="52069"/>
  <c r="A2446" i="52069"/>
  <c r="C2446" i="52069" s="1"/>
  <c r="G2445" i="52069"/>
  <c r="B2445" i="52069"/>
  <c r="A2445" i="52069"/>
  <c r="G2444" i="52069"/>
  <c r="B2444" i="52069"/>
  <c r="A2444" i="52069"/>
  <c r="C2444" i="52069" s="1"/>
  <c r="G2443" i="52069"/>
  <c r="B2443" i="52069"/>
  <c r="A2443" i="52069"/>
  <c r="G2442" i="52069"/>
  <c r="B2442" i="52069"/>
  <c r="A2442" i="52069"/>
  <c r="C2442" i="52069" s="1"/>
  <c r="G2441" i="52069"/>
  <c r="B2441" i="52069"/>
  <c r="A2441" i="52069"/>
  <c r="G2440" i="52069"/>
  <c r="B2440" i="52069"/>
  <c r="A2440" i="52069"/>
  <c r="C2440" i="52069" s="1"/>
  <c r="G2439" i="52069"/>
  <c r="B2439" i="52069"/>
  <c r="A2439" i="52069"/>
  <c r="G2438" i="52069"/>
  <c r="B2438" i="52069"/>
  <c r="A2438" i="52069"/>
  <c r="C2438" i="52069" s="1"/>
  <c r="G2437" i="52069"/>
  <c r="B2437" i="52069"/>
  <c r="A2437" i="52069"/>
  <c r="G2436" i="52069"/>
  <c r="B2436" i="52069"/>
  <c r="A2436" i="52069"/>
  <c r="C2436" i="52069" s="1"/>
  <c r="G2435" i="52069"/>
  <c r="B2435" i="52069"/>
  <c r="A2435" i="52069"/>
  <c r="G2434" i="52069"/>
  <c r="B2434" i="52069"/>
  <c r="A2434" i="52069"/>
  <c r="C2434" i="52069" s="1"/>
  <c r="G2433" i="52069"/>
  <c r="B2433" i="52069"/>
  <c r="A2433" i="52069"/>
  <c r="G2432" i="52069"/>
  <c r="B2432" i="52069"/>
  <c r="A2432" i="52069"/>
  <c r="C2432" i="52069" s="1"/>
  <c r="G2431" i="52069"/>
  <c r="B2431" i="52069"/>
  <c r="A2431" i="52069"/>
  <c r="G2430" i="52069"/>
  <c r="B2430" i="52069"/>
  <c r="A2430" i="52069"/>
  <c r="C2430" i="52069" s="1"/>
  <c r="G2429" i="52069"/>
  <c r="B2429" i="52069"/>
  <c r="A2429" i="52069"/>
  <c r="G2428" i="52069"/>
  <c r="B2428" i="52069"/>
  <c r="A2428" i="52069"/>
  <c r="C2428" i="52069" s="1"/>
  <c r="G2427" i="52069"/>
  <c r="B2427" i="52069"/>
  <c r="A2427" i="52069"/>
  <c r="G2426" i="52069"/>
  <c r="B2426" i="52069"/>
  <c r="A2426" i="52069"/>
  <c r="C2426" i="52069" s="1"/>
  <c r="G2425" i="52069"/>
  <c r="B2425" i="52069"/>
  <c r="A2425" i="52069"/>
  <c r="G2424" i="52069"/>
  <c r="B2424" i="52069"/>
  <c r="A2424" i="52069"/>
  <c r="C2424" i="52069" s="1"/>
  <c r="G2423" i="52069"/>
  <c r="B2423" i="52069"/>
  <c r="A2423" i="52069"/>
  <c r="G2422" i="52069"/>
  <c r="B2422" i="52069"/>
  <c r="A2422" i="52069"/>
  <c r="C2422" i="52069" s="1"/>
  <c r="G2421" i="52069"/>
  <c r="B2421" i="52069"/>
  <c r="A2421" i="52069"/>
  <c r="G2420" i="52069"/>
  <c r="B2420" i="52069"/>
  <c r="A2420" i="52069"/>
  <c r="C2420" i="52069" s="1"/>
  <c r="G2419" i="52069"/>
  <c r="B2419" i="52069"/>
  <c r="A2419" i="52069"/>
  <c r="G2418" i="52069"/>
  <c r="B2418" i="52069"/>
  <c r="A2418" i="52069"/>
  <c r="C2418" i="52069" s="1"/>
  <c r="G2417" i="52069"/>
  <c r="B2417" i="52069"/>
  <c r="A2417" i="52069"/>
  <c r="G2416" i="52069"/>
  <c r="B2416" i="52069"/>
  <c r="A2416" i="52069"/>
  <c r="C2416" i="52069" s="1"/>
  <c r="G2415" i="52069"/>
  <c r="B2415" i="52069"/>
  <c r="A2415" i="52069"/>
  <c r="G2414" i="52069"/>
  <c r="B2414" i="52069"/>
  <c r="A2414" i="52069"/>
  <c r="C2414" i="52069" s="1"/>
  <c r="G2413" i="52069"/>
  <c r="B2413" i="52069"/>
  <c r="A2413" i="52069"/>
  <c r="G2412" i="52069"/>
  <c r="B2412" i="52069"/>
  <c r="A2412" i="52069"/>
  <c r="C2412" i="52069" s="1"/>
  <c r="G2411" i="52069"/>
  <c r="B2411" i="52069"/>
  <c r="A2411" i="52069"/>
  <c r="G2410" i="52069"/>
  <c r="B2410" i="52069"/>
  <c r="A2410" i="52069"/>
  <c r="C2410" i="52069" s="1"/>
  <c r="G2409" i="52069"/>
  <c r="B2409" i="52069"/>
  <c r="A2409" i="52069"/>
  <c r="G2408" i="52069"/>
  <c r="B2408" i="52069"/>
  <c r="A2408" i="52069"/>
  <c r="C2408" i="52069" s="1"/>
  <c r="G2407" i="52069"/>
  <c r="B2407" i="52069"/>
  <c r="A2407" i="52069"/>
  <c r="G2406" i="52069"/>
  <c r="B2406" i="52069"/>
  <c r="A2406" i="52069"/>
  <c r="C2406" i="52069" s="1"/>
  <c r="G2405" i="52069"/>
  <c r="B2405" i="52069"/>
  <c r="A2405" i="52069"/>
  <c r="G2404" i="52069"/>
  <c r="B2404" i="52069"/>
  <c r="A2404" i="52069"/>
  <c r="C2404" i="52069" s="1"/>
  <c r="G2403" i="52069"/>
  <c r="B2403" i="52069"/>
  <c r="A2403" i="52069"/>
  <c r="G2402" i="52069"/>
  <c r="B2402" i="52069"/>
  <c r="A2402" i="52069"/>
  <c r="C2402" i="52069" s="1"/>
  <c r="G2401" i="52069"/>
  <c r="B2401" i="52069"/>
  <c r="A2401" i="52069"/>
  <c r="G2400" i="52069"/>
  <c r="B2400" i="52069"/>
  <c r="A2400" i="52069"/>
  <c r="C2400" i="52069" s="1"/>
  <c r="G2399" i="52069"/>
  <c r="B2399" i="52069"/>
  <c r="A2399" i="52069"/>
  <c r="G2398" i="52069"/>
  <c r="B2398" i="52069"/>
  <c r="A2398" i="52069"/>
  <c r="C2398" i="52069" s="1"/>
  <c r="G2397" i="52069"/>
  <c r="B2397" i="52069"/>
  <c r="A2397" i="52069"/>
  <c r="G2396" i="52069"/>
  <c r="B2396" i="52069"/>
  <c r="A2396" i="52069"/>
  <c r="C2396" i="52069" s="1"/>
  <c r="G2395" i="52069"/>
  <c r="B2395" i="52069"/>
  <c r="A2395" i="52069"/>
  <c r="G2394" i="52069"/>
  <c r="B2394" i="52069"/>
  <c r="A2394" i="52069"/>
  <c r="C2394" i="52069" s="1"/>
  <c r="G2393" i="52069"/>
  <c r="B2393" i="52069"/>
  <c r="A2393" i="52069"/>
  <c r="G2392" i="52069"/>
  <c r="B2392" i="52069"/>
  <c r="A2392" i="52069"/>
  <c r="C2392" i="52069" s="1"/>
  <c r="G2391" i="52069"/>
  <c r="B2391" i="52069"/>
  <c r="A2391" i="52069"/>
  <c r="G2390" i="52069"/>
  <c r="B2390" i="52069"/>
  <c r="A2390" i="52069"/>
  <c r="C2390" i="52069" s="1"/>
  <c r="G2389" i="52069"/>
  <c r="B2389" i="52069"/>
  <c r="A2389" i="52069"/>
  <c r="G2388" i="52069"/>
  <c r="B2388" i="52069"/>
  <c r="A2388" i="52069"/>
  <c r="C2388" i="52069" s="1"/>
  <c r="G2387" i="52069"/>
  <c r="B2387" i="52069"/>
  <c r="A2387" i="52069"/>
  <c r="G2386" i="52069"/>
  <c r="B2386" i="52069"/>
  <c r="A2386" i="52069"/>
  <c r="C2386" i="52069" s="1"/>
  <c r="G2385" i="52069"/>
  <c r="B2385" i="52069"/>
  <c r="A2385" i="52069"/>
  <c r="G2384" i="52069"/>
  <c r="B2384" i="52069"/>
  <c r="A2384" i="52069"/>
  <c r="C2384" i="52069" s="1"/>
  <c r="G2383" i="52069"/>
  <c r="B2383" i="52069"/>
  <c r="A2383" i="52069"/>
  <c r="G2382" i="52069"/>
  <c r="B2382" i="52069"/>
  <c r="A2382" i="52069"/>
  <c r="C2382" i="52069" s="1"/>
  <c r="G2381" i="52069"/>
  <c r="B2381" i="52069"/>
  <c r="A2381" i="52069"/>
  <c r="G2380" i="52069"/>
  <c r="B2380" i="52069"/>
  <c r="A2380" i="52069"/>
  <c r="C2380" i="52069" s="1"/>
  <c r="G2379" i="52069"/>
  <c r="B2379" i="52069"/>
  <c r="A2379" i="52069"/>
  <c r="G2378" i="52069"/>
  <c r="B2378" i="52069"/>
  <c r="A2378" i="52069"/>
  <c r="C2378" i="52069" s="1"/>
  <c r="G2377" i="52069"/>
  <c r="B2377" i="52069"/>
  <c r="A2377" i="52069"/>
  <c r="G2376" i="52069"/>
  <c r="B2376" i="52069"/>
  <c r="A2376" i="52069"/>
  <c r="C2376" i="52069" s="1"/>
  <c r="G2375" i="52069"/>
  <c r="B2375" i="52069"/>
  <c r="A2375" i="52069"/>
  <c r="G2374" i="52069"/>
  <c r="B2374" i="52069"/>
  <c r="A2374" i="52069"/>
  <c r="C2374" i="52069" s="1"/>
  <c r="G2373" i="52069"/>
  <c r="B2373" i="52069"/>
  <c r="A2373" i="52069"/>
  <c r="G2372" i="52069"/>
  <c r="B2372" i="52069"/>
  <c r="A2372" i="52069"/>
  <c r="C2372" i="52069" s="1"/>
  <c r="G2371" i="52069"/>
  <c r="B2371" i="52069"/>
  <c r="A2371" i="52069"/>
  <c r="G2370" i="52069"/>
  <c r="B2370" i="52069"/>
  <c r="A2370" i="52069"/>
  <c r="C2370" i="52069" s="1"/>
  <c r="G2369" i="52069"/>
  <c r="B2369" i="52069"/>
  <c r="A2369" i="52069"/>
  <c r="G2368" i="52069"/>
  <c r="B2368" i="52069"/>
  <c r="A2368" i="52069"/>
  <c r="C2368" i="52069" s="1"/>
  <c r="G2367" i="52069"/>
  <c r="B2367" i="52069"/>
  <c r="A2367" i="52069"/>
  <c r="G2366" i="52069"/>
  <c r="B2366" i="52069"/>
  <c r="A2366" i="52069"/>
  <c r="C2366" i="52069" s="1"/>
  <c r="G2365" i="52069"/>
  <c r="B2365" i="52069"/>
  <c r="A2365" i="52069"/>
  <c r="G2364" i="52069"/>
  <c r="B2364" i="52069"/>
  <c r="A2364" i="52069"/>
  <c r="C2364" i="52069" s="1"/>
  <c r="G2363" i="52069"/>
  <c r="B2363" i="52069"/>
  <c r="A2363" i="52069"/>
  <c r="G2362" i="52069"/>
  <c r="B2362" i="52069"/>
  <c r="A2362" i="52069"/>
  <c r="C2362" i="52069" s="1"/>
  <c r="G2361" i="52069"/>
  <c r="B2361" i="52069"/>
  <c r="A2361" i="52069"/>
  <c r="G2360" i="52069"/>
  <c r="B2360" i="52069"/>
  <c r="A2360" i="52069"/>
  <c r="C2360" i="52069" s="1"/>
  <c r="G2359" i="52069"/>
  <c r="B2359" i="52069"/>
  <c r="A2359" i="52069"/>
  <c r="G2358" i="52069"/>
  <c r="B2358" i="52069"/>
  <c r="A2358" i="52069"/>
  <c r="C2358" i="52069" s="1"/>
  <c r="G2357" i="52069"/>
  <c r="B2357" i="52069"/>
  <c r="A2357" i="52069"/>
  <c r="G2356" i="52069"/>
  <c r="B2356" i="52069"/>
  <c r="A2356" i="52069"/>
  <c r="C2356" i="52069" s="1"/>
  <c r="G2355" i="52069"/>
  <c r="B2355" i="52069"/>
  <c r="A2355" i="52069"/>
  <c r="G2354" i="52069"/>
  <c r="B2354" i="52069"/>
  <c r="A2354" i="52069"/>
  <c r="C2354" i="52069" s="1"/>
  <c r="G2353" i="52069"/>
  <c r="B2353" i="52069"/>
  <c r="A2353" i="52069"/>
  <c r="G2352" i="52069"/>
  <c r="B2352" i="52069"/>
  <c r="A2352" i="52069"/>
  <c r="C2352" i="52069" s="1"/>
  <c r="G2351" i="52069"/>
  <c r="B2351" i="52069"/>
  <c r="A2351" i="52069"/>
  <c r="G2350" i="52069"/>
  <c r="B2350" i="52069"/>
  <c r="A2350" i="52069"/>
  <c r="C2350" i="52069" s="1"/>
  <c r="G2349" i="52069"/>
  <c r="B2349" i="52069"/>
  <c r="A2349" i="52069"/>
  <c r="G2348" i="52069"/>
  <c r="B2348" i="52069"/>
  <c r="A2348" i="52069"/>
  <c r="C2348" i="52069" s="1"/>
  <c r="G2347" i="52069"/>
  <c r="B2347" i="52069"/>
  <c r="A2347" i="52069"/>
  <c r="G2346" i="52069"/>
  <c r="B2346" i="52069"/>
  <c r="A2346" i="52069"/>
  <c r="C2346" i="52069" s="1"/>
  <c r="G2345" i="52069"/>
  <c r="B2345" i="52069"/>
  <c r="A2345" i="52069"/>
  <c r="G2344" i="52069"/>
  <c r="B2344" i="52069"/>
  <c r="A2344" i="52069"/>
  <c r="C2344" i="52069" s="1"/>
  <c r="G2343" i="52069"/>
  <c r="B2343" i="52069"/>
  <c r="A2343" i="52069"/>
  <c r="G2342" i="52069"/>
  <c r="B2342" i="52069"/>
  <c r="A2342" i="52069"/>
  <c r="C2342" i="52069" s="1"/>
  <c r="G2341" i="52069"/>
  <c r="B2341" i="52069"/>
  <c r="A2341" i="52069"/>
  <c r="G2340" i="52069"/>
  <c r="B2340" i="52069"/>
  <c r="A2340" i="52069"/>
  <c r="C2340" i="52069" s="1"/>
  <c r="G2339" i="52069"/>
  <c r="B2339" i="52069"/>
  <c r="A2339" i="52069"/>
  <c r="G2338" i="52069"/>
  <c r="B2338" i="52069"/>
  <c r="A2338" i="52069"/>
  <c r="C2338" i="52069" s="1"/>
  <c r="G2337" i="52069"/>
  <c r="B2337" i="52069"/>
  <c r="A2337" i="52069"/>
  <c r="G2336" i="52069"/>
  <c r="B2336" i="52069"/>
  <c r="A2336" i="52069"/>
  <c r="C2336" i="52069" s="1"/>
  <c r="G2335" i="52069"/>
  <c r="B2335" i="52069"/>
  <c r="C2335" i="52069" s="1"/>
  <c r="G2334" i="52069"/>
  <c r="B2334" i="52069"/>
  <c r="A2334" i="52069"/>
  <c r="C2334" i="52069" s="1"/>
  <c r="G2333" i="52069"/>
  <c r="B2333" i="52069"/>
  <c r="A2333" i="52069"/>
  <c r="C2333" i="52069" s="1"/>
  <c r="G2332" i="52069"/>
  <c r="B2332" i="52069"/>
  <c r="A2332" i="52069"/>
  <c r="C2332" i="52069" s="1"/>
  <c r="G2331" i="52069"/>
  <c r="B2331" i="52069"/>
  <c r="A2331" i="52069"/>
  <c r="C2331" i="52069" s="1"/>
  <c r="G2330" i="52069"/>
  <c r="B2330" i="52069"/>
  <c r="A2330" i="52069"/>
  <c r="C2330" i="52069" s="1"/>
  <c r="G2329" i="52069"/>
  <c r="B2329" i="52069"/>
  <c r="A2329" i="52069"/>
  <c r="C2329" i="52069" s="1"/>
  <c r="G2328" i="52069"/>
  <c r="B2328" i="52069"/>
  <c r="A2328" i="52069"/>
  <c r="C2328" i="52069" s="1"/>
  <c r="G2327" i="52069"/>
  <c r="B2327" i="52069"/>
  <c r="A2327" i="52069"/>
  <c r="C2327" i="52069" s="1"/>
  <c r="G2326" i="52069"/>
  <c r="B2326" i="52069"/>
  <c r="A2326" i="52069"/>
  <c r="C2326" i="52069" s="1"/>
  <c r="G2325" i="52069"/>
  <c r="B2325" i="52069"/>
  <c r="A2325" i="52069"/>
  <c r="C2325" i="52069" s="1"/>
  <c r="G2324" i="52069"/>
  <c r="B2324" i="52069"/>
  <c r="A2324" i="52069"/>
  <c r="C2324" i="52069" s="1"/>
  <c r="G2323" i="52069"/>
  <c r="B2323" i="52069"/>
  <c r="A2323" i="52069"/>
  <c r="C2323" i="52069" s="1"/>
  <c r="G2322" i="52069"/>
  <c r="B2322" i="52069"/>
  <c r="A2322" i="52069"/>
  <c r="C2322" i="52069" s="1"/>
  <c r="G2321" i="52069"/>
  <c r="B2321" i="52069"/>
  <c r="A2321" i="52069"/>
  <c r="C2321" i="52069" s="1"/>
  <c r="G2320" i="52069"/>
  <c r="B2320" i="52069"/>
  <c r="A2320" i="52069"/>
  <c r="C2320" i="52069" s="1"/>
  <c r="G2319" i="52069"/>
  <c r="B2319" i="52069"/>
  <c r="A2319" i="52069"/>
  <c r="C2319" i="52069" s="1"/>
  <c r="G2318" i="52069"/>
  <c r="B2318" i="52069"/>
  <c r="A2318" i="52069"/>
  <c r="C2318" i="52069" s="1"/>
  <c r="G2317" i="52069"/>
  <c r="B2317" i="52069"/>
  <c r="A2317" i="52069"/>
  <c r="C2317" i="52069" s="1"/>
  <c r="G2316" i="52069"/>
  <c r="B2316" i="52069"/>
  <c r="A2316" i="52069"/>
  <c r="C2316" i="52069" s="1"/>
  <c r="G2315" i="52069"/>
  <c r="B2315" i="52069"/>
  <c r="A2315" i="52069"/>
  <c r="C2315" i="52069" s="1"/>
  <c r="G2314" i="52069"/>
  <c r="B2314" i="52069"/>
  <c r="A2314" i="52069"/>
  <c r="C2314" i="52069" s="1"/>
  <c r="G2313" i="52069"/>
  <c r="B2313" i="52069"/>
  <c r="A2313" i="52069"/>
  <c r="C2313" i="52069" s="1"/>
  <c r="G2312" i="52069"/>
  <c r="B2312" i="52069"/>
  <c r="A2312" i="52069"/>
  <c r="C2312" i="52069" s="1"/>
  <c r="G2311" i="52069"/>
  <c r="B2311" i="52069"/>
  <c r="A2311" i="52069"/>
  <c r="C2311" i="52069" s="1"/>
  <c r="G2310" i="52069"/>
  <c r="B2310" i="52069"/>
  <c r="A2310" i="52069"/>
  <c r="C2310" i="52069" s="1"/>
  <c r="G2309" i="52069"/>
  <c r="B2309" i="52069"/>
  <c r="A2309" i="52069"/>
  <c r="C2309" i="52069" s="1"/>
  <c r="G2308" i="52069"/>
  <c r="B2308" i="52069"/>
  <c r="A2308" i="52069"/>
  <c r="C2308" i="52069" s="1"/>
  <c r="G2307" i="52069"/>
  <c r="B2307" i="52069"/>
  <c r="A2307" i="52069"/>
  <c r="C2307" i="52069" s="1"/>
  <c r="G2306" i="52069"/>
  <c r="B2306" i="52069"/>
  <c r="A2306" i="52069"/>
  <c r="C2306" i="52069" s="1"/>
  <c r="G2305" i="52069"/>
  <c r="B2305" i="52069"/>
  <c r="A2305" i="52069"/>
  <c r="C2305" i="52069" s="1"/>
  <c r="G2304" i="52069"/>
  <c r="B2304" i="52069"/>
  <c r="A2304" i="52069"/>
  <c r="C2304" i="52069" s="1"/>
  <c r="G2303" i="52069"/>
  <c r="B2303" i="52069"/>
  <c r="A2303" i="52069"/>
  <c r="C2303" i="52069" s="1"/>
  <c r="G2302" i="52069"/>
  <c r="B2302" i="52069"/>
  <c r="A2302" i="52069"/>
  <c r="C2302" i="52069" s="1"/>
  <c r="G2301" i="52069"/>
  <c r="B2301" i="52069"/>
  <c r="A2301" i="52069"/>
  <c r="C2301" i="52069" s="1"/>
  <c r="G2300" i="52069"/>
  <c r="B2300" i="52069"/>
  <c r="A2300" i="52069"/>
  <c r="C2300" i="52069" s="1"/>
  <c r="G2299" i="52069"/>
  <c r="B2299" i="52069"/>
  <c r="A2299" i="52069"/>
  <c r="C2299" i="52069" s="1"/>
  <c r="G2298" i="52069"/>
  <c r="B2298" i="52069"/>
  <c r="A2298" i="52069"/>
  <c r="C2298" i="52069" s="1"/>
  <c r="G2297" i="52069"/>
  <c r="B2297" i="52069"/>
  <c r="A2297" i="52069"/>
  <c r="C2297" i="52069" s="1"/>
  <c r="G2296" i="52069"/>
  <c r="B2296" i="52069"/>
  <c r="A2296" i="52069"/>
  <c r="C2296" i="52069" s="1"/>
  <c r="G2295" i="52069"/>
  <c r="B2295" i="52069"/>
  <c r="A2295" i="52069"/>
  <c r="C2295" i="52069" s="1"/>
  <c r="G2294" i="52069"/>
  <c r="B2294" i="52069"/>
  <c r="A2294" i="52069"/>
  <c r="C2294" i="52069" s="1"/>
  <c r="G2293" i="52069"/>
  <c r="B2293" i="52069"/>
  <c r="A2293" i="52069"/>
  <c r="C2293" i="52069" s="1"/>
  <c r="G2292" i="52069"/>
  <c r="B2292" i="52069"/>
  <c r="A2292" i="52069"/>
  <c r="C2292" i="52069" s="1"/>
  <c r="G2291" i="52069"/>
  <c r="B2291" i="52069"/>
  <c r="A2291" i="52069"/>
  <c r="C2291" i="52069" s="1"/>
  <c r="G2290" i="52069"/>
  <c r="B2290" i="52069"/>
  <c r="A2290" i="52069"/>
  <c r="C2290" i="52069" s="1"/>
  <c r="G2289" i="52069"/>
  <c r="B2289" i="52069"/>
  <c r="A2289" i="52069"/>
  <c r="C2289" i="52069" s="1"/>
  <c r="G2288" i="52069"/>
  <c r="B2288" i="52069"/>
  <c r="A2288" i="52069"/>
  <c r="C2288" i="52069" s="1"/>
  <c r="G2287" i="52069"/>
  <c r="B2287" i="52069"/>
  <c r="A2287" i="52069"/>
  <c r="C2287" i="52069" s="1"/>
  <c r="G2286" i="52069"/>
  <c r="B2286" i="52069"/>
  <c r="A2286" i="52069"/>
  <c r="C2286" i="52069" s="1"/>
  <c r="G2285" i="52069"/>
  <c r="B2285" i="52069"/>
  <c r="A2285" i="52069"/>
  <c r="C2285" i="52069" s="1"/>
  <c r="G2284" i="52069"/>
  <c r="B2284" i="52069"/>
  <c r="A2284" i="52069"/>
  <c r="C2284" i="52069" s="1"/>
  <c r="G2283" i="52069"/>
  <c r="B2283" i="52069"/>
  <c r="A2283" i="52069"/>
  <c r="C2283" i="52069" s="1"/>
  <c r="G2282" i="52069"/>
  <c r="B2282" i="52069"/>
  <c r="A2282" i="52069"/>
  <c r="C2282" i="52069" s="1"/>
  <c r="G2281" i="52069"/>
  <c r="B2281" i="52069"/>
  <c r="A2281" i="52069"/>
  <c r="C2281" i="52069" s="1"/>
  <c r="G2280" i="52069"/>
  <c r="B2280" i="52069"/>
  <c r="A2280" i="52069"/>
  <c r="C2280" i="52069" s="1"/>
  <c r="G2279" i="52069"/>
  <c r="B2279" i="52069"/>
  <c r="A2279" i="52069"/>
  <c r="C2279" i="52069" s="1"/>
  <c r="G2278" i="52069"/>
  <c r="B2278" i="52069"/>
  <c r="A2278" i="52069"/>
  <c r="C2278" i="52069" s="1"/>
  <c r="G2277" i="52069"/>
  <c r="B2277" i="52069"/>
  <c r="A2277" i="52069"/>
  <c r="C2277" i="52069" s="1"/>
  <c r="G2276" i="52069"/>
  <c r="B2276" i="52069"/>
  <c r="A2276" i="52069"/>
  <c r="C2276" i="52069" s="1"/>
  <c r="G2275" i="52069"/>
  <c r="B2275" i="52069"/>
  <c r="A2275" i="52069"/>
  <c r="C2275" i="52069" s="1"/>
  <c r="G2274" i="52069"/>
  <c r="B2274" i="52069"/>
  <c r="A2274" i="52069"/>
  <c r="C2274" i="52069" s="1"/>
  <c r="G2273" i="52069"/>
  <c r="B2273" i="52069"/>
  <c r="A2273" i="52069"/>
  <c r="C2273" i="52069" s="1"/>
  <c r="G2272" i="52069"/>
  <c r="B2272" i="52069"/>
  <c r="A2272" i="52069"/>
  <c r="C2272" i="52069" s="1"/>
  <c r="G2271" i="52069"/>
  <c r="B2271" i="52069"/>
  <c r="A2271" i="52069"/>
  <c r="C2271" i="52069" s="1"/>
  <c r="G2270" i="52069"/>
  <c r="B2270" i="52069"/>
  <c r="A2270" i="52069"/>
  <c r="C2270" i="52069" s="1"/>
  <c r="G2269" i="52069"/>
  <c r="B2269" i="52069"/>
  <c r="A2269" i="52069"/>
  <c r="C2269" i="52069" s="1"/>
  <c r="G2268" i="52069"/>
  <c r="B2268" i="52069"/>
  <c r="A2268" i="52069"/>
  <c r="C2268" i="52069" s="1"/>
  <c r="G2267" i="52069"/>
  <c r="B2267" i="52069"/>
  <c r="A2267" i="52069"/>
  <c r="C2267" i="52069" s="1"/>
  <c r="G2266" i="52069"/>
  <c r="B2266" i="52069"/>
  <c r="A2266" i="52069"/>
  <c r="C2266" i="52069" s="1"/>
  <c r="G2265" i="52069"/>
  <c r="B2265" i="52069"/>
  <c r="A2265" i="52069"/>
  <c r="C2265" i="52069" s="1"/>
  <c r="G2264" i="52069"/>
  <c r="B2264" i="52069"/>
  <c r="A2264" i="52069"/>
  <c r="C2264" i="52069" s="1"/>
  <c r="G2263" i="52069"/>
  <c r="B2263" i="52069"/>
  <c r="A2263" i="52069"/>
  <c r="C2263" i="52069" s="1"/>
  <c r="G2262" i="52069"/>
  <c r="B2262" i="52069"/>
  <c r="A2262" i="52069"/>
  <c r="C2262" i="52069" s="1"/>
  <c r="G2261" i="52069"/>
  <c r="B2261" i="52069"/>
  <c r="A2261" i="52069"/>
  <c r="C2261" i="52069" s="1"/>
  <c r="G2260" i="52069"/>
  <c r="B2260" i="52069"/>
  <c r="A2260" i="52069"/>
  <c r="C2260" i="52069" s="1"/>
  <c r="G2259" i="52069"/>
  <c r="B2259" i="52069"/>
  <c r="A2259" i="52069"/>
  <c r="C2259" i="52069" s="1"/>
  <c r="G2258" i="52069"/>
  <c r="B2258" i="52069"/>
  <c r="A2258" i="52069"/>
  <c r="C2258" i="52069" s="1"/>
  <c r="G2257" i="52069"/>
  <c r="B2257" i="52069"/>
  <c r="A2257" i="52069"/>
  <c r="C2257" i="52069" s="1"/>
  <c r="G2256" i="52069"/>
  <c r="B2256" i="52069"/>
  <c r="A2256" i="52069"/>
  <c r="C2256" i="52069" s="1"/>
  <c r="G2255" i="52069"/>
  <c r="B2255" i="52069"/>
  <c r="A2255" i="52069"/>
  <c r="C2255" i="52069" s="1"/>
  <c r="G2254" i="52069"/>
  <c r="B2254" i="52069"/>
  <c r="A2254" i="52069"/>
  <c r="C2254" i="52069" s="1"/>
  <c r="G2253" i="52069"/>
  <c r="B2253" i="52069"/>
  <c r="A2253" i="52069"/>
  <c r="C2253" i="52069" s="1"/>
  <c r="G2252" i="52069"/>
  <c r="B2252" i="52069"/>
  <c r="A2252" i="52069"/>
  <c r="C2252" i="52069" s="1"/>
  <c r="G2251" i="52069"/>
  <c r="B2251" i="52069"/>
  <c r="A2251" i="52069"/>
  <c r="C2251" i="52069" s="1"/>
  <c r="G2250" i="52069"/>
  <c r="B2250" i="52069"/>
  <c r="A2250" i="52069"/>
  <c r="C2250" i="52069" s="1"/>
  <c r="G2249" i="52069"/>
  <c r="B2249" i="52069"/>
  <c r="A2249" i="52069"/>
  <c r="C2249" i="52069" s="1"/>
  <c r="G2248" i="52069"/>
  <c r="B2248" i="52069"/>
  <c r="A2248" i="52069"/>
  <c r="C2248" i="52069" s="1"/>
  <c r="G2247" i="52069"/>
  <c r="B2247" i="52069"/>
  <c r="A2247" i="52069"/>
  <c r="C2247" i="52069" s="1"/>
  <c r="G2246" i="52069"/>
  <c r="B2246" i="52069"/>
  <c r="A2246" i="52069"/>
  <c r="C2246" i="52069" s="1"/>
  <c r="G2245" i="52069"/>
  <c r="B2245" i="52069"/>
  <c r="A2245" i="52069"/>
  <c r="C2245" i="52069" s="1"/>
  <c r="G2244" i="52069"/>
  <c r="B2244" i="52069"/>
  <c r="A2244" i="52069"/>
  <c r="C2244" i="52069" s="1"/>
  <c r="G2243" i="52069"/>
  <c r="B2243" i="52069"/>
  <c r="A2243" i="52069"/>
  <c r="C2243" i="52069" s="1"/>
  <c r="G2242" i="52069"/>
  <c r="B2242" i="52069"/>
  <c r="A2242" i="52069"/>
  <c r="C2242" i="52069" s="1"/>
  <c r="G2241" i="52069"/>
  <c r="B2241" i="52069"/>
  <c r="A2241" i="52069"/>
  <c r="C2241" i="52069" s="1"/>
  <c r="G2240" i="52069"/>
  <c r="B2240" i="52069"/>
  <c r="A2240" i="52069"/>
  <c r="C2240" i="52069" s="1"/>
  <c r="G2239" i="52069"/>
  <c r="B2239" i="52069"/>
  <c r="A2239" i="52069"/>
  <c r="C2239" i="52069" s="1"/>
  <c r="G2238" i="52069"/>
  <c r="B2238" i="52069"/>
  <c r="A2238" i="52069"/>
  <c r="C2238" i="52069" s="1"/>
  <c r="G2237" i="52069"/>
  <c r="B2237" i="52069"/>
  <c r="A2237" i="52069"/>
  <c r="C2237" i="52069" s="1"/>
  <c r="G2236" i="52069"/>
  <c r="B2236" i="52069"/>
  <c r="A2236" i="52069"/>
  <c r="C2236" i="52069" s="1"/>
  <c r="G2235" i="52069"/>
  <c r="B2235" i="52069"/>
  <c r="A2235" i="52069"/>
  <c r="C2235" i="52069" s="1"/>
  <c r="G2234" i="52069"/>
  <c r="B2234" i="52069"/>
  <c r="A2234" i="52069"/>
  <c r="C2234" i="52069" s="1"/>
  <c r="G2233" i="52069"/>
  <c r="B2233" i="52069"/>
  <c r="A2233" i="52069"/>
  <c r="C2233" i="52069" s="1"/>
  <c r="G2232" i="52069"/>
  <c r="B2232" i="52069"/>
  <c r="A2232" i="52069"/>
  <c r="C2232" i="52069" s="1"/>
  <c r="G2231" i="52069"/>
  <c r="B2231" i="52069"/>
  <c r="A2231" i="52069"/>
  <c r="C2231" i="52069" s="1"/>
  <c r="G2230" i="52069"/>
  <c r="B2230" i="52069"/>
  <c r="A2230" i="52069"/>
  <c r="C2230" i="52069" s="1"/>
  <c r="G2229" i="52069"/>
  <c r="B2229" i="52069"/>
  <c r="A2229" i="52069"/>
  <c r="C2229" i="52069" s="1"/>
  <c r="G2228" i="52069"/>
  <c r="B2228" i="52069"/>
  <c r="A2228" i="52069"/>
  <c r="C2228" i="52069" s="1"/>
  <c r="G2227" i="52069"/>
  <c r="B2227" i="52069"/>
  <c r="A2227" i="52069"/>
  <c r="C2227" i="52069" s="1"/>
  <c r="G2226" i="52069"/>
  <c r="B2226" i="52069"/>
  <c r="A2226" i="52069"/>
  <c r="C2226" i="52069" s="1"/>
  <c r="G2225" i="52069"/>
  <c r="B2225" i="52069"/>
  <c r="A2225" i="52069"/>
  <c r="C2225" i="52069" s="1"/>
  <c r="G2224" i="52069"/>
  <c r="B2224" i="52069"/>
  <c r="A2224" i="52069"/>
  <c r="C2224" i="52069" s="1"/>
  <c r="G2223" i="52069"/>
  <c r="B2223" i="52069"/>
  <c r="A2223" i="52069"/>
  <c r="C2223" i="52069" s="1"/>
  <c r="G2222" i="52069"/>
  <c r="B2222" i="52069"/>
  <c r="A2222" i="52069"/>
  <c r="C2222" i="52069" s="1"/>
  <c r="G2221" i="52069"/>
  <c r="B2221" i="52069"/>
  <c r="A2221" i="52069"/>
  <c r="C2221" i="52069" s="1"/>
  <c r="G2220" i="52069"/>
  <c r="B2220" i="52069"/>
  <c r="A2220" i="52069"/>
  <c r="C2220" i="52069" s="1"/>
  <c r="G2219" i="52069"/>
  <c r="B2219" i="52069"/>
  <c r="A2219" i="52069"/>
  <c r="C2219" i="52069" s="1"/>
  <c r="G2218" i="52069"/>
  <c r="B2218" i="52069"/>
  <c r="A2218" i="52069"/>
  <c r="C2218" i="52069" s="1"/>
  <c r="G2217" i="52069"/>
  <c r="B2217" i="52069"/>
  <c r="A2217" i="52069"/>
  <c r="C2217" i="52069" s="1"/>
  <c r="G2216" i="52069"/>
  <c r="B2216" i="52069"/>
  <c r="A2216" i="52069"/>
  <c r="C2216" i="52069" s="1"/>
  <c r="G2215" i="52069"/>
  <c r="B2215" i="52069"/>
  <c r="A2215" i="52069"/>
  <c r="C2215" i="52069" s="1"/>
  <c r="G2214" i="52069"/>
  <c r="B2214" i="52069"/>
  <c r="A2214" i="52069"/>
  <c r="C2214" i="52069" s="1"/>
  <c r="G2213" i="52069"/>
  <c r="B2213" i="52069"/>
  <c r="A2213" i="52069"/>
  <c r="C2213" i="52069" s="1"/>
  <c r="G2212" i="52069"/>
  <c r="B2212" i="52069"/>
  <c r="A2212" i="52069"/>
  <c r="C2212" i="52069" s="1"/>
  <c r="G2211" i="52069"/>
  <c r="B2211" i="52069"/>
  <c r="A2211" i="52069"/>
  <c r="C2211" i="52069" s="1"/>
  <c r="G2210" i="52069"/>
  <c r="B2210" i="52069"/>
  <c r="A2210" i="52069"/>
  <c r="C2210" i="52069" s="1"/>
  <c r="G2209" i="52069"/>
  <c r="B2209" i="52069"/>
  <c r="A2209" i="52069"/>
  <c r="C2209" i="52069" s="1"/>
  <c r="G2208" i="52069"/>
  <c r="B2208" i="52069"/>
  <c r="A2208" i="52069"/>
  <c r="C2208" i="52069" s="1"/>
  <c r="G2207" i="52069"/>
  <c r="B2207" i="52069"/>
  <c r="A2207" i="52069"/>
  <c r="C2207" i="52069" s="1"/>
  <c r="G2206" i="52069"/>
  <c r="B2206" i="52069"/>
  <c r="A2206" i="52069"/>
  <c r="C2206" i="52069" s="1"/>
  <c r="G2205" i="52069"/>
  <c r="B2205" i="52069"/>
  <c r="A2205" i="52069"/>
  <c r="C2205" i="52069" s="1"/>
  <c r="G2204" i="52069"/>
  <c r="B2204" i="52069"/>
  <c r="A2204" i="52069"/>
  <c r="C2204" i="52069" s="1"/>
  <c r="G2203" i="52069"/>
  <c r="B2203" i="52069"/>
  <c r="A2203" i="52069"/>
  <c r="C2203" i="52069" s="1"/>
  <c r="G2202" i="52069"/>
  <c r="B2202" i="52069"/>
  <c r="A2202" i="52069"/>
  <c r="C2202" i="52069" s="1"/>
  <c r="G2201" i="52069"/>
  <c r="B2201" i="52069"/>
  <c r="A2201" i="52069"/>
  <c r="C2201" i="52069" s="1"/>
  <c r="G2200" i="52069"/>
  <c r="B2200" i="52069"/>
  <c r="A2200" i="52069"/>
  <c r="C2200" i="52069" s="1"/>
  <c r="G2199" i="52069"/>
  <c r="B2199" i="52069"/>
  <c r="A2199" i="52069"/>
  <c r="C2199" i="52069" s="1"/>
  <c r="G2198" i="52069"/>
  <c r="B2198" i="52069"/>
  <c r="A2198" i="52069"/>
  <c r="C2198" i="52069" s="1"/>
  <c r="G2197" i="52069"/>
  <c r="B2197" i="52069"/>
  <c r="A2197" i="52069"/>
  <c r="C2197" i="52069" s="1"/>
  <c r="G2196" i="52069"/>
  <c r="B2196" i="52069"/>
  <c r="A2196" i="52069"/>
  <c r="C2196" i="52069" s="1"/>
  <c r="G2195" i="52069"/>
  <c r="B2195" i="52069"/>
  <c r="A2195" i="52069"/>
  <c r="C2195" i="52069" s="1"/>
  <c r="G2194" i="52069"/>
  <c r="B2194" i="52069"/>
  <c r="A2194" i="52069"/>
  <c r="C2194" i="52069" s="1"/>
  <c r="G2193" i="52069"/>
  <c r="B2193" i="52069"/>
  <c r="A2193" i="52069"/>
  <c r="C2193" i="52069" s="1"/>
  <c r="G2192" i="52069"/>
  <c r="B2192" i="52069"/>
  <c r="A2192" i="52069"/>
  <c r="C2192" i="52069" s="1"/>
  <c r="G2191" i="52069"/>
  <c r="B2191" i="52069"/>
  <c r="A2191" i="52069"/>
  <c r="C2191" i="52069" s="1"/>
  <c r="G2190" i="52069"/>
  <c r="B2190" i="52069"/>
  <c r="A2190" i="52069"/>
  <c r="C2190" i="52069" s="1"/>
  <c r="G2189" i="52069"/>
  <c r="B2189" i="52069"/>
  <c r="A2189" i="52069"/>
  <c r="C2189" i="52069" s="1"/>
  <c r="G2188" i="52069"/>
  <c r="B2188" i="52069"/>
  <c r="A2188" i="52069"/>
  <c r="C2188" i="52069" s="1"/>
  <c r="G2187" i="52069"/>
  <c r="B2187" i="52069"/>
  <c r="A2187" i="52069"/>
  <c r="C2187" i="52069" s="1"/>
  <c r="G2186" i="52069"/>
  <c r="B2186" i="52069"/>
  <c r="A2186" i="52069"/>
  <c r="C2186" i="52069" s="1"/>
  <c r="G2185" i="52069"/>
  <c r="B2185" i="52069"/>
  <c r="A2185" i="52069"/>
  <c r="C2185" i="52069" s="1"/>
  <c r="G2184" i="52069"/>
  <c r="B2184" i="52069"/>
  <c r="A2184" i="52069"/>
  <c r="C2184" i="52069" s="1"/>
  <c r="G2183" i="52069"/>
  <c r="B2183" i="52069"/>
  <c r="A2183" i="52069"/>
  <c r="C2183" i="52069" s="1"/>
  <c r="G2182" i="52069"/>
  <c r="B2182" i="52069"/>
  <c r="A2182" i="52069"/>
  <c r="C2182" i="52069" s="1"/>
  <c r="G2181" i="52069"/>
  <c r="B2181" i="52069"/>
  <c r="A2181" i="52069"/>
  <c r="C2181" i="52069" s="1"/>
  <c r="G2180" i="52069"/>
  <c r="B2180" i="52069"/>
  <c r="A2180" i="52069"/>
  <c r="C2180" i="52069" s="1"/>
  <c r="G2179" i="52069"/>
  <c r="B2179" i="52069"/>
  <c r="A2179" i="52069"/>
  <c r="C2179" i="52069" s="1"/>
  <c r="G2178" i="52069"/>
  <c r="B2178" i="52069"/>
  <c r="A2178" i="52069"/>
  <c r="C2178" i="52069" s="1"/>
  <c r="G2177" i="52069"/>
  <c r="B2177" i="52069"/>
  <c r="A2177" i="52069"/>
  <c r="C2177" i="52069" s="1"/>
  <c r="G2176" i="52069"/>
  <c r="B2176" i="52069"/>
  <c r="A2176" i="52069"/>
  <c r="C2176" i="52069" s="1"/>
  <c r="G2175" i="52069"/>
  <c r="B2175" i="52069"/>
  <c r="A2175" i="52069"/>
  <c r="C2175" i="52069" s="1"/>
  <c r="G2174" i="52069"/>
  <c r="B2174" i="52069"/>
  <c r="A2174" i="52069"/>
  <c r="C2174" i="52069" s="1"/>
  <c r="G2173" i="52069"/>
  <c r="B2173" i="52069"/>
  <c r="A2173" i="52069"/>
  <c r="C2173" i="52069" s="1"/>
  <c r="G2172" i="52069"/>
  <c r="B2172" i="52069"/>
  <c r="A2172" i="52069"/>
  <c r="C2172" i="52069" s="1"/>
  <c r="G2171" i="52069"/>
  <c r="B2171" i="52069"/>
  <c r="A2171" i="52069"/>
  <c r="C2171" i="52069" s="1"/>
  <c r="G2170" i="52069"/>
  <c r="B2170" i="52069"/>
  <c r="A2170" i="52069"/>
  <c r="C2170" i="52069" s="1"/>
  <c r="G2169" i="52069"/>
  <c r="B2169" i="52069"/>
  <c r="A2169" i="52069"/>
  <c r="C2169" i="52069" s="1"/>
  <c r="G2168" i="52069"/>
  <c r="B2168" i="52069"/>
  <c r="A2168" i="52069"/>
  <c r="C2168" i="52069" s="1"/>
  <c r="G2167" i="52069"/>
  <c r="B2167" i="52069"/>
  <c r="A2167" i="52069"/>
  <c r="C2167" i="52069" s="1"/>
  <c r="G2166" i="52069"/>
  <c r="B2166" i="52069"/>
  <c r="A2166" i="52069"/>
  <c r="C2166" i="52069" s="1"/>
  <c r="G2165" i="52069"/>
  <c r="B2165" i="52069"/>
  <c r="A2165" i="52069"/>
  <c r="C2165" i="52069" s="1"/>
  <c r="G2164" i="52069"/>
  <c r="B2164" i="52069"/>
  <c r="A2164" i="52069"/>
  <c r="C2164" i="52069" s="1"/>
  <c r="G2163" i="52069"/>
  <c r="B2163" i="52069"/>
  <c r="A2163" i="52069"/>
  <c r="C2163" i="52069" s="1"/>
  <c r="G2162" i="52069"/>
  <c r="B2162" i="52069"/>
  <c r="A2162" i="52069"/>
  <c r="C2162" i="52069" s="1"/>
  <c r="G2161" i="52069"/>
  <c r="B2161" i="52069"/>
  <c r="A2161" i="52069"/>
  <c r="C2161" i="52069" s="1"/>
  <c r="G2160" i="52069"/>
  <c r="B2160" i="52069"/>
  <c r="A2160" i="52069"/>
  <c r="C2160" i="52069" s="1"/>
  <c r="G2159" i="52069"/>
  <c r="B2159" i="52069"/>
  <c r="A2159" i="52069"/>
  <c r="C2159" i="52069" s="1"/>
  <c r="G2158" i="52069"/>
  <c r="B2158" i="52069"/>
  <c r="A2158" i="52069"/>
  <c r="C2158" i="52069" s="1"/>
  <c r="G2157" i="52069"/>
  <c r="B2157" i="52069"/>
  <c r="A2157" i="52069"/>
  <c r="C2157" i="52069" s="1"/>
  <c r="G2156" i="52069"/>
  <c r="B2156" i="52069"/>
  <c r="A2156" i="52069"/>
  <c r="C2156" i="52069" s="1"/>
  <c r="G2155" i="52069"/>
  <c r="B2155" i="52069"/>
  <c r="A2155" i="52069"/>
  <c r="C2155" i="52069" s="1"/>
  <c r="G2154" i="52069"/>
  <c r="B2154" i="52069"/>
  <c r="A2154" i="52069"/>
  <c r="C2154" i="52069" s="1"/>
  <c r="G2153" i="52069"/>
  <c r="B2153" i="52069"/>
  <c r="A2153" i="52069"/>
  <c r="C2153" i="52069" s="1"/>
  <c r="G2152" i="52069"/>
  <c r="B2152" i="52069"/>
  <c r="A2152" i="52069"/>
  <c r="C2152" i="52069" s="1"/>
  <c r="G2151" i="52069"/>
  <c r="B2151" i="52069"/>
  <c r="A2151" i="52069"/>
  <c r="C2151" i="52069" s="1"/>
  <c r="G2150" i="52069"/>
  <c r="B2150" i="52069"/>
  <c r="A2150" i="52069"/>
  <c r="C2150" i="52069" s="1"/>
  <c r="G2149" i="52069"/>
  <c r="B2149" i="52069"/>
  <c r="A2149" i="52069"/>
  <c r="C2149" i="52069" s="1"/>
  <c r="G2148" i="52069"/>
  <c r="B2148" i="52069"/>
  <c r="A2148" i="52069"/>
  <c r="C2148" i="52069" s="1"/>
  <c r="G2147" i="52069"/>
  <c r="B2147" i="52069"/>
  <c r="A2147" i="52069"/>
  <c r="C2147" i="52069" s="1"/>
  <c r="G2146" i="52069"/>
  <c r="B2146" i="52069"/>
  <c r="A2146" i="52069"/>
  <c r="C2146" i="52069" s="1"/>
  <c r="G2145" i="52069"/>
  <c r="B2145" i="52069"/>
  <c r="A2145" i="52069"/>
  <c r="C2145" i="52069" s="1"/>
  <c r="G2144" i="52069"/>
  <c r="B2144" i="52069"/>
  <c r="A2144" i="52069"/>
  <c r="C2144" i="52069" s="1"/>
  <c r="G2143" i="52069"/>
  <c r="B2143" i="52069"/>
  <c r="A2143" i="52069"/>
  <c r="C2143" i="52069" s="1"/>
  <c r="G2142" i="52069"/>
  <c r="B2142" i="52069"/>
  <c r="A2142" i="52069"/>
  <c r="C2142" i="52069" s="1"/>
  <c r="G2141" i="52069"/>
  <c r="B2141" i="52069"/>
  <c r="A2141" i="52069"/>
  <c r="C2141" i="52069" s="1"/>
  <c r="G2140" i="52069"/>
  <c r="B2140" i="52069"/>
  <c r="A2140" i="52069"/>
  <c r="C2140" i="52069" s="1"/>
  <c r="G2139" i="52069"/>
  <c r="B2139" i="52069"/>
  <c r="A2139" i="52069"/>
  <c r="C2139" i="52069" s="1"/>
  <c r="G2138" i="52069"/>
  <c r="B2138" i="52069"/>
  <c r="A2138" i="52069"/>
  <c r="C2138" i="52069" s="1"/>
  <c r="G2137" i="52069"/>
  <c r="B2137" i="52069"/>
  <c r="A2137" i="52069"/>
  <c r="C2137" i="52069" s="1"/>
  <c r="G2136" i="52069"/>
  <c r="B2136" i="52069"/>
  <c r="A2136" i="52069"/>
  <c r="C2136" i="52069" s="1"/>
  <c r="G2135" i="52069"/>
  <c r="B2135" i="52069"/>
  <c r="A2135" i="52069"/>
  <c r="C2135" i="52069" s="1"/>
  <c r="G2134" i="52069"/>
  <c r="B2134" i="52069"/>
  <c r="A2134" i="52069"/>
  <c r="C2134" i="52069" s="1"/>
  <c r="G2133" i="52069"/>
  <c r="B2133" i="52069"/>
  <c r="A2133" i="52069"/>
  <c r="C2133" i="52069" s="1"/>
  <c r="G2132" i="52069"/>
  <c r="B2132" i="52069"/>
  <c r="A2132" i="52069"/>
  <c r="C2132" i="52069" s="1"/>
  <c r="G2131" i="52069"/>
  <c r="B2131" i="52069"/>
  <c r="A2131" i="52069"/>
  <c r="C2131" i="52069" s="1"/>
  <c r="G2130" i="52069"/>
  <c r="B2130" i="52069"/>
  <c r="A2130" i="52069"/>
  <c r="C2130" i="52069" s="1"/>
  <c r="G2129" i="52069"/>
  <c r="B2129" i="52069"/>
  <c r="A2129" i="52069"/>
  <c r="C2129" i="52069" s="1"/>
  <c r="G2128" i="52069"/>
  <c r="B2128" i="52069"/>
  <c r="A2128" i="52069"/>
  <c r="C2128" i="52069" s="1"/>
  <c r="G2127" i="52069"/>
  <c r="B2127" i="52069"/>
  <c r="A2127" i="52069"/>
  <c r="C2127" i="52069" s="1"/>
  <c r="G2126" i="52069"/>
  <c r="B2126" i="52069"/>
  <c r="A2126" i="52069"/>
  <c r="C2126" i="52069" s="1"/>
  <c r="G2125" i="52069"/>
  <c r="B2125" i="52069"/>
  <c r="A2125" i="52069"/>
  <c r="C2125" i="52069" s="1"/>
  <c r="G2124" i="52069"/>
  <c r="B2124" i="52069"/>
  <c r="A2124" i="52069"/>
  <c r="C2124" i="52069" s="1"/>
  <c r="G2123" i="52069"/>
  <c r="B2123" i="52069"/>
  <c r="A2123" i="52069"/>
  <c r="C2123" i="52069" s="1"/>
  <c r="G2122" i="52069"/>
  <c r="B2122" i="52069"/>
  <c r="A2122" i="52069"/>
  <c r="C2122" i="52069" s="1"/>
  <c r="G2121" i="52069"/>
  <c r="B2121" i="52069"/>
  <c r="A2121" i="52069"/>
  <c r="C2121" i="52069" s="1"/>
  <c r="G2120" i="52069"/>
  <c r="B2120" i="52069"/>
  <c r="A2120" i="52069"/>
  <c r="C2120" i="52069" s="1"/>
  <c r="G2119" i="52069"/>
  <c r="B2119" i="52069"/>
  <c r="A2119" i="52069"/>
  <c r="C2119" i="52069" s="1"/>
  <c r="G2118" i="52069"/>
  <c r="B2118" i="52069"/>
  <c r="A2118" i="52069"/>
  <c r="C2118" i="52069" s="1"/>
  <c r="G2117" i="52069"/>
  <c r="B2117" i="52069"/>
  <c r="A2117" i="52069"/>
  <c r="C2117" i="52069" s="1"/>
  <c r="G2116" i="52069"/>
  <c r="B2116" i="52069"/>
  <c r="A2116" i="52069"/>
  <c r="C2116" i="52069" s="1"/>
  <c r="G2115" i="52069"/>
  <c r="B2115" i="52069"/>
  <c r="A2115" i="52069"/>
  <c r="C2115" i="52069" s="1"/>
  <c r="G2114" i="52069"/>
  <c r="B2114" i="52069"/>
  <c r="A2114" i="52069"/>
  <c r="C2114" i="52069" s="1"/>
  <c r="G2113" i="52069"/>
  <c r="B2113" i="52069"/>
  <c r="A2113" i="52069"/>
  <c r="C2113" i="52069" s="1"/>
  <c r="G2112" i="52069"/>
  <c r="B2112" i="52069"/>
  <c r="A2112" i="52069"/>
  <c r="C2112" i="52069" s="1"/>
  <c r="G2111" i="52069"/>
  <c r="B2111" i="52069"/>
  <c r="A2111" i="52069"/>
  <c r="C2111" i="52069" s="1"/>
  <c r="G2110" i="52069"/>
  <c r="B2110" i="52069"/>
  <c r="A2110" i="52069"/>
  <c r="C2110" i="52069" s="1"/>
  <c r="G2109" i="52069"/>
  <c r="B2109" i="52069"/>
  <c r="A2109" i="52069"/>
  <c r="C2109" i="52069" s="1"/>
  <c r="G2108" i="52069"/>
  <c r="B2108" i="52069"/>
  <c r="C2108" i="52069" s="1"/>
  <c r="G2107" i="52069"/>
  <c r="B2107" i="52069"/>
  <c r="A2107" i="52069"/>
  <c r="C2107" i="52069" s="1"/>
  <c r="G2106" i="52069"/>
  <c r="B2106" i="52069"/>
  <c r="A2106" i="52069"/>
  <c r="G2105" i="52069"/>
  <c r="B2105" i="52069"/>
  <c r="A2105" i="52069"/>
  <c r="C2105" i="52069" s="1"/>
  <c r="G2104" i="52069"/>
  <c r="B2104" i="52069"/>
  <c r="A2104" i="52069"/>
  <c r="G2103" i="52069"/>
  <c r="B2103" i="52069"/>
  <c r="A2103" i="52069"/>
  <c r="C2103" i="52069" s="1"/>
  <c r="G2102" i="52069"/>
  <c r="B2102" i="52069"/>
  <c r="A2102" i="52069"/>
  <c r="G2101" i="52069"/>
  <c r="B2101" i="52069"/>
  <c r="A2101" i="52069"/>
  <c r="C2101" i="52069" s="1"/>
  <c r="G2100" i="52069"/>
  <c r="B2100" i="52069"/>
  <c r="A2100" i="52069"/>
  <c r="G2099" i="52069"/>
  <c r="B2099" i="52069"/>
  <c r="A2099" i="52069"/>
  <c r="C2099" i="52069" s="1"/>
  <c r="G2098" i="52069"/>
  <c r="B2098" i="52069"/>
  <c r="A2098" i="52069"/>
  <c r="G2097" i="52069"/>
  <c r="B2097" i="52069"/>
  <c r="A2097" i="52069"/>
  <c r="C2097" i="52069" s="1"/>
  <c r="G2096" i="52069"/>
  <c r="B2096" i="52069"/>
  <c r="A2096" i="52069"/>
  <c r="G2095" i="52069"/>
  <c r="B2095" i="52069"/>
  <c r="A2095" i="52069"/>
  <c r="C2095" i="52069" s="1"/>
  <c r="G2094" i="52069"/>
  <c r="B2094" i="52069"/>
  <c r="A2094" i="52069"/>
  <c r="G2093" i="52069"/>
  <c r="B2093" i="52069"/>
  <c r="A2093" i="52069"/>
  <c r="C2093" i="52069" s="1"/>
  <c r="G2092" i="52069"/>
  <c r="B2092" i="52069"/>
  <c r="A2092" i="52069"/>
  <c r="G2091" i="52069"/>
  <c r="B2091" i="52069"/>
  <c r="A2091" i="52069"/>
  <c r="C2091" i="52069" s="1"/>
  <c r="G2090" i="52069"/>
  <c r="B2090" i="52069"/>
  <c r="A2090" i="52069"/>
  <c r="G2089" i="52069"/>
  <c r="B2089" i="52069"/>
  <c r="A2089" i="52069"/>
  <c r="C2089" i="52069" s="1"/>
  <c r="G2088" i="52069"/>
  <c r="B2088" i="52069"/>
  <c r="A2088" i="52069"/>
  <c r="G2087" i="52069"/>
  <c r="B2087" i="52069"/>
  <c r="A2087" i="52069"/>
  <c r="C2087" i="52069" s="1"/>
  <c r="G2086" i="52069"/>
  <c r="B2086" i="52069"/>
  <c r="A2086" i="52069"/>
  <c r="G2085" i="52069"/>
  <c r="B2085" i="52069"/>
  <c r="A2085" i="52069"/>
  <c r="C2085" i="52069" s="1"/>
  <c r="G2084" i="52069"/>
  <c r="B2084" i="52069"/>
  <c r="A2084" i="52069"/>
  <c r="G2083" i="52069"/>
  <c r="B2083" i="52069"/>
  <c r="A2083" i="52069"/>
  <c r="C2083" i="52069" s="1"/>
  <c r="G2082" i="52069"/>
  <c r="B2082" i="52069"/>
  <c r="A2082" i="52069"/>
  <c r="G2081" i="52069"/>
  <c r="B2081" i="52069"/>
  <c r="A2081" i="52069"/>
  <c r="C2081" i="52069" s="1"/>
  <c r="G2080" i="52069"/>
  <c r="B2080" i="52069"/>
  <c r="A2080" i="52069"/>
  <c r="G2079" i="52069"/>
  <c r="B2079" i="52069"/>
  <c r="A2079" i="52069"/>
  <c r="C2079" i="52069" s="1"/>
  <c r="G2078" i="52069"/>
  <c r="B2078" i="52069"/>
  <c r="A2078" i="52069"/>
  <c r="G2077" i="52069"/>
  <c r="B2077" i="52069"/>
  <c r="A2077" i="52069"/>
  <c r="C2077" i="52069" s="1"/>
  <c r="G2076" i="52069"/>
  <c r="B2076" i="52069"/>
  <c r="A2076" i="52069"/>
  <c r="G2075" i="52069"/>
  <c r="B2075" i="52069"/>
  <c r="A2075" i="52069"/>
  <c r="C2075" i="52069" s="1"/>
  <c r="G2074" i="52069"/>
  <c r="B2074" i="52069"/>
  <c r="A2074" i="52069"/>
  <c r="G2073" i="52069"/>
  <c r="B2073" i="52069"/>
  <c r="A2073" i="52069"/>
  <c r="C2073" i="52069" s="1"/>
  <c r="G2072" i="52069"/>
  <c r="B2072" i="52069"/>
  <c r="A2072" i="52069"/>
  <c r="G2071" i="52069"/>
  <c r="B2071" i="52069"/>
  <c r="A2071" i="52069"/>
  <c r="C2071" i="52069" s="1"/>
  <c r="G2070" i="52069"/>
  <c r="B2070" i="52069"/>
  <c r="A2070" i="52069"/>
  <c r="G2069" i="52069"/>
  <c r="B2069" i="52069"/>
  <c r="A2069" i="52069"/>
  <c r="C2069" i="52069" s="1"/>
  <c r="G2068" i="52069"/>
  <c r="B2068" i="52069"/>
  <c r="A2068" i="52069"/>
  <c r="G2067" i="52069"/>
  <c r="B2067" i="52069"/>
  <c r="A2067" i="52069"/>
  <c r="C2067" i="52069" s="1"/>
  <c r="G2066" i="52069"/>
  <c r="B2066" i="52069"/>
  <c r="A2066" i="52069"/>
  <c r="G2065" i="52069"/>
  <c r="B2065" i="52069"/>
  <c r="A2065" i="52069"/>
  <c r="C2065" i="52069" s="1"/>
  <c r="G2064" i="52069"/>
  <c r="B2064" i="52069"/>
  <c r="A2064" i="52069"/>
  <c r="G2063" i="52069"/>
  <c r="B2063" i="52069"/>
  <c r="A2063" i="52069"/>
  <c r="C2063" i="52069" s="1"/>
  <c r="G2062" i="52069"/>
  <c r="B2062" i="52069"/>
  <c r="A2062" i="52069"/>
  <c r="G2061" i="52069"/>
  <c r="B2061" i="52069"/>
  <c r="A2061" i="52069"/>
  <c r="C2061" i="52069" s="1"/>
  <c r="G2060" i="52069"/>
  <c r="B2060" i="52069"/>
  <c r="A2060" i="52069"/>
  <c r="G2059" i="52069"/>
  <c r="B2059" i="52069"/>
  <c r="A2059" i="52069"/>
  <c r="C2059" i="52069" s="1"/>
  <c r="G2058" i="52069"/>
  <c r="B2058" i="52069"/>
  <c r="A2058" i="52069"/>
  <c r="G2057" i="52069"/>
  <c r="B2057" i="52069"/>
  <c r="A2057" i="52069"/>
  <c r="C2057" i="52069" s="1"/>
  <c r="G2056" i="52069"/>
  <c r="B2056" i="52069"/>
  <c r="A2056" i="52069"/>
  <c r="G2055" i="52069"/>
  <c r="B2055" i="52069"/>
  <c r="A2055" i="52069"/>
  <c r="C2055" i="52069" s="1"/>
  <c r="G2054" i="52069"/>
  <c r="B2054" i="52069"/>
  <c r="A2054" i="52069"/>
  <c r="G2053" i="52069"/>
  <c r="B2053" i="52069"/>
  <c r="A2053" i="52069"/>
  <c r="C2053" i="52069" s="1"/>
  <c r="G2052" i="52069"/>
  <c r="B2052" i="52069"/>
  <c r="A2052" i="52069"/>
  <c r="G2051" i="52069"/>
  <c r="B2051" i="52069"/>
  <c r="A2051" i="52069"/>
  <c r="C2051" i="52069" s="1"/>
  <c r="G2050" i="52069"/>
  <c r="B2050" i="52069"/>
  <c r="A2050" i="52069"/>
  <c r="G2049" i="52069"/>
  <c r="B2049" i="52069"/>
  <c r="A2049" i="52069"/>
  <c r="C2049" i="52069" s="1"/>
  <c r="G2048" i="52069"/>
  <c r="B2048" i="52069"/>
  <c r="A2048" i="52069"/>
  <c r="G2047" i="52069"/>
  <c r="B2047" i="52069"/>
  <c r="A2047" i="52069"/>
  <c r="C2047" i="52069" s="1"/>
  <c r="G2046" i="52069"/>
  <c r="B2046" i="52069"/>
  <c r="A2046" i="52069"/>
  <c r="G2045" i="52069"/>
  <c r="B2045" i="52069"/>
  <c r="A2045" i="52069"/>
  <c r="C2045" i="52069" s="1"/>
  <c r="G2044" i="52069"/>
  <c r="B2044" i="52069"/>
  <c r="A2044" i="52069"/>
  <c r="G2043" i="52069"/>
  <c r="B2043" i="52069"/>
  <c r="A2043" i="52069"/>
  <c r="C2043" i="52069" s="1"/>
  <c r="G2042" i="52069"/>
  <c r="B2042" i="52069"/>
  <c r="A2042" i="52069"/>
  <c r="G2041" i="52069"/>
  <c r="B2041" i="52069"/>
  <c r="A2041" i="52069"/>
  <c r="C2041" i="52069" s="1"/>
  <c r="G2040" i="52069"/>
  <c r="B2040" i="52069"/>
  <c r="A2040" i="52069"/>
  <c r="G2039" i="52069"/>
  <c r="B2039" i="52069"/>
  <c r="A2039" i="52069"/>
  <c r="C2039" i="52069" s="1"/>
  <c r="G2038" i="52069"/>
  <c r="B2038" i="52069"/>
  <c r="A2038" i="52069"/>
  <c r="G2037" i="52069"/>
  <c r="B2037" i="52069"/>
  <c r="A2037" i="52069"/>
  <c r="C2037" i="52069" s="1"/>
  <c r="G2036" i="52069"/>
  <c r="B2036" i="52069"/>
  <c r="A2036" i="52069"/>
  <c r="G2035" i="52069"/>
  <c r="B2035" i="52069"/>
  <c r="A2035" i="52069"/>
  <c r="C2035" i="52069" s="1"/>
  <c r="G2034" i="52069"/>
  <c r="B2034" i="52069"/>
  <c r="A2034" i="52069"/>
  <c r="G2033" i="52069"/>
  <c r="B2033" i="52069"/>
  <c r="A2033" i="52069"/>
  <c r="C2033" i="52069" s="1"/>
  <c r="G2032" i="52069"/>
  <c r="B2032" i="52069"/>
  <c r="A2032" i="52069"/>
  <c r="G2031" i="52069"/>
  <c r="B2031" i="52069"/>
  <c r="A2031" i="52069"/>
  <c r="C2031" i="52069" s="1"/>
  <c r="G2030" i="52069"/>
  <c r="B2030" i="52069"/>
  <c r="A2030" i="52069"/>
  <c r="G2029" i="52069"/>
  <c r="B2029" i="52069"/>
  <c r="A2029" i="52069"/>
  <c r="C2029" i="52069" s="1"/>
  <c r="G2028" i="52069"/>
  <c r="B2028" i="52069"/>
  <c r="A2028" i="52069"/>
  <c r="G2027" i="52069"/>
  <c r="B2027" i="52069"/>
  <c r="A2027" i="52069"/>
  <c r="C2027" i="52069" s="1"/>
  <c r="G2026" i="52069"/>
  <c r="B2026" i="52069"/>
  <c r="A2026" i="52069"/>
  <c r="G2025" i="52069"/>
  <c r="B2025" i="52069"/>
  <c r="A2025" i="52069"/>
  <c r="C2025" i="52069" s="1"/>
  <c r="G2024" i="52069"/>
  <c r="B2024" i="52069"/>
  <c r="A2024" i="52069"/>
  <c r="G2023" i="52069"/>
  <c r="B2023" i="52069"/>
  <c r="A2023" i="52069"/>
  <c r="C2023" i="52069" s="1"/>
  <c r="G2022" i="52069"/>
  <c r="B2022" i="52069"/>
  <c r="A2022" i="52069"/>
  <c r="G2021" i="52069"/>
  <c r="B2021" i="52069"/>
  <c r="A2021" i="52069"/>
  <c r="C2021" i="52069" s="1"/>
  <c r="G2020" i="52069"/>
  <c r="B2020" i="52069"/>
  <c r="A2020" i="52069"/>
  <c r="G2019" i="52069"/>
  <c r="B2019" i="52069"/>
  <c r="A2019" i="52069"/>
  <c r="C2019" i="52069" s="1"/>
  <c r="G2018" i="52069"/>
  <c r="B2018" i="52069"/>
  <c r="A2018" i="52069"/>
  <c r="G2017" i="52069"/>
  <c r="B2017" i="52069"/>
  <c r="A2017" i="52069"/>
  <c r="C2017" i="52069" s="1"/>
  <c r="G2016" i="52069"/>
  <c r="B2016" i="52069"/>
  <c r="A2016" i="52069"/>
  <c r="G2015" i="52069"/>
  <c r="B2015" i="52069"/>
  <c r="A2015" i="52069"/>
  <c r="C2015" i="52069" s="1"/>
  <c r="G2014" i="52069"/>
  <c r="B2014" i="52069"/>
  <c r="A2014" i="52069"/>
  <c r="G2013" i="52069"/>
  <c r="B2013" i="52069"/>
  <c r="A2013" i="52069"/>
  <c r="C2013" i="52069" s="1"/>
  <c r="G2012" i="52069"/>
  <c r="B2012" i="52069"/>
  <c r="A2012" i="52069"/>
  <c r="G2011" i="52069"/>
  <c r="B2011" i="52069"/>
  <c r="A2011" i="52069"/>
  <c r="C2011" i="52069" s="1"/>
  <c r="G2010" i="52069"/>
  <c r="B2010" i="52069"/>
  <c r="A2010" i="52069"/>
  <c r="G2009" i="52069"/>
  <c r="B2009" i="52069"/>
  <c r="A2009" i="52069"/>
  <c r="C2009" i="52069" s="1"/>
  <c r="G2008" i="52069"/>
  <c r="B2008" i="52069"/>
  <c r="A2008" i="52069"/>
  <c r="G2007" i="52069"/>
  <c r="B2007" i="52069"/>
  <c r="A2007" i="52069"/>
  <c r="C2007" i="52069" s="1"/>
  <c r="G2006" i="52069"/>
  <c r="B2006" i="52069"/>
  <c r="A2006" i="52069"/>
  <c r="G2005" i="52069"/>
  <c r="B2005" i="52069"/>
  <c r="A2005" i="52069"/>
  <c r="C2005" i="52069" s="1"/>
  <c r="G2004" i="52069"/>
  <c r="B2004" i="52069"/>
  <c r="A2004" i="52069"/>
  <c r="G2003" i="52069"/>
  <c r="B2003" i="52069"/>
  <c r="A2003" i="52069"/>
  <c r="C2003" i="52069" s="1"/>
  <c r="G2002" i="52069"/>
  <c r="B2002" i="52069"/>
  <c r="A2002" i="52069"/>
  <c r="G2001" i="52069"/>
  <c r="B2001" i="52069"/>
  <c r="A2001" i="52069"/>
  <c r="C2001" i="52069" s="1"/>
  <c r="G2000" i="52069"/>
  <c r="B2000" i="52069"/>
  <c r="A2000" i="52069"/>
  <c r="G1999" i="52069"/>
  <c r="B1999" i="52069"/>
  <c r="A1999" i="52069"/>
  <c r="C1999" i="52069" s="1"/>
  <c r="G1998" i="52069"/>
  <c r="B1998" i="52069"/>
  <c r="A1998" i="52069"/>
  <c r="G1997" i="52069"/>
  <c r="B1997" i="52069"/>
  <c r="A1997" i="52069"/>
  <c r="C1997" i="52069" s="1"/>
  <c r="G1996" i="52069"/>
  <c r="B1996" i="52069"/>
  <c r="A1996" i="52069"/>
  <c r="G1995" i="52069"/>
  <c r="B1995" i="52069"/>
  <c r="A1995" i="52069"/>
  <c r="C1995" i="52069" s="1"/>
  <c r="G1994" i="52069"/>
  <c r="B1994" i="52069"/>
  <c r="A1994" i="52069"/>
  <c r="G1993" i="52069"/>
  <c r="B1993" i="52069"/>
  <c r="A1993" i="52069"/>
  <c r="C1993" i="52069" s="1"/>
  <c r="G1992" i="52069"/>
  <c r="B1992" i="52069"/>
  <c r="A1992" i="52069"/>
  <c r="G1991" i="52069"/>
  <c r="B1991" i="52069"/>
  <c r="A1991" i="52069"/>
  <c r="C1991" i="52069" s="1"/>
  <c r="G1990" i="52069"/>
  <c r="B1990" i="52069"/>
  <c r="A1990" i="52069"/>
  <c r="G1989" i="52069"/>
  <c r="B1989" i="52069"/>
  <c r="A1989" i="52069"/>
  <c r="C1989" i="52069" s="1"/>
  <c r="G1988" i="52069"/>
  <c r="B1988" i="52069"/>
  <c r="A1988" i="52069"/>
  <c r="G1987" i="52069"/>
  <c r="B1987" i="52069"/>
  <c r="A1987" i="52069"/>
  <c r="C1987" i="52069" s="1"/>
  <c r="G1986" i="52069"/>
  <c r="B1986" i="52069"/>
  <c r="A1986" i="52069"/>
  <c r="G1985" i="52069"/>
  <c r="B1985" i="52069"/>
  <c r="A1985" i="52069"/>
  <c r="C1985" i="52069" s="1"/>
  <c r="G1984" i="52069"/>
  <c r="B1984" i="52069"/>
  <c r="A1984" i="52069"/>
  <c r="G1983" i="52069"/>
  <c r="B1983" i="52069"/>
  <c r="A1983" i="52069"/>
  <c r="C1983" i="52069" s="1"/>
  <c r="G1982" i="52069"/>
  <c r="B1982" i="52069"/>
  <c r="A1982" i="52069"/>
  <c r="G1981" i="52069"/>
  <c r="B1981" i="52069"/>
  <c r="A1981" i="52069"/>
  <c r="C1981" i="52069" s="1"/>
  <c r="G1980" i="52069"/>
  <c r="B1980" i="52069"/>
  <c r="A1980" i="52069"/>
  <c r="G1979" i="52069"/>
  <c r="B1979" i="52069"/>
  <c r="A1979" i="52069"/>
  <c r="C1979" i="52069" s="1"/>
  <c r="G1978" i="52069"/>
  <c r="B1978" i="52069"/>
  <c r="A1978" i="52069"/>
  <c r="G1977" i="52069"/>
  <c r="B1977" i="52069"/>
  <c r="A1977" i="52069"/>
  <c r="C1977" i="52069" s="1"/>
  <c r="G1976" i="52069"/>
  <c r="B1976" i="52069"/>
  <c r="A1976" i="52069"/>
  <c r="G1975" i="52069"/>
  <c r="B1975" i="52069"/>
  <c r="A1975" i="52069"/>
  <c r="C1975" i="52069" s="1"/>
  <c r="G1974" i="52069"/>
  <c r="B1974" i="52069"/>
  <c r="A1974" i="52069"/>
  <c r="G1973" i="52069"/>
  <c r="B1973" i="52069"/>
  <c r="A1973" i="52069"/>
  <c r="C1973" i="52069" s="1"/>
  <c r="G1972" i="52069"/>
  <c r="B1972" i="52069"/>
  <c r="A1972" i="52069"/>
  <c r="G1971" i="52069"/>
  <c r="B1971" i="52069"/>
  <c r="A1971" i="52069"/>
  <c r="C1971" i="52069" s="1"/>
  <c r="G1970" i="52069"/>
  <c r="B1970" i="52069"/>
  <c r="A1970" i="52069"/>
  <c r="G1969" i="52069"/>
  <c r="B1969" i="52069"/>
  <c r="A1969" i="52069"/>
  <c r="C1969" i="52069" s="1"/>
  <c r="G1968" i="52069"/>
  <c r="B1968" i="52069"/>
  <c r="A1968" i="52069"/>
  <c r="G1967" i="52069"/>
  <c r="B1967" i="52069"/>
  <c r="A1967" i="52069"/>
  <c r="C1967" i="52069" s="1"/>
  <c r="G1966" i="52069"/>
  <c r="B1966" i="52069"/>
  <c r="A1966" i="52069"/>
  <c r="G1965" i="52069"/>
  <c r="B1965" i="52069"/>
  <c r="A1965" i="52069"/>
  <c r="C1965" i="52069" s="1"/>
  <c r="G1964" i="52069"/>
  <c r="B1964" i="52069"/>
  <c r="A1964" i="52069"/>
  <c r="G1963" i="52069"/>
  <c r="B1963" i="52069"/>
  <c r="A1963" i="52069"/>
  <c r="C1963" i="52069" s="1"/>
  <c r="G1962" i="52069"/>
  <c r="B1962" i="52069"/>
  <c r="A1962" i="52069"/>
  <c r="G1961" i="52069"/>
  <c r="B1961" i="52069"/>
  <c r="A1961" i="52069"/>
  <c r="C1961" i="52069" s="1"/>
  <c r="G1960" i="52069"/>
  <c r="B1960" i="52069"/>
  <c r="A1960" i="52069"/>
  <c r="G1959" i="52069"/>
  <c r="B1959" i="52069"/>
  <c r="A1959" i="52069"/>
  <c r="C1959" i="52069" s="1"/>
  <c r="G1958" i="52069"/>
  <c r="B1958" i="52069"/>
  <c r="A1958" i="52069"/>
  <c r="G1957" i="52069"/>
  <c r="B1957" i="52069"/>
  <c r="A1957" i="52069"/>
  <c r="C1957" i="52069" s="1"/>
  <c r="G1956" i="52069"/>
  <c r="B1956" i="52069"/>
  <c r="A1956" i="52069"/>
  <c r="G1955" i="52069"/>
  <c r="B1955" i="52069"/>
  <c r="A1955" i="52069"/>
  <c r="C1955" i="52069" s="1"/>
  <c r="G1954" i="52069"/>
  <c r="B1954" i="52069"/>
  <c r="C1954" i="52069" s="1"/>
  <c r="G1953" i="52069"/>
  <c r="B1953" i="52069"/>
  <c r="A1953" i="52069"/>
  <c r="C1953" i="52069" s="1"/>
  <c r="G1952" i="52069"/>
  <c r="B1952" i="52069"/>
  <c r="A1952" i="52069"/>
  <c r="C1952" i="52069" s="1"/>
  <c r="G1951" i="52069"/>
  <c r="B1951" i="52069"/>
  <c r="A1951" i="52069"/>
  <c r="C1951" i="52069" s="1"/>
  <c r="G1950" i="52069"/>
  <c r="B1950" i="52069"/>
  <c r="A1950" i="52069"/>
  <c r="C1950" i="52069" s="1"/>
  <c r="G1949" i="52069"/>
  <c r="B1949" i="52069"/>
  <c r="A1949" i="52069"/>
  <c r="C1949" i="52069" s="1"/>
  <c r="G1948" i="52069"/>
  <c r="B1948" i="52069"/>
  <c r="A1948" i="52069"/>
  <c r="C1948" i="52069" s="1"/>
  <c r="G1947" i="52069"/>
  <c r="B1947" i="52069"/>
  <c r="A1947" i="52069"/>
  <c r="C1947" i="52069" s="1"/>
  <c r="G1946" i="52069"/>
  <c r="B1946" i="52069"/>
  <c r="A1946" i="52069"/>
  <c r="C1946" i="52069" s="1"/>
  <c r="G1945" i="52069"/>
  <c r="B1945" i="52069"/>
  <c r="A1945" i="52069"/>
  <c r="C1945" i="52069" s="1"/>
  <c r="G1944" i="52069"/>
  <c r="B1944" i="52069"/>
  <c r="A1944" i="52069"/>
  <c r="C1944" i="52069" s="1"/>
  <c r="G1943" i="52069"/>
  <c r="B1943" i="52069"/>
  <c r="A1943" i="52069"/>
  <c r="C1943" i="52069" s="1"/>
  <c r="G1942" i="52069"/>
  <c r="B1942" i="52069"/>
  <c r="A1942" i="52069"/>
  <c r="C1942" i="52069" s="1"/>
  <c r="G1941" i="52069"/>
  <c r="B1941" i="52069"/>
  <c r="A1941" i="52069"/>
  <c r="C1941" i="52069" s="1"/>
  <c r="G1940" i="52069"/>
  <c r="B1940" i="52069"/>
  <c r="A1940" i="52069"/>
  <c r="C1940" i="52069" s="1"/>
  <c r="G1939" i="52069"/>
  <c r="B1939" i="52069"/>
  <c r="A1939" i="52069"/>
  <c r="C1939" i="52069" s="1"/>
  <c r="G1938" i="52069"/>
  <c r="B1938" i="52069"/>
  <c r="A1938" i="52069"/>
  <c r="C1938" i="52069" s="1"/>
  <c r="G1937" i="52069"/>
  <c r="B1937" i="52069"/>
  <c r="A1937" i="52069"/>
  <c r="C1937" i="52069" s="1"/>
  <c r="G1936" i="52069"/>
  <c r="B1936" i="52069"/>
  <c r="A1936" i="52069"/>
  <c r="C1936" i="52069" s="1"/>
  <c r="G1935" i="52069"/>
  <c r="B1935" i="52069"/>
  <c r="A1935" i="52069"/>
  <c r="C1935" i="52069" s="1"/>
  <c r="G1934" i="52069"/>
  <c r="B1934" i="52069"/>
  <c r="A1934" i="52069"/>
  <c r="C1934" i="52069" s="1"/>
  <c r="G1933" i="52069"/>
  <c r="B1933" i="52069"/>
  <c r="A1933" i="52069"/>
  <c r="C1933" i="52069" s="1"/>
  <c r="G1932" i="52069"/>
  <c r="B1932" i="52069"/>
  <c r="A1932" i="52069"/>
  <c r="C1932" i="52069" s="1"/>
  <c r="G1931" i="52069"/>
  <c r="B1931" i="52069"/>
  <c r="A1931" i="52069"/>
  <c r="C1931" i="52069" s="1"/>
  <c r="G1930" i="52069"/>
  <c r="B1930" i="52069"/>
  <c r="A1930" i="52069"/>
  <c r="C1930" i="52069" s="1"/>
  <c r="G1929" i="52069"/>
  <c r="B1929" i="52069"/>
  <c r="A1929" i="52069"/>
  <c r="C1929" i="52069" s="1"/>
  <c r="G1928" i="52069"/>
  <c r="B1928" i="52069"/>
  <c r="A1928" i="52069"/>
  <c r="C1928" i="52069" s="1"/>
  <c r="G1927" i="52069"/>
  <c r="B1927" i="52069"/>
  <c r="A1927" i="52069"/>
  <c r="C1927" i="52069" s="1"/>
  <c r="G1926" i="52069"/>
  <c r="B1926" i="52069"/>
  <c r="A1926" i="52069"/>
  <c r="C1926" i="52069" s="1"/>
  <c r="G1925" i="52069"/>
  <c r="B1925" i="52069"/>
  <c r="A1925" i="52069"/>
  <c r="C1925" i="52069" s="1"/>
  <c r="G1924" i="52069"/>
  <c r="B1924" i="52069"/>
  <c r="A1924" i="52069"/>
  <c r="C1924" i="52069" s="1"/>
  <c r="G1923" i="52069"/>
  <c r="B1923" i="52069"/>
  <c r="A1923" i="52069"/>
  <c r="C1923" i="52069" s="1"/>
  <c r="G1922" i="52069"/>
  <c r="B1922" i="52069"/>
  <c r="A1922" i="52069"/>
  <c r="C1922" i="52069" s="1"/>
  <c r="G1921" i="52069"/>
  <c r="B1921" i="52069"/>
  <c r="A1921" i="52069"/>
  <c r="C1921" i="52069" s="1"/>
  <c r="G1920" i="52069"/>
  <c r="B1920" i="52069"/>
  <c r="A1920" i="52069"/>
  <c r="C1920" i="52069" s="1"/>
  <c r="G1919" i="52069"/>
  <c r="B1919" i="52069"/>
  <c r="A1919" i="52069"/>
  <c r="C1919" i="52069" s="1"/>
  <c r="G1918" i="52069"/>
  <c r="B1918" i="52069"/>
  <c r="A1918" i="52069"/>
  <c r="C1918" i="52069" s="1"/>
  <c r="G1917" i="52069"/>
  <c r="B1917" i="52069"/>
  <c r="A1917" i="52069"/>
  <c r="C1917" i="52069" s="1"/>
  <c r="G1916" i="52069"/>
  <c r="B1916" i="52069"/>
  <c r="A1916" i="52069"/>
  <c r="C1916" i="52069" s="1"/>
  <c r="G1915" i="52069"/>
  <c r="B1915" i="52069"/>
  <c r="A1915" i="52069"/>
  <c r="C1915" i="52069" s="1"/>
  <c r="G1914" i="52069"/>
  <c r="B1914" i="52069"/>
  <c r="A1914" i="52069"/>
  <c r="C1914" i="52069" s="1"/>
  <c r="G1913" i="52069"/>
  <c r="B1913" i="52069"/>
  <c r="A1913" i="52069"/>
  <c r="C1913" i="52069" s="1"/>
  <c r="G1912" i="52069"/>
  <c r="B1912" i="52069"/>
  <c r="A1912" i="52069"/>
  <c r="C1912" i="52069" s="1"/>
  <c r="G1911" i="52069"/>
  <c r="B1911" i="52069"/>
  <c r="A1911" i="52069"/>
  <c r="C1911" i="52069" s="1"/>
  <c r="G1910" i="52069"/>
  <c r="B1910" i="52069"/>
  <c r="A1910" i="52069"/>
  <c r="C1910" i="52069" s="1"/>
  <c r="G1909" i="52069"/>
  <c r="B1909" i="52069"/>
  <c r="A1909" i="52069"/>
  <c r="C1909" i="52069" s="1"/>
  <c r="G1908" i="52069"/>
  <c r="B1908" i="52069"/>
  <c r="A1908" i="52069"/>
  <c r="C1908" i="52069" s="1"/>
  <c r="G1907" i="52069"/>
  <c r="B1907" i="52069"/>
  <c r="A1907" i="52069"/>
  <c r="C1907" i="52069" s="1"/>
  <c r="G1906" i="52069"/>
  <c r="B1906" i="52069"/>
  <c r="A1906" i="52069"/>
  <c r="C1906" i="52069" s="1"/>
  <c r="G1905" i="52069"/>
  <c r="B1905" i="52069"/>
  <c r="A1905" i="52069"/>
  <c r="C1905" i="52069" s="1"/>
  <c r="G1904" i="52069"/>
  <c r="B1904" i="52069"/>
  <c r="A1904" i="52069"/>
  <c r="C1904" i="52069" s="1"/>
  <c r="G1903" i="52069"/>
  <c r="B1903" i="52069"/>
  <c r="A1903" i="52069"/>
  <c r="C1903" i="52069" s="1"/>
  <c r="G1902" i="52069"/>
  <c r="B1902" i="52069"/>
  <c r="A1902" i="52069"/>
  <c r="C1902" i="52069" s="1"/>
  <c r="G1901" i="52069"/>
  <c r="B1901" i="52069"/>
  <c r="A1901" i="52069"/>
  <c r="C1901" i="52069" s="1"/>
  <c r="G1900" i="52069"/>
  <c r="B1900" i="52069"/>
  <c r="A1900" i="52069"/>
  <c r="C1900" i="52069" s="1"/>
  <c r="G1899" i="52069"/>
  <c r="B1899" i="52069"/>
  <c r="A1899" i="52069"/>
  <c r="C1899" i="52069" s="1"/>
  <c r="G1898" i="52069"/>
  <c r="B1898" i="52069"/>
  <c r="A1898" i="52069"/>
  <c r="C1898" i="52069" s="1"/>
  <c r="G1897" i="52069"/>
  <c r="B1897" i="52069"/>
  <c r="A1897" i="52069"/>
  <c r="C1897" i="52069" s="1"/>
  <c r="G1896" i="52069"/>
  <c r="B1896" i="52069"/>
  <c r="A1896" i="52069"/>
  <c r="C1896" i="52069" s="1"/>
  <c r="G1895" i="52069"/>
  <c r="B1895" i="52069"/>
  <c r="A1895" i="52069"/>
  <c r="C1895" i="52069" s="1"/>
  <c r="G1894" i="52069"/>
  <c r="B1894" i="52069"/>
  <c r="A1894" i="52069"/>
  <c r="C1894" i="52069" s="1"/>
  <c r="G1893" i="52069"/>
  <c r="B1893" i="52069"/>
  <c r="A1893" i="52069"/>
  <c r="C1893" i="52069" s="1"/>
  <c r="G1892" i="52069"/>
  <c r="B1892" i="52069"/>
  <c r="A1892" i="52069"/>
  <c r="C1892" i="52069" s="1"/>
  <c r="G1891" i="52069"/>
  <c r="B1891" i="52069"/>
  <c r="A1891" i="52069"/>
  <c r="C1891" i="52069" s="1"/>
  <c r="G1890" i="52069"/>
  <c r="B1890" i="52069"/>
  <c r="A1890" i="52069"/>
  <c r="C1890" i="52069" s="1"/>
  <c r="G1889" i="52069"/>
  <c r="B1889" i="52069"/>
  <c r="A1889" i="52069"/>
  <c r="C1889" i="52069" s="1"/>
  <c r="G1888" i="52069"/>
  <c r="B1888" i="52069"/>
  <c r="A1888" i="52069"/>
  <c r="C1888" i="52069" s="1"/>
  <c r="G1887" i="52069"/>
  <c r="B1887" i="52069"/>
  <c r="A1887" i="52069"/>
  <c r="C1887" i="52069" s="1"/>
  <c r="G1886" i="52069"/>
  <c r="B1886" i="52069"/>
  <c r="A1886" i="52069"/>
  <c r="C1886" i="52069" s="1"/>
  <c r="G1885" i="52069"/>
  <c r="B1885" i="52069"/>
  <c r="A1885" i="52069"/>
  <c r="C1885" i="52069" s="1"/>
  <c r="G1884" i="52069"/>
  <c r="B1884" i="52069"/>
  <c r="A1884" i="52069"/>
  <c r="C1884" i="52069" s="1"/>
  <c r="G1883" i="52069"/>
  <c r="B1883" i="52069"/>
  <c r="A1883" i="52069"/>
  <c r="C1883" i="52069" s="1"/>
  <c r="G1882" i="52069"/>
  <c r="B1882" i="52069"/>
  <c r="A1882" i="52069"/>
  <c r="C1882" i="52069" s="1"/>
  <c r="G1881" i="52069"/>
  <c r="B1881" i="52069"/>
  <c r="A1881" i="52069"/>
  <c r="C1881" i="52069" s="1"/>
  <c r="G1880" i="52069"/>
  <c r="B1880" i="52069"/>
  <c r="A1880" i="52069"/>
  <c r="C1880" i="52069" s="1"/>
  <c r="G1879" i="52069"/>
  <c r="B1879" i="52069"/>
  <c r="A1879" i="52069"/>
  <c r="C1879" i="52069" s="1"/>
  <c r="G1878" i="52069"/>
  <c r="B1878" i="52069"/>
  <c r="A1878" i="52069"/>
  <c r="C1878" i="52069" s="1"/>
  <c r="G1877" i="52069"/>
  <c r="B1877" i="52069"/>
  <c r="A1877" i="52069"/>
  <c r="C1877" i="52069" s="1"/>
  <c r="G1876" i="52069"/>
  <c r="B1876" i="52069"/>
  <c r="A1876" i="52069"/>
  <c r="C1876" i="52069" s="1"/>
  <c r="G1875" i="52069"/>
  <c r="B1875" i="52069"/>
  <c r="A1875" i="52069"/>
  <c r="C1875" i="52069" s="1"/>
  <c r="G1874" i="52069"/>
  <c r="B1874" i="52069"/>
  <c r="A1874" i="52069"/>
  <c r="C1874" i="52069" s="1"/>
  <c r="G1873" i="52069"/>
  <c r="B1873" i="52069"/>
  <c r="A1873" i="52069"/>
  <c r="C1873" i="52069" s="1"/>
  <c r="G1872" i="52069"/>
  <c r="B1872" i="52069"/>
  <c r="A1872" i="52069"/>
  <c r="C1872" i="52069" s="1"/>
  <c r="G1871" i="52069"/>
  <c r="B1871" i="52069"/>
  <c r="A1871" i="52069"/>
  <c r="C1871" i="52069" s="1"/>
  <c r="G1870" i="52069"/>
  <c r="B1870" i="52069"/>
  <c r="A1870" i="52069"/>
  <c r="C1870" i="52069" s="1"/>
  <c r="G1869" i="52069"/>
  <c r="B1869" i="52069"/>
  <c r="A1869" i="52069"/>
  <c r="C1869" i="52069" s="1"/>
  <c r="G1868" i="52069"/>
  <c r="B1868" i="52069"/>
  <c r="A1868" i="52069"/>
  <c r="C1868" i="52069" s="1"/>
  <c r="G1867" i="52069"/>
  <c r="B1867" i="52069"/>
  <c r="A1867" i="52069"/>
  <c r="C1867" i="52069" s="1"/>
  <c r="G1866" i="52069"/>
  <c r="B1866" i="52069"/>
  <c r="A1866" i="52069"/>
  <c r="C1866" i="52069" s="1"/>
  <c r="G1865" i="52069"/>
  <c r="B1865" i="52069"/>
  <c r="A1865" i="52069"/>
  <c r="C1865" i="52069" s="1"/>
  <c r="G1864" i="52069"/>
  <c r="B1864" i="52069"/>
  <c r="A1864" i="52069"/>
  <c r="C1864" i="52069" s="1"/>
  <c r="G1863" i="52069"/>
  <c r="B1863" i="52069"/>
  <c r="A1863" i="52069"/>
  <c r="C1863" i="52069" s="1"/>
  <c r="G1862" i="52069"/>
  <c r="B1862" i="52069"/>
  <c r="A1862" i="52069"/>
  <c r="C1862" i="52069" s="1"/>
  <c r="G1861" i="52069"/>
  <c r="B1861" i="52069"/>
  <c r="A1861" i="52069"/>
  <c r="C1861" i="52069" s="1"/>
  <c r="G1860" i="52069"/>
  <c r="B1860" i="52069"/>
  <c r="A1860" i="52069"/>
  <c r="C1860" i="52069" s="1"/>
  <c r="G1859" i="52069"/>
  <c r="B1859" i="52069"/>
  <c r="A1859" i="52069"/>
  <c r="C1859" i="52069" s="1"/>
  <c r="G1858" i="52069"/>
  <c r="B1858" i="52069"/>
  <c r="A1858" i="52069"/>
  <c r="C1858" i="52069" s="1"/>
  <c r="G1857" i="52069"/>
  <c r="B1857" i="52069"/>
  <c r="A1857" i="52069"/>
  <c r="C1857" i="52069" s="1"/>
  <c r="G1856" i="52069"/>
  <c r="B1856" i="52069"/>
  <c r="A1856" i="52069"/>
  <c r="C1856" i="52069" s="1"/>
  <c r="G1855" i="52069"/>
  <c r="B1855" i="52069"/>
  <c r="A1855" i="52069"/>
  <c r="C1855" i="52069" s="1"/>
  <c r="G1854" i="52069"/>
  <c r="B1854" i="52069"/>
  <c r="A1854" i="52069"/>
  <c r="C1854" i="52069" s="1"/>
  <c r="G1853" i="52069"/>
  <c r="B1853" i="52069"/>
  <c r="A1853" i="52069"/>
  <c r="C1853" i="52069" s="1"/>
  <c r="G1852" i="52069"/>
  <c r="B1852" i="52069"/>
  <c r="A1852" i="52069"/>
  <c r="C1852" i="52069" s="1"/>
  <c r="G1851" i="52069"/>
  <c r="B1851" i="52069"/>
  <c r="A1851" i="52069"/>
  <c r="C1851" i="52069" s="1"/>
  <c r="G1850" i="52069"/>
  <c r="B1850" i="52069"/>
  <c r="A1850" i="52069"/>
  <c r="C1850" i="52069" s="1"/>
  <c r="G1849" i="52069"/>
  <c r="B1849" i="52069"/>
  <c r="A1849" i="52069"/>
  <c r="C1849" i="52069" s="1"/>
  <c r="G1848" i="52069"/>
  <c r="B1848" i="52069"/>
  <c r="A1848" i="52069"/>
  <c r="C1848" i="52069" s="1"/>
  <c r="G1847" i="52069"/>
  <c r="B1847" i="52069"/>
  <c r="A1847" i="52069"/>
  <c r="C1847" i="52069" s="1"/>
  <c r="G1846" i="52069"/>
  <c r="B1846" i="52069"/>
  <c r="A1846" i="52069"/>
  <c r="C1846" i="52069" s="1"/>
  <c r="G1845" i="52069"/>
  <c r="B1845" i="52069"/>
  <c r="A1845" i="52069"/>
  <c r="C1845" i="52069" s="1"/>
  <c r="G1844" i="52069"/>
  <c r="B1844" i="52069"/>
  <c r="A1844" i="52069"/>
  <c r="C1844" i="52069" s="1"/>
  <c r="G1843" i="52069"/>
  <c r="B1843" i="52069"/>
  <c r="A1843" i="52069"/>
  <c r="C1843" i="52069" s="1"/>
  <c r="G1842" i="52069"/>
  <c r="B1842" i="52069"/>
  <c r="A1842" i="52069"/>
  <c r="C1842" i="52069" s="1"/>
  <c r="G1841" i="52069"/>
  <c r="B1841" i="52069"/>
  <c r="A1841" i="52069"/>
  <c r="C1841" i="52069" s="1"/>
  <c r="G1840" i="52069"/>
  <c r="B1840" i="52069"/>
  <c r="A1840" i="52069"/>
  <c r="C1840" i="52069" s="1"/>
  <c r="G1839" i="52069"/>
  <c r="B1839" i="52069"/>
  <c r="A1839" i="52069"/>
  <c r="C1839" i="52069" s="1"/>
  <c r="G1838" i="52069"/>
  <c r="B1838" i="52069"/>
  <c r="A1838" i="52069"/>
  <c r="C1838" i="52069" s="1"/>
  <c r="G1837" i="52069"/>
  <c r="B1837" i="52069"/>
  <c r="A1837" i="52069"/>
  <c r="C1837" i="52069" s="1"/>
  <c r="G1836" i="52069"/>
  <c r="B1836" i="52069"/>
  <c r="A1836" i="52069"/>
  <c r="C1836" i="52069" s="1"/>
  <c r="G1835" i="52069"/>
  <c r="B1835" i="52069"/>
  <c r="A1835" i="52069"/>
  <c r="C1835" i="52069" s="1"/>
  <c r="G1834" i="52069"/>
  <c r="B1834" i="52069"/>
  <c r="A1834" i="52069"/>
  <c r="C1834" i="52069" s="1"/>
  <c r="G1833" i="52069"/>
  <c r="B1833" i="52069"/>
  <c r="A1833" i="52069"/>
  <c r="C1833" i="52069" s="1"/>
  <c r="G1832" i="52069"/>
  <c r="B1832" i="52069"/>
  <c r="A1832" i="52069"/>
  <c r="C1832" i="52069" s="1"/>
  <c r="G1831" i="52069"/>
  <c r="B1831" i="52069"/>
  <c r="A1831" i="52069"/>
  <c r="C1831" i="52069" s="1"/>
  <c r="G1830" i="52069"/>
  <c r="B1830" i="52069"/>
  <c r="A1830" i="52069"/>
  <c r="C1830" i="52069" s="1"/>
  <c r="G1829" i="52069"/>
  <c r="B1829" i="52069"/>
  <c r="A1829" i="52069"/>
  <c r="C1829" i="52069" s="1"/>
  <c r="G1828" i="52069"/>
  <c r="B1828" i="52069"/>
  <c r="A1828" i="52069"/>
  <c r="C1828" i="52069" s="1"/>
  <c r="G1827" i="52069"/>
  <c r="B1827" i="52069"/>
  <c r="A1827" i="52069"/>
  <c r="C1827" i="52069" s="1"/>
  <c r="G1826" i="52069"/>
  <c r="B1826" i="52069"/>
  <c r="A1826" i="52069"/>
  <c r="C1826" i="52069" s="1"/>
  <c r="G1825" i="52069"/>
  <c r="B1825" i="52069"/>
  <c r="A1825" i="52069"/>
  <c r="C1825" i="52069" s="1"/>
  <c r="G1824" i="52069"/>
  <c r="B1824" i="52069"/>
  <c r="A1824" i="52069"/>
  <c r="C1824" i="52069" s="1"/>
  <c r="G1823" i="52069"/>
  <c r="B1823" i="52069"/>
  <c r="A1823" i="52069"/>
  <c r="C1823" i="52069" s="1"/>
  <c r="G1822" i="52069"/>
  <c r="B1822" i="52069"/>
  <c r="A1822" i="52069"/>
  <c r="C1822" i="52069" s="1"/>
  <c r="G1821" i="52069"/>
  <c r="B1821" i="52069"/>
  <c r="A1821" i="52069"/>
  <c r="C1821" i="52069" s="1"/>
  <c r="G1820" i="52069"/>
  <c r="B1820" i="52069"/>
  <c r="A1820" i="52069"/>
  <c r="C1820" i="52069" s="1"/>
  <c r="G1819" i="52069"/>
  <c r="B1819" i="52069"/>
  <c r="A1819" i="52069"/>
  <c r="C1819" i="52069" s="1"/>
  <c r="G1818" i="52069"/>
  <c r="B1818" i="52069"/>
  <c r="A1818" i="52069"/>
  <c r="C1818" i="52069" s="1"/>
  <c r="G1817" i="52069"/>
  <c r="B1817" i="52069"/>
  <c r="A1817" i="52069"/>
  <c r="C1817" i="52069" s="1"/>
  <c r="G1816" i="52069"/>
  <c r="B1816" i="52069"/>
  <c r="A1816" i="52069"/>
  <c r="C1816" i="52069" s="1"/>
  <c r="G1815" i="52069"/>
  <c r="B1815" i="52069"/>
  <c r="A1815" i="52069"/>
  <c r="C1815" i="52069" s="1"/>
  <c r="G1814" i="52069"/>
  <c r="B1814" i="52069"/>
  <c r="A1814" i="52069"/>
  <c r="C1814" i="52069" s="1"/>
  <c r="G1813" i="52069"/>
  <c r="B1813" i="52069"/>
  <c r="A1813" i="52069"/>
  <c r="C1813" i="52069" s="1"/>
  <c r="G1812" i="52069"/>
  <c r="B1812" i="52069"/>
  <c r="A1812" i="52069"/>
  <c r="C1812" i="52069" s="1"/>
  <c r="G1811" i="52069"/>
  <c r="B1811" i="52069"/>
  <c r="A1811" i="52069"/>
  <c r="C1811" i="52069" s="1"/>
  <c r="G1810" i="52069"/>
  <c r="B1810" i="52069"/>
  <c r="A1810" i="52069"/>
  <c r="C1810" i="52069" s="1"/>
  <c r="G1809" i="52069"/>
  <c r="B1809" i="52069"/>
  <c r="A1809" i="52069"/>
  <c r="C1809" i="52069" s="1"/>
  <c r="G1808" i="52069"/>
  <c r="B1808" i="52069"/>
  <c r="A1808" i="52069"/>
  <c r="C1808" i="52069" s="1"/>
  <c r="G1807" i="52069"/>
  <c r="B1807" i="52069"/>
  <c r="A1807" i="52069"/>
  <c r="C1807" i="52069" s="1"/>
  <c r="G1806" i="52069"/>
  <c r="B1806" i="52069"/>
  <c r="A1806" i="52069"/>
  <c r="C1806" i="52069" s="1"/>
  <c r="G1805" i="52069"/>
  <c r="B1805" i="52069"/>
  <c r="A1805" i="52069"/>
  <c r="C1805" i="52069" s="1"/>
  <c r="G1804" i="52069"/>
  <c r="B1804" i="52069"/>
  <c r="A1804" i="52069"/>
  <c r="C1804" i="52069" s="1"/>
  <c r="G1803" i="52069"/>
  <c r="B1803" i="52069"/>
  <c r="A1803" i="52069"/>
  <c r="C1803" i="52069" s="1"/>
  <c r="G1802" i="52069"/>
  <c r="B1802" i="52069"/>
  <c r="A1802" i="52069"/>
  <c r="C1802" i="52069" s="1"/>
  <c r="G1801" i="52069"/>
  <c r="B1801" i="52069"/>
  <c r="A1801" i="52069"/>
  <c r="C1801" i="52069" s="1"/>
  <c r="G1800" i="52069"/>
  <c r="B1800" i="52069"/>
  <c r="A1800" i="52069"/>
  <c r="C1800" i="52069" s="1"/>
  <c r="G1799" i="52069"/>
  <c r="B1799" i="52069"/>
  <c r="A1799" i="52069"/>
  <c r="C1799" i="52069" s="1"/>
  <c r="G1798" i="52069"/>
  <c r="B1798" i="52069"/>
  <c r="A1798" i="52069"/>
  <c r="C1798" i="52069" s="1"/>
  <c r="G1797" i="52069"/>
  <c r="B1797" i="52069"/>
  <c r="A1797" i="52069"/>
  <c r="C1797" i="52069" s="1"/>
  <c r="G1796" i="52069"/>
  <c r="B1796" i="52069"/>
  <c r="A1796" i="52069"/>
  <c r="C1796" i="52069" s="1"/>
  <c r="G1795" i="52069"/>
  <c r="B1795" i="52069"/>
  <c r="A1795" i="52069"/>
  <c r="C1795" i="52069" s="1"/>
  <c r="G1794" i="52069"/>
  <c r="B1794" i="52069"/>
  <c r="A1794" i="52069"/>
  <c r="C1794" i="52069" s="1"/>
  <c r="G1793" i="52069"/>
  <c r="B1793" i="52069"/>
  <c r="A1793" i="52069"/>
  <c r="C1793" i="52069" s="1"/>
  <c r="G1792" i="52069"/>
  <c r="B1792" i="52069"/>
  <c r="A1792" i="52069"/>
  <c r="C1792" i="52069" s="1"/>
  <c r="G1791" i="52069"/>
  <c r="B1791" i="52069"/>
  <c r="A1791" i="52069"/>
  <c r="C1791" i="52069" s="1"/>
  <c r="G1790" i="52069"/>
  <c r="B1790" i="52069"/>
  <c r="A1790" i="52069"/>
  <c r="C1790" i="52069" s="1"/>
  <c r="G1789" i="52069"/>
  <c r="B1789" i="52069"/>
  <c r="A1789" i="52069"/>
  <c r="C1789" i="52069" s="1"/>
  <c r="G1788" i="52069"/>
  <c r="B1788" i="52069"/>
  <c r="A1788" i="52069"/>
  <c r="C1788" i="52069" s="1"/>
  <c r="G1787" i="52069"/>
  <c r="B1787" i="52069"/>
  <c r="A1787" i="52069"/>
  <c r="C1787" i="52069" s="1"/>
  <c r="G1786" i="52069"/>
  <c r="B1786" i="52069"/>
  <c r="A1786" i="52069"/>
  <c r="C1786" i="52069" s="1"/>
  <c r="G1785" i="52069"/>
  <c r="B1785" i="52069"/>
  <c r="A1785" i="52069"/>
  <c r="C1785" i="52069" s="1"/>
  <c r="G1784" i="52069"/>
  <c r="B1784" i="52069"/>
  <c r="A1784" i="52069"/>
  <c r="C1784" i="52069" s="1"/>
  <c r="G1783" i="52069"/>
  <c r="B1783" i="52069"/>
  <c r="A1783" i="52069"/>
  <c r="C1783" i="52069" s="1"/>
  <c r="G1782" i="52069"/>
  <c r="B1782" i="52069"/>
  <c r="A1782" i="52069"/>
  <c r="C1782" i="52069" s="1"/>
  <c r="G1781" i="52069"/>
  <c r="B1781" i="52069"/>
  <c r="A1781" i="52069"/>
  <c r="C1781" i="52069" s="1"/>
  <c r="G1780" i="52069"/>
  <c r="B1780" i="52069"/>
  <c r="A1780" i="52069"/>
  <c r="C1780" i="52069" s="1"/>
  <c r="G1779" i="52069"/>
  <c r="B1779" i="52069"/>
  <c r="A1779" i="52069"/>
  <c r="C1779" i="52069" s="1"/>
  <c r="G1778" i="52069"/>
  <c r="B1778" i="52069"/>
  <c r="A1778" i="52069"/>
  <c r="C1778" i="52069" s="1"/>
  <c r="G1777" i="52069"/>
  <c r="B1777" i="52069"/>
  <c r="A1777" i="52069"/>
  <c r="C1777" i="52069" s="1"/>
  <c r="G1776" i="52069"/>
  <c r="B1776" i="52069"/>
  <c r="A1776" i="52069"/>
  <c r="C1776" i="52069" s="1"/>
  <c r="G1775" i="52069"/>
  <c r="B1775" i="52069"/>
  <c r="A1775" i="52069"/>
  <c r="C1775" i="52069" s="1"/>
  <c r="G1774" i="52069"/>
  <c r="B1774" i="52069"/>
  <c r="A1774" i="52069"/>
  <c r="C1774" i="52069" s="1"/>
  <c r="G1773" i="52069"/>
  <c r="B1773" i="52069"/>
  <c r="A1773" i="52069"/>
  <c r="C1773" i="52069" s="1"/>
  <c r="G1772" i="52069"/>
  <c r="B1772" i="52069"/>
  <c r="A1772" i="52069"/>
  <c r="C1772" i="52069" s="1"/>
  <c r="G1771" i="52069"/>
  <c r="B1771" i="52069"/>
  <c r="A1771" i="52069"/>
  <c r="C1771" i="52069" s="1"/>
  <c r="G1770" i="52069"/>
  <c r="B1770" i="52069"/>
  <c r="A1770" i="52069"/>
  <c r="C1770" i="52069" s="1"/>
  <c r="G1769" i="52069"/>
  <c r="B1769" i="52069"/>
  <c r="A1769" i="52069"/>
  <c r="C1769" i="52069" s="1"/>
  <c r="G1768" i="52069"/>
  <c r="B1768" i="52069"/>
  <c r="A1768" i="52069"/>
  <c r="C1768" i="52069" s="1"/>
  <c r="G1767" i="52069"/>
  <c r="B1767" i="52069"/>
  <c r="A1767" i="52069"/>
  <c r="C1767" i="52069" s="1"/>
  <c r="G1766" i="52069"/>
  <c r="B1766" i="52069"/>
  <c r="A1766" i="52069"/>
  <c r="C1766" i="52069" s="1"/>
  <c r="G1765" i="52069"/>
  <c r="B1765" i="52069"/>
  <c r="A1765" i="52069"/>
  <c r="C1765" i="52069" s="1"/>
  <c r="G1764" i="52069"/>
  <c r="B1764" i="52069"/>
  <c r="A1764" i="52069"/>
  <c r="C1764" i="52069" s="1"/>
  <c r="G1763" i="52069"/>
  <c r="B1763" i="52069"/>
  <c r="A1763" i="52069"/>
  <c r="C1763" i="52069" s="1"/>
  <c r="G1762" i="52069"/>
  <c r="B1762" i="52069"/>
  <c r="A1762" i="52069"/>
  <c r="C1762" i="52069" s="1"/>
  <c r="G1761" i="52069"/>
  <c r="B1761" i="52069"/>
  <c r="A1761" i="52069"/>
  <c r="C1761" i="52069" s="1"/>
  <c r="G1760" i="52069"/>
  <c r="B1760" i="52069"/>
  <c r="A1760" i="52069"/>
  <c r="C1760" i="52069" s="1"/>
  <c r="G1759" i="52069"/>
  <c r="B1759" i="52069"/>
  <c r="A1759" i="52069"/>
  <c r="C1759" i="52069" s="1"/>
  <c r="G1758" i="52069"/>
  <c r="B1758" i="52069"/>
  <c r="A1758" i="52069"/>
  <c r="C1758" i="52069" s="1"/>
  <c r="G1757" i="52069"/>
  <c r="B1757" i="52069"/>
  <c r="A1757" i="52069"/>
  <c r="C1757" i="52069" s="1"/>
  <c r="G1756" i="52069"/>
  <c r="B1756" i="52069"/>
  <c r="A1756" i="52069"/>
  <c r="C1756" i="52069" s="1"/>
  <c r="G1755" i="52069"/>
  <c r="B1755" i="52069"/>
  <c r="A1755" i="52069"/>
  <c r="C1755" i="52069" s="1"/>
  <c r="G1754" i="52069"/>
  <c r="B1754" i="52069"/>
  <c r="A1754" i="52069"/>
  <c r="C1754" i="52069" s="1"/>
  <c r="G1753" i="52069"/>
  <c r="B1753" i="52069"/>
  <c r="A1753" i="52069"/>
  <c r="C1753" i="52069" s="1"/>
  <c r="G1752" i="52069"/>
  <c r="B1752" i="52069"/>
  <c r="A1752" i="52069"/>
  <c r="C1752" i="52069" s="1"/>
  <c r="G1751" i="52069"/>
  <c r="B1751" i="52069"/>
  <c r="A1751" i="52069"/>
  <c r="C1751" i="52069" s="1"/>
  <c r="G1750" i="52069"/>
  <c r="B1750" i="52069"/>
  <c r="A1750" i="52069"/>
  <c r="C1750" i="52069" s="1"/>
  <c r="G1749" i="52069"/>
  <c r="B1749" i="52069"/>
  <c r="A1749" i="52069"/>
  <c r="C1749" i="52069" s="1"/>
  <c r="G1748" i="52069"/>
  <c r="B1748" i="52069"/>
  <c r="A1748" i="52069"/>
  <c r="C1748" i="52069" s="1"/>
  <c r="G1747" i="52069"/>
  <c r="B1747" i="52069"/>
  <c r="A1747" i="52069"/>
  <c r="C1747" i="52069" s="1"/>
  <c r="G1746" i="52069"/>
  <c r="B1746" i="52069"/>
  <c r="A1746" i="52069"/>
  <c r="C1746" i="52069" s="1"/>
  <c r="G1745" i="52069"/>
  <c r="B1745" i="52069"/>
  <c r="A1745" i="52069"/>
  <c r="C1745" i="52069" s="1"/>
  <c r="G1744" i="52069"/>
  <c r="B1744" i="52069"/>
  <c r="A1744" i="52069"/>
  <c r="C1744" i="52069" s="1"/>
  <c r="G1743" i="52069"/>
  <c r="B1743" i="52069"/>
  <c r="A1743" i="52069"/>
  <c r="C1743" i="52069" s="1"/>
  <c r="G1742" i="52069"/>
  <c r="B1742" i="52069"/>
  <c r="A1742" i="52069"/>
  <c r="C1742" i="52069" s="1"/>
  <c r="G1741" i="52069"/>
  <c r="B1741" i="52069"/>
  <c r="A1741" i="52069"/>
  <c r="C1741" i="52069" s="1"/>
  <c r="G1740" i="52069"/>
  <c r="B1740" i="52069"/>
  <c r="A1740" i="52069"/>
  <c r="C1740" i="52069" s="1"/>
  <c r="G1739" i="52069"/>
  <c r="B1739" i="52069"/>
  <c r="A1739" i="52069"/>
  <c r="C1739" i="52069" s="1"/>
  <c r="G1738" i="52069"/>
  <c r="B1738" i="52069"/>
  <c r="A1738" i="52069"/>
  <c r="C1738" i="52069" s="1"/>
  <c r="G1737" i="52069"/>
  <c r="B1737" i="52069"/>
  <c r="A1737" i="52069"/>
  <c r="C1737" i="52069" s="1"/>
  <c r="G1736" i="52069"/>
  <c r="B1736" i="52069"/>
  <c r="A1736" i="52069"/>
  <c r="C1736" i="52069" s="1"/>
  <c r="G1735" i="52069"/>
  <c r="B1735" i="52069"/>
  <c r="A1735" i="52069"/>
  <c r="C1735" i="52069" s="1"/>
  <c r="G1734" i="52069"/>
  <c r="B1734" i="52069"/>
  <c r="A1734" i="52069"/>
  <c r="C1734" i="52069" s="1"/>
  <c r="G1733" i="52069"/>
  <c r="B1733" i="52069"/>
  <c r="A1733" i="52069"/>
  <c r="C1733" i="52069" s="1"/>
  <c r="G1732" i="52069"/>
  <c r="B1732" i="52069"/>
  <c r="A1732" i="52069"/>
  <c r="C1732" i="52069" s="1"/>
  <c r="G1731" i="52069"/>
  <c r="B1731" i="52069"/>
  <c r="A1731" i="52069"/>
  <c r="C1731" i="52069" s="1"/>
  <c r="G1730" i="52069"/>
  <c r="B1730" i="52069"/>
  <c r="A1730" i="52069"/>
  <c r="C1730" i="52069" s="1"/>
  <c r="G1729" i="52069"/>
  <c r="B1729" i="52069"/>
  <c r="A1729" i="52069"/>
  <c r="C1729" i="52069" s="1"/>
  <c r="G1728" i="52069"/>
  <c r="B1728" i="52069"/>
  <c r="A1728" i="52069"/>
  <c r="C1728" i="52069" s="1"/>
  <c r="G1727" i="52069"/>
  <c r="B1727" i="52069"/>
  <c r="A1727" i="52069"/>
  <c r="C1727" i="52069" s="1"/>
  <c r="G1726" i="52069"/>
  <c r="B1726" i="52069"/>
  <c r="A1726" i="52069"/>
  <c r="C1726" i="52069" s="1"/>
  <c r="G1725" i="52069"/>
  <c r="B1725" i="52069"/>
  <c r="A1725" i="52069"/>
  <c r="C1725" i="52069" s="1"/>
  <c r="G1724" i="52069"/>
  <c r="B1724" i="52069"/>
  <c r="A1724" i="52069"/>
  <c r="C1724" i="52069" s="1"/>
  <c r="G1723" i="52069"/>
  <c r="B1723" i="52069"/>
  <c r="C1723" i="52069" s="1"/>
  <c r="G1722" i="52069"/>
  <c r="B1722" i="52069"/>
  <c r="A1722" i="52069"/>
  <c r="C1722" i="52069" s="1"/>
  <c r="G1721" i="52069"/>
  <c r="B1721" i="52069"/>
  <c r="A1721" i="52069"/>
  <c r="G1720" i="52069"/>
  <c r="B1720" i="52069"/>
  <c r="A1720" i="52069"/>
  <c r="C1720" i="52069" s="1"/>
  <c r="G1719" i="52069"/>
  <c r="B1719" i="52069"/>
  <c r="A1719" i="52069"/>
  <c r="G1718" i="52069"/>
  <c r="B1718" i="52069"/>
  <c r="A1718" i="52069"/>
  <c r="C1718" i="52069" s="1"/>
  <c r="G1717" i="52069"/>
  <c r="B1717" i="52069"/>
  <c r="A1717" i="52069"/>
  <c r="G1716" i="52069"/>
  <c r="B1716" i="52069"/>
  <c r="A1716" i="52069"/>
  <c r="C1716" i="52069" s="1"/>
  <c r="G1715" i="52069"/>
  <c r="B1715" i="52069"/>
  <c r="A1715" i="52069"/>
  <c r="G1714" i="52069"/>
  <c r="B1714" i="52069"/>
  <c r="A1714" i="52069"/>
  <c r="C1714" i="52069" s="1"/>
  <c r="G1713" i="52069"/>
  <c r="B1713" i="52069"/>
  <c r="A1713" i="52069"/>
  <c r="G1712" i="52069"/>
  <c r="B1712" i="52069"/>
  <c r="A1712" i="52069"/>
  <c r="C1712" i="52069" s="1"/>
  <c r="G1711" i="52069"/>
  <c r="B1711" i="52069"/>
  <c r="A1711" i="52069"/>
  <c r="G1710" i="52069"/>
  <c r="B1710" i="52069"/>
  <c r="A1710" i="52069"/>
  <c r="C1710" i="52069" s="1"/>
  <c r="G1709" i="52069"/>
  <c r="B1709" i="52069"/>
  <c r="A1709" i="52069"/>
  <c r="G1708" i="52069"/>
  <c r="B1708" i="52069"/>
  <c r="A1708" i="52069"/>
  <c r="C1708" i="52069" s="1"/>
  <c r="G1707" i="52069"/>
  <c r="B1707" i="52069"/>
  <c r="A1707" i="52069"/>
  <c r="G1706" i="52069"/>
  <c r="B1706" i="52069"/>
  <c r="A1706" i="52069"/>
  <c r="C1706" i="52069" s="1"/>
  <c r="G1705" i="52069"/>
  <c r="B1705" i="52069"/>
  <c r="A1705" i="52069"/>
  <c r="G1704" i="52069"/>
  <c r="B1704" i="52069"/>
  <c r="A1704" i="52069"/>
  <c r="C1704" i="52069" s="1"/>
  <c r="G1703" i="52069"/>
  <c r="B1703" i="52069"/>
  <c r="A1703" i="52069"/>
  <c r="G1702" i="52069"/>
  <c r="B1702" i="52069"/>
  <c r="A1702" i="52069"/>
  <c r="C1702" i="52069" s="1"/>
  <c r="G1701" i="52069"/>
  <c r="B1701" i="52069"/>
  <c r="A1701" i="52069"/>
  <c r="G1700" i="52069"/>
  <c r="B1700" i="52069"/>
  <c r="A1700" i="52069"/>
  <c r="C1700" i="52069" s="1"/>
  <c r="G1699" i="52069"/>
  <c r="B1699" i="52069"/>
  <c r="A1699" i="52069"/>
  <c r="G1698" i="52069"/>
  <c r="B1698" i="52069"/>
  <c r="A1698" i="52069"/>
  <c r="C1698" i="52069" s="1"/>
  <c r="G1697" i="52069"/>
  <c r="B1697" i="52069"/>
  <c r="A1697" i="52069"/>
  <c r="G1696" i="52069"/>
  <c r="B1696" i="52069"/>
  <c r="A1696" i="52069"/>
  <c r="C1696" i="52069" s="1"/>
  <c r="G1695" i="52069"/>
  <c r="B1695" i="52069"/>
  <c r="A1695" i="52069"/>
  <c r="G1694" i="52069"/>
  <c r="B1694" i="52069"/>
  <c r="A1694" i="52069"/>
  <c r="C1694" i="52069" s="1"/>
  <c r="G1693" i="52069"/>
  <c r="B1693" i="52069"/>
  <c r="A1693" i="52069"/>
  <c r="G1692" i="52069"/>
  <c r="B1692" i="52069"/>
  <c r="A1692" i="52069"/>
  <c r="C1692" i="52069" s="1"/>
  <c r="G1691" i="52069"/>
  <c r="B1691" i="52069"/>
  <c r="A1691" i="52069"/>
  <c r="G1690" i="52069"/>
  <c r="B1690" i="52069"/>
  <c r="A1690" i="52069"/>
  <c r="C1690" i="52069" s="1"/>
  <c r="G1689" i="52069"/>
  <c r="B1689" i="52069"/>
  <c r="A1689" i="52069"/>
  <c r="G1688" i="52069"/>
  <c r="B1688" i="52069"/>
  <c r="A1688" i="52069"/>
  <c r="C1688" i="52069" s="1"/>
  <c r="G1687" i="52069"/>
  <c r="B1687" i="52069"/>
  <c r="A1687" i="52069"/>
  <c r="G1686" i="52069"/>
  <c r="B1686" i="52069"/>
  <c r="A1686" i="52069"/>
  <c r="C1686" i="52069" s="1"/>
  <c r="G1685" i="52069"/>
  <c r="B1685" i="52069"/>
  <c r="A1685" i="52069"/>
  <c r="G1684" i="52069"/>
  <c r="B1684" i="52069"/>
  <c r="A1684" i="52069"/>
  <c r="C1684" i="52069" s="1"/>
  <c r="G1683" i="52069"/>
  <c r="B1683" i="52069"/>
  <c r="A1683" i="52069"/>
  <c r="G1682" i="52069"/>
  <c r="B1682" i="52069"/>
  <c r="A1682" i="52069"/>
  <c r="C1682" i="52069" s="1"/>
  <c r="G1681" i="52069"/>
  <c r="B1681" i="52069"/>
  <c r="A1681" i="52069"/>
  <c r="G1680" i="52069"/>
  <c r="B1680" i="52069"/>
  <c r="A1680" i="52069"/>
  <c r="C1680" i="52069" s="1"/>
  <c r="G1679" i="52069"/>
  <c r="B1679" i="52069"/>
  <c r="A1679" i="52069"/>
  <c r="G1678" i="52069"/>
  <c r="B1678" i="52069"/>
  <c r="A1678" i="52069"/>
  <c r="C1678" i="52069" s="1"/>
  <c r="G1677" i="52069"/>
  <c r="B1677" i="52069"/>
  <c r="A1677" i="52069"/>
  <c r="G1676" i="52069"/>
  <c r="B1676" i="52069"/>
  <c r="A1676" i="52069"/>
  <c r="C1676" i="52069" s="1"/>
  <c r="G1675" i="52069"/>
  <c r="B1675" i="52069"/>
  <c r="A1675" i="52069"/>
  <c r="G1674" i="52069"/>
  <c r="B1674" i="52069"/>
  <c r="A1674" i="52069"/>
  <c r="C1674" i="52069" s="1"/>
  <c r="G1673" i="52069"/>
  <c r="B1673" i="52069"/>
  <c r="A1673" i="52069"/>
  <c r="G1672" i="52069"/>
  <c r="B1672" i="52069"/>
  <c r="A1672" i="52069"/>
  <c r="C1672" i="52069" s="1"/>
  <c r="G1671" i="52069"/>
  <c r="B1671" i="52069"/>
  <c r="A1671" i="52069"/>
  <c r="G1670" i="52069"/>
  <c r="B1670" i="52069"/>
  <c r="A1670" i="52069"/>
  <c r="C1670" i="52069" s="1"/>
  <c r="G1669" i="52069"/>
  <c r="B1669" i="52069"/>
  <c r="A1669" i="52069"/>
  <c r="G1668" i="52069"/>
  <c r="B1668" i="52069"/>
  <c r="A1668" i="52069"/>
  <c r="C1668" i="52069" s="1"/>
  <c r="G1667" i="52069"/>
  <c r="B1667" i="52069"/>
  <c r="A1667" i="52069"/>
  <c r="G1666" i="52069"/>
  <c r="B1666" i="52069"/>
  <c r="A1666" i="52069"/>
  <c r="C1666" i="52069" s="1"/>
  <c r="G1665" i="52069"/>
  <c r="B1665" i="52069"/>
  <c r="A1665" i="52069"/>
  <c r="G1664" i="52069"/>
  <c r="B1664" i="52069"/>
  <c r="A1664" i="52069"/>
  <c r="C1664" i="52069" s="1"/>
  <c r="G1663" i="52069"/>
  <c r="B1663" i="52069"/>
  <c r="A1663" i="52069"/>
  <c r="G1662" i="52069"/>
  <c r="B1662" i="52069"/>
  <c r="A1662" i="52069"/>
  <c r="C1662" i="52069" s="1"/>
  <c r="G1661" i="52069"/>
  <c r="B1661" i="52069"/>
  <c r="A1661" i="52069"/>
  <c r="G1660" i="52069"/>
  <c r="B1660" i="52069"/>
  <c r="A1660" i="52069"/>
  <c r="C1660" i="52069" s="1"/>
  <c r="G1659" i="52069"/>
  <c r="B1659" i="52069"/>
  <c r="A1659" i="52069"/>
  <c r="G1658" i="52069"/>
  <c r="B1658" i="52069"/>
  <c r="A1658" i="52069"/>
  <c r="C1658" i="52069" s="1"/>
  <c r="G1657" i="52069"/>
  <c r="B1657" i="52069"/>
  <c r="A1657" i="52069"/>
  <c r="G1656" i="52069"/>
  <c r="B1656" i="52069"/>
  <c r="A1656" i="52069"/>
  <c r="C1656" i="52069" s="1"/>
  <c r="G1655" i="52069"/>
  <c r="B1655" i="52069"/>
  <c r="A1655" i="52069"/>
  <c r="G1654" i="52069"/>
  <c r="B1654" i="52069"/>
  <c r="A1654" i="52069"/>
  <c r="C1654" i="52069" s="1"/>
  <c r="G1653" i="52069"/>
  <c r="B1653" i="52069"/>
  <c r="A1653" i="52069"/>
  <c r="G1652" i="52069"/>
  <c r="B1652" i="52069"/>
  <c r="A1652" i="52069"/>
  <c r="C1652" i="52069" s="1"/>
  <c r="G1651" i="52069"/>
  <c r="B1651" i="52069"/>
  <c r="A1651" i="52069"/>
  <c r="G1650" i="52069"/>
  <c r="B1650" i="52069"/>
  <c r="C1650" i="52069"/>
  <c r="G1649" i="52069"/>
  <c r="B1649" i="52069"/>
  <c r="A1649" i="52069"/>
  <c r="C1649" i="52069"/>
  <c r="G1648" i="52069"/>
  <c r="B1648" i="52069"/>
  <c r="A1648" i="52069"/>
  <c r="C1648" i="52069"/>
  <c r="G1647" i="52069"/>
  <c r="B1647" i="52069"/>
  <c r="A1647" i="52069"/>
  <c r="C1647" i="52069"/>
  <c r="G1646" i="52069"/>
  <c r="B1646" i="52069"/>
  <c r="A1646" i="52069"/>
  <c r="C1646" i="52069"/>
  <c r="G1645" i="52069"/>
  <c r="B1645" i="52069"/>
  <c r="A1645" i="52069"/>
  <c r="C1645" i="52069"/>
  <c r="G1644" i="52069"/>
  <c r="B1644" i="52069"/>
  <c r="A1644" i="52069"/>
  <c r="C1644" i="52069"/>
  <c r="G1643" i="52069"/>
  <c r="B1643" i="52069"/>
  <c r="A1643" i="52069"/>
  <c r="C1643" i="52069"/>
  <c r="G1642" i="52069"/>
  <c r="B1642" i="52069"/>
  <c r="A1642" i="52069"/>
  <c r="C1642" i="52069"/>
  <c r="G1641" i="52069"/>
  <c r="B1641" i="52069"/>
  <c r="A1641" i="52069"/>
  <c r="C1641" i="52069"/>
  <c r="G1640" i="52069"/>
  <c r="B1640" i="52069"/>
  <c r="A1640" i="52069"/>
  <c r="C1640" i="52069"/>
  <c r="G1639" i="52069"/>
  <c r="B1639" i="52069"/>
  <c r="A1639" i="52069"/>
  <c r="C1639" i="52069"/>
  <c r="G1638" i="52069"/>
  <c r="B1638" i="52069"/>
  <c r="A1638" i="52069"/>
  <c r="C1638" i="52069"/>
  <c r="G1637" i="52069"/>
  <c r="B1637" i="52069"/>
  <c r="A1637" i="52069"/>
  <c r="C1637" i="52069"/>
  <c r="G1636" i="52069"/>
  <c r="B1636" i="52069"/>
  <c r="A1636" i="52069"/>
  <c r="C1636" i="52069"/>
  <c r="G1635" i="52069"/>
  <c r="B1635" i="52069"/>
  <c r="A1635" i="52069"/>
  <c r="C1635" i="52069"/>
  <c r="G1634" i="52069"/>
  <c r="B1634" i="52069"/>
  <c r="A1634" i="52069"/>
  <c r="C1634" i="52069"/>
  <c r="G1633" i="52069"/>
  <c r="B1633" i="52069"/>
  <c r="A1633" i="52069"/>
  <c r="C1633" i="52069"/>
  <c r="G1632" i="52069"/>
  <c r="B1632" i="52069"/>
  <c r="A1632" i="52069"/>
  <c r="C1632" i="52069"/>
  <c r="G1631" i="52069"/>
  <c r="B1631" i="52069"/>
  <c r="A1631" i="52069"/>
  <c r="C1631" i="52069"/>
  <c r="G1630" i="52069"/>
  <c r="B1630" i="52069"/>
  <c r="A1630" i="52069"/>
  <c r="C1630" i="52069"/>
  <c r="G1629" i="52069"/>
  <c r="B1629" i="52069"/>
  <c r="A1629" i="52069"/>
  <c r="C1629" i="52069"/>
  <c r="G1628" i="52069"/>
  <c r="B1628" i="52069"/>
  <c r="A1628" i="52069"/>
  <c r="C1628" i="52069"/>
  <c r="G1627" i="52069"/>
  <c r="B1627" i="52069"/>
  <c r="A1627" i="52069"/>
  <c r="C1627" i="52069"/>
  <c r="G1626" i="52069"/>
  <c r="B1626" i="52069"/>
  <c r="A1626" i="52069"/>
  <c r="C1626" i="52069"/>
  <c r="G1625" i="52069"/>
  <c r="B1625" i="52069"/>
  <c r="A1625" i="52069"/>
  <c r="C1625" i="52069"/>
  <c r="G1624" i="52069"/>
  <c r="B1624" i="52069"/>
  <c r="A1624" i="52069"/>
  <c r="C1624" i="52069"/>
  <c r="G1623" i="52069"/>
  <c r="B1623" i="52069"/>
  <c r="A1623" i="52069"/>
  <c r="C1623" i="52069"/>
  <c r="G1622" i="52069"/>
  <c r="B1622" i="52069"/>
  <c r="A1622" i="52069"/>
  <c r="C1622" i="52069"/>
  <c r="G1621" i="52069"/>
  <c r="B1621" i="52069"/>
  <c r="A1621" i="52069"/>
  <c r="C1621" i="52069"/>
  <c r="G1620" i="52069"/>
  <c r="B1620" i="52069"/>
  <c r="A1620" i="52069"/>
  <c r="C1620" i="52069"/>
  <c r="G1619" i="52069"/>
  <c r="B1619" i="52069"/>
  <c r="A1619" i="52069"/>
  <c r="C1619" i="52069"/>
  <c r="G1618" i="52069"/>
  <c r="B1618" i="52069"/>
  <c r="A1618" i="52069"/>
  <c r="C1618" i="52069"/>
  <c r="G1617" i="52069"/>
  <c r="B1617" i="52069"/>
  <c r="A1617" i="52069"/>
  <c r="C1617" i="52069"/>
  <c r="G1616" i="52069"/>
  <c r="B1616" i="52069"/>
  <c r="A1616" i="52069"/>
  <c r="C1616" i="52069"/>
  <c r="G1615" i="52069"/>
  <c r="B1615" i="52069"/>
  <c r="A1615" i="52069"/>
  <c r="C1615" i="52069"/>
  <c r="G1614" i="52069"/>
  <c r="B1614" i="52069"/>
  <c r="A1614" i="52069"/>
  <c r="C1614" i="52069"/>
  <c r="G1613" i="52069"/>
  <c r="B1613" i="52069"/>
  <c r="A1613" i="52069"/>
  <c r="C1613" i="52069"/>
  <c r="G1612" i="52069"/>
  <c r="B1612" i="52069"/>
  <c r="A1612" i="52069"/>
  <c r="C1612" i="52069"/>
  <c r="G1611" i="52069"/>
  <c r="B1611" i="52069"/>
  <c r="A1611" i="52069"/>
  <c r="C1611" i="52069"/>
  <c r="G1610" i="52069"/>
  <c r="B1610" i="52069"/>
  <c r="A1610" i="52069"/>
  <c r="C1610" i="52069"/>
  <c r="G1609" i="52069"/>
  <c r="B1609" i="52069"/>
  <c r="A1609" i="52069"/>
  <c r="C1609" i="52069"/>
  <c r="G1608" i="52069"/>
  <c r="B1608" i="52069"/>
  <c r="A1608" i="52069"/>
  <c r="C1608" i="52069"/>
  <c r="G1607" i="52069"/>
  <c r="B1607" i="52069"/>
  <c r="A1607" i="52069"/>
  <c r="C1607" i="52069"/>
  <c r="G1606" i="52069"/>
  <c r="B1606" i="52069"/>
  <c r="A1606" i="52069"/>
  <c r="C1606" i="52069"/>
  <c r="G1605" i="52069"/>
  <c r="B1605" i="52069"/>
  <c r="A1605" i="52069"/>
  <c r="C1605" i="52069"/>
  <c r="G1604" i="52069"/>
  <c r="B1604" i="52069"/>
  <c r="A1604" i="52069"/>
  <c r="C1604" i="52069"/>
  <c r="G1603" i="52069"/>
  <c r="B1603" i="52069"/>
  <c r="A1603" i="52069"/>
  <c r="C1603" i="52069"/>
  <c r="G1602" i="52069"/>
  <c r="B1602" i="52069"/>
  <c r="A1602" i="52069"/>
  <c r="C1602" i="52069"/>
  <c r="G1601" i="52069"/>
  <c r="B1601" i="52069"/>
  <c r="A1601" i="52069"/>
  <c r="C1601" i="52069"/>
  <c r="G1600" i="52069"/>
  <c r="B1600" i="52069"/>
  <c r="A1600" i="52069"/>
  <c r="C1600" i="52069"/>
  <c r="G1599" i="52069"/>
  <c r="B1599" i="52069"/>
  <c r="A1599" i="52069"/>
  <c r="C1599" i="52069"/>
  <c r="G1598" i="52069"/>
  <c r="B1598" i="52069"/>
  <c r="A1598" i="52069"/>
  <c r="C1598" i="52069"/>
  <c r="G1597" i="52069"/>
  <c r="B1597" i="52069"/>
  <c r="A1597" i="52069"/>
  <c r="C1597" i="52069"/>
  <c r="G1596" i="52069"/>
  <c r="B1596" i="52069"/>
  <c r="A1596" i="52069"/>
  <c r="C1596" i="52069"/>
  <c r="G1595" i="52069"/>
  <c r="B1595" i="52069"/>
  <c r="A1595" i="52069"/>
  <c r="C1595" i="52069"/>
  <c r="G1594" i="52069"/>
  <c r="B1594" i="52069"/>
  <c r="A1594" i="52069"/>
  <c r="C1594" i="52069"/>
  <c r="G1593" i="52069"/>
  <c r="B1593" i="52069"/>
  <c r="A1593" i="52069"/>
  <c r="C1593" i="52069"/>
  <c r="G1592" i="52069"/>
  <c r="B1592" i="52069"/>
  <c r="A1592" i="52069"/>
  <c r="C1592" i="52069"/>
  <c r="G1591" i="52069"/>
  <c r="B1591" i="52069"/>
  <c r="A1591" i="52069"/>
  <c r="C1591" i="52069"/>
  <c r="G1590" i="52069"/>
  <c r="B1590" i="52069"/>
  <c r="A1590" i="52069"/>
  <c r="C1590" i="52069"/>
  <c r="G1589" i="52069"/>
  <c r="B1589" i="52069"/>
  <c r="A1589" i="52069"/>
  <c r="C1589" i="52069"/>
  <c r="G1588" i="52069"/>
  <c r="B1588" i="52069"/>
  <c r="A1588" i="52069"/>
  <c r="C1588" i="52069"/>
  <c r="G1587" i="52069"/>
  <c r="B1587" i="52069"/>
  <c r="A1587" i="52069"/>
  <c r="C1587" i="52069"/>
  <c r="G1586" i="52069"/>
  <c r="B1586" i="52069"/>
  <c r="A1586" i="52069"/>
  <c r="C1586" i="52069"/>
  <c r="G1585" i="52069"/>
  <c r="B1585" i="52069"/>
  <c r="A1585" i="52069"/>
  <c r="C1585" i="52069"/>
  <c r="G1584" i="52069"/>
  <c r="B1584" i="52069"/>
  <c r="A1584" i="52069"/>
  <c r="C1584" i="52069"/>
  <c r="G1583" i="52069"/>
  <c r="B1583" i="52069"/>
  <c r="A1583" i="52069"/>
  <c r="C1583" i="52069"/>
  <c r="G1582" i="52069"/>
  <c r="B1582" i="52069"/>
  <c r="A1582" i="52069"/>
  <c r="C1582" i="52069"/>
  <c r="G1581" i="52069"/>
  <c r="B1581" i="52069"/>
  <c r="A1581" i="52069"/>
  <c r="C1581" i="52069"/>
  <c r="G1580" i="52069"/>
  <c r="B1580" i="52069"/>
  <c r="A1580" i="52069"/>
  <c r="C1580" i="52069"/>
  <c r="G1579" i="52069"/>
  <c r="B1579" i="52069"/>
  <c r="A1579" i="52069"/>
  <c r="C1579" i="52069"/>
  <c r="G1578" i="52069"/>
  <c r="B1578" i="52069"/>
  <c r="C1578" i="52069" s="1"/>
  <c r="G1577" i="52069"/>
  <c r="B1577" i="52069"/>
  <c r="A1577" i="52069"/>
  <c r="G1576" i="52069"/>
  <c r="B1576" i="52069"/>
  <c r="A1576" i="52069"/>
  <c r="C1576" i="52069" s="1"/>
  <c r="G1575" i="52069"/>
  <c r="B1575" i="52069"/>
  <c r="A1575" i="52069"/>
  <c r="G1574" i="52069"/>
  <c r="B1574" i="52069"/>
  <c r="A1574" i="52069"/>
  <c r="C1574" i="52069" s="1"/>
  <c r="G1573" i="52069"/>
  <c r="B1573" i="52069"/>
  <c r="A1573" i="52069"/>
  <c r="G1572" i="52069"/>
  <c r="B1572" i="52069"/>
  <c r="A1572" i="52069"/>
  <c r="C1572" i="52069" s="1"/>
  <c r="G1571" i="52069"/>
  <c r="B1571" i="52069"/>
  <c r="A1571" i="52069"/>
  <c r="G1570" i="52069"/>
  <c r="B1570" i="52069"/>
  <c r="A1570" i="52069"/>
  <c r="C1570" i="52069" s="1"/>
  <c r="G1569" i="52069"/>
  <c r="B1569" i="52069"/>
  <c r="A1569" i="52069"/>
  <c r="G1568" i="52069"/>
  <c r="B1568" i="52069"/>
  <c r="A1568" i="52069"/>
  <c r="C1568" i="52069" s="1"/>
  <c r="G1567" i="52069"/>
  <c r="B1567" i="52069"/>
  <c r="A1567" i="52069"/>
  <c r="G1566" i="52069"/>
  <c r="B1566" i="52069"/>
  <c r="A1566" i="52069"/>
  <c r="C1566" i="52069" s="1"/>
  <c r="G1565" i="52069"/>
  <c r="B1565" i="52069"/>
  <c r="A1565" i="52069"/>
  <c r="G1564" i="52069"/>
  <c r="B1564" i="52069"/>
  <c r="A1564" i="52069"/>
  <c r="C1564" i="52069" s="1"/>
  <c r="G1563" i="52069"/>
  <c r="B1563" i="52069"/>
  <c r="A1563" i="52069"/>
  <c r="G1562" i="52069"/>
  <c r="B1562" i="52069"/>
  <c r="A1562" i="52069"/>
  <c r="C1562" i="52069" s="1"/>
  <c r="G1561" i="52069"/>
  <c r="B1561" i="52069"/>
  <c r="A1561" i="52069"/>
  <c r="G1560" i="52069"/>
  <c r="B1560" i="52069"/>
  <c r="A1560" i="52069"/>
  <c r="C1560" i="52069" s="1"/>
  <c r="G1559" i="52069"/>
  <c r="B1559" i="52069"/>
  <c r="A1559" i="52069"/>
  <c r="G1558" i="52069"/>
  <c r="B1558" i="52069"/>
  <c r="A1558" i="52069"/>
  <c r="C1558" i="52069" s="1"/>
  <c r="G1557" i="52069"/>
  <c r="B1557" i="52069"/>
  <c r="A1557" i="52069"/>
  <c r="G1556" i="52069"/>
  <c r="B1556" i="52069"/>
  <c r="A1556" i="52069"/>
  <c r="C1556" i="52069" s="1"/>
  <c r="G1555" i="52069"/>
  <c r="B1555" i="52069"/>
  <c r="A1555" i="52069"/>
  <c r="G1554" i="52069"/>
  <c r="B1554" i="52069"/>
  <c r="A1554" i="52069"/>
  <c r="C1554" i="52069" s="1"/>
  <c r="G1553" i="52069"/>
  <c r="B1553" i="52069"/>
  <c r="A1553" i="52069"/>
  <c r="G1552" i="52069"/>
  <c r="B1552" i="52069"/>
  <c r="A1552" i="52069"/>
  <c r="C1552" i="52069" s="1"/>
  <c r="G1551" i="52069"/>
  <c r="B1551" i="52069"/>
  <c r="A1551" i="52069"/>
  <c r="G1550" i="52069"/>
  <c r="B1550" i="52069"/>
  <c r="A1550" i="52069"/>
  <c r="C1550" i="52069" s="1"/>
  <c r="G1549" i="52069"/>
  <c r="B1549" i="52069"/>
  <c r="A1549" i="52069"/>
  <c r="G1548" i="52069"/>
  <c r="B1548" i="52069"/>
  <c r="A1548" i="52069"/>
  <c r="C1548" i="52069" s="1"/>
  <c r="G1547" i="52069"/>
  <c r="B1547" i="52069"/>
  <c r="A1547" i="52069"/>
  <c r="G1546" i="52069"/>
  <c r="B1546" i="52069"/>
  <c r="A1546" i="52069"/>
  <c r="C1546" i="52069" s="1"/>
  <c r="G1545" i="52069"/>
  <c r="B1545" i="52069"/>
  <c r="A1545" i="52069"/>
  <c r="G1544" i="52069"/>
  <c r="B1544" i="52069"/>
  <c r="A1544" i="52069"/>
  <c r="C1544" i="52069" s="1"/>
  <c r="G1543" i="52069"/>
  <c r="B1543" i="52069"/>
  <c r="A1543" i="52069"/>
  <c r="G1542" i="52069"/>
  <c r="B1542" i="52069"/>
  <c r="A1542" i="52069"/>
  <c r="C1542" i="52069" s="1"/>
  <c r="G1541" i="52069"/>
  <c r="B1541" i="52069"/>
  <c r="A1541" i="52069"/>
  <c r="G1540" i="52069"/>
  <c r="B1540" i="52069"/>
  <c r="A1540" i="52069"/>
  <c r="C1540" i="52069" s="1"/>
  <c r="G1539" i="52069"/>
  <c r="B1539" i="52069"/>
  <c r="A1539" i="52069"/>
  <c r="G1538" i="52069"/>
  <c r="B1538" i="52069"/>
  <c r="A1538" i="52069"/>
  <c r="C1538" i="52069" s="1"/>
  <c r="G1537" i="52069"/>
  <c r="B1537" i="52069"/>
  <c r="A1537" i="52069"/>
  <c r="G1536" i="52069"/>
  <c r="B1536" i="52069"/>
  <c r="A1536" i="52069"/>
  <c r="C1536" i="52069" s="1"/>
  <c r="G1535" i="52069"/>
  <c r="B1535" i="52069"/>
  <c r="A1535" i="52069"/>
  <c r="G1534" i="52069"/>
  <c r="B1534" i="52069"/>
  <c r="A1534" i="52069"/>
  <c r="C1534" i="52069" s="1"/>
  <c r="G1533" i="52069"/>
  <c r="B1533" i="52069"/>
  <c r="A1533" i="52069"/>
  <c r="G1532" i="52069"/>
  <c r="B1532" i="52069"/>
  <c r="A1532" i="52069"/>
  <c r="C1532" i="52069" s="1"/>
  <c r="G1531" i="52069"/>
  <c r="B1531" i="52069"/>
  <c r="A1531" i="52069"/>
  <c r="G1530" i="52069"/>
  <c r="B1530" i="52069"/>
  <c r="A1530" i="52069"/>
  <c r="C1530" i="52069" s="1"/>
  <c r="G1529" i="52069"/>
  <c r="B1529" i="52069"/>
  <c r="A1529" i="52069"/>
  <c r="G1528" i="52069"/>
  <c r="B1528" i="52069"/>
  <c r="A1528" i="52069"/>
  <c r="C1528" i="52069" s="1"/>
  <c r="G1527" i="52069"/>
  <c r="B1527" i="52069"/>
  <c r="A1527" i="52069"/>
  <c r="G1526" i="52069"/>
  <c r="B1526" i="52069"/>
  <c r="A1526" i="52069"/>
  <c r="C1526" i="52069" s="1"/>
  <c r="G1525" i="52069"/>
  <c r="B1525" i="52069"/>
  <c r="A1525" i="52069"/>
  <c r="G1524" i="52069"/>
  <c r="B1524" i="52069"/>
  <c r="A1524" i="52069"/>
  <c r="C1524" i="52069" s="1"/>
  <c r="G1523" i="52069"/>
  <c r="B1523" i="52069"/>
  <c r="A1523" i="52069"/>
  <c r="G1522" i="52069"/>
  <c r="B1522" i="52069"/>
  <c r="A1522" i="52069"/>
  <c r="C1522" i="52069" s="1"/>
  <c r="G1521" i="52069"/>
  <c r="B1521" i="52069"/>
  <c r="A1521" i="52069"/>
  <c r="G1520" i="52069"/>
  <c r="B1520" i="52069"/>
  <c r="A1520" i="52069"/>
  <c r="C1520" i="52069" s="1"/>
  <c r="G1519" i="52069"/>
  <c r="B1519" i="52069"/>
  <c r="A1519" i="52069"/>
  <c r="G1518" i="52069"/>
  <c r="B1518" i="52069"/>
  <c r="A1518" i="52069"/>
  <c r="C1518" i="52069" s="1"/>
  <c r="G1517" i="52069"/>
  <c r="B1517" i="52069"/>
  <c r="A1517" i="52069"/>
  <c r="G1516" i="52069"/>
  <c r="B1516" i="52069"/>
  <c r="A1516" i="52069"/>
  <c r="C1516" i="52069" s="1"/>
  <c r="G1515" i="52069"/>
  <c r="B1515" i="52069"/>
  <c r="A1515" i="52069"/>
  <c r="G1514" i="52069"/>
  <c r="B1514" i="52069"/>
  <c r="A1514" i="52069"/>
  <c r="C1514" i="52069" s="1"/>
  <c r="G1513" i="52069"/>
  <c r="B1513" i="52069"/>
  <c r="A1513" i="52069"/>
  <c r="G1512" i="52069"/>
  <c r="B1512" i="52069"/>
  <c r="A1512" i="52069"/>
  <c r="C1512" i="52069" s="1"/>
  <c r="G1511" i="52069"/>
  <c r="B1511" i="52069"/>
  <c r="A1511" i="52069"/>
  <c r="G1510" i="52069"/>
  <c r="B1510" i="52069"/>
  <c r="A1510" i="52069"/>
  <c r="C1510" i="52069" s="1"/>
  <c r="G1509" i="52069"/>
  <c r="B1509" i="52069"/>
  <c r="A1509" i="52069"/>
  <c r="E1508" i="52069"/>
  <c r="G1508" i="52069" s="1"/>
  <c r="B1508" i="52069"/>
  <c r="A1508" i="52069"/>
  <c r="C1508" i="52069" s="1"/>
  <c r="E1507" i="52069"/>
  <c r="G1507" i="52069" s="1"/>
  <c r="B1507" i="52069"/>
  <c r="A1507" i="52069"/>
  <c r="G1506" i="52069"/>
  <c r="B1506" i="52069"/>
  <c r="A1506" i="52069"/>
  <c r="C1506" i="52069" s="1"/>
  <c r="G1505" i="52069"/>
  <c r="B1505" i="52069"/>
  <c r="A1505" i="52069"/>
  <c r="G1504" i="52069"/>
  <c r="B1504" i="52069"/>
  <c r="A1504" i="52069"/>
  <c r="C1504" i="52069" s="1"/>
  <c r="G1503" i="52069"/>
  <c r="B1503" i="52069"/>
  <c r="A1503" i="52069"/>
  <c r="G1502" i="52069"/>
  <c r="B1502" i="52069"/>
  <c r="A1502" i="52069"/>
  <c r="C1502" i="52069" s="1"/>
  <c r="G1501" i="52069"/>
  <c r="B1501" i="52069"/>
  <c r="A1501" i="52069"/>
  <c r="G1500" i="52069"/>
  <c r="B1500" i="52069"/>
  <c r="A1500" i="52069"/>
  <c r="C1500" i="52069" s="1"/>
  <c r="G1499" i="52069"/>
  <c r="B1499" i="52069"/>
  <c r="A1499" i="52069"/>
  <c r="G1498" i="52069"/>
  <c r="B1498" i="52069"/>
  <c r="A1498" i="52069"/>
  <c r="C1498" i="52069" s="1"/>
  <c r="G1497" i="52069"/>
  <c r="B1497" i="52069"/>
  <c r="A1497" i="52069"/>
  <c r="G1496" i="52069"/>
  <c r="B1496" i="52069"/>
  <c r="A1496" i="52069"/>
  <c r="C1496" i="52069" s="1"/>
  <c r="G1495" i="52069"/>
  <c r="B1495" i="52069"/>
  <c r="A1495" i="52069"/>
  <c r="G1494" i="52069"/>
  <c r="B1494" i="52069"/>
  <c r="A1494" i="52069"/>
  <c r="C1494" i="52069" s="1"/>
  <c r="G1493" i="52069"/>
  <c r="B1493" i="52069"/>
  <c r="A1493" i="52069"/>
  <c r="G1492" i="52069"/>
  <c r="B1492" i="52069"/>
  <c r="A1492" i="52069"/>
  <c r="C1492" i="52069" s="1"/>
  <c r="G1491" i="52069"/>
  <c r="B1491" i="52069"/>
  <c r="A1491" i="52069"/>
  <c r="G1490" i="52069"/>
  <c r="B1490" i="52069"/>
  <c r="A1490" i="52069"/>
  <c r="C1490" i="52069" s="1"/>
  <c r="G1489" i="52069"/>
  <c r="B1489" i="52069"/>
  <c r="A1489" i="52069"/>
  <c r="G1488" i="52069"/>
  <c r="B1488" i="52069"/>
  <c r="A1488" i="52069"/>
  <c r="C1488" i="52069" s="1"/>
  <c r="G1487" i="52069"/>
  <c r="B1487" i="52069"/>
  <c r="A1487" i="52069"/>
  <c r="G1486" i="52069"/>
  <c r="B1486" i="52069"/>
  <c r="A1486" i="52069"/>
  <c r="C1486" i="52069" s="1"/>
  <c r="G1485" i="52069"/>
  <c r="B1485" i="52069"/>
  <c r="A1485" i="52069"/>
  <c r="G1484" i="52069"/>
  <c r="B1484" i="52069"/>
  <c r="A1484" i="52069"/>
  <c r="C1484" i="52069" s="1"/>
  <c r="G1483" i="52069"/>
  <c r="B1483" i="52069"/>
  <c r="A1483" i="52069"/>
  <c r="G1482" i="52069"/>
  <c r="B1482" i="52069"/>
  <c r="A1482" i="52069"/>
  <c r="C1482" i="52069" s="1"/>
  <c r="G1481" i="52069"/>
  <c r="B1481" i="52069"/>
  <c r="A1481" i="52069"/>
  <c r="G1480" i="52069"/>
  <c r="B1480" i="52069"/>
  <c r="A1480" i="52069"/>
  <c r="C1480" i="52069" s="1"/>
  <c r="G1479" i="52069"/>
  <c r="B1479" i="52069"/>
  <c r="A1479" i="52069"/>
  <c r="G1478" i="52069"/>
  <c r="B1478" i="52069"/>
  <c r="A1478" i="52069"/>
  <c r="C1478" i="52069" s="1"/>
  <c r="G1477" i="52069"/>
  <c r="B1477" i="52069"/>
  <c r="A1477" i="52069"/>
  <c r="G1476" i="52069"/>
  <c r="B1476" i="52069"/>
  <c r="A1476" i="52069"/>
  <c r="C1476" i="52069" s="1"/>
  <c r="G1475" i="52069"/>
  <c r="B1475" i="52069"/>
  <c r="A1475" i="52069"/>
  <c r="G1474" i="52069"/>
  <c r="B1474" i="52069"/>
  <c r="A1474" i="52069"/>
  <c r="C1474" i="52069" s="1"/>
  <c r="G1473" i="52069"/>
  <c r="B1473" i="52069"/>
  <c r="A1473" i="52069"/>
  <c r="G1472" i="52069"/>
  <c r="B1472" i="52069"/>
  <c r="A1472" i="52069"/>
  <c r="C1472" i="52069" s="1"/>
  <c r="G1471" i="52069"/>
  <c r="B1471" i="52069"/>
  <c r="A1471" i="52069"/>
  <c r="G1470" i="52069"/>
  <c r="B1470" i="52069"/>
  <c r="A1470" i="52069"/>
  <c r="C1470" i="52069" s="1"/>
  <c r="G1469" i="52069"/>
  <c r="B1469" i="52069"/>
  <c r="A1469" i="52069"/>
  <c r="G1468" i="52069"/>
  <c r="B1468" i="52069"/>
  <c r="A1468" i="52069"/>
  <c r="C1468" i="52069" s="1"/>
  <c r="G1467" i="52069"/>
  <c r="B1467" i="52069"/>
  <c r="A1467" i="52069"/>
  <c r="G1466" i="52069"/>
  <c r="B1466" i="52069"/>
  <c r="A1466" i="52069"/>
  <c r="C1466" i="52069" s="1"/>
  <c r="G1465" i="52069"/>
  <c r="B1465" i="52069"/>
  <c r="A1465" i="52069"/>
  <c r="G1464" i="52069"/>
  <c r="B1464" i="52069"/>
  <c r="A1464" i="52069"/>
  <c r="C1464" i="52069" s="1"/>
  <c r="G1463" i="52069"/>
  <c r="B1463" i="52069"/>
  <c r="A1463" i="52069"/>
  <c r="G1462" i="52069"/>
  <c r="B1462" i="52069"/>
  <c r="A1462" i="52069"/>
  <c r="C1462" i="52069" s="1"/>
  <c r="G1461" i="52069"/>
  <c r="B1461" i="52069"/>
  <c r="A1461" i="52069"/>
  <c r="G1460" i="52069"/>
  <c r="B1460" i="52069"/>
  <c r="A1460" i="52069"/>
  <c r="C1460" i="52069" s="1"/>
  <c r="G1459" i="52069"/>
  <c r="B1459" i="52069"/>
  <c r="A1459" i="52069"/>
  <c r="G1458" i="52069"/>
  <c r="B1458" i="52069"/>
  <c r="A1458" i="52069"/>
  <c r="C1458" i="52069" s="1"/>
  <c r="G1457" i="52069"/>
  <c r="B1457" i="52069"/>
  <c r="A1457" i="52069"/>
  <c r="G1456" i="52069"/>
  <c r="B1456" i="52069"/>
  <c r="A1456" i="52069"/>
  <c r="C1456" i="52069" s="1"/>
  <c r="G1455" i="52069"/>
  <c r="B1455" i="52069"/>
  <c r="A1455" i="52069"/>
  <c r="G1454" i="52069"/>
  <c r="B1454" i="52069"/>
  <c r="A1454" i="52069"/>
  <c r="C1454" i="52069" s="1"/>
  <c r="G1453" i="52069"/>
  <c r="B1453" i="52069"/>
  <c r="A1453" i="52069"/>
  <c r="G1452" i="52069"/>
  <c r="B1452" i="52069"/>
  <c r="A1452" i="52069"/>
  <c r="C1452" i="52069" s="1"/>
  <c r="G1451" i="52069"/>
  <c r="B1451" i="52069"/>
  <c r="A1451" i="52069"/>
  <c r="G1450" i="52069"/>
  <c r="B1450" i="52069"/>
  <c r="A1450" i="52069"/>
  <c r="C1450" i="52069" s="1"/>
  <c r="G1449" i="52069"/>
  <c r="B1449" i="52069"/>
  <c r="A1449" i="52069"/>
  <c r="G1448" i="52069"/>
  <c r="B1448" i="52069"/>
  <c r="A1448" i="52069"/>
  <c r="C1448" i="52069" s="1"/>
  <c r="G1447" i="52069"/>
  <c r="B1447" i="52069"/>
  <c r="A1447" i="52069"/>
  <c r="G1446" i="52069"/>
  <c r="B1446" i="52069"/>
  <c r="A1446" i="52069"/>
  <c r="C1446" i="52069" s="1"/>
  <c r="G1445" i="52069"/>
  <c r="B1445" i="52069"/>
  <c r="A1445" i="52069"/>
  <c r="G1444" i="52069"/>
  <c r="B1444" i="52069"/>
  <c r="A1444" i="52069"/>
  <c r="C1444" i="52069" s="1"/>
  <c r="G1443" i="52069"/>
  <c r="B1443" i="52069"/>
  <c r="A1443" i="52069"/>
  <c r="G1442" i="52069"/>
  <c r="B1442" i="52069"/>
  <c r="A1442" i="52069"/>
  <c r="C1442" i="52069" s="1"/>
  <c r="G1441" i="52069"/>
  <c r="B1441" i="52069"/>
  <c r="A1441" i="52069"/>
  <c r="G1440" i="52069"/>
  <c r="B1440" i="52069"/>
  <c r="A1440" i="52069"/>
  <c r="C1440" i="52069" s="1"/>
  <c r="G1439" i="52069"/>
  <c r="B1439" i="52069"/>
  <c r="A1439" i="52069"/>
  <c r="G1438" i="52069"/>
  <c r="B1438" i="52069"/>
  <c r="A1438" i="52069"/>
  <c r="C1438" i="52069" s="1"/>
  <c r="G1437" i="52069"/>
  <c r="B1437" i="52069"/>
  <c r="A1437" i="52069"/>
  <c r="G1436" i="52069"/>
  <c r="B1436" i="52069"/>
  <c r="A1436" i="52069"/>
  <c r="C1436" i="52069" s="1"/>
  <c r="G1435" i="52069"/>
  <c r="B1435" i="52069"/>
  <c r="A1435" i="52069"/>
  <c r="G1434" i="52069"/>
  <c r="B1434" i="52069"/>
  <c r="A1434" i="52069"/>
  <c r="C1434" i="52069" s="1"/>
  <c r="G1433" i="52069"/>
  <c r="B1433" i="52069"/>
  <c r="A1433" i="52069"/>
  <c r="G1432" i="52069"/>
  <c r="B1432" i="52069"/>
  <c r="A1432" i="52069"/>
  <c r="C1432" i="52069" s="1"/>
  <c r="G1431" i="52069"/>
  <c r="B1431" i="52069"/>
  <c r="A1431" i="52069"/>
  <c r="G1430" i="52069"/>
  <c r="B1430" i="52069"/>
  <c r="A1430" i="52069"/>
  <c r="C1430" i="52069" s="1"/>
  <c r="G1429" i="52069"/>
  <c r="B1429" i="52069"/>
  <c r="A1429" i="52069"/>
  <c r="G1428" i="52069"/>
  <c r="B1428" i="52069"/>
  <c r="A1428" i="52069"/>
  <c r="C1428" i="52069" s="1"/>
  <c r="G1427" i="52069"/>
  <c r="B1427" i="52069"/>
  <c r="A1427" i="52069"/>
  <c r="G1426" i="52069"/>
  <c r="B1426" i="52069"/>
  <c r="A1426" i="52069"/>
  <c r="C1426" i="52069" s="1"/>
  <c r="G1425" i="52069"/>
  <c r="B1425" i="52069"/>
  <c r="A1425" i="52069"/>
  <c r="G1424" i="52069"/>
  <c r="B1424" i="52069"/>
  <c r="A1424" i="52069"/>
  <c r="C1424" i="52069" s="1"/>
  <c r="G1423" i="52069"/>
  <c r="B1423" i="52069"/>
  <c r="A1423" i="52069"/>
  <c r="G1422" i="52069"/>
  <c r="B1422" i="52069"/>
  <c r="A1422" i="52069"/>
  <c r="C1422" i="52069" s="1"/>
  <c r="G1421" i="52069"/>
  <c r="B1421" i="52069"/>
  <c r="A1421" i="52069"/>
  <c r="G1420" i="52069"/>
  <c r="B1420" i="52069"/>
  <c r="A1420" i="52069"/>
  <c r="C1420" i="52069" s="1"/>
  <c r="G1419" i="52069"/>
  <c r="B1419" i="52069"/>
  <c r="A1419" i="52069"/>
  <c r="G1418" i="52069"/>
  <c r="B1418" i="52069"/>
  <c r="A1418" i="52069"/>
  <c r="C1418" i="52069" s="1"/>
  <c r="G1417" i="52069"/>
  <c r="B1417" i="52069"/>
  <c r="A1417" i="52069"/>
  <c r="G1416" i="52069"/>
  <c r="B1416" i="52069"/>
  <c r="A1416" i="52069"/>
  <c r="C1416" i="52069" s="1"/>
  <c r="G1415" i="52069"/>
  <c r="B1415" i="52069"/>
  <c r="A1415" i="52069"/>
  <c r="G1414" i="52069"/>
  <c r="B1414" i="52069"/>
  <c r="A1414" i="52069"/>
  <c r="C1414" i="52069" s="1"/>
  <c r="G1413" i="52069"/>
  <c r="B1413" i="52069"/>
  <c r="A1413" i="52069"/>
  <c r="G1412" i="52069"/>
  <c r="B1412" i="52069"/>
  <c r="A1412" i="52069"/>
  <c r="C1412" i="52069" s="1"/>
  <c r="G1411" i="52069"/>
  <c r="B1411" i="52069"/>
  <c r="A1411" i="52069"/>
  <c r="G1410" i="52069"/>
  <c r="B1410" i="52069"/>
  <c r="A1410" i="52069"/>
  <c r="C1410" i="52069" s="1"/>
  <c r="G1409" i="52069"/>
  <c r="B1409" i="52069"/>
  <c r="A1409" i="52069"/>
  <c r="G1408" i="52069"/>
  <c r="B1408" i="52069"/>
  <c r="A1408" i="52069"/>
  <c r="C1408" i="52069" s="1"/>
  <c r="G1407" i="52069"/>
  <c r="B1407" i="52069"/>
  <c r="A1407" i="52069"/>
  <c r="G1406" i="52069"/>
  <c r="B1406" i="52069"/>
  <c r="A1406" i="52069"/>
  <c r="C1406" i="52069" s="1"/>
  <c r="G1405" i="52069"/>
  <c r="B1405" i="52069"/>
  <c r="A1405" i="52069"/>
  <c r="G1404" i="52069"/>
  <c r="B1404" i="52069"/>
  <c r="A1404" i="52069"/>
  <c r="C1404" i="52069" s="1"/>
  <c r="G1403" i="52069"/>
  <c r="B1403" i="52069"/>
  <c r="A1403" i="52069"/>
  <c r="G1402" i="52069"/>
  <c r="B1402" i="52069"/>
  <c r="A1402" i="52069"/>
  <c r="C1402" i="52069" s="1"/>
  <c r="G1401" i="52069"/>
  <c r="B1401" i="52069"/>
  <c r="A1401" i="52069"/>
  <c r="G1400" i="52069"/>
  <c r="B1400" i="52069"/>
  <c r="C1400" i="52069"/>
  <c r="G1399" i="52069"/>
  <c r="B1399" i="52069"/>
  <c r="A1399" i="52069"/>
  <c r="C1399" i="52069"/>
  <c r="G1398" i="52069"/>
  <c r="B1398" i="52069"/>
  <c r="A1398" i="52069"/>
  <c r="C1398" i="52069"/>
  <c r="G1397" i="52069"/>
  <c r="B1397" i="52069"/>
  <c r="A1397" i="52069"/>
  <c r="C1397" i="52069"/>
  <c r="G1396" i="52069"/>
  <c r="B1396" i="52069"/>
  <c r="A1396" i="52069"/>
  <c r="C1396" i="52069"/>
  <c r="G1395" i="52069"/>
  <c r="B1395" i="52069"/>
  <c r="A1395" i="52069"/>
  <c r="C1395" i="52069"/>
  <c r="G1394" i="52069"/>
  <c r="B1394" i="52069"/>
  <c r="A1394" i="52069"/>
  <c r="C1394" i="52069"/>
  <c r="G1393" i="52069"/>
  <c r="B1393" i="52069"/>
  <c r="A1393" i="52069"/>
  <c r="C1393" i="52069"/>
  <c r="G1392" i="52069"/>
  <c r="B1392" i="52069"/>
  <c r="A1392" i="52069"/>
  <c r="C1392" i="52069"/>
  <c r="G1391" i="52069"/>
  <c r="B1391" i="52069"/>
  <c r="A1391" i="52069"/>
  <c r="C1391" i="52069"/>
  <c r="G1390" i="52069"/>
  <c r="B1390" i="52069"/>
  <c r="A1390" i="52069"/>
  <c r="C1390" i="52069"/>
  <c r="G1389" i="52069"/>
  <c r="B1389" i="52069"/>
  <c r="A1389" i="52069"/>
  <c r="C1389" i="52069"/>
  <c r="G1388" i="52069"/>
  <c r="B1388" i="52069"/>
  <c r="A1388" i="52069"/>
  <c r="C1388" i="52069"/>
  <c r="G1387" i="52069"/>
  <c r="B1387" i="52069"/>
  <c r="A1387" i="52069"/>
  <c r="C1387" i="52069"/>
  <c r="G1386" i="52069"/>
  <c r="B1386" i="52069"/>
  <c r="A1386" i="52069"/>
  <c r="C1386" i="52069"/>
  <c r="G1385" i="52069"/>
  <c r="B1385" i="52069"/>
  <c r="A1385" i="52069"/>
  <c r="C1385" i="52069"/>
  <c r="G1384" i="52069"/>
  <c r="B1384" i="52069"/>
  <c r="A1384" i="52069"/>
  <c r="C1384" i="52069"/>
  <c r="G1383" i="52069"/>
  <c r="B1383" i="52069"/>
  <c r="A1383" i="52069"/>
  <c r="C1383" i="52069"/>
  <c r="G1382" i="52069"/>
  <c r="B1382" i="52069"/>
  <c r="A1382" i="52069"/>
  <c r="C1382" i="52069"/>
  <c r="G1381" i="52069"/>
  <c r="B1381" i="52069"/>
  <c r="A1381" i="52069"/>
  <c r="C1381" i="52069"/>
  <c r="G1380" i="52069"/>
  <c r="B1380" i="52069"/>
  <c r="A1380" i="52069"/>
  <c r="C1380" i="52069"/>
  <c r="G1379" i="52069"/>
  <c r="B1379" i="52069"/>
  <c r="A1379" i="52069"/>
  <c r="C1379" i="52069"/>
  <c r="G1378" i="52069"/>
  <c r="B1378" i="52069"/>
  <c r="A1378" i="52069"/>
  <c r="C1378" i="52069"/>
  <c r="G1377" i="52069"/>
  <c r="B1377" i="52069"/>
  <c r="A1377" i="52069"/>
  <c r="C1377" i="52069"/>
  <c r="G1376" i="52069"/>
  <c r="B1376" i="52069"/>
  <c r="A1376" i="52069"/>
  <c r="C1376" i="52069"/>
  <c r="G1375" i="52069"/>
  <c r="B1375" i="52069"/>
  <c r="A1375" i="52069"/>
  <c r="C1375" i="52069"/>
  <c r="G1374" i="52069"/>
  <c r="B1374" i="52069"/>
  <c r="A1374" i="52069"/>
  <c r="C1374" i="52069"/>
  <c r="G1373" i="52069"/>
  <c r="B1373" i="52069"/>
  <c r="A1373" i="52069"/>
  <c r="C1373" i="52069"/>
  <c r="G1372" i="52069"/>
  <c r="B1372" i="52069"/>
  <c r="A1372" i="52069"/>
  <c r="C1372" i="52069"/>
  <c r="G1371" i="52069"/>
  <c r="B1371" i="52069"/>
  <c r="A1371" i="52069"/>
  <c r="C1371" i="52069"/>
  <c r="G1370" i="52069"/>
  <c r="B1370" i="52069"/>
  <c r="A1370" i="52069"/>
  <c r="C1370" i="52069"/>
  <c r="G1369" i="52069"/>
  <c r="B1369" i="52069"/>
  <c r="A1369" i="52069"/>
  <c r="C1369" i="52069"/>
  <c r="G1368" i="52069"/>
  <c r="B1368" i="52069"/>
  <c r="A1368" i="52069"/>
  <c r="C1368" i="52069"/>
  <c r="G1367" i="52069"/>
  <c r="B1367" i="52069"/>
  <c r="A1367" i="52069"/>
  <c r="C1367" i="52069"/>
  <c r="G1366" i="52069"/>
  <c r="B1366" i="52069"/>
  <c r="A1366" i="52069"/>
  <c r="C1366" i="52069"/>
  <c r="G1365" i="52069"/>
  <c r="B1365" i="52069"/>
  <c r="A1365" i="52069"/>
  <c r="C1365" i="52069"/>
  <c r="G1364" i="52069"/>
  <c r="B1364" i="52069"/>
  <c r="A1364" i="52069"/>
  <c r="C1364" i="52069"/>
  <c r="G1363" i="52069"/>
  <c r="B1363" i="52069"/>
  <c r="A1363" i="52069"/>
  <c r="C1363" i="52069"/>
  <c r="G1362" i="52069"/>
  <c r="B1362" i="52069"/>
  <c r="A1362" i="52069"/>
  <c r="C1362" i="52069"/>
  <c r="G1361" i="52069"/>
  <c r="B1361" i="52069"/>
  <c r="A1361" i="52069"/>
  <c r="C1361" i="52069"/>
  <c r="G1360" i="52069"/>
  <c r="B1360" i="52069"/>
  <c r="A1360" i="52069"/>
  <c r="C1360" i="52069"/>
  <c r="G1359" i="52069"/>
  <c r="B1359" i="52069"/>
  <c r="A1359" i="52069"/>
  <c r="C1359" i="52069"/>
  <c r="G1358" i="52069"/>
  <c r="B1358" i="52069"/>
  <c r="A1358" i="52069"/>
  <c r="C1358" i="52069"/>
  <c r="G1357" i="52069"/>
  <c r="B1357" i="52069"/>
  <c r="A1357" i="52069"/>
  <c r="C1357" i="52069"/>
  <c r="G1356" i="52069"/>
  <c r="B1356" i="52069"/>
  <c r="A1356" i="52069"/>
  <c r="C1356" i="52069"/>
  <c r="G1355" i="52069"/>
  <c r="B1355" i="52069"/>
  <c r="A1355" i="52069"/>
  <c r="C1355" i="52069"/>
  <c r="G1354" i="52069"/>
  <c r="B1354" i="52069"/>
  <c r="A1354" i="52069"/>
  <c r="C1354" i="52069"/>
  <c r="G1353" i="52069"/>
  <c r="B1353" i="52069"/>
  <c r="A1353" i="52069"/>
  <c r="C1353" i="52069"/>
  <c r="G1352" i="52069"/>
  <c r="B1352" i="52069"/>
  <c r="A1352" i="52069"/>
  <c r="C1352" i="52069"/>
  <c r="G1351" i="52069"/>
  <c r="B1351" i="52069"/>
  <c r="A1351" i="52069"/>
  <c r="C1351" i="52069"/>
  <c r="G1350" i="52069"/>
  <c r="B1350" i="52069"/>
  <c r="A1350" i="52069"/>
  <c r="C1350" i="52069"/>
  <c r="G1349" i="52069"/>
  <c r="B1349" i="52069"/>
  <c r="A1349" i="52069"/>
  <c r="C1349" i="52069"/>
  <c r="G1348" i="52069"/>
  <c r="B1348" i="52069"/>
  <c r="A1348" i="52069"/>
  <c r="C1348" i="52069"/>
  <c r="G1347" i="52069"/>
  <c r="B1347" i="52069"/>
  <c r="A1347" i="52069"/>
  <c r="C1347" i="52069"/>
  <c r="G1346" i="52069"/>
  <c r="B1346" i="52069"/>
  <c r="A1346" i="52069"/>
  <c r="C1346" i="52069"/>
  <c r="G1345" i="52069"/>
  <c r="B1345" i="52069"/>
  <c r="A1345" i="52069"/>
  <c r="C1345" i="52069"/>
  <c r="G1344" i="52069"/>
  <c r="B1344" i="52069"/>
  <c r="A1344" i="52069"/>
  <c r="C1344" i="52069"/>
  <c r="G1343" i="52069"/>
  <c r="B1343" i="52069"/>
  <c r="A1343" i="52069"/>
  <c r="C1343" i="52069"/>
  <c r="G1342" i="52069"/>
  <c r="B1342" i="52069"/>
  <c r="A1342" i="52069"/>
  <c r="C1342" i="52069"/>
  <c r="G1341" i="52069"/>
  <c r="B1341" i="52069"/>
  <c r="A1341" i="52069"/>
  <c r="C1341" i="52069"/>
  <c r="G1340" i="52069"/>
  <c r="B1340" i="52069"/>
  <c r="A1340" i="52069"/>
  <c r="C1340" i="52069"/>
  <c r="G1339" i="52069"/>
  <c r="B1339" i="52069"/>
  <c r="A1339" i="52069"/>
  <c r="C1339" i="52069"/>
  <c r="G1338" i="52069"/>
  <c r="B1338" i="52069"/>
  <c r="A1338" i="52069"/>
  <c r="C1338" i="52069"/>
  <c r="G1337" i="52069"/>
  <c r="B1337" i="52069"/>
  <c r="A1337" i="52069"/>
  <c r="C1337" i="52069"/>
  <c r="G1336" i="52069"/>
  <c r="B1336" i="52069"/>
  <c r="A1336" i="52069"/>
  <c r="C1336" i="52069"/>
  <c r="G1335" i="52069"/>
  <c r="B1335" i="52069"/>
  <c r="A1335" i="52069"/>
  <c r="C1335" i="52069"/>
  <c r="G1334" i="52069"/>
  <c r="B1334" i="52069"/>
  <c r="A1334" i="52069"/>
  <c r="C1334" i="52069"/>
  <c r="G1333" i="52069"/>
  <c r="B1333" i="52069"/>
  <c r="A1333" i="52069"/>
  <c r="C1333" i="52069"/>
  <c r="G1332" i="52069"/>
  <c r="B1332" i="52069"/>
  <c r="A1332" i="52069"/>
  <c r="C1332" i="52069"/>
  <c r="G1331" i="52069"/>
  <c r="B1331" i="52069"/>
  <c r="A1331" i="52069"/>
  <c r="C1331" i="52069"/>
  <c r="G1330" i="52069"/>
  <c r="B1330" i="52069"/>
  <c r="A1330" i="52069"/>
  <c r="C1330" i="52069"/>
  <c r="G1329" i="52069"/>
  <c r="B1329" i="52069"/>
  <c r="A1329" i="52069"/>
  <c r="C1329" i="52069"/>
  <c r="G1328" i="52069"/>
  <c r="B1328" i="52069"/>
  <c r="A1328" i="52069"/>
  <c r="C1328" i="52069"/>
  <c r="G1327" i="52069"/>
  <c r="B1327" i="52069"/>
  <c r="A1327" i="52069"/>
  <c r="C1327" i="52069"/>
  <c r="G1326" i="52069"/>
  <c r="B1326" i="52069"/>
  <c r="A1326" i="52069"/>
  <c r="C1326" i="52069"/>
  <c r="G1325" i="52069"/>
  <c r="B1325" i="52069"/>
  <c r="A1325" i="52069"/>
  <c r="C1325" i="52069"/>
  <c r="G1324" i="52069"/>
  <c r="B1324" i="52069"/>
  <c r="A1324" i="52069"/>
  <c r="C1324" i="52069"/>
  <c r="G1323" i="52069"/>
  <c r="B1323" i="52069"/>
  <c r="A1323" i="52069"/>
  <c r="C1323" i="52069"/>
  <c r="G1322" i="52069"/>
  <c r="B1322" i="52069"/>
  <c r="A1322" i="52069"/>
  <c r="C1322" i="52069"/>
  <c r="G1321" i="52069"/>
  <c r="B1321" i="52069"/>
  <c r="A1321" i="52069"/>
  <c r="C1321" i="52069"/>
  <c r="G1320" i="52069"/>
  <c r="B1320" i="52069"/>
  <c r="A1320" i="52069"/>
  <c r="C1320" i="52069"/>
  <c r="G1319" i="52069"/>
  <c r="B1319" i="52069"/>
  <c r="A1319" i="52069"/>
  <c r="C1319" i="52069"/>
  <c r="G1318" i="52069"/>
  <c r="B1318" i="52069"/>
  <c r="A1318" i="52069"/>
  <c r="C1318" i="52069"/>
  <c r="G1317" i="52069"/>
  <c r="B1317" i="52069"/>
  <c r="A1317" i="52069"/>
  <c r="C1317" i="52069"/>
  <c r="G1316" i="52069"/>
  <c r="B1316" i="52069"/>
  <c r="A1316" i="52069"/>
  <c r="C1316" i="52069"/>
  <c r="G1315" i="52069"/>
  <c r="B1315" i="52069"/>
  <c r="A1315" i="52069"/>
  <c r="C1315" i="52069"/>
  <c r="G1314" i="52069"/>
  <c r="B1314" i="52069"/>
  <c r="A1314" i="52069"/>
  <c r="C1314" i="52069"/>
  <c r="G1313" i="52069"/>
  <c r="B1313" i="52069"/>
  <c r="A1313" i="52069"/>
  <c r="C1313" i="52069"/>
  <c r="G1312" i="52069"/>
  <c r="B1312" i="52069"/>
  <c r="A1312" i="52069"/>
  <c r="C1312" i="52069"/>
  <c r="G1311" i="52069"/>
  <c r="B1311" i="52069"/>
  <c r="A1311" i="52069"/>
  <c r="C1311" i="52069"/>
  <c r="G1310" i="52069"/>
  <c r="B1310" i="52069"/>
  <c r="A1310" i="52069"/>
  <c r="C1310" i="52069"/>
  <c r="G1309" i="52069"/>
  <c r="B1309" i="52069"/>
  <c r="A1309" i="52069"/>
  <c r="C1309" i="52069"/>
  <c r="G1308" i="52069"/>
  <c r="B1308" i="52069"/>
  <c r="A1308" i="52069"/>
  <c r="C1308" i="52069"/>
  <c r="G1307" i="52069"/>
  <c r="B1307" i="52069"/>
  <c r="A1307" i="52069"/>
  <c r="C1307" i="52069"/>
  <c r="G1306" i="52069"/>
  <c r="B1306" i="52069"/>
  <c r="A1306" i="52069"/>
  <c r="C1306" i="52069"/>
  <c r="G1305" i="52069"/>
  <c r="B1305" i="52069"/>
  <c r="A1305" i="52069"/>
  <c r="C1305" i="52069"/>
  <c r="G1304" i="52069"/>
  <c r="B1304" i="52069"/>
  <c r="A1304" i="52069"/>
  <c r="C1304" i="52069"/>
  <c r="G1303" i="52069"/>
  <c r="B1303" i="52069"/>
  <c r="A1303" i="52069"/>
  <c r="C1303" i="52069"/>
  <c r="G1302" i="52069"/>
  <c r="B1302" i="52069"/>
  <c r="A1302" i="52069"/>
  <c r="C1302" i="52069"/>
  <c r="G1301" i="52069"/>
  <c r="B1301" i="52069"/>
  <c r="A1301" i="52069"/>
  <c r="C1301" i="52069"/>
  <c r="G1300" i="52069"/>
  <c r="B1300" i="52069"/>
  <c r="A1300" i="52069"/>
  <c r="C1300" i="52069"/>
  <c r="G1299" i="52069"/>
  <c r="B1299" i="52069"/>
  <c r="A1299" i="52069"/>
  <c r="C1299" i="52069"/>
  <c r="G1298" i="52069"/>
  <c r="B1298" i="52069"/>
  <c r="A1298" i="52069"/>
  <c r="C1298" i="52069"/>
  <c r="G1297" i="52069"/>
  <c r="B1297" i="52069"/>
  <c r="A1297" i="52069"/>
  <c r="C1297" i="52069"/>
  <c r="G1296" i="52069"/>
  <c r="B1296" i="52069"/>
  <c r="A1296" i="52069"/>
  <c r="C1296" i="52069"/>
  <c r="G1295" i="52069"/>
  <c r="B1295" i="52069"/>
  <c r="A1295" i="52069"/>
  <c r="C1295" i="52069"/>
  <c r="G1294" i="52069"/>
  <c r="B1294" i="52069"/>
  <c r="A1294" i="52069"/>
  <c r="C1294" i="52069"/>
  <c r="G1293" i="52069"/>
  <c r="B1293" i="52069"/>
  <c r="A1293" i="52069"/>
  <c r="C1293" i="52069"/>
  <c r="G1292" i="52069"/>
  <c r="B1292" i="52069"/>
  <c r="A1292" i="52069"/>
  <c r="C1292" i="52069"/>
  <c r="G1291" i="52069"/>
  <c r="B1291" i="52069"/>
  <c r="A1291" i="52069"/>
  <c r="C1291" i="52069"/>
  <c r="G1290" i="52069"/>
  <c r="B1290" i="52069"/>
  <c r="A1290" i="52069"/>
  <c r="C1290" i="52069"/>
  <c r="G1289" i="52069"/>
  <c r="B1289" i="52069"/>
  <c r="A1289" i="52069"/>
  <c r="C1289" i="52069"/>
  <c r="G1288" i="52069"/>
  <c r="B1288" i="52069"/>
  <c r="A1288" i="52069"/>
  <c r="C1288" i="52069"/>
  <c r="G1287" i="52069"/>
  <c r="B1287" i="52069"/>
  <c r="A1287" i="52069"/>
  <c r="C1287" i="52069"/>
  <c r="G1286" i="52069"/>
  <c r="B1286" i="52069"/>
  <c r="A1286" i="52069"/>
  <c r="C1286" i="52069"/>
  <c r="G1285" i="52069"/>
  <c r="B1285" i="52069"/>
  <c r="A1285" i="52069"/>
  <c r="C1285" i="52069"/>
  <c r="G1284" i="52069"/>
  <c r="B1284" i="52069"/>
  <c r="A1284" i="52069"/>
  <c r="C1284" i="52069"/>
  <c r="G1283" i="52069"/>
  <c r="B1283" i="52069"/>
  <c r="A1283" i="52069"/>
  <c r="C1283" i="52069"/>
  <c r="G1282" i="52069"/>
  <c r="B1282" i="52069"/>
  <c r="A1282" i="52069"/>
  <c r="C1282" i="52069"/>
  <c r="G1281" i="52069"/>
  <c r="B1281" i="52069"/>
  <c r="A1281" i="52069"/>
  <c r="C1281" i="52069"/>
  <c r="G1280" i="52069"/>
  <c r="B1280" i="52069"/>
  <c r="A1280" i="52069"/>
  <c r="C1280" i="52069"/>
  <c r="G1279" i="52069"/>
  <c r="B1279" i="52069"/>
  <c r="A1279" i="52069"/>
  <c r="C1279" i="52069"/>
  <c r="G1278" i="52069"/>
  <c r="B1278" i="52069"/>
  <c r="A1278" i="52069"/>
  <c r="C1278" i="52069"/>
  <c r="G1277" i="52069"/>
  <c r="B1277" i="52069"/>
  <c r="A1277" i="52069"/>
  <c r="C1277" i="52069"/>
  <c r="G1276" i="52069"/>
  <c r="B1276" i="52069"/>
  <c r="A1276" i="52069"/>
  <c r="C1276" i="52069"/>
  <c r="G1275" i="52069"/>
  <c r="B1275" i="52069"/>
  <c r="A1275" i="52069"/>
  <c r="C1275" i="52069"/>
  <c r="G1274" i="52069"/>
  <c r="B1274" i="52069"/>
  <c r="A1274" i="52069"/>
  <c r="C1274" i="52069"/>
  <c r="G1273" i="52069"/>
  <c r="B1273" i="52069"/>
  <c r="A1273" i="52069"/>
  <c r="C1273" i="52069"/>
  <c r="G1272" i="52069"/>
  <c r="B1272" i="52069"/>
  <c r="A1272" i="52069"/>
  <c r="C1272" i="52069"/>
  <c r="G1271" i="52069"/>
  <c r="B1271" i="52069"/>
  <c r="A1271" i="52069"/>
  <c r="C1271" i="52069"/>
  <c r="G1270" i="52069"/>
  <c r="B1270" i="52069"/>
  <c r="A1270" i="52069"/>
  <c r="C1270" i="52069"/>
  <c r="G1269" i="52069"/>
  <c r="B1269" i="52069"/>
  <c r="A1269" i="52069"/>
  <c r="C1269" i="52069"/>
  <c r="G1268" i="52069"/>
  <c r="B1268" i="52069"/>
  <c r="A1268" i="52069"/>
  <c r="C1268" i="52069"/>
  <c r="G1267" i="52069"/>
  <c r="B1267" i="52069"/>
  <c r="A1267" i="52069"/>
  <c r="C1267" i="52069"/>
  <c r="G1266" i="52069"/>
  <c r="B1266" i="52069"/>
  <c r="A1266" i="52069"/>
  <c r="C1266" i="52069"/>
  <c r="G1265" i="52069"/>
  <c r="B1265" i="52069"/>
  <c r="A1265" i="52069"/>
  <c r="C1265" i="52069"/>
  <c r="G1264" i="52069"/>
  <c r="B1264" i="52069"/>
  <c r="A1264" i="52069"/>
  <c r="C1264" i="52069"/>
  <c r="G1263" i="52069"/>
  <c r="B1263" i="52069"/>
  <c r="A1263" i="52069"/>
  <c r="C1263" i="52069"/>
  <c r="G1262" i="52069"/>
  <c r="B1262" i="52069"/>
  <c r="A1262" i="52069"/>
  <c r="C1262" i="52069"/>
  <c r="G1261" i="52069"/>
  <c r="B1261" i="52069"/>
  <c r="A1261" i="52069"/>
  <c r="C1261" i="52069"/>
  <c r="G1260" i="52069"/>
  <c r="B1260" i="52069"/>
  <c r="A1260" i="52069"/>
  <c r="C1260" i="52069"/>
  <c r="G1259" i="52069"/>
  <c r="B1259" i="52069"/>
  <c r="A1259" i="52069"/>
  <c r="C1259" i="52069"/>
  <c r="G1258" i="52069"/>
  <c r="B1258" i="52069"/>
  <c r="A1258" i="52069"/>
  <c r="C1258" i="52069"/>
  <c r="G1257" i="52069"/>
  <c r="B1257" i="52069"/>
  <c r="A1257" i="52069"/>
  <c r="C1257" i="52069"/>
  <c r="G1256" i="52069"/>
  <c r="B1256" i="52069"/>
  <c r="A1256" i="52069"/>
  <c r="C1256" i="52069"/>
  <c r="G1255" i="52069"/>
  <c r="B1255" i="52069"/>
  <c r="A1255" i="52069"/>
  <c r="C1255" i="52069"/>
  <c r="G1254" i="52069"/>
  <c r="B1254" i="52069"/>
  <c r="A1254" i="52069"/>
  <c r="C1254" i="52069"/>
  <c r="G1253" i="52069"/>
  <c r="B1253" i="52069"/>
  <c r="A1253" i="52069"/>
  <c r="C1253" i="52069"/>
  <c r="G1252" i="52069"/>
  <c r="B1252" i="52069"/>
  <c r="A1252" i="52069"/>
  <c r="C1252" i="52069"/>
  <c r="G1251" i="52069"/>
  <c r="B1251" i="52069"/>
  <c r="A1251" i="52069"/>
  <c r="C1251" i="52069"/>
  <c r="G1250" i="52069"/>
  <c r="B1250" i="52069"/>
  <c r="A1250" i="52069"/>
  <c r="C1250" i="52069"/>
  <c r="G1249" i="52069"/>
  <c r="B1249" i="52069"/>
  <c r="A1249" i="52069"/>
  <c r="C1249" i="52069"/>
  <c r="G1248" i="52069"/>
  <c r="B1248" i="52069"/>
  <c r="A1248" i="52069"/>
  <c r="C1248" i="52069"/>
  <c r="G1247" i="52069"/>
  <c r="B1247" i="52069"/>
  <c r="A1247" i="52069"/>
  <c r="C1247" i="52069"/>
  <c r="G1246" i="52069"/>
  <c r="B1246" i="52069"/>
  <c r="A1246" i="52069"/>
  <c r="C1246" i="52069"/>
  <c r="G1245" i="52069"/>
  <c r="B1245" i="52069"/>
  <c r="A1245" i="52069"/>
  <c r="C1245" i="52069"/>
  <c r="G1244" i="52069"/>
  <c r="B1244" i="52069"/>
  <c r="A1244" i="52069"/>
  <c r="C1244" i="52069"/>
  <c r="G1243" i="52069"/>
  <c r="B1243" i="52069"/>
  <c r="A1243" i="52069"/>
  <c r="C1243" i="52069"/>
  <c r="G1242" i="52069"/>
  <c r="B1242" i="52069"/>
  <c r="A1242" i="52069"/>
  <c r="C1242" i="52069"/>
  <c r="G1241" i="52069"/>
  <c r="B1241" i="52069"/>
  <c r="A1241" i="52069"/>
  <c r="C1241" i="52069"/>
  <c r="G1240" i="52069"/>
  <c r="B1240" i="52069"/>
  <c r="A1240" i="52069"/>
  <c r="C1240" i="52069"/>
  <c r="G1239" i="52069"/>
  <c r="B1239" i="52069"/>
  <c r="A1239" i="52069"/>
  <c r="C1239" i="52069"/>
  <c r="G1238" i="52069"/>
  <c r="B1238" i="52069"/>
  <c r="A1238" i="52069"/>
  <c r="C1238" i="52069"/>
  <c r="G1237" i="52069"/>
  <c r="B1237" i="52069"/>
  <c r="A1237" i="52069"/>
  <c r="C1237" i="52069"/>
  <c r="G1236" i="52069"/>
  <c r="B1236" i="52069"/>
  <c r="A1236" i="52069"/>
  <c r="C1236" i="52069"/>
  <c r="G1235" i="52069"/>
  <c r="B1235" i="52069"/>
  <c r="A1235" i="52069"/>
  <c r="C1235" i="52069"/>
  <c r="G1234" i="52069"/>
  <c r="B1234" i="52069"/>
  <c r="A1234" i="52069"/>
  <c r="C1234" i="52069"/>
  <c r="G1233" i="52069"/>
  <c r="B1233" i="52069"/>
  <c r="A1233" i="52069"/>
  <c r="C1233" i="52069"/>
  <c r="G1232" i="52069"/>
  <c r="B1232" i="52069"/>
  <c r="A1232" i="52069"/>
  <c r="C1232" i="52069"/>
  <c r="G1231" i="52069"/>
  <c r="B1231" i="52069"/>
  <c r="A1231" i="52069"/>
  <c r="C1231" i="52069"/>
  <c r="G1230" i="52069"/>
  <c r="B1230" i="52069"/>
  <c r="A1230" i="52069"/>
  <c r="C1230" i="52069"/>
  <c r="G1229" i="52069"/>
  <c r="B1229" i="52069"/>
  <c r="A1229" i="52069"/>
  <c r="C1229" i="52069"/>
  <c r="G1228" i="52069"/>
  <c r="B1228" i="52069"/>
  <c r="A1228" i="52069"/>
  <c r="C1228" i="52069"/>
  <c r="G1227" i="52069"/>
  <c r="B1227" i="52069"/>
  <c r="A1227" i="52069"/>
  <c r="C1227" i="52069"/>
  <c r="G1226" i="52069"/>
  <c r="B1226" i="52069"/>
  <c r="A1226" i="52069"/>
  <c r="C1226" i="52069"/>
  <c r="G1225" i="52069"/>
  <c r="B1225" i="52069"/>
  <c r="A1225" i="52069"/>
  <c r="C1225" i="52069"/>
  <c r="G1224" i="52069"/>
  <c r="B1224" i="52069"/>
  <c r="A1224" i="52069"/>
  <c r="C1224" i="52069"/>
  <c r="G1223" i="52069"/>
  <c r="B1223" i="52069"/>
  <c r="A1223" i="52069"/>
  <c r="C1223" i="52069"/>
  <c r="G1222" i="52069"/>
  <c r="B1222" i="52069"/>
  <c r="A1222" i="52069"/>
  <c r="C1222" i="52069"/>
  <c r="G1221" i="52069"/>
  <c r="B1221" i="52069"/>
  <c r="A1221" i="52069"/>
  <c r="C1221" i="52069"/>
  <c r="G1220" i="52069"/>
  <c r="B1220" i="52069"/>
  <c r="A1220" i="52069"/>
  <c r="C1220" i="52069"/>
  <c r="G1219" i="52069"/>
  <c r="B1219" i="52069"/>
  <c r="A1219" i="52069"/>
  <c r="C1219" i="52069"/>
  <c r="G1218" i="52069"/>
  <c r="B1218" i="52069"/>
  <c r="A1218" i="52069"/>
  <c r="C1218" i="52069"/>
  <c r="G1217" i="52069"/>
  <c r="B1217" i="52069"/>
  <c r="A1217" i="52069"/>
  <c r="C1217" i="52069"/>
  <c r="G1216" i="52069"/>
  <c r="B1216" i="52069"/>
  <c r="A1216" i="52069"/>
  <c r="C1216" i="52069"/>
  <c r="G1215" i="52069"/>
  <c r="B1215" i="52069"/>
  <c r="A1215" i="52069"/>
  <c r="C1215" i="52069"/>
  <c r="G1214" i="52069"/>
  <c r="B1214" i="52069"/>
  <c r="A1214" i="52069"/>
  <c r="C1214" i="52069"/>
  <c r="G1213" i="52069"/>
  <c r="B1213" i="52069"/>
  <c r="A1213" i="52069"/>
  <c r="C1213" i="52069"/>
  <c r="G1212" i="52069"/>
  <c r="B1212" i="52069"/>
  <c r="A1212" i="52069"/>
  <c r="C1212" i="52069"/>
  <c r="G1211" i="52069"/>
  <c r="B1211" i="52069"/>
  <c r="A1211" i="52069"/>
  <c r="C1211" i="52069"/>
  <c r="G1210" i="52069"/>
  <c r="B1210" i="52069"/>
  <c r="A1210" i="52069"/>
  <c r="C1210" i="52069"/>
  <c r="G1209" i="52069"/>
  <c r="B1209" i="52069"/>
  <c r="A1209" i="52069"/>
  <c r="C1209" i="52069"/>
  <c r="G1208" i="52069"/>
  <c r="B1208" i="52069"/>
  <c r="A1208" i="52069"/>
  <c r="C1208" i="52069"/>
  <c r="G1207" i="52069"/>
  <c r="B1207" i="52069"/>
  <c r="A1207" i="52069"/>
  <c r="C1207" i="52069"/>
  <c r="G1206" i="52069"/>
  <c r="B1206" i="52069"/>
  <c r="A1206" i="52069"/>
  <c r="C1206" i="52069"/>
  <c r="G1205" i="52069"/>
  <c r="B1205" i="52069"/>
  <c r="A1205" i="52069"/>
  <c r="C1205" i="52069"/>
  <c r="G1204" i="52069"/>
  <c r="B1204" i="52069"/>
  <c r="A1204" i="52069"/>
  <c r="C1204" i="52069"/>
  <c r="G1203" i="52069"/>
  <c r="B1203" i="52069"/>
  <c r="A1203" i="52069"/>
  <c r="C1203" i="52069"/>
  <c r="G1202" i="52069"/>
  <c r="B1202" i="52069"/>
  <c r="A1202" i="52069"/>
  <c r="C1202" i="52069"/>
  <c r="G1201" i="52069"/>
  <c r="B1201" i="52069"/>
  <c r="A1201" i="52069"/>
  <c r="C1201" i="52069"/>
  <c r="G1200" i="52069"/>
  <c r="B1200" i="52069"/>
  <c r="A1200" i="52069"/>
  <c r="C1200" i="52069"/>
  <c r="G1199" i="52069"/>
  <c r="B1199" i="52069"/>
  <c r="A1199" i="52069"/>
  <c r="C1199" i="52069"/>
  <c r="G1198" i="52069"/>
  <c r="B1198" i="52069"/>
  <c r="A1198" i="52069"/>
  <c r="C1198" i="52069"/>
  <c r="G1197" i="52069"/>
  <c r="B1197" i="52069"/>
  <c r="A1197" i="52069"/>
  <c r="C1197" i="52069"/>
  <c r="G1196" i="52069"/>
  <c r="B1196" i="52069"/>
  <c r="A1196" i="52069"/>
  <c r="C1196" i="52069"/>
  <c r="G1195" i="52069"/>
  <c r="B1195" i="52069"/>
  <c r="A1195" i="52069"/>
  <c r="C1195" i="52069"/>
  <c r="G1194" i="52069"/>
  <c r="B1194" i="52069"/>
  <c r="A1194" i="52069"/>
  <c r="C1194" i="52069"/>
  <c r="G1193" i="52069"/>
  <c r="B1193" i="52069"/>
  <c r="A1193" i="52069"/>
  <c r="C1193" i="52069"/>
  <c r="G1192" i="52069"/>
  <c r="B1192" i="52069"/>
  <c r="A1192" i="52069"/>
  <c r="C1192" i="52069"/>
  <c r="G1191" i="52069"/>
  <c r="B1191" i="52069"/>
  <c r="A1191" i="52069"/>
  <c r="C1191" i="52069"/>
  <c r="G1190" i="52069"/>
  <c r="B1190" i="52069"/>
  <c r="A1190" i="52069"/>
  <c r="C1190" i="52069"/>
  <c r="G1189" i="52069"/>
  <c r="B1189" i="52069"/>
  <c r="A1189" i="52069"/>
  <c r="C1189" i="52069"/>
  <c r="G1188" i="52069"/>
  <c r="B1188" i="52069"/>
  <c r="A1188" i="52069"/>
  <c r="C1188" i="52069"/>
  <c r="G1187" i="52069"/>
  <c r="B1187" i="52069"/>
  <c r="A1187" i="52069"/>
  <c r="C1187" i="52069"/>
  <c r="G1186" i="52069"/>
  <c r="B1186" i="52069"/>
  <c r="A1186" i="52069"/>
  <c r="C1186" i="52069"/>
  <c r="G1185" i="52069"/>
  <c r="B1185" i="52069"/>
  <c r="A1185" i="52069"/>
  <c r="C1185" i="52069"/>
  <c r="G1184" i="52069"/>
  <c r="B1184" i="52069"/>
  <c r="A1184" i="52069"/>
  <c r="C1184" i="52069"/>
  <c r="G1183" i="52069"/>
  <c r="B1183" i="52069"/>
  <c r="A1183" i="52069"/>
  <c r="C1183" i="52069"/>
  <c r="G1182" i="52069"/>
  <c r="B1182" i="52069"/>
  <c r="A1182" i="52069"/>
  <c r="C1182" i="52069"/>
  <c r="G1181" i="52069"/>
  <c r="B1181" i="52069"/>
  <c r="A1181" i="52069"/>
  <c r="C1181" i="52069"/>
  <c r="G1180" i="52069"/>
  <c r="B1180" i="52069"/>
  <c r="A1180" i="52069"/>
  <c r="C1180" i="52069"/>
  <c r="G1179" i="52069"/>
  <c r="B1179" i="52069"/>
  <c r="A1179" i="52069"/>
  <c r="C1179" i="52069"/>
  <c r="G1178" i="52069"/>
  <c r="B1178" i="52069"/>
  <c r="A1178" i="52069"/>
  <c r="C1178" i="52069"/>
  <c r="G1177" i="52069"/>
  <c r="B1177" i="52069"/>
  <c r="A1177" i="52069"/>
  <c r="C1177" i="52069"/>
  <c r="G1176" i="52069"/>
  <c r="B1176" i="52069"/>
  <c r="A1176" i="52069"/>
  <c r="C1176" i="52069"/>
  <c r="G1175" i="52069"/>
  <c r="B1175" i="52069"/>
  <c r="A1175" i="52069"/>
  <c r="C1175" i="52069"/>
  <c r="G1174" i="52069"/>
  <c r="B1174" i="52069"/>
  <c r="A1174" i="52069"/>
  <c r="C1174" i="52069"/>
  <c r="G1173" i="52069"/>
  <c r="B1173" i="52069"/>
  <c r="A1173" i="52069"/>
  <c r="C1173" i="52069"/>
  <c r="G1172" i="52069"/>
  <c r="B1172" i="52069"/>
  <c r="A1172" i="52069"/>
  <c r="C1172" i="52069"/>
  <c r="G1171" i="52069"/>
  <c r="B1171" i="52069"/>
  <c r="A1171" i="52069"/>
  <c r="C1171" i="52069"/>
  <c r="G1170" i="52069"/>
  <c r="B1170" i="52069"/>
  <c r="A1170" i="52069"/>
  <c r="C1170" i="52069"/>
  <c r="G1169" i="52069"/>
  <c r="B1169" i="52069"/>
  <c r="A1169" i="52069"/>
  <c r="C1169" i="52069"/>
  <c r="G1168" i="52069"/>
  <c r="B1168" i="52069"/>
  <c r="A1168" i="52069"/>
  <c r="G1167" i="52069"/>
  <c r="B1167" i="52069"/>
  <c r="A1167" i="52069"/>
  <c r="C1167" i="52069" s="1"/>
  <c r="G1166" i="52069"/>
  <c r="B1166" i="52069"/>
  <c r="A1166" i="52069"/>
  <c r="G1165" i="52069"/>
  <c r="B1165" i="52069"/>
  <c r="A1165" i="52069"/>
  <c r="C1165" i="52069" s="1"/>
  <c r="G1164" i="52069"/>
  <c r="B1164" i="52069"/>
  <c r="A1164" i="52069"/>
  <c r="G1163" i="52069"/>
  <c r="B1163" i="52069"/>
  <c r="A1163" i="52069"/>
  <c r="C1163" i="52069" s="1"/>
  <c r="G1162" i="52069"/>
  <c r="B1162" i="52069"/>
  <c r="A1162" i="52069"/>
  <c r="G1161" i="52069"/>
  <c r="B1161" i="52069"/>
  <c r="A1161" i="52069"/>
  <c r="C1161" i="52069" s="1"/>
  <c r="G1160" i="52069"/>
  <c r="B1160" i="52069"/>
  <c r="A1160" i="52069"/>
  <c r="G1159" i="52069"/>
  <c r="B1159" i="52069"/>
  <c r="A1159" i="52069"/>
  <c r="C1159" i="52069" s="1"/>
  <c r="G1158" i="52069"/>
  <c r="B1158" i="52069"/>
  <c r="A1158" i="52069"/>
  <c r="G1157" i="52069"/>
  <c r="B1157" i="52069"/>
  <c r="A1157" i="52069"/>
  <c r="C1157" i="52069" s="1"/>
  <c r="G1156" i="52069"/>
  <c r="B1156" i="52069"/>
  <c r="A1156" i="52069"/>
  <c r="G1155" i="52069"/>
  <c r="B1155" i="52069"/>
  <c r="A1155" i="52069"/>
  <c r="C1155" i="52069" s="1"/>
  <c r="G1154" i="52069"/>
  <c r="B1154" i="52069"/>
  <c r="A1154" i="52069"/>
  <c r="G1153" i="52069"/>
  <c r="B1153" i="52069"/>
  <c r="A1153" i="52069"/>
  <c r="C1153" i="52069" s="1"/>
  <c r="G1152" i="52069"/>
  <c r="B1152" i="52069"/>
  <c r="A1152" i="52069"/>
  <c r="G1151" i="52069"/>
  <c r="B1151" i="52069"/>
  <c r="A1151" i="52069"/>
  <c r="C1151" i="52069" s="1"/>
  <c r="G1150" i="52069"/>
  <c r="B1150" i="52069"/>
  <c r="A1150" i="52069"/>
  <c r="G1149" i="52069"/>
  <c r="B1149" i="52069"/>
  <c r="A1149" i="52069"/>
  <c r="C1149" i="52069" s="1"/>
  <c r="G1148" i="52069"/>
  <c r="B1148" i="52069"/>
  <c r="A1148" i="52069"/>
  <c r="G1147" i="52069"/>
  <c r="B1147" i="52069"/>
  <c r="A1147" i="52069"/>
  <c r="C1147" i="52069" s="1"/>
  <c r="G1146" i="52069"/>
  <c r="B1146" i="52069"/>
  <c r="A1146" i="52069"/>
  <c r="G1145" i="52069"/>
  <c r="B1145" i="52069"/>
  <c r="A1145" i="52069"/>
  <c r="C1145" i="52069" s="1"/>
  <c r="G1144" i="52069"/>
  <c r="B1144" i="52069"/>
  <c r="A1144" i="52069"/>
  <c r="G1143" i="52069"/>
  <c r="B1143" i="52069"/>
  <c r="A1143" i="52069"/>
  <c r="C1143" i="52069" s="1"/>
  <c r="G1142" i="52069"/>
  <c r="B1142" i="52069"/>
  <c r="A1142" i="52069"/>
  <c r="G1141" i="52069"/>
  <c r="B1141" i="52069"/>
  <c r="A1141" i="52069"/>
  <c r="C1141" i="52069" s="1"/>
  <c r="G1140" i="52069"/>
  <c r="B1140" i="52069"/>
  <c r="A1140" i="52069"/>
  <c r="G1139" i="52069"/>
  <c r="B1139" i="52069"/>
  <c r="A1139" i="52069"/>
  <c r="C1139" i="52069" s="1"/>
  <c r="G1138" i="52069"/>
  <c r="B1138" i="52069"/>
  <c r="A1138" i="52069"/>
  <c r="G1137" i="52069"/>
  <c r="B1137" i="52069"/>
  <c r="A1137" i="52069"/>
  <c r="C1137" i="52069" s="1"/>
  <c r="G1136" i="52069"/>
  <c r="B1136" i="52069"/>
  <c r="A1136" i="52069"/>
  <c r="G1135" i="52069"/>
  <c r="B1135" i="52069"/>
  <c r="A1135" i="52069"/>
  <c r="C1135" i="52069" s="1"/>
  <c r="G1134" i="52069"/>
  <c r="B1134" i="52069"/>
  <c r="A1134" i="52069"/>
  <c r="G1133" i="52069"/>
  <c r="B1133" i="52069"/>
  <c r="A1133" i="52069"/>
  <c r="C1133" i="52069" s="1"/>
  <c r="G1132" i="52069"/>
  <c r="B1132" i="52069"/>
  <c r="A1132" i="52069"/>
  <c r="G1131" i="52069"/>
  <c r="B1131" i="52069"/>
  <c r="A1131" i="52069"/>
  <c r="C1131" i="52069" s="1"/>
  <c r="G1130" i="52069"/>
  <c r="B1130" i="52069"/>
  <c r="A1130" i="52069"/>
  <c r="G1129" i="52069"/>
  <c r="B1129" i="52069"/>
  <c r="A1129" i="52069"/>
  <c r="C1129" i="52069" s="1"/>
  <c r="G1128" i="52069"/>
  <c r="B1128" i="52069"/>
  <c r="A1128" i="52069"/>
  <c r="G1127" i="52069"/>
  <c r="B1127" i="52069"/>
  <c r="A1127" i="52069"/>
  <c r="C1127" i="52069" s="1"/>
  <c r="G1126" i="52069"/>
  <c r="B1126" i="52069"/>
  <c r="A1126" i="52069"/>
  <c r="G1125" i="52069"/>
  <c r="B1125" i="52069"/>
  <c r="A1125" i="52069"/>
  <c r="C1125" i="52069" s="1"/>
  <c r="G1124" i="52069"/>
  <c r="B1124" i="52069"/>
  <c r="A1124" i="52069"/>
  <c r="G1123" i="52069"/>
  <c r="B1123" i="52069"/>
  <c r="A1123" i="52069"/>
  <c r="C1123" i="52069" s="1"/>
  <c r="G1122" i="52069"/>
  <c r="B1122" i="52069"/>
  <c r="A1122" i="52069"/>
  <c r="G1121" i="52069"/>
  <c r="B1121" i="52069"/>
  <c r="A1121" i="52069"/>
  <c r="C1121" i="52069" s="1"/>
  <c r="G1120" i="52069"/>
  <c r="B1120" i="52069"/>
  <c r="A1120" i="52069"/>
  <c r="G1119" i="52069"/>
  <c r="B1119" i="52069"/>
  <c r="A1119" i="52069"/>
  <c r="C1119" i="52069" s="1"/>
  <c r="G1118" i="52069"/>
  <c r="B1118" i="52069"/>
  <c r="A1118" i="52069"/>
  <c r="G1117" i="52069"/>
  <c r="B1117" i="52069"/>
  <c r="A1117" i="52069"/>
  <c r="C1117" i="52069" s="1"/>
  <c r="G1116" i="52069"/>
  <c r="B1116" i="52069"/>
  <c r="A1116" i="52069"/>
  <c r="G1115" i="52069"/>
  <c r="B1115" i="52069"/>
  <c r="A1115" i="52069"/>
  <c r="C1115" i="52069" s="1"/>
  <c r="G1114" i="52069"/>
  <c r="B1114" i="52069"/>
  <c r="A1114" i="52069"/>
  <c r="G1113" i="52069"/>
  <c r="B1113" i="52069"/>
  <c r="A1113" i="52069"/>
  <c r="C1113" i="52069" s="1"/>
  <c r="G1112" i="52069"/>
  <c r="B1112" i="52069"/>
  <c r="A1112" i="52069"/>
  <c r="G1111" i="52069"/>
  <c r="B1111" i="52069"/>
  <c r="A1111" i="52069"/>
  <c r="C1111" i="52069" s="1"/>
  <c r="G1110" i="52069"/>
  <c r="B1110" i="52069"/>
  <c r="A1110" i="52069"/>
  <c r="G1109" i="52069"/>
  <c r="B1109" i="52069"/>
  <c r="A1109" i="52069"/>
  <c r="C1109" i="52069" s="1"/>
  <c r="G1108" i="52069"/>
  <c r="B1108" i="52069"/>
  <c r="A1108" i="52069"/>
  <c r="G1107" i="52069"/>
  <c r="B1107" i="52069"/>
  <c r="A1107" i="52069"/>
  <c r="C1107" i="52069" s="1"/>
  <c r="G1106" i="52069"/>
  <c r="B1106" i="52069"/>
  <c r="A1106" i="52069"/>
  <c r="G1105" i="52069"/>
  <c r="B1105" i="52069"/>
  <c r="A1105" i="52069"/>
  <c r="C1105" i="52069" s="1"/>
  <c r="G1104" i="52069"/>
  <c r="B1104" i="52069"/>
  <c r="A1104" i="52069"/>
  <c r="G1103" i="52069"/>
  <c r="B1103" i="52069"/>
  <c r="A1103" i="52069"/>
  <c r="C1103" i="52069" s="1"/>
  <c r="G1102" i="52069"/>
  <c r="B1102" i="52069"/>
  <c r="A1102" i="52069"/>
  <c r="G1101" i="52069"/>
  <c r="B1101" i="52069"/>
  <c r="A1101" i="52069"/>
  <c r="C1101" i="52069" s="1"/>
  <c r="G1100" i="52069"/>
  <c r="B1100" i="52069"/>
  <c r="A1100" i="52069"/>
  <c r="G1099" i="52069"/>
  <c r="B1099" i="52069"/>
  <c r="A1099" i="52069"/>
  <c r="C1099" i="52069" s="1"/>
  <c r="G1098" i="52069"/>
  <c r="B1098" i="52069"/>
  <c r="A1098" i="52069"/>
  <c r="G1097" i="52069"/>
  <c r="B1097" i="52069"/>
  <c r="A1097" i="52069"/>
  <c r="C1097" i="52069" s="1"/>
  <c r="G1096" i="52069"/>
  <c r="B1096" i="52069"/>
  <c r="A1096" i="52069"/>
  <c r="G1095" i="52069"/>
  <c r="B1095" i="52069"/>
  <c r="C1095" i="52069"/>
  <c r="G1094" i="52069"/>
  <c r="B1094" i="52069"/>
  <c r="A1094" i="52069"/>
  <c r="C1094" i="52069"/>
  <c r="G1093" i="52069"/>
  <c r="B1093" i="52069"/>
  <c r="A1093" i="52069"/>
  <c r="C1093" i="52069"/>
  <c r="G1092" i="52069"/>
  <c r="B1092" i="52069"/>
  <c r="A1092" i="52069"/>
  <c r="C1092" i="52069"/>
  <c r="G1091" i="52069"/>
  <c r="B1091" i="52069"/>
  <c r="A1091" i="52069"/>
  <c r="C1091" i="52069"/>
  <c r="G1090" i="52069"/>
  <c r="B1090" i="52069"/>
  <c r="A1090" i="52069"/>
  <c r="C1090" i="52069"/>
  <c r="G1089" i="52069"/>
  <c r="B1089" i="52069"/>
  <c r="A1089" i="52069"/>
  <c r="C1089" i="52069"/>
  <c r="G1088" i="52069"/>
  <c r="B1088" i="52069"/>
  <c r="A1088" i="52069"/>
  <c r="C1088" i="52069"/>
  <c r="G1087" i="52069"/>
  <c r="B1087" i="52069"/>
  <c r="A1087" i="52069"/>
  <c r="C1087" i="52069"/>
  <c r="G1086" i="52069"/>
  <c r="B1086" i="52069"/>
  <c r="A1086" i="52069"/>
  <c r="C1086" i="52069"/>
  <c r="G1085" i="52069"/>
  <c r="B1085" i="52069"/>
  <c r="A1085" i="52069"/>
  <c r="C1085" i="52069"/>
  <c r="G1084" i="52069"/>
  <c r="B1084" i="52069"/>
  <c r="A1084" i="52069"/>
  <c r="C1084" i="52069"/>
  <c r="G1083" i="52069"/>
  <c r="B1083" i="52069"/>
  <c r="A1083" i="52069"/>
  <c r="C1083" i="52069"/>
  <c r="G1082" i="52069"/>
  <c r="B1082" i="52069"/>
  <c r="A1082" i="52069"/>
  <c r="C1082" i="52069"/>
  <c r="G1081" i="52069"/>
  <c r="B1081" i="52069"/>
  <c r="A1081" i="52069"/>
  <c r="C1081" i="52069"/>
  <c r="G1080" i="52069"/>
  <c r="B1080" i="52069"/>
  <c r="A1080" i="52069"/>
  <c r="C1080" i="52069"/>
  <c r="G1079" i="52069"/>
  <c r="B1079" i="52069"/>
  <c r="A1079" i="52069"/>
  <c r="C1079" i="52069"/>
  <c r="G1078" i="52069"/>
  <c r="B1078" i="52069"/>
  <c r="A1078" i="52069"/>
  <c r="C1078" i="52069"/>
  <c r="G1077" i="52069"/>
  <c r="B1077" i="52069"/>
  <c r="A1077" i="52069"/>
  <c r="C1077" i="52069"/>
  <c r="G1076" i="52069"/>
  <c r="B1076" i="52069"/>
  <c r="A1076" i="52069"/>
  <c r="C1076" i="52069"/>
  <c r="G1075" i="52069"/>
  <c r="B1075" i="52069"/>
  <c r="A1075" i="52069"/>
  <c r="C1075" i="52069"/>
  <c r="G1074" i="52069"/>
  <c r="B1074" i="52069"/>
  <c r="A1074" i="52069"/>
  <c r="C1074" i="52069"/>
  <c r="G1073" i="52069"/>
  <c r="B1073" i="52069"/>
  <c r="A1073" i="52069"/>
  <c r="C1073" i="52069"/>
  <c r="G1072" i="52069"/>
  <c r="B1072" i="52069"/>
  <c r="A1072" i="52069"/>
  <c r="C1072" i="52069"/>
  <c r="G1071" i="52069"/>
  <c r="B1071" i="52069"/>
  <c r="A1071" i="52069"/>
  <c r="C1071" i="52069"/>
  <c r="G1070" i="52069"/>
  <c r="B1070" i="52069"/>
  <c r="A1070" i="52069"/>
  <c r="C1070" i="52069"/>
  <c r="G1069" i="52069"/>
  <c r="B1069" i="52069"/>
  <c r="A1069" i="52069"/>
  <c r="C1069" i="52069"/>
  <c r="G1068" i="52069"/>
  <c r="B1068" i="52069"/>
  <c r="A1068" i="52069"/>
  <c r="C1068" i="52069"/>
  <c r="G1067" i="52069"/>
  <c r="B1067" i="52069"/>
  <c r="A1067" i="52069"/>
  <c r="C1067" i="52069"/>
  <c r="G1066" i="52069"/>
  <c r="B1066" i="52069"/>
  <c r="A1066" i="52069"/>
  <c r="C1066" i="52069"/>
  <c r="G1065" i="52069"/>
  <c r="B1065" i="52069"/>
  <c r="A1065" i="52069"/>
  <c r="C1065" i="52069"/>
  <c r="G1064" i="52069"/>
  <c r="B1064" i="52069"/>
  <c r="A1064" i="52069"/>
  <c r="C1064" i="52069"/>
  <c r="G1063" i="52069"/>
  <c r="B1063" i="52069"/>
  <c r="A1063" i="52069"/>
  <c r="C1063" i="52069"/>
  <c r="G1062" i="52069"/>
  <c r="B1062" i="52069"/>
  <c r="A1062" i="52069"/>
  <c r="C1062" i="52069"/>
  <c r="G1061" i="52069"/>
  <c r="B1061" i="52069"/>
  <c r="A1061" i="52069"/>
  <c r="C1061" i="52069"/>
  <c r="G1060" i="52069"/>
  <c r="B1060" i="52069"/>
  <c r="A1060" i="52069"/>
  <c r="C1060" i="52069"/>
  <c r="G1059" i="52069"/>
  <c r="B1059" i="52069"/>
  <c r="A1059" i="52069"/>
  <c r="C1059" i="52069"/>
  <c r="G1058" i="52069"/>
  <c r="B1058" i="52069"/>
  <c r="A1058" i="52069"/>
  <c r="C1058" i="52069"/>
  <c r="G1057" i="52069"/>
  <c r="B1057" i="52069"/>
  <c r="A1057" i="52069"/>
  <c r="C1057" i="52069"/>
  <c r="G1056" i="52069"/>
  <c r="B1056" i="52069"/>
  <c r="A1056" i="52069"/>
  <c r="C1056" i="52069"/>
  <c r="G1055" i="52069"/>
  <c r="B1055" i="52069"/>
  <c r="A1055" i="52069"/>
  <c r="C1055" i="52069"/>
  <c r="G1054" i="52069"/>
  <c r="B1054" i="52069"/>
  <c r="A1054" i="52069"/>
  <c r="C1054" i="52069"/>
  <c r="G1053" i="52069"/>
  <c r="B1053" i="52069"/>
  <c r="A1053" i="52069"/>
  <c r="C1053" i="52069"/>
  <c r="G1052" i="52069"/>
  <c r="B1052" i="52069"/>
  <c r="A1052" i="52069"/>
  <c r="C1052" i="52069"/>
  <c r="G1051" i="52069"/>
  <c r="B1051" i="52069"/>
  <c r="A1051" i="52069"/>
  <c r="C1051" i="52069"/>
  <c r="G1050" i="52069"/>
  <c r="B1050" i="52069"/>
  <c r="A1050" i="52069"/>
  <c r="C1050" i="52069"/>
  <c r="G1049" i="52069"/>
  <c r="B1049" i="52069"/>
  <c r="A1049" i="52069"/>
  <c r="C1049" i="52069"/>
  <c r="G1048" i="52069"/>
  <c r="B1048" i="52069"/>
  <c r="A1048" i="52069"/>
  <c r="C1048" i="52069"/>
  <c r="G1047" i="52069"/>
  <c r="B1047" i="52069"/>
  <c r="A1047" i="52069"/>
  <c r="C1047" i="52069"/>
  <c r="G1046" i="52069"/>
  <c r="B1046" i="52069"/>
  <c r="A1046" i="52069"/>
  <c r="C1046" i="52069"/>
  <c r="G1045" i="52069"/>
  <c r="B1045" i="52069"/>
  <c r="A1045" i="52069"/>
  <c r="C1045" i="52069"/>
  <c r="G1044" i="52069"/>
  <c r="B1044" i="52069"/>
  <c r="A1044" i="52069"/>
  <c r="C1044" i="52069"/>
  <c r="G1043" i="52069"/>
  <c r="B1043" i="52069"/>
  <c r="A1043" i="52069"/>
  <c r="C1043" i="52069"/>
  <c r="G1042" i="52069"/>
  <c r="B1042" i="52069"/>
  <c r="A1042" i="52069"/>
  <c r="C1042" i="52069"/>
  <c r="G1041" i="52069"/>
  <c r="B1041" i="52069"/>
  <c r="A1041" i="52069"/>
  <c r="C1041" i="52069"/>
  <c r="G1040" i="52069"/>
  <c r="B1040" i="52069"/>
  <c r="A1040" i="52069"/>
  <c r="C1040" i="52069"/>
  <c r="G1039" i="52069"/>
  <c r="B1039" i="52069"/>
  <c r="A1039" i="52069"/>
  <c r="C1039" i="52069"/>
  <c r="G1038" i="52069"/>
  <c r="B1038" i="52069"/>
  <c r="A1038" i="52069"/>
  <c r="C1038" i="52069"/>
  <c r="G1037" i="52069"/>
  <c r="B1037" i="52069"/>
  <c r="A1037" i="52069"/>
  <c r="C1037" i="52069"/>
  <c r="G1036" i="52069"/>
  <c r="B1036" i="52069"/>
  <c r="A1036" i="52069"/>
  <c r="C1036" i="52069"/>
  <c r="G1035" i="52069"/>
  <c r="B1035" i="52069"/>
  <c r="A1035" i="52069"/>
  <c r="C1035" i="52069"/>
  <c r="G1034" i="52069"/>
  <c r="B1034" i="52069"/>
  <c r="A1034" i="52069"/>
  <c r="C1034" i="52069"/>
  <c r="G1033" i="52069"/>
  <c r="B1033" i="52069"/>
  <c r="A1033" i="52069"/>
  <c r="C1033" i="52069"/>
  <c r="G1032" i="52069"/>
  <c r="B1032" i="52069"/>
  <c r="A1032" i="52069"/>
  <c r="C1032" i="52069"/>
  <c r="G1031" i="52069"/>
  <c r="B1031" i="52069"/>
  <c r="A1031" i="52069"/>
  <c r="C1031" i="52069"/>
  <c r="G1030" i="52069"/>
  <c r="B1030" i="52069"/>
  <c r="A1030" i="52069"/>
  <c r="C1030" i="52069"/>
  <c r="G1029" i="52069"/>
  <c r="B1029" i="52069"/>
  <c r="A1029" i="52069"/>
  <c r="C1029" i="52069"/>
  <c r="G1028" i="52069"/>
  <c r="B1028" i="52069"/>
  <c r="A1028" i="52069"/>
  <c r="C1028" i="52069"/>
  <c r="G1027" i="52069"/>
  <c r="B1027" i="52069"/>
  <c r="A1027" i="52069"/>
  <c r="C1027" i="52069"/>
  <c r="G1026" i="52069"/>
  <c r="B1026" i="52069"/>
  <c r="A1026" i="52069"/>
  <c r="C1026" i="52069"/>
  <c r="G1025" i="52069"/>
  <c r="B1025" i="52069"/>
  <c r="A1025" i="52069"/>
  <c r="C1025" i="52069"/>
  <c r="G1024" i="52069"/>
  <c r="B1024" i="52069"/>
  <c r="A1024" i="52069"/>
  <c r="C1024" i="52069"/>
  <c r="G1023" i="52069"/>
  <c r="B1023" i="52069"/>
  <c r="A1023" i="52069"/>
  <c r="C1023" i="52069"/>
  <c r="G1022" i="52069"/>
  <c r="B1022" i="52069"/>
  <c r="A1022" i="52069"/>
  <c r="C1022" i="52069"/>
  <c r="G1021" i="52069"/>
  <c r="B1021" i="52069"/>
  <c r="A1021" i="52069"/>
  <c r="C1021" i="52069"/>
  <c r="G1020" i="52069"/>
  <c r="B1020" i="52069"/>
  <c r="A1020" i="52069"/>
  <c r="C1020" i="52069"/>
  <c r="G1019" i="52069"/>
  <c r="B1019" i="52069"/>
  <c r="A1019" i="52069"/>
  <c r="C1019" i="52069"/>
  <c r="G1018" i="52069"/>
  <c r="B1018" i="52069"/>
  <c r="A1018" i="52069"/>
  <c r="C1018" i="52069"/>
  <c r="G1017" i="52069"/>
  <c r="B1017" i="52069"/>
  <c r="A1017" i="52069"/>
  <c r="C1017" i="52069"/>
  <c r="G1016" i="52069"/>
  <c r="B1016" i="52069"/>
  <c r="A1016" i="52069"/>
  <c r="C1016" i="52069"/>
  <c r="G1015" i="52069"/>
  <c r="B1015" i="52069"/>
  <c r="A1015" i="52069"/>
  <c r="C1015" i="52069"/>
  <c r="G1014" i="52069"/>
  <c r="B1014" i="52069"/>
  <c r="A1014" i="52069"/>
  <c r="C1014" i="52069"/>
  <c r="G1013" i="52069"/>
  <c r="B1013" i="52069"/>
  <c r="A1013" i="52069"/>
  <c r="C1013" i="52069"/>
  <c r="G1012" i="52069"/>
  <c r="B1012" i="52069"/>
  <c r="A1012" i="52069"/>
  <c r="C1012" i="52069"/>
  <c r="G1011" i="52069"/>
  <c r="B1011" i="52069"/>
  <c r="A1011" i="52069"/>
  <c r="C1011" i="52069"/>
  <c r="G1010" i="52069"/>
  <c r="B1010" i="52069"/>
  <c r="A1010" i="52069"/>
  <c r="C1010" i="52069"/>
  <c r="G1009" i="52069"/>
  <c r="B1009" i="52069"/>
  <c r="A1009" i="52069"/>
  <c r="C1009" i="52069"/>
  <c r="G1008" i="52069"/>
  <c r="B1008" i="52069"/>
  <c r="A1008" i="52069"/>
  <c r="C1008" i="52069"/>
  <c r="G1007" i="52069"/>
  <c r="B1007" i="52069"/>
  <c r="A1007" i="52069"/>
  <c r="C1007" i="52069"/>
  <c r="G1006" i="52069"/>
  <c r="B1006" i="52069"/>
  <c r="A1006" i="52069"/>
  <c r="C1006" i="52069"/>
  <c r="G1005" i="52069"/>
  <c r="B1005" i="52069"/>
  <c r="A1005" i="52069"/>
  <c r="C1005" i="52069"/>
  <c r="G1004" i="52069"/>
  <c r="B1004" i="52069"/>
  <c r="A1004" i="52069"/>
  <c r="C1004" i="52069"/>
  <c r="G1003" i="52069"/>
  <c r="B1003" i="52069"/>
  <c r="A1003" i="52069"/>
  <c r="C1003" i="52069"/>
  <c r="G1002" i="52069"/>
  <c r="B1002" i="52069"/>
  <c r="A1002" i="52069"/>
  <c r="C1002" i="52069"/>
  <c r="G1001" i="52069"/>
  <c r="B1001" i="52069"/>
  <c r="A1001" i="52069"/>
  <c r="C1001" i="52069"/>
  <c r="G1000" i="52069"/>
  <c r="B1000" i="52069"/>
  <c r="A1000" i="52069"/>
  <c r="C1000" i="52069"/>
  <c r="G999" i="52069"/>
  <c r="B999" i="52069"/>
  <c r="A999" i="52069"/>
  <c r="C999" i="52069"/>
  <c r="G998" i="52069"/>
  <c r="B998" i="52069"/>
  <c r="A998" i="52069"/>
  <c r="C998" i="52069"/>
  <c r="G997" i="52069"/>
  <c r="B997" i="52069"/>
  <c r="A997" i="52069"/>
  <c r="C997" i="52069"/>
  <c r="G996" i="52069"/>
  <c r="B996" i="52069"/>
  <c r="A996" i="52069"/>
  <c r="C996" i="52069"/>
  <c r="G995" i="52069"/>
  <c r="B995" i="52069"/>
  <c r="A995" i="52069"/>
  <c r="C995" i="52069"/>
  <c r="G994" i="52069"/>
  <c r="B994" i="52069"/>
  <c r="A994" i="52069"/>
  <c r="C994" i="52069"/>
  <c r="G993" i="52069"/>
  <c r="B993" i="52069"/>
  <c r="A993" i="52069"/>
  <c r="C993" i="52069"/>
  <c r="G992" i="52069"/>
  <c r="B992" i="52069"/>
  <c r="A992" i="52069"/>
  <c r="C992" i="52069"/>
  <c r="G991" i="52069"/>
  <c r="B991" i="52069"/>
  <c r="A991" i="52069"/>
  <c r="C991" i="52069"/>
  <c r="G990" i="52069"/>
  <c r="B990" i="52069"/>
  <c r="A990" i="52069"/>
  <c r="C990" i="52069"/>
  <c r="G989" i="52069"/>
  <c r="B989" i="52069"/>
  <c r="A989" i="52069"/>
  <c r="C989" i="52069"/>
  <c r="G988" i="52069"/>
  <c r="B988" i="52069"/>
  <c r="A988" i="52069"/>
  <c r="C988" i="52069"/>
  <c r="G987" i="52069"/>
  <c r="B987" i="52069"/>
  <c r="A987" i="52069"/>
  <c r="C987" i="52069"/>
  <c r="G986" i="52069"/>
  <c r="B986" i="52069"/>
  <c r="A986" i="52069"/>
  <c r="C986" i="52069"/>
  <c r="G985" i="52069"/>
  <c r="B985" i="52069"/>
  <c r="A985" i="52069"/>
  <c r="C985" i="52069"/>
  <c r="G984" i="52069"/>
  <c r="B984" i="52069"/>
  <c r="A984" i="52069"/>
  <c r="C984" i="52069"/>
  <c r="G983" i="52069"/>
  <c r="B983" i="52069"/>
  <c r="A983" i="52069"/>
  <c r="C983" i="52069"/>
  <c r="G982" i="52069"/>
  <c r="B982" i="52069"/>
  <c r="A982" i="52069"/>
  <c r="C982" i="52069"/>
  <c r="G981" i="52069"/>
  <c r="B981" i="52069"/>
  <c r="A981" i="52069"/>
  <c r="C981" i="52069"/>
  <c r="G980" i="52069"/>
  <c r="B980" i="52069"/>
  <c r="A980" i="52069"/>
  <c r="C980" i="52069"/>
  <c r="G979" i="52069"/>
  <c r="B979" i="52069"/>
  <c r="A979" i="52069"/>
  <c r="C979" i="52069"/>
  <c r="G978" i="52069"/>
  <c r="B978" i="52069"/>
  <c r="A978" i="52069"/>
  <c r="C978" i="52069"/>
  <c r="G977" i="52069"/>
  <c r="B977" i="52069"/>
  <c r="A977" i="52069"/>
  <c r="C977" i="52069"/>
  <c r="G976" i="52069"/>
  <c r="B976" i="52069"/>
  <c r="A976" i="52069"/>
  <c r="C976" i="52069"/>
  <c r="G975" i="52069"/>
  <c r="B975" i="52069"/>
  <c r="A975" i="52069"/>
  <c r="C975" i="52069"/>
  <c r="G974" i="52069"/>
  <c r="B974" i="52069"/>
  <c r="A974" i="52069"/>
  <c r="C974" i="52069"/>
  <c r="G973" i="52069"/>
  <c r="B973" i="52069"/>
  <c r="A973" i="52069"/>
  <c r="C973" i="52069"/>
  <c r="G972" i="52069"/>
  <c r="B972" i="52069"/>
  <c r="A972" i="52069"/>
  <c r="C972" i="52069"/>
  <c r="G971" i="52069"/>
  <c r="B971" i="52069"/>
  <c r="A971" i="52069"/>
  <c r="C971" i="52069"/>
  <c r="G970" i="52069"/>
  <c r="B970" i="52069"/>
  <c r="A970" i="52069"/>
  <c r="C970" i="52069"/>
  <c r="G969" i="52069"/>
  <c r="B969" i="52069"/>
  <c r="A969" i="52069"/>
  <c r="C969" i="52069"/>
  <c r="G968" i="52069"/>
  <c r="B968" i="52069"/>
  <c r="A968" i="52069"/>
  <c r="C968" i="52069"/>
  <c r="G967" i="52069"/>
  <c r="B967" i="52069"/>
  <c r="A967" i="52069"/>
  <c r="C967" i="52069"/>
  <c r="G966" i="52069"/>
  <c r="B966" i="52069"/>
  <c r="A966" i="52069"/>
  <c r="C966" i="52069"/>
  <c r="G965" i="52069"/>
  <c r="B965" i="52069"/>
  <c r="A965" i="52069"/>
  <c r="C965" i="52069"/>
  <c r="G964" i="52069"/>
  <c r="B964" i="52069"/>
  <c r="A964" i="52069"/>
  <c r="C964" i="52069"/>
  <c r="G963" i="52069"/>
  <c r="B963" i="52069"/>
  <c r="A963" i="52069"/>
  <c r="C963" i="52069"/>
  <c r="G962" i="52069"/>
  <c r="B962" i="52069"/>
  <c r="A962" i="52069"/>
  <c r="C962" i="52069"/>
  <c r="G961" i="52069"/>
  <c r="B961" i="52069"/>
  <c r="A961" i="52069"/>
  <c r="C961" i="52069"/>
  <c r="G960" i="52069"/>
  <c r="B960" i="52069"/>
  <c r="A960" i="52069"/>
  <c r="C960" i="52069"/>
  <c r="G959" i="52069"/>
  <c r="B959" i="52069"/>
  <c r="A959" i="52069"/>
  <c r="C959" i="52069"/>
  <c r="G958" i="52069"/>
  <c r="B958" i="52069"/>
  <c r="A958" i="52069"/>
  <c r="C958" i="52069"/>
  <c r="G957" i="52069"/>
  <c r="B957" i="52069"/>
  <c r="A957" i="52069"/>
  <c r="C957" i="52069"/>
  <c r="G956" i="52069"/>
  <c r="B956" i="52069"/>
  <c r="A956" i="52069"/>
  <c r="C956" i="52069"/>
  <c r="G955" i="52069"/>
  <c r="B955" i="52069"/>
  <c r="A955" i="52069"/>
  <c r="C955" i="52069"/>
  <c r="G954" i="52069"/>
  <c r="B954" i="52069"/>
  <c r="A954" i="52069"/>
  <c r="C954" i="52069"/>
  <c r="G953" i="52069"/>
  <c r="B953" i="52069"/>
  <c r="A953" i="52069"/>
  <c r="C953" i="52069"/>
  <c r="G952" i="52069"/>
  <c r="B952" i="52069"/>
  <c r="A952" i="52069"/>
  <c r="C952" i="52069"/>
  <c r="G951" i="52069"/>
  <c r="B951" i="52069"/>
  <c r="A951" i="52069"/>
  <c r="C951" i="52069"/>
  <c r="G950" i="52069"/>
  <c r="B950" i="52069"/>
  <c r="A950" i="52069"/>
  <c r="C950" i="52069"/>
  <c r="G949" i="52069"/>
  <c r="B949" i="52069"/>
  <c r="A949" i="52069"/>
  <c r="C949" i="52069"/>
  <c r="G948" i="52069"/>
  <c r="B948" i="52069"/>
  <c r="A948" i="52069"/>
  <c r="C948" i="52069"/>
  <c r="G947" i="52069"/>
  <c r="B947" i="52069"/>
  <c r="A947" i="52069"/>
  <c r="C947" i="52069"/>
  <c r="G946" i="52069"/>
  <c r="B946" i="52069"/>
  <c r="A946" i="52069"/>
  <c r="C946" i="52069"/>
  <c r="G945" i="52069"/>
  <c r="B945" i="52069"/>
  <c r="A945" i="52069"/>
  <c r="C945" i="52069"/>
  <c r="G944" i="52069"/>
  <c r="B944" i="52069"/>
  <c r="A944" i="52069"/>
  <c r="C944" i="52069"/>
  <c r="G943" i="52069"/>
  <c r="B943" i="52069"/>
  <c r="A943" i="52069"/>
  <c r="C943" i="52069"/>
  <c r="G942" i="52069"/>
  <c r="B942" i="52069"/>
  <c r="A942" i="52069"/>
  <c r="C942" i="52069"/>
  <c r="G941" i="52069"/>
  <c r="B941" i="52069"/>
  <c r="A941" i="52069"/>
  <c r="C941" i="52069"/>
  <c r="G940" i="52069"/>
  <c r="B940" i="52069"/>
  <c r="A940" i="52069"/>
  <c r="C940" i="52069"/>
  <c r="G939" i="52069"/>
  <c r="B939" i="52069"/>
  <c r="A939" i="52069"/>
  <c r="C939" i="52069"/>
  <c r="G938" i="52069"/>
  <c r="B938" i="52069"/>
  <c r="A938" i="52069"/>
  <c r="C938" i="52069"/>
  <c r="G937" i="52069"/>
  <c r="B937" i="52069"/>
  <c r="A937" i="52069"/>
  <c r="C937" i="52069"/>
  <c r="G936" i="52069"/>
  <c r="B936" i="52069"/>
  <c r="A936" i="52069"/>
  <c r="C936" i="52069"/>
  <c r="G935" i="52069"/>
  <c r="B935" i="52069"/>
  <c r="A935" i="52069"/>
  <c r="C935" i="52069"/>
  <c r="G934" i="52069"/>
  <c r="B934" i="52069"/>
  <c r="A934" i="52069"/>
  <c r="C934" i="52069"/>
  <c r="G933" i="52069"/>
  <c r="B933" i="52069"/>
  <c r="A933" i="52069"/>
  <c r="C933" i="52069"/>
  <c r="G932" i="52069"/>
  <c r="B932" i="52069"/>
  <c r="A932" i="52069"/>
  <c r="C932" i="52069"/>
  <c r="G931" i="52069"/>
  <c r="B931" i="52069"/>
  <c r="A931" i="52069"/>
  <c r="C931" i="52069"/>
  <c r="G930" i="52069"/>
  <c r="B930" i="52069"/>
  <c r="A930" i="52069"/>
  <c r="C930" i="52069"/>
  <c r="G929" i="52069"/>
  <c r="B929" i="52069"/>
  <c r="A929" i="52069"/>
  <c r="C929" i="52069"/>
  <c r="G928" i="52069"/>
  <c r="B928" i="52069"/>
  <c r="A928" i="52069"/>
  <c r="C928" i="52069"/>
  <c r="G927" i="52069"/>
  <c r="B927" i="52069"/>
  <c r="A927" i="52069"/>
  <c r="C927" i="52069"/>
  <c r="G926" i="52069"/>
  <c r="B926" i="52069"/>
  <c r="A926" i="52069"/>
  <c r="C926" i="52069"/>
  <c r="G925" i="52069"/>
  <c r="B925" i="52069"/>
  <c r="A925" i="52069"/>
  <c r="C925" i="52069"/>
  <c r="G924" i="52069"/>
  <c r="B924" i="52069"/>
  <c r="A924" i="52069"/>
  <c r="C924" i="52069"/>
  <c r="G923" i="52069"/>
  <c r="B923" i="52069"/>
  <c r="A923" i="52069"/>
  <c r="C923" i="52069"/>
  <c r="G922" i="52069"/>
  <c r="B922" i="52069"/>
  <c r="A922" i="52069"/>
  <c r="C922" i="52069"/>
  <c r="G921" i="52069"/>
  <c r="B921" i="52069"/>
  <c r="A921" i="52069"/>
  <c r="C921" i="52069"/>
  <c r="G920" i="52069"/>
  <c r="B920" i="52069"/>
  <c r="A920" i="52069"/>
  <c r="C920" i="52069"/>
  <c r="G919" i="52069"/>
  <c r="B919" i="52069"/>
  <c r="A919" i="52069"/>
  <c r="C919" i="52069"/>
  <c r="G918" i="52069"/>
  <c r="B918" i="52069"/>
  <c r="A918" i="52069"/>
  <c r="C918" i="52069"/>
  <c r="G917" i="52069"/>
  <c r="B917" i="52069"/>
  <c r="A917" i="52069"/>
  <c r="C917" i="52069"/>
  <c r="G916" i="52069"/>
  <c r="B916" i="52069"/>
  <c r="A916" i="52069"/>
  <c r="C916" i="52069"/>
  <c r="G915" i="52069"/>
  <c r="B915" i="52069"/>
  <c r="A915" i="52069"/>
  <c r="C915" i="52069"/>
  <c r="G914" i="52069"/>
  <c r="B914" i="52069"/>
  <c r="A914" i="52069"/>
  <c r="C914" i="52069"/>
  <c r="G913" i="52069"/>
  <c r="B913" i="52069"/>
  <c r="A913" i="52069"/>
  <c r="C913" i="52069"/>
  <c r="G912" i="52069"/>
  <c r="B912" i="52069"/>
  <c r="A912" i="52069"/>
  <c r="C912" i="52069"/>
  <c r="G911" i="52069"/>
  <c r="B911" i="52069"/>
  <c r="A911" i="52069"/>
  <c r="C911" i="52069"/>
  <c r="G910" i="52069"/>
  <c r="B910" i="52069"/>
  <c r="A910" i="52069"/>
  <c r="C910" i="52069"/>
  <c r="G909" i="52069"/>
  <c r="B909" i="52069"/>
  <c r="A909" i="52069"/>
  <c r="C909" i="52069"/>
  <c r="G908" i="52069"/>
  <c r="B908" i="52069"/>
  <c r="A908" i="52069"/>
  <c r="C908" i="52069"/>
  <c r="G907" i="52069"/>
  <c r="B907" i="52069"/>
  <c r="A907" i="52069"/>
  <c r="C907" i="52069"/>
  <c r="G906" i="52069"/>
  <c r="B906" i="52069"/>
  <c r="A906" i="52069"/>
  <c r="C906" i="52069"/>
  <c r="G905" i="52069"/>
  <c r="B905" i="52069"/>
  <c r="A905" i="52069"/>
  <c r="C905" i="52069"/>
  <c r="G904" i="52069"/>
  <c r="B904" i="52069"/>
  <c r="A904" i="52069"/>
  <c r="C904" i="52069"/>
  <c r="G903" i="52069"/>
  <c r="B903" i="52069"/>
  <c r="A903" i="52069"/>
  <c r="C903" i="52069"/>
  <c r="G902" i="52069"/>
  <c r="B902" i="52069"/>
  <c r="A902" i="52069"/>
  <c r="C902" i="52069"/>
  <c r="G901" i="52069"/>
  <c r="B901" i="52069"/>
  <c r="A901" i="52069"/>
  <c r="C901" i="52069"/>
  <c r="G900" i="52069"/>
  <c r="B900" i="52069"/>
  <c r="A900" i="52069"/>
  <c r="C900" i="52069"/>
  <c r="G899" i="52069"/>
  <c r="B899" i="52069"/>
  <c r="A899" i="52069"/>
  <c r="C899" i="52069"/>
  <c r="G898" i="52069"/>
  <c r="B898" i="52069"/>
  <c r="A898" i="52069"/>
  <c r="C898" i="52069"/>
  <c r="G897" i="52069"/>
  <c r="B897" i="52069"/>
  <c r="A897" i="52069"/>
  <c r="C897" i="52069"/>
  <c r="G896" i="52069"/>
  <c r="B896" i="52069"/>
  <c r="A896" i="52069"/>
  <c r="C896" i="52069"/>
  <c r="G895" i="52069"/>
  <c r="B895" i="52069"/>
  <c r="A895" i="52069"/>
  <c r="C895" i="52069"/>
  <c r="G894" i="52069"/>
  <c r="B894" i="52069"/>
  <c r="A894" i="52069"/>
  <c r="C894" i="52069"/>
  <c r="G893" i="52069"/>
  <c r="B893" i="52069"/>
  <c r="A893" i="52069"/>
  <c r="C893" i="52069"/>
  <c r="G892" i="52069"/>
  <c r="B892" i="52069"/>
  <c r="A892" i="52069"/>
  <c r="C892" i="52069"/>
  <c r="G891" i="52069"/>
  <c r="B891" i="52069"/>
  <c r="A891" i="52069"/>
  <c r="C891" i="52069"/>
  <c r="G890" i="52069"/>
  <c r="B890" i="52069"/>
  <c r="A890" i="52069"/>
  <c r="C890" i="52069"/>
  <c r="G889" i="52069"/>
  <c r="B889" i="52069"/>
  <c r="A889" i="52069"/>
  <c r="C889" i="52069"/>
  <c r="G888" i="52069"/>
  <c r="B888" i="52069"/>
  <c r="A888" i="52069"/>
  <c r="C888" i="52069"/>
  <c r="G887" i="52069"/>
  <c r="B887" i="52069"/>
  <c r="A887" i="52069"/>
  <c r="C887" i="52069"/>
  <c r="G886" i="52069"/>
  <c r="B886" i="52069"/>
  <c r="A886" i="52069"/>
  <c r="C886" i="52069"/>
  <c r="G885" i="52069"/>
  <c r="B885" i="52069"/>
  <c r="A885" i="52069"/>
  <c r="C885" i="52069"/>
  <c r="G884" i="52069"/>
  <c r="B884" i="52069"/>
  <c r="A884" i="52069"/>
  <c r="C884" i="52069"/>
  <c r="G883" i="52069"/>
  <c r="B883" i="52069"/>
  <c r="A883" i="52069"/>
  <c r="C883" i="52069"/>
  <c r="G882" i="52069"/>
  <c r="B882" i="52069"/>
  <c r="A882" i="52069"/>
  <c r="C882" i="52069"/>
  <c r="G881" i="52069"/>
  <c r="B881" i="52069"/>
  <c r="A881" i="52069"/>
  <c r="C881" i="52069"/>
  <c r="G880" i="52069"/>
  <c r="B880" i="52069"/>
  <c r="A880" i="52069"/>
  <c r="C880" i="52069"/>
  <c r="G879" i="52069"/>
  <c r="B879" i="52069"/>
  <c r="A879" i="52069"/>
  <c r="C879" i="52069"/>
  <c r="G878" i="52069"/>
  <c r="B878" i="52069"/>
  <c r="A878" i="52069"/>
  <c r="C878" i="52069"/>
  <c r="G877" i="52069"/>
  <c r="B877" i="52069"/>
  <c r="A877" i="52069"/>
  <c r="C877" i="52069"/>
  <c r="G876" i="52069"/>
  <c r="B876" i="52069"/>
  <c r="A876" i="52069"/>
  <c r="C876" i="52069"/>
  <c r="G875" i="52069"/>
  <c r="B875" i="52069"/>
  <c r="A875" i="52069"/>
  <c r="C875" i="52069"/>
  <c r="G874" i="52069"/>
  <c r="B874" i="52069"/>
  <c r="A874" i="52069"/>
  <c r="C874" i="52069"/>
  <c r="G873" i="52069"/>
  <c r="B873" i="52069"/>
  <c r="A873" i="52069"/>
  <c r="C873" i="52069"/>
  <c r="G872" i="52069"/>
  <c r="B872" i="52069"/>
  <c r="A872" i="52069"/>
  <c r="C872" i="52069"/>
  <c r="G871" i="52069"/>
  <c r="B871" i="52069"/>
  <c r="A871" i="52069"/>
  <c r="C871" i="52069"/>
  <c r="G870" i="52069"/>
  <c r="B870" i="52069"/>
  <c r="A870" i="52069"/>
  <c r="C870" i="52069"/>
  <c r="G869" i="52069"/>
  <c r="B869" i="52069"/>
  <c r="A869" i="52069"/>
  <c r="C869" i="52069"/>
  <c r="G868" i="52069"/>
  <c r="B868" i="52069"/>
  <c r="A868" i="52069"/>
  <c r="C868" i="52069"/>
  <c r="G867" i="52069"/>
  <c r="B867" i="52069"/>
  <c r="A867" i="52069"/>
  <c r="C867" i="52069"/>
  <c r="G866" i="52069"/>
  <c r="B866" i="52069"/>
  <c r="A866" i="52069"/>
  <c r="C866" i="52069"/>
  <c r="G865" i="52069"/>
  <c r="B865" i="52069"/>
  <c r="A865" i="52069"/>
  <c r="C865" i="52069"/>
  <c r="G864" i="52069"/>
  <c r="B864" i="52069"/>
  <c r="A864" i="52069"/>
  <c r="C864" i="52069"/>
  <c r="G863" i="52069"/>
  <c r="B863" i="52069"/>
  <c r="A863" i="52069"/>
  <c r="C863" i="52069"/>
  <c r="G862" i="52069"/>
  <c r="B862" i="52069"/>
  <c r="A862" i="52069"/>
  <c r="C862" i="52069"/>
  <c r="G861" i="52069"/>
  <c r="B861" i="52069"/>
  <c r="A861" i="52069"/>
  <c r="C861" i="52069"/>
  <c r="G860" i="52069"/>
  <c r="B860" i="52069"/>
  <c r="A860" i="52069"/>
  <c r="C860" i="52069"/>
  <c r="G859" i="52069"/>
  <c r="B859" i="52069"/>
  <c r="A859" i="52069"/>
  <c r="C859" i="52069"/>
  <c r="G858" i="52069"/>
  <c r="B858" i="52069"/>
  <c r="A858" i="52069"/>
  <c r="C858" i="52069"/>
  <c r="G857" i="52069"/>
  <c r="B857" i="52069"/>
  <c r="A857" i="52069"/>
  <c r="C857" i="52069"/>
  <c r="G856" i="52069"/>
  <c r="B856" i="52069"/>
  <c r="A856" i="52069"/>
  <c r="C856" i="52069"/>
  <c r="G855" i="52069"/>
  <c r="B855" i="52069"/>
  <c r="A855" i="52069"/>
  <c r="C855" i="52069"/>
  <c r="G854" i="52069"/>
  <c r="B854" i="52069"/>
  <c r="A854" i="52069"/>
  <c r="C854" i="52069"/>
  <c r="G853" i="52069"/>
  <c r="B853" i="52069"/>
  <c r="A853" i="52069"/>
  <c r="C853" i="52069"/>
  <c r="G852" i="52069"/>
  <c r="B852" i="52069"/>
  <c r="A852" i="52069"/>
  <c r="C852" i="52069"/>
  <c r="G851" i="52069"/>
  <c r="B851" i="52069"/>
  <c r="A851" i="52069"/>
  <c r="C851" i="52069"/>
  <c r="G850" i="52069"/>
  <c r="B850" i="52069"/>
  <c r="A850" i="52069"/>
  <c r="C850" i="52069"/>
  <c r="G849" i="52069"/>
  <c r="B849" i="52069"/>
  <c r="A849" i="52069"/>
  <c r="C849" i="52069"/>
  <c r="G848" i="52069"/>
  <c r="B848" i="52069"/>
  <c r="A848" i="52069"/>
  <c r="C848" i="52069"/>
  <c r="G847" i="52069"/>
  <c r="B847" i="52069"/>
  <c r="A847" i="52069"/>
  <c r="C847" i="52069"/>
  <c r="G846" i="52069"/>
  <c r="B846" i="52069"/>
  <c r="A846" i="52069"/>
  <c r="C846" i="52069"/>
  <c r="G845" i="52069"/>
  <c r="B845" i="52069"/>
  <c r="A845" i="52069"/>
  <c r="C845" i="52069"/>
  <c r="G844" i="52069"/>
  <c r="B844" i="52069"/>
  <c r="A844" i="52069"/>
  <c r="C844" i="52069"/>
  <c r="G843" i="52069"/>
  <c r="B843" i="52069"/>
  <c r="A843" i="52069"/>
  <c r="C843" i="52069"/>
  <c r="G842" i="52069"/>
  <c r="B842" i="52069"/>
  <c r="A842" i="52069"/>
  <c r="C842" i="52069"/>
  <c r="G841" i="52069"/>
  <c r="B841" i="52069"/>
  <c r="A841" i="52069"/>
  <c r="C841" i="52069"/>
  <c r="G840" i="52069"/>
  <c r="B840" i="52069"/>
  <c r="A840" i="52069"/>
  <c r="C840" i="52069"/>
  <c r="G839" i="52069"/>
  <c r="B839" i="52069"/>
  <c r="A839" i="52069"/>
  <c r="C839" i="52069"/>
  <c r="G838" i="52069"/>
  <c r="B838" i="52069"/>
  <c r="A838" i="52069"/>
  <c r="C838" i="52069"/>
  <c r="G837" i="52069"/>
  <c r="B837" i="52069"/>
  <c r="A837" i="52069"/>
  <c r="C837" i="52069"/>
  <c r="G836" i="52069"/>
  <c r="B836" i="52069"/>
  <c r="A836" i="52069"/>
  <c r="C836" i="52069"/>
  <c r="G835" i="52069"/>
  <c r="B835" i="52069"/>
  <c r="A835" i="52069"/>
  <c r="C835" i="52069"/>
  <c r="G834" i="52069"/>
  <c r="B834" i="52069"/>
  <c r="A834" i="52069"/>
  <c r="C834" i="52069"/>
  <c r="G833" i="52069"/>
  <c r="B833" i="52069"/>
  <c r="A833" i="52069"/>
  <c r="C833" i="52069"/>
  <c r="G832" i="52069"/>
  <c r="B832" i="52069"/>
  <c r="A832" i="52069"/>
  <c r="C832" i="52069"/>
  <c r="G831" i="52069"/>
  <c r="B831" i="52069"/>
  <c r="A831" i="52069"/>
  <c r="C831" i="52069"/>
  <c r="G830" i="52069"/>
  <c r="B830" i="52069"/>
  <c r="A830" i="52069"/>
  <c r="C830" i="52069"/>
  <c r="G829" i="52069"/>
  <c r="B829" i="52069"/>
  <c r="A829" i="52069"/>
  <c r="C829" i="52069"/>
  <c r="G828" i="52069"/>
  <c r="B828" i="52069"/>
  <c r="A828" i="52069"/>
  <c r="C828" i="52069"/>
  <c r="G827" i="52069"/>
  <c r="B827" i="52069"/>
  <c r="A827" i="52069"/>
  <c r="C827" i="52069"/>
  <c r="G826" i="52069"/>
  <c r="B826" i="52069"/>
  <c r="A826" i="52069"/>
  <c r="C826" i="52069"/>
  <c r="G825" i="52069"/>
  <c r="B825" i="52069"/>
  <c r="A825" i="52069"/>
  <c r="C825" i="52069"/>
  <c r="G824" i="52069"/>
  <c r="B824" i="52069"/>
  <c r="A824" i="52069"/>
  <c r="C824" i="52069"/>
  <c r="G823" i="52069"/>
  <c r="B823" i="52069"/>
  <c r="A823" i="52069"/>
  <c r="C823" i="52069"/>
  <c r="G822" i="52069"/>
  <c r="B822" i="52069"/>
  <c r="A822" i="52069"/>
  <c r="C822" i="52069"/>
  <c r="G821" i="52069"/>
  <c r="B821" i="52069"/>
  <c r="A821" i="52069"/>
  <c r="C821" i="52069"/>
  <c r="G820" i="52069"/>
  <c r="B820" i="52069"/>
  <c r="A820" i="52069"/>
  <c r="C820" i="52069"/>
  <c r="G819" i="52069"/>
  <c r="B819" i="52069"/>
  <c r="A819" i="52069"/>
  <c r="C819" i="52069"/>
  <c r="G818" i="52069"/>
  <c r="B818" i="52069"/>
  <c r="A818" i="52069"/>
  <c r="C818" i="52069"/>
  <c r="G817" i="52069"/>
  <c r="B817" i="52069"/>
  <c r="A817" i="52069"/>
  <c r="C817" i="52069"/>
  <c r="G816" i="52069"/>
  <c r="B816" i="52069"/>
  <c r="A816" i="52069"/>
  <c r="C816" i="52069"/>
  <c r="G815" i="52069"/>
  <c r="B815" i="52069"/>
  <c r="A815" i="52069"/>
  <c r="C815" i="52069"/>
  <c r="G814" i="52069"/>
  <c r="B814" i="52069"/>
  <c r="A814" i="52069"/>
  <c r="C814" i="52069"/>
  <c r="G813" i="52069"/>
  <c r="B813" i="52069"/>
  <c r="A813" i="52069"/>
  <c r="C813" i="52069"/>
  <c r="G812" i="52069"/>
  <c r="B812" i="52069"/>
  <c r="A812" i="52069"/>
  <c r="C812" i="52069"/>
  <c r="G811" i="52069"/>
  <c r="B811" i="52069"/>
  <c r="A811" i="52069"/>
  <c r="C811" i="52069"/>
  <c r="G810" i="52069"/>
  <c r="B810" i="52069"/>
  <c r="A810" i="52069"/>
  <c r="C810" i="52069"/>
  <c r="G809" i="52069"/>
  <c r="B809" i="52069"/>
  <c r="A809" i="52069"/>
  <c r="C809" i="52069"/>
  <c r="G808" i="52069"/>
  <c r="B808" i="52069"/>
  <c r="A808" i="52069"/>
  <c r="C808" i="52069"/>
  <c r="G807" i="52069"/>
  <c r="B807" i="52069"/>
  <c r="A807" i="52069"/>
  <c r="C807" i="52069"/>
  <c r="G806" i="52069"/>
  <c r="B806" i="52069"/>
  <c r="A806" i="52069"/>
  <c r="C806" i="52069"/>
  <c r="G805" i="52069"/>
  <c r="B805" i="52069"/>
  <c r="A805" i="52069"/>
  <c r="C805" i="52069"/>
  <c r="G804" i="52069"/>
  <c r="B804" i="52069"/>
  <c r="A804" i="52069"/>
  <c r="C804" i="52069"/>
  <c r="G803" i="52069"/>
  <c r="B803" i="52069"/>
  <c r="A803" i="52069"/>
  <c r="C803" i="52069"/>
  <c r="G802" i="52069"/>
  <c r="B802" i="52069"/>
  <c r="A802" i="52069"/>
  <c r="C802" i="52069"/>
  <c r="G801" i="52069"/>
  <c r="B801" i="52069"/>
  <c r="A801" i="52069"/>
  <c r="C801" i="52069"/>
  <c r="G800" i="52069"/>
  <c r="B800" i="52069"/>
  <c r="A800" i="52069"/>
  <c r="C800" i="52069"/>
  <c r="G799" i="52069"/>
  <c r="B799" i="52069"/>
  <c r="A799" i="52069"/>
  <c r="C799" i="52069"/>
  <c r="G798" i="52069"/>
  <c r="B798" i="52069"/>
  <c r="A798" i="52069"/>
  <c r="C798" i="52069"/>
  <c r="G797" i="52069"/>
  <c r="B797" i="52069"/>
  <c r="A797" i="52069"/>
  <c r="C797" i="52069"/>
  <c r="G796" i="52069"/>
  <c r="B796" i="52069"/>
  <c r="A796" i="52069"/>
  <c r="C796" i="52069"/>
  <c r="G795" i="52069"/>
  <c r="B795" i="52069"/>
  <c r="A795" i="52069"/>
  <c r="C795" i="52069"/>
  <c r="G794" i="52069"/>
  <c r="B794" i="52069"/>
  <c r="A794" i="52069"/>
  <c r="C794" i="52069"/>
  <c r="G793" i="52069"/>
  <c r="B793" i="52069"/>
  <c r="A793" i="52069"/>
  <c r="C793" i="52069"/>
  <c r="G792" i="52069"/>
  <c r="B792" i="52069"/>
  <c r="A792" i="52069"/>
  <c r="C792" i="52069"/>
  <c r="G791" i="52069"/>
  <c r="B791" i="52069"/>
  <c r="A791" i="52069"/>
  <c r="C791" i="52069"/>
  <c r="G790" i="52069"/>
  <c r="B790" i="52069"/>
  <c r="A790" i="52069"/>
  <c r="C790" i="52069"/>
  <c r="G789" i="52069"/>
  <c r="B789" i="52069"/>
  <c r="A789" i="52069"/>
  <c r="C789" i="52069"/>
  <c r="G788" i="52069"/>
  <c r="B788" i="52069"/>
  <c r="A788" i="52069"/>
  <c r="C788" i="52069"/>
  <c r="G787" i="52069"/>
  <c r="B787" i="52069"/>
  <c r="A787" i="52069"/>
  <c r="C787" i="52069"/>
  <c r="G786" i="52069"/>
  <c r="B786" i="52069"/>
  <c r="A786" i="52069"/>
  <c r="C786" i="52069"/>
  <c r="G785" i="52069"/>
  <c r="B785" i="52069"/>
  <c r="A785" i="52069"/>
  <c r="C785" i="52069"/>
  <c r="G784" i="52069"/>
  <c r="B784" i="52069"/>
  <c r="A784" i="52069"/>
  <c r="C784" i="52069"/>
  <c r="G783" i="52069"/>
  <c r="B783" i="52069"/>
  <c r="A783" i="52069"/>
  <c r="C783" i="52069"/>
  <c r="G782" i="52069"/>
  <c r="B782" i="52069"/>
  <c r="C782" i="52069" s="1"/>
  <c r="G781" i="52069"/>
  <c r="B781" i="52069"/>
  <c r="A781" i="52069"/>
  <c r="G780" i="52069"/>
  <c r="B780" i="52069"/>
  <c r="A780" i="52069"/>
  <c r="C780" i="52069" s="1"/>
  <c r="G779" i="52069"/>
  <c r="B779" i="52069"/>
  <c r="A779" i="52069"/>
  <c r="G778" i="52069"/>
  <c r="B778" i="52069"/>
  <c r="A778" i="52069"/>
  <c r="C778" i="52069" s="1"/>
  <c r="G777" i="52069"/>
  <c r="B777" i="52069"/>
  <c r="A777" i="52069"/>
  <c r="G776" i="52069"/>
  <c r="B776" i="52069"/>
  <c r="A776" i="52069"/>
  <c r="C776" i="52069" s="1"/>
  <c r="G775" i="52069"/>
  <c r="B775" i="52069"/>
  <c r="A775" i="52069"/>
  <c r="G774" i="52069"/>
  <c r="B774" i="52069"/>
  <c r="A774" i="52069"/>
  <c r="C774" i="52069" s="1"/>
  <c r="G773" i="52069"/>
  <c r="B773" i="52069"/>
  <c r="A773" i="52069"/>
  <c r="G772" i="52069"/>
  <c r="B772" i="52069"/>
  <c r="A772" i="52069"/>
  <c r="C772" i="52069" s="1"/>
  <c r="G771" i="52069"/>
  <c r="B771" i="52069"/>
  <c r="A771" i="52069"/>
  <c r="G770" i="52069"/>
  <c r="B770" i="52069"/>
  <c r="A770" i="52069"/>
  <c r="C770" i="52069" s="1"/>
  <c r="G769" i="52069"/>
  <c r="B769" i="52069"/>
  <c r="A769" i="52069"/>
  <c r="G768" i="52069"/>
  <c r="B768" i="52069"/>
  <c r="A768" i="52069"/>
  <c r="C768" i="52069" s="1"/>
  <c r="G767" i="52069"/>
  <c r="B767" i="52069"/>
  <c r="A767" i="52069"/>
  <c r="G766" i="52069"/>
  <c r="B766" i="52069"/>
  <c r="A766" i="52069"/>
  <c r="C766" i="52069" s="1"/>
  <c r="G765" i="52069"/>
  <c r="B765" i="52069"/>
  <c r="A765" i="52069"/>
  <c r="G764" i="52069"/>
  <c r="B764" i="52069"/>
  <c r="A764" i="52069"/>
  <c r="C764" i="52069" s="1"/>
  <c r="G763" i="52069"/>
  <c r="B763" i="52069"/>
  <c r="A763" i="52069"/>
  <c r="G762" i="52069"/>
  <c r="B762" i="52069"/>
  <c r="A762" i="52069"/>
  <c r="C762" i="52069" s="1"/>
  <c r="G761" i="52069"/>
  <c r="B761" i="52069"/>
  <c r="A761" i="52069"/>
  <c r="G760" i="52069"/>
  <c r="B760" i="52069"/>
  <c r="A760" i="52069"/>
  <c r="C760" i="52069" s="1"/>
  <c r="G759" i="52069"/>
  <c r="B759" i="52069"/>
  <c r="A759" i="52069"/>
  <c r="G758" i="52069"/>
  <c r="B758" i="52069"/>
  <c r="A758" i="52069"/>
  <c r="C758" i="52069" s="1"/>
  <c r="G757" i="52069"/>
  <c r="B757" i="52069"/>
  <c r="A757" i="52069"/>
  <c r="G756" i="52069"/>
  <c r="B756" i="52069"/>
  <c r="A756" i="52069"/>
  <c r="C756" i="52069" s="1"/>
  <c r="G755" i="52069"/>
  <c r="B755" i="52069"/>
  <c r="A755" i="52069"/>
  <c r="G754" i="52069"/>
  <c r="B754" i="52069"/>
  <c r="A754" i="52069"/>
  <c r="C754" i="52069" s="1"/>
  <c r="G753" i="52069"/>
  <c r="B753" i="52069"/>
  <c r="A753" i="52069"/>
  <c r="G752" i="52069"/>
  <c r="B752" i="52069"/>
  <c r="A752" i="52069"/>
  <c r="C752" i="52069" s="1"/>
  <c r="G751" i="52069"/>
  <c r="B751" i="52069"/>
  <c r="A751" i="52069"/>
  <c r="G750" i="52069"/>
  <c r="B750" i="52069"/>
  <c r="A750" i="52069"/>
  <c r="C750" i="52069" s="1"/>
  <c r="G749" i="52069"/>
  <c r="B749" i="52069"/>
  <c r="A749" i="52069"/>
  <c r="G748" i="52069"/>
  <c r="B748" i="52069"/>
  <c r="A748" i="52069"/>
  <c r="C748" i="52069" s="1"/>
  <c r="G747" i="52069"/>
  <c r="B747" i="52069"/>
  <c r="A747" i="52069"/>
  <c r="G746" i="52069"/>
  <c r="B746" i="52069"/>
  <c r="A746" i="52069"/>
  <c r="C746" i="52069" s="1"/>
  <c r="G745" i="52069"/>
  <c r="B745" i="52069"/>
  <c r="A745" i="52069"/>
  <c r="G744" i="52069"/>
  <c r="B744" i="52069"/>
  <c r="A744" i="52069"/>
  <c r="C744" i="52069" s="1"/>
  <c r="G743" i="52069"/>
  <c r="B743" i="52069"/>
  <c r="A743" i="52069"/>
  <c r="G742" i="52069"/>
  <c r="B742" i="52069"/>
  <c r="A742" i="52069"/>
  <c r="C742" i="52069" s="1"/>
  <c r="G741" i="52069"/>
  <c r="B741" i="52069"/>
  <c r="A741" i="52069"/>
  <c r="G740" i="52069"/>
  <c r="B740" i="52069"/>
  <c r="A740" i="52069"/>
  <c r="C740" i="52069" s="1"/>
  <c r="G739" i="52069"/>
  <c r="B739" i="52069"/>
  <c r="A739" i="52069"/>
  <c r="G738" i="52069"/>
  <c r="B738" i="52069"/>
  <c r="A738" i="52069"/>
  <c r="C738" i="52069" s="1"/>
  <c r="G737" i="52069"/>
  <c r="B737" i="52069"/>
  <c r="A737" i="52069"/>
  <c r="G736" i="52069"/>
  <c r="B736" i="52069"/>
  <c r="A736" i="52069"/>
  <c r="C736" i="52069" s="1"/>
  <c r="G735" i="52069"/>
  <c r="B735" i="52069"/>
  <c r="A735" i="52069"/>
  <c r="G734" i="52069"/>
  <c r="B734" i="52069"/>
  <c r="A734" i="52069"/>
  <c r="C734" i="52069" s="1"/>
  <c r="G733" i="52069"/>
  <c r="B733" i="52069"/>
  <c r="A733" i="52069"/>
  <c r="G732" i="52069"/>
  <c r="B732" i="52069"/>
  <c r="A732" i="52069"/>
  <c r="C732" i="52069" s="1"/>
  <c r="G731" i="52069"/>
  <c r="B731" i="52069"/>
  <c r="A731" i="52069"/>
  <c r="G730" i="52069"/>
  <c r="B730" i="52069"/>
  <c r="A730" i="52069"/>
  <c r="C730" i="52069" s="1"/>
  <c r="G729" i="52069"/>
  <c r="B729" i="52069"/>
  <c r="A729" i="52069"/>
  <c r="G728" i="52069"/>
  <c r="B728" i="52069"/>
  <c r="A728" i="52069"/>
  <c r="C728" i="52069" s="1"/>
  <c r="G727" i="52069"/>
  <c r="B727" i="52069"/>
  <c r="A727" i="52069"/>
  <c r="G726" i="52069"/>
  <c r="B726" i="52069"/>
  <c r="A726" i="52069"/>
  <c r="C726" i="52069" s="1"/>
  <c r="G725" i="52069"/>
  <c r="B725" i="52069"/>
  <c r="A725" i="52069"/>
  <c r="G724" i="52069"/>
  <c r="B724" i="52069"/>
  <c r="A724" i="52069"/>
  <c r="C724" i="52069" s="1"/>
  <c r="G723" i="52069"/>
  <c r="B723" i="52069"/>
  <c r="A723" i="52069"/>
  <c r="G722" i="52069"/>
  <c r="B722" i="52069"/>
  <c r="A722" i="52069"/>
  <c r="C722" i="52069" s="1"/>
  <c r="G721" i="52069"/>
  <c r="B721" i="52069"/>
  <c r="A721" i="52069"/>
  <c r="G720" i="52069"/>
  <c r="B720" i="52069"/>
  <c r="A720" i="52069"/>
  <c r="C720" i="52069" s="1"/>
  <c r="G719" i="52069"/>
  <c r="B719" i="52069"/>
  <c r="A719" i="52069"/>
  <c r="G718" i="52069"/>
  <c r="B718" i="52069"/>
  <c r="A718" i="52069"/>
  <c r="C718" i="52069" s="1"/>
  <c r="G717" i="52069"/>
  <c r="B717" i="52069"/>
  <c r="A717" i="52069"/>
  <c r="G716" i="52069"/>
  <c r="B716" i="52069"/>
  <c r="A716" i="52069"/>
  <c r="C716" i="52069" s="1"/>
  <c r="G715" i="52069"/>
  <c r="B715" i="52069"/>
  <c r="A715" i="52069"/>
  <c r="G714" i="52069"/>
  <c r="B714" i="52069"/>
  <c r="A714" i="52069"/>
  <c r="C714" i="52069" s="1"/>
  <c r="G713" i="52069"/>
  <c r="B713" i="52069"/>
  <c r="A713" i="52069"/>
  <c r="G712" i="52069"/>
  <c r="B712" i="52069"/>
  <c r="A712" i="52069"/>
  <c r="C712" i="52069" s="1"/>
  <c r="G711" i="52069"/>
  <c r="B711" i="52069"/>
  <c r="A711" i="52069"/>
  <c r="G710" i="52069"/>
  <c r="B710" i="52069"/>
  <c r="A710" i="52069"/>
  <c r="C710" i="52069" s="1"/>
  <c r="G709" i="52069"/>
  <c r="B709" i="52069"/>
  <c r="A709" i="52069"/>
  <c r="G708" i="52069"/>
  <c r="B708" i="52069"/>
  <c r="C708" i="52069"/>
  <c r="G707" i="52069"/>
  <c r="B707" i="52069"/>
  <c r="A707" i="52069"/>
  <c r="C707" i="52069"/>
  <c r="G706" i="52069"/>
  <c r="B706" i="52069"/>
  <c r="A706" i="52069"/>
  <c r="C706" i="52069"/>
  <c r="G705" i="52069"/>
  <c r="B705" i="52069"/>
  <c r="A705" i="52069"/>
  <c r="C705" i="52069"/>
  <c r="G704" i="52069"/>
  <c r="B704" i="52069"/>
  <c r="A704" i="52069"/>
  <c r="C704" i="52069"/>
  <c r="G703" i="52069"/>
  <c r="B703" i="52069"/>
  <c r="A703" i="52069"/>
  <c r="C703" i="52069"/>
  <c r="G702" i="52069"/>
  <c r="B702" i="52069"/>
  <c r="A702" i="52069"/>
  <c r="C702" i="52069"/>
  <c r="G701" i="52069"/>
  <c r="B701" i="52069"/>
  <c r="A701" i="52069"/>
  <c r="C701" i="52069"/>
  <c r="G700" i="52069"/>
  <c r="B700" i="52069"/>
  <c r="A700" i="52069"/>
  <c r="C700" i="52069"/>
  <c r="G699" i="52069"/>
  <c r="B699" i="52069"/>
  <c r="A699" i="52069"/>
  <c r="C699" i="52069"/>
  <c r="G698" i="52069"/>
  <c r="B698" i="52069"/>
  <c r="A698" i="52069"/>
  <c r="C698" i="52069"/>
  <c r="G697" i="52069"/>
  <c r="B697" i="52069"/>
  <c r="A697" i="52069"/>
  <c r="C697" i="52069"/>
  <c r="G696" i="52069"/>
  <c r="B696" i="52069"/>
  <c r="A696" i="52069"/>
  <c r="C696" i="52069"/>
  <c r="G695" i="52069"/>
  <c r="B695" i="52069"/>
  <c r="A695" i="52069"/>
  <c r="C695" i="52069"/>
  <c r="G694" i="52069"/>
  <c r="B694" i="52069"/>
  <c r="A694" i="52069"/>
  <c r="C694" i="52069"/>
  <c r="G693" i="52069"/>
  <c r="B693" i="52069"/>
  <c r="A693" i="52069"/>
  <c r="C693" i="52069"/>
  <c r="G692" i="52069"/>
  <c r="B692" i="52069"/>
  <c r="A692" i="52069"/>
  <c r="C692" i="52069"/>
  <c r="G691" i="52069"/>
  <c r="B691" i="52069"/>
  <c r="A691" i="52069"/>
  <c r="C691" i="52069"/>
  <c r="G690" i="52069"/>
  <c r="B690" i="52069"/>
  <c r="A690" i="52069"/>
  <c r="C690" i="52069"/>
  <c r="G689" i="52069"/>
  <c r="B689" i="52069"/>
  <c r="A689" i="52069"/>
  <c r="C689" i="52069"/>
  <c r="G688" i="52069"/>
  <c r="B688" i="52069"/>
  <c r="A688" i="52069"/>
  <c r="C688" i="52069"/>
  <c r="G687" i="52069"/>
  <c r="B687" i="52069"/>
  <c r="A687" i="52069"/>
  <c r="C687" i="52069"/>
  <c r="G686" i="52069"/>
  <c r="B686" i="52069"/>
  <c r="A686" i="52069"/>
  <c r="C686" i="52069"/>
  <c r="G685" i="52069"/>
  <c r="B685" i="52069"/>
  <c r="A685" i="52069"/>
  <c r="C685" i="52069"/>
  <c r="G684" i="52069"/>
  <c r="B684" i="52069"/>
  <c r="A684" i="52069"/>
  <c r="C684" i="52069"/>
  <c r="G683" i="52069"/>
  <c r="B683" i="52069"/>
  <c r="A683" i="52069"/>
  <c r="C683" i="52069"/>
  <c r="G682" i="52069"/>
  <c r="B682" i="52069"/>
  <c r="A682" i="52069"/>
  <c r="C682" i="52069"/>
  <c r="G681" i="52069"/>
  <c r="B681" i="52069"/>
  <c r="A681" i="52069"/>
  <c r="C681" i="52069"/>
  <c r="G680" i="52069"/>
  <c r="B680" i="52069"/>
  <c r="A680" i="52069"/>
  <c r="C680" i="52069"/>
  <c r="G679" i="52069"/>
  <c r="B679" i="52069"/>
  <c r="A679" i="52069"/>
  <c r="C679" i="52069"/>
  <c r="G678" i="52069"/>
  <c r="B678" i="52069"/>
  <c r="A678" i="52069"/>
  <c r="C678" i="52069"/>
  <c r="G677" i="52069"/>
  <c r="B677" i="52069"/>
  <c r="A677" i="52069"/>
  <c r="C677" i="52069"/>
  <c r="G676" i="52069"/>
  <c r="B676" i="52069"/>
  <c r="A676" i="52069"/>
  <c r="C676" i="52069"/>
  <c r="G675" i="52069"/>
  <c r="B675" i="52069"/>
  <c r="A675" i="52069"/>
  <c r="C675" i="52069"/>
  <c r="G674" i="52069"/>
  <c r="B674" i="52069"/>
  <c r="A674" i="52069"/>
  <c r="C674" i="52069"/>
  <c r="G673" i="52069"/>
  <c r="B673" i="52069"/>
  <c r="A673" i="52069"/>
  <c r="C673" i="52069"/>
  <c r="G672" i="52069"/>
  <c r="B672" i="52069"/>
  <c r="A672" i="52069"/>
  <c r="C672" i="52069"/>
  <c r="G671" i="52069"/>
  <c r="B671" i="52069"/>
  <c r="A671" i="52069"/>
  <c r="C671" i="52069"/>
  <c r="G670" i="52069"/>
  <c r="B670" i="52069"/>
  <c r="A670" i="52069"/>
  <c r="C670" i="52069"/>
  <c r="G669" i="52069"/>
  <c r="B669" i="52069"/>
  <c r="A669" i="52069"/>
  <c r="C669" i="52069"/>
  <c r="G668" i="52069"/>
  <c r="B668" i="52069"/>
  <c r="A668" i="52069"/>
  <c r="C668" i="52069"/>
  <c r="G667" i="52069"/>
  <c r="B667" i="52069"/>
  <c r="A667" i="52069"/>
  <c r="C667" i="52069"/>
  <c r="G666" i="52069"/>
  <c r="B666" i="52069"/>
  <c r="A666" i="52069"/>
  <c r="C666" i="52069"/>
  <c r="G665" i="52069"/>
  <c r="B665" i="52069"/>
  <c r="A665" i="52069"/>
  <c r="C665" i="52069"/>
  <c r="G664" i="52069"/>
  <c r="B664" i="52069"/>
  <c r="A664" i="52069"/>
  <c r="C664" i="52069"/>
  <c r="G663" i="52069"/>
  <c r="B663" i="52069"/>
  <c r="A663" i="52069"/>
  <c r="C663" i="52069"/>
  <c r="G662" i="52069"/>
  <c r="B662" i="52069"/>
  <c r="A662" i="52069"/>
  <c r="C662" i="52069"/>
  <c r="G661" i="52069"/>
  <c r="B661" i="52069"/>
  <c r="A661" i="52069"/>
  <c r="C661" i="52069"/>
  <c r="G660" i="52069"/>
  <c r="B660" i="52069"/>
  <c r="A660" i="52069"/>
  <c r="C660" i="52069"/>
  <c r="G659" i="52069"/>
  <c r="B659" i="52069"/>
  <c r="A659" i="52069"/>
  <c r="C659" i="52069"/>
  <c r="G658" i="52069"/>
  <c r="B658" i="52069"/>
  <c r="A658" i="52069"/>
  <c r="C658" i="52069"/>
  <c r="G657" i="52069"/>
  <c r="B657" i="52069"/>
  <c r="A657" i="52069"/>
  <c r="C657" i="52069"/>
  <c r="G656" i="52069"/>
  <c r="B656" i="52069"/>
  <c r="A656" i="52069"/>
  <c r="C656" i="52069"/>
  <c r="G655" i="52069"/>
  <c r="B655" i="52069"/>
  <c r="A655" i="52069"/>
  <c r="C655" i="52069"/>
  <c r="G654" i="52069"/>
  <c r="B654" i="52069"/>
  <c r="A654" i="52069"/>
  <c r="C654" i="52069"/>
  <c r="G653" i="52069"/>
  <c r="B653" i="52069"/>
  <c r="A653" i="52069"/>
  <c r="C653" i="52069"/>
  <c r="G652" i="52069"/>
  <c r="B652" i="52069"/>
  <c r="A652" i="52069"/>
  <c r="C652" i="52069"/>
  <c r="G651" i="52069"/>
  <c r="B651" i="52069"/>
  <c r="A651" i="52069"/>
  <c r="C651" i="52069"/>
  <c r="G650" i="52069"/>
  <c r="B650" i="52069"/>
  <c r="A650" i="52069"/>
  <c r="C650" i="52069"/>
  <c r="G649" i="52069"/>
  <c r="B649" i="52069"/>
  <c r="A649" i="52069"/>
  <c r="C649" i="52069"/>
  <c r="G648" i="52069"/>
  <c r="B648" i="52069"/>
  <c r="A648" i="52069"/>
  <c r="C648" i="52069"/>
  <c r="G647" i="52069"/>
  <c r="B647" i="52069"/>
  <c r="A647" i="52069"/>
  <c r="C647" i="52069"/>
  <c r="G646" i="52069"/>
  <c r="B646" i="52069"/>
  <c r="A646" i="52069"/>
  <c r="C646" i="52069"/>
  <c r="G645" i="52069"/>
  <c r="B645" i="52069"/>
  <c r="A645" i="52069"/>
  <c r="C645" i="52069"/>
  <c r="G644" i="52069"/>
  <c r="B644" i="52069"/>
  <c r="A644" i="52069"/>
  <c r="C644" i="52069"/>
  <c r="G643" i="52069"/>
  <c r="B643" i="52069"/>
  <c r="A643" i="52069"/>
  <c r="C643" i="52069"/>
  <c r="G642" i="52069"/>
  <c r="B642" i="52069"/>
  <c r="A642" i="52069"/>
  <c r="C642" i="52069"/>
  <c r="G641" i="52069"/>
  <c r="B641" i="52069"/>
  <c r="A641" i="52069"/>
  <c r="C641" i="52069"/>
  <c r="G640" i="52069"/>
  <c r="B640" i="52069"/>
  <c r="A640" i="52069"/>
  <c r="C640" i="52069"/>
  <c r="G639" i="52069"/>
  <c r="B639" i="52069"/>
  <c r="A639" i="52069"/>
  <c r="C639" i="52069"/>
  <c r="G638" i="52069"/>
  <c r="B638" i="52069"/>
  <c r="A638" i="52069"/>
  <c r="C638" i="52069"/>
  <c r="G637" i="52069"/>
  <c r="B637" i="52069"/>
  <c r="A637" i="52069"/>
  <c r="C637" i="52069"/>
  <c r="G636" i="52069"/>
  <c r="B636" i="52069"/>
  <c r="A636" i="52069"/>
  <c r="C636" i="52069"/>
  <c r="G635" i="52069"/>
  <c r="B635" i="52069"/>
  <c r="A635" i="52069"/>
  <c r="C635" i="52069"/>
  <c r="G634" i="52069"/>
  <c r="B634" i="52069"/>
  <c r="A634" i="52069"/>
  <c r="C634" i="52069"/>
  <c r="G633" i="52069"/>
  <c r="B633" i="52069"/>
  <c r="A633" i="52069"/>
  <c r="C633" i="52069"/>
  <c r="G632" i="52069"/>
  <c r="B632" i="52069"/>
  <c r="A632" i="52069"/>
  <c r="C632" i="52069"/>
  <c r="G631" i="52069"/>
  <c r="B631" i="52069"/>
  <c r="A631" i="52069"/>
  <c r="C631" i="52069"/>
  <c r="G630" i="52069"/>
  <c r="B630" i="52069"/>
  <c r="A630" i="52069"/>
  <c r="C630" i="52069"/>
  <c r="G629" i="52069"/>
  <c r="B629" i="52069"/>
  <c r="A629" i="52069"/>
  <c r="C629" i="52069"/>
  <c r="G628" i="52069"/>
  <c r="B628" i="52069"/>
  <c r="A628" i="52069"/>
  <c r="C628" i="52069"/>
  <c r="G627" i="52069"/>
  <c r="B627" i="52069"/>
  <c r="A627" i="52069"/>
  <c r="C627" i="52069"/>
  <c r="G626" i="52069"/>
  <c r="B626" i="52069"/>
  <c r="A626" i="52069"/>
  <c r="C626" i="52069"/>
  <c r="G625" i="52069"/>
  <c r="B625" i="52069"/>
  <c r="A625" i="52069"/>
  <c r="C625" i="52069"/>
  <c r="G624" i="52069"/>
  <c r="B624" i="52069"/>
  <c r="A624" i="52069"/>
  <c r="C624" i="52069"/>
  <c r="G623" i="52069"/>
  <c r="B623" i="52069"/>
  <c r="A623" i="52069"/>
  <c r="C623" i="52069"/>
  <c r="G622" i="52069"/>
  <c r="B622" i="52069"/>
  <c r="A622" i="52069"/>
  <c r="C622" i="52069"/>
  <c r="G621" i="52069"/>
  <c r="B621" i="52069"/>
  <c r="A621" i="52069"/>
  <c r="C621" i="52069"/>
  <c r="G620" i="52069"/>
  <c r="B620" i="52069"/>
  <c r="A620" i="52069"/>
  <c r="C620" i="52069"/>
  <c r="G619" i="52069"/>
  <c r="B619" i="52069"/>
  <c r="A619" i="52069"/>
  <c r="C619" i="52069"/>
  <c r="G618" i="52069"/>
  <c r="B618" i="52069"/>
  <c r="A618" i="52069"/>
  <c r="C618" i="52069"/>
  <c r="G617" i="52069"/>
  <c r="B617" i="52069"/>
  <c r="A617" i="52069"/>
  <c r="C617" i="52069"/>
  <c r="G616" i="52069"/>
  <c r="B616" i="52069"/>
  <c r="A616" i="52069"/>
  <c r="C616" i="52069"/>
  <c r="G615" i="52069"/>
  <c r="B615" i="52069"/>
  <c r="A615" i="52069"/>
  <c r="C615" i="52069"/>
  <c r="G614" i="52069"/>
  <c r="B614" i="52069"/>
  <c r="A614" i="52069"/>
  <c r="C614" i="52069"/>
  <c r="G613" i="52069"/>
  <c r="B613" i="52069"/>
  <c r="A613" i="52069"/>
  <c r="C613" i="52069"/>
  <c r="G612" i="52069"/>
  <c r="B612" i="52069"/>
  <c r="A612" i="52069"/>
  <c r="C612" i="52069"/>
  <c r="G611" i="52069"/>
  <c r="B611" i="52069"/>
  <c r="A611" i="52069"/>
  <c r="C611" i="52069"/>
  <c r="G610" i="52069"/>
  <c r="B610" i="52069"/>
  <c r="A610" i="52069"/>
  <c r="C610" i="52069"/>
  <c r="G609" i="52069"/>
  <c r="B609" i="52069"/>
  <c r="A609" i="52069"/>
  <c r="C609" i="52069"/>
  <c r="G608" i="52069"/>
  <c r="B608" i="52069"/>
  <c r="A608" i="52069"/>
  <c r="C608" i="52069"/>
  <c r="G607" i="52069"/>
  <c r="B607" i="52069"/>
  <c r="A607" i="52069"/>
  <c r="C607" i="52069"/>
  <c r="G606" i="52069"/>
  <c r="B606" i="52069"/>
  <c r="A606" i="52069"/>
  <c r="C606" i="52069"/>
  <c r="G605" i="52069"/>
  <c r="B605" i="52069"/>
  <c r="A605" i="52069"/>
  <c r="C605" i="52069"/>
  <c r="G604" i="52069"/>
  <c r="B604" i="52069"/>
  <c r="A604" i="52069"/>
  <c r="C604" i="52069"/>
  <c r="G603" i="52069"/>
  <c r="B603" i="52069"/>
  <c r="A603" i="52069"/>
  <c r="C603" i="52069"/>
  <c r="G602" i="52069"/>
  <c r="B602" i="52069"/>
  <c r="A602" i="52069"/>
  <c r="C602" i="52069"/>
  <c r="G601" i="52069"/>
  <c r="B601" i="52069"/>
  <c r="A601" i="52069"/>
  <c r="C601" i="52069"/>
  <c r="G600" i="52069"/>
  <c r="B600" i="52069"/>
  <c r="A600" i="52069"/>
  <c r="C600" i="52069"/>
  <c r="G599" i="52069"/>
  <c r="B599" i="52069"/>
  <c r="A599" i="52069"/>
  <c r="C599" i="52069"/>
  <c r="G598" i="52069"/>
  <c r="B598" i="52069"/>
  <c r="A598" i="52069"/>
  <c r="C598" i="52069"/>
  <c r="G597" i="52069"/>
  <c r="B597" i="52069"/>
  <c r="A597" i="52069"/>
  <c r="C597" i="52069"/>
  <c r="G596" i="52069"/>
  <c r="B596" i="52069"/>
  <c r="A596" i="52069"/>
  <c r="C596" i="52069"/>
  <c r="G595" i="52069"/>
  <c r="B595" i="52069"/>
  <c r="A595" i="52069"/>
  <c r="C595" i="52069"/>
  <c r="G594" i="52069"/>
  <c r="B594" i="52069"/>
  <c r="A594" i="52069"/>
  <c r="C594" i="52069"/>
  <c r="G593" i="52069"/>
  <c r="B593" i="52069"/>
  <c r="A593" i="52069"/>
  <c r="C593" i="52069"/>
  <c r="G592" i="52069"/>
  <c r="B592" i="52069"/>
  <c r="A592" i="52069"/>
  <c r="C592" i="52069"/>
  <c r="G591" i="52069"/>
  <c r="B591" i="52069"/>
  <c r="A591" i="52069"/>
  <c r="C591" i="52069"/>
  <c r="G590" i="52069"/>
  <c r="B590" i="52069"/>
  <c r="A590" i="52069"/>
  <c r="C590" i="52069"/>
  <c r="G589" i="52069"/>
  <c r="B589" i="52069"/>
  <c r="A589" i="52069"/>
  <c r="C589" i="52069"/>
  <c r="G588" i="52069"/>
  <c r="B588" i="52069"/>
  <c r="A588" i="52069"/>
  <c r="C588" i="52069"/>
  <c r="G587" i="52069"/>
  <c r="B587" i="52069"/>
  <c r="A587" i="52069"/>
  <c r="C587" i="52069"/>
  <c r="G586" i="52069"/>
  <c r="B586" i="52069"/>
  <c r="A586" i="52069"/>
  <c r="C586" i="52069"/>
  <c r="G585" i="52069"/>
  <c r="B585" i="52069"/>
  <c r="A585" i="52069"/>
  <c r="C585" i="52069"/>
  <c r="G584" i="52069"/>
  <c r="B584" i="52069"/>
  <c r="A584" i="52069"/>
  <c r="C584" i="52069"/>
  <c r="G583" i="52069"/>
  <c r="B583" i="52069"/>
  <c r="A583" i="52069"/>
  <c r="C583" i="52069"/>
  <c r="G582" i="52069"/>
  <c r="B582" i="52069"/>
  <c r="A582" i="52069"/>
  <c r="C582" i="52069"/>
  <c r="G581" i="52069"/>
  <c r="B581" i="52069"/>
  <c r="A581" i="52069"/>
  <c r="C581" i="52069"/>
  <c r="G580" i="52069"/>
  <c r="B580" i="52069"/>
  <c r="A580" i="52069"/>
  <c r="C580" i="52069"/>
  <c r="G579" i="52069"/>
  <c r="B579" i="52069"/>
  <c r="A579" i="52069"/>
  <c r="C579" i="52069"/>
  <c r="G578" i="52069"/>
  <c r="B578" i="52069"/>
  <c r="A578" i="52069"/>
  <c r="C578" i="52069"/>
  <c r="G577" i="52069"/>
  <c r="B577" i="52069"/>
  <c r="A577" i="52069"/>
  <c r="C577" i="52069"/>
  <c r="G576" i="52069"/>
  <c r="B576" i="52069"/>
  <c r="A576" i="52069"/>
  <c r="C576" i="52069"/>
  <c r="G575" i="52069"/>
  <c r="B575" i="52069"/>
  <c r="A575" i="52069"/>
  <c r="C575" i="52069"/>
  <c r="G574" i="52069"/>
  <c r="B574" i="52069"/>
  <c r="A574" i="52069"/>
  <c r="C574" i="52069"/>
  <c r="G573" i="52069"/>
  <c r="B573" i="52069"/>
  <c r="A573" i="52069"/>
  <c r="C573" i="52069"/>
  <c r="G572" i="52069"/>
  <c r="B572" i="52069"/>
  <c r="A572" i="52069"/>
  <c r="C572" i="52069"/>
  <c r="G571" i="52069"/>
  <c r="B571" i="52069"/>
  <c r="A571" i="52069"/>
  <c r="C571" i="52069"/>
  <c r="G570" i="52069"/>
  <c r="B570" i="52069"/>
  <c r="A570" i="52069"/>
  <c r="C570" i="52069"/>
  <c r="G569" i="52069"/>
  <c r="B569" i="52069"/>
  <c r="A569" i="52069"/>
  <c r="C569" i="52069"/>
  <c r="G568" i="52069"/>
  <c r="B568" i="52069"/>
  <c r="A568" i="52069"/>
  <c r="C568" i="52069"/>
  <c r="G567" i="52069"/>
  <c r="B567" i="52069"/>
  <c r="A567" i="52069"/>
  <c r="C567" i="52069"/>
  <c r="G566" i="52069"/>
  <c r="B566" i="52069"/>
  <c r="A566" i="52069"/>
  <c r="C566" i="52069"/>
  <c r="G565" i="52069"/>
  <c r="B565" i="52069"/>
  <c r="A565" i="52069"/>
  <c r="C565" i="52069"/>
  <c r="G564" i="52069"/>
  <c r="B564" i="52069"/>
  <c r="A564" i="52069"/>
  <c r="C564" i="52069"/>
  <c r="G563" i="52069"/>
  <c r="B563" i="52069"/>
  <c r="A563" i="52069"/>
  <c r="C563" i="52069"/>
  <c r="G562" i="52069"/>
  <c r="B562" i="52069"/>
  <c r="A562" i="52069"/>
  <c r="C562" i="52069"/>
  <c r="G561" i="52069"/>
  <c r="B561" i="52069"/>
  <c r="A561" i="52069"/>
  <c r="C561" i="52069"/>
  <c r="G560" i="52069"/>
  <c r="B560" i="52069"/>
  <c r="A560" i="52069"/>
  <c r="C560" i="52069"/>
  <c r="G559" i="52069"/>
  <c r="B559" i="52069"/>
  <c r="A559" i="52069"/>
  <c r="C559" i="52069"/>
  <c r="G558" i="52069"/>
  <c r="B558" i="52069"/>
  <c r="A558" i="52069"/>
  <c r="C558" i="52069"/>
  <c r="G557" i="52069"/>
  <c r="B557" i="52069"/>
  <c r="A557" i="52069"/>
  <c r="C557" i="52069"/>
  <c r="G556" i="52069"/>
  <c r="B556" i="52069"/>
  <c r="A556" i="52069"/>
  <c r="C556" i="52069"/>
  <c r="G555" i="52069"/>
  <c r="B555" i="52069"/>
  <c r="A555" i="52069"/>
  <c r="C555" i="52069"/>
  <c r="G554" i="52069"/>
  <c r="B554" i="52069"/>
  <c r="A554" i="52069"/>
  <c r="C554" i="52069"/>
  <c r="G553" i="52069"/>
  <c r="B553" i="52069"/>
  <c r="A553" i="52069"/>
  <c r="C553" i="52069"/>
  <c r="G552" i="52069"/>
  <c r="B552" i="52069"/>
  <c r="A552" i="52069"/>
  <c r="C552" i="52069"/>
  <c r="G551" i="52069"/>
  <c r="B551" i="52069"/>
  <c r="A551" i="52069"/>
  <c r="C551" i="52069"/>
  <c r="G550" i="52069"/>
  <c r="B550" i="52069"/>
  <c r="A550" i="52069"/>
  <c r="C550" i="52069"/>
  <c r="G549" i="52069"/>
  <c r="B549" i="52069"/>
  <c r="A549" i="52069"/>
  <c r="C549" i="52069"/>
  <c r="G548" i="52069"/>
  <c r="B548" i="52069"/>
  <c r="A548" i="52069"/>
  <c r="C548" i="52069"/>
  <c r="G547" i="52069"/>
  <c r="B547" i="52069"/>
  <c r="A547" i="52069"/>
  <c r="C547" i="52069"/>
  <c r="G546" i="52069"/>
  <c r="B546" i="52069"/>
  <c r="A546" i="52069"/>
  <c r="C546" i="52069"/>
  <c r="G545" i="52069"/>
  <c r="B545" i="52069"/>
  <c r="A545" i="52069"/>
  <c r="C545" i="52069"/>
  <c r="G544" i="52069"/>
  <c r="B544" i="52069"/>
  <c r="A544" i="52069"/>
  <c r="C544" i="52069"/>
  <c r="G543" i="52069"/>
  <c r="B543" i="52069"/>
  <c r="A543" i="52069"/>
  <c r="C543" i="52069"/>
  <c r="G542" i="52069"/>
  <c r="B542" i="52069"/>
  <c r="A542" i="52069"/>
  <c r="C542" i="52069"/>
  <c r="G541" i="52069"/>
  <c r="B541" i="52069"/>
  <c r="A541" i="52069"/>
  <c r="C541" i="52069"/>
  <c r="G540" i="52069"/>
  <c r="B540" i="52069"/>
  <c r="A540" i="52069"/>
  <c r="C540" i="52069"/>
  <c r="G539" i="52069"/>
  <c r="B539" i="52069"/>
  <c r="A539" i="52069"/>
  <c r="C539" i="52069"/>
  <c r="G538" i="52069"/>
  <c r="B538" i="52069"/>
  <c r="A538" i="52069"/>
  <c r="C538" i="52069"/>
  <c r="G537" i="52069"/>
  <c r="B537" i="52069"/>
  <c r="A537" i="52069"/>
  <c r="C537" i="52069"/>
  <c r="G536" i="52069"/>
  <c r="B536" i="52069"/>
  <c r="A536" i="52069"/>
  <c r="C536" i="52069"/>
  <c r="G535" i="52069"/>
  <c r="B535" i="52069"/>
  <c r="A535" i="52069"/>
  <c r="C535" i="52069"/>
  <c r="G534" i="52069"/>
  <c r="B534" i="52069"/>
  <c r="A534" i="52069"/>
  <c r="C534" i="52069"/>
  <c r="G533" i="52069"/>
  <c r="B533" i="52069"/>
  <c r="A533" i="52069"/>
  <c r="C533" i="52069"/>
  <c r="G532" i="52069"/>
  <c r="B532" i="52069"/>
  <c r="A532" i="52069"/>
  <c r="C532" i="52069"/>
  <c r="G531" i="52069"/>
  <c r="B531" i="52069"/>
  <c r="A531" i="52069"/>
  <c r="C531" i="52069"/>
  <c r="G530" i="52069"/>
  <c r="B530" i="52069"/>
  <c r="A530" i="52069"/>
  <c r="C530" i="52069"/>
  <c r="G529" i="52069"/>
  <c r="B529" i="52069"/>
  <c r="A529" i="52069"/>
  <c r="C529" i="52069"/>
  <c r="G528" i="52069"/>
  <c r="B528" i="52069"/>
  <c r="A528" i="52069"/>
  <c r="C528" i="52069"/>
  <c r="G527" i="52069"/>
  <c r="B527" i="52069"/>
  <c r="A527" i="52069"/>
  <c r="C527" i="52069"/>
  <c r="G526" i="52069"/>
  <c r="B526" i="52069"/>
  <c r="A526" i="52069"/>
  <c r="C526" i="52069"/>
  <c r="G525" i="52069"/>
  <c r="B525" i="52069"/>
  <c r="A525" i="52069"/>
  <c r="C525" i="52069"/>
  <c r="G524" i="52069"/>
  <c r="B524" i="52069"/>
  <c r="A524" i="52069"/>
  <c r="C524" i="52069"/>
  <c r="G523" i="52069"/>
  <c r="B523" i="52069"/>
  <c r="A523" i="52069"/>
  <c r="C523" i="52069"/>
  <c r="G522" i="52069"/>
  <c r="B522" i="52069"/>
  <c r="A522" i="52069"/>
  <c r="C522" i="52069"/>
  <c r="G521" i="52069"/>
  <c r="B521" i="52069"/>
  <c r="A521" i="52069"/>
  <c r="C521" i="52069"/>
  <c r="G520" i="52069"/>
  <c r="B520" i="52069"/>
  <c r="A520" i="52069"/>
  <c r="C520" i="52069"/>
  <c r="G519" i="52069"/>
  <c r="B519" i="52069"/>
  <c r="A519" i="52069"/>
  <c r="C519" i="52069"/>
  <c r="G518" i="52069"/>
  <c r="B518" i="52069"/>
  <c r="A518" i="52069"/>
  <c r="C518" i="52069"/>
  <c r="G517" i="52069"/>
  <c r="B517" i="52069"/>
  <c r="A517" i="52069"/>
  <c r="C517" i="52069"/>
  <c r="G516" i="52069"/>
  <c r="B516" i="52069"/>
  <c r="A516" i="52069"/>
  <c r="C516" i="52069"/>
  <c r="G515" i="52069"/>
  <c r="B515" i="52069"/>
  <c r="A515" i="52069"/>
  <c r="C515" i="52069"/>
  <c r="G514" i="52069"/>
  <c r="B514" i="52069"/>
  <c r="A514" i="52069"/>
  <c r="C514" i="52069"/>
  <c r="G513" i="52069"/>
  <c r="B513" i="52069"/>
  <c r="A513" i="52069"/>
  <c r="C513" i="52069"/>
  <c r="G512" i="52069"/>
  <c r="B512" i="52069"/>
  <c r="A512" i="52069"/>
  <c r="C512" i="52069"/>
  <c r="G511" i="52069"/>
  <c r="B511" i="52069"/>
  <c r="A511" i="52069"/>
  <c r="C511" i="52069"/>
  <c r="G510" i="52069"/>
  <c r="B510" i="52069"/>
  <c r="A510" i="52069"/>
  <c r="C510" i="52069"/>
  <c r="G509" i="52069"/>
  <c r="B509" i="52069"/>
  <c r="A509" i="52069"/>
  <c r="C509" i="52069"/>
  <c r="G508" i="52069"/>
  <c r="B508" i="52069"/>
  <c r="A508" i="52069"/>
  <c r="C508" i="52069"/>
  <c r="G507" i="52069"/>
  <c r="B507" i="52069"/>
  <c r="A507" i="52069"/>
  <c r="C507" i="52069"/>
  <c r="G506" i="52069"/>
  <c r="B506" i="52069"/>
  <c r="A506" i="52069"/>
  <c r="C506" i="52069"/>
  <c r="G505" i="52069"/>
  <c r="B505" i="52069"/>
  <c r="A505" i="52069"/>
  <c r="C505" i="52069"/>
  <c r="G504" i="52069"/>
  <c r="B504" i="52069"/>
  <c r="A504" i="52069"/>
  <c r="C504" i="52069"/>
  <c r="G503" i="52069"/>
  <c r="B503" i="52069"/>
  <c r="A503" i="52069"/>
  <c r="C503" i="52069"/>
  <c r="G502" i="52069"/>
  <c r="B502" i="52069"/>
  <c r="A502" i="52069"/>
  <c r="C502" i="52069"/>
  <c r="G501" i="52069"/>
  <c r="B501" i="52069"/>
  <c r="A501" i="52069"/>
  <c r="C501" i="52069"/>
  <c r="G500" i="52069"/>
  <c r="B500" i="52069"/>
  <c r="A500" i="52069"/>
  <c r="C500" i="52069"/>
  <c r="G499" i="52069"/>
  <c r="B499" i="52069"/>
  <c r="A499" i="52069"/>
  <c r="C499" i="52069"/>
  <c r="G498" i="52069"/>
  <c r="B498" i="52069"/>
  <c r="A498" i="52069"/>
  <c r="C498" i="52069"/>
  <c r="G497" i="52069"/>
  <c r="B497" i="52069"/>
  <c r="A497" i="52069"/>
  <c r="C497" i="52069"/>
  <c r="G496" i="52069"/>
  <c r="B496" i="52069"/>
  <c r="A496" i="52069"/>
  <c r="C496" i="52069"/>
  <c r="G495" i="52069"/>
  <c r="B495" i="52069"/>
  <c r="A495" i="52069"/>
  <c r="C495" i="52069"/>
  <c r="G494" i="52069"/>
  <c r="B494" i="52069"/>
  <c r="A494" i="52069"/>
  <c r="C494" i="52069"/>
  <c r="G493" i="52069"/>
  <c r="B493" i="52069"/>
  <c r="A493" i="52069"/>
  <c r="C493" i="52069"/>
  <c r="G492" i="52069"/>
  <c r="K2421" i="52069"/>
  <c r="B492" i="52069"/>
  <c r="A492" i="52069"/>
  <c r="C492" i="52069" s="1"/>
  <c r="G491" i="52069"/>
  <c r="B491" i="52069"/>
  <c r="A491" i="52069"/>
  <c r="G490" i="52069"/>
  <c r="B490" i="52069"/>
  <c r="A490" i="52069"/>
  <c r="C490" i="52069" s="1"/>
  <c r="G489" i="52069"/>
  <c r="B489" i="52069"/>
  <c r="A489" i="52069"/>
  <c r="G488" i="52069"/>
  <c r="B488" i="52069"/>
  <c r="A488" i="52069"/>
  <c r="C488" i="52069" s="1"/>
  <c r="G487" i="52069"/>
  <c r="B487" i="52069"/>
  <c r="A487" i="52069"/>
  <c r="G486" i="52069"/>
  <c r="B486" i="52069"/>
  <c r="A486" i="52069"/>
  <c r="C486" i="52069" s="1"/>
  <c r="G485" i="52069"/>
  <c r="B485" i="52069"/>
  <c r="A485" i="52069"/>
  <c r="G484" i="52069"/>
  <c r="B484" i="52069"/>
  <c r="A484" i="52069"/>
  <c r="C484" i="52069" s="1"/>
  <c r="G483" i="52069"/>
  <c r="B483" i="52069"/>
  <c r="A483" i="52069"/>
  <c r="G482" i="52069"/>
  <c r="B482" i="52069"/>
  <c r="A482" i="52069"/>
  <c r="C482" i="52069" s="1"/>
  <c r="G481" i="52069"/>
  <c r="B481" i="52069"/>
  <c r="A481" i="52069"/>
  <c r="G480" i="52069"/>
  <c r="B480" i="52069"/>
  <c r="A480" i="52069"/>
  <c r="C480" i="52069" s="1"/>
  <c r="G479" i="52069"/>
  <c r="B479" i="52069"/>
  <c r="A479" i="52069"/>
  <c r="G478" i="52069"/>
  <c r="B478" i="52069"/>
  <c r="A478" i="52069"/>
  <c r="C478" i="52069" s="1"/>
  <c r="G477" i="52069"/>
  <c r="B477" i="52069"/>
  <c r="A477" i="52069"/>
  <c r="G476" i="52069"/>
  <c r="B476" i="52069"/>
  <c r="A476" i="52069"/>
  <c r="C476" i="52069" s="1"/>
  <c r="G475" i="52069"/>
  <c r="B475" i="52069"/>
  <c r="A475" i="52069"/>
  <c r="G474" i="52069"/>
  <c r="B474" i="52069"/>
  <c r="A474" i="52069"/>
  <c r="C474" i="52069" s="1"/>
  <c r="G473" i="52069"/>
  <c r="B473" i="52069"/>
  <c r="A473" i="52069"/>
  <c r="G472" i="52069"/>
  <c r="B472" i="52069"/>
  <c r="A472" i="52069"/>
  <c r="C472" i="52069" s="1"/>
  <c r="G471" i="52069"/>
  <c r="B471" i="52069"/>
  <c r="A471" i="52069"/>
  <c r="G470" i="52069"/>
  <c r="B470" i="52069"/>
  <c r="A470" i="52069"/>
  <c r="C470" i="52069" s="1"/>
  <c r="G469" i="52069"/>
  <c r="B469" i="52069"/>
  <c r="A469" i="52069"/>
  <c r="G468" i="52069"/>
  <c r="B468" i="52069"/>
  <c r="A468" i="52069"/>
  <c r="C468" i="52069" s="1"/>
  <c r="G467" i="52069"/>
  <c r="B467" i="52069"/>
  <c r="A467" i="52069"/>
  <c r="G466" i="52069"/>
  <c r="B466" i="52069"/>
  <c r="A466" i="52069"/>
  <c r="C466" i="52069" s="1"/>
  <c r="G465" i="52069"/>
  <c r="B465" i="52069"/>
  <c r="A465" i="52069"/>
  <c r="G464" i="52069"/>
  <c r="B464" i="52069"/>
  <c r="A464" i="52069"/>
  <c r="C464" i="52069" s="1"/>
  <c r="G463" i="52069"/>
  <c r="B463" i="52069"/>
  <c r="A463" i="52069"/>
  <c r="G462" i="52069"/>
  <c r="B462" i="52069"/>
  <c r="A462" i="52069"/>
  <c r="C462" i="52069" s="1"/>
  <c r="G461" i="52069"/>
  <c r="B461" i="52069"/>
  <c r="A461" i="52069"/>
  <c r="G460" i="52069"/>
  <c r="B460" i="52069"/>
  <c r="A460" i="52069"/>
  <c r="C460" i="52069" s="1"/>
  <c r="G459" i="52069"/>
  <c r="B459" i="52069"/>
  <c r="A459" i="52069"/>
  <c r="G458" i="52069"/>
  <c r="B458" i="52069"/>
  <c r="A458" i="52069"/>
  <c r="C458" i="52069" s="1"/>
  <c r="G457" i="52069"/>
  <c r="B457" i="52069"/>
  <c r="A457" i="52069"/>
  <c r="G456" i="52069"/>
  <c r="B456" i="52069"/>
  <c r="A456" i="52069"/>
  <c r="C456" i="52069" s="1"/>
  <c r="G455" i="52069"/>
  <c r="B455" i="52069"/>
  <c r="A455" i="52069"/>
  <c r="G454" i="52069"/>
  <c r="B454" i="52069"/>
  <c r="A454" i="52069"/>
  <c r="C454" i="52069" s="1"/>
  <c r="G453" i="52069"/>
  <c r="B453" i="52069"/>
  <c r="A453" i="52069"/>
  <c r="G452" i="52069"/>
  <c r="B452" i="52069"/>
  <c r="A452" i="52069"/>
  <c r="C452" i="52069" s="1"/>
  <c r="G451" i="52069"/>
  <c r="B451" i="52069"/>
  <c r="A451" i="52069"/>
  <c r="G450" i="52069"/>
  <c r="B450" i="52069"/>
  <c r="A450" i="52069"/>
  <c r="C450" i="52069" s="1"/>
  <c r="G449" i="52069"/>
  <c r="B449" i="52069"/>
  <c r="A449" i="52069"/>
  <c r="G448" i="52069"/>
  <c r="B448" i="52069"/>
  <c r="A448" i="52069"/>
  <c r="C448" i="52069" s="1"/>
  <c r="G447" i="52069"/>
  <c r="B447" i="52069"/>
  <c r="A447" i="52069"/>
  <c r="G446" i="52069"/>
  <c r="B446" i="52069"/>
  <c r="A446" i="52069"/>
  <c r="C446" i="52069" s="1"/>
  <c r="G445" i="52069"/>
  <c r="B445" i="52069"/>
  <c r="A445" i="52069"/>
  <c r="G444" i="52069"/>
  <c r="B444" i="52069"/>
  <c r="A444" i="52069"/>
  <c r="C444" i="52069" s="1"/>
  <c r="G443" i="52069"/>
  <c r="B443" i="52069"/>
  <c r="A443" i="52069"/>
  <c r="G442" i="52069"/>
  <c r="B442" i="52069"/>
  <c r="A442" i="52069"/>
  <c r="C442" i="52069" s="1"/>
  <c r="G441" i="52069"/>
  <c r="B441" i="52069"/>
  <c r="A441" i="52069"/>
  <c r="G440" i="52069"/>
  <c r="B440" i="52069"/>
  <c r="A440" i="52069"/>
  <c r="C440" i="52069" s="1"/>
  <c r="G439" i="52069"/>
  <c r="B439" i="52069"/>
  <c r="A439" i="52069"/>
  <c r="G438" i="52069"/>
  <c r="B438" i="52069"/>
  <c r="A438" i="52069"/>
  <c r="C438" i="52069" s="1"/>
  <c r="G437" i="52069"/>
  <c r="B437" i="52069"/>
  <c r="A437" i="52069"/>
  <c r="G436" i="52069"/>
  <c r="B436" i="52069"/>
  <c r="A436" i="52069"/>
  <c r="C436" i="52069" s="1"/>
  <c r="G435" i="52069"/>
  <c r="B435" i="52069"/>
  <c r="A435" i="52069"/>
  <c r="G434" i="52069"/>
  <c r="B434" i="52069"/>
  <c r="A434" i="52069"/>
  <c r="C434" i="52069" s="1"/>
  <c r="G433" i="52069"/>
  <c r="B433" i="52069"/>
  <c r="A433" i="52069"/>
  <c r="G432" i="52069"/>
  <c r="B432" i="52069"/>
  <c r="A432" i="52069"/>
  <c r="C432" i="52069" s="1"/>
  <c r="G431" i="52069"/>
  <c r="B431" i="52069"/>
  <c r="A431" i="52069"/>
  <c r="G430" i="52069"/>
  <c r="B430" i="52069"/>
  <c r="A430" i="52069"/>
  <c r="C430" i="52069" s="1"/>
  <c r="G429" i="52069"/>
  <c r="B429" i="52069"/>
  <c r="A429" i="52069"/>
  <c r="G428" i="52069"/>
  <c r="B428" i="52069"/>
  <c r="A428" i="52069"/>
  <c r="C428" i="52069" s="1"/>
  <c r="G427" i="52069"/>
  <c r="B427" i="52069"/>
  <c r="A427" i="52069"/>
  <c r="G426" i="52069"/>
  <c r="B426" i="52069"/>
  <c r="A426" i="52069"/>
  <c r="C426" i="52069" s="1"/>
  <c r="G425" i="52069"/>
  <c r="B425" i="52069"/>
  <c r="A425" i="52069"/>
  <c r="G424" i="52069"/>
  <c r="B424" i="52069"/>
  <c r="A424" i="52069"/>
  <c r="C424" i="52069" s="1"/>
  <c r="G423" i="52069"/>
  <c r="B423" i="52069"/>
  <c r="A423" i="52069"/>
  <c r="G422" i="52069"/>
  <c r="B422" i="52069"/>
  <c r="A422" i="52069"/>
  <c r="C422" i="52069" s="1"/>
  <c r="G421" i="52069"/>
  <c r="B421" i="52069"/>
  <c r="A421" i="52069"/>
  <c r="G420" i="52069"/>
  <c r="B420" i="52069"/>
  <c r="A420" i="52069"/>
  <c r="C420" i="52069" s="1"/>
  <c r="G419" i="52069"/>
  <c r="B419" i="52069"/>
  <c r="A419" i="52069"/>
  <c r="G418" i="52069"/>
  <c r="B418" i="52069"/>
  <c r="A418" i="52069"/>
  <c r="C418" i="52069" s="1"/>
  <c r="G417" i="52069"/>
  <c r="B417" i="52069"/>
  <c r="A417" i="52069"/>
  <c r="G416" i="52069"/>
  <c r="B416" i="52069"/>
  <c r="A416" i="52069"/>
  <c r="C416" i="52069" s="1"/>
  <c r="G415" i="52069"/>
  <c r="B415" i="52069"/>
  <c r="A415" i="52069"/>
  <c r="G414" i="52069"/>
  <c r="B414" i="52069"/>
  <c r="A414" i="52069"/>
  <c r="C414" i="52069" s="1"/>
  <c r="G413" i="52069"/>
  <c r="B413" i="52069"/>
  <c r="A413" i="52069"/>
  <c r="G412" i="52069"/>
  <c r="B412" i="52069"/>
  <c r="A412" i="52069"/>
  <c r="C412" i="52069" s="1"/>
  <c r="G411" i="52069"/>
  <c r="B411" i="52069"/>
  <c r="A411" i="52069"/>
  <c r="G410" i="52069"/>
  <c r="B410" i="52069"/>
  <c r="A410" i="52069"/>
  <c r="C410" i="52069" s="1"/>
  <c r="G409" i="52069"/>
  <c r="B409" i="52069"/>
  <c r="A409" i="52069"/>
  <c r="G408" i="52069"/>
  <c r="B408" i="52069"/>
  <c r="A408" i="52069"/>
  <c r="C408" i="52069" s="1"/>
  <c r="G407" i="52069"/>
  <c r="B407" i="52069"/>
  <c r="A407" i="52069"/>
  <c r="G406" i="52069"/>
  <c r="B406" i="52069"/>
  <c r="A406" i="52069"/>
  <c r="C406" i="52069" s="1"/>
  <c r="G405" i="52069"/>
  <c r="B405" i="52069"/>
  <c r="A405" i="52069"/>
  <c r="G404" i="52069"/>
  <c r="B404" i="52069"/>
  <c r="A404" i="52069"/>
  <c r="C404" i="52069" s="1"/>
  <c r="G403" i="52069"/>
  <c r="B403" i="52069"/>
  <c r="A403" i="52069"/>
  <c r="G402" i="52069"/>
  <c r="B402" i="52069"/>
  <c r="A402" i="52069"/>
  <c r="C402" i="52069" s="1"/>
  <c r="G401" i="52069"/>
  <c r="B401" i="52069"/>
  <c r="A401" i="52069"/>
  <c r="G400" i="52069"/>
  <c r="B400" i="52069"/>
  <c r="A400" i="52069"/>
  <c r="C400" i="52069" s="1"/>
  <c r="G399" i="52069"/>
  <c r="B399" i="52069"/>
  <c r="A399" i="52069"/>
  <c r="G398" i="52069"/>
  <c r="B398" i="52069"/>
  <c r="A398" i="52069"/>
  <c r="C398" i="52069" s="1"/>
  <c r="G397" i="52069"/>
  <c r="B397" i="52069"/>
  <c r="A397" i="52069"/>
  <c r="G396" i="52069"/>
  <c r="B396" i="52069"/>
  <c r="A396" i="52069"/>
  <c r="C396" i="52069" s="1"/>
  <c r="G395" i="52069"/>
  <c r="B395" i="52069"/>
  <c r="A395" i="52069"/>
  <c r="G394" i="52069"/>
  <c r="B394" i="52069"/>
  <c r="A394" i="52069"/>
  <c r="C394" i="52069" s="1"/>
  <c r="G393" i="52069"/>
  <c r="B393" i="52069"/>
  <c r="A393" i="52069"/>
  <c r="G392" i="52069"/>
  <c r="B392" i="52069"/>
  <c r="A392" i="52069"/>
  <c r="C392" i="52069" s="1"/>
  <c r="G391" i="52069"/>
  <c r="B391" i="52069"/>
  <c r="A391" i="52069"/>
  <c r="G390" i="52069"/>
  <c r="B390" i="52069"/>
  <c r="A390" i="52069"/>
  <c r="C390" i="52069" s="1"/>
  <c r="G389" i="52069"/>
  <c r="B389" i="52069"/>
  <c r="A389" i="52069"/>
  <c r="G388" i="52069"/>
  <c r="B388" i="52069"/>
  <c r="A388" i="52069"/>
  <c r="C388" i="52069" s="1"/>
  <c r="G387" i="52069"/>
  <c r="B387" i="52069"/>
  <c r="A387" i="52069"/>
  <c r="G386" i="52069"/>
  <c r="B386" i="52069"/>
  <c r="A386" i="52069"/>
  <c r="C386" i="52069" s="1"/>
  <c r="G385" i="52069"/>
  <c r="B385" i="52069"/>
  <c r="A385" i="52069"/>
  <c r="G384" i="52069"/>
  <c r="B384" i="52069"/>
  <c r="A384" i="52069"/>
  <c r="C384" i="52069" s="1"/>
  <c r="G383" i="52069"/>
  <c r="B383" i="52069"/>
  <c r="A383" i="52069"/>
  <c r="G382" i="52069"/>
  <c r="B382" i="52069"/>
  <c r="A382" i="52069"/>
  <c r="C382" i="52069" s="1"/>
  <c r="G381" i="52069"/>
  <c r="B381" i="52069"/>
  <c r="A381" i="52069"/>
  <c r="G380" i="52069"/>
  <c r="B380" i="52069"/>
  <c r="A380" i="52069"/>
  <c r="C380" i="52069" s="1"/>
  <c r="G379" i="52069"/>
  <c r="B379" i="52069"/>
  <c r="A379" i="52069"/>
  <c r="G378" i="52069"/>
  <c r="B378" i="52069"/>
  <c r="A378" i="52069"/>
  <c r="C378" i="52069" s="1"/>
  <c r="G377" i="52069"/>
  <c r="B377" i="52069"/>
  <c r="A377" i="52069"/>
  <c r="G376" i="52069"/>
  <c r="B376" i="52069"/>
  <c r="A376" i="52069"/>
  <c r="C376" i="52069" s="1"/>
  <c r="G375" i="52069"/>
  <c r="B375" i="52069"/>
  <c r="A375" i="52069"/>
  <c r="G374" i="52069"/>
  <c r="B374" i="52069"/>
  <c r="A374" i="52069"/>
  <c r="C374" i="52069" s="1"/>
  <c r="G373" i="52069"/>
  <c r="B373" i="52069"/>
  <c r="A373" i="52069"/>
  <c r="G372" i="52069"/>
  <c r="B372" i="52069"/>
  <c r="A372" i="52069"/>
  <c r="C372" i="52069" s="1"/>
  <c r="G371" i="52069"/>
  <c r="B371" i="52069"/>
  <c r="A371" i="52069"/>
  <c r="G370" i="52069"/>
  <c r="B370" i="52069"/>
  <c r="A370" i="52069"/>
  <c r="C370" i="52069" s="1"/>
  <c r="G369" i="52069"/>
  <c r="B369" i="52069"/>
  <c r="A369" i="52069"/>
  <c r="G368" i="52069"/>
  <c r="B368" i="52069"/>
  <c r="A368" i="52069"/>
  <c r="C368" i="52069" s="1"/>
  <c r="G367" i="52069"/>
  <c r="B367" i="52069"/>
  <c r="A367" i="52069"/>
  <c r="G366" i="52069"/>
  <c r="B366" i="52069"/>
  <c r="A366" i="52069"/>
  <c r="C366" i="52069" s="1"/>
  <c r="G365" i="52069"/>
  <c r="B365" i="52069"/>
  <c r="A365" i="52069"/>
  <c r="G364" i="52069"/>
  <c r="B364" i="52069"/>
  <c r="A364" i="52069"/>
  <c r="C364" i="52069" s="1"/>
  <c r="G363" i="52069"/>
  <c r="B363" i="52069"/>
  <c r="A363" i="52069"/>
  <c r="G362" i="52069"/>
  <c r="B362" i="52069"/>
  <c r="A362" i="52069"/>
  <c r="C362" i="52069" s="1"/>
  <c r="G361" i="52069"/>
  <c r="B361" i="52069"/>
  <c r="A361" i="52069"/>
  <c r="G360" i="52069"/>
  <c r="B360" i="52069"/>
  <c r="A360" i="52069"/>
  <c r="C360" i="52069" s="1"/>
  <c r="G359" i="52069"/>
  <c r="B359" i="52069"/>
  <c r="A359" i="52069"/>
  <c r="G358" i="52069"/>
  <c r="B358" i="52069"/>
  <c r="A358" i="52069"/>
  <c r="C358" i="52069" s="1"/>
  <c r="G357" i="52069"/>
  <c r="B357" i="52069"/>
  <c r="A357" i="52069"/>
  <c r="G356" i="52069"/>
  <c r="B356" i="52069"/>
  <c r="A356" i="52069"/>
  <c r="C356" i="52069" s="1"/>
  <c r="G355" i="52069"/>
  <c r="B355" i="52069"/>
  <c r="A355" i="52069"/>
  <c r="G354" i="52069"/>
  <c r="B354" i="52069"/>
  <c r="A354" i="52069"/>
  <c r="C354" i="52069" s="1"/>
  <c r="G353" i="52069"/>
  <c r="B353" i="52069"/>
  <c r="A353" i="52069"/>
  <c r="G352" i="52069"/>
  <c r="B352" i="52069"/>
  <c r="A352" i="52069"/>
  <c r="C352" i="52069" s="1"/>
  <c r="G351" i="52069"/>
  <c r="B351" i="52069"/>
  <c r="A351" i="52069"/>
  <c r="G350" i="52069"/>
  <c r="B350" i="52069"/>
  <c r="A350" i="52069"/>
  <c r="C350" i="52069" s="1"/>
  <c r="G349" i="52069"/>
  <c r="B349" i="52069"/>
  <c r="A349" i="52069"/>
  <c r="G348" i="52069"/>
  <c r="B348" i="52069"/>
  <c r="A348" i="52069"/>
  <c r="C348" i="52069" s="1"/>
  <c r="G347" i="52069"/>
  <c r="B347" i="52069"/>
  <c r="A347" i="52069"/>
  <c r="G346" i="52069"/>
  <c r="B346" i="52069"/>
  <c r="A346" i="52069"/>
  <c r="C346" i="52069" s="1"/>
  <c r="G345" i="52069"/>
  <c r="B345" i="52069"/>
  <c r="A345" i="52069"/>
  <c r="G344" i="52069"/>
  <c r="B344" i="52069"/>
  <c r="A344" i="52069"/>
  <c r="C344" i="52069" s="1"/>
  <c r="G343" i="52069"/>
  <c r="B343" i="52069"/>
  <c r="A343" i="52069"/>
  <c r="G342" i="52069"/>
  <c r="B342" i="52069"/>
  <c r="A342" i="52069"/>
  <c r="C342" i="52069" s="1"/>
  <c r="G341" i="52069"/>
  <c r="B341" i="52069"/>
  <c r="A341" i="52069"/>
  <c r="G340" i="52069"/>
  <c r="B340" i="52069"/>
  <c r="A340" i="52069"/>
  <c r="C340" i="52069" s="1"/>
  <c r="G339" i="52069"/>
  <c r="B339" i="52069"/>
  <c r="A339" i="52069"/>
  <c r="G338" i="52069"/>
  <c r="B338" i="52069"/>
  <c r="A338" i="52069"/>
  <c r="C338" i="52069" s="1"/>
  <c r="G337" i="52069"/>
  <c r="B337" i="52069"/>
  <c r="A337" i="52069"/>
  <c r="G336" i="52069"/>
  <c r="B336" i="52069"/>
  <c r="A336" i="52069"/>
  <c r="C336" i="52069" s="1"/>
  <c r="G335" i="52069"/>
  <c r="B335" i="52069"/>
  <c r="A335" i="52069"/>
  <c r="G334" i="52069"/>
  <c r="B334" i="52069"/>
  <c r="A334" i="52069"/>
  <c r="C334" i="52069" s="1"/>
  <c r="G333" i="52069"/>
  <c r="B333" i="52069"/>
  <c r="A333" i="52069"/>
  <c r="G332" i="52069"/>
  <c r="B332" i="52069"/>
  <c r="A332" i="52069"/>
  <c r="C332" i="52069" s="1"/>
  <c r="G331" i="52069"/>
  <c r="B331" i="52069"/>
  <c r="A331" i="52069"/>
  <c r="G330" i="52069"/>
  <c r="B330" i="52069"/>
  <c r="A330" i="52069"/>
  <c r="C330" i="52069" s="1"/>
  <c r="G329" i="52069"/>
  <c r="B329" i="52069"/>
  <c r="A329" i="52069"/>
  <c r="G328" i="52069"/>
  <c r="B328" i="52069"/>
  <c r="A328" i="52069"/>
  <c r="C328" i="52069" s="1"/>
  <c r="G327" i="52069"/>
  <c r="B327" i="52069"/>
  <c r="A327" i="52069"/>
  <c r="G326" i="52069"/>
  <c r="B326" i="52069"/>
  <c r="A326" i="52069"/>
  <c r="C326" i="52069" s="1"/>
  <c r="G325" i="52069"/>
  <c r="B325" i="52069"/>
  <c r="A325" i="52069"/>
  <c r="G324" i="52069"/>
  <c r="B324" i="52069"/>
  <c r="A324" i="52069"/>
  <c r="C324" i="52069" s="1"/>
  <c r="G323" i="52069"/>
  <c r="B323" i="52069"/>
  <c r="A323" i="52069"/>
  <c r="G322" i="52069"/>
  <c r="B322" i="52069"/>
  <c r="A322" i="52069"/>
  <c r="C322" i="52069" s="1"/>
  <c r="G321" i="52069"/>
  <c r="B321" i="52069"/>
  <c r="A321" i="52069"/>
  <c r="G320" i="52069"/>
  <c r="B320" i="52069"/>
  <c r="A320" i="52069"/>
  <c r="C320" i="52069" s="1"/>
  <c r="G319" i="52069"/>
  <c r="B319" i="52069"/>
  <c r="A319" i="52069"/>
  <c r="G318" i="52069"/>
  <c r="B318" i="52069"/>
  <c r="A318" i="52069"/>
  <c r="C318" i="52069" s="1"/>
  <c r="G317" i="52069"/>
  <c r="B317" i="52069"/>
  <c r="A317" i="52069"/>
  <c r="G316" i="52069"/>
  <c r="B316" i="52069"/>
  <c r="A316" i="52069"/>
  <c r="C316" i="52069" s="1"/>
  <c r="G315" i="52069"/>
  <c r="B315" i="52069"/>
  <c r="A315" i="52069"/>
  <c r="G314" i="52069"/>
  <c r="B314" i="52069"/>
  <c r="A314" i="52069"/>
  <c r="C314" i="52069" s="1"/>
  <c r="G313" i="52069"/>
  <c r="B313" i="52069"/>
  <c r="A313" i="52069"/>
  <c r="G312" i="52069"/>
  <c r="B312" i="52069"/>
  <c r="A312" i="52069"/>
  <c r="C312" i="52069" s="1"/>
  <c r="G311" i="52069"/>
  <c r="B311" i="52069"/>
  <c r="A311" i="52069"/>
  <c r="G310" i="52069"/>
  <c r="B310" i="52069"/>
  <c r="A310" i="52069"/>
  <c r="C310" i="52069" s="1"/>
  <c r="G309" i="52069"/>
  <c r="B309" i="52069"/>
  <c r="A309" i="52069"/>
  <c r="G308" i="52069"/>
  <c r="B308" i="52069"/>
  <c r="A308" i="52069"/>
  <c r="C308" i="52069" s="1"/>
  <c r="G307" i="52069"/>
  <c r="B307" i="52069"/>
  <c r="A307" i="52069"/>
  <c r="G306" i="52069"/>
  <c r="B306" i="52069"/>
  <c r="A306" i="52069"/>
  <c r="C306" i="52069" s="1"/>
  <c r="G305" i="52069"/>
  <c r="B305" i="52069"/>
  <c r="A305" i="52069"/>
  <c r="G304" i="52069"/>
  <c r="B304" i="52069"/>
  <c r="A304" i="52069"/>
  <c r="C304" i="52069" s="1"/>
  <c r="G303" i="52069"/>
  <c r="B303" i="52069"/>
  <c r="A303" i="52069"/>
  <c r="G302" i="52069"/>
  <c r="B302" i="52069"/>
  <c r="A302" i="52069"/>
  <c r="C302" i="52069" s="1"/>
  <c r="G301" i="52069"/>
  <c r="B301" i="52069"/>
  <c r="A301" i="52069"/>
  <c r="G300" i="52069"/>
  <c r="B300" i="52069"/>
  <c r="A300" i="52069"/>
  <c r="C300" i="52069" s="1"/>
  <c r="G299" i="52069"/>
  <c r="B299" i="52069"/>
  <c r="A299" i="52069"/>
  <c r="G298" i="52069"/>
  <c r="B298" i="52069"/>
  <c r="A298" i="52069"/>
  <c r="C298" i="52069" s="1"/>
  <c r="G297" i="52069"/>
  <c r="B297" i="52069"/>
  <c r="A297" i="52069"/>
  <c r="G296" i="52069"/>
  <c r="B296" i="52069"/>
  <c r="A296" i="52069"/>
  <c r="C296" i="52069" s="1"/>
  <c r="G295" i="52069"/>
  <c r="B295" i="52069"/>
  <c r="A295" i="52069"/>
  <c r="G294" i="52069"/>
  <c r="B294" i="52069"/>
  <c r="A294" i="52069"/>
  <c r="C294" i="52069" s="1"/>
  <c r="G293" i="52069"/>
  <c r="B293" i="52069"/>
  <c r="A293" i="52069"/>
  <c r="G292" i="52069"/>
  <c r="B292" i="52069"/>
  <c r="A292" i="52069"/>
  <c r="C292" i="52069" s="1"/>
  <c r="G291" i="52069"/>
  <c r="B291" i="52069"/>
  <c r="A291" i="52069"/>
  <c r="G290" i="52069"/>
  <c r="B290" i="52069"/>
  <c r="A290" i="52069"/>
  <c r="C290" i="52069" s="1"/>
  <c r="G289" i="52069"/>
  <c r="B289" i="52069"/>
  <c r="A289" i="52069"/>
  <c r="G288" i="52069"/>
  <c r="B288" i="52069"/>
  <c r="A288" i="52069"/>
  <c r="C288" i="52069" s="1"/>
  <c r="G287" i="52069"/>
  <c r="B287" i="52069"/>
  <c r="A287" i="52069"/>
  <c r="G286" i="52069"/>
  <c r="B286" i="52069"/>
  <c r="A286" i="52069"/>
  <c r="C286" i="52069" s="1"/>
  <c r="G285" i="52069"/>
  <c r="B285" i="52069"/>
  <c r="A285" i="52069"/>
  <c r="G284" i="52069"/>
  <c r="B284" i="52069"/>
  <c r="A284" i="52069"/>
  <c r="C284" i="52069" s="1"/>
  <c r="G283" i="52069"/>
  <c r="B283" i="52069"/>
  <c r="A283" i="52069"/>
  <c r="G282" i="52069"/>
  <c r="B282" i="52069"/>
  <c r="A282" i="52069"/>
  <c r="C282" i="52069" s="1"/>
  <c r="G281" i="52069"/>
  <c r="B281" i="52069"/>
  <c r="A281" i="52069"/>
  <c r="G280" i="52069"/>
  <c r="B280" i="52069"/>
  <c r="A280" i="52069"/>
  <c r="C280" i="52069" s="1"/>
  <c r="G279" i="52069"/>
  <c r="B279" i="52069"/>
  <c r="A279" i="52069"/>
  <c r="G278" i="52069"/>
  <c r="B278" i="52069"/>
  <c r="A278" i="52069"/>
  <c r="C278" i="52069" s="1"/>
  <c r="G277" i="52069"/>
  <c r="B277" i="52069"/>
  <c r="A277" i="52069"/>
  <c r="G276" i="52069"/>
  <c r="B276" i="52069"/>
  <c r="A276" i="52069"/>
  <c r="C276" i="52069" s="1"/>
  <c r="G275" i="52069"/>
  <c r="B275" i="52069"/>
  <c r="A275" i="52069"/>
  <c r="G274" i="52069"/>
  <c r="B274" i="52069"/>
  <c r="A274" i="52069"/>
  <c r="C274" i="52069" s="1"/>
  <c r="G273" i="52069"/>
  <c r="B273" i="52069"/>
  <c r="A273" i="52069"/>
  <c r="G272" i="52069"/>
  <c r="B272" i="52069"/>
  <c r="A272" i="52069"/>
  <c r="C272" i="52069" s="1"/>
  <c r="G271" i="52069"/>
  <c r="B271" i="52069"/>
  <c r="A271" i="52069"/>
  <c r="G270" i="52069"/>
  <c r="B270" i="52069"/>
  <c r="A270" i="52069"/>
  <c r="C270" i="52069" s="1"/>
  <c r="G269" i="52069"/>
  <c r="B269" i="52069"/>
  <c r="A269" i="52069"/>
  <c r="G268" i="52069"/>
  <c r="B268" i="52069"/>
  <c r="A268" i="52069"/>
  <c r="C268" i="52069" s="1"/>
  <c r="G267" i="52069"/>
  <c r="B267" i="52069"/>
  <c r="A267" i="52069"/>
  <c r="C267" i="52069"/>
  <c r="G266" i="52069"/>
  <c r="B266" i="52069"/>
  <c r="A266" i="52069"/>
  <c r="C266" i="52069"/>
  <c r="G265" i="52069"/>
  <c r="B265" i="52069"/>
  <c r="A265" i="52069"/>
  <c r="C265" i="52069"/>
  <c r="G264" i="52069"/>
  <c r="B264" i="52069"/>
  <c r="A264" i="52069"/>
  <c r="C264" i="52069"/>
  <c r="G263" i="52069"/>
  <c r="B263" i="52069"/>
  <c r="A263" i="52069"/>
  <c r="C263" i="52069"/>
  <c r="G262" i="52069"/>
  <c r="B262" i="52069"/>
  <c r="A262" i="52069"/>
  <c r="C262" i="52069"/>
  <c r="G261" i="52069"/>
  <c r="B261" i="52069"/>
  <c r="A261" i="52069"/>
  <c r="C261" i="52069"/>
  <c r="G260" i="52069"/>
  <c r="B260" i="52069"/>
  <c r="A260" i="52069"/>
  <c r="C260" i="52069"/>
  <c r="G259" i="52069"/>
  <c r="B259" i="52069"/>
  <c r="A259" i="52069"/>
  <c r="C259" i="52069"/>
  <c r="G258" i="52069"/>
  <c r="B258" i="52069"/>
  <c r="A258" i="52069"/>
  <c r="C258" i="52069"/>
  <c r="G257" i="52069"/>
  <c r="B257" i="52069"/>
  <c r="A257" i="52069"/>
  <c r="C257" i="52069"/>
  <c r="G256" i="52069"/>
  <c r="B256" i="52069"/>
  <c r="C256" i="52069" s="1"/>
  <c r="G255" i="52069"/>
  <c r="B255" i="52069"/>
  <c r="A255" i="52069"/>
  <c r="G254" i="52069"/>
  <c r="B254" i="52069"/>
  <c r="A254" i="52069"/>
  <c r="C254" i="52069" s="1"/>
  <c r="G253" i="52069"/>
  <c r="B253" i="52069"/>
  <c r="A253" i="52069"/>
  <c r="G252" i="52069"/>
  <c r="B252" i="52069"/>
  <c r="A252" i="52069"/>
  <c r="C252" i="52069" s="1"/>
  <c r="G251" i="52069"/>
  <c r="B251" i="52069"/>
  <c r="A251" i="52069"/>
  <c r="G250" i="52069"/>
  <c r="B250" i="52069"/>
  <c r="A250" i="52069"/>
  <c r="C250" i="52069" s="1"/>
  <c r="G249" i="52069"/>
  <c r="B249" i="52069"/>
  <c r="A249" i="52069"/>
  <c r="G248" i="52069"/>
  <c r="B248" i="52069"/>
  <c r="A248" i="52069"/>
  <c r="C248" i="52069" s="1"/>
  <c r="G247" i="52069"/>
  <c r="B247" i="52069"/>
  <c r="A247" i="52069"/>
  <c r="G246" i="52069"/>
  <c r="B246" i="52069"/>
  <c r="A246" i="52069"/>
  <c r="C246" i="52069" s="1"/>
  <c r="G245" i="52069"/>
  <c r="B245" i="52069"/>
  <c r="A245" i="52069"/>
  <c r="G244" i="52069"/>
  <c r="B244" i="52069"/>
  <c r="A244" i="52069"/>
  <c r="C244" i="52069" s="1"/>
  <c r="G243" i="52069"/>
  <c r="B243" i="52069"/>
  <c r="A243" i="52069"/>
  <c r="G242" i="52069"/>
  <c r="B242" i="52069"/>
  <c r="A242" i="52069"/>
  <c r="C242" i="52069" s="1"/>
  <c r="G241" i="52069"/>
  <c r="B241" i="52069"/>
  <c r="A241" i="52069"/>
  <c r="G240" i="52069"/>
  <c r="B240" i="52069"/>
  <c r="A240" i="52069"/>
  <c r="C240" i="52069" s="1"/>
  <c r="G239" i="52069"/>
  <c r="B239" i="52069"/>
  <c r="A239" i="52069"/>
  <c r="G238" i="52069"/>
  <c r="B238" i="52069"/>
  <c r="A238" i="52069"/>
  <c r="C238" i="52069" s="1"/>
  <c r="G237" i="52069"/>
  <c r="B237" i="52069"/>
  <c r="A237" i="52069"/>
  <c r="G236" i="52069"/>
  <c r="B236" i="52069"/>
  <c r="A236" i="52069"/>
  <c r="C236" i="52069" s="1"/>
  <c r="G235" i="52069"/>
  <c r="B235" i="52069"/>
  <c r="A235" i="52069"/>
  <c r="G234" i="52069"/>
  <c r="B234" i="52069"/>
  <c r="A234" i="52069"/>
  <c r="C234" i="52069" s="1"/>
  <c r="G233" i="52069"/>
  <c r="B233" i="52069"/>
  <c r="A233" i="52069"/>
  <c r="G232" i="52069"/>
  <c r="B232" i="52069"/>
  <c r="A232" i="52069"/>
  <c r="C232" i="52069" s="1"/>
  <c r="G231" i="52069"/>
  <c r="B231" i="52069"/>
  <c r="A231" i="52069"/>
  <c r="G230" i="52069"/>
  <c r="B230" i="52069"/>
  <c r="A230" i="52069"/>
  <c r="C230" i="52069" s="1"/>
  <c r="G229" i="52069"/>
  <c r="B229" i="52069"/>
  <c r="A229" i="52069"/>
  <c r="G228" i="52069"/>
  <c r="B228" i="52069"/>
  <c r="A228" i="52069"/>
  <c r="C228" i="52069" s="1"/>
  <c r="G227" i="52069"/>
  <c r="B227" i="52069"/>
  <c r="A227" i="52069"/>
  <c r="G226" i="52069"/>
  <c r="B226" i="52069"/>
  <c r="A226" i="52069"/>
  <c r="C226" i="52069" s="1"/>
  <c r="G225" i="52069"/>
  <c r="B225" i="52069"/>
  <c r="A225" i="52069"/>
  <c r="G224" i="52069"/>
  <c r="B224" i="52069"/>
  <c r="A224" i="52069"/>
  <c r="C224" i="52069" s="1"/>
  <c r="G223" i="52069"/>
  <c r="B223" i="52069"/>
  <c r="A223" i="52069"/>
  <c r="G222" i="52069"/>
  <c r="B222" i="52069"/>
  <c r="A222" i="52069"/>
  <c r="C222" i="52069" s="1"/>
  <c r="G221" i="52069"/>
  <c r="B221" i="52069"/>
  <c r="A221" i="52069"/>
  <c r="G220" i="52069"/>
  <c r="B220" i="52069"/>
  <c r="A220" i="52069"/>
  <c r="C220" i="52069" s="1"/>
  <c r="G219" i="52069"/>
  <c r="B219" i="52069"/>
  <c r="A219" i="52069"/>
  <c r="G218" i="52069"/>
  <c r="B218" i="52069"/>
  <c r="A218" i="52069"/>
  <c r="C218" i="52069" s="1"/>
  <c r="G217" i="52069"/>
  <c r="B217" i="52069"/>
  <c r="A217" i="52069"/>
  <c r="G216" i="52069"/>
  <c r="B216" i="52069"/>
  <c r="A216" i="52069"/>
  <c r="C216" i="52069" s="1"/>
  <c r="G215" i="52069"/>
  <c r="B215" i="52069"/>
  <c r="A215" i="52069"/>
  <c r="G214" i="52069"/>
  <c r="B214" i="52069"/>
  <c r="A214" i="52069"/>
  <c r="C214" i="52069" s="1"/>
  <c r="G213" i="52069"/>
  <c r="B213" i="52069"/>
  <c r="A213" i="52069"/>
  <c r="G212" i="52069"/>
  <c r="B212" i="52069"/>
  <c r="A212" i="52069"/>
  <c r="C212" i="52069" s="1"/>
  <c r="G211" i="52069"/>
  <c r="B211" i="52069"/>
  <c r="A211" i="52069"/>
  <c r="G210" i="52069"/>
  <c r="B210" i="52069"/>
  <c r="A210" i="52069"/>
  <c r="C210" i="52069" s="1"/>
  <c r="G209" i="52069"/>
  <c r="B209" i="52069"/>
  <c r="A209" i="52069"/>
  <c r="G208" i="52069"/>
  <c r="B208" i="52069"/>
  <c r="A208" i="52069"/>
  <c r="C208" i="52069" s="1"/>
  <c r="G207" i="52069"/>
  <c r="B207" i="52069"/>
  <c r="A207" i="52069"/>
  <c r="G206" i="52069"/>
  <c r="B206" i="52069"/>
  <c r="A206" i="52069"/>
  <c r="C206" i="52069" s="1"/>
  <c r="G205" i="52069"/>
  <c r="B205" i="52069"/>
  <c r="A205" i="52069"/>
  <c r="G204" i="52069"/>
  <c r="B204" i="52069"/>
  <c r="A204" i="52069"/>
  <c r="C204" i="52069" s="1"/>
  <c r="G203" i="52069"/>
  <c r="B203" i="52069"/>
  <c r="A203" i="52069"/>
  <c r="G202" i="52069"/>
  <c r="B202" i="52069"/>
  <c r="A202" i="52069"/>
  <c r="C202" i="52069" s="1"/>
  <c r="G201" i="52069"/>
  <c r="B201" i="52069"/>
  <c r="A201" i="52069"/>
  <c r="G200" i="52069"/>
  <c r="B200" i="52069"/>
  <c r="A200" i="52069"/>
  <c r="C200" i="52069" s="1"/>
  <c r="G199" i="52069"/>
  <c r="B199" i="52069"/>
  <c r="A199" i="52069"/>
  <c r="G198" i="52069"/>
  <c r="B198" i="52069"/>
  <c r="A198" i="52069"/>
  <c r="C198" i="52069" s="1"/>
  <c r="G197" i="52069"/>
  <c r="B197" i="52069"/>
  <c r="A197" i="52069"/>
  <c r="G196" i="52069"/>
  <c r="B196" i="52069"/>
  <c r="A196" i="52069"/>
  <c r="C196" i="52069" s="1"/>
  <c r="G195" i="52069"/>
  <c r="B195" i="52069"/>
  <c r="A195" i="52069"/>
  <c r="G194" i="52069"/>
  <c r="B194" i="52069"/>
  <c r="A194" i="52069"/>
  <c r="C194" i="52069" s="1"/>
  <c r="G193" i="52069"/>
  <c r="B193" i="52069"/>
  <c r="A193" i="52069"/>
  <c r="G192" i="52069"/>
  <c r="B192" i="52069"/>
  <c r="A192" i="52069"/>
  <c r="C192" i="52069" s="1"/>
  <c r="G191" i="52069"/>
  <c r="B191" i="52069"/>
  <c r="A191" i="52069"/>
  <c r="G190" i="52069"/>
  <c r="B190" i="52069"/>
  <c r="A190" i="52069"/>
  <c r="C190" i="52069" s="1"/>
  <c r="G189" i="52069"/>
  <c r="B189" i="52069"/>
  <c r="A189" i="52069"/>
  <c r="G188" i="52069"/>
  <c r="B188" i="52069"/>
  <c r="A188" i="52069"/>
  <c r="C188" i="52069" s="1"/>
  <c r="G187" i="52069"/>
  <c r="B187" i="52069"/>
  <c r="A187" i="52069"/>
  <c r="G186" i="52069"/>
  <c r="B186" i="52069"/>
  <c r="A186" i="52069"/>
  <c r="C186" i="52069" s="1"/>
  <c r="G185" i="52069"/>
  <c r="B185" i="52069"/>
  <c r="A185" i="52069"/>
  <c r="G184" i="52069"/>
  <c r="B184" i="52069"/>
  <c r="A184" i="52069"/>
  <c r="C184" i="52069" s="1"/>
  <c r="G183" i="52069"/>
  <c r="B183" i="52069"/>
  <c r="A183" i="52069"/>
  <c r="H182" i="52069"/>
  <c r="G182" i="52069"/>
  <c r="B182" i="52069"/>
  <c r="A182" i="52069"/>
  <c r="C182" i="52069"/>
  <c r="G181" i="52069"/>
  <c r="B181" i="52069"/>
  <c r="A181" i="52069"/>
  <c r="C181" i="52069"/>
  <c r="G180" i="52069"/>
  <c r="B180" i="52069"/>
  <c r="A180" i="52069"/>
  <c r="C180" i="52069"/>
  <c r="G179" i="52069"/>
  <c r="B179" i="52069"/>
  <c r="A179" i="52069"/>
  <c r="C179" i="52069"/>
  <c r="G178" i="52069"/>
  <c r="B178" i="52069"/>
  <c r="A178" i="52069"/>
  <c r="C178" i="52069"/>
  <c r="G177" i="52069"/>
  <c r="B177" i="52069"/>
  <c r="A177" i="52069"/>
  <c r="C177" i="52069"/>
  <c r="G176" i="52069"/>
  <c r="B176" i="52069"/>
  <c r="A176" i="52069"/>
  <c r="C176" i="52069"/>
  <c r="G175" i="52069"/>
  <c r="B175" i="52069"/>
  <c r="A175" i="52069"/>
  <c r="C175" i="52069"/>
  <c r="G174" i="52069"/>
  <c r="B174" i="52069"/>
  <c r="A174" i="52069"/>
  <c r="C174" i="52069"/>
  <c r="G173" i="52069"/>
  <c r="B173" i="52069"/>
  <c r="A173" i="52069"/>
  <c r="C173" i="52069"/>
  <c r="G172" i="52069"/>
  <c r="B172" i="52069"/>
  <c r="A172" i="52069"/>
  <c r="C172" i="52069"/>
  <c r="G171" i="52069"/>
  <c r="B171" i="52069"/>
  <c r="A171" i="52069"/>
  <c r="C171" i="52069"/>
  <c r="G170" i="52069"/>
  <c r="B170" i="52069"/>
  <c r="A170" i="52069"/>
  <c r="C170" i="52069"/>
  <c r="G169" i="52069"/>
  <c r="B169" i="52069"/>
  <c r="A169" i="52069"/>
  <c r="C169" i="52069"/>
  <c r="G168" i="52069"/>
  <c r="B168" i="52069"/>
  <c r="A168" i="52069"/>
  <c r="C168" i="52069"/>
  <c r="G167" i="52069"/>
  <c r="B167" i="52069"/>
  <c r="A167" i="52069"/>
  <c r="C167" i="52069"/>
  <c r="G166" i="52069"/>
  <c r="B166" i="52069"/>
  <c r="A166" i="52069"/>
  <c r="C166" i="52069"/>
  <c r="G165" i="52069"/>
  <c r="B165" i="52069"/>
  <c r="A165" i="52069"/>
  <c r="C165" i="52069"/>
  <c r="G164" i="52069"/>
  <c r="B164" i="52069"/>
  <c r="A164" i="52069"/>
  <c r="C164" i="52069"/>
  <c r="G163" i="52069"/>
  <c r="B163" i="52069"/>
  <c r="A163" i="52069"/>
  <c r="C163" i="52069"/>
  <c r="G162" i="52069"/>
  <c r="B162" i="52069"/>
  <c r="A162" i="52069"/>
  <c r="C162" i="52069"/>
  <c r="G161" i="52069"/>
  <c r="B161" i="52069"/>
  <c r="A161" i="52069"/>
  <c r="C161" i="52069"/>
  <c r="G160" i="52069"/>
  <c r="B160" i="52069"/>
  <c r="A160" i="52069"/>
  <c r="C160" i="52069"/>
  <c r="G159" i="52069"/>
  <c r="B159" i="52069"/>
  <c r="A159" i="52069"/>
  <c r="C159" i="52069"/>
  <c r="G158" i="52069"/>
  <c r="B158" i="52069"/>
  <c r="A158" i="52069"/>
  <c r="C158" i="52069"/>
  <c r="G157" i="52069"/>
  <c r="B157" i="52069"/>
  <c r="A157" i="52069"/>
  <c r="C157" i="52069"/>
  <c r="G156" i="52069"/>
  <c r="B156" i="52069"/>
  <c r="A156" i="52069"/>
  <c r="C156" i="52069"/>
  <c r="G155" i="52069"/>
  <c r="B155" i="52069"/>
  <c r="A155" i="52069"/>
  <c r="C155" i="52069"/>
  <c r="G154" i="52069"/>
  <c r="B154" i="52069"/>
  <c r="A154" i="52069"/>
  <c r="C154" i="52069"/>
  <c r="G153" i="52069"/>
  <c r="B153" i="52069"/>
  <c r="A153" i="52069"/>
  <c r="C153" i="52069"/>
  <c r="G152" i="52069"/>
  <c r="B152" i="52069"/>
  <c r="A152" i="52069"/>
  <c r="C152" i="52069"/>
  <c r="G151" i="52069"/>
  <c r="B151" i="52069"/>
  <c r="A151" i="52069"/>
  <c r="C151" i="52069"/>
  <c r="G150" i="52069"/>
  <c r="B150" i="52069"/>
  <c r="A150" i="52069"/>
  <c r="C150" i="52069"/>
  <c r="G149" i="52069"/>
  <c r="B149" i="52069"/>
  <c r="A149" i="52069"/>
  <c r="C149" i="52069"/>
  <c r="G148" i="52069"/>
  <c r="B148" i="52069"/>
  <c r="A148" i="52069"/>
  <c r="C148" i="52069"/>
  <c r="G147" i="52069"/>
  <c r="B147" i="52069"/>
  <c r="A147" i="52069"/>
  <c r="C147" i="52069"/>
  <c r="G146" i="52069"/>
  <c r="B146" i="52069"/>
  <c r="A146" i="52069"/>
  <c r="C146" i="52069"/>
  <c r="G145" i="52069"/>
  <c r="B145" i="52069"/>
  <c r="A145" i="52069"/>
  <c r="C145" i="52069"/>
  <c r="G144" i="52069"/>
  <c r="B144" i="52069"/>
  <c r="A144" i="52069"/>
  <c r="C144" i="52069"/>
  <c r="G143" i="52069"/>
  <c r="B143" i="52069"/>
  <c r="A143" i="52069"/>
  <c r="C143" i="52069"/>
  <c r="G142" i="52069"/>
  <c r="B142" i="52069"/>
  <c r="A142" i="52069"/>
  <c r="C142" i="52069"/>
  <c r="G141" i="52069"/>
  <c r="B141" i="52069"/>
  <c r="A141" i="52069"/>
  <c r="C141" i="52069"/>
  <c r="G140" i="52069"/>
  <c r="B140" i="52069"/>
  <c r="A140" i="52069"/>
  <c r="C140" i="52069"/>
  <c r="G139" i="52069"/>
  <c r="B139" i="52069"/>
  <c r="A139" i="52069"/>
  <c r="C139" i="52069"/>
  <c r="G138" i="52069"/>
  <c r="B138" i="52069"/>
  <c r="A138" i="52069"/>
  <c r="C138" i="52069"/>
  <c r="G137" i="52069"/>
  <c r="B137" i="52069"/>
  <c r="A137" i="52069"/>
  <c r="C137" i="52069"/>
  <c r="G136" i="52069"/>
  <c r="B136" i="52069"/>
  <c r="A136" i="52069"/>
  <c r="C136" i="52069"/>
  <c r="G135" i="52069"/>
  <c r="B135" i="52069"/>
  <c r="A135" i="52069"/>
  <c r="C135" i="52069"/>
  <c r="G134" i="52069"/>
  <c r="B134" i="52069"/>
  <c r="A134" i="52069"/>
  <c r="C134" i="52069"/>
  <c r="G133" i="52069"/>
  <c r="B133" i="52069"/>
  <c r="A133" i="52069"/>
  <c r="C133" i="52069"/>
  <c r="G132" i="52069"/>
  <c r="B132" i="52069"/>
  <c r="A132" i="52069"/>
  <c r="C132" i="52069"/>
  <c r="G131" i="52069"/>
  <c r="B131" i="52069"/>
  <c r="A131" i="52069"/>
  <c r="C131" i="52069"/>
  <c r="G130" i="52069"/>
  <c r="B130" i="52069"/>
  <c r="A130" i="52069"/>
  <c r="C130" i="52069"/>
  <c r="G129" i="52069"/>
  <c r="B129" i="52069"/>
  <c r="A129" i="52069"/>
  <c r="C129" i="52069"/>
  <c r="G128" i="52069"/>
  <c r="B128" i="52069"/>
  <c r="A128" i="52069"/>
  <c r="C128" i="52069"/>
  <c r="G127" i="52069"/>
  <c r="B127" i="52069"/>
  <c r="A127" i="52069"/>
  <c r="C127" i="52069"/>
  <c r="G126" i="52069"/>
  <c r="B126" i="52069"/>
  <c r="A126" i="52069"/>
  <c r="C126" i="52069"/>
  <c r="G125" i="52069"/>
  <c r="B125" i="52069"/>
  <c r="A125" i="52069"/>
  <c r="C125" i="52069"/>
  <c r="G124" i="52069"/>
  <c r="B124" i="52069"/>
  <c r="A124" i="52069"/>
  <c r="C124" i="52069"/>
  <c r="G123" i="52069"/>
  <c r="B123" i="52069"/>
  <c r="A123" i="52069"/>
  <c r="C123" i="52069"/>
  <c r="G122" i="52069"/>
  <c r="B122" i="52069"/>
  <c r="A122" i="52069"/>
  <c r="C122" i="52069"/>
  <c r="G121" i="52069"/>
  <c r="B121" i="52069"/>
  <c r="A121" i="52069"/>
  <c r="C121" i="52069"/>
  <c r="G120" i="52069"/>
  <c r="B120" i="52069"/>
  <c r="A120" i="52069"/>
  <c r="C120" i="52069"/>
  <c r="G119" i="52069"/>
  <c r="B119" i="52069"/>
  <c r="A119" i="52069"/>
  <c r="C119" i="52069"/>
  <c r="G118" i="52069"/>
  <c r="B118" i="52069"/>
  <c r="A118" i="52069"/>
  <c r="C118" i="52069"/>
  <c r="G117" i="52069"/>
  <c r="B117" i="52069"/>
  <c r="A117" i="52069"/>
  <c r="C117" i="52069"/>
  <c r="G116" i="52069"/>
  <c r="B116" i="52069"/>
  <c r="A116" i="52069"/>
  <c r="C116" i="52069"/>
  <c r="G115" i="52069"/>
  <c r="B115" i="52069"/>
  <c r="A115" i="52069"/>
  <c r="C115" i="52069"/>
  <c r="G114" i="52069"/>
  <c r="B114" i="52069"/>
  <c r="A114" i="52069"/>
  <c r="C114" i="52069"/>
  <c r="G113" i="52069"/>
  <c r="B113" i="52069"/>
  <c r="A113" i="52069"/>
  <c r="C113" i="52069"/>
  <c r="G112" i="52069"/>
  <c r="B112" i="52069"/>
  <c r="A112" i="52069"/>
  <c r="C112" i="52069"/>
  <c r="G111" i="52069"/>
  <c r="B111" i="52069"/>
  <c r="A111" i="52069"/>
  <c r="C111" i="52069"/>
  <c r="G110" i="52069"/>
  <c r="B110" i="52069"/>
  <c r="A110" i="52069"/>
  <c r="C110" i="52069"/>
  <c r="G109" i="52069"/>
  <c r="B109" i="52069"/>
  <c r="A109" i="52069"/>
  <c r="C109" i="52069"/>
  <c r="G108" i="52069"/>
  <c r="B108" i="52069"/>
  <c r="A108" i="52069"/>
  <c r="C108" i="52069"/>
  <c r="G107" i="52069"/>
  <c r="B107" i="52069"/>
  <c r="A107" i="52069"/>
  <c r="C107" i="52069"/>
  <c r="G106" i="52069"/>
  <c r="B106" i="52069"/>
  <c r="A106" i="52069"/>
  <c r="C106" i="52069"/>
  <c r="G105" i="52069"/>
  <c r="B105" i="52069"/>
  <c r="A105" i="52069"/>
  <c r="C105" i="52069"/>
  <c r="G104" i="52069"/>
  <c r="B104" i="52069"/>
  <c r="A104" i="52069"/>
  <c r="C104" i="52069"/>
  <c r="G103" i="52069"/>
  <c r="B103" i="52069"/>
  <c r="A103" i="52069"/>
  <c r="C103" i="52069"/>
  <c r="G102" i="52069"/>
  <c r="B102" i="52069"/>
  <c r="A102" i="52069"/>
  <c r="C102" i="52069"/>
  <c r="G101" i="52069"/>
  <c r="B101" i="52069"/>
  <c r="A101" i="52069"/>
  <c r="C101" i="52069"/>
  <c r="G100" i="52069"/>
  <c r="B100" i="52069"/>
  <c r="A100" i="52069"/>
  <c r="C100" i="52069"/>
  <c r="G99" i="52069"/>
  <c r="B99" i="52069"/>
  <c r="A99" i="52069"/>
  <c r="C99" i="52069"/>
  <c r="G98" i="52069"/>
  <c r="B98" i="52069"/>
  <c r="A98" i="52069"/>
  <c r="C98" i="52069"/>
  <c r="G97" i="52069"/>
  <c r="B97" i="52069"/>
  <c r="A97" i="52069"/>
  <c r="C97" i="52069"/>
  <c r="G96" i="52069"/>
  <c r="B96" i="52069"/>
  <c r="A96" i="52069"/>
  <c r="C96" i="52069"/>
  <c r="G95" i="52069"/>
  <c r="B95" i="52069"/>
  <c r="A95" i="52069"/>
  <c r="C95" i="52069"/>
  <c r="G94" i="52069"/>
  <c r="B94" i="52069"/>
  <c r="A94" i="52069"/>
  <c r="C94" i="52069"/>
  <c r="G93" i="52069"/>
  <c r="B93" i="52069"/>
  <c r="A93" i="52069"/>
  <c r="C93" i="52069"/>
  <c r="G92" i="52069"/>
  <c r="B92" i="52069"/>
  <c r="A92" i="52069"/>
  <c r="C92" i="52069"/>
  <c r="G91" i="52069"/>
  <c r="B91" i="52069"/>
  <c r="A91" i="52069"/>
  <c r="C91" i="52069"/>
  <c r="G90" i="52069"/>
  <c r="B90" i="52069"/>
  <c r="A90" i="52069"/>
  <c r="C90" i="52069"/>
  <c r="G89" i="52069"/>
  <c r="B89" i="52069"/>
  <c r="A89" i="52069"/>
  <c r="C89" i="52069"/>
  <c r="G88" i="52069"/>
  <c r="B88" i="52069"/>
  <c r="A88" i="52069"/>
  <c r="C88" i="52069"/>
  <c r="G87" i="52069"/>
  <c r="B87" i="52069"/>
  <c r="A87" i="52069"/>
  <c r="C87" i="52069"/>
  <c r="G86" i="52069"/>
  <c r="B86" i="52069"/>
  <c r="A86" i="52069"/>
  <c r="C86" i="52069"/>
  <c r="G85" i="52069"/>
  <c r="B85" i="52069"/>
  <c r="A85" i="52069"/>
  <c r="C85" i="52069"/>
  <c r="G84" i="52069"/>
  <c r="B84" i="52069"/>
  <c r="A84" i="52069"/>
  <c r="C84" i="52069"/>
  <c r="G83" i="52069"/>
  <c r="B83" i="52069"/>
  <c r="A83" i="52069"/>
  <c r="C83" i="52069"/>
  <c r="G82" i="52069"/>
  <c r="B82" i="52069"/>
  <c r="A82" i="52069"/>
  <c r="C82" i="52069"/>
  <c r="G81" i="52069"/>
  <c r="B81" i="52069"/>
  <c r="A81" i="52069"/>
  <c r="C81" i="52069"/>
  <c r="G80" i="52069"/>
  <c r="B80" i="52069"/>
  <c r="A80" i="52069"/>
  <c r="C80" i="52069"/>
  <c r="G79" i="52069"/>
  <c r="B79" i="52069"/>
  <c r="A79" i="52069"/>
  <c r="C79" i="52069"/>
  <c r="G78" i="52069"/>
  <c r="B78" i="52069"/>
  <c r="A78" i="52069"/>
  <c r="C78" i="52069"/>
  <c r="G77" i="52069"/>
  <c r="B77" i="52069"/>
  <c r="A77" i="52069"/>
  <c r="C77" i="52069"/>
  <c r="G76" i="52069"/>
  <c r="B76" i="52069"/>
  <c r="A76" i="52069"/>
  <c r="C76" i="52069"/>
  <c r="G75" i="52069"/>
  <c r="B75" i="52069"/>
  <c r="A75" i="52069"/>
  <c r="C75" i="52069"/>
  <c r="G74" i="52069"/>
  <c r="B74" i="52069"/>
  <c r="A74" i="52069"/>
  <c r="C74" i="52069"/>
  <c r="G73" i="52069"/>
  <c r="B73" i="52069"/>
  <c r="A73" i="52069"/>
  <c r="C73" i="52069"/>
  <c r="G72" i="52069"/>
  <c r="B72" i="52069"/>
  <c r="A72" i="52069"/>
  <c r="C72" i="52069"/>
  <c r="G71" i="52069"/>
  <c r="B71" i="52069"/>
  <c r="A71" i="52069"/>
  <c r="C71" i="52069"/>
  <c r="G70" i="52069"/>
  <c r="B70" i="52069"/>
  <c r="A70" i="52069"/>
  <c r="C70" i="52069"/>
  <c r="G69" i="52069"/>
  <c r="B69" i="52069"/>
  <c r="A69" i="52069"/>
  <c r="C69" i="52069"/>
  <c r="G68" i="52069"/>
  <c r="B68" i="52069"/>
  <c r="A68" i="52069"/>
  <c r="C68" i="52069"/>
  <c r="G67" i="52069"/>
  <c r="B67" i="52069"/>
  <c r="A67" i="52069"/>
  <c r="C67" i="52069"/>
  <c r="G66" i="52069"/>
  <c r="B66" i="52069"/>
  <c r="A66" i="52069"/>
  <c r="C66" i="52069"/>
  <c r="G65" i="52069"/>
  <c r="B65" i="52069"/>
  <c r="A65" i="52069"/>
  <c r="C65" i="52069"/>
  <c r="G64" i="52069"/>
  <c r="B64" i="52069"/>
  <c r="A64" i="52069"/>
  <c r="C64" i="52069"/>
  <c r="G63" i="52069"/>
  <c r="B63" i="52069"/>
  <c r="A63" i="52069"/>
  <c r="C63" i="52069"/>
  <c r="G62" i="52069"/>
  <c r="B62" i="52069"/>
  <c r="A62" i="52069"/>
  <c r="C62" i="52069"/>
  <c r="G61" i="52069"/>
  <c r="B61" i="52069"/>
  <c r="A61" i="52069"/>
  <c r="C61" i="52069"/>
  <c r="G60" i="52069"/>
  <c r="B60" i="52069"/>
  <c r="A60" i="52069"/>
  <c r="C60" i="52069"/>
  <c r="G59" i="52069"/>
  <c r="B59" i="52069"/>
  <c r="A59" i="52069"/>
  <c r="C59" i="52069"/>
  <c r="G58" i="52069"/>
  <c r="B58" i="52069"/>
  <c r="A58" i="52069"/>
  <c r="C58" i="52069"/>
  <c r="G57" i="52069"/>
  <c r="B57" i="52069"/>
  <c r="A57" i="52069"/>
  <c r="C57" i="52069"/>
  <c r="G56" i="52069"/>
  <c r="B56" i="52069"/>
  <c r="A56" i="52069"/>
  <c r="C56" i="52069"/>
  <c r="G55" i="52069"/>
  <c r="B55" i="52069"/>
  <c r="A55" i="52069"/>
  <c r="C55" i="52069"/>
  <c r="G54" i="52069"/>
  <c r="B54" i="52069"/>
  <c r="A54" i="52069"/>
  <c r="C54" i="52069"/>
  <c r="G53" i="52069"/>
  <c r="B53" i="52069"/>
  <c r="A53" i="52069"/>
  <c r="C53" i="52069"/>
  <c r="G52" i="52069"/>
  <c r="B52" i="52069"/>
  <c r="A52" i="52069"/>
  <c r="C52" i="52069"/>
  <c r="G51" i="52069"/>
  <c r="B51" i="52069"/>
  <c r="A51" i="52069"/>
  <c r="C51" i="52069"/>
  <c r="G50" i="52069"/>
  <c r="B50" i="52069"/>
  <c r="A50" i="52069"/>
  <c r="C50" i="52069"/>
  <c r="G49" i="52069"/>
  <c r="B49" i="52069"/>
  <c r="A49" i="52069"/>
  <c r="C49" i="52069"/>
  <c r="G48" i="52069"/>
  <c r="B48" i="52069"/>
  <c r="A48" i="52069"/>
  <c r="C48" i="52069"/>
  <c r="G47" i="52069"/>
  <c r="B47" i="52069"/>
  <c r="A47" i="52069"/>
  <c r="C47" i="52069"/>
  <c r="G46" i="52069"/>
  <c r="B46" i="52069"/>
  <c r="A46" i="52069"/>
  <c r="C46" i="52069"/>
  <c r="G45" i="52069"/>
  <c r="B45" i="52069"/>
  <c r="A45" i="52069"/>
  <c r="C45" i="52069"/>
  <c r="G44" i="52069"/>
  <c r="B44" i="52069"/>
  <c r="A44" i="52069"/>
  <c r="C44" i="52069"/>
  <c r="G43" i="52069"/>
  <c r="B43" i="52069"/>
  <c r="A43" i="52069"/>
  <c r="C43" i="52069"/>
  <c r="G42" i="52069"/>
  <c r="B42" i="52069"/>
  <c r="A42" i="52069"/>
  <c r="C42" i="52069"/>
  <c r="G41" i="52069"/>
  <c r="B41" i="52069"/>
  <c r="A41" i="52069"/>
  <c r="C41" i="52069"/>
  <c r="G40" i="52069"/>
  <c r="B40" i="52069"/>
  <c r="A40" i="52069"/>
  <c r="C40" i="52069"/>
  <c r="G39" i="52069"/>
  <c r="B39" i="52069"/>
  <c r="A39" i="52069"/>
  <c r="C39" i="52069"/>
  <c r="G38" i="52069"/>
  <c r="B38" i="52069"/>
  <c r="A38" i="52069"/>
  <c r="C38" i="52069"/>
  <c r="G37" i="52069"/>
  <c r="B37" i="52069"/>
  <c r="A37" i="52069"/>
  <c r="C37" i="52069"/>
  <c r="G36" i="52069"/>
  <c r="B36" i="52069"/>
  <c r="A36" i="52069"/>
  <c r="C36" i="52069"/>
  <c r="G35" i="52069"/>
  <c r="B35" i="52069"/>
  <c r="A35" i="52069"/>
  <c r="C35" i="52069"/>
  <c r="G34" i="52069"/>
  <c r="B34" i="52069"/>
  <c r="A34" i="52069"/>
  <c r="C34" i="52069"/>
  <c r="G33" i="52069"/>
  <c r="B33" i="52069"/>
  <c r="A33" i="52069"/>
  <c r="C33" i="52069"/>
  <c r="G32" i="52069"/>
  <c r="B32" i="52069"/>
  <c r="A32" i="52069"/>
  <c r="C32" i="52069"/>
  <c r="G31" i="52069"/>
  <c r="B31" i="52069"/>
  <c r="A31" i="52069"/>
  <c r="C31" i="52069"/>
  <c r="G30" i="52069"/>
  <c r="B30" i="52069"/>
  <c r="A30" i="52069"/>
  <c r="C30" i="52069"/>
  <c r="G29" i="52069"/>
  <c r="B29" i="52069"/>
  <c r="A29" i="52069"/>
  <c r="C29" i="52069"/>
  <c r="G28" i="52069"/>
  <c r="B28" i="52069"/>
  <c r="A28" i="52069"/>
  <c r="C28" i="52069"/>
  <c r="G27" i="52069"/>
  <c r="B27" i="52069"/>
  <c r="A27" i="52069"/>
  <c r="C27" i="52069"/>
  <c r="G26" i="52069"/>
  <c r="B26" i="52069"/>
  <c r="A26" i="52069"/>
  <c r="C26" i="52069"/>
  <c r="G25" i="52069"/>
  <c r="B25" i="52069"/>
  <c r="A25" i="52069"/>
  <c r="C25" i="52069"/>
  <c r="G24" i="52069"/>
  <c r="B24" i="52069"/>
  <c r="A24" i="52069"/>
  <c r="C24" i="52069"/>
  <c r="G23" i="52069"/>
  <c r="B23" i="52069"/>
  <c r="A23" i="52069"/>
  <c r="C23" i="52069"/>
  <c r="G22" i="52069"/>
  <c r="B22" i="52069"/>
  <c r="A22" i="52069"/>
  <c r="C22" i="52069"/>
  <c r="G21" i="52069"/>
  <c r="B21" i="52069"/>
  <c r="A21" i="52069"/>
  <c r="C21" i="52069"/>
  <c r="G20" i="52069"/>
  <c r="B20" i="52069"/>
  <c r="A20" i="52069"/>
  <c r="C20" i="52069"/>
  <c r="G19" i="52069"/>
  <c r="B19" i="52069"/>
  <c r="A19" i="52069"/>
  <c r="C19" i="52069"/>
  <c r="G18" i="52069"/>
  <c r="B18" i="52069"/>
  <c r="A18" i="52069"/>
  <c r="C18" i="52069"/>
  <c r="G17" i="52069"/>
  <c r="B17" i="52069"/>
  <c r="A17" i="52069"/>
  <c r="C17" i="52069"/>
  <c r="G16" i="52069"/>
  <c r="B16" i="52069"/>
  <c r="A16" i="52069"/>
  <c r="C16" i="52069"/>
  <c r="G15" i="52069"/>
  <c r="B15" i="52069"/>
  <c r="A15" i="52069"/>
  <c r="C15" i="52069"/>
  <c r="G14" i="52069"/>
  <c r="B14" i="52069"/>
  <c r="A14" i="52069"/>
  <c r="C14" i="52069"/>
  <c r="G13" i="52069"/>
  <c r="B13" i="52069"/>
  <c r="A13" i="52069"/>
  <c r="C13" i="52069"/>
  <c r="G12" i="52069"/>
  <c r="B12" i="52069"/>
  <c r="A12" i="52069"/>
  <c r="C12" i="52069"/>
  <c r="G11" i="52069"/>
  <c r="B11" i="52069"/>
  <c r="A11" i="52069"/>
  <c r="C11" i="52069"/>
  <c r="G10" i="52069"/>
  <c r="B10" i="52069"/>
  <c r="A10" i="52069"/>
  <c r="C10" i="52069"/>
  <c r="G9" i="52069"/>
  <c r="B9" i="52069"/>
  <c r="A9" i="52069"/>
  <c r="C9" i="52069"/>
  <c r="G8" i="52069"/>
  <c r="B8" i="52069"/>
  <c r="A8" i="52069"/>
  <c r="C8" i="52069"/>
  <c r="G7" i="52069"/>
  <c r="B7" i="52069"/>
  <c r="A7" i="52069"/>
  <c r="C7" i="52069"/>
  <c r="G6" i="52069"/>
  <c r="B6" i="52069"/>
  <c r="A6" i="52069"/>
  <c r="C6" i="52069"/>
  <c r="G5" i="52069"/>
  <c r="B5" i="52069"/>
  <c r="A5" i="52069"/>
  <c r="C5" i="52069"/>
  <c r="G4" i="52069"/>
  <c r="B4" i="52069"/>
  <c r="A4" i="52069"/>
  <c r="C4" i="52069"/>
  <c r="G3" i="52069"/>
  <c r="B3" i="52069"/>
  <c r="A3" i="52069"/>
  <c r="C3" i="52069"/>
  <c r="D6" i="105"/>
  <c r="D6" i="108"/>
  <c r="D6" i="52087"/>
  <c r="D6" i="52088"/>
  <c r="D6" i="101"/>
  <c r="D6" i="52067"/>
  <c r="D6" i="52079"/>
  <c r="D6" i="52071"/>
  <c r="D6" i="52099"/>
  <c r="D6" i="114"/>
  <c r="D6" i="115"/>
  <c r="D6" i="20"/>
  <c r="D6" i="12"/>
  <c r="D6" i="77"/>
  <c r="D6" i="52089"/>
  <c r="D6" i="52090"/>
  <c r="D6" i="52091"/>
  <c r="D6" i="52092"/>
  <c r="D6" i="52093"/>
  <c r="D6" i="52094"/>
  <c r="D6" i="52095"/>
  <c r="D6" i="52080"/>
  <c r="D6" i="32"/>
  <c r="D6" i="91"/>
  <c r="D6" i="48"/>
  <c r="D6" i="52066"/>
  <c r="D6" i="52072"/>
  <c r="D6" i="52081"/>
  <c r="D6" i="52100"/>
  <c r="D6" i="21"/>
  <c r="G6" i="52064"/>
  <c r="G6" i="105"/>
  <c r="G6" i="108"/>
  <c r="G6" i="52087"/>
  <c r="G6" i="52088"/>
  <c r="G6" i="101"/>
  <c r="G6" i="52067"/>
  <c r="G6" i="52079"/>
  <c r="G6" i="52071"/>
  <c r="G6" i="52099"/>
  <c r="G6" i="114"/>
  <c r="G6" i="115"/>
  <c r="G6" i="20"/>
  <c r="G6" i="12"/>
  <c r="G6" i="77"/>
  <c r="G6" i="52089"/>
  <c r="G6" i="52090"/>
  <c r="G6" i="52091"/>
  <c r="G6" i="52092"/>
  <c r="G6" i="52093"/>
  <c r="G6" i="52094"/>
  <c r="G6" i="52095"/>
  <c r="G6" i="52080"/>
  <c r="G6" i="32"/>
  <c r="G6" i="91"/>
  <c r="G6" i="48"/>
  <c r="G6" i="52066"/>
  <c r="G6" i="52072"/>
  <c r="G6" i="52081"/>
  <c r="G6" i="52100"/>
  <c r="G6" i="21"/>
  <c r="F6" i="52064"/>
  <c r="F6" i="105"/>
  <c r="F6" i="108"/>
  <c r="F6" i="52087"/>
  <c r="F6" i="52088"/>
  <c r="F6" i="101"/>
  <c r="F6" i="52067"/>
  <c r="F6" i="52079"/>
  <c r="F6" i="52071"/>
  <c r="F6" i="114"/>
  <c r="F6" i="115"/>
  <c r="F6" i="20"/>
  <c r="F6" i="12"/>
  <c r="F6" i="77"/>
  <c r="F6" i="52089"/>
  <c r="F6" i="52090"/>
  <c r="F6" i="52091"/>
  <c r="F6" i="52092"/>
  <c r="F6" i="52093"/>
  <c r="F6" i="52094"/>
  <c r="F6" i="52095"/>
  <c r="F6" i="52080"/>
  <c r="F6" i="32"/>
  <c r="F6" i="91"/>
  <c r="F6" i="48"/>
  <c r="F6" i="52066"/>
  <c r="F6" i="52072"/>
  <c r="F6" i="52081"/>
  <c r="F6" i="52100"/>
  <c r="F6" i="21"/>
  <c r="E60" i="52100"/>
  <c r="E235" i="52100" s="1"/>
  <c r="E60" i="52072"/>
  <c r="E235" i="52072" s="1"/>
  <c r="E60" i="52066"/>
  <c r="E235" i="52066" s="1"/>
  <c r="E60" i="48"/>
  <c r="E235" i="48" s="1"/>
  <c r="E60" i="91"/>
  <c r="E235" i="91" s="1"/>
  <c r="E60" i="32"/>
  <c r="E60" i="52095"/>
  <c r="E235" i="52095" s="1"/>
  <c r="E60" i="52094"/>
  <c r="E235" i="52094" s="1"/>
  <c r="E60" i="52093"/>
  <c r="E235" i="52093" s="1"/>
  <c r="E60" i="52092"/>
  <c r="E235" i="52092" s="1"/>
  <c r="E60" i="52091"/>
  <c r="E235" i="52091" s="1"/>
  <c r="E60" i="52090"/>
  <c r="E235" i="52090" s="1"/>
  <c r="E60" i="52089"/>
  <c r="E235" i="52089" s="1"/>
  <c r="E60" i="77"/>
  <c r="E60" i="12"/>
  <c r="E235" i="12" s="1"/>
  <c r="E60" i="20"/>
  <c r="E235" i="20" s="1"/>
  <c r="E235" i="115"/>
  <c r="E60" i="114"/>
  <c r="E235" i="114" s="1"/>
  <c r="E235" i="101"/>
  <c r="E235" i="52087"/>
  <c r="E235" i="105"/>
  <c r="E60" i="52064"/>
  <c r="E235" i="52064" s="1"/>
  <c r="E60" i="21"/>
  <c r="E235" i="21" s="1"/>
  <c r="E57" i="52072"/>
  <c r="E56" i="52072"/>
  <c r="E38" i="52072" s="1"/>
  <c r="E57" i="52066"/>
  <c r="E56" i="52066"/>
  <c r="E38" i="52066" s="1"/>
  <c r="E57" i="52095"/>
  <c r="E56" i="52095"/>
  <c r="E57" i="52094"/>
  <c r="E56" i="52094"/>
  <c r="E57" i="52093"/>
  <c r="E56" i="52093"/>
  <c r="E57" i="52092"/>
  <c r="E56" i="52092"/>
  <c r="E57" i="52091"/>
  <c r="E57" i="52077" s="1"/>
  <c r="E56" i="52091"/>
  <c r="E57" i="52090"/>
  <c r="E56" i="52090"/>
  <c r="E57" i="52089"/>
  <c r="E56" i="52089"/>
  <c r="E38" i="52089"/>
  <c r="E57" i="77"/>
  <c r="E56" i="77"/>
  <c r="E38" i="77" s="1"/>
  <c r="E57" i="12"/>
  <c r="E56" i="12"/>
  <c r="E38" i="12" s="1"/>
  <c r="E57" i="20"/>
  <c r="E56" i="20"/>
  <c r="E38" i="20" s="1"/>
  <c r="E57" i="115"/>
  <c r="F57" i="52104" s="1"/>
  <c r="E56" i="115"/>
  <c r="F56" i="52104" s="1"/>
  <c r="E57" i="114"/>
  <c r="E56" i="114"/>
  <c r="F56" i="52075" s="1"/>
  <c r="E57" i="52071"/>
  <c r="E56" i="52071"/>
  <c r="E57" i="52067"/>
  <c r="E56" i="52067"/>
  <c r="E57" i="101"/>
  <c r="E56" i="101"/>
  <c r="E38" i="101" s="1"/>
  <c r="G38" i="52082" s="1"/>
  <c r="E57" i="52088"/>
  <c r="E56" i="52088"/>
  <c r="E57" i="52087"/>
  <c r="E56" i="52087"/>
  <c r="E57" i="108"/>
  <c r="E56" i="108"/>
  <c r="E57" i="105"/>
  <c r="E56" i="105"/>
  <c r="E57" i="148"/>
  <c r="E56" i="148"/>
  <c r="E57" i="52064"/>
  <c r="E56" i="52064"/>
  <c r="E61" i="21"/>
  <c r="E57" i="21"/>
  <c r="E56" i="21"/>
  <c r="E57" i="48"/>
  <c r="E57" i="52084" s="1"/>
  <c r="E56" i="48"/>
  <c r="E57" i="91"/>
  <c r="F57" i="52103" s="1"/>
  <c r="E56" i="91"/>
  <c r="E38" i="91"/>
  <c r="E61" i="32"/>
  <c r="E57" i="32"/>
  <c r="E56" i="32"/>
  <c r="E57" i="52079"/>
  <c r="F57" i="52083" s="1"/>
  <c r="E56" i="52079"/>
  <c r="E38" i="52079" s="1"/>
  <c r="H61" i="233"/>
  <c r="F61" i="233"/>
  <c r="H132" i="110"/>
  <c r="H124" i="110"/>
  <c r="H123" i="110"/>
  <c r="H79" i="110"/>
  <c r="H57" i="110"/>
  <c r="H56" i="110"/>
  <c r="H49" i="110"/>
  <c r="H40" i="110"/>
  <c r="H39" i="110"/>
  <c r="H38" i="110"/>
  <c r="H37" i="110"/>
  <c r="H29" i="110"/>
  <c r="H27" i="110"/>
  <c r="H26" i="110"/>
  <c r="H25" i="110"/>
  <c r="H23" i="110"/>
  <c r="H16" i="110"/>
  <c r="H15" i="110"/>
  <c r="H14" i="110"/>
  <c r="H13" i="110"/>
  <c r="H12" i="110"/>
  <c r="H11" i="110"/>
  <c r="H10" i="110"/>
  <c r="H9" i="110"/>
  <c r="H61" i="110"/>
  <c r="H255" i="110"/>
  <c r="E254" i="52100"/>
  <c r="J245" i="52100"/>
  <c r="I245" i="52100"/>
  <c r="C235" i="52100"/>
  <c r="A229" i="52100"/>
  <c r="E215" i="52100"/>
  <c r="D215" i="52100"/>
  <c r="E249" i="52100"/>
  <c r="D201" i="52100"/>
  <c r="I182" i="52100"/>
  <c r="D185" i="52100"/>
  <c r="D168" i="52100"/>
  <c r="D242" i="52100" s="1"/>
  <c r="D154" i="52100"/>
  <c r="D241" i="52100" s="1"/>
  <c r="D116" i="52100"/>
  <c r="D239" i="52100" s="1"/>
  <c r="I89" i="52100"/>
  <c r="J79" i="52100"/>
  <c r="D70" i="52100"/>
  <c r="D103" i="52100" s="1"/>
  <c r="D235" i="52100"/>
  <c r="I58" i="52100"/>
  <c r="L58" i="52100" s="1"/>
  <c r="I57" i="52100"/>
  <c r="I56" i="52100"/>
  <c r="I55" i="52100"/>
  <c r="L55" i="52100" s="1"/>
  <c r="I48" i="52100"/>
  <c r="L48" i="52100" s="1"/>
  <c r="I42" i="52100"/>
  <c r="I41" i="52100"/>
  <c r="I40" i="52100"/>
  <c r="I39" i="52100"/>
  <c r="I38" i="52100"/>
  <c r="C38" i="52100"/>
  <c r="I37" i="52100"/>
  <c r="I36" i="52100"/>
  <c r="I35" i="52100"/>
  <c r="I34" i="52100"/>
  <c r="L34" i="52100" s="1"/>
  <c r="I29" i="52100"/>
  <c r="D21" i="52100"/>
  <c r="D51" i="52100" s="1"/>
  <c r="C6" i="52100"/>
  <c r="E6" i="52100" s="1"/>
  <c r="C4" i="52100"/>
  <c r="R213" i="52097"/>
  <c r="R212" i="52097"/>
  <c r="R211" i="52097"/>
  <c r="R207" i="52097"/>
  <c r="R199" i="52097"/>
  <c r="R198" i="52097"/>
  <c r="R197" i="52097"/>
  <c r="R196" i="52097"/>
  <c r="R195" i="52097"/>
  <c r="R194" i="52097"/>
  <c r="R193" i="52097"/>
  <c r="R192" i="52097"/>
  <c r="R191" i="52097"/>
  <c r="R190" i="52097"/>
  <c r="R189" i="52097"/>
  <c r="R188" i="52097"/>
  <c r="R187" i="52097"/>
  <c r="R183" i="52097"/>
  <c r="R182" i="52097"/>
  <c r="R181" i="52097"/>
  <c r="R180" i="52097"/>
  <c r="R179" i="52097"/>
  <c r="R178" i="52097"/>
  <c r="R177" i="52097"/>
  <c r="R176" i="52097"/>
  <c r="R175" i="52097"/>
  <c r="R174" i="52097"/>
  <c r="R173" i="52097"/>
  <c r="R172" i="52097"/>
  <c r="R171" i="52097"/>
  <c r="R170" i="52097"/>
  <c r="R166" i="52097"/>
  <c r="R165" i="52097"/>
  <c r="R164" i="52097"/>
  <c r="R163" i="52097"/>
  <c r="R162" i="52097"/>
  <c r="R161" i="52097"/>
  <c r="R160" i="52097"/>
  <c r="R159" i="52097"/>
  <c r="R158" i="52097"/>
  <c r="R157" i="52097"/>
  <c r="R156" i="52097"/>
  <c r="R152" i="52097"/>
  <c r="R150" i="52097"/>
  <c r="R149" i="52097"/>
  <c r="R148" i="52097"/>
  <c r="R147" i="52097"/>
  <c r="R146" i="52097"/>
  <c r="R145" i="52097"/>
  <c r="R144" i="52097"/>
  <c r="R143" i="52097"/>
  <c r="R142" i="52097"/>
  <c r="R141" i="52097"/>
  <c r="R140" i="52097"/>
  <c r="R139" i="52097"/>
  <c r="R138" i="52097"/>
  <c r="R137" i="52097"/>
  <c r="R136" i="52097"/>
  <c r="R135" i="52097"/>
  <c r="R134" i="52097"/>
  <c r="R133" i="52097"/>
  <c r="R132" i="52097"/>
  <c r="R131" i="52097"/>
  <c r="R127" i="52097"/>
  <c r="R126" i="52097"/>
  <c r="R125" i="52097"/>
  <c r="R124" i="52097"/>
  <c r="R123" i="52097"/>
  <c r="R122" i="52097"/>
  <c r="R121" i="52097"/>
  <c r="R120" i="52097"/>
  <c r="R119" i="52097"/>
  <c r="R118" i="52097"/>
  <c r="R114" i="52097"/>
  <c r="R113" i="52097"/>
  <c r="R112" i="52097"/>
  <c r="R111" i="52097"/>
  <c r="R110" i="52097"/>
  <c r="R109" i="52097"/>
  <c r="R108" i="52097"/>
  <c r="R107" i="52097"/>
  <c r="R106" i="52097"/>
  <c r="R105" i="52097"/>
  <c r="R101" i="52097"/>
  <c r="R100" i="52097"/>
  <c r="R99" i="52097"/>
  <c r="R98" i="52097"/>
  <c r="R97" i="52097"/>
  <c r="R96" i="52097"/>
  <c r="R95" i="52097"/>
  <c r="R94" i="52097"/>
  <c r="R93" i="52097"/>
  <c r="R92" i="52097"/>
  <c r="R91" i="52097"/>
  <c r="R90" i="52097"/>
  <c r="R89" i="52097"/>
  <c r="R88" i="52097"/>
  <c r="R87" i="52097"/>
  <c r="R86" i="52097"/>
  <c r="R85" i="52097"/>
  <c r="R84" i="52097"/>
  <c r="R83" i="52097"/>
  <c r="R82" i="52097"/>
  <c r="R81" i="52097"/>
  <c r="R80" i="52097"/>
  <c r="R79" i="52097"/>
  <c r="R78" i="52097"/>
  <c r="R77" i="52097"/>
  <c r="R76" i="52097"/>
  <c r="R75" i="52097"/>
  <c r="R74" i="52097"/>
  <c r="R73" i="52097"/>
  <c r="R72" i="52097"/>
  <c r="R68" i="52097"/>
  <c r="R67" i="52097"/>
  <c r="R66" i="52097"/>
  <c r="R65" i="52097"/>
  <c r="R64" i="52097"/>
  <c r="R49" i="52097"/>
  <c r="R47" i="52097"/>
  <c r="R46" i="52097"/>
  <c r="R44" i="52097"/>
  <c r="R19" i="52097"/>
  <c r="R18" i="52097"/>
  <c r="R17" i="52097"/>
  <c r="R16" i="52097"/>
  <c r="R15" i="52097"/>
  <c r="R14" i="52097"/>
  <c r="R13" i="52097"/>
  <c r="R12" i="52097"/>
  <c r="R11" i="52097"/>
  <c r="R10" i="52097"/>
  <c r="R9" i="52097"/>
  <c r="R8" i="52097"/>
  <c r="K179" i="52097"/>
  <c r="K60" i="52097"/>
  <c r="K235" i="52097" s="1"/>
  <c r="K57" i="52097"/>
  <c r="K56" i="52097"/>
  <c r="K42" i="52097"/>
  <c r="K41" i="52097"/>
  <c r="K40" i="52097"/>
  <c r="K39" i="52097"/>
  <c r="K38" i="52097"/>
  <c r="K37" i="52097"/>
  <c r="K36" i="52097"/>
  <c r="K35" i="52097"/>
  <c r="K29" i="52097"/>
  <c r="K28" i="52097"/>
  <c r="K27" i="52097"/>
  <c r="K26" i="52097"/>
  <c r="K25" i="52097"/>
  <c r="K24" i="52097"/>
  <c r="K23" i="52097"/>
  <c r="K30" i="52097" s="1"/>
  <c r="K44" i="52097" s="1"/>
  <c r="K229" i="52097"/>
  <c r="J229" i="52097"/>
  <c r="K217" i="52098"/>
  <c r="K198" i="52098"/>
  <c r="K197" i="52098"/>
  <c r="K196" i="52098"/>
  <c r="K195" i="52098"/>
  <c r="K194" i="52098"/>
  <c r="K193" i="52098"/>
  <c r="K192" i="52098"/>
  <c r="K191" i="52098"/>
  <c r="K190" i="52098"/>
  <c r="K189" i="52098"/>
  <c r="K188" i="52098"/>
  <c r="K187" i="52098"/>
  <c r="K186" i="52098"/>
  <c r="K178" i="52098"/>
  <c r="K159" i="52098"/>
  <c r="K158" i="52098"/>
  <c r="K157" i="52098"/>
  <c r="K156" i="52098"/>
  <c r="K132" i="52098"/>
  <c r="K131" i="52098"/>
  <c r="K123" i="52098"/>
  <c r="K111" i="52098"/>
  <c r="K108" i="52098"/>
  <c r="K106" i="52098"/>
  <c r="K105" i="52098"/>
  <c r="K15" i="52098"/>
  <c r="K14" i="52098"/>
  <c r="K8" i="52098"/>
  <c r="G28" i="233"/>
  <c r="U231" i="111"/>
  <c r="R231" i="111"/>
  <c r="P231" i="111"/>
  <c r="O231" i="111"/>
  <c r="M231" i="52097"/>
  <c r="N231" i="52097"/>
  <c r="O231" i="52097"/>
  <c r="L231" i="52097"/>
  <c r="E235" i="52079"/>
  <c r="E253" i="9"/>
  <c r="I255" i="9"/>
  <c r="J253" i="110"/>
  <c r="B255" i="110"/>
  <c r="C255" i="110"/>
  <c r="D255" i="110"/>
  <c r="E255" i="110"/>
  <c r="F255" i="110"/>
  <c r="G255" i="110"/>
  <c r="B255" i="111"/>
  <c r="C255" i="111"/>
  <c r="D255" i="111"/>
  <c r="E255" i="111"/>
  <c r="F255" i="111"/>
  <c r="G255" i="111"/>
  <c r="H255" i="111"/>
  <c r="J255" i="111"/>
  <c r="K255" i="111"/>
  <c r="L255" i="111"/>
  <c r="M255" i="111"/>
  <c r="N255" i="111"/>
  <c r="B255" i="52097"/>
  <c r="C255" i="52097"/>
  <c r="D255" i="52097"/>
  <c r="E255" i="52097"/>
  <c r="F255" i="52097"/>
  <c r="G255" i="52097"/>
  <c r="H255" i="52097"/>
  <c r="I255" i="52097"/>
  <c r="J255" i="52097"/>
  <c r="C255" i="9"/>
  <c r="C253" i="9"/>
  <c r="B255" i="9"/>
  <c r="G255" i="9" s="1"/>
  <c r="B253" i="9"/>
  <c r="G253" i="9" s="1"/>
  <c r="B253" i="233" s="1"/>
  <c r="G221" i="52074"/>
  <c r="G222" i="52074" s="1"/>
  <c r="H221" i="52075"/>
  <c r="H222" i="52075" s="1"/>
  <c r="H252" i="52075" s="1"/>
  <c r="G221" i="52077"/>
  <c r="G222" i="52077"/>
  <c r="G64" i="108"/>
  <c r="E64" i="52083" s="1"/>
  <c r="G253" i="105"/>
  <c r="C253" i="52097"/>
  <c r="G253" i="108"/>
  <c r="D253" i="52097"/>
  <c r="G253" i="52087"/>
  <c r="E253" i="52097"/>
  <c r="G253" i="52088"/>
  <c r="F253" i="52097"/>
  <c r="G253" i="101"/>
  <c r="G253" i="52097"/>
  <c r="G253" i="52067"/>
  <c r="H253" i="52097"/>
  <c r="G253" i="52079"/>
  <c r="J253" i="52097"/>
  <c r="G253" i="52071"/>
  <c r="G253" i="148"/>
  <c r="B253" i="52097" s="1"/>
  <c r="G66" i="52081"/>
  <c r="D66" i="52103" s="1"/>
  <c r="G66" i="21"/>
  <c r="G121" i="101"/>
  <c r="G121" i="20"/>
  <c r="D121" i="52104" s="1"/>
  <c r="G121" i="52095"/>
  <c r="G121" i="105"/>
  <c r="B121" i="52083" s="1"/>
  <c r="G121" i="32"/>
  <c r="E121" i="52102" s="1"/>
  <c r="G48" i="93"/>
  <c r="G47" i="93"/>
  <c r="H157" i="93"/>
  <c r="I143" i="93"/>
  <c r="G11" i="93"/>
  <c r="F111" i="52082"/>
  <c r="F79" i="52082"/>
  <c r="F93" i="52082"/>
  <c r="E185" i="52099"/>
  <c r="E154" i="52099"/>
  <c r="F30" i="52099"/>
  <c r="G253" i="52099"/>
  <c r="K253" i="52097" s="1"/>
  <c r="F253" i="52082"/>
  <c r="J245" i="52099"/>
  <c r="I245" i="52099"/>
  <c r="C235" i="52099"/>
  <c r="E215" i="52099"/>
  <c r="I213" i="52099"/>
  <c r="I212" i="52099"/>
  <c r="I211" i="52099"/>
  <c r="D215" i="52099"/>
  <c r="C215" i="52099"/>
  <c r="E249" i="52099"/>
  <c r="J199" i="52099"/>
  <c r="I198" i="52099"/>
  <c r="J198" i="52099"/>
  <c r="I197" i="52099"/>
  <c r="J197" i="52099"/>
  <c r="J196" i="52099"/>
  <c r="I195" i="52099"/>
  <c r="J195" i="52099"/>
  <c r="I194" i="52099"/>
  <c r="J194" i="52099"/>
  <c r="J193" i="52099"/>
  <c r="J192" i="52099"/>
  <c r="I191" i="52099"/>
  <c r="J191" i="52099"/>
  <c r="I190" i="52099"/>
  <c r="J190" i="52099"/>
  <c r="E201" i="52099"/>
  <c r="J189" i="52099"/>
  <c r="I188" i="52099"/>
  <c r="I187" i="52099"/>
  <c r="D201" i="52099"/>
  <c r="C201" i="52099"/>
  <c r="I183" i="52099"/>
  <c r="I182" i="52099"/>
  <c r="I181" i="52099"/>
  <c r="J179" i="52099"/>
  <c r="I179" i="52099"/>
  <c r="I177" i="52099"/>
  <c r="I176" i="52099"/>
  <c r="I175" i="52099"/>
  <c r="I174" i="52099"/>
  <c r="I172" i="52099"/>
  <c r="I171" i="52099"/>
  <c r="D185" i="52099"/>
  <c r="C185" i="52099"/>
  <c r="I165" i="52099"/>
  <c r="I164" i="52099"/>
  <c r="I160" i="52099"/>
  <c r="J160" i="52099"/>
  <c r="J159" i="52099"/>
  <c r="J158" i="52099"/>
  <c r="J157" i="52099"/>
  <c r="E168" i="52099"/>
  <c r="D168" i="52099"/>
  <c r="D242" i="52099" s="1"/>
  <c r="C168" i="52099"/>
  <c r="I148" i="52099"/>
  <c r="I146" i="52099"/>
  <c r="J146" i="52099"/>
  <c r="I144" i="52099"/>
  <c r="J144" i="52099"/>
  <c r="I140" i="52099"/>
  <c r="I139" i="52099"/>
  <c r="D154" i="52099"/>
  <c r="D241" i="52099" s="1"/>
  <c r="C154" i="52099"/>
  <c r="I126" i="52099"/>
  <c r="I124" i="52099"/>
  <c r="I122" i="52099"/>
  <c r="I119" i="52099"/>
  <c r="D129" i="52099"/>
  <c r="D240" i="52099" s="1"/>
  <c r="I114" i="52099"/>
  <c r="I108" i="52099"/>
  <c r="I107" i="52099"/>
  <c r="C116" i="52099"/>
  <c r="I105" i="52099"/>
  <c r="I101" i="52099"/>
  <c r="I98" i="52099"/>
  <c r="I97" i="52099"/>
  <c r="I93" i="52099"/>
  <c r="I92" i="52099"/>
  <c r="I85" i="52099"/>
  <c r="I83" i="52099"/>
  <c r="I81" i="52099"/>
  <c r="I79" i="52099"/>
  <c r="I75" i="52099"/>
  <c r="J66" i="52099"/>
  <c r="I65" i="52099"/>
  <c r="E70" i="52099"/>
  <c r="D70" i="52099"/>
  <c r="D103" i="52099" s="1"/>
  <c r="C70" i="52099"/>
  <c r="C103" i="52099"/>
  <c r="E236" i="52099"/>
  <c r="G235" i="52099"/>
  <c r="E235" i="52099"/>
  <c r="D235" i="52099"/>
  <c r="I58" i="52099"/>
  <c r="I57" i="52099"/>
  <c r="I56" i="52099"/>
  <c r="I55" i="52099"/>
  <c r="I48" i="52099"/>
  <c r="I42" i="52099"/>
  <c r="I41" i="52099"/>
  <c r="I40" i="52099"/>
  <c r="I39" i="52099"/>
  <c r="I38" i="52099"/>
  <c r="I37" i="52099"/>
  <c r="I36" i="52099"/>
  <c r="I35" i="52099"/>
  <c r="I34" i="52099"/>
  <c r="E253" i="52099"/>
  <c r="C253" i="52099"/>
  <c r="E30" i="52099"/>
  <c r="E44" i="52099"/>
  <c r="C30" i="52099"/>
  <c r="C44" i="52099"/>
  <c r="I18" i="52099"/>
  <c r="I16" i="52099"/>
  <c r="I15" i="52099"/>
  <c r="I13" i="52099"/>
  <c r="J13" i="52099"/>
  <c r="I12" i="52099"/>
  <c r="I11" i="52099"/>
  <c r="I10" i="52099"/>
  <c r="I9" i="52099"/>
  <c r="E21" i="52099"/>
  <c r="D21" i="52099"/>
  <c r="D51" i="52099" s="1"/>
  <c r="C21" i="52099"/>
  <c r="C6" i="52099"/>
  <c r="E6" i="52099" s="1"/>
  <c r="E79" i="9"/>
  <c r="I45" i="93"/>
  <c r="G122" i="52072"/>
  <c r="G122" i="52089"/>
  <c r="D122" i="52074" s="1"/>
  <c r="G122" i="52064"/>
  <c r="G122" i="105"/>
  <c r="J122" i="105" s="1"/>
  <c r="G122" i="108"/>
  <c r="G122" i="52087"/>
  <c r="J122" i="52087" s="1"/>
  <c r="G122" i="101"/>
  <c r="G122" i="52079"/>
  <c r="J122" i="52097" s="1"/>
  <c r="G122" i="52071"/>
  <c r="G122" i="114"/>
  <c r="G122" i="77"/>
  <c r="C122" i="52104" s="1"/>
  <c r="G122" i="52093"/>
  <c r="D122" i="52076" s="1"/>
  <c r="G122" i="52094"/>
  <c r="G122" i="52095"/>
  <c r="G122" i="52080"/>
  <c r="J122" i="52080" s="1"/>
  <c r="G122" i="48"/>
  <c r="B122" i="52103" s="1"/>
  <c r="G122" i="52081"/>
  <c r="D122" i="52103" s="1"/>
  <c r="G122" i="21"/>
  <c r="G121" i="52079"/>
  <c r="J121" i="52097" s="1"/>
  <c r="G121" i="52064"/>
  <c r="G121" i="148"/>
  <c r="G121" i="108"/>
  <c r="D121" i="52097" s="1"/>
  <c r="G121" i="52088"/>
  <c r="G121" i="52067"/>
  <c r="G121" i="114"/>
  <c r="G121" i="115"/>
  <c r="G121" i="12"/>
  <c r="B121" i="52104" s="1"/>
  <c r="G121" i="52089"/>
  <c r="G121" i="52090"/>
  <c r="G121" i="52093"/>
  <c r="D121" i="52076" s="1"/>
  <c r="G121" i="52094"/>
  <c r="B121" i="52077" s="1"/>
  <c r="G121" i="52072"/>
  <c r="D121" i="52102" s="1"/>
  <c r="F182" i="9"/>
  <c r="G120" i="52064"/>
  <c r="C120" i="9"/>
  <c r="G120" i="148"/>
  <c r="B120" i="52082"/>
  <c r="G120" i="105"/>
  <c r="C120" i="52097"/>
  <c r="G120" i="108"/>
  <c r="E120" i="52083"/>
  <c r="G120" i="52087"/>
  <c r="E120" i="52097"/>
  <c r="G120" i="52088"/>
  <c r="E120" i="52082"/>
  <c r="G120" i="101"/>
  <c r="D120" i="52082"/>
  <c r="G120" i="52067"/>
  <c r="H120" i="52097"/>
  <c r="G120" i="52079"/>
  <c r="G120" i="52071"/>
  <c r="G120" i="114"/>
  <c r="B120" i="111"/>
  <c r="G120" i="115"/>
  <c r="G120" i="20"/>
  <c r="D120" i="52104" s="1"/>
  <c r="G120" i="12"/>
  <c r="B120" i="52104" s="1"/>
  <c r="G120" i="77"/>
  <c r="C120" i="52104" s="1"/>
  <c r="G120" i="52089"/>
  <c r="G120" i="52090"/>
  <c r="D120" i="52075" s="1"/>
  <c r="G120" i="52092"/>
  <c r="J120" i="111" s="1"/>
  <c r="G120" i="52093"/>
  <c r="D120" i="52076" s="1"/>
  <c r="D120" i="52077"/>
  <c r="G120" i="52094"/>
  <c r="B120" i="52077"/>
  <c r="G120" i="52095"/>
  <c r="B120" i="52075"/>
  <c r="G120" i="52080"/>
  <c r="N120" i="111"/>
  <c r="G120" i="32"/>
  <c r="E120" i="52102"/>
  <c r="G120" i="91"/>
  <c r="G120" i="48"/>
  <c r="B120" i="52084" s="1"/>
  <c r="G120" i="52066"/>
  <c r="C120" i="52103" s="1"/>
  <c r="G120" i="52072"/>
  <c r="D120" i="52102" s="1"/>
  <c r="G120" i="52081"/>
  <c r="D120" i="52103" s="1"/>
  <c r="G120" i="21"/>
  <c r="K120" i="52098" s="1"/>
  <c r="G119" i="52064"/>
  <c r="G119" i="148"/>
  <c r="B119" i="52097" s="1"/>
  <c r="G119" i="105"/>
  <c r="C119" i="52097" s="1"/>
  <c r="G119" i="108"/>
  <c r="D119" i="52097" s="1"/>
  <c r="G119" i="52087"/>
  <c r="C119" i="52082" s="1"/>
  <c r="G119" i="52088"/>
  <c r="E119" i="52082" s="1"/>
  <c r="G119" i="101"/>
  <c r="G119" i="52097" s="1"/>
  <c r="G119" i="52067"/>
  <c r="D119" i="52083" s="1"/>
  <c r="G119" i="52079"/>
  <c r="G119" i="52071"/>
  <c r="I119" i="52097"/>
  <c r="G119" i="114"/>
  <c r="G119" i="115"/>
  <c r="E119" i="52104" s="1"/>
  <c r="G119" i="20"/>
  <c r="D119" i="52104" s="1"/>
  <c r="G119" i="12"/>
  <c r="B119" i="52104" s="1"/>
  <c r="G119" i="77"/>
  <c r="C119" i="52076" s="1"/>
  <c r="G119" i="52089"/>
  <c r="G119" i="52090"/>
  <c r="G119" i="52092"/>
  <c r="J119" i="111" s="1"/>
  <c r="G119" i="52093"/>
  <c r="D119" i="52076" s="1"/>
  <c r="D119" i="52077"/>
  <c r="G119" i="52094"/>
  <c r="B119" i="52077"/>
  <c r="G119" i="52095"/>
  <c r="M119" i="111"/>
  <c r="G119" i="52080"/>
  <c r="E119" i="52075"/>
  <c r="G119" i="32"/>
  <c r="E119" i="52102"/>
  <c r="G119" i="91"/>
  <c r="C119" i="110"/>
  <c r="G119" i="48"/>
  <c r="B119" i="52084"/>
  <c r="G119" i="52066"/>
  <c r="C119" i="52103"/>
  <c r="C119" i="52084"/>
  <c r="G119" i="52072"/>
  <c r="D119" i="52102" s="1"/>
  <c r="G119" i="52081"/>
  <c r="D119" i="52084" s="1"/>
  <c r="G119" i="21"/>
  <c r="B119" i="52098" s="1"/>
  <c r="G118" i="52064"/>
  <c r="C118" i="9" s="1"/>
  <c r="G118" i="148"/>
  <c r="B118" i="52082" s="1"/>
  <c r="G118" i="105"/>
  <c r="G118" i="108"/>
  <c r="D118" i="52097" s="1"/>
  <c r="G118" i="52087"/>
  <c r="C118" i="52082" s="1"/>
  <c r="G118" i="52088"/>
  <c r="E118" i="52082" s="1"/>
  <c r="G118" i="101"/>
  <c r="D118" i="52082" s="1"/>
  <c r="G118" i="52067"/>
  <c r="G118" i="52079"/>
  <c r="C118" i="52083" s="1"/>
  <c r="I118" i="52097"/>
  <c r="G118" i="114"/>
  <c r="B118" i="111"/>
  <c r="G118" i="115"/>
  <c r="E118" i="52104"/>
  <c r="G118" i="20"/>
  <c r="D118" i="52104"/>
  <c r="B118" i="52074"/>
  <c r="G118" i="12"/>
  <c r="B118" i="52104" s="1"/>
  <c r="G118" i="77"/>
  <c r="C118" i="52104" s="1"/>
  <c r="G118" i="52089"/>
  <c r="D118" i="52074" s="1"/>
  <c r="G118" i="52090"/>
  <c r="G118" i="52092"/>
  <c r="J118" i="111" s="1"/>
  <c r="G118" i="52093"/>
  <c r="D118" i="52076" s="1"/>
  <c r="D118" i="52077"/>
  <c r="G118" i="52094"/>
  <c r="B118" i="52077" s="1"/>
  <c r="G118" i="52095"/>
  <c r="B118" i="52075" s="1"/>
  <c r="G118" i="52080"/>
  <c r="N118" i="111" s="1"/>
  <c r="G118" i="32"/>
  <c r="E118" i="52102" s="1"/>
  <c r="B118" i="110"/>
  <c r="G118" i="91"/>
  <c r="G118" i="48"/>
  <c r="B118" i="52103" s="1"/>
  <c r="G118" i="52066"/>
  <c r="C118" i="52103" s="1"/>
  <c r="G118" i="52072"/>
  <c r="D118" i="52102" s="1"/>
  <c r="G118" i="52081"/>
  <c r="D118" i="52103" s="1"/>
  <c r="G118" i="21"/>
  <c r="K118" i="52098" s="1"/>
  <c r="E199" i="52082"/>
  <c r="D199" i="52082"/>
  <c r="C199" i="52082"/>
  <c r="B199" i="52082"/>
  <c r="E198" i="52082"/>
  <c r="D198" i="52082"/>
  <c r="C198" i="52082"/>
  <c r="B198" i="52082"/>
  <c r="E197" i="52082"/>
  <c r="D197" i="52082"/>
  <c r="C197" i="52082"/>
  <c r="B197" i="52082"/>
  <c r="E196" i="52082"/>
  <c r="D196" i="52082"/>
  <c r="C196" i="52082"/>
  <c r="B196" i="52082"/>
  <c r="E195" i="52082"/>
  <c r="D195" i="52082"/>
  <c r="C195" i="52082"/>
  <c r="B195" i="52082"/>
  <c r="E194" i="52082"/>
  <c r="D194" i="52082"/>
  <c r="C194" i="52082"/>
  <c r="B194" i="52082"/>
  <c r="E193" i="52082"/>
  <c r="D193" i="52082"/>
  <c r="C193" i="52082"/>
  <c r="B193" i="52082"/>
  <c r="E192" i="52082"/>
  <c r="D192" i="52082"/>
  <c r="C192" i="52082"/>
  <c r="B192" i="52082"/>
  <c r="E191" i="52082"/>
  <c r="D191" i="52082"/>
  <c r="C191" i="52082"/>
  <c r="B191" i="52082"/>
  <c r="E190" i="52082"/>
  <c r="D190" i="52082"/>
  <c r="C190" i="52082"/>
  <c r="B190" i="52082"/>
  <c r="E189" i="52082"/>
  <c r="D189" i="52082"/>
  <c r="C189" i="52082"/>
  <c r="B189" i="52082"/>
  <c r="E188" i="52082"/>
  <c r="D188" i="52082"/>
  <c r="C188" i="52082"/>
  <c r="B188" i="52082"/>
  <c r="E187" i="52082"/>
  <c r="D187" i="52082"/>
  <c r="C187" i="52082"/>
  <c r="C201" i="52082" s="1"/>
  <c r="B187" i="52082"/>
  <c r="E160" i="52082"/>
  <c r="D160" i="52082"/>
  <c r="C160" i="52082"/>
  <c r="B160" i="52082"/>
  <c r="E159" i="52082"/>
  <c r="D159" i="52082"/>
  <c r="C159" i="52082"/>
  <c r="B159" i="52082"/>
  <c r="E158" i="52082"/>
  <c r="D158" i="52082"/>
  <c r="C158" i="52082"/>
  <c r="B158" i="52082"/>
  <c r="E157" i="52082"/>
  <c r="D157" i="52082"/>
  <c r="C157" i="52082"/>
  <c r="B157" i="52082"/>
  <c r="E61" i="52082"/>
  <c r="D61" i="52082"/>
  <c r="C61" i="52082"/>
  <c r="B61" i="52082"/>
  <c r="E60" i="52082"/>
  <c r="E235" i="52082" s="1"/>
  <c r="D60" i="52082"/>
  <c r="D235" i="52082" s="1"/>
  <c r="C60" i="52082"/>
  <c r="C235" i="52082" s="1"/>
  <c r="E57" i="52082"/>
  <c r="D57" i="52082"/>
  <c r="C57" i="52082"/>
  <c r="B57" i="52082"/>
  <c r="J57" i="52082" s="1"/>
  <c r="E56" i="52082"/>
  <c r="D56" i="52082"/>
  <c r="C56" i="52082"/>
  <c r="B56" i="52082"/>
  <c r="E42" i="52082"/>
  <c r="D42" i="52082"/>
  <c r="C42" i="52082"/>
  <c r="B42" i="52082"/>
  <c r="E41" i="52082"/>
  <c r="D41" i="52082"/>
  <c r="C41" i="52082"/>
  <c r="B41" i="52082"/>
  <c r="E40" i="52082"/>
  <c r="D40" i="52082"/>
  <c r="C40" i="52082"/>
  <c r="B40" i="52082"/>
  <c r="E39" i="52082"/>
  <c r="D39" i="52082"/>
  <c r="C39" i="52082"/>
  <c r="B39" i="52082"/>
  <c r="E38" i="52082"/>
  <c r="D38" i="52082"/>
  <c r="C38" i="52082"/>
  <c r="B38" i="52082"/>
  <c r="E37" i="52082"/>
  <c r="D37" i="52082"/>
  <c r="C37" i="52082"/>
  <c r="B37" i="52082"/>
  <c r="E36" i="52082"/>
  <c r="D36" i="52082"/>
  <c r="C36" i="52082"/>
  <c r="B36" i="52082"/>
  <c r="E35" i="52082"/>
  <c r="D35" i="52082"/>
  <c r="C35" i="52082"/>
  <c r="B35" i="52082"/>
  <c r="E29" i="52082"/>
  <c r="D29" i="52082"/>
  <c r="C29" i="52082"/>
  <c r="B29" i="52082"/>
  <c r="E28" i="52082"/>
  <c r="D28" i="52082"/>
  <c r="C28" i="52082"/>
  <c r="B28" i="52082"/>
  <c r="E27" i="52082"/>
  <c r="D27" i="52082"/>
  <c r="C27" i="52082"/>
  <c r="B27" i="52082"/>
  <c r="E26" i="52082"/>
  <c r="D26" i="52082"/>
  <c r="C26" i="52082"/>
  <c r="B26" i="52082"/>
  <c r="E25" i="52082"/>
  <c r="D25" i="52082"/>
  <c r="C25" i="52082"/>
  <c r="B25" i="52082"/>
  <c r="E24" i="52082"/>
  <c r="D24" i="52082"/>
  <c r="C24" i="52082"/>
  <c r="B24" i="52082"/>
  <c r="E23" i="52082"/>
  <c r="D23" i="52082"/>
  <c r="D30" i="52082" s="1"/>
  <c r="C23" i="52082"/>
  <c r="C30" i="52082" s="1"/>
  <c r="C44" i="52082" s="1"/>
  <c r="B23" i="52082"/>
  <c r="G89" i="52082"/>
  <c r="K89" i="52082" s="1"/>
  <c r="G65" i="52082"/>
  <c r="K65" i="52082" s="1"/>
  <c r="L11" i="52075"/>
  <c r="L13" i="52075"/>
  <c r="L15" i="52075"/>
  <c r="L17" i="52075"/>
  <c r="C61" i="233"/>
  <c r="N233" i="110"/>
  <c r="M233" i="110"/>
  <c r="K233" i="110"/>
  <c r="T254" i="111"/>
  <c r="S254" i="111"/>
  <c r="T253" i="111"/>
  <c r="S253" i="111"/>
  <c r="P253" i="111"/>
  <c r="T235" i="111"/>
  <c r="S235" i="111"/>
  <c r="T233" i="111"/>
  <c r="S233" i="111"/>
  <c r="Q231" i="111"/>
  <c r="T230" i="111"/>
  <c r="Q230" i="111"/>
  <c r="T229" i="111"/>
  <c r="Q228" i="111"/>
  <c r="V228" i="111"/>
  <c r="N228" i="52097"/>
  <c r="Q229" i="52097"/>
  <c r="N230" i="52097"/>
  <c r="Q230" i="52097"/>
  <c r="N233" i="52097"/>
  <c r="P233" i="52097"/>
  <c r="Q233" i="52097"/>
  <c r="P235" i="52097"/>
  <c r="Q235" i="52097"/>
  <c r="H255" i="233"/>
  <c r="L255" i="233"/>
  <c r="D231" i="9"/>
  <c r="H235" i="9"/>
  <c r="F235" i="9"/>
  <c r="I233" i="9"/>
  <c r="H233" i="9"/>
  <c r="F233" i="9"/>
  <c r="K253" i="52084"/>
  <c r="H253" i="52084"/>
  <c r="H251" i="52084"/>
  <c r="J231" i="52084"/>
  <c r="I231" i="52084"/>
  <c r="A227" i="52084"/>
  <c r="K253" i="52074"/>
  <c r="H253" i="52074"/>
  <c r="H251" i="52074"/>
  <c r="J231" i="52074"/>
  <c r="I231" i="52074"/>
  <c r="A227" i="52074"/>
  <c r="H249" i="52075"/>
  <c r="H247" i="52075"/>
  <c r="H245" i="52075"/>
  <c r="H243" i="52075"/>
  <c r="H241" i="52075"/>
  <c r="H240" i="52075"/>
  <c r="H239" i="52075"/>
  <c r="H238" i="52075"/>
  <c r="H237" i="52075"/>
  <c r="H236" i="52075"/>
  <c r="H234" i="52075"/>
  <c r="H233" i="52075"/>
  <c r="K231" i="52075"/>
  <c r="J231" i="52075"/>
  <c r="H231" i="52075"/>
  <c r="F229" i="52075"/>
  <c r="I229" i="52075" s="1"/>
  <c r="K228" i="52075"/>
  <c r="K227" i="52075"/>
  <c r="F227" i="52075"/>
  <c r="I227" i="52075" s="1"/>
  <c r="A227" i="52075"/>
  <c r="K253" i="52077"/>
  <c r="B254" i="52098"/>
  <c r="C254" i="52098"/>
  <c r="D254" i="52098"/>
  <c r="E254" i="52083"/>
  <c r="D254" i="52083"/>
  <c r="C254" i="52083"/>
  <c r="B254" i="52083"/>
  <c r="D255" i="52082"/>
  <c r="C255" i="52082"/>
  <c r="E255" i="52082"/>
  <c r="B255" i="52082"/>
  <c r="D57" i="233"/>
  <c r="D56" i="233"/>
  <c r="B182" i="233"/>
  <c r="O89" i="111"/>
  <c r="S89" i="111" s="1"/>
  <c r="G199" i="110"/>
  <c r="F199" i="110"/>
  <c r="E199" i="110"/>
  <c r="D199" i="110"/>
  <c r="C199" i="110"/>
  <c r="B199" i="110"/>
  <c r="G198" i="110"/>
  <c r="F198" i="110"/>
  <c r="E198" i="110"/>
  <c r="D198" i="110"/>
  <c r="C198" i="110"/>
  <c r="B198" i="110"/>
  <c r="G197" i="110"/>
  <c r="F197" i="110"/>
  <c r="E197" i="110"/>
  <c r="D197" i="110"/>
  <c r="C197" i="110"/>
  <c r="B197" i="110"/>
  <c r="G196" i="110"/>
  <c r="F196" i="110"/>
  <c r="E196" i="110"/>
  <c r="D196" i="110"/>
  <c r="C196" i="110"/>
  <c r="B196" i="110"/>
  <c r="G195" i="110"/>
  <c r="F195" i="110"/>
  <c r="E195" i="110"/>
  <c r="D195" i="110"/>
  <c r="C195" i="110"/>
  <c r="B195" i="110"/>
  <c r="G194" i="110"/>
  <c r="F194" i="110"/>
  <c r="E194" i="110"/>
  <c r="D194" i="110"/>
  <c r="C194" i="110"/>
  <c r="B194" i="110"/>
  <c r="G193" i="110"/>
  <c r="F193" i="110"/>
  <c r="E193" i="110"/>
  <c r="D193" i="110"/>
  <c r="C193" i="110"/>
  <c r="B193" i="110"/>
  <c r="G192" i="110"/>
  <c r="F192" i="110"/>
  <c r="E192" i="110"/>
  <c r="D192" i="110"/>
  <c r="C192" i="110"/>
  <c r="B192" i="110"/>
  <c r="G191" i="110"/>
  <c r="F191" i="110"/>
  <c r="E191" i="110"/>
  <c r="D191" i="110"/>
  <c r="C191" i="110"/>
  <c r="B191" i="110"/>
  <c r="G190" i="110"/>
  <c r="F190" i="110"/>
  <c r="E190" i="110"/>
  <c r="D190" i="110"/>
  <c r="C190" i="110"/>
  <c r="B190" i="110"/>
  <c r="G189" i="110"/>
  <c r="F189" i="110"/>
  <c r="E189" i="110"/>
  <c r="D189" i="110"/>
  <c r="C189" i="110"/>
  <c r="B189" i="110"/>
  <c r="G188" i="110"/>
  <c r="F188" i="110"/>
  <c r="E188" i="110"/>
  <c r="D188" i="110"/>
  <c r="C188" i="110"/>
  <c r="B188" i="110"/>
  <c r="G187" i="110"/>
  <c r="F187" i="110"/>
  <c r="E187" i="110"/>
  <c r="D187" i="110"/>
  <c r="C187" i="110"/>
  <c r="B187" i="110"/>
  <c r="G160" i="110"/>
  <c r="F160" i="110"/>
  <c r="E160" i="110"/>
  <c r="D160" i="110"/>
  <c r="C160" i="110"/>
  <c r="B160" i="110"/>
  <c r="G159" i="110"/>
  <c r="F159" i="110"/>
  <c r="E159" i="110"/>
  <c r="D159" i="110"/>
  <c r="C159" i="110"/>
  <c r="B159" i="110"/>
  <c r="G158" i="110"/>
  <c r="F158" i="110"/>
  <c r="E158" i="110"/>
  <c r="D158" i="110"/>
  <c r="C158" i="110"/>
  <c r="B158" i="110"/>
  <c r="G157" i="110"/>
  <c r="F157" i="110"/>
  <c r="E157" i="110"/>
  <c r="D157" i="110"/>
  <c r="C157" i="110"/>
  <c r="B157" i="110"/>
  <c r="G57" i="110"/>
  <c r="F57" i="110"/>
  <c r="E57" i="110"/>
  <c r="D57" i="110"/>
  <c r="C57" i="110"/>
  <c r="B57" i="110"/>
  <c r="G56" i="110"/>
  <c r="F56" i="110"/>
  <c r="E56" i="110"/>
  <c r="D56" i="110"/>
  <c r="C56" i="110"/>
  <c r="B56" i="110"/>
  <c r="G40" i="110"/>
  <c r="F40" i="110"/>
  <c r="E40" i="110"/>
  <c r="D40" i="110"/>
  <c r="C40" i="110"/>
  <c r="B40" i="110"/>
  <c r="G39" i="110"/>
  <c r="F39" i="110"/>
  <c r="E39" i="110"/>
  <c r="D39" i="110"/>
  <c r="C39" i="110"/>
  <c r="B39" i="110"/>
  <c r="G38" i="110"/>
  <c r="F38" i="110"/>
  <c r="E38" i="110"/>
  <c r="D38" i="110"/>
  <c r="C38" i="110"/>
  <c r="B38" i="110"/>
  <c r="G37" i="110"/>
  <c r="F37" i="110"/>
  <c r="E37" i="110"/>
  <c r="D37" i="110"/>
  <c r="C37" i="110"/>
  <c r="B37" i="110"/>
  <c r="G29" i="110"/>
  <c r="F29" i="110"/>
  <c r="E29" i="110"/>
  <c r="D29" i="110"/>
  <c r="C29" i="110"/>
  <c r="B29" i="110"/>
  <c r="G27" i="110"/>
  <c r="F27" i="110"/>
  <c r="E27" i="110"/>
  <c r="D27" i="110"/>
  <c r="C27" i="110"/>
  <c r="B27" i="110"/>
  <c r="G26" i="110"/>
  <c r="F26" i="110"/>
  <c r="E26" i="110"/>
  <c r="D26" i="110"/>
  <c r="C26" i="110"/>
  <c r="B26" i="110"/>
  <c r="G25" i="110"/>
  <c r="F25" i="110"/>
  <c r="E25" i="110"/>
  <c r="D25" i="110"/>
  <c r="C25" i="110"/>
  <c r="B25" i="110"/>
  <c r="G23" i="110"/>
  <c r="F23" i="110"/>
  <c r="E23" i="110"/>
  <c r="D23" i="110"/>
  <c r="C23" i="110"/>
  <c r="B23" i="110"/>
  <c r="N199" i="111"/>
  <c r="M199" i="111"/>
  <c r="L199" i="111"/>
  <c r="K199" i="111"/>
  <c r="J199" i="111"/>
  <c r="H199" i="111"/>
  <c r="G199" i="111"/>
  <c r="F199" i="111"/>
  <c r="E199" i="111"/>
  <c r="D199" i="111"/>
  <c r="C199" i="111"/>
  <c r="B199" i="111"/>
  <c r="N198" i="111"/>
  <c r="M198" i="111"/>
  <c r="L198" i="111"/>
  <c r="K198" i="111"/>
  <c r="J198" i="111"/>
  <c r="H198" i="111"/>
  <c r="G198" i="111"/>
  <c r="F198" i="111"/>
  <c r="E198" i="111"/>
  <c r="D198" i="111"/>
  <c r="C198" i="111"/>
  <c r="B198" i="111"/>
  <c r="N197" i="111"/>
  <c r="M197" i="111"/>
  <c r="L197" i="111"/>
  <c r="K197" i="111"/>
  <c r="J197" i="111"/>
  <c r="H197" i="111"/>
  <c r="G197" i="111"/>
  <c r="F197" i="111"/>
  <c r="E197" i="111"/>
  <c r="D197" i="111"/>
  <c r="C197" i="111"/>
  <c r="B197" i="111"/>
  <c r="N196" i="111"/>
  <c r="M196" i="111"/>
  <c r="L196" i="111"/>
  <c r="K196" i="111"/>
  <c r="J196" i="111"/>
  <c r="H196" i="111"/>
  <c r="G196" i="111"/>
  <c r="F196" i="111"/>
  <c r="E196" i="111"/>
  <c r="D196" i="111"/>
  <c r="C196" i="111"/>
  <c r="B196" i="111"/>
  <c r="N195" i="111"/>
  <c r="M195" i="111"/>
  <c r="L195" i="111"/>
  <c r="K195" i="111"/>
  <c r="J195" i="111"/>
  <c r="H195" i="111"/>
  <c r="G195" i="111"/>
  <c r="F195" i="111"/>
  <c r="E195" i="111"/>
  <c r="D195" i="111"/>
  <c r="C195" i="111"/>
  <c r="B195" i="111"/>
  <c r="N194" i="111"/>
  <c r="M194" i="111"/>
  <c r="L194" i="111"/>
  <c r="K194" i="111"/>
  <c r="J194" i="111"/>
  <c r="H194" i="111"/>
  <c r="G194" i="111"/>
  <c r="F194" i="111"/>
  <c r="E194" i="111"/>
  <c r="D194" i="111"/>
  <c r="C194" i="111"/>
  <c r="B194" i="111"/>
  <c r="N193" i="111"/>
  <c r="M193" i="111"/>
  <c r="L193" i="111"/>
  <c r="K193" i="111"/>
  <c r="J193" i="111"/>
  <c r="H193" i="111"/>
  <c r="G193" i="111"/>
  <c r="F193" i="111"/>
  <c r="E193" i="111"/>
  <c r="D193" i="111"/>
  <c r="C193" i="111"/>
  <c r="B193" i="111"/>
  <c r="N192" i="111"/>
  <c r="M192" i="111"/>
  <c r="L192" i="111"/>
  <c r="K192" i="111"/>
  <c r="J192" i="111"/>
  <c r="H192" i="111"/>
  <c r="G192" i="111"/>
  <c r="F192" i="111"/>
  <c r="E192" i="111"/>
  <c r="D192" i="111"/>
  <c r="C192" i="111"/>
  <c r="B192" i="111"/>
  <c r="N191" i="111"/>
  <c r="M191" i="111"/>
  <c r="L191" i="111"/>
  <c r="K191" i="111"/>
  <c r="J191" i="111"/>
  <c r="H191" i="111"/>
  <c r="G191" i="111"/>
  <c r="F191" i="111"/>
  <c r="E191" i="111"/>
  <c r="D191" i="111"/>
  <c r="C191" i="111"/>
  <c r="B191" i="111"/>
  <c r="N190" i="111"/>
  <c r="M190" i="111"/>
  <c r="L190" i="111"/>
  <c r="K190" i="111"/>
  <c r="J190" i="111"/>
  <c r="H190" i="111"/>
  <c r="G190" i="111"/>
  <c r="F190" i="111"/>
  <c r="E190" i="111"/>
  <c r="D190" i="111"/>
  <c r="C190" i="111"/>
  <c r="B190" i="111"/>
  <c r="N189" i="111"/>
  <c r="M189" i="111"/>
  <c r="L189" i="111"/>
  <c r="K189" i="111"/>
  <c r="J189" i="111"/>
  <c r="H189" i="111"/>
  <c r="G189" i="111"/>
  <c r="F189" i="111"/>
  <c r="E189" i="111"/>
  <c r="D189" i="111"/>
  <c r="C189" i="111"/>
  <c r="B189" i="111"/>
  <c r="N188" i="111"/>
  <c r="M188" i="111"/>
  <c r="L188" i="111"/>
  <c r="K188" i="111"/>
  <c r="J188" i="111"/>
  <c r="H188" i="111"/>
  <c r="G188" i="111"/>
  <c r="F188" i="111"/>
  <c r="E188" i="111"/>
  <c r="D188" i="111"/>
  <c r="C188" i="111"/>
  <c r="B188" i="111"/>
  <c r="N187" i="111"/>
  <c r="N201" i="111" s="1"/>
  <c r="M187" i="111"/>
  <c r="L187" i="111"/>
  <c r="K187" i="111"/>
  <c r="J187" i="111"/>
  <c r="H187" i="111"/>
  <c r="G187" i="111"/>
  <c r="F187" i="111"/>
  <c r="E187" i="111"/>
  <c r="E201" i="111" s="1"/>
  <c r="D187" i="111"/>
  <c r="C187" i="111"/>
  <c r="B187" i="111"/>
  <c r="N160" i="111"/>
  <c r="M160" i="111"/>
  <c r="L160" i="111"/>
  <c r="K160" i="111"/>
  <c r="J160" i="111"/>
  <c r="H160" i="111"/>
  <c r="G160" i="111"/>
  <c r="F160" i="111"/>
  <c r="E160" i="111"/>
  <c r="D160" i="111"/>
  <c r="C160" i="111"/>
  <c r="B160" i="111"/>
  <c r="N159" i="111"/>
  <c r="M159" i="111"/>
  <c r="L159" i="111"/>
  <c r="K159" i="111"/>
  <c r="J159" i="111"/>
  <c r="H159" i="111"/>
  <c r="G159" i="111"/>
  <c r="F159" i="111"/>
  <c r="E159" i="111"/>
  <c r="D159" i="111"/>
  <c r="C159" i="111"/>
  <c r="B159" i="111"/>
  <c r="N158" i="111"/>
  <c r="M158" i="111"/>
  <c r="L158" i="111"/>
  <c r="K158" i="111"/>
  <c r="J158" i="111"/>
  <c r="H158" i="111"/>
  <c r="G158" i="111"/>
  <c r="F158" i="111"/>
  <c r="E158" i="111"/>
  <c r="D158" i="111"/>
  <c r="C158" i="111"/>
  <c r="B158" i="111"/>
  <c r="N157" i="111"/>
  <c r="M157" i="111"/>
  <c r="L157" i="111"/>
  <c r="K157" i="111"/>
  <c r="J157" i="111"/>
  <c r="H157" i="111"/>
  <c r="G157" i="111"/>
  <c r="F157" i="111"/>
  <c r="E157" i="111"/>
  <c r="D157" i="111"/>
  <c r="C157" i="111"/>
  <c r="B157" i="111"/>
  <c r="N40" i="111"/>
  <c r="M40" i="111"/>
  <c r="L40" i="111"/>
  <c r="K40" i="111"/>
  <c r="J40" i="111"/>
  <c r="H40" i="111"/>
  <c r="G40" i="111"/>
  <c r="F40" i="111"/>
  <c r="E40" i="111"/>
  <c r="D40" i="111"/>
  <c r="C40" i="111"/>
  <c r="B40" i="111"/>
  <c r="N39" i="111"/>
  <c r="M39" i="111"/>
  <c r="L39" i="111"/>
  <c r="K39" i="111"/>
  <c r="J39" i="111"/>
  <c r="H39" i="111"/>
  <c r="G39" i="111"/>
  <c r="F39" i="111"/>
  <c r="E39" i="111"/>
  <c r="D39" i="111"/>
  <c r="C39" i="111"/>
  <c r="B39" i="111"/>
  <c r="N38" i="111"/>
  <c r="M38" i="111"/>
  <c r="L38" i="111"/>
  <c r="K38" i="111"/>
  <c r="J38" i="111"/>
  <c r="H38" i="111"/>
  <c r="G38" i="111"/>
  <c r="F38" i="111"/>
  <c r="E38" i="111"/>
  <c r="D38" i="111"/>
  <c r="C38" i="111"/>
  <c r="B38" i="111"/>
  <c r="N37" i="111"/>
  <c r="M37" i="111"/>
  <c r="L37" i="111"/>
  <c r="K37" i="111"/>
  <c r="J37" i="111"/>
  <c r="H37" i="111"/>
  <c r="G37" i="111"/>
  <c r="F37" i="111"/>
  <c r="E37" i="111"/>
  <c r="D37" i="111"/>
  <c r="C37" i="111"/>
  <c r="B37" i="111"/>
  <c r="N29" i="111"/>
  <c r="M29" i="111"/>
  <c r="L29" i="111"/>
  <c r="K29" i="111"/>
  <c r="J29" i="111"/>
  <c r="H29" i="111"/>
  <c r="G29" i="111"/>
  <c r="F29" i="111"/>
  <c r="E29" i="111"/>
  <c r="D29" i="111"/>
  <c r="C29" i="111"/>
  <c r="B29" i="111"/>
  <c r="N27" i="111"/>
  <c r="M27" i="111"/>
  <c r="L27" i="111"/>
  <c r="K27" i="111"/>
  <c r="J27" i="111"/>
  <c r="H27" i="111"/>
  <c r="G27" i="111"/>
  <c r="F27" i="111"/>
  <c r="E27" i="111"/>
  <c r="D27" i="111"/>
  <c r="C27" i="111"/>
  <c r="B27" i="111"/>
  <c r="N26" i="111"/>
  <c r="M26" i="111"/>
  <c r="L26" i="111"/>
  <c r="K26" i="111"/>
  <c r="J26" i="111"/>
  <c r="H26" i="111"/>
  <c r="G26" i="111"/>
  <c r="F26" i="111"/>
  <c r="E26" i="111"/>
  <c r="D26" i="111"/>
  <c r="C26" i="111"/>
  <c r="B26" i="111"/>
  <c r="N25" i="111"/>
  <c r="M25" i="111"/>
  <c r="L25" i="111"/>
  <c r="K25" i="111"/>
  <c r="J25" i="111"/>
  <c r="H25" i="111"/>
  <c r="G25" i="111"/>
  <c r="F25" i="111"/>
  <c r="E25" i="111"/>
  <c r="D25" i="111"/>
  <c r="C25" i="111"/>
  <c r="B25" i="111"/>
  <c r="N23" i="111"/>
  <c r="M23" i="111"/>
  <c r="L23" i="111"/>
  <c r="K23" i="111"/>
  <c r="J23" i="111"/>
  <c r="H23" i="111"/>
  <c r="G23" i="111"/>
  <c r="F23" i="111"/>
  <c r="E23" i="111"/>
  <c r="D23" i="111"/>
  <c r="C23" i="111"/>
  <c r="B23" i="111"/>
  <c r="P89" i="52097"/>
  <c r="J199" i="52097"/>
  <c r="I199" i="52097"/>
  <c r="H199" i="52097"/>
  <c r="G199" i="52097"/>
  <c r="F199" i="52097"/>
  <c r="E199" i="52097"/>
  <c r="D199" i="52097"/>
  <c r="C199" i="52097"/>
  <c r="B199" i="52097"/>
  <c r="J198" i="52097"/>
  <c r="I198" i="52097"/>
  <c r="H198" i="52097"/>
  <c r="G198" i="52097"/>
  <c r="F198" i="52097"/>
  <c r="E198" i="52097"/>
  <c r="D198" i="52097"/>
  <c r="C198" i="52097"/>
  <c r="B198" i="52097"/>
  <c r="J197" i="52097"/>
  <c r="I197" i="52097"/>
  <c r="H197" i="52097"/>
  <c r="G197" i="52097"/>
  <c r="F197" i="52097"/>
  <c r="E197" i="52097"/>
  <c r="D197" i="52097"/>
  <c r="C197" i="52097"/>
  <c r="B197" i="52097"/>
  <c r="J196" i="52097"/>
  <c r="I196" i="52097"/>
  <c r="H196" i="52097"/>
  <c r="G196" i="52097"/>
  <c r="F196" i="52097"/>
  <c r="E196" i="52097"/>
  <c r="D196" i="52097"/>
  <c r="C196" i="52097"/>
  <c r="B196" i="52097"/>
  <c r="J195" i="52097"/>
  <c r="I195" i="52097"/>
  <c r="H195" i="52097"/>
  <c r="G195" i="52097"/>
  <c r="F195" i="52097"/>
  <c r="E195" i="52097"/>
  <c r="D195" i="52097"/>
  <c r="C195" i="52097"/>
  <c r="B195" i="52097"/>
  <c r="J194" i="52097"/>
  <c r="I194" i="52097"/>
  <c r="H194" i="52097"/>
  <c r="G194" i="52097"/>
  <c r="F194" i="52097"/>
  <c r="E194" i="52097"/>
  <c r="D194" i="52097"/>
  <c r="C194" i="52097"/>
  <c r="B194" i="52097"/>
  <c r="J193" i="52097"/>
  <c r="I193" i="52097"/>
  <c r="H193" i="52097"/>
  <c r="G193" i="52097"/>
  <c r="F193" i="52097"/>
  <c r="E193" i="52097"/>
  <c r="D193" i="52097"/>
  <c r="C193" i="52097"/>
  <c r="B193" i="52097"/>
  <c r="J192" i="52097"/>
  <c r="I192" i="52097"/>
  <c r="H192" i="52097"/>
  <c r="G192" i="52097"/>
  <c r="F192" i="52097"/>
  <c r="E192" i="52097"/>
  <c r="D192" i="52097"/>
  <c r="C192" i="52097"/>
  <c r="B192" i="52097"/>
  <c r="J191" i="52097"/>
  <c r="I191" i="52097"/>
  <c r="H191" i="52097"/>
  <c r="G191" i="52097"/>
  <c r="F191" i="52097"/>
  <c r="E191" i="52097"/>
  <c r="D191" i="52097"/>
  <c r="C191" i="52097"/>
  <c r="B191" i="52097"/>
  <c r="J190" i="52097"/>
  <c r="I190" i="52097"/>
  <c r="H190" i="52097"/>
  <c r="G190" i="52097"/>
  <c r="F190" i="52097"/>
  <c r="E190" i="52097"/>
  <c r="D190" i="52097"/>
  <c r="C190" i="52097"/>
  <c r="B190" i="52097"/>
  <c r="J189" i="52097"/>
  <c r="I189" i="52097"/>
  <c r="H189" i="52097"/>
  <c r="G189" i="52097"/>
  <c r="F189" i="52097"/>
  <c r="E189" i="52097"/>
  <c r="D189" i="52097"/>
  <c r="C189" i="52097"/>
  <c r="B189" i="52097"/>
  <c r="J188" i="52097"/>
  <c r="J201" i="52097" s="1"/>
  <c r="I188" i="52097"/>
  <c r="H188" i="52097"/>
  <c r="G188" i="52097"/>
  <c r="F188" i="52097"/>
  <c r="F201" i="52097" s="1"/>
  <c r="E188" i="52097"/>
  <c r="D188" i="52097"/>
  <c r="C188" i="52097"/>
  <c r="B188" i="52097"/>
  <c r="J187" i="52097"/>
  <c r="I187" i="52097"/>
  <c r="H187" i="52097"/>
  <c r="G187" i="52097"/>
  <c r="F187" i="52097"/>
  <c r="E187" i="52097"/>
  <c r="D187" i="52097"/>
  <c r="C187" i="52097"/>
  <c r="B187" i="52097"/>
  <c r="J160" i="52097"/>
  <c r="I160" i="52097"/>
  <c r="H160" i="52097"/>
  <c r="G160" i="52097"/>
  <c r="F160" i="52097"/>
  <c r="E160" i="52097"/>
  <c r="D160" i="52097"/>
  <c r="C160" i="52097"/>
  <c r="B160" i="52097"/>
  <c r="J159" i="52097"/>
  <c r="I159" i="52097"/>
  <c r="H159" i="52097"/>
  <c r="G159" i="52097"/>
  <c r="F159" i="52097"/>
  <c r="E159" i="52097"/>
  <c r="D159" i="52097"/>
  <c r="C159" i="52097"/>
  <c r="B159" i="52097"/>
  <c r="J158" i="52097"/>
  <c r="I158" i="52097"/>
  <c r="H158" i="52097"/>
  <c r="G158" i="52097"/>
  <c r="F158" i="52097"/>
  <c r="E158" i="52097"/>
  <c r="D158" i="52097"/>
  <c r="C158" i="52097"/>
  <c r="B158" i="52097"/>
  <c r="J157" i="52097"/>
  <c r="I157" i="52097"/>
  <c r="H157" i="52097"/>
  <c r="G157" i="52097"/>
  <c r="F157" i="52097"/>
  <c r="E157" i="52097"/>
  <c r="D157" i="52097"/>
  <c r="C157" i="52097"/>
  <c r="B157" i="52097"/>
  <c r="G60" i="52097"/>
  <c r="G235" i="52097" s="1"/>
  <c r="F60" i="52097"/>
  <c r="F235" i="52097" s="1"/>
  <c r="D60" i="52097"/>
  <c r="D235" i="52097" s="1"/>
  <c r="C60" i="52097"/>
  <c r="C235" i="52097" s="1"/>
  <c r="J57" i="52097"/>
  <c r="I57" i="52097"/>
  <c r="H57" i="52097"/>
  <c r="G57" i="52097"/>
  <c r="F57" i="52097"/>
  <c r="E57" i="52097"/>
  <c r="D57" i="52097"/>
  <c r="C57" i="52097"/>
  <c r="B57" i="52097"/>
  <c r="J56" i="52097"/>
  <c r="I56" i="52097"/>
  <c r="H56" i="52097"/>
  <c r="G56" i="52097"/>
  <c r="F56" i="52097"/>
  <c r="E56" i="52097"/>
  <c r="D56" i="52097"/>
  <c r="C56" i="52097"/>
  <c r="B56" i="52097"/>
  <c r="J42" i="52097"/>
  <c r="I42" i="52097"/>
  <c r="H42" i="52097"/>
  <c r="G42" i="52097"/>
  <c r="F42" i="52097"/>
  <c r="E42" i="52097"/>
  <c r="D42" i="52097"/>
  <c r="C42" i="52097"/>
  <c r="B42" i="52097"/>
  <c r="J41" i="52097"/>
  <c r="I41" i="52097"/>
  <c r="H41" i="52097"/>
  <c r="G41" i="52097"/>
  <c r="F41" i="52097"/>
  <c r="E41" i="52097"/>
  <c r="D41" i="52097"/>
  <c r="C41" i="52097"/>
  <c r="B41" i="52097"/>
  <c r="J40" i="52097"/>
  <c r="I40" i="52097"/>
  <c r="H40" i="52097"/>
  <c r="G40" i="52097"/>
  <c r="F40" i="52097"/>
  <c r="E40" i="52097"/>
  <c r="D40" i="52097"/>
  <c r="C40" i="52097"/>
  <c r="B40" i="52097"/>
  <c r="J39" i="52097"/>
  <c r="I39" i="52097"/>
  <c r="H39" i="52097"/>
  <c r="G39" i="52097"/>
  <c r="F39" i="52097"/>
  <c r="E39" i="52097"/>
  <c r="D39" i="52097"/>
  <c r="C39" i="52097"/>
  <c r="B39" i="52097"/>
  <c r="J38" i="52097"/>
  <c r="I38" i="52097"/>
  <c r="H38" i="52097"/>
  <c r="G38" i="52097"/>
  <c r="F38" i="52097"/>
  <c r="E38" i="52097"/>
  <c r="D38" i="52097"/>
  <c r="C38" i="52097"/>
  <c r="B38" i="52097"/>
  <c r="J37" i="52097"/>
  <c r="I37" i="52097"/>
  <c r="H37" i="52097"/>
  <c r="G37" i="52097"/>
  <c r="F37" i="52097"/>
  <c r="E37" i="52097"/>
  <c r="D37" i="52097"/>
  <c r="C37" i="52097"/>
  <c r="B37" i="52097"/>
  <c r="J36" i="52097"/>
  <c r="I36" i="52097"/>
  <c r="H36" i="52097"/>
  <c r="G36" i="52097"/>
  <c r="F36" i="52097"/>
  <c r="E36" i="52097"/>
  <c r="D36" i="52097"/>
  <c r="C36" i="52097"/>
  <c r="B36" i="52097"/>
  <c r="J35" i="52097"/>
  <c r="I35" i="52097"/>
  <c r="H35" i="52097"/>
  <c r="G35" i="52097"/>
  <c r="F35" i="52097"/>
  <c r="E35" i="52097"/>
  <c r="D35" i="52097"/>
  <c r="C35" i="52097"/>
  <c r="B35" i="52097"/>
  <c r="J29" i="52097"/>
  <c r="I29" i="52097"/>
  <c r="H29" i="52097"/>
  <c r="G29" i="52097"/>
  <c r="F29" i="52097"/>
  <c r="E29" i="52097"/>
  <c r="D29" i="52097"/>
  <c r="C29" i="52097"/>
  <c r="B29" i="52097"/>
  <c r="J28" i="52097"/>
  <c r="I28" i="52097"/>
  <c r="H28" i="52097"/>
  <c r="G28" i="52097"/>
  <c r="F28" i="52097"/>
  <c r="E28" i="52097"/>
  <c r="D28" i="52097"/>
  <c r="C28" i="52097"/>
  <c r="B28" i="52097"/>
  <c r="J27" i="52097"/>
  <c r="I27" i="52097"/>
  <c r="H27" i="52097"/>
  <c r="G27" i="52097"/>
  <c r="F27" i="52097"/>
  <c r="E27" i="52097"/>
  <c r="D27" i="52097"/>
  <c r="C27" i="52097"/>
  <c r="B27" i="52097"/>
  <c r="J26" i="52097"/>
  <c r="I26" i="52097"/>
  <c r="H26" i="52097"/>
  <c r="G26" i="52097"/>
  <c r="F26" i="52097"/>
  <c r="E26" i="52097"/>
  <c r="D26" i="52097"/>
  <c r="C26" i="52097"/>
  <c r="B26" i="52097"/>
  <c r="J25" i="52097"/>
  <c r="I25" i="52097"/>
  <c r="H25" i="52097"/>
  <c r="G25" i="52097"/>
  <c r="F25" i="52097"/>
  <c r="E25" i="52097"/>
  <c r="D25" i="52097"/>
  <c r="C25" i="52097"/>
  <c r="B25" i="52097"/>
  <c r="J24" i="52097"/>
  <c r="I24" i="52097"/>
  <c r="H24" i="52097"/>
  <c r="G24" i="52097"/>
  <c r="F24" i="52097"/>
  <c r="E24" i="52097"/>
  <c r="E30" i="52097" s="1"/>
  <c r="E44" i="52097" s="1"/>
  <c r="D24" i="52097"/>
  <c r="C24" i="52097"/>
  <c r="C30" i="52097" s="1"/>
  <c r="C44" i="52097" s="1"/>
  <c r="B24" i="52097"/>
  <c r="J23" i="52097"/>
  <c r="I23" i="52097"/>
  <c r="H23" i="52097"/>
  <c r="G23" i="52097"/>
  <c r="F23" i="52097"/>
  <c r="E23" i="52097"/>
  <c r="D23" i="52097"/>
  <c r="C23" i="52097"/>
  <c r="B23" i="52097"/>
  <c r="I60" i="52097"/>
  <c r="I235" i="52097" s="1"/>
  <c r="E60" i="52097"/>
  <c r="E235" i="52097" s="1"/>
  <c r="C199" i="9"/>
  <c r="B199" i="9"/>
  <c r="C198" i="9"/>
  <c r="B198" i="9"/>
  <c r="C197" i="9"/>
  <c r="B197" i="9"/>
  <c r="C196" i="9"/>
  <c r="B196" i="9"/>
  <c r="C195" i="9"/>
  <c r="B195" i="9"/>
  <c r="G195" i="9" s="1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60" i="9"/>
  <c r="B160" i="9"/>
  <c r="C159" i="9"/>
  <c r="B159" i="9"/>
  <c r="C158" i="9"/>
  <c r="B158" i="9"/>
  <c r="C157" i="9"/>
  <c r="B157" i="9"/>
  <c r="C60" i="9"/>
  <c r="C235" i="9" s="1"/>
  <c r="C57" i="9"/>
  <c r="B57" i="9"/>
  <c r="C56" i="9"/>
  <c r="B56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G35" i="9" s="1"/>
  <c r="B35" i="233" s="1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D182" i="9"/>
  <c r="H182" i="9" s="1"/>
  <c r="D89" i="9"/>
  <c r="D65" i="9"/>
  <c r="E65" i="52084"/>
  <c r="I65" i="52084" s="1"/>
  <c r="E181" i="52074"/>
  <c r="I181" i="52074" s="1"/>
  <c r="E89" i="52074"/>
  <c r="I89" i="52074" s="1"/>
  <c r="E65" i="52074"/>
  <c r="I65" i="52074" s="1"/>
  <c r="F89" i="52075"/>
  <c r="J89" i="52075" s="1"/>
  <c r="F65" i="52075"/>
  <c r="J65" i="52075" s="1"/>
  <c r="I198" i="52075"/>
  <c r="I197" i="52075"/>
  <c r="I196" i="52075"/>
  <c r="I195" i="52075"/>
  <c r="I194" i="52075"/>
  <c r="I193" i="52075"/>
  <c r="I192" i="52075"/>
  <c r="I191" i="52075"/>
  <c r="I190" i="52075"/>
  <c r="I189" i="52075"/>
  <c r="I188" i="52075"/>
  <c r="I187" i="52075"/>
  <c r="I186" i="52075"/>
  <c r="I159" i="52075"/>
  <c r="I158" i="52075"/>
  <c r="I157" i="52075"/>
  <c r="I156" i="52075"/>
  <c r="E89" i="52076"/>
  <c r="J89" i="52076" s="1"/>
  <c r="F56" i="52077"/>
  <c r="F57" i="52077"/>
  <c r="G30" i="52077"/>
  <c r="G44" i="52077" s="1"/>
  <c r="E181" i="52077"/>
  <c r="E89" i="52077"/>
  <c r="E65" i="52077"/>
  <c r="H198" i="52084"/>
  <c r="H197" i="52084"/>
  <c r="H196" i="52084"/>
  <c r="H195" i="52084"/>
  <c r="H194" i="52084"/>
  <c r="H193" i="52084"/>
  <c r="H192" i="52084"/>
  <c r="H191" i="52084"/>
  <c r="H190" i="52084"/>
  <c r="H189" i="52084"/>
  <c r="H188" i="52084"/>
  <c r="H187" i="52084"/>
  <c r="H186" i="52084"/>
  <c r="H159" i="52084"/>
  <c r="H158" i="52084"/>
  <c r="H157" i="52084"/>
  <c r="H156" i="52084"/>
  <c r="H57" i="52084"/>
  <c r="H56" i="52084"/>
  <c r="H40" i="52084"/>
  <c r="H39" i="52084"/>
  <c r="H38" i="52084"/>
  <c r="H37" i="52084"/>
  <c r="H29" i="52084"/>
  <c r="H27" i="52084"/>
  <c r="H26" i="52084"/>
  <c r="H25" i="52084"/>
  <c r="H23" i="52084"/>
  <c r="H198" i="52074"/>
  <c r="H197" i="52074"/>
  <c r="H196" i="52074"/>
  <c r="H195" i="52074"/>
  <c r="H194" i="52074"/>
  <c r="H193" i="52074"/>
  <c r="H192" i="52074"/>
  <c r="H191" i="52074"/>
  <c r="H190" i="52074"/>
  <c r="H189" i="52074"/>
  <c r="H188" i="52074"/>
  <c r="H187" i="52074"/>
  <c r="H186" i="52074"/>
  <c r="H159" i="52074"/>
  <c r="H158" i="52074"/>
  <c r="H157" i="52074"/>
  <c r="H156" i="52074"/>
  <c r="H57" i="52074"/>
  <c r="H56" i="52074"/>
  <c r="H40" i="52074"/>
  <c r="H39" i="52074"/>
  <c r="H38" i="52074"/>
  <c r="H37" i="52074"/>
  <c r="H29" i="52074"/>
  <c r="H27" i="52074"/>
  <c r="H26" i="52074"/>
  <c r="H25" i="52074"/>
  <c r="H23" i="52074"/>
  <c r="H198" i="52076"/>
  <c r="H197" i="52076"/>
  <c r="H196" i="52076"/>
  <c r="H195" i="52076"/>
  <c r="H194" i="52076"/>
  <c r="H193" i="52076"/>
  <c r="H192" i="52076"/>
  <c r="H191" i="52076"/>
  <c r="H190" i="52076"/>
  <c r="H189" i="52076"/>
  <c r="H188" i="52076"/>
  <c r="H187" i="52076"/>
  <c r="H186" i="52076"/>
  <c r="H159" i="52076"/>
  <c r="H158" i="52076"/>
  <c r="H157" i="52076"/>
  <c r="H156" i="52076"/>
  <c r="H57" i="52076"/>
  <c r="H56" i="52076"/>
  <c r="H40" i="52076"/>
  <c r="H39" i="52076"/>
  <c r="H38" i="52076"/>
  <c r="H37" i="52076"/>
  <c r="H29" i="52076"/>
  <c r="H27" i="52076"/>
  <c r="H26" i="52076"/>
  <c r="H25" i="52076"/>
  <c r="H23" i="52076"/>
  <c r="K19" i="52075"/>
  <c r="K18" i="52075"/>
  <c r="K17" i="52075"/>
  <c r="K16" i="52075"/>
  <c r="K15" i="52075"/>
  <c r="K14" i="52075"/>
  <c r="K13" i="52075"/>
  <c r="K12" i="52075"/>
  <c r="K11" i="52075"/>
  <c r="K10" i="52075"/>
  <c r="K9" i="52075"/>
  <c r="I223" i="52082"/>
  <c r="I224" i="52082" s="1"/>
  <c r="F89" i="52083"/>
  <c r="J89" i="52083" s="1"/>
  <c r="G57" i="52083"/>
  <c r="G56" i="52083"/>
  <c r="G42" i="52083"/>
  <c r="G41" i="52083"/>
  <c r="G40" i="52083"/>
  <c r="G39" i="52083"/>
  <c r="G38" i="52083"/>
  <c r="G37" i="52083"/>
  <c r="G36" i="52083"/>
  <c r="G35" i="52083"/>
  <c r="G32" i="52083"/>
  <c r="G28" i="52083"/>
  <c r="G27" i="52083"/>
  <c r="G26" i="52083"/>
  <c r="G25" i="52083"/>
  <c r="G24" i="52083"/>
  <c r="G23" i="52083"/>
  <c r="G217" i="52098"/>
  <c r="G187" i="52098"/>
  <c r="G188" i="52098"/>
  <c r="G189" i="52098"/>
  <c r="G190" i="52098"/>
  <c r="G191" i="52098"/>
  <c r="G192" i="52098"/>
  <c r="G193" i="52098"/>
  <c r="G194" i="52098"/>
  <c r="G195" i="52098"/>
  <c r="G196" i="52098"/>
  <c r="G197" i="52098"/>
  <c r="G198" i="52098"/>
  <c r="G186" i="52098"/>
  <c r="G156" i="52098"/>
  <c r="G157" i="52098"/>
  <c r="G158" i="52098"/>
  <c r="G159" i="52098"/>
  <c r="E89" i="52098"/>
  <c r="I89" i="52098" s="1"/>
  <c r="E65" i="52098"/>
  <c r="I65" i="52098" s="1"/>
  <c r="F57" i="52098"/>
  <c r="G57" i="52098"/>
  <c r="G56" i="52098"/>
  <c r="F56" i="52098"/>
  <c r="H46" i="52098"/>
  <c r="G46" i="52098"/>
  <c r="F46" i="52098"/>
  <c r="H32" i="52098"/>
  <c r="G32" i="52098"/>
  <c r="F32" i="52098"/>
  <c r="F36" i="52098"/>
  <c r="G36" i="52098"/>
  <c r="F37" i="52098"/>
  <c r="G37" i="52098"/>
  <c r="F38" i="52098"/>
  <c r="G38" i="52098"/>
  <c r="F39" i="52098"/>
  <c r="G39" i="52098"/>
  <c r="F40" i="52098"/>
  <c r="G40" i="52098"/>
  <c r="F41" i="52098"/>
  <c r="G41" i="52098"/>
  <c r="F42" i="52098"/>
  <c r="G42" i="52098"/>
  <c r="G35" i="52098"/>
  <c r="F35" i="52098"/>
  <c r="F24" i="52098"/>
  <c r="G24" i="52098"/>
  <c r="F25" i="52098"/>
  <c r="G25" i="52098"/>
  <c r="F26" i="52098"/>
  <c r="G26" i="52098"/>
  <c r="F27" i="52098"/>
  <c r="G27" i="52098"/>
  <c r="F28" i="52098"/>
  <c r="F252" i="52098" s="1"/>
  <c r="G28" i="52098"/>
  <c r="G252" i="52098" s="1"/>
  <c r="F29" i="52098"/>
  <c r="G29" i="52098"/>
  <c r="G23" i="52098"/>
  <c r="F23" i="52098"/>
  <c r="D198" i="52098"/>
  <c r="D197" i="52098"/>
  <c r="D196" i="52098"/>
  <c r="D195" i="52098"/>
  <c r="D194" i="52098"/>
  <c r="D193" i="52098"/>
  <c r="D192" i="52098"/>
  <c r="D191" i="52098"/>
  <c r="D190" i="52098"/>
  <c r="D189" i="52098"/>
  <c r="D188" i="52098"/>
  <c r="D187" i="52098"/>
  <c r="D186" i="52098"/>
  <c r="D159" i="52098"/>
  <c r="D158" i="52098"/>
  <c r="D157" i="52098"/>
  <c r="D156" i="52098"/>
  <c r="D60" i="52098"/>
  <c r="D234" i="52098" s="1"/>
  <c r="D57" i="52098"/>
  <c r="D56" i="52098"/>
  <c r="D42" i="52098"/>
  <c r="D41" i="52098"/>
  <c r="D40" i="52098"/>
  <c r="D39" i="52098"/>
  <c r="D38" i="52098"/>
  <c r="D37" i="52098"/>
  <c r="D36" i="52098"/>
  <c r="D35" i="52098"/>
  <c r="D29" i="52098"/>
  <c r="D28" i="52098"/>
  <c r="D27" i="52098"/>
  <c r="D26" i="52098"/>
  <c r="D25" i="52098"/>
  <c r="D24" i="52098"/>
  <c r="D23" i="52098"/>
  <c r="C198" i="52098"/>
  <c r="C197" i="52098"/>
  <c r="C196" i="52098"/>
  <c r="C195" i="52098"/>
  <c r="C194" i="52098"/>
  <c r="C193" i="52098"/>
  <c r="C192" i="52098"/>
  <c r="C191" i="52098"/>
  <c r="C190" i="52098"/>
  <c r="C189" i="52098"/>
  <c r="C188" i="52098"/>
  <c r="C187" i="52098"/>
  <c r="C186" i="52098"/>
  <c r="C159" i="52098"/>
  <c r="C158" i="52098"/>
  <c r="C157" i="52098"/>
  <c r="C156" i="52098"/>
  <c r="C60" i="52098"/>
  <c r="C234" i="52098" s="1"/>
  <c r="C57" i="52098"/>
  <c r="C56" i="52098"/>
  <c r="C42" i="52098"/>
  <c r="C41" i="52098"/>
  <c r="C40" i="52098"/>
  <c r="C39" i="52098"/>
  <c r="C38" i="52098"/>
  <c r="C37" i="52098"/>
  <c r="C36" i="52098"/>
  <c r="C35" i="52098"/>
  <c r="C29" i="52098"/>
  <c r="C28" i="52098"/>
  <c r="C27" i="52098"/>
  <c r="C26" i="52098"/>
  <c r="C25" i="52098"/>
  <c r="C24" i="52098"/>
  <c r="C23" i="52098"/>
  <c r="B198" i="52098"/>
  <c r="B197" i="52098"/>
  <c r="B196" i="52098"/>
  <c r="B195" i="52098"/>
  <c r="B194" i="52098"/>
  <c r="B193" i="52098"/>
  <c r="B192" i="52098"/>
  <c r="B191" i="52098"/>
  <c r="B190" i="52098"/>
  <c r="B189" i="52098"/>
  <c r="B188" i="52098"/>
  <c r="B187" i="52098"/>
  <c r="B186" i="52098"/>
  <c r="B159" i="52098"/>
  <c r="B158" i="52098"/>
  <c r="H158" i="52098" s="1"/>
  <c r="B157" i="52098"/>
  <c r="B156" i="52098"/>
  <c r="B57" i="52098"/>
  <c r="B56" i="52098"/>
  <c r="B42" i="52098"/>
  <c r="B41" i="52098"/>
  <c r="B40" i="52098"/>
  <c r="B39" i="52098"/>
  <c r="B38" i="52098"/>
  <c r="B37" i="52098"/>
  <c r="B36" i="52098"/>
  <c r="B35" i="52098"/>
  <c r="B29" i="52098"/>
  <c r="B28" i="52098"/>
  <c r="B27" i="52098"/>
  <c r="B26" i="52098"/>
  <c r="B25" i="52098"/>
  <c r="B24" i="52098"/>
  <c r="B23" i="52098"/>
  <c r="E198" i="52075"/>
  <c r="D198" i="52075"/>
  <c r="C198" i="52075"/>
  <c r="B198" i="52075"/>
  <c r="E197" i="52075"/>
  <c r="D197" i="52075"/>
  <c r="C197" i="52075"/>
  <c r="B197" i="52075"/>
  <c r="E196" i="52075"/>
  <c r="D196" i="52075"/>
  <c r="C196" i="52075"/>
  <c r="B196" i="52075"/>
  <c r="E195" i="52075"/>
  <c r="D195" i="52075"/>
  <c r="C195" i="52075"/>
  <c r="B195" i="52075"/>
  <c r="E194" i="52075"/>
  <c r="D194" i="52075"/>
  <c r="C194" i="52075"/>
  <c r="B194" i="52075"/>
  <c r="E193" i="52075"/>
  <c r="D193" i="52075"/>
  <c r="C193" i="52075"/>
  <c r="B193" i="52075"/>
  <c r="E192" i="52075"/>
  <c r="D192" i="52075"/>
  <c r="C192" i="52075"/>
  <c r="B192" i="52075"/>
  <c r="E191" i="52075"/>
  <c r="D191" i="52075"/>
  <c r="C191" i="52075"/>
  <c r="B191" i="52075"/>
  <c r="E190" i="52075"/>
  <c r="D190" i="52075"/>
  <c r="C190" i="52075"/>
  <c r="B190" i="52075"/>
  <c r="E189" i="52075"/>
  <c r="D189" i="52075"/>
  <c r="C189" i="52075"/>
  <c r="B189" i="52075"/>
  <c r="E188" i="52075"/>
  <c r="D188" i="52075"/>
  <c r="C188" i="52075"/>
  <c r="B188" i="52075"/>
  <c r="E187" i="52075"/>
  <c r="D187" i="52075"/>
  <c r="C187" i="52075"/>
  <c r="B187" i="52075"/>
  <c r="E186" i="52075"/>
  <c r="D186" i="52075"/>
  <c r="D200" i="52075" s="1"/>
  <c r="C186" i="52075"/>
  <c r="B186" i="52075"/>
  <c r="B200" i="52075" s="1"/>
  <c r="E159" i="52075"/>
  <c r="D159" i="52075"/>
  <c r="C159" i="52075"/>
  <c r="B159" i="52075"/>
  <c r="E158" i="52075"/>
  <c r="D158" i="52075"/>
  <c r="C158" i="52075"/>
  <c r="B158" i="52075"/>
  <c r="E157" i="52075"/>
  <c r="D157" i="52075"/>
  <c r="C157" i="52075"/>
  <c r="B157" i="52075"/>
  <c r="E156" i="52075"/>
  <c r="D156" i="52075"/>
  <c r="C156" i="52075"/>
  <c r="B156" i="52075"/>
  <c r="E61" i="52075"/>
  <c r="D61" i="52075"/>
  <c r="C61" i="52075"/>
  <c r="B61" i="52075"/>
  <c r="E57" i="52075"/>
  <c r="D57" i="52075"/>
  <c r="C57" i="52075"/>
  <c r="B57" i="52075"/>
  <c r="E56" i="52075"/>
  <c r="D56" i="52075"/>
  <c r="C56" i="52075"/>
  <c r="B56" i="52075"/>
  <c r="E40" i="52075"/>
  <c r="D40" i="52075"/>
  <c r="C40" i="52075"/>
  <c r="B40" i="52075"/>
  <c r="E39" i="52075"/>
  <c r="D39" i="52075"/>
  <c r="C39" i="52075"/>
  <c r="B39" i="52075"/>
  <c r="E38" i="52075"/>
  <c r="D38" i="52075"/>
  <c r="C38" i="52075"/>
  <c r="B38" i="52075"/>
  <c r="E37" i="52075"/>
  <c r="D37" i="52075"/>
  <c r="C37" i="52075"/>
  <c r="B37" i="52075"/>
  <c r="E29" i="52075"/>
  <c r="D29" i="52075"/>
  <c r="C29" i="52075"/>
  <c r="B29" i="52075"/>
  <c r="E27" i="52075"/>
  <c r="D27" i="52075"/>
  <c r="C27" i="52075"/>
  <c r="B27" i="52075"/>
  <c r="E26" i="52075"/>
  <c r="D26" i="52075"/>
  <c r="C26" i="52075"/>
  <c r="B26" i="52075"/>
  <c r="E25" i="52075"/>
  <c r="D25" i="52075"/>
  <c r="C25" i="52075"/>
  <c r="B25" i="52075"/>
  <c r="E23" i="52075"/>
  <c r="D23" i="52075"/>
  <c r="C23" i="52075"/>
  <c r="B23" i="52075"/>
  <c r="D198" i="52074"/>
  <c r="C198" i="52074"/>
  <c r="B198" i="52074"/>
  <c r="D197" i="52074"/>
  <c r="C197" i="52074"/>
  <c r="B197" i="52074"/>
  <c r="D196" i="52074"/>
  <c r="C196" i="52074"/>
  <c r="B196" i="52074"/>
  <c r="D195" i="52074"/>
  <c r="C195" i="52074"/>
  <c r="B195" i="52074"/>
  <c r="D194" i="52074"/>
  <c r="C194" i="52074"/>
  <c r="B194" i="52074"/>
  <c r="D193" i="52074"/>
  <c r="C193" i="52074"/>
  <c r="B193" i="52074"/>
  <c r="D192" i="52074"/>
  <c r="C192" i="52074"/>
  <c r="B192" i="52074"/>
  <c r="D191" i="52074"/>
  <c r="C191" i="52074"/>
  <c r="B191" i="52074"/>
  <c r="D190" i="52074"/>
  <c r="C190" i="52074"/>
  <c r="B190" i="52074"/>
  <c r="D189" i="52074"/>
  <c r="C189" i="52074"/>
  <c r="B189" i="52074"/>
  <c r="D188" i="52074"/>
  <c r="C188" i="52074"/>
  <c r="B188" i="52074"/>
  <c r="D187" i="52074"/>
  <c r="D200" i="52074" s="1"/>
  <c r="C187" i="52074"/>
  <c r="B187" i="52074"/>
  <c r="B200" i="52074" s="1"/>
  <c r="D186" i="52074"/>
  <c r="C186" i="52074"/>
  <c r="B186" i="52074"/>
  <c r="D159" i="52074"/>
  <c r="C159" i="52074"/>
  <c r="B159" i="52074"/>
  <c r="D158" i="52074"/>
  <c r="C158" i="52074"/>
  <c r="B158" i="52074"/>
  <c r="D157" i="52074"/>
  <c r="C157" i="52074"/>
  <c r="B157" i="52074"/>
  <c r="D156" i="52074"/>
  <c r="C156" i="52074"/>
  <c r="B156" i="52074"/>
  <c r="D61" i="52074"/>
  <c r="C61" i="52074"/>
  <c r="B61" i="52074"/>
  <c r="D57" i="52074"/>
  <c r="C57" i="52074"/>
  <c r="B57" i="52074"/>
  <c r="D56" i="52074"/>
  <c r="C56" i="52074"/>
  <c r="B56" i="52074"/>
  <c r="D40" i="52074"/>
  <c r="C40" i="52074"/>
  <c r="B40" i="52074"/>
  <c r="D39" i="52074"/>
  <c r="C39" i="52074"/>
  <c r="B39" i="52074"/>
  <c r="D38" i="52074"/>
  <c r="C38" i="52074"/>
  <c r="B38" i="52074"/>
  <c r="D37" i="52074"/>
  <c r="C37" i="52074"/>
  <c r="B37" i="52074"/>
  <c r="D29" i="52074"/>
  <c r="C29" i="52074"/>
  <c r="B29" i="52074"/>
  <c r="D27" i="52074"/>
  <c r="C27" i="52074"/>
  <c r="B27" i="52074"/>
  <c r="D26" i="52074"/>
  <c r="C26" i="52074"/>
  <c r="B26" i="52074"/>
  <c r="D25" i="52074"/>
  <c r="C25" i="52074"/>
  <c r="B25" i="52074"/>
  <c r="D23" i="52074"/>
  <c r="C23" i="52074"/>
  <c r="B23" i="52074"/>
  <c r="D198" i="52084"/>
  <c r="C198" i="52084"/>
  <c r="B198" i="52084"/>
  <c r="D197" i="52084"/>
  <c r="C197" i="52084"/>
  <c r="B197" i="52084"/>
  <c r="D196" i="52084"/>
  <c r="C196" i="52084"/>
  <c r="B196" i="52084"/>
  <c r="D195" i="52084"/>
  <c r="C195" i="52084"/>
  <c r="B195" i="52084"/>
  <c r="D194" i="52084"/>
  <c r="C194" i="52084"/>
  <c r="B194" i="52084"/>
  <c r="D193" i="52084"/>
  <c r="C193" i="52084"/>
  <c r="B193" i="52084"/>
  <c r="D192" i="52084"/>
  <c r="C192" i="52084"/>
  <c r="B192" i="52084"/>
  <c r="D191" i="52084"/>
  <c r="C191" i="52084"/>
  <c r="B191" i="52084"/>
  <c r="D190" i="52084"/>
  <c r="C190" i="52084"/>
  <c r="B190" i="52084"/>
  <c r="D189" i="52084"/>
  <c r="C189" i="52084"/>
  <c r="B189" i="52084"/>
  <c r="D188" i="52084"/>
  <c r="C188" i="52084"/>
  <c r="B188" i="52084"/>
  <c r="D187" i="52084"/>
  <c r="C187" i="52084"/>
  <c r="B187" i="52084"/>
  <c r="D186" i="52084"/>
  <c r="C186" i="52084"/>
  <c r="B186" i="52084"/>
  <c r="D159" i="52084"/>
  <c r="C159" i="52084"/>
  <c r="B159" i="52084"/>
  <c r="D158" i="52084"/>
  <c r="C158" i="52084"/>
  <c r="B158" i="52084"/>
  <c r="D157" i="52084"/>
  <c r="C157" i="52084"/>
  <c r="B157" i="52084"/>
  <c r="D156" i="52084"/>
  <c r="C156" i="52084"/>
  <c r="B156" i="52084"/>
  <c r="D61" i="52084"/>
  <c r="C61" i="52084"/>
  <c r="B61" i="52084"/>
  <c r="D57" i="52084"/>
  <c r="C57" i="52084"/>
  <c r="B57" i="52084"/>
  <c r="D56" i="52084"/>
  <c r="C56" i="52084"/>
  <c r="B56" i="52084"/>
  <c r="D40" i="52084"/>
  <c r="C40" i="52084"/>
  <c r="B40" i="52084"/>
  <c r="D39" i="52084"/>
  <c r="C39" i="52084"/>
  <c r="B39" i="52084"/>
  <c r="D38" i="52084"/>
  <c r="C38" i="52084"/>
  <c r="B38" i="52084"/>
  <c r="D37" i="52084"/>
  <c r="C37" i="52084"/>
  <c r="B37" i="52084"/>
  <c r="D29" i="52084"/>
  <c r="C29" i="52084"/>
  <c r="B29" i="52084"/>
  <c r="D27" i="52084"/>
  <c r="C27" i="52084"/>
  <c r="B27" i="52084"/>
  <c r="D26" i="52084"/>
  <c r="C26" i="52084"/>
  <c r="B26" i="52084"/>
  <c r="D25" i="52084"/>
  <c r="C25" i="52084"/>
  <c r="B25" i="52084"/>
  <c r="D23" i="52084"/>
  <c r="C23" i="52084"/>
  <c r="B23" i="52084"/>
  <c r="C217" i="52076"/>
  <c r="B217" i="52076"/>
  <c r="I198" i="52076"/>
  <c r="C198" i="52076"/>
  <c r="B198" i="52076"/>
  <c r="I197" i="52076"/>
  <c r="C197" i="52076"/>
  <c r="B197" i="52076"/>
  <c r="I196" i="52076"/>
  <c r="C196" i="52076"/>
  <c r="B196" i="52076"/>
  <c r="I195" i="52076"/>
  <c r="C195" i="52076"/>
  <c r="B195" i="52076"/>
  <c r="I194" i="52076"/>
  <c r="C194" i="52076"/>
  <c r="B194" i="52076"/>
  <c r="I193" i="52076"/>
  <c r="C193" i="52076"/>
  <c r="B193" i="52076"/>
  <c r="I192" i="52076"/>
  <c r="C192" i="52076"/>
  <c r="B192" i="52076"/>
  <c r="I191" i="52076"/>
  <c r="C191" i="52076"/>
  <c r="B191" i="52076"/>
  <c r="I190" i="52076"/>
  <c r="C190" i="52076"/>
  <c r="B190" i="52076"/>
  <c r="I189" i="52076"/>
  <c r="C189" i="52076"/>
  <c r="B189" i="52076"/>
  <c r="I188" i="52076"/>
  <c r="C188" i="52076"/>
  <c r="B188" i="52076"/>
  <c r="I187" i="52076"/>
  <c r="C187" i="52076"/>
  <c r="B187" i="52076"/>
  <c r="B200" i="52076" s="1"/>
  <c r="I186" i="52076"/>
  <c r="C186" i="52076"/>
  <c r="B186" i="52076"/>
  <c r="I159" i="52076"/>
  <c r="C159" i="52076"/>
  <c r="B159" i="52076"/>
  <c r="I158" i="52076"/>
  <c r="C158" i="52076"/>
  <c r="B158" i="52076"/>
  <c r="I157" i="52076"/>
  <c r="C157" i="52076"/>
  <c r="B157" i="52076"/>
  <c r="I156" i="52076"/>
  <c r="C156" i="52076"/>
  <c r="B156" i="52076"/>
  <c r="C61" i="52076"/>
  <c r="B61" i="52076"/>
  <c r="C57" i="52076"/>
  <c r="B57" i="52076"/>
  <c r="C56" i="52076"/>
  <c r="B56" i="52076"/>
  <c r="C40" i="52076"/>
  <c r="B40" i="52076"/>
  <c r="C39" i="52076"/>
  <c r="B39" i="52076"/>
  <c r="C38" i="52076"/>
  <c r="B38" i="52076"/>
  <c r="C37" i="52076"/>
  <c r="B37" i="52076"/>
  <c r="C29" i="52076"/>
  <c r="B29" i="52076"/>
  <c r="C27" i="52076"/>
  <c r="B27" i="52076"/>
  <c r="C26" i="52076"/>
  <c r="B26" i="52076"/>
  <c r="C25" i="52076"/>
  <c r="B25" i="52076"/>
  <c r="C23" i="52076"/>
  <c r="B23" i="52076"/>
  <c r="B198" i="52083"/>
  <c r="B197" i="52083"/>
  <c r="B196" i="52083"/>
  <c r="B195" i="52083"/>
  <c r="B194" i="52083"/>
  <c r="B193" i="52083"/>
  <c r="B192" i="52083"/>
  <c r="B191" i="52083"/>
  <c r="B190" i="52083"/>
  <c r="B189" i="52083"/>
  <c r="B188" i="52083"/>
  <c r="B187" i="52083"/>
  <c r="B186" i="52083"/>
  <c r="B159" i="52083"/>
  <c r="B158" i="52083"/>
  <c r="B157" i="52083"/>
  <c r="B156" i="52083"/>
  <c r="B61" i="52083"/>
  <c r="B57" i="52083"/>
  <c r="B56" i="52083"/>
  <c r="B42" i="52083"/>
  <c r="B41" i="52083"/>
  <c r="B40" i="52083"/>
  <c r="B39" i="52083"/>
  <c r="B38" i="52083"/>
  <c r="B37" i="52083"/>
  <c r="B36" i="52083"/>
  <c r="B35" i="52083"/>
  <c r="B29" i="52083"/>
  <c r="B28" i="52083"/>
  <c r="B27" i="52083"/>
  <c r="B26" i="52083"/>
  <c r="B25" i="52083"/>
  <c r="B24" i="52083"/>
  <c r="B23" i="52083"/>
  <c r="B30" i="52083" s="1"/>
  <c r="E198" i="52083"/>
  <c r="D198" i="52083"/>
  <c r="C198" i="52083"/>
  <c r="E197" i="52083"/>
  <c r="D197" i="52083"/>
  <c r="C197" i="52083"/>
  <c r="E196" i="52083"/>
  <c r="D196" i="52083"/>
  <c r="C196" i="52083"/>
  <c r="E195" i="52083"/>
  <c r="D195" i="52083"/>
  <c r="C195" i="52083"/>
  <c r="E194" i="52083"/>
  <c r="D194" i="52083"/>
  <c r="C194" i="52083"/>
  <c r="E193" i="52083"/>
  <c r="D193" i="52083"/>
  <c r="C193" i="52083"/>
  <c r="E192" i="52083"/>
  <c r="D192" i="52083"/>
  <c r="C192" i="52083"/>
  <c r="E191" i="52083"/>
  <c r="D191" i="52083"/>
  <c r="C191" i="52083"/>
  <c r="E190" i="52083"/>
  <c r="D190" i="52083"/>
  <c r="C190" i="52083"/>
  <c r="E189" i="52083"/>
  <c r="D189" i="52083"/>
  <c r="C189" i="52083"/>
  <c r="E188" i="52083"/>
  <c r="D188" i="52083"/>
  <c r="C188" i="52083"/>
  <c r="E187" i="52083"/>
  <c r="D187" i="52083"/>
  <c r="C187" i="52083"/>
  <c r="C200" i="52083" s="1"/>
  <c r="E186" i="52083"/>
  <c r="D186" i="52083"/>
  <c r="C186" i="52083"/>
  <c r="E159" i="52083"/>
  <c r="D159" i="52083"/>
  <c r="C159" i="52083"/>
  <c r="E158" i="52083"/>
  <c r="D158" i="52083"/>
  <c r="C158" i="52083"/>
  <c r="E157" i="52083"/>
  <c r="D157" i="52083"/>
  <c r="C157" i="52083"/>
  <c r="E156" i="52083"/>
  <c r="D156" i="52083"/>
  <c r="C156" i="52083"/>
  <c r="E61" i="52083"/>
  <c r="D61" i="52083"/>
  <c r="C61" i="52083"/>
  <c r="E60" i="52083"/>
  <c r="E234" i="52083" s="1"/>
  <c r="B60" i="52083"/>
  <c r="B234" i="52083" s="1"/>
  <c r="E57" i="52083"/>
  <c r="D57" i="52083"/>
  <c r="C57" i="52083"/>
  <c r="E56" i="52083"/>
  <c r="D56" i="52083"/>
  <c r="C56" i="52083"/>
  <c r="E42" i="52083"/>
  <c r="D42" i="52083"/>
  <c r="C42" i="52083"/>
  <c r="E41" i="52083"/>
  <c r="D41" i="52083"/>
  <c r="C41" i="52083"/>
  <c r="E40" i="52083"/>
  <c r="D40" i="52083"/>
  <c r="C40" i="52083"/>
  <c r="E39" i="52083"/>
  <c r="D39" i="52083"/>
  <c r="C39" i="52083"/>
  <c r="E38" i="52083"/>
  <c r="D38" i="52083"/>
  <c r="C38" i="52083"/>
  <c r="E37" i="52083"/>
  <c r="D37" i="52083"/>
  <c r="C37" i="52083"/>
  <c r="E36" i="52083"/>
  <c r="D36" i="52083"/>
  <c r="C36" i="52083"/>
  <c r="E35" i="52083"/>
  <c r="D35" i="52083"/>
  <c r="C35" i="52083"/>
  <c r="E29" i="52083"/>
  <c r="D29" i="52083"/>
  <c r="C29" i="52083"/>
  <c r="E28" i="52083"/>
  <c r="D28" i="52083"/>
  <c r="C28" i="52083"/>
  <c r="E27" i="52083"/>
  <c r="D27" i="52083"/>
  <c r="C27" i="52083"/>
  <c r="E26" i="52083"/>
  <c r="D26" i="52083"/>
  <c r="C26" i="52083"/>
  <c r="E25" i="52083"/>
  <c r="D25" i="52083"/>
  <c r="C25" i="52083"/>
  <c r="E24" i="52083"/>
  <c r="D24" i="52083"/>
  <c r="C24" i="52083"/>
  <c r="E23" i="52083"/>
  <c r="D23" i="52083"/>
  <c r="C23" i="52083"/>
  <c r="G200" i="93"/>
  <c r="Q46" i="52096" s="1"/>
  <c r="G168" i="93"/>
  <c r="G152" i="93"/>
  <c r="G131" i="93"/>
  <c r="G32" i="93"/>
  <c r="I157" i="93"/>
  <c r="J245" i="52089"/>
  <c r="I245" i="52089"/>
  <c r="C235" i="52089"/>
  <c r="A229" i="52089"/>
  <c r="G213" i="52064"/>
  <c r="J245" i="148"/>
  <c r="I245" i="148"/>
  <c r="G201" i="148"/>
  <c r="I182" i="148"/>
  <c r="I89" i="148"/>
  <c r="I65" i="148"/>
  <c r="I58" i="148"/>
  <c r="I57" i="148"/>
  <c r="I56" i="148"/>
  <c r="I55" i="148"/>
  <c r="I48" i="148"/>
  <c r="I42" i="148"/>
  <c r="I41" i="148"/>
  <c r="I40" i="148"/>
  <c r="I39" i="148"/>
  <c r="I38" i="148"/>
  <c r="I37" i="148"/>
  <c r="I36" i="148"/>
  <c r="I35" i="148"/>
  <c r="I34" i="148"/>
  <c r="I29" i="148"/>
  <c r="J245" i="105"/>
  <c r="I245" i="105"/>
  <c r="G201" i="105"/>
  <c r="I89" i="105"/>
  <c r="I65" i="105"/>
  <c r="G235" i="105"/>
  <c r="I58" i="105"/>
  <c r="I57" i="105"/>
  <c r="I56" i="105"/>
  <c r="I55" i="105"/>
  <c r="I48" i="105"/>
  <c r="I42" i="105"/>
  <c r="I41" i="105"/>
  <c r="I40" i="105"/>
  <c r="I39" i="105"/>
  <c r="I38" i="105"/>
  <c r="I37" i="105"/>
  <c r="I36" i="105"/>
  <c r="I35" i="105"/>
  <c r="I34" i="105"/>
  <c r="I29" i="105"/>
  <c r="J245" i="108"/>
  <c r="I245" i="108"/>
  <c r="G201" i="108"/>
  <c r="I89" i="108"/>
  <c r="I65" i="108"/>
  <c r="G235" i="108"/>
  <c r="I58" i="108"/>
  <c r="I57" i="108"/>
  <c r="I56" i="108"/>
  <c r="I55" i="108"/>
  <c r="I48" i="108"/>
  <c r="I42" i="108"/>
  <c r="I41" i="108"/>
  <c r="I40" i="108"/>
  <c r="I39" i="108"/>
  <c r="I38" i="108"/>
  <c r="I37" i="108"/>
  <c r="I36" i="108"/>
  <c r="I35" i="108"/>
  <c r="I34" i="108"/>
  <c r="I29" i="108"/>
  <c r="J245" i="52087"/>
  <c r="I245" i="52087"/>
  <c r="G201" i="52087"/>
  <c r="I89" i="52087"/>
  <c r="I65" i="52087"/>
  <c r="G235" i="52087"/>
  <c r="I58" i="52087"/>
  <c r="I57" i="52087"/>
  <c r="I56" i="52087"/>
  <c r="I55" i="52087"/>
  <c r="I48" i="52087"/>
  <c r="I42" i="52087"/>
  <c r="I41" i="52087"/>
  <c r="I40" i="52087"/>
  <c r="I39" i="52087"/>
  <c r="I38" i="52087"/>
  <c r="I37" i="52087"/>
  <c r="I36" i="52087"/>
  <c r="I35" i="52087"/>
  <c r="I34" i="52087"/>
  <c r="I29" i="52087"/>
  <c r="J245" i="52088"/>
  <c r="I245" i="52088"/>
  <c r="G201" i="52088"/>
  <c r="I89" i="52088"/>
  <c r="I65" i="52088"/>
  <c r="G235" i="52088"/>
  <c r="I58" i="52088"/>
  <c r="I57" i="52088"/>
  <c r="I56" i="52088"/>
  <c r="I55" i="52088"/>
  <c r="I48" i="52088"/>
  <c r="I42" i="52088"/>
  <c r="I41" i="52088"/>
  <c r="I40" i="52088"/>
  <c r="I39" i="52088"/>
  <c r="I38" i="52088"/>
  <c r="I37" i="52088"/>
  <c r="I36" i="52088"/>
  <c r="I35" i="52088"/>
  <c r="I34" i="52088"/>
  <c r="I29" i="52088"/>
  <c r="J245" i="101"/>
  <c r="I245" i="101"/>
  <c r="G201" i="101"/>
  <c r="I89" i="101"/>
  <c r="I65" i="101"/>
  <c r="G235" i="101"/>
  <c r="I58" i="101"/>
  <c r="I57" i="101"/>
  <c r="I56" i="101"/>
  <c r="I55" i="101"/>
  <c r="I48" i="101"/>
  <c r="I42" i="101"/>
  <c r="I41" i="101"/>
  <c r="I40" i="101"/>
  <c r="I39" i="101"/>
  <c r="I38" i="101"/>
  <c r="I37" i="101"/>
  <c r="I36" i="101"/>
  <c r="I35" i="101"/>
  <c r="I34" i="101"/>
  <c r="I29" i="101"/>
  <c r="J245" i="52067"/>
  <c r="I245" i="52067"/>
  <c r="G201" i="52067"/>
  <c r="I182" i="52067"/>
  <c r="I89" i="52067"/>
  <c r="I58" i="52067"/>
  <c r="I57" i="52067"/>
  <c r="I56" i="52067"/>
  <c r="I55" i="52067"/>
  <c r="I48" i="52067"/>
  <c r="I42" i="52067"/>
  <c r="I41" i="52067"/>
  <c r="I40" i="52067"/>
  <c r="I39" i="52067"/>
  <c r="I38" i="52067"/>
  <c r="I37" i="52067"/>
  <c r="I36" i="52067"/>
  <c r="I35" i="52067"/>
  <c r="I34" i="52067"/>
  <c r="I29" i="52067"/>
  <c r="J245" i="52079"/>
  <c r="I245" i="52079"/>
  <c r="G201" i="52079"/>
  <c r="I89" i="52079"/>
  <c r="J60" i="52097"/>
  <c r="J235" i="52097" s="1"/>
  <c r="I58" i="52079"/>
  <c r="I57" i="52079"/>
  <c r="I56" i="52079"/>
  <c r="I55" i="52079"/>
  <c r="I48" i="52079"/>
  <c r="I42" i="52079"/>
  <c r="I41" i="52079"/>
  <c r="I40" i="52079"/>
  <c r="I39" i="52079"/>
  <c r="I38" i="52079"/>
  <c r="I37" i="52079"/>
  <c r="I36" i="52079"/>
  <c r="I35" i="52079"/>
  <c r="I34" i="52079"/>
  <c r="I29" i="52079"/>
  <c r="J245" i="52071"/>
  <c r="I245" i="52071"/>
  <c r="G201" i="52071"/>
  <c r="I89" i="52071"/>
  <c r="I65" i="52071"/>
  <c r="G235" i="52071"/>
  <c r="I58" i="52071"/>
  <c r="I57" i="52071"/>
  <c r="I56" i="52071"/>
  <c r="I55" i="52071"/>
  <c r="I48" i="52071"/>
  <c r="I42" i="52071"/>
  <c r="I41" i="52071"/>
  <c r="I40" i="52071"/>
  <c r="I39" i="52071"/>
  <c r="I38" i="52071"/>
  <c r="I37" i="52071"/>
  <c r="I36" i="52071"/>
  <c r="I35" i="52071"/>
  <c r="I34" i="52071"/>
  <c r="I29" i="52071"/>
  <c r="J245" i="114"/>
  <c r="I245" i="114"/>
  <c r="G201" i="114"/>
  <c r="I89" i="114"/>
  <c r="I65" i="114"/>
  <c r="I58" i="114"/>
  <c r="L58" i="114" s="1"/>
  <c r="I57" i="114"/>
  <c r="I56" i="114"/>
  <c r="I55" i="114"/>
  <c r="L55" i="114" s="1"/>
  <c r="I48" i="114"/>
  <c r="L48" i="114" s="1"/>
  <c r="I42" i="114"/>
  <c r="I41" i="114"/>
  <c r="I40" i="114"/>
  <c r="I39" i="114"/>
  <c r="I38" i="114"/>
  <c r="I37" i="114"/>
  <c r="I36" i="114"/>
  <c r="I35" i="114"/>
  <c r="I34" i="114"/>
  <c r="L34" i="114" s="1"/>
  <c r="J245" i="115"/>
  <c r="I245" i="115"/>
  <c r="G201" i="115"/>
  <c r="I182" i="115"/>
  <c r="I89" i="115"/>
  <c r="I65" i="115"/>
  <c r="I58" i="115"/>
  <c r="L58" i="115" s="1"/>
  <c r="I57" i="115"/>
  <c r="I56" i="115"/>
  <c r="I55" i="115"/>
  <c r="L55" i="115" s="1"/>
  <c r="I48" i="115"/>
  <c r="L48" i="115" s="1"/>
  <c r="I42" i="115"/>
  <c r="I41" i="115"/>
  <c r="I40" i="115"/>
  <c r="I39" i="115"/>
  <c r="I38" i="115"/>
  <c r="I37" i="115"/>
  <c r="I36" i="115"/>
  <c r="I35" i="115"/>
  <c r="I34" i="115"/>
  <c r="L34" i="115" s="1"/>
  <c r="J245" i="20"/>
  <c r="I245" i="20"/>
  <c r="G201" i="20"/>
  <c r="I182" i="20"/>
  <c r="I89" i="20"/>
  <c r="I65" i="20"/>
  <c r="I58" i="20"/>
  <c r="L58" i="20" s="1"/>
  <c r="I57" i="20"/>
  <c r="I56" i="20"/>
  <c r="I55" i="20"/>
  <c r="L55" i="20" s="1"/>
  <c r="I48" i="20"/>
  <c r="L48" i="20" s="1"/>
  <c r="I42" i="20"/>
  <c r="I41" i="20"/>
  <c r="I40" i="20"/>
  <c r="I39" i="20"/>
  <c r="I38" i="20"/>
  <c r="I37" i="20"/>
  <c r="I36" i="20"/>
  <c r="I35" i="20"/>
  <c r="I34" i="20"/>
  <c r="L34" i="20" s="1"/>
  <c r="J245" i="12"/>
  <c r="I245" i="12"/>
  <c r="G201" i="12"/>
  <c r="I182" i="12"/>
  <c r="I89" i="12"/>
  <c r="I58" i="12"/>
  <c r="L58" i="12" s="1"/>
  <c r="I57" i="12"/>
  <c r="I56" i="12"/>
  <c r="I55" i="12"/>
  <c r="L55" i="12" s="1"/>
  <c r="I48" i="12"/>
  <c r="L48" i="12" s="1"/>
  <c r="I42" i="12"/>
  <c r="I41" i="12"/>
  <c r="I40" i="12"/>
  <c r="I39" i="12"/>
  <c r="I38" i="12"/>
  <c r="I37" i="12"/>
  <c r="I36" i="12"/>
  <c r="I35" i="12"/>
  <c r="I34" i="12"/>
  <c r="L34" i="12" s="1"/>
  <c r="J245" i="77"/>
  <c r="I245" i="77"/>
  <c r="G201" i="77"/>
  <c r="I182" i="77"/>
  <c r="I89" i="77"/>
  <c r="I65" i="77"/>
  <c r="I58" i="77"/>
  <c r="L58" i="77" s="1"/>
  <c r="I57" i="77"/>
  <c r="I56" i="77"/>
  <c r="I55" i="77"/>
  <c r="L55" i="77" s="1"/>
  <c r="I48" i="77"/>
  <c r="L48" i="77" s="1"/>
  <c r="I42" i="77"/>
  <c r="I41" i="77"/>
  <c r="I40" i="77"/>
  <c r="I39" i="77"/>
  <c r="I38" i="77"/>
  <c r="I37" i="77"/>
  <c r="I36" i="77"/>
  <c r="I35" i="77"/>
  <c r="I34" i="77"/>
  <c r="L34" i="77" s="1"/>
  <c r="G201" i="52089"/>
  <c r="I182" i="52089"/>
  <c r="I89" i="52089"/>
  <c r="I65" i="52089"/>
  <c r="I58" i="52089"/>
  <c r="L58" i="52089" s="1"/>
  <c r="I57" i="52089"/>
  <c r="I56" i="52089"/>
  <c r="I55" i="52089"/>
  <c r="L55" i="52089" s="1"/>
  <c r="I48" i="52089"/>
  <c r="L48" i="52089" s="1"/>
  <c r="I42" i="52089"/>
  <c r="I41" i="52089"/>
  <c r="I40" i="52089"/>
  <c r="I39" i="52089"/>
  <c r="I38" i="52089"/>
  <c r="I37" i="52089"/>
  <c r="I36" i="52089"/>
  <c r="I35" i="52089"/>
  <c r="I34" i="52089"/>
  <c r="L34" i="52089" s="1"/>
  <c r="I29" i="52089"/>
  <c r="J245" i="52090"/>
  <c r="I245" i="52090"/>
  <c r="G201" i="52090"/>
  <c r="I182" i="52090"/>
  <c r="I89" i="52090"/>
  <c r="I65" i="52090"/>
  <c r="I58" i="52090"/>
  <c r="L58" i="52090" s="1"/>
  <c r="I57" i="52090"/>
  <c r="I56" i="52090"/>
  <c r="I55" i="52090"/>
  <c r="L55" i="52090" s="1"/>
  <c r="I48" i="52090"/>
  <c r="L48" i="52090" s="1"/>
  <c r="I42" i="52090"/>
  <c r="I41" i="52090"/>
  <c r="I40" i="52090"/>
  <c r="I39" i="52090"/>
  <c r="I38" i="52090"/>
  <c r="I37" i="52090"/>
  <c r="I36" i="52090"/>
  <c r="I35" i="52090"/>
  <c r="I34" i="52090"/>
  <c r="L34" i="52090" s="1"/>
  <c r="I29" i="52090"/>
  <c r="J245" i="52091"/>
  <c r="I245" i="52091"/>
  <c r="G201" i="52091"/>
  <c r="I182" i="52091"/>
  <c r="I89" i="52091"/>
  <c r="I65" i="52091"/>
  <c r="I58" i="52091"/>
  <c r="L58" i="52091" s="1"/>
  <c r="I57" i="52091"/>
  <c r="I56" i="52091"/>
  <c r="I55" i="52091"/>
  <c r="L55" i="52091" s="1"/>
  <c r="I48" i="52091"/>
  <c r="L48" i="52091" s="1"/>
  <c r="I42" i="52091"/>
  <c r="I41" i="52091"/>
  <c r="I40" i="52091"/>
  <c r="I39" i="52091"/>
  <c r="I38" i="52091"/>
  <c r="I37" i="52091"/>
  <c r="I36" i="52091"/>
  <c r="I35" i="52091"/>
  <c r="I34" i="52091"/>
  <c r="L34" i="52091" s="1"/>
  <c r="I29" i="52091"/>
  <c r="J245" i="52092"/>
  <c r="I245" i="52092"/>
  <c r="G201" i="52092"/>
  <c r="I182" i="52092"/>
  <c r="I89" i="52092"/>
  <c r="I65" i="52092"/>
  <c r="I58" i="52092"/>
  <c r="L58" i="52092" s="1"/>
  <c r="I57" i="52092"/>
  <c r="I56" i="52092"/>
  <c r="I55" i="52092"/>
  <c r="L55" i="52092" s="1"/>
  <c r="I48" i="52092"/>
  <c r="L48" i="52092" s="1"/>
  <c r="I42" i="52092"/>
  <c r="I41" i="52092"/>
  <c r="I40" i="52092"/>
  <c r="I39" i="52092"/>
  <c r="I38" i="52092"/>
  <c r="I37" i="52092"/>
  <c r="I36" i="52092"/>
  <c r="I35" i="52092"/>
  <c r="I34" i="52092"/>
  <c r="L34" i="52092" s="1"/>
  <c r="J245" i="52093"/>
  <c r="I245" i="52093"/>
  <c r="G201" i="52093"/>
  <c r="I89" i="52093"/>
  <c r="I65" i="52093"/>
  <c r="I58" i="52093"/>
  <c r="L58" i="52093" s="1"/>
  <c r="I57" i="52093"/>
  <c r="I56" i="52093"/>
  <c r="I55" i="52093"/>
  <c r="L55" i="52093" s="1"/>
  <c r="I48" i="52093"/>
  <c r="L48" i="52093" s="1"/>
  <c r="I42" i="52093"/>
  <c r="I41" i="52093"/>
  <c r="I40" i="52093"/>
  <c r="I39" i="52093"/>
  <c r="I38" i="52093"/>
  <c r="I37" i="52093"/>
  <c r="I36" i="52093"/>
  <c r="I35" i="52093"/>
  <c r="I34" i="52093"/>
  <c r="L34" i="52093" s="1"/>
  <c r="J245" i="52094"/>
  <c r="I245" i="52094"/>
  <c r="G201" i="52094"/>
  <c r="I182" i="52094"/>
  <c r="I89" i="52094"/>
  <c r="I65" i="52094"/>
  <c r="I58" i="52094"/>
  <c r="L58" i="52094" s="1"/>
  <c r="I57" i="52094"/>
  <c r="I56" i="52094"/>
  <c r="I55" i="52094"/>
  <c r="L55" i="52094" s="1"/>
  <c r="I48" i="52094"/>
  <c r="L48" i="52094" s="1"/>
  <c r="I42" i="52094"/>
  <c r="I41" i="52094"/>
  <c r="I40" i="52094"/>
  <c r="I39" i="52094"/>
  <c r="I38" i="52094"/>
  <c r="I37" i="52094"/>
  <c r="I36" i="52094"/>
  <c r="I35" i="52094"/>
  <c r="I34" i="52094"/>
  <c r="L34" i="52094" s="1"/>
  <c r="J245" i="52095"/>
  <c r="I245" i="52095"/>
  <c r="G201" i="52095"/>
  <c r="I182" i="52095"/>
  <c r="I89" i="52095"/>
  <c r="I65" i="52095"/>
  <c r="I58" i="52095"/>
  <c r="L58" i="52095" s="1"/>
  <c r="I57" i="52095"/>
  <c r="I56" i="52095"/>
  <c r="I55" i="52095"/>
  <c r="L55" i="52095" s="1"/>
  <c r="I48" i="52095"/>
  <c r="L48" i="52095" s="1"/>
  <c r="I42" i="52095"/>
  <c r="I41" i="52095"/>
  <c r="I40" i="52095"/>
  <c r="I39" i="52095"/>
  <c r="I38" i="52095"/>
  <c r="I37" i="52095"/>
  <c r="I36" i="52095"/>
  <c r="I35" i="52095"/>
  <c r="I34" i="52095"/>
  <c r="L34" i="52095" s="1"/>
  <c r="J245" i="52080"/>
  <c r="I245" i="52080"/>
  <c r="G201" i="52080"/>
  <c r="I182" i="52080"/>
  <c r="I89" i="52080"/>
  <c r="I65" i="52080"/>
  <c r="I58" i="52080"/>
  <c r="L58" i="52080" s="1"/>
  <c r="I57" i="52080"/>
  <c r="I56" i="52080"/>
  <c r="I55" i="52080"/>
  <c r="L55" i="52080" s="1"/>
  <c r="I48" i="52080"/>
  <c r="L48" i="52080" s="1"/>
  <c r="I42" i="52080"/>
  <c r="I41" i="52080"/>
  <c r="I40" i="52080"/>
  <c r="I39" i="52080"/>
  <c r="I38" i="52080"/>
  <c r="I37" i="52080"/>
  <c r="I36" i="52080"/>
  <c r="I35" i="52080"/>
  <c r="I34" i="52080"/>
  <c r="L34" i="52080" s="1"/>
  <c r="J245" i="32"/>
  <c r="I245" i="32"/>
  <c r="G201" i="32"/>
  <c r="I182" i="32"/>
  <c r="I89" i="32"/>
  <c r="I65" i="32"/>
  <c r="I58" i="32"/>
  <c r="L58" i="32" s="1"/>
  <c r="I57" i="32"/>
  <c r="I56" i="32"/>
  <c r="I55" i="32"/>
  <c r="L55" i="32" s="1"/>
  <c r="I48" i="32"/>
  <c r="L48" i="32" s="1"/>
  <c r="I42" i="32"/>
  <c r="I41" i="32"/>
  <c r="I40" i="32"/>
  <c r="I39" i="32"/>
  <c r="I38" i="32"/>
  <c r="I37" i="32"/>
  <c r="I36" i="32"/>
  <c r="I35" i="32"/>
  <c r="I34" i="32"/>
  <c r="L34" i="32" s="1"/>
  <c r="J245" i="91"/>
  <c r="I245" i="91"/>
  <c r="G201" i="91"/>
  <c r="I89" i="91"/>
  <c r="I65" i="91"/>
  <c r="I58" i="91"/>
  <c r="L58" i="91" s="1"/>
  <c r="I57" i="91"/>
  <c r="I56" i="91"/>
  <c r="I55" i="91"/>
  <c r="L55" i="91" s="1"/>
  <c r="I48" i="91"/>
  <c r="L48" i="91" s="1"/>
  <c r="I42" i="91"/>
  <c r="I41" i="91"/>
  <c r="I40" i="91"/>
  <c r="I39" i="91"/>
  <c r="I38" i="91"/>
  <c r="I37" i="91"/>
  <c r="I36" i="91"/>
  <c r="I35" i="91"/>
  <c r="I34" i="91"/>
  <c r="L34" i="91" s="1"/>
  <c r="I29" i="91"/>
  <c r="J245" i="48"/>
  <c r="I245" i="48"/>
  <c r="G201" i="48"/>
  <c r="I182" i="48"/>
  <c r="I89" i="48"/>
  <c r="I65" i="48"/>
  <c r="I58" i="48"/>
  <c r="L58" i="48" s="1"/>
  <c r="I57" i="48"/>
  <c r="I56" i="48"/>
  <c r="I55" i="48"/>
  <c r="L55" i="48" s="1"/>
  <c r="I48" i="48"/>
  <c r="L48" i="48" s="1"/>
  <c r="I42" i="48"/>
  <c r="I41" i="48"/>
  <c r="I40" i="48"/>
  <c r="I39" i="48"/>
  <c r="I38" i="48"/>
  <c r="I37" i="48"/>
  <c r="I36" i="48"/>
  <c r="I35" i="48"/>
  <c r="I34" i="48"/>
  <c r="L34" i="48" s="1"/>
  <c r="J245" i="52066"/>
  <c r="I245" i="52066"/>
  <c r="G201" i="52066"/>
  <c r="I182" i="52066"/>
  <c r="I89" i="52066"/>
  <c r="I65" i="52066"/>
  <c r="I58" i="52066"/>
  <c r="L58" i="52066" s="1"/>
  <c r="I57" i="52066"/>
  <c r="I56" i="52066"/>
  <c r="I55" i="52066"/>
  <c r="L55" i="52066" s="1"/>
  <c r="I48" i="52066"/>
  <c r="L48" i="52066" s="1"/>
  <c r="I42" i="52066"/>
  <c r="I41" i="52066"/>
  <c r="I40" i="52066"/>
  <c r="I39" i="52066"/>
  <c r="I38" i="52066"/>
  <c r="I37" i="52066"/>
  <c r="I36" i="52066"/>
  <c r="I35" i="52066"/>
  <c r="I34" i="52066"/>
  <c r="L34" i="52066" s="1"/>
  <c r="J245" i="52072"/>
  <c r="I245" i="52072"/>
  <c r="G201" i="52072"/>
  <c r="I182" i="52072"/>
  <c r="I89" i="52072"/>
  <c r="I58" i="52072"/>
  <c r="L58" i="52072" s="1"/>
  <c r="I57" i="52072"/>
  <c r="I56" i="52072"/>
  <c r="I55" i="52072"/>
  <c r="L55" i="52072" s="1"/>
  <c r="I48" i="52072"/>
  <c r="L48" i="52072" s="1"/>
  <c r="I42" i="52072"/>
  <c r="I41" i="52072"/>
  <c r="I40" i="52072"/>
  <c r="I39" i="52072"/>
  <c r="I38" i="52072"/>
  <c r="I37" i="52072"/>
  <c r="I36" i="52072"/>
  <c r="I35" i="52072"/>
  <c r="I34" i="52072"/>
  <c r="L34" i="52072" s="1"/>
  <c r="I29" i="52072"/>
  <c r="J245" i="52081"/>
  <c r="I245" i="52081"/>
  <c r="G201" i="52081"/>
  <c r="I65" i="52081"/>
  <c r="I58" i="52081"/>
  <c r="I57" i="52081"/>
  <c r="I56" i="52081"/>
  <c r="I55" i="52081"/>
  <c r="I48" i="52081"/>
  <c r="I42" i="52081"/>
  <c r="I41" i="52081"/>
  <c r="I40" i="52081"/>
  <c r="I39" i="52081"/>
  <c r="I38" i="52081"/>
  <c r="I37" i="52081"/>
  <c r="I36" i="52081"/>
  <c r="I35" i="52081"/>
  <c r="I34" i="52081"/>
  <c r="J245" i="52064"/>
  <c r="I245" i="52064"/>
  <c r="G201" i="52064"/>
  <c r="I182" i="52064"/>
  <c r="I89" i="52064"/>
  <c r="I65" i="52064"/>
  <c r="G235" i="52064"/>
  <c r="I58" i="52064"/>
  <c r="I57" i="52064"/>
  <c r="I56" i="52064"/>
  <c r="I55" i="52064"/>
  <c r="I48" i="52064"/>
  <c r="I42" i="52064"/>
  <c r="I41" i="52064"/>
  <c r="I40" i="52064"/>
  <c r="I39" i="52064"/>
  <c r="I38" i="52064"/>
  <c r="I37" i="52064"/>
  <c r="I36" i="52064"/>
  <c r="I35" i="52064"/>
  <c r="I34" i="52064"/>
  <c r="I29" i="52064"/>
  <c r="A229" i="148"/>
  <c r="C235" i="105"/>
  <c r="A229" i="105"/>
  <c r="C235" i="108"/>
  <c r="A229" i="108"/>
  <c r="C235" i="52087"/>
  <c r="A229" i="52087"/>
  <c r="C235" i="52088"/>
  <c r="A229" i="52088"/>
  <c r="C235" i="101"/>
  <c r="A229" i="101"/>
  <c r="A229" i="52067"/>
  <c r="C235" i="52079"/>
  <c r="A229" i="52079"/>
  <c r="C235" i="52071"/>
  <c r="A229" i="52071"/>
  <c r="C235" i="114"/>
  <c r="A229" i="114"/>
  <c r="C235" i="115"/>
  <c r="A229" i="115"/>
  <c r="C235" i="20"/>
  <c r="A229" i="20"/>
  <c r="C235" i="12"/>
  <c r="A229" i="12"/>
  <c r="C235" i="77"/>
  <c r="A229" i="77"/>
  <c r="C235" i="52090"/>
  <c r="A229" i="52090"/>
  <c r="C235" i="52091"/>
  <c r="A229" i="52091"/>
  <c r="C235" i="52092"/>
  <c r="A229" i="52092"/>
  <c r="C235" i="52093"/>
  <c r="A229" i="52093"/>
  <c r="C235" i="52094"/>
  <c r="A229" i="52094"/>
  <c r="C235" i="52095"/>
  <c r="A229" i="52095"/>
  <c r="C235" i="52080"/>
  <c r="A229" i="52080"/>
  <c r="C235" i="32"/>
  <c r="A229" i="32"/>
  <c r="C235" i="91"/>
  <c r="A229" i="91"/>
  <c r="C235" i="48"/>
  <c r="A229" i="48"/>
  <c r="C235" i="52066"/>
  <c r="A229" i="52066"/>
  <c r="E254" i="52072"/>
  <c r="C235" i="52072"/>
  <c r="A229" i="52072"/>
  <c r="C235" i="52081"/>
  <c r="A229" i="52081"/>
  <c r="C235" i="52064"/>
  <c r="A229" i="52064"/>
  <c r="J245" i="21"/>
  <c r="I245" i="21"/>
  <c r="I182" i="21"/>
  <c r="I89" i="21"/>
  <c r="I65" i="21"/>
  <c r="I58" i="21"/>
  <c r="I57" i="21"/>
  <c r="I56" i="21"/>
  <c r="I55" i="21"/>
  <c r="I48" i="21"/>
  <c r="I42" i="21"/>
  <c r="I41" i="21"/>
  <c r="I40" i="21"/>
  <c r="I39" i="21"/>
  <c r="I38" i="21"/>
  <c r="I37" i="21"/>
  <c r="I36" i="21"/>
  <c r="I35" i="21"/>
  <c r="I34" i="21"/>
  <c r="I29" i="21"/>
  <c r="E212" i="52084"/>
  <c r="G213" i="52082"/>
  <c r="A229" i="21"/>
  <c r="C235" i="21"/>
  <c r="G201" i="21"/>
  <c r="G200" i="52098" s="1"/>
  <c r="G60" i="21"/>
  <c r="G235" i="21" s="1"/>
  <c r="J32" i="52085"/>
  <c r="J46" i="52085"/>
  <c r="J15" i="52085"/>
  <c r="J41" i="52085"/>
  <c r="J43" i="52085" s="1"/>
  <c r="N50" i="97"/>
  <c r="G61" i="110"/>
  <c r="H41" i="52085"/>
  <c r="H43" i="52085" s="1"/>
  <c r="I41" i="52085"/>
  <c r="I43" i="52085" s="1"/>
  <c r="E235" i="52081"/>
  <c r="E235" i="52071"/>
  <c r="E235" i="32"/>
  <c r="E235" i="77"/>
  <c r="E235" i="52067"/>
  <c r="E235" i="52088"/>
  <c r="E235" i="108"/>
  <c r="E235" i="148"/>
  <c r="G41" i="52085"/>
  <c r="G43" i="52085" s="1"/>
  <c r="C38" i="108"/>
  <c r="C38" i="52079"/>
  <c r="C38" i="48"/>
  <c r="C4" i="21"/>
  <c r="C6" i="21"/>
  <c r="E6" i="21" s="1"/>
  <c r="F235" i="21"/>
  <c r="J89" i="21"/>
  <c r="C4" i="52064"/>
  <c r="C6" i="52064"/>
  <c r="E6" i="52064" s="1"/>
  <c r="J9" i="9"/>
  <c r="C38" i="52064"/>
  <c r="D235" i="52064"/>
  <c r="J67" i="9"/>
  <c r="J89" i="52064"/>
  <c r="J134" i="9"/>
  <c r="J136" i="9"/>
  <c r="J138" i="9"/>
  <c r="J144" i="9"/>
  <c r="J158" i="9"/>
  <c r="J160" i="9"/>
  <c r="J162" i="9"/>
  <c r="J173" i="9"/>
  <c r="J177" i="9"/>
  <c r="J182" i="52064"/>
  <c r="C4" i="148"/>
  <c r="C6" i="148"/>
  <c r="E6" i="148" s="1"/>
  <c r="C38" i="148"/>
  <c r="C4" i="105"/>
  <c r="C6" i="105"/>
  <c r="E6" i="105" s="1"/>
  <c r="C4" i="108"/>
  <c r="C6" i="108"/>
  <c r="E6" i="108" s="1"/>
  <c r="J65" i="108"/>
  <c r="J89" i="108"/>
  <c r="C4" i="52087"/>
  <c r="C6" i="52087"/>
  <c r="E6" i="52087" s="1"/>
  <c r="D21" i="52087"/>
  <c r="D51" i="52087" s="1"/>
  <c r="C38" i="52087"/>
  <c r="J65" i="52087"/>
  <c r="J89" i="52087"/>
  <c r="C4" i="52088"/>
  <c r="C6" i="52088"/>
  <c r="E6" i="52088" s="1"/>
  <c r="C38" i="52088"/>
  <c r="J65" i="52088"/>
  <c r="J89" i="52088"/>
  <c r="C4" i="101"/>
  <c r="C6" i="101"/>
  <c r="E6" i="101" s="1"/>
  <c r="D21" i="101"/>
  <c r="C38" i="101"/>
  <c r="J89" i="101"/>
  <c r="C4" i="52067"/>
  <c r="C6" i="52067"/>
  <c r="E6" i="52067" s="1"/>
  <c r="D21" i="52067"/>
  <c r="C38" i="52067"/>
  <c r="J89" i="52067"/>
  <c r="J182" i="52067"/>
  <c r="C4" i="52079"/>
  <c r="C6" i="52079"/>
  <c r="E6" i="52079" s="1"/>
  <c r="D21" i="52079"/>
  <c r="D51" i="52079" s="1"/>
  <c r="J89" i="52079"/>
  <c r="J182" i="52079"/>
  <c r="C4" i="52071"/>
  <c r="C6" i="52071"/>
  <c r="E6" i="52071" s="1"/>
  <c r="D21" i="52071"/>
  <c r="C38" i="52071"/>
  <c r="F235" i="52071"/>
  <c r="J65" i="52071"/>
  <c r="J89" i="52071"/>
  <c r="C4" i="114"/>
  <c r="C6" i="114"/>
  <c r="E6" i="114"/>
  <c r="C38" i="114"/>
  <c r="J89" i="114"/>
  <c r="C4" i="115"/>
  <c r="C6" i="115"/>
  <c r="E6" i="115" s="1"/>
  <c r="C38" i="115"/>
  <c r="J65" i="115"/>
  <c r="J89" i="115"/>
  <c r="C4" i="20"/>
  <c r="C6" i="20"/>
  <c r="E6" i="20" s="1"/>
  <c r="C38" i="20"/>
  <c r="K94" i="52074"/>
  <c r="C4" i="12"/>
  <c r="C6" i="12"/>
  <c r="E6" i="12" s="1"/>
  <c r="C38" i="12"/>
  <c r="J89" i="12"/>
  <c r="C4" i="77"/>
  <c r="C6" i="77"/>
  <c r="E6" i="77"/>
  <c r="C38" i="77"/>
  <c r="F235" i="77"/>
  <c r="J65" i="77"/>
  <c r="J89" i="77"/>
  <c r="J182" i="77"/>
  <c r="C4" i="52089"/>
  <c r="C6" i="52089"/>
  <c r="E6" i="52089"/>
  <c r="C38" i="52089"/>
  <c r="J65" i="52089"/>
  <c r="J89" i="52089"/>
  <c r="J182" i="52089"/>
  <c r="C4" i="52090"/>
  <c r="C6" i="52090"/>
  <c r="E6" i="52090" s="1"/>
  <c r="C38" i="52090"/>
  <c r="J65" i="52090"/>
  <c r="J182" i="52090"/>
  <c r="C4" i="52091"/>
  <c r="C6" i="52091"/>
  <c r="E6" i="52091"/>
  <c r="J65" i="52091"/>
  <c r="J89" i="52091"/>
  <c r="J182" i="52091"/>
  <c r="C4" i="52092"/>
  <c r="C6" i="52092"/>
  <c r="E6" i="52092"/>
  <c r="D235" i="52092"/>
  <c r="J89" i="52092"/>
  <c r="J182" i="52092"/>
  <c r="C4" i="52093"/>
  <c r="C6" i="52093"/>
  <c r="E6" i="52093"/>
  <c r="C38" i="52093"/>
  <c r="C4" i="52094"/>
  <c r="C6" i="52094"/>
  <c r="E6" i="52094"/>
  <c r="K78" i="52077"/>
  <c r="C4" i="52095"/>
  <c r="C6" i="52095"/>
  <c r="E6" i="52095"/>
  <c r="C38" i="52095"/>
  <c r="C4" i="52080"/>
  <c r="C6" i="52080"/>
  <c r="E6" i="52080"/>
  <c r="J65" i="52080"/>
  <c r="J89" i="52080"/>
  <c r="J182" i="52080"/>
  <c r="C4" i="32"/>
  <c r="C6" i="32"/>
  <c r="E6" i="32"/>
  <c r="C38" i="32"/>
  <c r="G65" i="32"/>
  <c r="C4" i="91"/>
  <c r="C6" i="91"/>
  <c r="E6" i="91" s="1"/>
  <c r="C38" i="91"/>
  <c r="D235" i="91"/>
  <c r="J65" i="91"/>
  <c r="C4" i="48"/>
  <c r="C6" i="48"/>
  <c r="E6" i="48" s="1"/>
  <c r="E61" i="48"/>
  <c r="G65" i="48"/>
  <c r="B65" i="52103"/>
  <c r="J182" i="48"/>
  <c r="C4" i="52066"/>
  <c r="C6" i="52066"/>
  <c r="E6" i="52066"/>
  <c r="C38" i="52066"/>
  <c r="C4" i="52072"/>
  <c r="C6" i="52072"/>
  <c r="E6" i="52072"/>
  <c r="C38" i="52072"/>
  <c r="F235" i="52072"/>
  <c r="J89" i="52072"/>
  <c r="J182" i="52072"/>
  <c r="C4" i="52081"/>
  <c r="C6" i="52081"/>
  <c r="E6" i="52081" s="1"/>
  <c r="C38" i="52081"/>
  <c r="J65" i="52081"/>
  <c r="J182" i="52081"/>
  <c r="C4" i="93"/>
  <c r="H19" i="93"/>
  <c r="I19" i="93"/>
  <c r="H21" i="93"/>
  <c r="I21" i="93"/>
  <c r="H31" i="93"/>
  <c r="I31" i="93"/>
  <c r="H35" i="93"/>
  <c r="I35" i="93"/>
  <c r="H69" i="93"/>
  <c r="I69" i="93"/>
  <c r="H71" i="93"/>
  <c r="I71" i="93"/>
  <c r="H80" i="93"/>
  <c r="I80" i="93"/>
  <c r="H82" i="93"/>
  <c r="I82" i="93"/>
  <c r="H93" i="93"/>
  <c r="I93" i="93"/>
  <c r="H95" i="93"/>
  <c r="I95" i="93"/>
  <c r="H119" i="93"/>
  <c r="I119" i="93"/>
  <c r="H121" i="93"/>
  <c r="I121" i="93"/>
  <c r="H130" i="93"/>
  <c r="I130" i="93"/>
  <c r="H132" i="93"/>
  <c r="I132" i="93"/>
  <c r="H151" i="93"/>
  <c r="I151" i="93"/>
  <c r="H153" i="93"/>
  <c r="I153" i="93"/>
  <c r="H167" i="93"/>
  <c r="I167" i="93"/>
  <c r="D168" i="93"/>
  <c r="H45" i="52096"/>
  <c r="N45" i="52096"/>
  <c r="L10" i="52083"/>
  <c r="L11" i="52083"/>
  <c r="L12" i="52083"/>
  <c r="L13" i="52083"/>
  <c r="L14" i="52083"/>
  <c r="L15" i="52083"/>
  <c r="L16" i="52083"/>
  <c r="L17" i="52083"/>
  <c r="L18" i="52083"/>
  <c r="L19" i="52083"/>
  <c r="L140" i="52083"/>
  <c r="J232" i="52083"/>
  <c r="H44" i="52082"/>
  <c r="M236" i="52082"/>
  <c r="M201" i="52082"/>
  <c r="M215" i="52082"/>
  <c r="K10" i="52077"/>
  <c r="K11" i="52077"/>
  <c r="K12" i="52077"/>
  <c r="K13" i="52077"/>
  <c r="K14" i="52077"/>
  <c r="K15" i="52077"/>
  <c r="K16" i="52077"/>
  <c r="K17" i="52077"/>
  <c r="K18" i="52077"/>
  <c r="K19" i="52077"/>
  <c r="A227" i="52077"/>
  <c r="L227" i="52077" s="1"/>
  <c r="K10" i="52076"/>
  <c r="K11" i="52076"/>
  <c r="K12" i="52076"/>
  <c r="K13" i="52076"/>
  <c r="K14" i="52076"/>
  <c r="K15" i="52076"/>
  <c r="K16" i="52076"/>
  <c r="K17" i="52076"/>
  <c r="K18" i="52076"/>
  <c r="K19" i="52076"/>
  <c r="A228" i="52076"/>
  <c r="B228" i="52076"/>
  <c r="C228" i="52076"/>
  <c r="H252" i="52076"/>
  <c r="L10" i="52075"/>
  <c r="L12" i="52075"/>
  <c r="L14" i="52075"/>
  <c r="L16" i="52075"/>
  <c r="L18" i="52075"/>
  <c r="K10" i="52074"/>
  <c r="K11" i="52074"/>
  <c r="K12" i="52074"/>
  <c r="K13" i="52074"/>
  <c r="K14" i="52074"/>
  <c r="K15" i="52074"/>
  <c r="K16" i="52074"/>
  <c r="K17" i="52074"/>
  <c r="K18" i="52074"/>
  <c r="K19" i="52074"/>
  <c r="K10" i="52084"/>
  <c r="K11" i="52084"/>
  <c r="K12" i="52084"/>
  <c r="K13" i="52084"/>
  <c r="K14" i="52084"/>
  <c r="K15" i="52084"/>
  <c r="K16" i="52084"/>
  <c r="K17" i="52084"/>
  <c r="K18" i="52084"/>
  <c r="K19" i="52084"/>
  <c r="J10" i="9"/>
  <c r="J11" i="9"/>
  <c r="J12" i="9"/>
  <c r="J13" i="9"/>
  <c r="J14" i="9"/>
  <c r="J15" i="9"/>
  <c r="J16" i="9"/>
  <c r="J17" i="9"/>
  <c r="J18" i="9"/>
  <c r="J19" i="9"/>
  <c r="E29" i="9"/>
  <c r="E44" i="9"/>
  <c r="J189" i="9"/>
  <c r="J197" i="9"/>
  <c r="M46" i="52097"/>
  <c r="M47" i="52097"/>
  <c r="U10" i="111"/>
  <c r="U12" i="111"/>
  <c r="U14" i="111"/>
  <c r="U16" i="111"/>
  <c r="U18" i="111"/>
  <c r="U19" i="111"/>
  <c r="U23" i="111"/>
  <c r="L23" i="233" s="1"/>
  <c r="U24" i="111"/>
  <c r="U25" i="111"/>
  <c r="U26" i="111"/>
  <c r="U27" i="111"/>
  <c r="U29" i="111"/>
  <c r="U30" i="111"/>
  <c r="U32" i="111"/>
  <c r="U33" i="111"/>
  <c r="U35" i="111"/>
  <c r="U36" i="111"/>
  <c r="U37" i="111"/>
  <c r="U38" i="111"/>
  <c r="U39" i="111"/>
  <c r="U40" i="111"/>
  <c r="U41" i="111"/>
  <c r="U42" i="111"/>
  <c r="P44" i="111"/>
  <c r="U44" i="111"/>
  <c r="U46" i="111"/>
  <c r="U47" i="111"/>
  <c r="U56" i="111"/>
  <c r="U57" i="111"/>
  <c r="O10" i="110"/>
  <c r="O11" i="110"/>
  <c r="O12" i="110"/>
  <c r="O13" i="110"/>
  <c r="O14" i="110"/>
  <c r="O15" i="110"/>
  <c r="O16" i="110"/>
  <c r="O17" i="110"/>
  <c r="O18" i="110"/>
  <c r="O19" i="110"/>
  <c r="O22" i="110"/>
  <c r="L22" i="233" s="1"/>
  <c r="O23" i="110"/>
  <c r="O24" i="110"/>
  <c r="O25" i="110"/>
  <c r="O26" i="110"/>
  <c r="O27" i="110"/>
  <c r="O29" i="110"/>
  <c r="O30" i="110"/>
  <c r="O31" i="110"/>
  <c r="L31" i="233" s="1"/>
  <c r="O32" i="110"/>
  <c r="O33" i="110"/>
  <c r="O34" i="110"/>
  <c r="L34" i="233" s="1"/>
  <c r="O35" i="110"/>
  <c r="O36" i="110"/>
  <c r="O37" i="110"/>
  <c r="O38" i="110"/>
  <c r="O39" i="110"/>
  <c r="O40" i="110"/>
  <c r="O41" i="110"/>
  <c r="O42" i="110"/>
  <c r="O43" i="110"/>
  <c r="L43" i="233" s="1"/>
  <c r="O44" i="110"/>
  <c r="O45" i="110"/>
  <c r="L45" i="233" s="1"/>
  <c r="O46" i="110"/>
  <c r="O47" i="110"/>
  <c r="O48" i="110"/>
  <c r="L48" i="233" s="1"/>
  <c r="O50" i="110"/>
  <c r="L50" i="233" s="1"/>
  <c r="O52" i="110"/>
  <c r="L52" i="233" s="1"/>
  <c r="O53" i="110"/>
  <c r="O54" i="110"/>
  <c r="O55" i="110"/>
  <c r="L55" i="233" s="1"/>
  <c r="O56" i="110"/>
  <c r="O57" i="110"/>
  <c r="O58" i="110"/>
  <c r="L58" i="233" s="1"/>
  <c r="O59" i="110"/>
  <c r="L59" i="233" s="1"/>
  <c r="O61" i="110"/>
  <c r="L61" i="233" s="1"/>
  <c r="O63" i="110"/>
  <c r="O69" i="110"/>
  <c r="O71" i="110"/>
  <c r="O102" i="110"/>
  <c r="O104" i="110"/>
  <c r="L104" i="233" s="1"/>
  <c r="O115" i="110"/>
  <c r="L115" i="233" s="1"/>
  <c r="O117" i="110"/>
  <c r="L117" i="233" s="1"/>
  <c r="O128" i="110"/>
  <c r="L128" i="233" s="1"/>
  <c r="O130" i="110"/>
  <c r="L130" i="233" s="1"/>
  <c r="O153" i="110"/>
  <c r="L153" i="233" s="1"/>
  <c r="O155" i="110"/>
  <c r="O167" i="110"/>
  <c r="O169" i="110"/>
  <c r="O184" i="110"/>
  <c r="O186" i="110"/>
  <c r="L186" i="233" s="1"/>
  <c r="O200" i="110"/>
  <c r="L200" i="233" s="1"/>
  <c r="O202" i="110"/>
  <c r="L202" i="233" s="1"/>
  <c r="O204" i="110"/>
  <c r="L204" i="233" s="1"/>
  <c r="O206" i="110"/>
  <c r="L206" i="233" s="1"/>
  <c r="O208" i="110"/>
  <c r="L208" i="233" s="1"/>
  <c r="O210" i="110"/>
  <c r="O214" i="110"/>
  <c r="O216" i="110"/>
  <c r="L20" i="233"/>
  <c r="K13" i="97"/>
  <c r="B220" i="52099"/>
  <c r="C220" i="52099" s="1"/>
  <c r="B48" i="97"/>
  <c r="E48" i="97"/>
  <c r="G48" i="97"/>
  <c r="K48" i="97"/>
  <c r="K50" i="97" s="1"/>
  <c r="N1" i="52085"/>
  <c r="N32" i="52085" s="1"/>
  <c r="N3" i="52085"/>
  <c r="N28" i="52085"/>
  <c r="B41" i="52085"/>
  <c r="B43" i="52085" s="1"/>
  <c r="C41" i="52085"/>
  <c r="D41" i="52085"/>
  <c r="D43" i="52085" s="1"/>
  <c r="E41" i="52085"/>
  <c r="E43" i="52085" s="1"/>
  <c r="F41" i="52085"/>
  <c r="F43" i="52085" s="1"/>
  <c r="C43" i="52085"/>
  <c r="B219" i="52064"/>
  <c r="B219" i="148"/>
  <c r="B219" i="52087"/>
  <c r="B219" i="52067"/>
  <c r="B219" i="52079"/>
  <c r="B219" i="20"/>
  <c r="B219" i="115"/>
  <c r="B219" i="52090"/>
  <c r="B219" i="12"/>
  <c r="B219" i="52091"/>
  <c r="B220" i="52094"/>
  <c r="B220" i="32"/>
  <c r="B219" i="52095"/>
  <c r="B220" i="52072"/>
  <c r="M21" i="52082"/>
  <c r="M51" i="52082" s="1"/>
  <c r="N25" i="52085"/>
  <c r="N9" i="52085"/>
  <c r="N29" i="52085"/>
  <c r="E38" i="32"/>
  <c r="E97" i="52097"/>
  <c r="J64" i="52088"/>
  <c r="D91" i="52098"/>
  <c r="G73" i="52071"/>
  <c r="I73" i="52097" s="1"/>
  <c r="J96" i="52071"/>
  <c r="J64" i="52071"/>
  <c r="B105" i="9"/>
  <c r="J131" i="52067"/>
  <c r="J179" i="52090"/>
  <c r="G80" i="52094"/>
  <c r="J179" i="52095"/>
  <c r="G134" i="110"/>
  <c r="C112" i="52075"/>
  <c r="B134" i="52075"/>
  <c r="J179" i="77"/>
  <c r="G121" i="52081"/>
  <c r="D121" i="52103"/>
  <c r="E8" i="9"/>
  <c r="G73" i="101"/>
  <c r="G73" i="52097" s="1"/>
  <c r="D113" i="52082"/>
  <c r="C113" i="52082"/>
  <c r="C201" i="111"/>
  <c r="C200" i="52076"/>
  <c r="B30" i="52082"/>
  <c r="B44" i="52082" s="1"/>
  <c r="C38" i="105"/>
  <c r="C38" i="21"/>
  <c r="L27" i="233"/>
  <c r="G8" i="52075"/>
  <c r="E201" i="110"/>
  <c r="E201" i="52082"/>
  <c r="B30" i="9"/>
  <c r="B44" i="9" s="1"/>
  <c r="D201" i="111"/>
  <c r="L201" i="111"/>
  <c r="E38" i="52088"/>
  <c r="E38" i="148"/>
  <c r="H201" i="111"/>
  <c r="D30" i="52083"/>
  <c r="D44" i="52083" s="1"/>
  <c r="D201" i="110"/>
  <c r="C76" i="9"/>
  <c r="C76" i="52098"/>
  <c r="C79" i="9"/>
  <c r="C83" i="9"/>
  <c r="C83" i="52098"/>
  <c r="G89" i="52064"/>
  <c r="C96" i="9"/>
  <c r="C96" i="52098"/>
  <c r="C106" i="9"/>
  <c r="C106" i="52098"/>
  <c r="C108" i="9"/>
  <c r="C108" i="52098"/>
  <c r="C110" i="9"/>
  <c r="C110" i="52098"/>
  <c r="C112" i="9"/>
  <c r="C112" i="52098"/>
  <c r="J121" i="52064"/>
  <c r="C122" i="9"/>
  <c r="C122" i="52098"/>
  <c r="J122" i="52064"/>
  <c r="J123" i="52064"/>
  <c r="C132" i="9"/>
  <c r="C132" i="52098"/>
  <c r="G182" i="52064"/>
  <c r="C181" i="52098" s="1"/>
  <c r="G49" i="110"/>
  <c r="D49" i="52084"/>
  <c r="G65" i="52081"/>
  <c r="D65" i="52103" s="1"/>
  <c r="G66" i="110"/>
  <c r="D66" i="52084"/>
  <c r="G79" i="110"/>
  <c r="D79" i="52084"/>
  <c r="G89" i="52081"/>
  <c r="D89" i="52103" s="1"/>
  <c r="J89" i="52081"/>
  <c r="G96" i="110"/>
  <c r="D96" i="52084"/>
  <c r="G109" i="110"/>
  <c r="D109" i="52084"/>
  <c r="G111" i="110"/>
  <c r="D111" i="52084"/>
  <c r="G114" i="110"/>
  <c r="D114" i="52084"/>
  <c r="J122" i="52081"/>
  <c r="G125" i="110"/>
  <c r="D125" i="52084"/>
  <c r="G131" i="110"/>
  <c r="D131" i="52084"/>
  <c r="G139" i="110"/>
  <c r="D139" i="52084"/>
  <c r="G182" i="52081"/>
  <c r="D181" i="52103" s="1"/>
  <c r="D49" i="110"/>
  <c r="G89" i="52072"/>
  <c r="D89" i="52102" s="1"/>
  <c r="D89" i="110"/>
  <c r="D123" i="110"/>
  <c r="G182" i="52072"/>
  <c r="D181" i="52102" s="1"/>
  <c r="E49" i="110"/>
  <c r="C49" i="52084"/>
  <c r="E179" i="110"/>
  <c r="C178" i="52084"/>
  <c r="B79" i="52084"/>
  <c r="J79" i="48"/>
  <c r="G89" i="48"/>
  <c r="B89" i="52103" s="1"/>
  <c r="B122" i="52084"/>
  <c r="J122" i="48"/>
  <c r="G182" i="48"/>
  <c r="B181" i="52103" s="1"/>
  <c r="C49" i="110"/>
  <c r="G65" i="91"/>
  <c r="C65" i="110" s="1"/>
  <c r="C79" i="110"/>
  <c r="J79" i="91"/>
  <c r="G89" i="91"/>
  <c r="C89" i="110" s="1"/>
  <c r="C96" i="110"/>
  <c r="C123" i="110"/>
  <c r="C131" i="110"/>
  <c r="C132" i="110"/>
  <c r="C179" i="110"/>
  <c r="B49" i="110"/>
  <c r="B123" i="110"/>
  <c r="B131" i="110"/>
  <c r="B132" i="110"/>
  <c r="G65" i="52080"/>
  <c r="N88" i="111"/>
  <c r="E88" i="52075"/>
  <c r="G89" i="52080"/>
  <c r="N124" i="111"/>
  <c r="E124" i="52075"/>
  <c r="N138" i="111"/>
  <c r="E138" i="52075"/>
  <c r="G182" i="52080"/>
  <c r="E181" i="52075" s="1"/>
  <c r="B49" i="52075"/>
  <c r="G65" i="52095"/>
  <c r="B65" i="52075" s="1"/>
  <c r="B79" i="52075"/>
  <c r="J79" i="52095"/>
  <c r="G89" i="52095"/>
  <c r="B89" i="52075" s="1"/>
  <c r="J122" i="52095"/>
  <c r="B123" i="52075"/>
  <c r="B124" i="52075"/>
  <c r="B131" i="52075"/>
  <c r="G65" i="52094"/>
  <c r="L65" i="111" s="1"/>
  <c r="J122" i="52094"/>
  <c r="I213" i="52094"/>
  <c r="K49" i="111"/>
  <c r="G89" i="52093"/>
  <c r="D89" i="52076" s="1"/>
  <c r="K122" i="111"/>
  <c r="K124" i="111"/>
  <c r="I124" i="52076"/>
  <c r="K131" i="111"/>
  <c r="K132" i="111"/>
  <c r="I132" i="52076"/>
  <c r="J49" i="111"/>
  <c r="J79" i="111"/>
  <c r="J79" i="52092"/>
  <c r="G89" i="52092"/>
  <c r="C89" i="52077" s="1"/>
  <c r="J108" i="111"/>
  <c r="J123" i="111"/>
  <c r="J131" i="111"/>
  <c r="J179" i="111"/>
  <c r="G182" i="52092"/>
  <c r="C181" i="52077" s="1"/>
  <c r="H79" i="111"/>
  <c r="D79" i="52075"/>
  <c r="H132" i="111"/>
  <c r="D132" i="52075"/>
  <c r="H140" i="111"/>
  <c r="D140" i="52075"/>
  <c r="G182" i="52090"/>
  <c r="G65" i="52089"/>
  <c r="D65" i="52074" s="1"/>
  <c r="G89" i="52089"/>
  <c r="D89" i="52074" s="1"/>
  <c r="G108" i="111"/>
  <c r="D108" i="52074"/>
  <c r="G121" i="111"/>
  <c r="D121" i="52074"/>
  <c r="G122" i="111"/>
  <c r="G131" i="111"/>
  <c r="D131" i="52074"/>
  <c r="G182" i="52089"/>
  <c r="G182" i="111" s="1"/>
  <c r="F49" i="111"/>
  <c r="C49" i="52076"/>
  <c r="F79" i="111"/>
  <c r="C79" i="52076"/>
  <c r="J79" i="77"/>
  <c r="G89" i="77"/>
  <c r="F89" i="111" s="1"/>
  <c r="F122" i="111"/>
  <c r="C122" i="52076"/>
  <c r="F136" i="111"/>
  <c r="C136" i="52076"/>
  <c r="F173" i="111"/>
  <c r="C172" i="52076"/>
  <c r="F179" i="111"/>
  <c r="C178" i="52076"/>
  <c r="G182" i="77"/>
  <c r="F182" i="111" s="1"/>
  <c r="G89" i="12"/>
  <c r="B89" i="52076" s="1"/>
  <c r="B108" i="52076"/>
  <c r="B123" i="52076"/>
  <c r="B131" i="52076"/>
  <c r="I131" i="52097"/>
  <c r="D131" i="52098"/>
  <c r="I132" i="52097"/>
  <c r="D132" i="52098"/>
  <c r="B49" i="52074"/>
  <c r="G89" i="20"/>
  <c r="G125" i="20"/>
  <c r="D125" i="52104" s="1"/>
  <c r="B131" i="52074"/>
  <c r="B132" i="52074"/>
  <c r="B135" i="52074"/>
  <c r="B178" i="52074"/>
  <c r="G182" i="20"/>
  <c r="G65" i="115"/>
  <c r="G89" i="115"/>
  <c r="C108" i="111"/>
  <c r="C108" i="52074"/>
  <c r="C121" i="111"/>
  <c r="C121" i="52074"/>
  <c r="C123" i="111"/>
  <c r="C123" i="52074"/>
  <c r="C124" i="111"/>
  <c r="C124" i="52074"/>
  <c r="C131" i="111"/>
  <c r="C131" i="52074"/>
  <c r="C132" i="111"/>
  <c r="C132" i="52074"/>
  <c r="B49" i="111"/>
  <c r="C49" i="52075"/>
  <c r="B79" i="111"/>
  <c r="G89" i="114"/>
  <c r="B131" i="111"/>
  <c r="C131" i="52075"/>
  <c r="B132" i="111"/>
  <c r="C132" i="52075"/>
  <c r="B135" i="111"/>
  <c r="C135" i="52075"/>
  <c r="B179" i="111"/>
  <c r="C178" i="52075"/>
  <c r="J179" i="114"/>
  <c r="I64" i="52097"/>
  <c r="G65" i="52071"/>
  <c r="I67" i="52097"/>
  <c r="D67" i="52098"/>
  <c r="I68" i="52097"/>
  <c r="D68" i="52098"/>
  <c r="I79" i="52097"/>
  <c r="D79" i="52098"/>
  <c r="G89" i="52071"/>
  <c r="I96" i="52097"/>
  <c r="D96" i="52098"/>
  <c r="I105" i="52097"/>
  <c r="D105" i="52098"/>
  <c r="I106" i="52097"/>
  <c r="D106" i="52098"/>
  <c r="I108" i="52097"/>
  <c r="D108" i="52098"/>
  <c r="I109" i="52097"/>
  <c r="D109" i="52098"/>
  <c r="I110" i="52097"/>
  <c r="D110" i="52098"/>
  <c r="I111" i="52097"/>
  <c r="D111" i="52098"/>
  <c r="I112" i="52097"/>
  <c r="I179" i="52097"/>
  <c r="D178" i="52098"/>
  <c r="J49" i="52097"/>
  <c r="J49" i="52079"/>
  <c r="G64" i="52079"/>
  <c r="C64" i="52083"/>
  <c r="J68" i="52079"/>
  <c r="G89" i="52079"/>
  <c r="J106" i="52097"/>
  <c r="C106" i="52083"/>
  <c r="J108" i="52097"/>
  <c r="C108" i="52083"/>
  <c r="J110" i="52097"/>
  <c r="C110" i="52083"/>
  <c r="J112" i="52097"/>
  <c r="C112" i="52083"/>
  <c r="C121" i="52083"/>
  <c r="C122" i="52083"/>
  <c r="J140" i="52097"/>
  <c r="C140" i="52083"/>
  <c r="J179" i="52097"/>
  <c r="C178" i="52083"/>
  <c r="G182" i="52079"/>
  <c r="H49" i="52097"/>
  <c r="H68" i="52097"/>
  <c r="D68" i="52083"/>
  <c r="H79" i="52097"/>
  <c r="D79" i="52083"/>
  <c r="G89" i="52067"/>
  <c r="H89" i="52097" s="1"/>
  <c r="H96" i="52097"/>
  <c r="D96" i="52083"/>
  <c r="H109" i="52097"/>
  <c r="D109" i="52083"/>
  <c r="H110" i="52097"/>
  <c r="D110" i="52083"/>
  <c r="H111" i="52097"/>
  <c r="D111" i="52083"/>
  <c r="H131" i="52097"/>
  <c r="D131" i="52083"/>
  <c r="H179" i="52097"/>
  <c r="D178" i="52083"/>
  <c r="G182" i="52067"/>
  <c r="H182" i="52097" s="1"/>
  <c r="J79" i="101"/>
  <c r="G89" i="101"/>
  <c r="D89" i="52082" s="1"/>
  <c r="J112" i="101"/>
  <c r="J122" i="101"/>
  <c r="J179" i="101"/>
  <c r="J49" i="52088"/>
  <c r="G65" i="52088"/>
  <c r="J79" i="52088"/>
  <c r="G89" i="52088"/>
  <c r="E89" i="52082" s="1"/>
  <c r="J113" i="52088"/>
  <c r="G65" i="52087"/>
  <c r="C65" i="52082" s="1"/>
  <c r="G89" i="52087"/>
  <c r="C89" i="52082" s="1"/>
  <c r="C96" i="52097"/>
  <c r="B96" i="52083"/>
  <c r="C106" i="52097"/>
  <c r="B106" i="52083"/>
  <c r="B111" i="52083"/>
  <c r="D49" i="52097"/>
  <c r="J49" i="108"/>
  <c r="D64" i="52097"/>
  <c r="G89" i="108"/>
  <c r="E89" i="52083" s="1"/>
  <c r="D106" i="52097"/>
  <c r="E106" i="52083"/>
  <c r="E121" i="52083"/>
  <c r="D122" i="52097"/>
  <c r="E122" i="52083"/>
  <c r="D123" i="52097"/>
  <c r="D125" i="52097"/>
  <c r="E125" i="52083"/>
  <c r="C65" i="52097"/>
  <c r="C121" i="52097"/>
  <c r="J121" i="105"/>
  <c r="G123" i="105"/>
  <c r="C123" i="52097" s="1"/>
  <c r="C132" i="52097"/>
  <c r="B132" i="52083"/>
  <c r="C173" i="52097"/>
  <c r="B172" i="52083"/>
  <c r="G65" i="148"/>
  <c r="G182" i="148"/>
  <c r="B182" i="52082" s="1"/>
  <c r="B200" i="52084"/>
  <c r="J30" i="52097"/>
  <c r="J44" i="52097" s="1"/>
  <c r="D168" i="52072"/>
  <c r="D242" i="52072" s="1"/>
  <c r="D70" i="52066"/>
  <c r="D103" i="52066" s="1"/>
  <c r="D21" i="32"/>
  <c r="D51" i="32" s="1"/>
  <c r="B201" i="111"/>
  <c r="M201" i="111"/>
  <c r="C200" i="52074"/>
  <c r="D185" i="48"/>
  <c r="D116" i="48"/>
  <c r="D239" i="48" s="1"/>
  <c r="D201" i="91"/>
  <c r="D129" i="91"/>
  <c r="D240" i="91" s="1"/>
  <c r="D215" i="32"/>
  <c r="D249" i="32" s="1"/>
  <c r="D215" i="52072"/>
  <c r="D249" i="52072" s="1"/>
  <c r="D215" i="48"/>
  <c r="D249" i="48" s="1"/>
  <c r="D154" i="48"/>
  <c r="D241" i="48" s="1"/>
  <c r="D185" i="91"/>
  <c r="D201" i="108"/>
  <c r="J49" i="9"/>
  <c r="D21" i="91"/>
  <c r="D51" i="91" s="1"/>
  <c r="C38" i="52080"/>
  <c r="D168" i="52094"/>
  <c r="D242" i="52094" s="1"/>
  <c r="D185" i="52091"/>
  <c r="D21" i="52090"/>
  <c r="D51" i="52090" s="1"/>
  <c r="J180" i="9"/>
  <c r="J178" i="9"/>
  <c r="J176" i="9"/>
  <c r="J174" i="9"/>
  <c r="J172" i="9"/>
  <c r="J170" i="9"/>
  <c r="J165" i="9"/>
  <c r="J163" i="9"/>
  <c r="J161" i="9"/>
  <c r="J159" i="9"/>
  <c r="J157" i="9"/>
  <c r="J152" i="9"/>
  <c r="J149" i="9"/>
  <c r="J147" i="9"/>
  <c r="J145" i="9"/>
  <c r="J143" i="9"/>
  <c r="J141" i="9"/>
  <c r="J139" i="9"/>
  <c r="J137" i="9"/>
  <c r="J135" i="9"/>
  <c r="J133" i="9"/>
  <c r="J131" i="9"/>
  <c r="J126" i="9"/>
  <c r="J124" i="9"/>
  <c r="J122" i="9"/>
  <c r="J120" i="9"/>
  <c r="J118" i="9"/>
  <c r="J113" i="9"/>
  <c r="J111" i="9"/>
  <c r="J109" i="9"/>
  <c r="J107" i="9"/>
  <c r="J105" i="9"/>
  <c r="J100" i="9"/>
  <c r="J98" i="9"/>
  <c r="J96" i="9"/>
  <c r="J94" i="9"/>
  <c r="J92" i="9"/>
  <c r="J90" i="9"/>
  <c r="J65" i="21"/>
  <c r="D215" i="21"/>
  <c r="D249" i="21"/>
  <c r="D235" i="21"/>
  <c r="D21" i="21"/>
  <c r="D51" i="21" s="1"/>
  <c r="J8" i="9"/>
  <c r="G89" i="21"/>
  <c r="B89" i="52098" s="1"/>
  <c r="E122" i="9"/>
  <c r="E123" i="9"/>
  <c r="I123" i="9" s="1"/>
  <c r="D154" i="21"/>
  <c r="D241" i="21" s="1"/>
  <c r="D129" i="21"/>
  <c r="D240" i="21" s="1"/>
  <c r="E30" i="52083"/>
  <c r="E44" i="52083" s="1"/>
  <c r="D200" i="52084"/>
  <c r="F201" i="110"/>
  <c r="B200" i="52083"/>
  <c r="C200" i="52084"/>
  <c r="D201" i="52081"/>
  <c r="D201" i="52072"/>
  <c r="D168" i="48"/>
  <c r="D242" i="48" s="1"/>
  <c r="D154" i="91"/>
  <c r="D241" i="91" s="1"/>
  <c r="D70" i="91"/>
  <c r="D103" i="91" s="1"/>
  <c r="D70" i="52081"/>
  <c r="D103" i="52081" s="1"/>
  <c r="D21" i="52072"/>
  <c r="D51" i="52072" s="1"/>
  <c r="D154" i="52066"/>
  <c r="D241" i="52066" s="1"/>
  <c r="D201" i="32"/>
  <c r="D185" i="32"/>
  <c r="D70" i="32"/>
  <c r="D103" i="32" s="1"/>
  <c r="D201" i="52080"/>
  <c r="D70" i="52093"/>
  <c r="D103" i="52093" s="1"/>
  <c r="D116" i="52091"/>
  <c r="D239" i="52091" s="1"/>
  <c r="D70" i="52089"/>
  <c r="D103" i="52089" s="1"/>
  <c r="D21" i="115"/>
  <c r="D51" i="115" s="1"/>
  <c r="D129" i="114"/>
  <c r="D240" i="114" s="1"/>
  <c r="D215" i="52067"/>
  <c r="D249" i="52067" s="1"/>
  <c r="D185" i="52067"/>
  <c r="D129" i="52067"/>
  <c r="D240" i="52067" s="1"/>
  <c r="D116" i="108"/>
  <c r="D239" i="108" s="1"/>
  <c r="D116" i="52067"/>
  <c r="D239" i="52067" s="1"/>
  <c r="D70" i="101"/>
  <c r="D103" i="101" s="1"/>
  <c r="D215" i="52088"/>
  <c r="D249" i="52088" s="1"/>
  <c r="D185" i="52088"/>
  <c r="D129" i="52088"/>
  <c r="D240" i="52088"/>
  <c r="D21" i="52088"/>
  <c r="D51" i="52088"/>
  <c r="D185" i="108"/>
  <c r="D243" i="108"/>
  <c r="D21" i="108"/>
  <c r="D51" i="108" s="1"/>
  <c r="D201" i="105"/>
  <c r="D215" i="148"/>
  <c r="D249" i="148" s="1"/>
  <c r="D21" i="52092"/>
  <c r="D51" i="52092" s="1"/>
  <c r="D70" i="12"/>
  <c r="D103" i="12" s="1"/>
  <c r="D154" i="115"/>
  <c r="D241" i="115" s="1"/>
  <c r="D70" i="115"/>
  <c r="D103" i="115" s="1"/>
  <c r="D21" i="148"/>
  <c r="E38" i="115"/>
  <c r="D201" i="21"/>
  <c r="E83" i="105"/>
  <c r="E67" i="105"/>
  <c r="E96" i="105"/>
  <c r="E28" i="20"/>
  <c r="E76" i="20"/>
  <c r="E114" i="20"/>
  <c r="E36" i="105"/>
  <c r="E97" i="105"/>
  <c r="E85" i="20"/>
  <c r="D120" i="93"/>
  <c r="D20" i="93"/>
  <c r="B201" i="52082"/>
  <c r="D200" i="52083"/>
  <c r="G201" i="52097"/>
  <c r="C30" i="52083"/>
  <c r="C44" i="52083" s="1"/>
  <c r="I201" i="52097"/>
  <c r="G201" i="111"/>
  <c r="F30" i="52097"/>
  <c r="F44" i="52097" s="1"/>
  <c r="I30" i="52097"/>
  <c r="I44" i="52097" s="1"/>
  <c r="B201" i="52097"/>
  <c r="J201" i="111"/>
  <c r="E200" i="52075"/>
  <c r="G201" i="110"/>
  <c r="D168" i="52081"/>
  <c r="D242" i="52081" s="1"/>
  <c r="D201" i="52066"/>
  <c r="D129" i="32"/>
  <c r="D240" i="32" s="1"/>
  <c r="D185" i="52094"/>
  <c r="D129" i="52072"/>
  <c r="D240" i="52072"/>
  <c r="D201" i="48"/>
  <c r="D168" i="91"/>
  <c r="D242" i="91" s="1"/>
  <c r="D116" i="91"/>
  <c r="D239" i="91" s="1"/>
  <c r="D168" i="32"/>
  <c r="D168" i="101"/>
  <c r="D242" i="101"/>
  <c r="D201" i="52087"/>
  <c r="D185" i="52087"/>
  <c r="D168" i="52091"/>
  <c r="D242" i="52091"/>
  <c r="D168" i="52090"/>
  <c r="D242" i="52090" s="1"/>
  <c r="D70" i="52090"/>
  <c r="D103" i="52090" s="1"/>
  <c r="D168" i="52071"/>
  <c r="D242" i="52071" s="1"/>
  <c r="D116" i="52079"/>
  <c r="D239" i="52079" s="1"/>
  <c r="D70" i="52079"/>
  <c r="D103" i="52079" s="1"/>
  <c r="D168" i="52067"/>
  <c r="D242" i="52067" s="1"/>
  <c r="D154" i="101"/>
  <c r="D241" i="101" s="1"/>
  <c r="D70" i="52088"/>
  <c r="D103" i="52088" s="1"/>
  <c r="D215" i="52087"/>
  <c r="D249" i="52087" s="1"/>
  <c r="D70" i="52094"/>
  <c r="D103" i="52094" s="1"/>
  <c r="D185" i="52093"/>
  <c r="D70" i="52091"/>
  <c r="D103" i="52091" s="1"/>
  <c r="D51" i="101"/>
  <c r="D233" i="101" s="1"/>
  <c r="D168" i="108"/>
  <c r="D242" i="108" s="1"/>
  <c r="D116" i="52064"/>
  <c r="D239" i="52064" s="1"/>
  <c r="D70" i="148"/>
  <c r="D103" i="148" s="1"/>
  <c r="D238" i="148" s="1"/>
  <c r="D185" i="105"/>
  <c r="D243" i="105"/>
  <c r="D168" i="105"/>
  <c r="D242" i="105"/>
  <c r="D154" i="105"/>
  <c r="D241" i="105" s="1"/>
  <c r="D70" i="105"/>
  <c r="D103" i="105" s="1"/>
  <c r="D70" i="21"/>
  <c r="D103" i="21" s="1"/>
  <c r="F201" i="111"/>
  <c r="K201" i="111"/>
  <c r="C201" i="110"/>
  <c r="B201" i="110"/>
  <c r="E201" i="52097"/>
  <c r="H201" i="52097"/>
  <c r="G30" i="52097"/>
  <c r="G44" i="52097" s="1"/>
  <c r="C200" i="52075"/>
  <c r="H30" i="52097"/>
  <c r="H44" i="52097" s="1"/>
  <c r="C201" i="52097"/>
  <c r="L42" i="233"/>
  <c r="L37" i="233"/>
  <c r="L35" i="233"/>
  <c r="L46" i="233"/>
  <c r="J8" i="52087"/>
  <c r="J121" i="52079"/>
  <c r="J64" i="52079"/>
  <c r="J121" i="52089"/>
  <c r="J121" i="52093"/>
  <c r="J8" i="105"/>
  <c r="J121" i="12"/>
  <c r="D30" i="52097"/>
  <c r="D44" i="52097" s="1"/>
  <c r="E147" i="20"/>
  <c r="E113" i="20"/>
  <c r="E180" i="20"/>
  <c r="E138" i="105"/>
  <c r="E134" i="20"/>
  <c r="E142" i="105"/>
  <c r="E141" i="105"/>
  <c r="E165" i="20"/>
  <c r="E119" i="20"/>
  <c r="E171" i="20"/>
  <c r="E120" i="105"/>
  <c r="E141" i="20"/>
  <c r="E165" i="105"/>
  <c r="E152" i="20"/>
  <c r="E149" i="20"/>
  <c r="E152" i="105"/>
  <c r="E145" i="20"/>
  <c r="E122" i="20"/>
  <c r="I122" i="20" s="1"/>
  <c r="E131" i="105"/>
  <c r="E150" i="20"/>
  <c r="E99" i="20"/>
  <c r="E132" i="105"/>
  <c r="E30" i="52082"/>
  <c r="E44" i="52082" s="1"/>
  <c r="B30" i="52097"/>
  <c r="B44" i="52097" s="1"/>
  <c r="E200" i="52083"/>
  <c r="D201" i="52097"/>
  <c r="H200" i="52077"/>
  <c r="H200" i="52084"/>
  <c r="H200" i="52074"/>
  <c r="H200" i="52076"/>
  <c r="I231" i="52077"/>
  <c r="J231" i="52077"/>
  <c r="H253" i="52077"/>
  <c r="L253" i="52077" s="1"/>
  <c r="J181" i="52077"/>
  <c r="H254" i="52076"/>
  <c r="M116" i="52082"/>
  <c r="M239" i="52082" s="1"/>
  <c r="K233" i="52082"/>
  <c r="B105" i="52098"/>
  <c r="J65" i="52095"/>
  <c r="G65" i="21"/>
  <c r="B65" i="52098" s="1"/>
  <c r="J121" i="148"/>
  <c r="J79" i="148"/>
  <c r="J179" i="105"/>
  <c r="J79" i="105"/>
  <c r="J123" i="108"/>
  <c r="J122" i="108"/>
  <c r="J121" i="108"/>
  <c r="J113" i="108"/>
  <c r="J110" i="108"/>
  <c r="J79" i="108"/>
  <c r="J179" i="52087"/>
  <c r="J79" i="52087"/>
  <c r="J64" i="52087"/>
  <c r="J179" i="52067"/>
  <c r="J121" i="52067"/>
  <c r="J79" i="52067"/>
  <c r="J112" i="52087"/>
  <c r="J65" i="52079"/>
  <c r="J79" i="52071"/>
  <c r="J122" i="114"/>
  <c r="J121" i="114"/>
  <c r="J79" i="114"/>
  <c r="J179" i="115"/>
  <c r="J179" i="20"/>
  <c r="J79" i="12"/>
  <c r="J122" i="52093"/>
  <c r="J123" i="21"/>
  <c r="J89" i="52093"/>
  <c r="J179" i="52081"/>
  <c r="J79" i="52081"/>
  <c r="B79" i="9"/>
  <c r="G79" i="9" s="1"/>
  <c r="G84" i="93"/>
  <c r="G85" i="93"/>
  <c r="I123" i="52097"/>
  <c r="D123" i="52098"/>
  <c r="J65" i="105"/>
  <c r="D201" i="52095"/>
  <c r="D185" i="52095"/>
  <c r="D154" i="52095"/>
  <c r="D241" i="52095" s="1"/>
  <c r="D116" i="52095"/>
  <c r="D239" i="52095" s="1"/>
  <c r="D185" i="52092"/>
  <c r="D168" i="52092"/>
  <c r="D242" i="52092" s="1"/>
  <c r="D129" i="52092"/>
  <c r="D240" i="52092" s="1"/>
  <c r="D201" i="52091"/>
  <c r="D243" i="52091" s="1"/>
  <c r="D129" i="52090"/>
  <c r="D240" i="52090" s="1"/>
  <c r="D201" i="52089"/>
  <c r="D185" i="52089"/>
  <c r="D243" i="52089" s="1"/>
  <c r="D154" i="77"/>
  <c r="D241" i="77" s="1"/>
  <c r="D129" i="77"/>
  <c r="D240" i="77" s="1"/>
  <c r="D201" i="12"/>
  <c r="D185" i="12"/>
  <c r="D154" i="12"/>
  <c r="D241" i="12" s="1"/>
  <c r="D116" i="12"/>
  <c r="D239" i="12" s="1"/>
  <c r="D201" i="114"/>
  <c r="D201" i="52071"/>
  <c r="D185" i="52071"/>
  <c r="D154" i="52071"/>
  <c r="D241" i="52071" s="1"/>
  <c r="D129" i="52071"/>
  <c r="D240" i="52071" s="1"/>
  <c r="D70" i="52067"/>
  <c r="D103" i="52067" s="1"/>
  <c r="D215" i="101"/>
  <c r="D249" i="101" s="1"/>
  <c r="D129" i="101"/>
  <c r="D240" i="101" s="1"/>
  <c r="D70" i="108"/>
  <c r="D103" i="108" s="1"/>
  <c r="D201" i="148"/>
  <c r="J87" i="9"/>
  <c r="J83" i="9"/>
  <c r="J79" i="9"/>
  <c r="J75" i="9"/>
  <c r="J68" i="9"/>
  <c r="D235" i="52072"/>
  <c r="D235" i="48"/>
  <c r="D235" i="32"/>
  <c r="D235" i="52095"/>
  <c r="D235" i="52093"/>
  <c r="D235" i="52091"/>
  <c r="D235" i="77"/>
  <c r="D235" i="20"/>
  <c r="D235" i="114"/>
  <c r="D235" i="52079"/>
  <c r="D235" i="101"/>
  <c r="D235" i="52087"/>
  <c r="D235" i="105"/>
  <c r="G9" i="110"/>
  <c r="F235" i="91"/>
  <c r="F235" i="52092"/>
  <c r="G20" i="93"/>
  <c r="G92" i="93" s="1"/>
  <c r="D235" i="52089"/>
  <c r="F235" i="52089"/>
  <c r="D122" i="52098"/>
  <c r="G121" i="52083"/>
  <c r="D70" i="52095"/>
  <c r="D103" i="52095" s="1"/>
  <c r="D116" i="52094"/>
  <c r="D239" i="52094" s="1"/>
  <c r="D201" i="52093"/>
  <c r="D154" i="52091"/>
  <c r="D241" i="52091" s="1"/>
  <c r="D215" i="52089"/>
  <c r="D249" i="52089" s="1"/>
  <c r="D201" i="77"/>
  <c r="D185" i="77"/>
  <c r="D70" i="77"/>
  <c r="D103" i="77" s="1"/>
  <c r="D185" i="114"/>
  <c r="D243" i="114" s="1"/>
  <c r="D116" i="52071"/>
  <c r="D239" i="52071" s="1"/>
  <c r="D70" i="52071"/>
  <c r="D103" i="52071" s="1"/>
  <c r="D129" i="52079"/>
  <c r="D240" i="52079" s="1"/>
  <c r="L206" i="52083"/>
  <c r="F89" i="52098"/>
  <c r="J89" i="52098" s="1"/>
  <c r="J85" i="9"/>
  <c r="J66" i="9"/>
  <c r="D235" i="52081"/>
  <c r="D235" i="52066"/>
  <c r="D235" i="52080"/>
  <c r="D235" i="52094"/>
  <c r="D235" i="52090"/>
  <c r="D235" i="12"/>
  <c r="D235" i="115"/>
  <c r="D235" i="52071"/>
  <c r="D235" i="52067"/>
  <c r="D235" i="52088"/>
  <c r="D235" i="108"/>
  <c r="D235" i="148"/>
  <c r="L233" i="52082"/>
  <c r="B132" i="52098"/>
  <c r="D9" i="52084"/>
  <c r="J66" i="21"/>
  <c r="B123" i="52098"/>
  <c r="J122" i="52071"/>
  <c r="G79" i="52098"/>
  <c r="B79" i="52098"/>
  <c r="I232" i="52076"/>
  <c r="J232" i="52076"/>
  <c r="K232" i="52083"/>
  <c r="J89" i="52077"/>
  <c r="J65" i="52077"/>
  <c r="I254" i="52083"/>
  <c r="F212" i="52083"/>
  <c r="F212" i="52075"/>
  <c r="E212" i="52074"/>
  <c r="E38" i="52095"/>
  <c r="E38" i="52064"/>
  <c r="F57" i="52075"/>
  <c r="H89" i="9"/>
  <c r="R26" i="111"/>
  <c r="Q26" i="111" s="1"/>
  <c r="R37" i="111"/>
  <c r="D37" i="233" s="1"/>
  <c r="R39" i="111"/>
  <c r="R157" i="111"/>
  <c r="D157" i="233" s="1"/>
  <c r="R159" i="111"/>
  <c r="Q159" i="111" s="1"/>
  <c r="R187" i="111"/>
  <c r="D187" i="233" s="1"/>
  <c r="R189" i="111"/>
  <c r="R191" i="111"/>
  <c r="Q191" i="111" s="1"/>
  <c r="R193" i="111"/>
  <c r="Q193" i="111" s="1"/>
  <c r="R195" i="111"/>
  <c r="D195" i="233" s="1"/>
  <c r="R197" i="111"/>
  <c r="Q197" i="111" s="1"/>
  <c r="R199" i="111"/>
  <c r="D199" i="233" s="1"/>
  <c r="H65" i="9"/>
  <c r="G21" i="52075"/>
  <c r="H227" i="52075"/>
  <c r="H254" i="52098"/>
  <c r="J30" i="52082"/>
  <c r="J44" i="52082" s="1"/>
  <c r="Q253" i="52097"/>
  <c r="O57" i="111"/>
  <c r="E38" i="52094"/>
  <c r="O213" i="111"/>
  <c r="D213" i="9"/>
  <c r="E38" i="21"/>
  <c r="E38" i="48"/>
  <c r="E57" i="52098"/>
  <c r="E38" i="114"/>
  <c r="C96" i="52082"/>
  <c r="E96" i="52097"/>
  <c r="B66" i="9"/>
  <c r="B66" i="52098"/>
  <c r="B123" i="9"/>
  <c r="G123" i="52098"/>
  <c r="C77" i="9"/>
  <c r="I122" i="52097"/>
  <c r="B132" i="52082"/>
  <c r="B132" i="52097"/>
  <c r="B123" i="52082"/>
  <c r="B123" i="52097"/>
  <c r="B121" i="52082"/>
  <c r="B121" i="52097"/>
  <c r="B105" i="52082"/>
  <c r="B105" i="52097"/>
  <c r="C162" i="52097"/>
  <c r="B161" i="52083"/>
  <c r="D131" i="52097"/>
  <c r="E131" i="52083"/>
  <c r="D112" i="52097"/>
  <c r="E112" i="52083"/>
  <c r="D110" i="52097"/>
  <c r="E110" i="52083"/>
  <c r="C67" i="52082"/>
  <c r="E67" i="52097"/>
  <c r="E179" i="52082"/>
  <c r="F179" i="52097"/>
  <c r="J179" i="52088"/>
  <c r="E173" i="52082"/>
  <c r="F173" i="52097"/>
  <c r="D124" i="52082"/>
  <c r="G124" i="52097"/>
  <c r="D96" i="52082"/>
  <c r="G96" i="52097"/>
  <c r="D64" i="52082"/>
  <c r="G64" i="52097"/>
  <c r="J64" i="101"/>
  <c r="J132" i="52097"/>
  <c r="C132" i="52083"/>
  <c r="J113" i="52097"/>
  <c r="C113" i="52083"/>
  <c r="J113" i="52079"/>
  <c r="C79" i="111"/>
  <c r="C79" i="52074"/>
  <c r="J79" i="115"/>
  <c r="D123" i="111"/>
  <c r="H123" i="52074"/>
  <c r="B123" i="52074"/>
  <c r="D121" i="111"/>
  <c r="B121" i="52074"/>
  <c r="D79" i="111"/>
  <c r="B79" i="52074"/>
  <c r="J79" i="20"/>
  <c r="G132" i="111"/>
  <c r="D132" i="52074"/>
  <c r="G123" i="111"/>
  <c r="D123" i="52074"/>
  <c r="H124" i="111"/>
  <c r="D124" i="52075"/>
  <c r="H108" i="111"/>
  <c r="D108" i="52075"/>
  <c r="B14" i="9"/>
  <c r="B14" i="52098"/>
  <c r="D96" i="52097"/>
  <c r="E96" i="52083"/>
  <c r="D67" i="52097"/>
  <c r="E67" i="52083"/>
  <c r="C179" i="52082"/>
  <c r="E179" i="52097"/>
  <c r="C109" i="52097"/>
  <c r="B109" i="52083"/>
  <c r="C97" i="52097"/>
  <c r="B97" i="52083"/>
  <c r="C11" i="52082"/>
  <c r="E11" i="52097"/>
  <c r="C8" i="52082"/>
  <c r="E8" i="52097"/>
  <c r="E132" i="52082"/>
  <c r="F132" i="52097"/>
  <c r="E124" i="52082"/>
  <c r="F124" i="52097"/>
  <c r="E68" i="52082"/>
  <c r="F68" i="52097"/>
  <c r="H132" i="52097"/>
  <c r="D132" i="52083"/>
  <c r="H123" i="52097"/>
  <c r="D123" i="52083"/>
  <c r="H121" i="52097"/>
  <c r="D121" i="52083"/>
  <c r="C111" i="52082"/>
  <c r="E111" i="52097"/>
  <c r="C109" i="52082"/>
  <c r="E109" i="52097"/>
  <c r="J131" i="52097"/>
  <c r="C131" i="52083"/>
  <c r="J123" i="52097"/>
  <c r="C123" i="52083"/>
  <c r="J109" i="52097"/>
  <c r="C109" i="52083"/>
  <c r="J65" i="52097"/>
  <c r="C65" i="52083"/>
  <c r="B124" i="111"/>
  <c r="C124" i="52075"/>
  <c r="B122" i="111"/>
  <c r="C122" i="52075"/>
  <c r="C122" i="111"/>
  <c r="C122" i="52074"/>
  <c r="J122" i="115"/>
  <c r="E132" i="111"/>
  <c r="B132" i="52076"/>
  <c r="E49" i="111"/>
  <c r="H49" i="52076"/>
  <c r="B49" i="52076"/>
  <c r="F131" i="111"/>
  <c r="C131" i="52076"/>
  <c r="F123" i="111"/>
  <c r="C123" i="52076"/>
  <c r="G49" i="111"/>
  <c r="D49" i="52074"/>
  <c r="H121" i="111"/>
  <c r="D121" i="52075"/>
  <c r="J121" i="52090"/>
  <c r="H49" i="111"/>
  <c r="D49" i="52075"/>
  <c r="B101" i="52082"/>
  <c r="B101" i="52097"/>
  <c r="B88" i="52082"/>
  <c r="B88" i="52097"/>
  <c r="B79" i="52082"/>
  <c r="B79" i="52097"/>
  <c r="C179" i="52097"/>
  <c r="B178" i="52083"/>
  <c r="I178" i="52083" s="1"/>
  <c r="C164" i="52097"/>
  <c r="B163" i="52083"/>
  <c r="C131" i="52097"/>
  <c r="B131" i="52083"/>
  <c r="C122" i="52097"/>
  <c r="B122" i="52083"/>
  <c r="C112" i="52097"/>
  <c r="B112" i="52083"/>
  <c r="C79" i="52097"/>
  <c r="B79" i="52083"/>
  <c r="C49" i="52097"/>
  <c r="B49" i="52083"/>
  <c r="D179" i="52097"/>
  <c r="E178" i="52083"/>
  <c r="D173" i="52097"/>
  <c r="E172" i="52083"/>
  <c r="D132" i="52097"/>
  <c r="E132" i="52083"/>
  <c r="D113" i="52097"/>
  <c r="E113" i="52083"/>
  <c r="D111" i="52097"/>
  <c r="E111" i="52083"/>
  <c r="D109" i="52097"/>
  <c r="E109" i="52083"/>
  <c r="D108" i="52097"/>
  <c r="E108" i="52083"/>
  <c r="D79" i="52097"/>
  <c r="E79" i="52083"/>
  <c r="C135" i="52082"/>
  <c r="E135" i="52097"/>
  <c r="C110" i="52097"/>
  <c r="B110" i="52083"/>
  <c r="H110" i="52083" s="1"/>
  <c r="C108" i="52097"/>
  <c r="B108" i="52083"/>
  <c r="C105" i="52097"/>
  <c r="B105" i="52083"/>
  <c r="C49" i="52082"/>
  <c r="E49" i="52097"/>
  <c r="E133" i="52082"/>
  <c r="F133" i="52097"/>
  <c r="E131" i="52082"/>
  <c r="F131" i="52097"/>
  <c r="E105" i="52082"/>
  <c r="F105" i="52097"/>
  <c r="D106" i="52082"/>
  <c r="G106" i="52097"/>
  <c r="D97" i="52082"/>
  <c r="G97" i="52097"/>
  <c r="H124" i="52097"/>
  <c r="D124" i="52083"/>
  <c r="H105" i="52097"/>
  <c r="D105" i="52083"/>
  <c r="C106" i="52082"/>
  <c r="E106" i="52097"/>
  <c r="J124" i="52097"/>
  <c r="C124" i="52083"/>
  <c r="J111" i="52097"/>
  <c r="C111" i="52083"/>
  <c r="J105" i="52097"/>
  <c r="C105" i="52083"/>
  <c r="J96" i="52097"/>
  <c r="C96" i="52083"/>
  <c r="J68" i="52097"/>
  <c r="C68" i="52083"/>
  <c r="I97" i="52097"/>
  <c r="D97" i="52098"/>
  <c r="B121" i="111"/>
  <c r="C121" i="52075"/>
  <c r="B108" i="111"/>
  <c r="C108" i="52075"/>
  <c r="C179" i="111"/>
  <c r="C178" i="52074"/>
  <c r="C98" i="111"/>
  <c r="C98" i="52074"/>
  <c r="C49" i="111"/>
  <c r="C49" i="52074"/>
  <c r="D124" i="111"/>
  <c r="B124" i="52074"/>
  <c r="D108" i="111"/>
  <c r="H108" i="52074"/>
  <c r="B108" i="52074"/>
  <c r="E79" i="111"/>
  <c r="H79" i="52076"/>
  <c r="B79" i="52076"/>
  <c r="F124" i="111"/>
  <c r="C124" i="52076"/>
  <c r="F108" i="111"/>
  <c r="C108" i="52076"/>
  <c r="G179" i="111"/>
  <c r="D178" i="52074"/>
  <c r="H179" i="111"/>
  <c r="D178" i="52075"/>
  <c r="H131" i="111"/>
  <c r="D131" i="52075"/>
  <c r="H123" i="111"/>
  <c r="D123" i="52075"/>
  <c r="J124" i="111"/>
  <c r="K123" i="111"/>
  <c r="K121" i="111"/>
  <c r="K79" i="111"/>
  <c r="J79" i="52093"/>
  <c r="L124" i="111"/>
  <c r="N140" i="111"/>
  <c r="E140" i="52075"/>
  <c r="N134" i="111"/>
  <c r="E134" i="52075"/>
  <c r="N122" i="111"/>
  <c r="E122" i="52075"/>
  <c r="B179" i="110"/>
  <c r="B140" i="110"/>
  <c r="F179" i="110"/>
  <c r="H178" i="52084"/>
  <c r="B178" i="52084"/>
  <c r="F132" i="110"/>
  <c r="H132" i="52084"/>
  <c r="B132" i="52084"/>
  <c r="F124" i="110"/>
  <c r="B124" i="52084"/>
  <c r="F49" i="110"/>
  <c r="H49" i="52084"/>
  <c r="B49" i="52084"/>
  <c r="E131" i="110"/>
  <c r="C131" i="52084"/>
  <c r="E123" i="110"/>
  <c r="C123" i="52084"/>
  <c r="E79" i="110"/>
  <c r="C79" i="52084"/>
  <c r="D179" i="110"/>
  <c r="D132" i="110"/>
  <c r="D122" i="110"/>
  <c r="J122" i="52072"/>
  <c r="G140" i="110"/>
  <c r="D140" i="52084"/>
  <c r="G126" i="110"/>
  <c r="D126" i="52084"/>
  <c r="G122" i="110"/>
  <c r="D122" i="52084"/>
  <c r="C121" i="9"/>
  <c r="C121" i="52098"/>
  <c r="K179" i="111"/>
  <c r="K173" i="111"/>
  <c r="I172" i="52076"/>
  <c r="K108" i="111"/>
  <c r="K106" i="111"/>
  <c r="L131" i="111"/>
  <c r="L79" i="111"/>
  <c r="J79" i="52094"/>
  <c r="M179" i="111"/>
  <c r="B178" i="52075"/>
  <c r="M122" i="111"/>
  <c r="B122" i="52075"/>
  <c r="M108" i="111"/>
  <c r="I108" i="52075"/>
  <c r="B108" i="52075"/>
  <c r="N131" i="111"/>
  <c r="E131" i="52075"/>
  <c r="N108" i="111"/>
  <c r="E108" i="52075"/>
  <c r="N49" i="111"/>
  <c r="E49" i="52075"/>
  <c r="C124" i="110"/>
  <c r="F140" i="110"/>
  <c r="B140" i="52084"/>
  <c r="F123" i="110"/>
  <c r="B123" i="52084"/>
  <c r="E132" i="110"/>
  <c r="C132" i="52084"/>
  <c r="D131" i="110"/>
  <c r="D121" i="110"/>
  <c r="J121" i="52072"/>
  <c r="D79" i="110"/>
  <c r="J79" i="52072"/>
  <c r="G179" i="110"/>
  <c r="D178" i="52084"/>
  <c r="G132" i="110"/>
  <c r="D132" i="52084"/>
  <c r="G124" i="110"/>
  <c r="D124" i="52084"/>
  <c r="G64" i="110"/>
  <c r="D64" i="52084"/>
  <c r="C123" i="9"/>
  <c r="C123" i="52098"/>
  <c r="H123" i="52098" s="1"/>
  <c r="C109" i="9"/>
  <c r="C109" i="52098"/>
  <c r="C64" i="9"/>
  <c r="C64" i="52098"/>
  <c r="B135" i="52082"/>
  <c r="B135" i="52097"/>
  <c r="B112" i="52082"/>
  <c r="B112" i="52097"/>
  <c r="B111" i="52082"/>
  <c r="B111" i="52097"/>
  <c r="B110" i="52082"/>
  <c r="B110" i="52097"/>
  <c r="B109" i="52082"/>
  <c r="B109" i="52097"/>
  <c r="B106" i="52082"/>
  <c r="B106" i="52097"/>
  <c r="B97" i="52082"/>
  <c r="B97" i="52097"/>
  <c r="B49" i="52082"/>
  <c r="B49" i="52097"/>
  <c r="C8" i="52097"/>
  <c r="B8" i="52083"/>
  <c r="C132" i="52082"/>
  <c r="E132" i="52097"/>
  <c r="C123" i="52082"/>
  <c r="C122" i="52082"/>
  <c r="E122" i="52097"/>
  <c r="C79" i="52082"/>
  <c r="E79" i="52097"/>
  <c r="C64" i="52082"/>
  <c r="E64" i="52097"/>
  <c r="E113" i="52082"/>
  <c r="F113" i="52097"/>
  <c r="E112" i="52082"/>
  <c r="F112" i="52097"/>
  <c r="E111" i="52082"/>
  <c r="F111" i="52097"/>
  <c r="E110" i="52082"/>
  <c r="F110" i="52097"/>
  <c r="E109" i="52082"/>
  <c r="F109" i="52097"/>
  <c r="E108" i="52082"/>
  <c r="F108" i="52097"/>
  <c r="E106" i="52082"/>
  <c r="F106" i="52097"/>
  <c r="E96" i="52082"/>
  <c r="F96" i="52097"/>
  <c r="E79" i="52082"/>
  <c r="F79" i="52097"/>
  <c r="E67" i="52082"/>
  <c r="F67" i="52097"/>
  <c r="E66" i="52082"/>
  <c r="F66" i="52097"/>
  <c r="E64" i="52082"/>
  <c r="F64" i="52097"/>
  <c r="E49" i="52082"/>
  <c r="F49" i="52097"/>
  <c r="D179" i="52082"/>
  <c r="G179" i="52097"/>
  <c r="D132" i="52082"/>
  <c r="G132" i="52097"/>
  <c r="D126" i="52082"/>
  <c r="G126" i="52097"/>
  <c r="D123" i="52082"/>
  <c r="G123" i="52097"/>
  <c r="D122" i="52082"/>
  <c r="G122" i="52097"/>
  <c r="D112" i="52082"/>
  <c r="G112" i="52097"/>
  <c r="D110" i="52082"/>
  <c r="G110" i="52097"/>
  <c r="D109" i="52082"/>
  <c r="G109" i="52097"/>
  <c r="D108" i="52082"/>
  <c r="G108" i="52097"/>
  <c r="D79" i="52082"/>
  <c r="G79" i="52097"/>
  <c r="D67" i="52082"/>
  <c r="G67" i="52097"/>
  <c r="D49" i="52082"/>
  <c r="G49" i="52097"/>
  <c r="C112" i="52082"/>
  <c r="E112" i="52097"/>
  <c r="C110" i="52082"/>
  <c r="E110" i="52097"/>
  <c r="C105" i="52082"/>
  <c r="E105" i="52097"/>
  <c r="D179" i="111"/>
  <c r="H178" i="52074"/>
  <c r="D135" i="111"/>
  <c r="D132" i="111"/>
  <c r="H132" i="52074"/>
  <c r="D131" i="111"/>
  <c r="H131" i="52074"/>
  <c r="D49" i="111"/>
  <c r="H49" i="52074"/>
  <c r="E131" i="111"/>
  <c r="H131" i="52076"/>
  <c r="E123" i="111"/>
  <c r="H123" i="52076"/>
  <c r="E121" i="111"/>
  <c r="E108" i="111"/>
  <c r="H108" i="52076"/>
  <c r="L179" i="111"/>
  <c r="L132" i="111"/>
  <c r="L123" i="111"/>
  <c r="L122" i="111"/>
  <c r="L121" i="111"/>
  <c r="L108" i="111"/>
  <c r="L96" i="111"/>
  <c r="M131" i="111"/>
  <c r="I131" i="52075"/>
  <c r="M124" i="111"/>
  <c r="I124" i="52075"/>
  <c r="M123" i="111"/>
  <c r="M121" i="111"/>
  <c r="M79" i="111"/>
  <c r="M49" i="111"/>
  <c r="I49" i="52075"/>
  <c r="F122" i="110"/>
  <c r="F79" i="110"/>
  <c r="H79" i="52084"/>
  <c r="F122" i="52098"/>
  <c r="J125" i="20"/>
  <c r="G81" i="93"/>
  <c r="F79" i="52076"/>
  <c r="D11" i="110"/>
  <c r="D14" i="110"/>
  <c r="C11" i="110"/>
  <c r="L14" i="111"/>
  <c r="B10" i="110"/>
  <c r="D13" i="110"/>
  <c r="C9" i="110"/>
  <c r="J14" i="111"/>
  <c r="D9" i="110"/>
  <c r="D10" i="110"/>
  <c r="G9" i="111"/>
  <c r="J123" i="148"/>
  <c r="B15" i="111"/>
  <c r="F89" i="52084"/>
  <c r="J89" i="48"/>
  <c r="J182" i="20"/>
  <c r="F122" i="52074"/>
  <c r="G8" i="52083"/>
  <c r="F8" i="52098"/>
  <c r="J123" i="32"/>
  <c r="C10" i="110"/>
  <c r="D13" i="52084"/>
  <c r="D15" i="110"/>
  <c r="C14" i="110"/>
  <c r="B9" i="110"/>
  <c r="D16" i="110"/>
  <c r="C12" i="110"/>
  <c r="J8" i="91"/>
  <c r="D12" i="110"/>
  <c r="C13" i="110"/>
  <c r="B13" i="110"/>
  <c r="F8" i="52076"/>
  <c r="J16" i="111"/>
  <c r="B14" i="52083"/>
  <c r="F89" i="52074"/>
  <c r="J89" i="52074" s="1"/>
  <c r="J89" i="20"/>
  <c r="F121" i="52074"/>
  <c r="F8" i="52074"/>
  <c r="F8" i="52084"/>
  <c r="F181" i="52084"/>
  <c r="J181" i="52084" s="1"/>
  <c r="F89" i="52076"/>
  <c r="J65" i="148"/>
  <c r="I24" i="52083"/>
  <c r="I26" i="52083"/>
  <c r="I28" i="52083"/>
  <c r="I35" i="52083"/>
  <c r="I37" i="52083"/>
  <c r="I39" i="52083"/>
  <c r="I41" i="52083"/>
  <c r="I56" i="52083"/>
  <c r="I156" i="52083"/>
  <c r="I158" i="52083"/>
  <c r="I186" i="52083"/>
  <c r="I188" i="52083"/>
  <c r="I190" i="52083"/>
  <c r="I192" i="52083"/>
  <c r="I194" i="52083"/>
  <c r="I196" i="52083"/>
  <c r="I198" i="52083"/>
  <c r="H23" i="52083"/>
  <c r="H25" i="52083"/>
  <c r="H27" i="52083"/>
  <c r="H29" i="52083"/>
  <c r="H36" i="52083"/>
  <c r="H38" i="52083"/>
  <c r="H40" i="52083"/>
  <c r="H42" i="52083"/>
  <c r="H57" i="52083"/>
  <c r="H157" i="52083"/>
  <c r="H159" i="52083"/>
  <c r="H187" i="52083"/>
  <c r="H189" i="52083"/>
  <c r="H191" i="52083"/>
  <c r="H193" i="52083"/>
  <c r="H195" i="52083"/>
  <c r="H197" i="52083"/>
  <c r="G23" i="9"/>
  <c r="C201" i="9"/>
  <c r="B8" i="9"/>
  <c r="B8" i="52098"/>
  <c r="J8" i="21"/>
  <c r="D8" i="52082"/>
  <c r="G8" i="52097"/>
  <c r="J8" i="101"/>
  <c r="C16" i="52075"/>
  <c r="C15" i="52074"/>
  <c r="E15" i="111"/>
  <c r="B15" i="52076"/>
  <c r="C14" i="52082"/>
  <c r="E14" i="52097"/>
  <c r="D8" i="52097"/>
  <c r="E8" i="52083"/>
  <c r="J8" i="108"/>
  <c r="H8" i="52097"/>
  <c r="D8" i="52083"/>
  <c r="J8" i="52067"/>
  <c r="E8" i="111"/>
  <c r="H8" i="52076"/>
  <c r="B8" i="52076"/>
  <c r="J8" i="12"/>
  <c r="E8" i="52075"/>
  <c r="J8" i="52080"/>
  <c r="J8" i="52094"/>
  <c r="B15" i="52075"/>
  <c r="F15" i="111"/>
  <c r="C8" i="110"/>
  <c r="G11" i="110"/>
  <c r="K8" i="111"/>
  <c r="J8" i="52093"/>
  <c r="L15" i="111"/>
  <c r="G12" i="110"/>
  <c r="D12" i="52084"/>
  <c r="B8" i="52082"/>
  <c r="B8" i="52097"/>
  <c r="J8" i="148"/>
  <c r="D14" i="52082"/>
  <c r="G14" i="52097"/>
  <c r="H14" i="52097"/>
  <c r="D14" i="52083"/>
  <c r="D15" i="52082"/>
  <c r="G15" i="52097"/>
  <c r="J8" i="52097"/>
  <c r="J15" i="52097"/>
  <c r="C15" i="52083"/>
  <c r="B8" i="111"/>
  <c r="C8" i="52075"/>
  <c r="J8" i="114"/>
  <c r="E8" i="52082"/>
  <c r="F8" i="52097"/>
  <c r="J8" i="52088"/>
  <c r="D14" i="52098"/>
  <c r="C13" i="111"/>
  <c r="C13" i="52074"/>
  <c r="C15" i="52075"/>
  <c r="H15" i="111"/>
  <c r="D15" i="52075"/>
  <c r="D14" i="111"/>
  <c r="B14" i="52074"/>
  <c r="F14" i="111"/>
  <c r="C14" i="52076"/>
  <c r="D9" i="52074"/>
  <c r="H15" i="52097"/>
  <c r="D15" i="52083"/>
  <c r="I8" i="52075"/>
  <c r="I21" i="52075" s="1"/>
  <c r="G18" i="110"/>
  <c r="D18" i="52084"/>
  <c r="G17" i="110"/>
  <c r="D17" i="52084"/>
  <c r="F8" i="110"/>
  <c r="B8" i="52084"/>
  <c r="J8" i="48"/>
  <c r="G19" i="110"/>
  <c r="D19" i="52084"/>
  <c r="D8" i="111"/>
  <c r="H8" i="52074"/>
  <c r="B8" i="52074"/>
  <c r="J8" i="20"/>
  <c r="C8" i="9"/>
  <c r="D15" i="52097"/>
  <c r="E15" i="52083"/>
  <c r="B106" i="9"/>
  <c r="B106" i="52098"/>
  <c r="H106" i="52098" s="1"/>
  <c r="G106" i="52098"/>
  <c r="B179" i="9"/>
  <c r="B178" i="52098"/>
  <c r="B122" i="52098"/>
  <c r="B133" i="9"/>
  <c r="B133" i="52098"/>
  <c r="C11" i="111"/>
  <c r="C14" i="52097"/>
  <c r="H8" i="111"/>
  <c r="D8" i="52075"/>
  <c r="J8" i="52090"/>
  <c r="I8" i="52097"/>
  <c r="D8" i="52098"/>
  <c r="J8" i="52071"/>
  <c r="E11" i="52082"/>
  <c r="F11" i="52097"/>
  <c r="D15" i="111"/>
  <c r="H15" i="52074"/>
  <c r="B15" i="52074"/>
  <c r="E15" i="52082"/>
  <c r="E13" i="52075"/>
  <c r="G10" i="110"/>
  <c r="D10" i="52084"/>
  <c r="F15" i="110"/>
  <c r="G8" i="111"/>
  <c r="D8" i="52074"/>
  <c r="J8" i="52089"/>
  <c r="N15" i="111"/>
  <c r="G13" i="111"/>
  <c r="G8" i="110"/>
  <c r="J8" i="52081"/>
  <c r="G13" i="110"/>
  <c r="F18" i="110"/>
  <c r="B18" i="52084"/>
  <c r="E8" i="110"/>
  <c r="C8" i="52084"/>
  <c r="J8" i="52066"/>
  <c r="D15" i="52084"/>
  <c r="B15" i="52082"/>
  <c r="B15" i="52097"/>
  <c r="H11" i="52097"/>
  <c r="D11" i="52097"/>
  <c r="E11" i="52083"/>
  <c r="G10" i="111"/>
  <c r="D10" i="52074"/>
  <c r="G12" i="111"/>
  <c r="D12" i="52074"/>
  <c r="C15" i="52098"/>
  <c r="I15" i="52097"/>
  <c r="D15" i="52098"/>
  <c r="J8" i="52092"/>
  <c r="F14" i="110"/>
  <c r="B14" i="52084"/>
  <c r="C8" i="111"/>
  <c r="C8" i="52074"/>
  <c r="J8" i="115"/>
  <c r="C8" i="52076"/>
  <c r="F16" i="110"/>
  <c r="B16" i="52084"/>
  <c r="F12" i="110"/>
  <c r="B12" i="52084"/>
  <c r="L11" i="111"/>
  <c r="G11" i="111"/>
  <c r="D11" i="52074"/>
  <c r="F13" i="110"/>
  <c r="B13" i="52084"/>
  <c r="K15" i="111"/>
  <c r="I15" i="52076"/>
  <c r="F17" i="110"/>
  <c r="B17" i="52084"/>
  <c r="E15" i="110"/>
  <c r="C15" i="52084"/>
  <c r="D8" i="110"/>
  <c r="J8" i="52072"/>
  <c r="G14" i="110"/>
  <c r="D14" i="52084"/>
  <c r="G16" i="110"/>
  <c r="D16" i="52084"/>
  <c r="E14" i="52082"/>
  <c r="F14" i="52097"/>
  <c r="C14" i="52098"/>
  <c r="C14" i="9"/>
  <c r="C15" i="52082"/>
  <c r="E15" i="52097"/>
  <c r="E179" i="111"/>
  <c r="H178" i="52076"/>
  <c r="B178" i="52076"/>
  <c r="J179" i="12"/>
  <c r="B131" i="9"/>
  <c r="B131" i="52098"/>
  <c r="G14" i="52098"/>
  <c r="E15" i="52075"/>
  <c r="D13" i="52074"/>
  <c r="H8" i="52084"/>
  <c r="D8" i="52084"/>
  <c r="G21" i="52081"/>
  <c r="H79" i="52081"/>
  <c r="G15" i="110"/>
  <c r="B15" i="52083"/>
  <c r="C15" i="52097"/>
  <c r="C8" i="52083"/>
  <c r="J8" i="52079"/>
  <c r="C15" i="9"/>
  <c r="J8" i="111"/>
  <c r="M8" i="111"/>
  <c r="B8" i="52075"/>
  <c r="J8" i="52095"/>
  <c r="C77" i="52098"/>
  <c r="C11" i="52074"/>
  <c r="B16" i="111"/>
  <c r="B14" i="52082"/>
  <c r="B14" i="52097"/>
  <c r="D14" i="52074"/>
  <c r="G14" i="111"/>
  <c r="F15" i="52097"/>
  <c r="D15" i="52074"/>
  <c r="G15" i="111"/>
  <c r="L8" i="111"/>
  <c r="B12" i="110"/>
  <c r="N13" i="111"/>
  <c r="F19" i="110"/>
  <c r="B19" i="52084"/>
  <c r="H15" i="52084"/>
  <c r="B15" i="52084"/>
  <c r="D11" i="52084"/>
  <c r="G207" i="52082"/>
  <c r="D207" i="9"/>
  <c r="O207" i="111"/>
  <c r="F206" i="52075"/>
  <c r="F206" i="52083"/>
  <c r="E206" i="52076"/>
  <c r="E206" i="52077"/>
  <c r="I124" i="52097"/>
  <c r="D124" i="52098"/>
  <c r="I121" i="52097"/>
  <c r="J121" i="52071"/>
  <c r="D121" i="52098"/>
  <c r="B111" i="9"/>
  <c r="B111" i="52098"/>
  <c r="C15" i="111"/>
  <c r="N8" i="111"/>
  <c r="M15" i="111"/>
  <c r="H15" i="52076"/>
  <c r="C15" i="52076"/>
  <c r="B15" i="110"/>
  <c r="B11" i="52082"/>
  <c r="B11" i="52097"/>
  <c r="D11" i="52083"/>
  <c r="I14" i="52097"/>
  <c r="C15" i="110"/>
  <c r="D16" i="111"/>
  <c r="B16" i="52074"/>
  <c r="F8" i="111"/>
  <c r="J8" i="77"/>
  <c r="B14" i="110"/>
  <c r="B11" i="110"/>
  <c r="J15" i="111"/>
  <c r="B8" i="110"/>
  <c r="J8" i="32"/>
  <c r="F11" i="110"/>
  <c r="B11" i="52084"/>
  <c r="G8" i="52098"/>
  <c r="C8" i="52098"/>
  <c r="J8" i="52064"/>
  <c r="B122" i="9"/>
  <c r="J122" i="21"/>
  <c r="G122" i="52098"/>
  <c r="B132" i="9"/>
  <c r="G132" i="9" s="1"/>
  <c r="B132" i="233" s="1"/>
  <c r="G132" i="52098"/>
  <c r="H112" i="52097"/>
  <c r="D112" i="52083"/>
  <c r="D112" i="52084"/>
  <c r="G112" i="110"/>
  <c r="D110" i="52084"/>
  <c r="G110" i="110"/>
  <c r="C111" i="52097"/>
  <c r="J110" i="52079"/>
  <c r="D64" i="52098"/>
  <c r="J121" i="115"/>
  <c r="J122" i="77"/>
  <c r="J122" i="52089"/>
  <c r="J79" i="52090"/>
  <c r="J79" i="52064"/>
  <c r="J89" i="52095"/>
  <c r="J89" i="91"/>
  <c r="C235" i="52067"/>
  <c r="B252" i="52098"/>
  <c r="G213" i="21"/>
  <c r="G213" i="148"/>
  <c r="B213" i="52097" s="1"/>
  <c r="B253" i="52082"/>
  <c r="G213" i="52088"/>
  <c r="E213" i="52082" s="1"/>
  <c r="E253" i="52082"/>
  <c r="D21" i="52091"/>
  <c r="D51" i="52091" s="1"/>
  <c r="D201" i="52090"/>
  <c r="D154" i="20"/>
  <c r="D241" i="20" s="1"/>
  <c r="D116" i="101"/>
  <c r="D239" i="101" s="1"/>
  <c r="D116" i="52088"/>
  <c r="D239" i="52088" s="1"/>
  <c r="F235" i="148"/>
  <c r="C235" i="148"/>
  <c r="C213" i="9"/>
  <c r="C212" i="52098"/>
  <c r="B252" i="52083"/>
  <c r="G213" i="105"/>
  <c r="B212" i="52083" s="1"/>
  <c r="C253" i="52082"/>
  <c r="G213" i="52087"/>
  <c r="E213" i="52097" s="1"/>
  <c r="D253" i="52082"/>
  <c r="J253" i="52082" s="1"/>
  <c r="G213" i="101"/>
  <c r="G213" i="52097" s="1"/>
  <c r="D154" i="52089"/>
  <c r="D241" i="52089" s="1"/>
  <c r="D185" i="20"/>
  <c r="D201" i="115"/>
  <c r="D116" i="114"/>
  <c r="D239" i="114" s="1"/>
  <c r="D185" i="52079"/>
  <c r="D185" i="101"/>
  <c r="D154" i="108"/>
  <c r="D241" i="108" s="1"/>
  <c r="J81" i="9"/>
  <c r="E56" i="52074"/>
  <c r="E38" i="52091"/>
  <c r="E38" i="52093"/>
  <c r="I200" i="52075"/>
  <c r="G199" i="9"/>
  <c r="F131" i="110"/>
  <c r="B131" i="52084"/>
  <c r="H131" i="52084"/>
  <c r="D124" i="110"/>
  <c r="B67" i="52097"/>
  <c r="B67" i="52082"/>
  <c r="C91" i="9"/>
  <c r="C91" i="52098"/>
  <c r="G105" i="52097"/>
  <c r="D105" i="52082"/>
  <c r="J122" i="148"/>
  <c r="B122" i="52097"/>
  <c r="B122" i="52082"/>
  <c r="E105" i="52083"/>
  <c r="D105" i="52097"/>
  <c r="H106" i="52097"/>
  <c r="D106" i="52083"/>
  <c r="G88" i="110"/>
  <c r="D88" i="52084"/>
  <c r="B11" i="52083"/>
  <c r="C11" i="52097"/>
  <c r="C67" i="52098"/>
  <c r="C67" i="9"/>
  <c r="E131" i="52097"/>
  <c r="C131" i="52082"/>
  <c r="C111" i="9"/>
  <c r="C111" i="52098"/>
  <c r="G123" i="110"/>
  <c r="D123" i="52084"/>
  <c r="H123" i="52084"/>
  <c r="B15" i="52098"/>
  <c r="B15" i="9"/>
  <c r="G15" i="52098"/>
  <c r="C178" i="52098"/>
  <c r="C179" i="9"/>
  <c r="G178" i="52098"/>
  <c r="F121" i="52097"/>
  <c r="E121" i="52082"/>
  <c r="G113" i="52097"/>
  <c r="B108" i="9"/>
  <c r="G108" i="9" s="1"/>
  <c r="B108" i="52098"/>
  <c r="G108" i="52098"/>
  <c r="C131" i="52098"/>
  <c r="C131" i="9"/>
  <c r="G131" i="52098"/>
  <c r="B179" i="52082"/>
  <c r="B179" i="52097"/>
  <c r="B96" i="52082"/>
  <c r="B96" i="52097"/>
  <c r="G131" i="52097"/>
  <c r="D131" i="52082"/>
  <c r="C97" i="52098"/>
  <c r="C97" i="9"/>
  <c r="F123" i="52097"/>
  <c r="E123" i="52082"/>
  <c r="G111" i="52097"/>
  <c r="D111" i="52082"/>
  <c r="D106" i="52084"/>
  <c r="G106" i="110"/>
  <c r="G67" i="110"/>
  <c r="D67" i="52084"/>
  <c r="C105" i="9"/>
  <c r="G105" i="9" s="1"/>
  <c r="B105" i="233" s="1"/>
  <c r="C105" i="52098"/>
  <c r="G105" i="52098"/>
  <c r="C78" i="9"/>
  <c r="C78" i="52098"/>
  <c r="B124" i="52082"/>
  <c r="B124" i="52097"/>
  <c r="C64" i="52097"/>
  <c r="B64" i="52083"/>
  <c r="C72" i="52098"/>
  <c r="C72" i="9"/>
  <c r="B131" i="52082"/>
  <c r="B131" i="52097"/>
  <c r="J121" i="52088"/>
  <c r="J113" i="101"/>
  <c r="G111" i="52098"/>
  <c r="H60" i="52097"/>
  <c r="H235" i="52097" s="1"/>
  <c r="G235" i="52067"/>
  <c r="D60" i="52083"/>
  <c r="D234" i="52083" s="1"/>
  <c r="B60" i="52082"/>
  <c r="B235" i="52082" s="1"/>
  <c r="B60" i="52097"/>
  <c r="B235" i="52097" s="1"/>
  <c r="G235" i="148"/>
  <c r="E61" i="233"/>
  <c r="D61" i="233"/>
  <c r="J179" i="52094"/>
  <c r="E123" i="52083"/>
  <c r="E123" i="52097"/>
  <c r="B255" i="233"/>
  <c r="I253" i="9"/>
  <c r="C79" i="52098"/>
  <c r="D249" i="52099"/>
  <c r="D243" i="52099"/>
  <c r="I19" i="52099"/>
  <c r="B211" i="52099"/>
  <c r="B207" i="52099"/>
  <c r="C51" i="52099"/>
  <c r="C225" i="52099" s="1"/>
  <c r="C32" i="52099"/>
  <c r="C33" i="52099" s="1"/>
  <c r="E51" i="52099"/>
  <c r="E32" i="52099"/>
  <c r="E33" i="52099" s="1"/>
  <c r="J9" i="52099"/>
  <c r="J17" i="52099"/>
  <c r="I17" i="52099"/>
  <c r="J19" i="52099"/>
  <c r="I67" i="52099"/>
  <c r="I249" i="52099" s="1"/>
  <c r="I76" i="52099"/>
  <c r="J78" i="52099"/>
  <c r="I78" i="52099"/>
  <c r="J80" i="52099"/>
  <c r="I80" i="52099"/>
  <c r="I84" i="52099"/>
  <c r="J93" i="52099"/>
  <c r="J108" i="52099"/>
  <c r="I94" i="52099"/>
  <c r="I14" i="52099"/>
  <c r="J15" i="52099"/>
  <c r="F49" i="52082"/>
  <c r="J49" i="52099"/>
  <c r="E103" i="52099"/>
  <c r="E238" i="52099" s="1"/>
  <c r="I66" i="52099"/>
  <c r="I68" i="52099"/>
  <c r="I72" i="52099"/>
  <c r="I74" i="52099"/>
  <c r="I77" i="52099"/>
  <c r="I82" i="52099"/>
  <c r="I86" i="52099"/>
  <c r="J86" i="52099"/>
  <c r="I88" i="52099"/>
  <c r="I89" i="52099"/>
  <c r="I91" i="52099"/>
  <c r="J92" i="52099"/>
  <c r="I95" i="52099"/>
  <c r="I99" i="52099"/>
  <c r="J106" i="52099"/>
  <c r="I106" i="52099"/>
  <c r="I49" i="52099"/>
  <c r="I73" i="52099"/>
  <c r="I87" i="52099"/>
  <c r="I90" i="52099"/>
  <c r="I121" i="52099"/>
  <c r="J125" i="52099"/>
  <c r="J126" i="52099"/>
  <c r="C241" i="52099"/>
  <c r="B154" i="52099"/>
  <c r="E241" i="52099"/>
  <c r="I241" i="52099" s="1"/>
  <c r="J132" i="52099"/>
  <c r="I132" i="52099"/>
  <c r="J133" i="52099"/>
  <c r="I134" i="52099"/>
  <c r="I136" i="52099"/>
  <c r="I138" i="52099"/>
  <c r="J139" i="52099"/>
  <c r="I141" i="52099"/>
  <c r="I143" i="52099"/>
  <c r="J165" i="52099"/>
  <c r="I166" i="52099"/>
  <c r="J166" i="52099"/>
  <c r="E243" i="52099"/>
  <c r="I243" i="52099" s="1"/>
  <c r="I180" i="52099"/>
  <c r="J180" i="52099"/>
  <c r="J181" i="52099"/>
  <c r="J79" i="52099"/>
  <c r="I96" i="52099"/>
  <c r="I100" i="52099"/>
  <c r="D116" i="52099"/>
  <c r="D239" i="52099" s="1"/>
  <c r="I120" i="52099"/>
  <c r="I123" i="52099"/>
  <c r="I125" i="52099"/>
  <c r="I133" i="52099"/>
  <c r="I135" i="52099"/>
  <c r="I137" i="52099"/>
  <c r="I157" i="52099"/>
  <c r="I159" i="52099"/>
  <c r="I193" i="52099"/>
  <c r="I199" i="52099"/>
  <c r="C249" i="52099"/>
  <c r="B212" i="52099"/>
  <c r="B116" i="52099"/>
  <c r="C239" i="52099"/>
  <c r="I110" i="52099"/>
  <c r="J111" i="52099"/>
  <c r="J112" i="52099"/>
  <c r="I112" i="52099"/>
  <c r="J124" i="52099"/>
  <c r="J140" i="52099"/>
  <c r="I142" i="52099"/>
  <c r="I145" i="52099"/>
  <c r="J147" i="52099"/>
  <c r="I147" i="52099"/>
  <c r="J148" i="52099"/>
  <c r="J149" i="52099"/>
  <c r="I149" i="52099"/>
  <c r="J152" i="52099"/>
  <c r="I152" i="52099"/>
  <c r="C242" i="52099"/>
  <c r="B168" i="52099"/>
  <c r="E242" i="52099"/>
  <c r="I242" i="52099" s="1"/>
  <c r="I161" i="52099"/>
  <c r="J161" i="52099"/>
  <c r="J162" i="52099"/>
  <c r="I163" i="52099"/>
  <c r="J163" i="52099"/>
  <c r="J164" i="52099"/>
  <c r="J171" i="52099"/>
  <c r="J177" i="52099"/>
  <c r="I178" i="52099"/>
  <c r="J178" i="52099"/>
  <c r="J182" i="52099"/>
  <c r="J183" i="52099"/>
  <c r="B215" i="52099"/>
  <c r="I8" i="52099"/>
  <c r="J11" i="52099"/>
  <c r="B49" i="52099"/>
  <c r="F235" i="52099"/>
  <c r="I64" i="52099"/>
  <c r="F65" i="52082"/>
  <c r="J65" i="52099"/>
  <c r="B95" i="52099"/>
  <c r="I109" i="52099"/>
  <c r="I111" i="52099"/>
  <c r="I113" i="52099"/>
  <c r="I118" i="52099"/>
  <c r="I127" i="52099"/>
  <c r="I150" i="52099"/>
  <c r="I158" i="52099"/>
  <c r="I162" i="52099"/>
  <c r="I173" i="52099"/>
  <c r="I192" i="52099"/>
  <c r="I196" i="52099"/>
  <c r="E116" i="52099"/>
  <c r="I116" i="52099" s="1"/>
  <c r="C129" i="52099"/>
  <c r="C240" i="52099" s="1"/>
  <c r="E129" i="52099"/>
  <c r="I129" i="52099" s="1"/>
  <c r="I189" i="52099"/>
  <c r="I207" i="52099"/>
  <c r="I215" i="52099"/>
  <c r="J187" i="52099"/>
  <c r="E240" i="52099"/>
  <c r="I240" i="52099" s="1"/>
  <c r="J98" i="52099"/>
  <c r="I131" i="52099"/>
  <c r="I170" i="52099"/>
  <c r="F168" i="52099"/>
  <c r="F242" i="52099" s="1"/>
  <c r="I156" i="52099"/>
  <c r="I21" i="52099"/>
  <c r="I201" i="52099"/>
  <c r="J142" i="52099"/>
  <c r="I154" i="52099"/>
  <c r="I168" i="52099"/>
  <c r="I185" i="52099"/>
  <c r="I62" i="52099"/>
  <c r="I236" i="52099"/>
  <c r="C118" i="52098"/>
  <c r="C49" i="52083"/>
  <c r="J49" i="52067"/>
  <c r="D49" i="52083"/>
  <c r="F118" i="52097"/>
  <c r="F119" i="52097"/>
  <c r="F120" i="52097"/>
  <c r="E49" i="52083"/>
  <c r="D112" i="52098"/>
  <c r="E56" i="52076"/>
  <c r="O56" i="111"/>
  <c r="L24" i="233"/>
  <c r="K211" i="52076"/>
  <c r="J212" i="9"/>
  <c r="J207" i="9"/>
  <c r="O255" i="52097"/>
  <c r="C255" i="233" s="1"/>
  <c r="L255" i="110"/>
  <c r="E255" i="233" s="1"/>
  <c r="L40" i="233"/>
  <c r="L36" i="233"/>
  <c r="L57" i="233"/>
  <c r="L32" i="233"/>
  <c r="L44" i="233"/>
  <c r="K210" i="52076"/>
  <c r="D215" i="52081"/>
  <c r="D249" i="52081" s="1"/>
  <c r="O207" i="110"/>
  <c r="O211" i="110"/>
  <c r="D215" i="52080"/>
  <c r="D249" i="52080" s="1"/>
  <c r="L210" i="52075"/>
  <c r="J65" i="52094"/>
  <c r="D215" i="20"/>
  <c r="D249" i="20" s="1"/>
  <c r="D215" i="52064"/>
  <c r="D249" i="52064" s="1"/>
  <c r="H24" i="52083"/>
  <c r="I29" i="52083"/>
  <c r="H37" i="52083"/>
  <c r="I42" i="52083"/>
  <c r="H23" i="52098"/>
  <c r="H25" i="52098"/>
  <c r="H27" i="52098"/>
  <c r="H29" i="52098"/>
  <c r="H36" i="52098"/>
  <c r="H38" i="52098"/>
  <c r="H40" i="52098"/>
  <c r="H42" i="52098"/>
  <c r="H57" i="52098"/>
  <c r="H156" i="52098"/>
  <c r="H186" i="52098"/>
  <c r="G158" i="9"/>
  <c r="B158" i="233" s="1"/>
  <c r="G160" i="9"/>
  <c r="G188" i="9"/>
  <c r="G190" i="9"/>
  <c r="G192" i="9"/>
  <c r="G194" i="9"/>
  <c r="R23" i="111"/>
  <c r="D23" i="233" s="1"/>
  <c r="R160" i="111"/>
  <c r="Q160" i="111" s="1"/>
  <c r="R194" i="111"/>
  <c r="R196" i="111"/>
  <c r="R198" i="111"/>
  <c r="D198" i="233" s="1"/>
  <c r="I253" i="52075"/>
  <c r="C79" i="52075"/>
  <c r="L41" i="233"/>
  <c r="L39" i="233"/>
  <c r="R255" i="111"/>
  <c r="C38" i="52092"/>
  <c r="D215" i="105"/>
  <c r="D249" i="105" s="1"/>
  <c r="C38" i="52094"/>
  <c r="U211" i="111"/>
  <c r="L18" i="233"/>
  <c r="L12" i="233"/>
  <c r="K210" i="52084"/>
  <c r="K211" i="52077"/>
  <c r="D215" i="12"/>
  <c r="D249" i="12" s="1"/>
  <c r="I23" i="52083"/>
  <c r="I27" i="52083"/>
  <c r="I36" i="52083"/>
  <c r="I40" i="52083"/>
  <c r="I57" i="52083"/>
  <c r="H156" i="52083"/>
  <c r="H158" i="52083"/>
  <c r="H186" i="52083"/>
  <c r="H188" i="52083"/>
  <c r="H190" i="52083"/>
  <c r="H192" i="52083"/>
  <c r="H194" i="52083"/>
  <c r="H196" i="52083"/>
  <c r="H198" i="52083"/>
  <c r="G37" i="9"/>
  <c r="B37" i="233" s="1"/>
  <c r="G41" i="9"/>
  <c r="B41" i="233" s="1"/>
  <c r="G56" i="9"/>
  <c r="B56" i="233" s="1"/>
  <c r="R27" i="111"/>
  <c r="R29" i="111"/>
  <c r="D29" i="233" s="1"/>
  <c r="R38" i="111"/>
  <c r="R40" i="111"/>
  <c r="D40" i="233" s="1"/>
  <c r="F235" i="52079"/>
  <c r="M249" i="52082"/>
  <c r="D185" i="52080"/>
  <c r="D243" i="52080" s="1"/>
  <c r="D215" i="52095"/>
  <c r="D249" i="52095" s="1"/>
  <c r="D201" i="52094"/>
  <c r="K89" i="52084"/>
  <c r="K9" i="52084"/>
  <c r="K186" i="52077"/>
  <c r="K211" i="52084"/>
  <c r="K206" i="52084"/>
  <c r="D215" i="52094"/>
  <c r="D249" i="52094" s="1"/>
  <c r="K210" i="52077"/>
  <c r="K206" i="52076"/>
  <c r="D215" i="115"/>
  <c r="D249" i="115" s="1"/>
  <c r="K206" i="52074"/>
  <c r="D215" i="114"/>
  <c r="D249" i="114" s="1"/>
  <c r="D70" i="114"/>
  <c r="D103" i="114" s="1"/>
  <c r="D215" i="52071"/>
  <c r="D249" i="52071" s="1"/>
  <c r="L211" i="52083"/>
  <c r="E206" i="52074"/>
  <c r="U212" i="111"/>
  <c r="U207" i="111"/>
  <c r="K211" i="52074"/>
  <c r="E79" i="105"/>
  <c r="I79" i="105" s="1"/>
  <c r="E91" i="105"/>
  <c r="E41" i="20"/>
  <c r="E86" i="20"/>
  <c r="E41" i="105"/>
  <c r="E84" i="105"/>
  <c r="E88" i="20"/>
  <c r="G88" i="20" s="1"/>
  <c r="E73" i="105"/>
  <c r="E109" i="105"/>
  <c r="E66" i="20"/>
  <c r="E96" i="20"/>
  <c r="E25" i="105"/>
  <c r="E66" i="105"/>
  <c r="E77" i="105"/>
  <c r="E95" i="105"/>
  <c r="E82" i="20"/>
  <c r="E133" i="105"/>
  <c r="E125" i="20"/>
  <c r="E78" i="105"/>
  <c r="I78" i="105" s="1"/>
  <c r="E125" i="105"/>
  <c r="L29" i="233"/>
  <c r="L25" i="233"/>
  <c r="U84" i="111"/>
  <c r="U72" i="111"/>
  <c r="K181" i="52084"/>
  <c r="L82" i="52075"/>
  <c r="D129" i="48"/>
  <c r="D240" i="48" s="1"/>
  <c r="O87" i="110"/>
  <c r="D215" i="91"/>
  <c r="D249" i="91"/>
  <c r="O182" i="110"/>
  <c r="O180" i="110"/>
  <c r="O178" i="110"/>
  <c r="O176" i="110"/>
  <c r="O174" i="110"/>
  <c r="O172" i="110"/>
  <c r="O170" i="110"/>
  <c r="O165" i="110"/>
  <c r="O163" i="110"/>
  <c r="O161" i="110"/>
  <c r="O159" i="110"/>
  <c r="O157" i="110"/>
  <c r="O149" i="110"/>
  <c r="O145" i="110"/>
  <c r="O141" i="110"/>
  <c r="O137" i="110"/>
  <c r="O133" i="110"/>
  <c r="O126" i="110"/>
  <c r="O122" i="110"/>
  <c r="O118" i="110"/>
  <c r="O111" i="110"/>
  <c r="O107" i="110"/>
  <c r="O100" i="110"/>
  <c r="O96" i="110"/>
  <c r="O94" i="110"/>
  <c r="O92" i="110"/>
  <c r="O90" i="110"/>
  <c r="O196" i="110"/>
  <c r="O192" i="110"/>
  <c r="O188" i="110"/>
  <c r="O84" i="110"/>
  <c r="O82" i="110"/>
  <c r="O80" i="110"/>
  <c r="O78" i="110"/>
  <c r="O76" i="110"/>
  <c r="O74" i="110"/>
  <c r="O72" i="110"/>
  <c r="O67" i="110"/>
  <c r="L211" i="52075"/>
  <c r="K112" i="52077"/>
  <c r="K110" i="52077"/>
  <c r="K108" i="52077"/>
  <c r="K106" i="52077"/>
  <c r="K101" i="52077"/>
  <c r="K99" i="52077"/>
  <c r="K97" i="52077"/>
  <c r="K93" i="52077"/>
  <c r="K91" i="52077"/>
  <c r="K87" i="52077"/>
  <c r="K85" i="52077"/>
  <c r="K83" i="52077"/>
  <c r="K81" i="52077"/>
  <c r="D215" i="52093"/>
  <c r="D249" i="52093" s="1"/>
  <c r="D168" i="52093"/>
  <c r="D242" i="52093" s="1"/>
  <c r="K85" i="52076"/>
  <c r="K83" i="52076"/>
  <c r="K81" i="52076"/>
  <c r="D129" i="52091"/>
  <c r="D240" i="52091" s="1"/>
  <c r="U9" i="111"/>
  <c r="D116" i="52090"/>
  <c r="D239" i="52090" s="1"/>
  <c r="L91" i="52083"/>
  <c r="L65" i="52083"/>
  <c r="D152" i="93"/>
  <c r="D154" i="52081"/>
  <c r="D241" i="52081"/>
  <c r="D116" i="52081"/>
  <c r="D239" i="52081" s="1"/>
  <c r="D154" i="52072"/>
  <c r="D241" i="52072" s="1"/>
  <c r="D116" i="52072"/>
  <c r="D239" i="52072" s="1"/>
  <c r="K177" i="52084"/>
  <c r="D116" i="52080"/>
  <c r="D239" i="52080" s="1"/>
  <c r="D168" i="52095"/>
  <c r="D242" i="52095" s="1"/>
  <c r="D154" i="52092"/>
  <c r="D241" i="52092" s="1"/>
  <c r="K68" i="52076"/>
  <c r="K157" i="52076"/>
  <c r="K127" i="52076"/>
  <c r="K108" i="52076"/>
  <c r="K84" i="52076"/>
  <c r="K80" i="52076"/>
  <c r="K180" i="52074"/>
  <c r="K178" i="52074"/>
  <c r="K176" i="52074"/>
  <c r="K174" i="52074"/>
  <c r="K172" i="52074"/>
  <c r="K165" i="52074"/>
  <c r="K163" i="52074"/>
  <c r="K161" i="52074"/>
  <c r="K159" i="52074"/>
  <c r="K157" i="52074"/>
  <c r="K155" i="52074"/>
  <c r="K150" i="52074"/>
  <c r="K146" i="52074"/>
  <c r="K144" i="52074"/>
  <c r="K142" i="52074"/>
  <c r="K140" i="52074"/>
  <c r="K138" i="52074"/>
  <c r="K136" i="52074"/>
  <c r="K134" i="52074"/>
  <c r="K127" i="52074"/>
  <c r="K125" i="52074"/>
  <c r="K123" i="52074"/>
  <c r="K121" i="52074"/>
  <c r="K119" i="52074"/>
  <c r="K114" i="52074"/>
  <c r="K112" i="52074"/>
  <c r="K108" i="52074"/>
  <c r="K106" i="52074"/>
  <c r="K101" i="52074"/>
  <c r="K99" i="52074"/>
  <c r="K97" i="52074"/>
  <c r="K95" i="52074"/>
  <c r="K93" i="52074"/>
  <c r="K217" i="52074"/>
  <c r="K197" i="52074"/>
  <c r="K195" i="52074"/>
  <c r="K193" i="52074"/>
  <c r="K191" i="52074"/>
  <c r="K187" i="52074"/>
  <c r="K182" i="52074"/>
  <c r="L175" i="52075"/>
  <c r="L173" i="52075"/>
  <c r="L171" i="52075"/>
  <c r="L169" i="52075"/>
  <c r="L164" i="52075"/>
  <c r="L162" i="52075"/>
  <c r="L160" i="52075"/>
  <c r="L158" i="52075"/>
  <c r="L156" i="52075"/>
  <c r="L151" i="52075"/>
  <c r="L149" i="52075"/>
  <c r="L147" i="52075"/>
  <c r="L145" i="52075"/>
  <c r="L143" i="52075"/>
  <c r="L141" i="52075"/>
  <c r="L137" i="52075"/>
  <c r="L135" i="52075"/>
  <c r="L133" i="52075"/>
  <c r="L131" i="52075"/>
  <c r="L120" i="52075"/>
  <c r="L109" i="52075"/>
  <c r="L90" i="52075"/>
  <c r="D154" i="52079"/>
  <c r="D241" i="52079" s="1"/>
  <c r="L49" i="52083"/>
  <c r="L163" i="52083"/>
  <c r="L155" i="52083"/>
  <c r="L144" i="52083"/>
  <c r="L136" i="52083"/>
  <c r="L125" i="52083"/>
  <c r="L114" i="52083"/>
  <c r="L106" i="52083"/>
  <c r="L95" i="52083"/>
  <c r="L83" i="52083"/>
  <c r="L75" i="52083"/>
  <c r="D129" i="148"/>
  <c r="D240" i="148" s="1"/>
  <c r="D116" i="148"/>
  <c r="D239" i="148" s="1"/>
  <c r="D201" i="52064"/>
  <c r="D129" i="52064"/>
  <c r="D240" i="52064" s="1"/>
  <c r="D116" i="21"/>
  <c r="D239" i="21" s="1"/>
  <c r="J89" i="52066"/>
  <c r="G89" i="52066"/>
  <c r="E89" i="110"/>
  <c r="C89" i="52103"/>
  <c r="J65" i="52093"/>
  <c r="G65" i="52093"/>
  <c r="D65" i="52076"/>
  <c r="I65" i="52076" s="1"/>
  <c r="J182" i="52066"/>
  <c r="G182" i="52066"/>
  <c r="C181" i="52103" s="1"/>
  <c r="K85" i="52084"/>
  <c r="K83" i="52084"/>
  <c r="K81" i="52084"/>
  <c r="K77" i="52084"/>
  <c r="K75" i="52084"/>
  <c r="K73" i="52084"/>
  <c r="K64" i="52084"/>
  <c r="K49" i="52084"/>
  <c r="K8" i="52084"/>
  <c r="U8" i="111"/>
  <c r="K88" i="52077"/>
  <c r="K84" i="52077"/>
  <c r="K80" i="52077"/>
  <c r="K76" i="52077"/>
  <c r="K72" i="52077"/>
  <c r="U213" i="111"/>
  <c r="U181" i="111"/>
  <c r="U179" i="111"/>
  <c r="U177" i="111"/>
  <c r="U175" i="111"/>
  <c r="L172" i="52075"/>
  <c r="U171" i="111"/>
  <c r="L165" i="52075"/>
  <c r="L163" i="52075"/>
  <c r="L161" i="52075"/>
  <c r="U160" i="111"/>
  <c r="U158" i="111"/>
  <c r="U156" i="111"/>
  <c r="U150" i="111"/>
  <c r="U148" i="111"/>
  <c r="U146" i="111"/>
  <c r="U144" i="111"/>
  <c r="U142" i="111"/>
  <c r="U140" i="111"/>
  <c r="U138" i="111"/>
  <c r="U136" i="111"/>
  <c r="U134" i="111"/>
  <c r="U132" i="111"/>
  <c r="K212" i="52076"/>
  <c r="K197" i="52076"/>
  <c r="U196" i="111"/>
  <c r="K193" i="52076"/>
  <c r="K191" i="52076"/>
  <c r="K189" i="52076"/>
  <c r="K187" i="52076"/>
  <c r="K182" i="52076"/>
  <c r="K180" i="52076"/>
  <c r="K178" i="52076"/>
  <c r="K174" i="52076"/>
  <c r="K172" i="52076"/>
  <c r="K170" i="52076"/>
  <c r="K165" i="52076"/>
  <c r="K163" i="52076"/>
  <c r="K161" i="52076"/>
  <c r="K159" i="52076"/>
  <c r="K155" i="52076"/>
  <c r="K150" i="52076"/>
  <c r="K148" i="52076"/>
  <c r="K146" i="52076"/>
  <c r="K144" i="52076"/>
  <c r="K142" i="52076"/>
  <c r="K140" i="52076"/>
  <c r="K136" i="52076"/>
  <c r="K134" i="52076"/>
  <c r="K132" i="52076"/>
  <c r="D129" i="12"/>
  <c r="D240" i="12" s="1"/>
  <c r="U78" i="111"/>
  <c r="K76" i="52076"/>
  <c r="U74" i="111"/>
  <c r="K72" i="52076"/>
  <c r="K212" i="52074"/>
  <c r="K210" i="52074"/>
  <c r="K198" i="52074"/>
  <c r="K196" i="52074"/>
  <c r="K194" i="52074"/>
  <c r="K192" i="52074"/>
  <c r="K190" i="52074"/>
  <c r="K188" i="52074"/>
  <c r="K186" i="52074"/>
  <c r="K88" i="52074"/>
  <c r="K86" i="52074"/>
  <c r="K84" i="52074"/>
  <c r="K82" i="52074"/>
  <c r="K80" i="52074"/>
  <c r="K78" i="52074"/>
  <c r="K76" i="52074"/>
  <c r="K74" i="52074"/>
  <c r="K72" i="52074"/>
  <c r="K67" i="52074"/>
  <c r="D168" i="115"/>
  <c r="D242" i="115"/>
  <c r="K9" i="52074"/>
  <c r="L194" i="52075"/>
  <c r="D168" i="52088"/>
  <c r="D242" i="52088" s="1"/>
  <c r="D168" i="52087"/>
  <c r="D242" i="52087" s="1"/>
  <c r="D154" i="52087"/>
  <c r="D241" i="52087" s="1"/>
  <c r="D129" i="52087"/>
  <c r="D240" i="52087" s="1"/>
  <c r="L165" i="52083"/>
  <c r="L161" i="52083"/>
  <c r="L157" i="52083"/>
  <c r="L150" i="52083"/>
  <c r="L146" i="52083"/>
  <c r="L142" i="52083"/>
  <c r="L138" i="52083"/>
  <c r="L134" i="52083"/>
  <c r="L127" i="52083"/>
  <c r="L123" i="52083"/>
  <c r="L119" i="52083"/>
  <c r="L112" i="52083"/>
  <c r="C113" i="52075"/>
  <c r="D70" i="48"/>
  <c r="D103" i="48" s="1"/>
  <c r="D168" i="52064"/>
  <c r="D242" i="52064" s="1"/>
  <c r="D70" i="52087"/>
  <c r="D103" i="52087" s="1"/>
  <c r="D116" i="105"/>
  <c r="D239" i="105" s="1"/>
  <c r="D168" i="114"/>
  <c r="D242" i="114" s="1"/>
  <c r="D116" i="52066"/>
  <c r="D239" i="52066" s="1"/>
  <c r="D129" i="105"/>
  <c r="D240" i="105" s="1"/>
  <c r="D168" i="20"/>
  <c r="D242" i="20" s="1"/>
  <c r="O65" i="110"/>
  <c r="O8" i="110"/>
  <c r="U86" i="111"/>
  <c r="U76" i="111"/>
  <c r="U65" i="111"/>
  <c r="K195" i="52076"/>
  <c r="K119" i="52076"/>
  <c r="K89" i="52076"/>
  <c r="D200" i="93"/>
  <c r="D131" i="93"/>
  <c r="D94" i="93"/>
  <c r="D70" i="93"/>
  <c r="K197" i="52084"/>
  <c r="K195" i="52084"/>
  <c r="K193" i="52084"/>
  <c r="K191" i="52084"/>
  <c r="K189" i="52084"/>
  <c r="K187" i="52084"/>
  <c r="K182" i="52084"/>
  <c r="D70" i="52072"/>
  <c r="D103" i="52072" s="1"/>
  <c r="O9" i="110"/>
  <c r="D215" i="52066"/>
  <c r="D249" i="52066" s="1"/>
  <c r="K198" i="52084"/>
  <c r="K196" i="52084"/>
  <c r="K194" i="52084"/>
  <c r="O193" i="110"/>
  <c r="K190" i="52084"/>
  <c r="K188" i="52084"/>
  <c r="K186" i="52084"/>
  <c r="K178" i="52084"/>
  <c r="K174" i="52084"/>
  <c r="D168" i="52066"/>
  <c r="D242" i="52066" s="1"/>
  <c r="O150" i="110"/>
  <c r="O148" i="110"/>
  <c r="O146" i="110"/>
  <c r="O144" i="110"/>
  <c r="O142" i="110"/>
  <c r="O140" i="110"/>
  <c r="O138" i="110"/>
  <c r="O136" i="110"/>
  <c r="O134" i="110"/>
  <c r="L134" i="233"/>
  <c r="O132" i="110"/>
  <c r="O127" i="110"/>
  <c r="O125" i="110"/>
  <c r="O123" i="110"/>
  <c r="O121" i="110"/>
  <c r="O119" i="110"/>
  <c r="O114" i="110"/>
  <c r="O112" i="110"/>
  <c r="O110" i="110"/>
  <c r="O108" i="110"/>
  <c r="O106" i="110"/>
  <c r="O101" i="110"/>
  <c r="O99" i="110"/>
  <c r="O97" i="110"/>
  <c r="K88" i="52084"/>
  <c r="O86" i="110"/>
  <c r="D21" i="52066"/>
  <c r="D51" i="52066" s="1"/>
  <c r="D116" i="32"/>
  <c r="D239" i="32" s="1"/>
  <c r="D154" i="52080"/>
  <c r="D241" i="52080" s="1"/>
  <c r="D129" i="52080"/>
  <c r="D240" i="52080" s="1"/>
  <c r="U119" i="111"/>
  <c r="U114" i="111"/>
  <c r="U95" i="111"/>
  <c r="U89" i="111"/>
  <c r="K9" i="52077"/>
  <c r="U127" i="111"/>
  <c r="U125" i="111"/>
  <c r="U123" i="111"/>
  <c r="U121" i="111"/>
  <c r="K77" i="52076"/>
  <c r="K75" i="52076"/>
  <c r="K73" i="52076"/>
  <c r="U67" i="111"/>
  <c r="D215" i="52092"/>
  <c r="D249" i="52092" s="1"/>
  <c r="K197" i="52077"/>
  <c r="K195" i="52077"/>
  <c r="K193" i="52077"/>
  <c r="K191" i="52077"/>
  <c r="K189" i="52077"/>
  <c r="K187" i="52077"/>
  <c r="D215" i="52091"/>
  <c r="D249" i="52091" s="1"/>
  <c r="K180" i="52077"/>
  <c r="K176" i="52077"/>
  <c r="K172" i="52077"/>
  <c r="K165" i="52077"/>
  <c r="K161" i="52077"/>
  <c r="K157" i="52077"/>
  <c r="K150" i="52077"/>
  <c r="K146" i="52077"/>
  <c r="K142" i="52077"/>
  <c r="K138" i="52077"/>
  <c r="K134" i="52077"/>
  <c r="K127" i="52077"/>
  <c r="K123" i="52077"/>
  <c r="L9" i="52075"/>
  <c r="K131" i="52076"/>
  <c r="K126" i="52076"/>
  <c r="K124" i="52076"/>
  <c r="K122" i="52076"/>
  <c r="K120" i="52076"/>
  <c r="K118" i="52076"/>
  <c r="K113" i="52076"/>
  <c r="K111" i="52076"/>
  <c r="K109" i="52076"/>
  <c r="K107" i="52076"/>
  <c r="K105" i="52076"/>
  <c r="K100" i="52076"/>
  <c r="K98" i="52076"/>
  <c r="K96" i="52076"/>
  <c r="K94" i="52076"/>
  <c r="K92" i="52076"/>
  <c r="K90" i="52076"/>
  <c r="D116" i="52087"/>
  <c r="D239" i="52087" s="1"/>
  <c r="L198" i="52083"/>
  <c r="L190" i="52083"/>
  <c r="L175" i="52083"/>
  <c r="D129" i="108"/>
  <c r="D240" i="108" s="1"/>
  <c r="J77" i="9"/>
  <c r="J73" i="9"/>
  <c r="D21" i="52064"/>
  <c r="D51" i="52064" s="1"/>
  <c r="D168" i="21"/>
  <c r="D242" i="21" s="1"/>
  <c r="J82" i="9"/>
  <c r="J78" i="9"/>
  <c r="J74" i="9"/>
  <c r="J72" i="9"/>
  <c r="I56" i="110"/>
  <c r="D185" i="115"/>
  <c r="D243" i="115" s="1"/>
  <c r="D129" i="20"/>
  <c r="D240" i="20" s="1"/>
  <c r="D129" i="52089"/>
  <c r="D240" i="52089" s="1"/>
  <c r="D154" i="52090"/>
  <c r="D241" i="52090" s="1"/>
  <c r="D70" i="52080"/>
  <c r="D103" i="52080" s="1"/>
  <c r="D129" i="52066"/>
  <c r="D240" i="52066" s="1"/>
  <c r="O213" i="110"/>
  <c r="O199" i="110"/>
  <c r="O197" i="110"/>
  <c r="O195" i="110"/>
  <c r="O191" i="110"/>
  <c r="O189" i="110"/>
  <c r="O187" i="110"/>
  <c r="O88" i="110"/>
  <c r="U198" i="111"/>
  <c r="U194" i="111"/>
  <c r="U192" i="111"/>
  <c r="U190" i="111"/>
  <c r="U188" i="111"/>
  <c r="U183" i="111"/>
  <c r="U173" i="111"/>
  <c r="U166" i="111"/>
  <c r="U164" i="111"/>
  <c r="U162" i="111"/>
  <c r="U112" i="111"/>
  <c r="U110" i="111"/>
  <c r="U108" i="111"/>
  <c r="U106" i="111"/>
  <c r="U101" i="111"/>
  <c r="U99" i="111"/>
  <c r="U97" i="111"/>
  <c r="U93" i="111"/>
  <c r="U91" i="111"/>
  <c r="U87" i="111"/>
  <c r="U85" i="111"/>
  <c r="U83" i="111"/>
  <c r="U81" i="111"/>
  <c r="K170" i="52084"/>
  <c r="K66" i="52084"/>
  <c r="D129" i="52094"/>
  <c r="D240" i="52094"/>
  <c r="K119" i="52077"/>
  <c r="K89" i="52077"/>
  <c r="K79" i="52077"/>
  <c r="U79" i="111"/>
  <c r="K77" i="52077"/>
  <c r="U77" i="111"/>
  <c r="K75" i="52077"/>
  <c r="U75" i="111"/>
  <c r="K73" i="52077"/>
  <c r="U73" i="111"/>
  <c r="K68" i="52077"/>
  <c r="U68" i="111"/>
  <c r="K66" i="52077"/>
  <c r="U66" i="111"/>
  <c r="K64" i="52077"/>
  <c r="U64" i="111"/>
  <c r="L65" i="52075"/>
  <c r="L196" i="52083"/>
  <c r="L192" i="52083"/>
  <c r="L188" i="52083"/>
  <c r="L181" i="52083"/>
  <c r="L179" i="52083"/>
  <c r="L177" i="52083"/>
  <c r="L173" i="52083"/>
  <c r="L171" i="52083"/>
  <c r="G182" i="21"/>
  <c r="J182" i="9"/>
  <c r="K125" i="52076"/>
  <c r="K123" i="52076"/>
  <c r="K121" i="52076"/>
  <c r="K114" i="52076"/>
  <c r="K112" i="52076"/>
  <c r="K110" i="52076"/>
  <c r="K106" i="52076"/>
  <c r="K101" i="52076"/>
  <c r="K99" i="52076"/>
  <c r="K95" i="52076"/>
  <c r="K93" i="52076"/>
  <c r="K91" i="52076"/>
  <c r="K8" i="52076"/>
  <c r="D116" i="20"/>
  <c r="D239" i="20"/>
  <c r="K65" i="52074"/>
  <c r="L198" i="52075"/>
  <c r="L190" i="52075"/>
  <c r="L181" i="52075"/>
  <c r="L179" i="52075"/>
  <c r="L177" i="52075"/>
  <c r="L126" i="52075"/>
  <c r="L124" i="52075"/>
  <c r="L122" i="52075"/>
  <c r="L118" i="52075"/>
  <c r="L113" i="52075"/>
  <c r="L111" i="52075"/>
  <c r="L107" i="52075"/>
  <c r="L105" i="52075"/>
  <c r="L100" i="52075"/>
  <c r="L96" i="52075"/>
  <c r="L94" i="52075"/>
  <c r="L92" i="52075"/>
  <c r="D154" i="52088"/>
  <c r="D241" i="52088"/>
  <c r="D215" i="108"/>
  <c r="D249" i="108"/>
  <c r="J65" i="52066"/>
  <c r="K65" i="52084"/>
  <c r="F181" i="52074"/>
  <c r="J181" i="52074" s="1"/>
  <c r="K181" i="52074"/>
  <c r="G89" i="52083"/>
  <c r="K89" i="52083"/>
  <c r="L89" i="52083"/>
  <c r="J65" i="52064"/>
  <c r="J65" i="9"/>
  <c r="K163" i="52084"/>
  <c r="K159" i="52084"/>
  <c r="K155" i="52084"/>
  <c r="K148" i="52084"/>
  <c r="K144" i="52084"/>
  <c r="K140" i="52084"/>
  <c r="K136" i="52084"/>
  <c r="K132" i="52084"/>
  <c r="K125" i="52084"/>
  <c r="K121" i="52084"/>
  <c r="K114" i="52084"/>
  <c r="K110" i="52084"/>
  <c r="K106" i="52084"/>
  <c r="K99" i="52084"/>
  <c r="K95" i="52084"/>
  <c r="K91" i="52084"/>
  <c r="K76" i="52084"/>
  <c r="K72" i="52084"/>
  <c r="K212" i="52084"/>
  <c r="K179" i="52084"/>
  <c r="K175" i="52084"/>
  <c r="K171" i="52084"/>
  <c r="L8" i="52075"/>
  <c r="L212" i="52075"/>
  <c r="L196" i="52075"/>
  <c r="L192" i="52075"/>
  <c r="L188" i="52075"/>
  <c r="L180" i="52075"/>
  <c r="L176" i="52075"/>
  <c r="L174" i="52075"/>
  <c r="L159" i="52075"/>
  <c r="L157" i="52075"/>
  <c r="L155" i="52075"/>
  <c r="L150" i="52075"/>
  <c r="L148" i="52075"/>
  <c r="L146" i="52075"/>
  <c r="L144" i="52075"/>
  <c r="L142" i="52075"/>
  <c r="L140" i="52075"/>
  <c r="L138" i="52075"/>
  <c r="L136" i="52075"/>
  <c r="K179" i="52077"/>
  <c r="K177" i="52077"/>
  <c r="K175" i="52077"/>
  <c r="K173" i="52077"/>
  <c r="K171" i="52077"/>
  <c r="K169" i="52077"/>
  <c r="K164" i="52077"/>
  <c r="K162" i="52077"/>
  <c r="K160" i="52077"/>
  <c r="K158" i="52077"/>
  <c r="K156" i="52077"/>
  <c r="K151" i="52077"/>
  <c r="K149" i="52077"/>
  <c r="K147" i="52077"/>
  <c r="K145" i="52077"/>
  <c r="K143" i="52077"/>
  <c r="K141" i="52077"/>
  <c r="K139" i="52077"/>
  <c r="K137" i="52077"/>
  <c r="K135" i="52077"/>
  <c r="K133" i="52077"/>
  <c r="K126" i="52077"/>
  <c r="K124" i="52077"/>
  <c r="K122" i="52077"/>
  <c r="K120" i="52077"/>
  <c r="D215" i="77"/>
  <c r="D249" i="77" s="1"/>
  <c r="K179" i="52074"/>
  <c r="K177" i="52074"/>
  <c r="K175" i="52074"/>
  <c r="K173" i="52074"/>
  <c r="K171" i="52074"/>
  <c r="K169" i="52074"/>
  <c r="K164" i="52074"/>
  <c r="K162" i="52074"/>
  <c r="K160" i="52074"/>
  <c r="K158" i="52074"/>
  <c r="K156" i="52074"/>
  <c r="L67" i="52083"/>
  <c r="L197" i="52083"/>
  <c r="L195" i="52083"/>
  <c r="L193" i="52083"/>
  <c r="L191" i="52083"/>
  <c r="L189" i="52083"/>
  <c r="L187" i="52083"/>
  <c r="L108" i="52083"/>
  <c r="L101" i="52083"/>
  <c r="L97" i="52083"/>
  <c r="L93" i="52083"/>
  <c r="L85" i="52083"/>
  <c r="L81" i="52083"/>
  <c r="L77" i="52083"/>
  <c r="L73" i="52083"/>
  <c r="L66" i="52083"/>
  <c r="L64" i="52083"/>
  <c r="J88" i="9"/>
  <c r="J84" i="9"/>
  <c r="J80" i="9"/>
  <c r="J76" i="9"/>
  <c r="K172" i="52084"/>
  <c r="D21" i="48"/>
  <c r="D51" i="48" s="1"/>
  <c r="L64" i="52075"/>
  <c r="K118" i="52077"/>
  <c r="K113" i="52077"/>
  <c r="K111" i="52077"/>
  <c r="K109" i="52077"/>
  <c r="K107" i="52077"/>
  <c r="K105" i="52077"/>
  <c r="K100" i="52077"/>
  <c r="K98" i="52077"/>
  <c r="K96" i="52077"/>
  <c r="K94" i="52077"/>
  <c r="K92" i="52077"/>
  <c r="K90" i="52077"/>
  <c r="D21" i="52093"/>
  <c r="D51" i="52093" s="1"/>
  <c r="D201" i="52092"/>
  <c r="D243" i="52092" s="1"/>
  <c r="D215" i="52090"/>
  <c r="D249" i="52090" s="1"/>
  <c r="D116" i="52089"/>
  <c r="D239" i="52089" s="1"/>
  <c r="D21" i="77"/>
  <c r="D51" i="77" s="1"/>
  <c r="D21" i="20"/>
  <c r="D51" i="20" s="1"/>
  <c r="D129" i="115"/>
  <c r="D240" i="115" s="1"/>
  <c r="D51" i="52071"/>
  <c r="D233" i="52071" s="1"/>
  <c r="D215" i="52079"/>
  <c r="D249" i="52079" s="1"/>
  <c r="D201" i="52079"/>
  <c r="L212" i="52083"/>
  <c r="D201" i="52067"/>
  <c r="D154" i="52067"/>
  <c r="D241" i="52067" s="1"/>
  <c r="D51" i="52067"/>
  <c r="D233" i="52067" s="1"/>
  <c r="D201" i="101"/>
  <c r="D201" i="52088"/>
  <c r="E119" i="52083"/>
  <c r="I187" i="52083"/>
  <c r="I195" i="52083"/>
  <c r="H56" i="52083"/>
  <c r="C118" i="52074"/>
  <c r="C120" i="52074"/>
  <c r="E118" i="52075"/>
  <c r="E120" i="52075"/>
  <c r="H26" i="52098"/>
  <c r="H41" i="52098"/>
  <c r="H187" i="52098"/>
  <c r="H189" i="52098"/>
  <c r="H191" i="52098"/>
  <c r="H193" i="52098"/>
  <c r="H195" i="52098"/>
  <c r="H197" i="52098"/>
  <c r="C120" i="52098"/>
  <c r="I118" i="52075"/>
  <c r="G27" i="9"/>
  <c r="B27" i="233" s="1"/>
  <c r="B118" i="52097"/>
  <c r="G118" i="52097"/>
  <c r="I89" i="110"/>
  <c r="F89" i="233"/>
  <c r="J89" i="233" s="1"/>
  <c r="I89" i="52081"/>
  <c r="E89" i="52084"/>
  <c r="I89" i="52084" s="1"/>
  <c r="D154" i="52094"/>
  <c r="D241" i="52094" s="1"/>
  <c r="K131" i="52077"/>
  <c r="K8" i="52077"/>
  <c r="K21" i="52077" s="1"/>
  <c r="D21" i="52094"/>
  <c r="D51" i="52094" s="1"/>
  <c r="K206" i="52077"/>
  <c r="C38" i="52091"/>
  <c r="D21" i="105"/>
  <c r="D51" i="105" s="1"/>
  <c r="L8" i="52083"/>
  <c r="L21" i="52083" s="1"/>
  <c r="L51" i="52083" s="1"/>
  <c r="L232" i="52083" s="1"/>
  <c r="D185" i="52066"/>
  <c r="D243" i="52066"/>
  <c r="K176" i="52084"/>
  <c r="K165" i="52084"/>
  <c r="K157" i="52084"/>
  <c r="K146" i="52084"/>
  <c r="K138" i="52084"/>
  <c r="K127" i="52084"/>
  <c r="K119" i="52084"/>
  <c r="K108" i="52084"/>
  <c r="K97" i="52084"/>
  <c r="K87" i="52084"/>
  <c r="K79" i="52084"/>
  <c r="K68" i="52084"/>
  <c r="L178" i="52075"/>
  <c r="L134" i="52075"/>
  <c r="L132" i="52075"/>
  <c r="L127" i="52075"/>
  <c r="L125" i="52075"/>
  <c r="L123" i="52075"/>
  <c r="L121" i="52075"/>
  <c r="L119" i="52075"/>
  <c r="L114" i="52075"/>
  <c r="L112" i="52075"/>
  <c r="L110" i="52075"/>
  <c r="L108" i="52075"/>
  <c r="L106" i="52075"/>
  <c r="L101" i="52075"/>
  <c r="L99" i="52075"/>
  <c r="L97" i="52075"/>
  <c r="L95" i="52075"/>
  <c r="L93" i="52075"/>
  <c r="L91" i="52075"/>
  <c r="D154" i="52093"/>
  <c r="D241" i="52093" s="1"/>
  <c r="D168" i="52089"/>
  <c r="D242" i="52089" s="1"/>
  <c r="D168" i="77"/>
  <c r="D242" i="77" s="1"/>
  <c r="K198" i="52076"/>
  <c r="K196" i="52076"/>
  <c r="K194" i="52076"/>
  <c r="K192" i="52076"/>
  <c r="K190" i="52076"/>
  <c r="K188" i="52076"/>
  <c r="K186" i="52076"/>
  <c r="K88" i="52076"/>
  <c r="K86" i="52076"/>
  <c r="K82" i="52076"/>
  <c r="K78" i="52076"/>
  <c r="K74" i="52076"/>
  <c r="K67" i="52076"/>
  <c r="D201" i="20"/>
  <c r="D243" i="20" s="1"/>
  <c r="D154" i="114"/>
  <c r="D241" i="114" s="1"/>
  <c r="L180" i="52083"/>
  <c r="L178" i="52083"/>
  <c r="L176" i="52083"/>
  <c r="L174" i="52083"/>
  <c r="L172" i="52083"/>
  <c r="L170" i="52083"/>
  <c r="L88" i="52083"/>
  <c r="L86" i="52083"/>
  <c r="L84" i="52083"/>
  <c r="L82" i="52083"/>
  <c r="L80" i="52083"/>
  <c r="L78" i="52083"/>
  <c r="L76" i="52083"/>
  <c r="L74" i="52083"/>
  <c r="L72" i="52083"/>
  <c r="J182" i="52094"/>
  <c r="K181" i="52077"/>
  <c r="J65" i="52092"/>
  <c r="K65" i="52077"/>
  <c r="G89" i="52075"/>
  <c r="L89" i="52075"/>
  <c r="K181" i="52076"/>
  <c r="D70" i="20"/>
  <c r="D103" i="20" s="1"/>
  <c r="K180" i="52084"/>
  <c r="K161" i="52084"/>
  <c r="K150" i="52084"/>
  <c r="K142" i="52084"/>
  <c r="K134" i="52084"/>
  <c r="K123" i="52084"/>
  <c r="K112" i="52084"/>
  <c r="K101" i="52084"/>
  <c r="K93" i="52084"/>
  <c r="O212" i="110"/>
  <c r="D154" i="32"/>
  <c r="D241" i="32" s="1"/>
  <c r="D116" i="52093"/>
  <c r="D239" i="52093" s="1"/>
  <c r="D70" i="52092"/>
  <c r="D103" i="52092" s="1"/>
  <c r="L197" i="52075"/>
  <c r="L193" i="52075"/>
  <c r="L189" i="52075"/>
  <c r="L182" i="52075"/>
  <c r="L87" i="52075"/>
  <c r="L85" i="52075"/>
  <c r="L83" i="52075"/>
  <c r="L81" i="52075"/>
  <c r="L79" i="52075"/>
  <c r="L77" i="52075"/>
  <c r="L75" i="52075"/>
  <c r="L73" i="52075"/>
  <c r="L68" i="52075"/>
  <c r="L66" i="52075"/>
  <c r="K179" i="52076"/>
  <c r="K177" i="52076"/>
  <c r="K175" i="52076"/>
  <c r="K173" i="52076"/>
  <c r="K171" i="52076"/>
  <c r="K169" i="52076"/>
  <c r="K164" i="52076"/>
  <c r="K162" i="52076"/>
  <c r="K160" i="52076"/>
  <c r="K158" i="52076"/>
  <c r="K156" i="52076"/>
  <c r="K151" i="52076"/>
  <c r="K149" i="52076"/>
  <c r="K147" i="52076"/>
  <c r="K145" i="52076"/>
  <c r="K143" i="52076"/>
  <c r="K141" i="52076"/>
  <c r="K139" i="52076"/>
  <c r="K137" i="52076"/>
  <c r="K135" i="52076"/>
  <c r="K133" i="52076"/>
  <c r="K49" i="52076"/>
  <c r="L49" i="52075"/>
  <c r="L210" i="52083"/>
  <c r="L169" i="52083"/>
  <c r="L164" i="52083"/>
  <c r="L162" i="52083"/>
  <c r="L160" i="52083"/>
  <c r="L158" i="52083"/>
  <c r="L156" i="52083"/>
  <c r="L151" i="52083"/>
  <c r="L149" i="52083"/>
  <c r="L147" i="52083"/>
  <c r="L145" i="52083"/>
  <c r="L143" i="52083"/>
  <c r="L141" i="52083"/>
  <c r="L139" i="52083"/>
  <c r="L137" i="52083"/>
  <c r="L135" i="52083"/>
  <c r="L133" i="52083"/>
  <c r="L131" i="52083"/>
  <c r="L126" i="52083"/>
  <c r="L124" i="52083"/>
  <c r="L122" i="52083"/>
  <c r="L120" i="52083"/>
  <c r="L118" i="52083"/>
  <c r="L113" i="52083"/>
  <c r="L111" i="52083"/>
  <c r="L109" i="52083"/>
  <c r="L107" i="52083"/>
  <c r="L105" i="52083"/>
  <c r="L100" i="52083"/>
  <c r="L98" i="52083"/>
  <c r="L96" i="52083"/>
  <c r="L94" i="52083"/>
  <c r="L92" i="52083"/>
  <c r="L90" i="52083"/>
  <c r="D154" i="148"/>
  <c r="D241" i="148" s="1"/>
  <c r="B60" i="52098"/>
  <c r="B234" i="52098" s="1"/>
  <c r="B60" i="9"/>
  <c r="B235" i="9" s="1"/>
  <c r="I57" i="110"/>
  <c r="G235" i="52079"/>
  <c r="K79" i="52074"/>
  <c r="M185" i="52082"/>
  <c r="M243" i="52082"/>
  <c r="M168" i="52082"/>
  <c r="M242" i="52082"/>
  <c r="M154" i="52082"/>
  <c r="M241" i="52082"/>
  <c r="M129" i="52082"/>
  <c r="M240" i="52082"/>
  <c r="M70" i="52082"/>
  <c r="M103" i="52082"/>
  <c r="J213" i="9"/>
  <c r="J211" i="9"/>
  <c r="L211" i="233" s="1"/>
  <c r="J199" i="9"/>
  <c r="J195" i="9"/>
  <c r="J193" i="9"/>
  <c r="J191" i="9"/>
  <c r="J187" i="9"/>
  <c r="K83" i="52074"/>
  <c r="K81" i="52074"/>
  <c r="D21" i="52089"/>
  <c r="D51" i="52089" s="1"/>
  <c r="K189" i="52074"/>
  <c r="K110" i="52074"/>
  <c r="K77" i="52074"/>
  <c r="J119" i="9"/>
  <c r="J97" i="9"/>
  <c r="R192" i="111"/>
  <c r="D192" i="233" s="1"/>
  <c r="U126" i="111"/>
  <c r="L74" i="52075"/>
  <c r="K97" i="52076"/>
  <c r="G213" i="52067"/>
  <c r="J213" i="52067" s="1"/>
  <c r="B118" i="52084"/>
  <c r="D119" i="52074"/>
  <c r="G39" i="9"/>
  <c r="B39" i="233" s="1"/>
  <c r="G198" i="9"/>
  <c r="B198" i="233" s="1"/>
  <c r="H119" i="52097"/>
  <c r="K119" i="111"/>
  <c r="E120" i="111"/>
  <c r="R188" i="111"/>
  <c r="Q188" i="111" s="1"/>
  <c r="R190" i="111"/>
  <c r="Q190" i="111" s="1"/>
  <c r="F120" i="110"/>
  <c r="O120" i="110"/>
  <c r="K66" i="52076"/>
  <c r="K64" i="52076"/>
  <c r="K151" i="52074"/>
  <c r="K135" i="52074"/>
  <c r="D185" i="52064"/>
  <c r="D243" i="52064" s="1"/>
  <c r="I120" i="52075"/>
  <c r="K133" i="52084"/>
  <c r="O181" i="110"/>
  <c r="O68" i="110"/>
  <c r="K212" i="52077"/>
  <c r="K192" i="52077"/>
  <c r="K190" i="52077"/>
  <c r="K188" i="52077"/>
  <c r="K86" i="52077"/>
  <c r="K82" i="52077"/>
  <c r="K159" i="52077"/>
  <c r="K121" i="52077"/>
  <c r="H26" i="52083"/>
  <c r="H28" i="52083"/>
  <c r="H35" i="52083"/>
  <c r="H41" i="52083"/>
  <c r="H157" i="52098"/>
  <c r="G29" i="9"/>
  <c r="B29" i="233" s="1"/>
  <c r="G38" i="9"/>
  <c r="B38" i="233" s="1"/>
  <c r="I207" i="110"/>
  <c r="I213" i="52071"/>
  <c r="J113" i="52067"/>
  <c r="G113" i="52083"/>
  <c r="L56" i="233"/>
  <c r="L26" i="233"/>
  <c r="L47" i="233"/>
  <c r="L30" i="233"/>
  <c r="D185" i="52081"/>
  <c r="D243" i="52081" s="1"/>
  <c r="K173" i="52084"/>
  <c r="K92" i="52084"/>
  <c r="O162" i="110"/>
  <c r="K49" i="52074"/>
  <c r="F49" i="52074" s="1"/>
  <c r="J49" i="52074" s="1"/>
  <c r="G213" i="108"/>
  <c r="D213" i="52097" s="1"/>
  <c r="D120" i="52074"/>
  <c r="H56" i="52098"/>
  <c r="H196" i="52098"/>
  <c r="B119" i="52082"/>
  <c r="C120" i="52082"/>
  <c r="H119" i="52076"/>
  <c r="U165" i="111"/>
  <c r="U88" i="111"/>
  <c r="K113" i="52074"/>
  <c r="D116" i="115"/>
  <c r="D239" i="115" s="1"/>
  <c r="D193" i="233"/>
  <c r="F65" i="52084"/>
  <c r="J65" i="52084" s="1"/>
  <c r="G89" i="148"/>
  <c r="B89" i="52082" s="1"/>
  <c r="E65" i="9"/>
  <c r="I65" i="9" s="1"/>
  <c r="O89" i="110"/>
  <c r="L33" i="233"/>
  <c r="K192" i="52084"/>
  <c r="K169" i="52084"/>
  <c r="K149" i="52084"/>
  <c r="K111" i="52084"/>
  <c r="K74" i="52084"/>
  <c r="O139" i="110"/>
  <c r="O98" i="110"/>
  <c r="O190" i="110"/>
  <c r="O173" i="110"/>
  <c r="O79" i="110"/>
  <c r="O49" i="110"/>
  <c r="L86" i="52075"/>
  <c r="L186" i="52075"/>
  <c r="U145" i="111"/>
  <c r="U107" i="111"/>
  <c r="L78" i="52075"/>
  <c r="D21" i="52095"/>
  <c r="D51" i="52095" s="1"/>
  <c r="K132" i="52074"/>
  <c r="K85" i="52074"/>
  <c r="K68" i="52074"/>
  <c r="K66" i="52074"/>
  <c r="K64" i="52074"/>
  <c r="K124" i="52074"/>
  <c r="K105" i="52074"/>
  <c r="L191" i="52075"/>
  <c r="L170" i="52075"/>
  <c r="D168" i="52079"/>
  <c r="D242" i="52079" s="1"/>
  <c r="L79" i="52083"/>
  <c r="D168" i="148"/>
  <c r="D242" i="148" s="1"/>
  <c r="J121" i="9"/>
  <c r="J110" i="9"/>
  <c r="L110" i="233" s="1"/>
  <c r="J108" i="9"/>
  <c r="J106" i="9"/>
  <c r="L106" i="233" s="1"/>
  <c r="J93" i="9"/>
  <c r="J64" i="9"/>
  <c r="D185" i="21"/>
  <c r="D243" i="21" s="1"/>
  <c r="E118" i="52083"/>
  <c r="I159" i="52083"/>
  <c r="I193" i="52083"/>
  <c r="B119" i="52083"/>
  <c r="D120" i="52084"/>
  <c r="C120" i="52075"/>
  <c r="H37" i="52098"/>
  <c r="H188" i="52098"/>
  <c r="D118" i="52098"/>
  <c r="H120" i="52076"/>
  <c r="J118" i="52097"/>
  <c r="D120" i="111"/>
  <c r="F120" i="111"/>
  <c r="H120" i="111"/>
  <c r="K120" i="111"/>
  <c r="M120" i="111"/>
  <c r="G255" i="233"/>
  <c r="U49" i="111"/>
  <c r="K143" i="52074"/>
  <c r="D154" i="52064"/>
  <c r="D241" i="52064" s="1"/>
  <c r="E206" i="52084"/>
  <c r="F65" i="52074"/>
  <c r="J65" i="52074" s="1"/>
  <c r="G65" i="20"/>
  <c r="B65" i="52074" s="1"/>
  <c r="K200" i="52098"/>
  <c r="J65" i="114"/>
  <c r="F89" i="52077"/>
  <c r="K164" i="52084"/>
  <c r="K162" i="52084"/>
  <c r="K160" i="52084"/>
  <c r="K145" i="52084"/>
  <c r="K143" i="52084"/>
  <c r="K141" i="52084"/>
  <c r="K126" i="52084"/>
  <c r="K124" i="52084"/>
  <c r="K122" i="52084"/>
  <c r="K107" i="52084"/>
  <c r="K105" i="52084"/>
  <c r="K100" i="52084"/>
  <c r="O198" i="110"/>
  <c r="O194" i="110"/>
  <c r="U182" i="111"/>
  <c r="U180" i="111"/>
  <c r="U178" i="111"/>
  <c r="U176" i="111"/>
  <c r="U174" i="111"/>
  <c r="U172" i="111"/>
  <c r="L172" i="233"/>
  <c r="U170" i="111"/>
  <c r="L170" i="233"/>
  <c r="U163" i="111"/>
  <c r="U161" i="111"/>
  <c r="U159" i="111"/>
  <c r="U157" i="111"/>
  <c r="L157" i="233" s="1"/>
  <c r="U152" i="111"/>
  <c r="U149" i="111"/>
  <c r="U147" i="111"/>
  <c r="U143" i="111"/>
  <c r="U141" i="111"/>
  <c r="U139" i="111"/>
  <c r="U137" i="111"/>
  <c r="U135" i="111"/>
  <c r="U133" i="111"/>
  <c r="U131" i="111"/>
  <c r="U124" i="111"/>
  <c r="U122" i="111"/>
  <c r="U120" i="111"/>
  <c r="U118" i="111"/>
  <c r="U113" i="111"/>
  <c r="U111" i="111"/>
  <c r="U109" i="111"/>
  <c r="U105" i="111"/>
  <c r="U100" i="111"/>
  <c r="U98" i="111"/>
  <c r="U96" i="111"/>
  <c r="U94" i="111"/>
  <c r="U92" i="111"/>
  <c r="L92" i="233"/>
  <c r="U90" i="111"/>
  <c r="L88" i="52075"/>
  <c r="L72" i="52075"/>
  <c r="L67" i="52075"/>
  <c r="D116" i="77"/>
  <c r="D239" i="77" s="1"/>
  <c r="K87" i="52074"/>
  <c r="K149" i="52074"/>
  <c r="K147" i="52074"/>
  <c r="K145" i="52074"/>
  <c r="K141" i="52074"/>
  <c r="K139" i="52074"/>
  <c r="K137" i="52074"/>
  <c r="K133" i="52074"/>
  <c r="L99" i="52083"/>
  <c r="H118" i="52084"/>
  <c r="D70" i="52064"/>
  <c r="D103" i="52064" s="1"/>
  <c r="L38" i="233"/>
  <c r="U187" i="111"/>
  <c r="U17" i="111"/>
  <c r="U15" i="111"/>
  <c r="U13" i="111"/>
  <c r="U11" i="111"/>
  <c r="D21" i="52081"/>
  <c r="D51" i="52081"/>
  <c r="O164" i="110"/>
  <c r="K86" i="52084"/>
  <c r="K84" i="52084"/>
  <c r="K82" i="52084"/>
  <c r="K80" i="52084"/>
  <c r="K78" i="52084"/>
  <c r="K217" i="52084"/>
  <c r="O183" i="110"/>
  <c r="O85" i="110"/>
  <c r="O83" i="110"/>
  <c r="O77" i="110"/>
  <c r="O75" i="110"/>
  <c r="O66" i="110"/>
  <c r="O152" i="110"/>
  <c r="O147" i="110"/>
  <c r="O135" i="110"/>
  <c r="O131" i="110"/>
  <c r="O113" i="110"/>
  <c r="O109" i="110"/>
  <c r="U191" i="111"/>
  <c r="D168" i="52080"/>
  <c r="D242" i="52080"/>
  <c r="D21" i="52080"/>
  <c r="D51" i="52080"/>
  <c r="L206" i="52075"/>
  <c r="L195" i="52075"/>
  <c r="U82" i="111"/>
  <c r="L80" i="52075"/>
  <c r="K198" i="52077"/>
  <c r="K196" i="52077"/>
  <c r="K194" i="52077"/>
  <c r="K176" i="52076"/>
  <c r="K138" i="52076"/>
  <c r="K79" i="52076"/>
  <c r="K178" i="52077"/>
  <c r="K140" i="52077"/>
  <c r="K87" i="52076"/>
  <c r="K170" i="52074"/>
  <c r="K148" i="52074"/>
  <c r="K131" i="52074"/>
  <c r="K126" i="52074"/>
  <c r="K122" i="52074"/>
  <c r="K120" i="52074"/>
  <c r="K118" i="52074"/>
  <c r="K111" i="52074"/>
  <c r="K109" i="52074"/>
  <c r="K107" i="52074"/>
  <c r="K100" i="52074"/>
  <c r="K98" i="52074"/>
  <c r="K96" i="52074"/>
  <c r="K92" i="52074"/>
  <c r="K90" i="52074"/>
  <c r="K8" i="52074"/>
  <c r="D21" i="114"/>
  <c r="D51" i="114" s="1"/>
  <c r="L68" i="52083"/>
  <c r="L186" i="52083"/>
  <c r="J218" i="9"/>
  <c r="J198" i="9"/>
  <c r="L198" i="233" s="1"/>
  <c r="J196" i="9"/>
  <c r="J194" i="9"/>
  <c r="L194" i="233" s="1"/>
  <c r="J192" i="9"/>
  <c r="J190" i="9"/>
  <c r="L190" i="233" s="1"/>
  <c r="J188" i="9"/>
  <c r="J183" i="9"/>
  <c r="L183" i="233" s="1"/>
  <c r="J179" i="9"/>
  <c r="J166" i="9"/>
  <c r="J164" i="9"/>
  <c r="J150" i="9"/>
  <c r="L150" i="233" s="1"/>
  <c r="J140" i="9"/>
  <c r="J127" i="9"/>
  <c r="J125" i="9"/>
  <c r="L125" i="233" s="1"/>
  <c r="J112" i="9"/>
  <c r="J99" i="9"/>
  <c r="L99" i="233" s="1"/>
  <c r="I38" i="52083"/>
  <c r="I157" i="52083"/>
  <c r="D118" i="52084"/>
  <c r="B119" i="52075"/>
  <c r="E119" i="52097"/>
  <c r="B120" i="52097"/>
  <c r="D120" i="52097"/>
  <c r="E118" i="111"/>
  <c r="M118" i="111"/>
  <c r="F119" i="111"/>
  <c r="R158" i="111"/>
  <c r="Q158" i="111" s="1"/>
  <c r="F119" i="110"/>
  <c r="F181" i="52077"/>
  <c r="B213" i="9"/>
  <c r="B212" i="52098"/>
  <c r="D21" i="12"/>
  <c r="D51" i="12" s="1"/>
  <c r="K9" i="52076"/>
  <c r="G118" i="111"/>
  <c r="H118" i="52097"/>
  <c r="D118" i="52083"/>
  <c r="E119" i="111"/>
  <c r="B119" i="52076"/>
  <c r="C119" i="52075"/>
  <c r="B119" i="111"/>
  <c r="C119" i="9"/>
  <c r="C119" i="52098"/>
  <c r="F255" i="233"/>
  <c r="H255" i="9"/>
  <c r="D81" i="93"/>
  <c r="D170" i="93" s="1"/>
  <c r="K158" i="52084"/>
  <c r="K156" i="52084"/>
  <c r="K147" i="52084"/>
  <c r="K139" i="52084"/>
  <c r="K137" i="52084"/>
  <c r="K131" i="52084"/>
  <c r="K120" i="52084"/>
  <c r="D129" i="52081"/>
  <c r="D240" i="52081" s="1"/>
  <c r="K109" i="52084"/>
  <c r="K98" i="52084"/>
  <c r="K96" i="52084"/>
  <c r="K90" i="52084"/>
  <c r="D185" i="52072"/>
  <c r="D243" i="52072" s="1"/>
  <c r="K151" i="52084"/>
  <c r="K135" i="52084"/>
  <c r="K113" i="52084"/>
  <c r="K94" i="52084"/>
  <c r="O175" i="110"/>
  <c r="O156" i="110"/>
  <c r="O91" i="110"/>
  <c r="K67" i="52084"/>
  <c r="O143" i="110"/>
  <c r="O124" i="110"/>
  <c r="O105" i="110"/>
  <c r="O64" i="110"/>
  <c r="O179" i="110"/>
  <c r="O177" i="110"/>
  <c r="O171" i="110"/>
  <c r="O166" i="110"/>
  <c r="O160" i="110"/>
  <c r="O158" i="110"/>
  <c r="O95" i="110"/>
  <c r="O93" i="110"/>
  <c r="O81" i="110"/>
  <c r="O73" i="110"/>
  <c r="U197" i="111"/>
  <c r="L187" i="52075"/>
  <c r="U199" i="111"/>
  <c r="U193" i="111"/>
  <c r="U189" i="111"/>
  <c r="L189" i="233" s="1"/>
  <c r="L84" i="52075"/>
  <c r="L76" i="52075"/>
  <c r="K182" i="52077"/>
  <c r="K174" i="52077"/>
  <c r="K163" i="52077"/>
  <c r="K155" i="52077"/>
  <c r="K144" i="52077"/>
  <c r="K136" i="52077"/>
  <c r="K125" i="52077"/>
  <c r="K114" i="52077"/>
  <c r="K74" i="52077"/>
  <c r="K67" i="52077"/>
  <c r="K49" i="52077"/>
  <c r="D129" i="52093"/>
  <c r="D240" i="52093" s="1"/>
  <c r="K170" i="52077"/>
  <c r="K148" i="52077"/>
  <c r="K132" i="52077"/>
  <c r="D116" i="52092"/>
  <c r="D239" i="52092" s="1"/>
  <c r="K95" i="52077"/>
  <c r="D185" i="52090"/>
  <c r="D243" i="52090" s="1"/>
  <c r="K75" i="52074"/>
  <c r="K73" i="52074"/>
  <c r="D168" i="12"/>
  <c r="D242" i="12" s="1"/>
  <c r="K91" i="52074"/>
  <c r="L159" i="52083"/>
  <c r="L148" i="52083"/>
  <c r="L121" i="52083"/>
  <c r="L110" i="52083"/>
  <c r="L194" i="52083"/>
  <c r="D185" i="148"/>
  <c r="D243" i="148" s="1"/>
  <c r="J175" i="9"/>
  <c r="J148" i="9"/>
  <c r="J146" i="9"/>
  <c r="J123" i="9"/>
  <c r="J95" i="9"/>
  <c r="J86" i="9"/>
  <c r="I25" i="52083"/>
  <c r="I197" i="52083"/>
  <c r="H159" i="52098"/>
  <c r="G30" i="52083"/>
  <c r="G44" i="52083" s="1"/>
  <c r="G36" i="9"/>
  <c r="B36" i="233" s="1"/>
  <c r="R25" i="111"/>
  <c r="D25" i="233" s="1"/>
  <c r="B118" i="52098"/>
  <c r="G118" i="52098"/>
  <c r="L118" i="111"/>
  <c r="H118" i="111"/>
  <c r="D118" i="52075"/>
  <c r="F118" i="111"/>
  <c r="H118" i="52076"/>
  <c r="H118" i="52074"/>
  <c r="D118" i="111"/>
  <c r="H119" i="52084"/>
  <c r="E119" i="110"/>
  <c r="B119" i="52074"/>
  <c r="D119" i="111"/>
  <c r="H119" i="52074"/>
  <c r="G120" i="52098"/>
  <c r="B120" i="9"/>
  <c r="I120" i="52097"/>
  <c r="D120" i="52098"/>
  <c r="K118" i="52084"/>
  <c r="D129" i="52095"/>
  <c r="K65" i="52076"/>
  <c r="L139" i="52075"/>
  <c r="L182" i="52083"/>
  <c r="L132" i="52083"/>
  <c r="C118" i="52084"/>
  <c r="E118" i="110"/>
  <c r="C118" i="52097"/>
  <c r="B118" i="52083"/>
  <c r="L119" i="111"/>
  <c r="H119" i="111"/>
  <c r="D119" i="52075"/>
  <c r="C119" i="52083"/>
  <c r="J119" i="52097"/>
  <c r="C120" i="52084"/>
  <c r="E120" i="110"/>
  <c r="H120" i="52084"/>
  <c r="J120" i="52097"/>
  <c r="C120" i="52083"/>
  <c r="I253" i="52097"/>
  <c r="G213" i="52071"/>
  <c r="G212" i="52098" s="1"/>
  <c r="J213" i="52071"/>
  <c r="U195" i="111"/>
  <c r="U80" i="111"/>
  <c r="J89" i="9"/>
  <c r="K89" i="52074"/>
  <c r="L98" i="52075"/>
  <c r="G182" i="52095"/>
  <c r="L87" i="52083"/>
  <c r="J181" i="9"/>
  <c r="J171" i="9"/>
  <c r="J156" i="9"/>
  <c r="J142" i="9"/>
  <c r="L142" i="233" s="1"/>
  <c r="J132" i="9"/>
  <c r="J114" i="9"/>
  <c r="J101" i="9"/>
  <c r="J91" i="9"/>
  <c r="H39" i="52083"/>
  <c r="I189" i="52083"/>
  <c r="I191" i="52083"/>
  <c r="C118" i="52076"/>
  <c r="H192" i="52098"/>
  <c r="D119" i="52098"/>
  <c r="G119" i="52098"/>
  <c r="I119" i="52075"/>
  <c r="D201" i="52082"/>
  <c r="H120" i="52074"/>
  <c r="E182" i="9"/>
  <c r="I182" i="9" s="1"/>
  <c r="G89" i="52090"/>
  <c r="D89" i="52075" s="1"/>
  <c r="J113" i="52087"/>
  <c r="J182" i="32"/>
  <c r="G182" i="32"/>
  <c r="E181" i="52102" s="1"/>
  <c r="J65" i="32"/>
  <c r="J89" i="32"/>
  <c r="G89" i="32"/>
  <c r="L89" i="32" s="1"/>
  <c r="B65" i="110"/>
  <c r="G182" i="115"/>
  <c r="I213" i="20"/>
  <c r="J65" i="20"/>
  <c r="J89" i="105"/>
  <c r="D113" i="52084"/>
  <c r="B89" i="9"/>
  <c r="J113" i="114"/>
  <c r="F235" i="52100"/>
  <c r="D129" i="52100"/>
  <c r="D240" i="52100" s="1"/>
  <c r="D249" i="52100"/>
  <c r="J122" i="52100"/>
  <c r="J179" i="52079"/>
  <c r="J179" i="52071"/>
  <c r="J179" i="52091"/>
  <c r="J123" i="52089"/>
  <c r="I213" i="52080"/>
  <c r="J179" i="91"/>
  <c r="J113" i="52072"/>
  <c r="I150" i="93"/>
  <c r="J179" i="52092"/>
  <c r="D106" i="110"/>
  <c r="G113" i="52064"/>
  <c r="J179" i="148"/>
  <c r="J179" i="52066"/>
  <c r="H133" i="111"/>
  <c r="I213" i="91"/>
  <c r="J133" i="111"/>
  <c r="F138" i="110"/>
  <c r="I54" i="93"/>
  <c r="F113" i="52098"/>
  <c r="I194" i="52077"/>
  <c r="J213" i="148"/>
  <c r="G122" i="52066"/>
  <c r="C122" i="52103" s="1"/>
  <c r="F122" i="52084"/>
  <c r="B133" i="52075"/>
  <c r="C140" i="111"/>
  <c r="I197" i="52077"/>
  <c r="C107" i="52077"/>
  <c r="J213" i="52064"/>
  <c r="I213" i="52064"/>
  <c r="E213" i="9"/>
  <c r="B79" i="110"/>
  <c r="I213" i="52066"/>
  <c r="C113" i="110"/>
  <c r="G121" i="91"/>
  <c r="B137" i="110"/>
  <c r="C136" i="52074"/>
  <c r="J113" i="52093"/>
  <c r="F113" i="52076"/>
  <c r="I189" i="52077"/>
  <c r="I124" i="52077"/>
  <c r="D109" i="110"/>
  <c r="F133" i="110"/>
  <c r="C137" i="110"/>
  <c r="I213" i="52093"/>
  <c r="F212" i="52076"/>
  <c r="F121" i="52084"/>
  <c r="G121" i="48"/>
  <c r="B121" i="52103" s="1"/>
  <c r="J121" i="48"/>
  <c r="J123" i="91"/>
  <c r="B135" i="110"/>
  <c r="E136" i="52075"/>
  <c r="I196" i="52077"/>
  <c r="J177" i="115"/>
  <c r="J79" i="52089"/>
  <c r="F79" i="52074"/>
  <c r="G79" i="52075"/>
  <c r="J79" i="52080"/>
  <c r="D140" i="111"/>
  <c r="I140" i="52075"/>
  <c r="G212" i="52075"/>
  <c r="I213" i="52089"/>
  <c r="F212" i="52074"/>
  <c r="E139" i="111"/>
  <c r="I213" i="52072"/>
  <c r="N132" i="111"/>
  <c r="D74" i="52097"/>
  <c r="E113" i="9"/>
  <c r="J113" i="52064"/>
  <c r="G121" i="52066"/>
  <c r="C121" i="52103" s="1"/>
  <c r="C133" i="110"/>
  <c r="I190" i="52077"/>
  <c r="H137" i="111"/>
  <c r="D138" i="52074"/>
  <c r="N135" i="111"/>
  <c r="F137" i="110"/>
  <c r="C161" i="110"/>
  <c r="I213" i="32"/>
  <c r="E133" i="111"/>
  <c r="G121" i="52080"/>
  <c r="G121" i="52075"/>
  <c r="B138" i="110"/>
  <c r="I195" i="52077"/>
  <c r="K109" i="52098"/>
  <c r="G133" i="111"/>
  <c r="C91" i="52083"/>
  <c r="K112" i="52098"/>
  <c r="B136" i="52076"/>
  <c r="F212" i="52084"/>
  <c r="I213" i="48"/>
  <c r="N133" i="111"/>
  <c r="I191" i="52077"/>
  <c r="B14" i="111"/>
  <c r="F212" i="52098"/>
  <c r="I213" i="21"/>
  <c r="J213" i="21"/>
  <c r="M113" i="52097"/>
  <c r="G73" i="52079"/>
  <c r="J73" i="52097" s="1"/>
  <c r="I213" i="52079"/>
  <c r="B110" i="110"/>
  <c r="N113" i="111"/>
  <c r="G113" i="52075"/>
  <c r="C135" i="52074"/>
  <c r="C17" i="52075"/>
  <c r="G113" i="111"/>
  <c r="F113" i="52074"/>
  <c r="C10" i="52075"/>
  <c r="C137" i="52075"/>
  <c r="I213" i="52100"/>
  <c r="C12" i="52075"/>
  <c r="H108" i="52097"/>
  <c r="G212" i="52083"/>
  <c r="J212" i="52083" s="1"/>
  <c r="I213" i="108"/>
  <c r="J213" i="108"/>
  <c r="C108" i="52082"/>
  <c r="G137" i="111"/>
  <c r="M79" i="52097"/>
  <c r="G79" i="52083"/>
  <c r="D139" i="111"/>
  <c r="B139" i="111"/>
  <c r="C139" i="52075"/>
  <c r="D49" i="52098"/>
  <c r="D113" i="52074"/>
  <c r="E113" i="52075"/>
  <c r="C113" i="52084"/>
  <c r="J123" i="52071"/>
  <c r="F123" i="52098"/>
  <c r="J123" i="52098" s="1"/>
  <c r="D137" i="52074"/>
  <c r="J123" i="20"/>
  <c r="J123" i="52067"/>
  <c r="C14" i="52075"/>
  <c r="D133" i="111"/>
  <c r="J113" i="52080"/>
  <c r="D137" i="52075"/>
  <c r="D79" i="52074"/>
  <c r="J132" i="111"/>
  <c r="J180" i="52091"/>
  <c r="M133" i="111"/>
  <c r="J123" i="52081"/>
  <c r="C110" i="52077"/>
  <c r="I79" i="52075"/>
  <c r="N79" i="111"/>
  <c r="E79" i="52075"/>
  <c r="B11" i="111"/>
  <c r="K113" i="111"/>
  <c r="C136" i="111"/>
  <c r="J113" i="91"/>
  <c r="B133" i="52074"/>
  <c r="I207" i="52100"/>
  <c r="I212" i="52100"/>
  <c r="I211" i="52100"/>
  <c r="I215" i="52100"/>
  <c r="E239" i="52099"/>
  <c r="I239" i="52099"/>
  <c r="E203" i="52099"/>
  <c r="D57" i="9"/>
  <c r="F56" i="52083"/>
  <c r="E38" i="52087"/>
  <c r="E56" i="52077"/>
  <c r="I213" i="110"/>
  <c r="E25" i="20"/>
  <c r="E76" i="105"/>
  <c r="E88" i="105"/>
  <c r="E105" i="105"/>
  <c r="E26" i="20"/>
  <c r="E36" i="20"/>
  <c r="E68" i="20"/>
  <c r="E84" i="20"/>
  <c r="E108" i="20"/>
  <c r="E161" i="20"/>
  <c r="E24" i="105"/>
  <c r="E28" i="105"/>
  <c r="E42" i="105"/>
  <c r="E74" i="105"/>
  <c r="E86" i="105"/>
  <c r="E106" i="105"/>
  <c r="E77" i="20"/>
  <c r="E90" i="20"/>
  <c r="E106" i="20"/>
  <c r="E148" i="105"/>
  <c r="E127" i="20"/>
  <c r="E179" i="20"/>
  <c r="I179" i="20" s="1"/>
  <c r="E147" i="105"/>
  <c r="E100" i="20"/>
  <c r="E143" i="20"/>
  <c r="E138" i="20"/>
  <c r="E134" i="105"/>
  <c r="E120" i="20"/>
  <c r="E113" i="105"/>
  <c r="E142" i="20"/>
  <c r="E100" i="105"/>
  <c r="E148" i="20"/>
  <c r="E39" i="20"/>
  <c r="E119" i="105"/>
  <c r="E158" i="20"/>
  <c r="E112" i="20"/>
  <c r="E143" i="105"/>
  <c r="E118" i="105"/>
  <c r="E121" i="20"/>
  <c r="I121" i="20" s="1"/>
  <c r="E145" i="105"/>
  <c r="E150" i="105"/>
  <c r="B88" i="52074"/>
  <c r="H2420" i="52069"/>
  <c r="C1168" i="52069"/>
  <c r="C2587" i="52069"/>
  <c r="E38" i="108"/>
  <c r="E38" i="105"/>
  <c r="G57" i="52082"/>
  <c r="E222" i="52099"/>
  <c r="E254" i="52099" s="1"/>
  <c r="E245" i="52099"/>
  <c r="E223" i="52099"/>
  <c r="I2420" i="52069"/>
  <c r="I107" i="52100"/>
  <c r="I109" i="52100"/>
  <c r="I111" i="52100"/>
  <c r="I189" i="52100"/>
  <c r="I191" i="52100"/>
  <c r="I193" i="52100"/>
  <c r="I195" i="52100"/>
  <c r="I197" i="52100"/>
  <c r="I199" i="52100"/>
  <c r="I11" i="52100"/>
  <c r="I15" i="52100"/>
  <c r="I19" i="52100"/>
  <c r="I72" i="52100"/>
  <c r="I78" i="52100"/>
  <c r="I81" i="52100"/>
  <c r="I83" i="52100"/>
  <c r="I85" i="52100"/>
  <c r="I87" i="52100"/>
  <c r="I95" i="52100"/>
  <c r="I133" i="52100"/>
  <c r="I135" i="52100"/>
  <c r="I141" i="52100"/>
  <c r="I143" i="52100"/>
  <c r="I147" i="52100"/>
  <c r="I173" i="52100"/>
  <c r="I175" i="52100"/>
  <c r="I181" i="52100"/>
  <c r="I73" i="52100"/>
  <c r="I75" i="52100"/>
  <c r="I79" i="52100"/>
  <c r="I90" i="52100"/>
  <c r="I92" i="52100"/>
  <c r="I121" i="52100"/>
  <c r="I124" i="52100"/>
  <c r="I126" i="52100"/>
  <c r="I138" i="52100"/>
  <c r="I140" i="52100"/>
  <c r="I146" i="52100"/>
  <c r="I150" i="52100"/>
  <c r="I176" i="52100"/>
  <c r="I178" i="52100"/>
  <c r="I65" i="52100"/>
  <c r="I67" i="52100"/>
  <c r="I249" i="52100" s="1"/>
  <c r="I97" i="52100"/>
  <c r="I99" i="52100"/>
  <c r="I101" i="52100"/>
  <c r="I114" i="52100"/>
  <c r="I122" i="52100"/>
  <c r="I158" i="52100"/>
  <c r="I160" i="52100"/>
  <c r="I162" i="52100"/>
  <c r="I164" i="52100"/>
  <c r="I166" i="52100"/>
  <c r="I171" i="52100"/>
  <c r="I12" i="52100"/>
  <c r="I16" i="52100"/>
  <c r="I74" i="52100"/>
  <c r="I76" i="52100"/>
  <c r="E253" i="52100"/>
  <c r="I66" i="52100"/>
  <c r="I68" i="52100"/>
  <c r="I77" i="52100"/>
  <c r="I80" i="52100"/>
  <c r="I82" i="52100"/>
  <c r="I84" i="52100"/>
  <c r="I86" i="52100"/>
  <c r="I94" i="52100"/>
  <c r="I96" i="52100"/>
  <c r="I98" i="52100"/>
  <c r="I100" i="52100"/>
  <c r="I113" i="52100"/>
  <c r="I119" i="52100"/>
  <c r="I127" i="52100"/>
  <c r="I132" i="52100"/>
  <c r="I134" i="52100"/>
  <c r="I136" i="52100"/>
  <c r="I142" i="52100"/>
  <c r="I144" i="52100"/>
  <c r="I148" i="52100"/>
  <c r="I157" i="52100"/>
  <c r="I159" i="52100"/>
  <c r="I161" i="52100"/>
  <c r="I163" i="52100"/>
  <c r="I165" i="52100"/>
  <c r="I49" i="52100"/>
  <c r="I91" i="52100"/>
  <c r="I93" i="52100"/>
  <c r="I106" i="52100"/>
  <c r="I108" i="52100"/>
  <c r="I110" i="52100"/>
  <c r="I112" i="52100"/>
  <c r="I120" i="52100"/>
  <c r="I123" i="52100"/>
  <c r="I125" i="52100"/>
  <c r="I137" i="52100"/>
  <c r="I139" i="52100"/>
  <c r="I145" i="52100"/>
  <c r="I149" i="52100"/>
  <c r="I152" i="52100"/>
  <c r="I177" i="52100"/>
  <c r="I180" i="52100"/>
  <c r="I188" i="52100"/>
  <c r="I190" i="52100"/>
  <c r="I192" i="52100"/>
  <c r="I194" i="52100"/>
  <c r="I196" i="52100"/>
  <c r="I198" i="52100"/>
  <c r="I9" i="52100"/>
  <c r="I13" i="52100"/>
  <c r="I17" i="52100"/>
  <c r="I172" i="52100"/>
  <c r="I179" i="52100"/>
  <c r="I10" i="52100"/>
  <c r="I18" i="52100"/>
  <c r="I174" i="52100"/>
  <c r="I183" i="52100"/>
  <c r="I14" i="52100"/>
  <c r="I113" i="105"/>
  <c r="E253" i="105"/>
  <c r="G88" i="105"/>
  <c r="E70" i="52100"/>
  <c r="I64" i="52100"/>
  <c r="I170" i="52100"/>
  <c r="E185" i="52100"/>
  <c r="I185" i="52100" s="1"/>
  <c r="I132" i="52077"/>
  <c r="I88" i="52100"/>
  <c r="I15" i="52077"/>
  <c r="I131" i="52100"/>
  <c r="E154" i="52100"/>
  <c r="I118" i="52100"/>
  <c r="E129" i="52100"/>
  <c r="E240" i="52100" s="1"/>
  <c r="I240" i="52100" s="1"/>
  <c r="E201" i="52100"/>
  <c r="I187" i="52100"/>
  <c r="I105" i="52100"/>
  <c r="E116" i="52100"/>
  <c r="I116" i="52100" s="1"/>
  <c r="E21" i="52100"/>
  <c r="I21" i="52100" s="1"/>
  <c r="I8" i="52100"/>
  <c r="E168" i="52100"/>
  <c r="E242" i="52100"/>
  <c r="I242" i="52100" s="1"/>
  <c r="I156" i="52100"/>
  <c r="E30" i="52100"/>
  <c r="E44" i="52100" s="1"/>
  <c r="E103" i="52100"/>
  <c r="I103" i="52100" s="1"/>
  <c r="I70" i="52100"/>
  <c r="I198" i="52077"/>
  <c r="I193" i="52077"/>
  <c r="C215" i="52091"/>
  <c r="C249" i="52091" s="1"/>
  <c r="G113" i="110"/>
  <c r="D113" i="110"/>
  <c r="L91" i="233"/>
  <c r="L95" i="233"/>
  <c r="L120" i="233"/>
  <c r="L97" i="233"/>
  <c r="L167" i="52075"/>
  <c r="L240" i="52075" s="1"/>
  <c r="L14" i="233"/>
  <c r="L10" i="233"/>
  <c r="K167" i="52076"/>
  <c r="K241" i="52076" s="1"/>
  <c r="K200" i="52076"/>
  <c r="H137" i="52074"/>
  <c r="K70" i="52074"/>
  <c r="K103" i="52074" s="1"/>
  <c r="L66" i="233"/>
  <c r="L67" i="233"/>
  <c r="L214" i="52075"/>
  <c r="L247" i="52075" s="1"/>
  <c r="L207" i="233"/>
  <c r="L200" i="52083"/>
  <c r="L197" i="233"/>
  <c r="L193" i="233"/>
  <c r="R201" i="52097"/>
  <c r="D243" i="52100"/>
  <c r="L187" i="233"/>
  <c r="L177" i="233"/>
  <c r="K167" i="52074"/>
  <c r="K240" i="52074" s="1"/>
  <c r="K167" i="52084"/>
  <c r="K240" i="52084" s="1"/>
  <c r="L162" i="233"/>
  <c r="L158" i="233"/>
  <c r="L133" i="233"/>
  <c r="L149" i="233"/>
  <c r="L135" i="233"/>
  <c r="K153" i="52076"/>
  <c r="K240" i="52076" s="1"/>
  <c r="L136" i="233"/>
  <c r="L144" i="233"/>
  <c r="K153" i="52074"/>
  <c r="K239" i="52074" s="1"/>
  <c r="L122" i="233"/>
  <c r="K129" i="52074"/>
  <c r="K238" i="52074" s="1"/>
  <c r="K129" i="52076"/>
  <c r="K239" i="52076" s="1"/>
  <c r="R129" i="52097"/>
  <c r="R240" i="52097" s="1"/>
  <c r="K116" i="52077"/>
  <c r="K237" i="52077" s="1"/>
  <c r="R116" i="52097"/>
  <c r="R239" i="52097" s="1"/>
  <c r="L111" i="233"/>
  <c r="L105" i="233"/>
  <c r="L116" i="52083"/>
  <c r="L238" i="52083" s="1"/>
  <c r="L81" i="233"/>
  <c r="L85" i="233"/>
  <c r="L94" i="233"/>
  <c r="L100" i="233"/>
  <c r="L80" i="233"/>
  <c r="L88" i="233"/>
  <c r="L72" i="233"/>
  <c r="B66" i="52074"/>
  <c r="D66" i="111"/>
  <c r="K70" i="52077"/>
  <c r="K103" i="52077" s="1"/>
  <c r="B65" i="52084"/>
  <c r="F65" i="110"/>
  <c r="K70" i="52084"/>
  <c r="K103" i="52084" s="1"/>
  <c r="K236" i="52084" s="1"/>
  <c r="G65" i="52066"/>
  <c r="D203" i="148"/>
  <c r="D222" i="148" s="1"/>
  <c r="D254" i="148" s="1"/>
  <c r="G65" i="52092"/>
  <c r="C65" i="52077" s="1"/>
  <c r="F65" i="52098"/>
  <c r="J65" i="52098" s="1"/>
  <c r="O70" i="110"/>
  <c r="L70" i="52083"/>
  <c r="L103" i="52083" s="1"/>
  <c r="I70" i="52099"/>
  <c r="J65" i="48"/>
  <c r="E65" i="52082"/>
  <c r="E70" i="52082" s="1"/>
  <c r="G65" i="108"/>
  <c r="G65" i="77"/>
  <c r="F65" i="111" s="1"/>
  <c r="G65" i="52090"/>
  <c r="D65" i="52075" s="1"/>
  <c r="D203" i="108"/>
  <c r="D222" i="108" s="1"/>
  <c r="D254" i="108" s="1"/>
  <c r="D238" i="108"/>
  <c r="D238" i="52091"/>
  <c r="D203" i="52091"/>
  <c r="D245" i="52091" s="1"/>
  <c r="D238" i="52071"/>
  <c r="D203" i="52071"/>
  <c r="D245" i="52071" s="1"/>
  <c r="D238" i="52067"/>
  <c r="D203" i="52067"/>
  <c r="D223" i="52067" s="1"/>
  <c r="D238" i="52100"/>
  <c r="D203" i="52100"/>
  <c r="D245" i="52100" s="1"/>
  <c r="L49" i="233"/>
  <c r="L16" i="233"/>
  <c r="L19" i="233"/>
  <c r="L17" i="233"/>
  <c r="L13" i="233"/>
  <c r="K21" i="52074"/>
  <c r="K51" i="52074" s="1"/>
  <c r="K231" i="52074" s="1"/>
  <c r="R21" i="52097"/>
  <c r="L8" i="233"/>
  <c r="D62" i="52091"/>
  <c r="D205" i="52091" s="1"/>
  <c r="D209" i="52091" s="1"/>
  <c r="D217" i="52091" s="1"/>
  <c r="D251" i="52091" s="1"/>
  <c r="D233" i="52091"/>
  <c r="D62" i="52087"/>
  <c r="D236" i="52087" s="1"/>
  <c r="D233" i="52087"/>
  <c r="L15" i="233"/>
  <c r="L11" i="233"/>
  <c r="J21" i="9"/>
  <c r="J51" i="9" s="1"/>
  <c r="J233" i="9" s="1"/>
  <c r="D62" i="52067"/>
  <c r="D236" i="52067" s="1"/>
  <c r="O21" i="110"/>
  <c r="L21" i="52075"/>
  <c r="L51" i="52075" s="1"/>
  <c r="K21" i="52084"/>
  <c r="K51" i="52084" s="1"/>
  <c r="K231" i="52084" s="1"/>
  <c r="L9" i="233"/>
  <c r="D51" i="148"/>
  <c r="D233" i="148" s="1"/>
  <c r="J185" i="9"/>
  <c r="L140" i="233"/>
  <c r="L148" i="233"/>
  <c r="B181" i="52098"/>
  <c r="B195" i="233"/>
  <c r="F195" i="9"/>
  <c r="L175" i="233"/>
  <c r="L179" i="233"/>
  <c r="L76" i="233"/>
  <c r="H118" i="52098"/>
  <c r="K119" i="52098"/>
  <c r="D38" i="9"/>
  <c r="G120" i="9"/>
  <c r="F120" i="9" s="1"/>
  <c r="B118" i="9"/>
  <c r="G118" i="9" s="1"/>
  <c r="L73" i="233"/>
  <c r="L93" i="233"/>
  <c r="F132" i="9"/>
  <c r="H24" i="52098"/>
  <c r="L98" i="233"/>
  <c r="L164" i="233"/>
  <c r="L191" i="233"/>
  <c r="L119" i="233"/>
  <c r="L138" i="233"/>
  <c r="F158" i="9"/>
  <c r="H108" i="52098"/>
  <c r="F79" i="52098"/>
  <c r="H8" i="52098"/>
  <c r="J8" i="52098" s="1"/>
  <c r="H131" i="52098"/>
  <c r="G106" i="9"/>
  <c r="E56" i="52098"/>
  <c r="J79" i="21"/>
  <c r="E89" i="9"/>
  <c r="I89" i="9" s="1"/>
  <c r="J79" i="32"/>
  <c r="L132" i="233"/>
  <c r="J154" i="9"/>
  <c r="J241" i="9" s="1"/>
  <c r="J182" i="12"/>
  <c r="G182" i="12"/>
  <c r="B181" i="52076" s="1"/>
  <c r="G65" i="52075"/>
  <c r="K65" i="52075" s="1"/>
  <c r="G65" i="114"/>
  <c r="L65" i="114" s="1"/>
  <c r="P89" i="111"/>
  <c r="T89" i="111" s="1"/>
  <c r="J89" i="52094"/>
  <c r="H89" i="52084"/>
  <c r="J89" i="52084"/>
  <c r="C89" i="52084"/>
  <c r="C138" i="111"/>
  <c r="F206" i="52076"/>
  <c r="Q196" i="111"/>
  <c r="D196" i="233"/>
  <c r="B23" i="233"/>
  <c r="L200" i="52075"/>
  <c r="L199" i="233"/>
  <c r="L129" i="52083"/>
  <c r="L239" i="52083" s="1"/>
  <c r="K184" i="52076"/>
  <c r="L70" i="52075"/>
  <c r="L103" i="52075" s="1"/>
  <c r="L236" i="52075" s="1"/>
  <c r="K184" i="52074"/>
  <c r="K153" i="52084"/>
  <c r="K239" i="52084" s="1"/>
  <c r="L116" i="52075"/>
  <c r="L237" i="52075" s="1"/>
  <c r="L173" i="233"/>
  <c r="L213" i="233"/>
  <c r="K200" i="52084"/>
  <c r="L184" i="52075"/>
  <c r="M89" i="52097"/>
  <c r="Q89" i="52097" s="1"/>
  <c r="J89" i="148"/>
  <c r="J65" i="101"/>
  <c r="G65" i="101"/>
  <c r="Q194" i="111"/>
  <c r="D194" i="233"/>
  <c r="B194" i="233"/>
  <c r="F194" i="9"/>
  <c r="B192" i="233"/>
  <c r="F192" i="9"/>
  <c r="B190" i="233"/>
  <c r="F190" i="9"/>
  <c r="B188" i="233"/>
  <c r="F188" i="9"/>
  <c r="B160" i="233"/>
  <c r="F160" i="9"/>
  <c r="K66" i="52097"/>
  <c r="I15" i="52083"/>
  <c r="H15" i="52083"/>
  <c r="H8" i="52083"/>
  <c r="H49" i="52083"/>
  <c r="I49" i="52083"/>
  <c r="Q189" i="111"/>
  <c r="D189" i="233"/>
  <c r="D159" i="233"/>
  <c r="D39" i="233"/>
  <c r="Q39" i="111"/>
  <c r="B79" i="233"/>
  <c r="F79" i="9"/>
  <c r="D73" i="52082"/>
  <c r="J201" i="9"/>
  <c r="M89" i="110"/>
  <c r="D134" i="52084"/>
  <c r="D190" i="233"/>
  <c r="K129" i="52084"/>
  <c r="K238" i="52084" s="1"/>
  <c r="D160" i="233"/>
  <c r="L90" i="233"/>
  <c r="L113" i="233"/>
  <c r="L159" i="233"/>
  <c r="L163" i="233"/>
  <c r="G89" i="52094"/>
  <c r="L89" i="111" s="1"/>
  <c r="F105" i="9"/>
  <c r="J116" i="9"/>
  <c r="J239" i="9" s="1"/>
  <c r="K184" i="52084"/>
  <c r="K241" i="52084" s="1"/>
  <c r="Q29" i="111"/>
  <c r="B199" i="233"/>
  <c r="L129" i="52075"/>
  <c r="L238" i="52075" s="1"/>
  <c r="L182" i="233"/>
  <c r="L167" i="52083"/>
  <c r="L241" i="52083" s="1"/>
  <c r="L153" i="52075"/>
  <c r="L239" i="52075" s="1"/>
  <c r="F199" i="9"/>
  <c r="I255" i="233"/>
  <c r="I66" i="20"/>
  <c r="D21" i="52084"/>
  <c r="D51" i="52084" s="1"/>
  <c r="D231" i="52084" s="1"/>
  <c r="I105" i="52083"/>
  <c r="H79" i="52098"/>
  <c r="J79" i="52098" s="1"/>
  <c r="B44" i="52083"/>
  <c r="I30" i="52083"/>
  <c r="I44" i="52083" s="1"/>
  <c r="K89" i="52098"/>
  <c r="G89" i="52098"/>
  <c r="L123" i="233"/>
  <c r="J70" i="9"/>
  <c r="L84" i="233"/>
  <c r="I88" i="20"/>
  <c r="L15" i="110"/>
  <c r="E15" i="233" s="1"/>
  <c r="I121" i="52083"/>
  <c r="K121" i="52083" s="1"/>
  <c r="L132" i="110"/>
  <c r="E132" i="233" s="1"/>
  <c r="L123" i="110"/>
  <c r="K123" i="110" s="1"/>
  <c r="L49" i="110"/>
  <c r="K49" i="110" s="1"/>
  <c r="L56" i="52097"/>
  <c r="E38" i="52067"/>
  <c r="L207" i="52097"/>
  <c r="F207" i="233" s="1"/>
  <c r="C9" i="52075"/>
  <c r="B9" i="111"/>
  <c r="J79" i="52097"/>
  <c r="C79" i="52083"/>
  <c r="I79" i="52083" s="1"/>
  <c r="K79" i="52083" s="1"/>
  <c r="J79" i="52079"/>
  <c r="D108" i="52083"/>
  <c r="I108" i="52083" s="1"/>
  <c r="B133" i="111"/>
  <c r="G121" i="52092"/>
  <c r="C121" i="52077" s="1"/>
  <c r="J73" i="52079"/>
  <c r="C73" i="52083"/>
  <c r="E133" i="52075"/>
  <c r="J91" i="52097"/>
  <c r="J73" i="148"/>
  <c r="B73" i="52082"/>
  <c r="B73" i="52097"/>
  <c r="E132" i="52075"/>
  <c r="L135" i="111"/>
  <c r="G79" i="111"/>
  <c r="H79" i="52074"/>
  <c r="J79" i="52074" s="1"/>
  <c r="D110" i="110"/>
  <c r="G96" i="52098"/>
  <c r="D133" i="52074"/>
  <c r="B109" i="9"/>
  <c r="G109" i="9" s="1"/>
  <c r="B109" i="233" s="1"/>
  <c r="G109" i="52098"/>
  <c r="B109" i="52098"/>
  <c r="H109" i="52098" s="1"/>
  <c r="I187" i="52077"/>
  <c r="D200" i="52077"/>
  <c r="J121" i="52080"/>
  <c r="E121" i="52075"/>
  <c r="I121" i="52075"/>
  <c r="K121" i="52075" s="1"/>
  <c r="P213" i="111"/>
  <c r="S213" i="111" s="1"/>
  <c r="G138" i="111"/>
  <c r="B140" i="52074"/>
  <c r="B136" i="52075"/>
  <c r="M136" i="111"/>
  <c r="C200" i="52077"/>
  <c r="B110" i="9"/>
  <c r="G110" i="9" s="1"/>
  <c r="B110" i="233" s="1"/>
  <c r="F121" i="52098"/>
  <c r="B133" i="110"/>
  <c r="F133" i="111"/>
  <c r="I213" i="148"/>
  <c r="E95" i="52082"/>
  <c r="F95" i="52097"/>
  <c r="J213" i="52087"/>
  <c r="I213" i="52087"/>
  <c r="I213" i="101"/>
  <c r="J213" i="101"/>
  <c r="I213" i="114"/>
  <c r="I135" i="52075"/>
  <c r="J113" i="12"/>
  <c r="G138" i="110"/>
  <c r="E113" i="111"/>
  <c r="B113" i="52076"/>
  <c r="B125" i="52074"/>
  <c r="D125" i="111"/>
  <c r="L109" i="111"/>
  <c r="H73" i="52097"/>
  <c r="J73" i="101"/>
  <c r="D121" i="52084"/>
  <c r="J66" i="20"/>
  <c r="J73" i="52071"/>
  <c r="I91" i="52097"/>
  <c r="J95" i="52067"/>
  <c r="F113" i="111"/>
  <c r="C113" i="52076"/>
  <c r="H113" i="52076"/>
  <c r="C138" i="52074"/>
  <c r="I203" i="52099"/>
  <c r="J113" i="77"/>
  <c r="J113" i="52095"/>
  <c r="M113" i="111"/>
  <c r="L113" i="111"/>
  <c r="J113" i="52094"/>
  <c r="I2027" i="2"/>
  <c r="I238" i="52099"/>
  <c r="B113" i="52075"/>
  <c r="C67" i="52097"/>
  <c r="J136" i="111"/>
  <c r="C97" i="52083"/>
  <c r="D14" i="52097"/>
  <c r="E14" i="52083"/>
  <c r="B18" i="111"/>
  <c r="C18" i="52075"/>
  <c r="B134" i="110"/>
  <c r="J134" i="111"/>
  <c r="B112" i="9"/>
  <c r="G112" i="9" s="1"/>
  <c r="B112" i="52098"/>
  <c r="H112" i="52098" s="1"/>
  <c r="G112" i="52098"/>
  <c r="F137" i="111"/>
  <c r="C137" i="52076"/>
  <c r="M135" i="111"/>
  <c r="B135" i="52075"/>
  <c r="J139" i="111"/>
  <c r="J121" i="52066"/>
  <c r="C121" i="52084"/>
  <c r="H121" i="52084"/>
  <c r="J121" i="52084" s="1"/>
  <c r="E121" i="110"/>
  <c r="J135" i="111"/>
  <c r="B139" i="52076"/>
  <c r="L9" i="111"/>
  <c r="B136" i="52084"/>
  <c r="F136" i="110"/>
  <c r="B133" i="52084"/>
  <c r="F139" i="110"/>
  <c r="B139" i="52084"/>
  <c r="J113" i="111"/>
  <c r="J113" i="52092"/>
  <c r="C137" i="52074"/>
  <c r="C137" i="111"/>
  <c r="N137" i="111"/>
  <c r="E137" i="52075"/>
  <c r="I213" i="52092"/>
  <c r="B12" i="111"/>
  <c r="J97" i="52097"/>
  <c r="B200" i="52077"/>
  <c r="B140" i="52076"/>
  <c r="E140" i="111"/>
  <c r="C139" i="52076"/>
  <c r="F139" i="111"/>
  <c r="E113" i="110"/>
  <c r="J113" i="52066"/>
  <c r="B140" i="111"/>
  <c r="C140" i="52075"/>
  <c r="E136" i="111"/>
  <c r="I213" i="52091"/>
  <c r="C110" i="110"/>
  <c r="D136" i="52074"/>
  <c r="G136" i="111"/>
  <c r="G21" i="114"/>
  <c r="H79" i="114" s="1"/>
  <c r="C11" i="52075"/>
  <c r="H139" i="52074"/>
  <c r="G122" i="32"/>
  <c r="J122" i="32" s="1"/>
  <c r="B139" i="52075"/>
  <c r="F113" i="52084"/>
  <c r="M182" i="111"/>
  <c r="B181" i="52075"/>
  <c r="K49" i="52097"/>
  <c r="J113" i="20"/>
  <c r="I113" i="20"/>
  <c r="J80" i="52094"/>
  <c r="C181" i="52074"/>
  <c r="J113" i="52081"/>
  <c r="H89" i="111"/>
  <c r="J182" i="52095"/>
  <c r="L156" i="233"/>
  <c r="L109" i="233"/>
  <c r="H111" i="52098"/>
  <c r="G14" i="9"/>
  <c r="B14" i="233" s="1"/>
  <c r="D38" i="233"/>
  <c r="Q38" i="111"/>
  <c r="G121" i="77"/>
  <c r="C121" i="52104" s="1"/>
  <c r="F121" i="52076"/>
  <c r="J113" i="52090"/>
  <c r="C135" i="52076"/>
  <c r="F135" i="111"/>
  <c r="H119" i="52098"/>
  <c r="R15" i="111"/>
  <c r="D15" i="233" s="1"/>
  <c r="H14" i="52098"/>
  <c r="I79" i="9"/>
  <c r="R185" i="52097"/>
  <c r="R243" i="52097" s="1"/>
  <c r="E38" i="52074"/>
  <c r="E38" i="52076"/>
  <c r="I2373" i="2"/>
  <c r="J113" i="52089"/>
  <c r="F80" i="52097"/>
  <c r="E80" i="52082"/>
  <c r="B134" i="111"/>
  <c r="C134" i="52075"/>
  <c r="D62" i="101"/>
  <c r="H113" i="111"/>
  <c r="D113" i="52075"/>
  <c r="I113" i="52075"/>
  <c r="K113" i="52075" s="1"/>
  <c r="B113" i="52074"/>
  <c r="D113" i="111"/>
  <c r="H113" i="52074"/>
  <c r="J113" i="52074" s="1"/>
  <c r="B113" i="52084"/>
  <c r="H113" i="52084"/>
  <c r="J113" i="48"/>
  <c r="F113" i="110"/>
  <c r="G21" i="52091"/>
  <c r="H116" i="52091"/>
  <c r="D236" i="101"/>
  <c r="I2838" i="52069"/>
  <c r="C211" i="52095"/>
  <c r="C211" i="77"/>
  <c r="C211" i="52081"/>
  <c r="C211" i="52087"/>
  <c r="C211" i="91"/>
  <c r="C211" i="52090"/>
  <c r="C211" i="52064"/>
  <c r="C211" i="52093"/>
  <c r="C211" i="52066"/>
  <c r="C211" i="52100"/>
  <c r="C211" i="52092"/>
  <c r="C211" i="52071"/>
  <c r="C211" i="52088"/>
  <c r="C211" i="52094"/>
  <c r="C211" i="115"/>
  <c r="C211" i="105"/>
  <c r="C211" i="52072"/>
  <c r="C211" i="52089"/>
  <c r="C211" i="48"/>
  <c r="C211" i="52079"/>
  <c r="C211" i="20"/>
  <c r="C211" i="12"/>
  <c r="C211" i="52067"/>
  <c r="C211" i="52080"/>
  <c r="C211" i="108"/>
  <c r="C211" i="101"/>
  <c r="C212" i="115"/>
  <c r="C212" i="12"/>
  <c r="C212" i="77"/>
  <c r="C212" i="52067"/>
  <c r="C212" i="52100"/>
  <c r="C212" i="52090"/>
  <c r="C212" i="52094"/>
  <c r="C212" i="20"/>
  <c r="C212" i="52072"/>
  <c r="C212" i="48"/>
  <c r="C212" i="101"/>
  <c r="C215" i="101" s="1"/>
  <c r="C212" i="52066"/>
  <c r="C212" i="52089"/>
  <c r="C212" i="108"/>
  <c r="C212" i="105"/>
  <c r="C215" i="105" s="1"/>
  <c r="C212" i="52081"/>
  <c r="C212" i="52092"/>
  <c r="C212" i="91"/>
  <c r="C212" i="52088"/>
  <c r="C212" i="52064"/>
  <c r="C212" i="52071"/>
  <c r="C212" i="52079"/>
  <c r="C212" i="52080"/>
  <c r="C212" i="52095"/>
  <c r="C212" i="52093"/>
  <c r="C212" i="52087"/>
  <c r="G207" i="52091"/>
  <c r="G129" i="52091"/>
  <c r="G240" i="52091" s="1"/>
  <c r="C211" i="148"/>
  <c r="C211" i="114"/>
  <c r="C211" i="32"/>
  <c r="C211" i="21"/>
  <c r="G211" i="52091"/>
  <c r="E211" i="52064"/>
  <c r="E211" i="52079"/>
  <c r="E211" i="108"/>
  <c r="E211" i="52088"/>
  <c r="E211" i="52067"/>
  <c r="E211" i="48"/>
  <c r="E211" i="52092"/>
  <c r="E211" i="52072"/>
  <c r="E211" i="52089"/>
  <c r="E211" i="52093"/>
  <c r="E211" i="101"/>
  <c r="E211" i="52090"/>
  <c r="E211" i="52081"/>
  <c r="E211" i="77"/>
  <c r="E212" i="52067"/>
  <c r="E212" i="52066"/>
  <c r="E212" i="77"/>
  <c r="E212" i="52091"/>
  <c r="E212" i="91"/>
  <c r="E212" i="20"/>
  <c r="E212" i="52080"/>
  <c r="E212" i="108"/>
  <c r="E212" i="52064"/>
  <c r="E215" i="52064" s="1"/>
  <c r="E212" i="52095"/>
  <c r="E212" i="52071"/>
  <c r="E212" i="52094"/>
  <c r="E212" i="52087"/>
  <c r="E212" i="52079"/>
  <c r="E212" i="52092"/>
  <c r="E211" i="52071"/>
  <c r="E215" i="52071" s="1"/>
  <c r="E249" i="52071" s="1"/>
  <c r="E211" i="105"/>
  <c r="F210" i="52083"/>
  <c r="E211" i="91"/>
  <c r="E215" i="91"/>
  <c r="E249" i="91" s="1"/>
  <c r="E211" i="52087"/>
  <c r="E215" i="52087" s="1"/>
  <c r="E249" i="52087" s="1"/>
  <c r="E211" i="52095"/>
  <c r="E215" i="52095" s="1"/>
  <c r="E249" i="52095" s="1"/>
  <c r="E211" i="52091"/>
  <c r="E211" i="115"/>
  <c r="E211" i="52094"/>
  <c r="E215" i="52094" s="1"/>
  <c r="E249" i="52094" s="1"/>
  <c r="E211" i="52080"/>
  <c r="E215" i="52080" s="1"/>
  <c r="E249" i="52080" s="1"/>
  <c r="E211" i="12"/>
  <c r="E210" i="52076" s="1"/>
  <c r="E212" i="52081"/>
  <c r="E212" i="52089"/>
  <c r="E215" i="52089" s="1"/>
  <c r="E249" i="52089" s="1"/>
  <c r="E212" i="52093"/>
  <c r="E215" i="52093" s="1"/>
  <c r="E249" i="52093" s="1"/>
  <c r="E212" i="52072"/>
  <c r="E212" i="48"/>
  <c r="E211" i="52084" s="1"/>
  <c r="E212" i="105"/>
  <c r="C212" i="21"/>
  <c r="C212" i="148"/>
  <c r="C212" i="114"/>
  <c r="C212" i="32"/>
  <c r="E212" i="12"/>
  <c r="E211" i="52076"/>
  <c r="E212" i="115"/>
  <c r="F211" i="52104"/>
  <c r="E211" i="20"/>
  <c r="E212" i="52090"/>
  <c r="E215" i="52090" s="1"/>
  <c r="E249" i="52090" s="1"/>
  <c r="E212" i="52088"/>
  <c r="E212" i="101"/>
  <c r="E211" i="52066"/>
  <c r="E215" i="52066" s="1"/>
  <c r="E249" i="52066" s="1"/>
  <c r="E218" i="52067"/>
  <c r="E218" i="52093"/>
  <c r="E218" i="52071"/>
  <c r="E218" i="52080"/>
  <c r="E218" i="52064"/>
  <c r="E218" i="52089"/>
  <c r="E211" i="114"/>
  <c r="E218" i="52081"/>
  <c r="E218" i="91"/>
  <c r="E218" i="52087"/>
  <c r="E211" i="32"/>
  <c r="E211" i="148"/>
  <c r="E212" i="21"/>
  <c r="D212" i="9" s="1"/>
  <c r="F212" i="233" s="1"/>
  <c r="E218" i="108"/>
  <c r="E218" i="52072"/>
  <c r="E218" i="77"/>
  <c r="E212" i="148"/>
  <c r="G212" i="52082" s="1"/>
  <c r="E211" i="21"/>
  <c r="E218" i="52091"/>
  <c r="E212" i="32"/>
  <c r="E218" i="52079"/>
  <c r="E218" i="48"/>
  <c r="E218" i="52092"/>
  <c r="E218" i="105"/>
  <c r="E218" i="52095"/>
  <c r="E218" i="52094"/>
  <c r="E212" i="114"/>
  <c r="F211" i="52075" s="1"/>
  <c r="E218" i="52088"/>
  <c r="E218" i="20"/>
  <c r="E218" i="115"/>
  <c r="E218" i="52090"/>
  <c r="E218" i="12"/>
  <c r="E218" i="52066"/>
  <c r="E215" i="32"/>
  <c r="E249" i="32" s="1"/>
  <c r="E218" i="101"/>
  <c r="E218" i="32"/>
  <c r="E218" i="114"/>
  <c r="E218" i="148"/>
  <c r="E218" i="21"/>
  <c r="E217" i="52098" s="1"/>
  <c r="D44" i="52082"/>
  <c r="K134" i="52097"/>
  <c r="F120" i="52082"/>
  <c r="J120" i="52099"/>
  <c r="K131" i="52097"/>
  <c r="O131" i="52097" s="1"/>
  <c r="F131" i="52082"/>
  <c r="J131" i="52082" s="1"/>
  <c r="K120" i="52097"/>
  <c r="K121" i="52097"/>
  <c r="K106" i="52097"/>
  <c r="O106" i="52097" s="1"/>
  <c r="K108" i="52097"/>
  <c r="K110" i="52097"/>
  <c r="O110" i="52097" s="1"/>
  <c r="K112" i="52097"/>
  <c r="O112" i="52097" s="1"/>
  <c r="C112" i="233" s="1"/>
  <c r="J106" i="52082"/>
  <c r="J111" i="52082"/>
  <c r="J112" i="52082"/>
  <c r="K111" i="52097"/>
  <c r="O111" i="52097" s="1"/>
  <c r="K105" i="52097"/>
  <c r="O105" i="52097" s="1"/>
  <c r="J79" i="52082"/>
  <c r="K79" i="52097"/>
  <c r="K93" i="52097"/>
  <c r="K74" i="52097"/>
  <c r="K76" i="52097"/>
  <c r="K78" i="52097"/>
  <c r="K80" i="52097"/>
  <c r="K82" i="52097"/>
  <c r="K84" i="52097"/>
  <c r="K86" i="52097"/>
  <c r="K88" i="52097"/>
  <c r="K90" i="52097"/>
  <c r="K92" i="52097"/>
  <c r="K94" i="52097"/>
  <c r="K96" i="52097"/>
  <c r="O96" i="52097" s="1"/>
  <c r="K98" i="52097"/>
  <c r="K100" i="52097"/>
  <c r="J67" i="52099"/>
  <c r="J249" i="52099" s="1"/>
  <c r="K65" i="52097"/>
  <c r="K68" i="52097"/>
  <c r="K9" i="52097"/>
  <c r="K11" i="52097"/>
  <c r="K13" i="52097"/>
  <c r="K15" i="52097"/>
  <c r="O15" i="52097" s="1"/>
  <c r="K17" i="52097"/>
  <c r="K19" i="52097"/>
  <c r="J15" i="52082"/>
  <c r="C62" i="52099"/>
  <c r="C236" i="52099" s="1"/>
  <c r="C243" i="52099"/>
  <c r="B129" i="52099"/>
  <c r="C238" i="52099"/>
  <c r="B103" i="52099"/>
  <c r="C226" i="52099"/>
  <c r="C46" i="52099"/>
  <c r="C47" i="52099" s="1"/>
  <c r="C53" i="52099"/>
  <c r="C203" i="52099"/>
  <c r="B203" i="52099"/>
  <c r="L143" i="233"/>
  <c r="E46" i="52099"/>
  <c r="E47" i="52099" s="1"/>
  <c r="F44" i="52099"/>
  <c r="M44" i="52097" s="1"/>
  <c r="F211" i="52091"/>
  <c r="G185" i="52091"/>
  <c r="G243" i="52091" s="1"/>
  <c r="K89" i="52075"/>
  <c r="D62" i="52093"/>
  <c r="D233" i="52093"/>
  <c r="D233" i="52064"/>
  <c r="D62" i="52064"/>
  <c r="D238" i="52066"/>
  <c r="D203" i="52066"/>
  <c r="D223" i="52066" s="1"/>
  <c r="H122" i="52074"/>
  <c r="J122" i="52074" s="1"/>
  <c r="J122" i="20"/>
  <c r="B122" i="52074"/>
  <c r="D122" i="111"/>
  <c r="D62" i="105"/>
  <c r="D233" i="105"/>
  <c r="D233" i="52088"/>
  <c r="D62" i="52088"/>
  <c r="D238" i="101"/>
  <c r="D203" i="101"/>
  <c r="C110" i="52075"/>
  <c r="B110" i="111"/>
  <c r="D218" i="77"/>
  <c r="D243" i="52087"/>
  <c r="D243" i="48"/>
  <c r="R70" i="52097"/>
  <c r="R103" i="52097" s="1"/>
  <c r="R168" i="52097"/>
  <c r="R242" i="52097" s="1"/>
  <c r="E122" i="110"/>
  <c r="J122" i="52066"/>
  <c r="J74" i="108"/>
  <c r="C113" i="52098"/>
  <c r="H113" i="52082"/>
  <c r="G70" i="52088"/>
  <c r="F65" i="52097"/>
  <c r="F70" i="52097" s="1"/>
  <c r="B89" i="52097"/>
  <c r="K214" i="52084"/>
  <c r="K247" i="52084" s="1"/>
  <c r="C113" i="9"/>
  <c r="D113" i="52098"/>
  <c r="D243" i="52088"/>
  <c r="D243" i="52067"/>
  <c r="C181" i="52076"/>
  <c r="G70" i="52091"/>
  <c r="D89" i="52084"/>
  <c r="H179" i="52082"/>
  <c r="M179" i="52097"/>
  <c r="H65" i="52082"/>
  <c r="L65" i="52082" s="1"/>
  <c r="J182" i="148"/>
  <c r="C60" i="52083"/>
  <c r="C234" i="52083" s="1"/>
  <c r="G212" i="52091"/>
  <c r="F138" i="52082"/>
  <c r="K138" i="52097"/>
  <c r="J138" i="52099"/>
  <c r="E205" i="52099"/>
  <c r="I205" i="52099"/>
  <c r="G154" i="52091"/>
  <c r="H154" i="52091"/>
  <c r="D218" i="148"/>
  <c r="D236" i="52093"/>
  <c r="D218" i="52094"/>
  <c r="K217" i="52077"/>
  <c r="D218" i="32"/>
  <c r="D218" i="52088"/>
  <c r="K122" i="52098"/>
  <c r="L79" i="110"/>
  <c r="C133" i="52075"/>
  <c r="D138" i="52084"/>
  <c r="D73" i="52083"/>
  <c r="C19" i="52075"/>
  <c r="B19" i="111"/>
  <c r="B96" i="52098"/>
  <c r="H96" i="52098" s="1"/>
  <c r="B96" i="9"/>
  <c r="G96" i="9"/>
  <c r="K96" i="52098"/>
  <c r="C13" i="52075"/>
  <c r="B13" i="111"/>
  <c r="I212" i="52074"/>
  <c r="E139" i="52075"/>
  <c r="N139" i="111"/>
  <c r="E135" i="52075"/>
  <c r="J179" i="32"/>
  <c r="J179" i="52093"/>
  <c r="P179" i="111"/>
  <c r="F178" i="52076"/>
  <c r="J179" i="48"/>
  <c r="F178" i="52084"/>
  <c r="J178" i="52084" s="1"/>
  <c r="C134" i="52074"/>
  <c r="C134" i="111"/>
  <c r="J179" i="21"/>
  <c r="F178" i="52098"/>
  <c r="E179" i="9"/>
  <c r="J179" i="52064"/>
  <c r="G178" i="52075"/>
  <c r="J179" i="52089"/>
  <c r="F178" i="52074"/>
  <c r="C68" i="52082"/>
  <c r="E68" i="52097"/>
  <c r="B108" i="233"/>
  <c r="F108" i="9"/>
  <c r="J179" i="108"/>
  <c r="G178" i="52083"/>
  <c r="K178" i="52083" s="1"/>
  <c r="D138" i="52075"/>
  <c r="K116" i="52074"/>
  <c r="K237" i="52074" s="1"/>
  <c r="L214" i="52083"/>
  <c r="K129" i="52077"/>
  <c r="K238" i="52077" s="1"/>
  <c r="K184" i="52077"/>
  <c r="K214" i="52077"/>
  <c r="K247" i="52077" s="1"/>
  <c r="D113" i="52083"/>
  <c r="H113" i="52097"/>
  <c r="J113" i="105"/>
  <c r="B113" i="111"/>
  <c r="R201" i="111"/>
  <c r="J182" i="21"/>
  <c r="J89" i="52090"/>
  <c r="M134" i="111"/>
  <c r="J68" i="52087"/>
  <c r="D65" i="111"/>
  <c r="H65" i="52074"/>
  <c r="L171" i="233"/>
  <c r="L195" i="233"/>
  <c r="G182" i="52094"/>
  <c r="L182" i="111" s="1"/>
  <c r="G65" i="52064"/>
  <c r="C65" i="9" s="1"/>
  <c r="L121" i="233"/>
  <c r="J215" i="9"/>
  <c r="J249" i="9" s="1"/>
  <c r="L184" i="52083"/>
  <c r="L65" i="233"/>
  <c r="J88" i="20"/>
  <c r="K200" i="52074"/>
  <c r="L118" i="233"/>
  <c r="L68" i="233"/>
  <c r="L87" i="233"/>
  <c r="J129" i="9"/>
  <c r="L131" i="233"/>
  <c r="L152" i="233"/>
  <c r="E99" i="52082"/>
  <c r="C30" i="9"/>
  <c r="C44" i="9" s="1"/>
  <c r="O36" i="52097"/>
  <c r="O57" i="52097"/>
  <c r="C57" i="233" s="1"/>
  <c r="L23" i="110"/>
  <c r="E23" i="233" s="1"/>
  <c r="L29" i="110"/>
  <c r="E29" i="233" s="1"/>
  <c r="L56" i="110"/>
  <c r="E56" i="233" s="1"/>
  <c r="G253" i="233"/>
  <c r="K253" i="233" s="1"/>
  <c r="R215" i="52097"/>
  <c r="R249" i="52097" s="1"/>
  <c r="J123" i="52100"/>
  <c r="B66" i="52083"/>
  <c r="C66" i="52097"/>
  <c r="D242" i="32"/>
  <c r="O168" i="110"/>
  <c r="O242" i="110" s="1"/>
  <c r="I65" i="52097"/>
  <c r="D65" i="52098"/>
  <c r="N65" i="111"/>
  <c r="E65" i="52075"/>
  <c r="I213" i="52088"/>
  <c r="J213" i="52088"/>
  <c r="H67" i="52097"/>
  <c r="D67" i="52083"/>
  <c r="B137" i="52075"/>
  <c r="J113" i="32"/>
  <c r="C182" i="111"/>
  <c r="G89" i="105"/>
  <c r="C89" i="52097" s="1"/>
  <c r="U215" i="111"/>
  <c r="U249" i="111" s="1"/>
  <c r="J182" i="115"/>
  <c r="I89" i="52075"/>
  <c r="U154" i="111"/>
  <c r="U241" i="111" s="1"/>
  <c r="D240" i="52095"/>
  <c r="O129" i="110"/>
  <c r="O240" i="110" s="1"/>
  <c r="O154" i="110"/>
  <c r="O241" i="110" s="1"/>
  <c r="F65" i="52077"/>
  <c r="L165" i="233"/>
  <c r="K116" i="52076"/>
  <c r="D73" i="52098"/>
  <c r="C89" i="52076"/>
  <c r="C65" i="52074"/>
  <c r="L212" i="233"/>
  <c r="D243" i="52079"/>
  <c r="B112" i="111"/>
  <c r="G89" i="52097"/>
  <c r="D243" i="52095"/>
  <c r="D243" i="52094"/>
  <c r="D243" i="91"/>
  <c r="H89" i="52076"/>
  <c r="D243" i="32"/>
  <c r="O201" i="110"/>
  <c r="J182" i="52097"/>
  <c r="C181" i="52083"/>
  <c r="D89" i="52098"/>
  <c r="I89" i="52097"/>
  <c r="C89" i="111"/>
  <c r="C89" i="52074"/>
  <c r="D89" i="111"/>
  <c r="B89" i="52074"/>
  <c r="H138" i="111"/>
  <c r="C97" i="52082"/>
  <c r="J213" i="110"/>
  <c r="M213" i="110" s="1"/>
  <c r="L248" i="52083"/>
  <c r="L139" i="233"/>
  <c r="L147" i="233"/>
  <c r="G89" i="52100"/>
  <c r="B89" i="52102" s="1"/>
  <c r="J89" i="52100"/>
  <c r="G182" i="52100"/>
  <c r="B181" i="52102" s="1"/>
  <c r="J182" i="52100"/>
  <c r="L141" i="233"/>
  <c r="L145" i="233"/>
  <c r="G151" i="52100"/>
  <c r="H151" i="110" s="1"/>
  <c r="L151" i="110" s="1"/>
  <c r="J151" i="110"/>
  <c r="N151" i="110" s="1"/>
  <c r="H179" i="110"/>
  <c r="L179" i="110" s="1"/>
  <c r="J89" i="110"/>
  <c r="N89" i="110" s="1"/>
  <c r="H110" i="110"/>
  <c r="H106" i="110"/>
  <c r="H113" i="110"/>
  <c r="H109" i="110"/>
  <c r="J113" i="110"/>
  <c r="H108" i="110"/>
  <c r="J179" i="52072"/>
  <c r="J179" i="110"/>
  <c r="B113" i="110"/>
  <c r="H131" i="110"/>
  <c r="L131" i="110" s="1"/>
  <c r="G68" i="101"/>
  <c r="G68" i="52097" s="1"/>
  <c r="H135" i="52097"/>
  <c r="D133" i="52084"/>
  <c r="G119" i="110"/>
  <c r="L57" i="110"/>
  <c r="E57" i="233" s="1"/>
  <c r="D236" i="105"/>
  <c r="L134" i="111"/>
  <c r="E239" i="52100"/>
  <c r="I239" i="52100" s="1"/>
  <c r="I186" i="52077"/>
  <c r="J113" i="52100"/>
  <c r="C215" i="91"/>
  <c r="B113" i="52082"/>
  <c r="D245" i="101"/>
  <c r="E215" i="108"/>
  <c r="G239" i="52091"/>
  <c r="D135" i="52084"/>
  <c r="E108" i="52097"/>
  <c r="C98" i="9"/>
  <c r="C98" i="52098"/>
  <c r="C140" i="52076"/>
  <c r="F140" i="111"/>
  <c r="D137" i="111"/>
  <c r="I136" i="52075"/>
  <c r="G139" i="111"/>
  <c r="D139" i="52074"/>
  <c r="C176" i="52074"/>
  <c r="C177" i="111"/>
  <c r="C133" i="52074"/>
  <c r="C121" i="110"/>
  <c r="B138" i="52084"/>
  <c r="D133" i="52075"/>
  <c r="B137" i="52074"/>
  <c r="C135" i="111"/>
  <c r="E106" i="111"/>
  <c r="B106" i="52076"/>
  <c r="C113" i="52074"/>
  <c r="C113" i="111"/>
  <c r="J113" i="115"/>
  <c r="J113" i="52071"/>
  <c r="I113" i="52097"/>
  <c r="H122" i="110"/>
  <c r="I213" i="52097"/>
  <c r="K212" i="52098"/>
  <c r="U185" i="111"/>
  <c r="E110" i="20"/>
  <c r="E173" i="20"/>
  <c r="E110" i="105"/>
  <c r="B220" i="52100"/>
  <c r="G213" i="52079"/>
  <c r="C212" i="52083" s="1"/>
  <c r="C118" i="52075"/>
  <c r="C119" i="111"/>
  <c r="B219" i="52099"/>
  <c r="C219" i="52099" s="1"/>
  <c r="E206" i="52098"/>
  <c r="E212" i="52076"/>
  <c r="H2027" i="2"/>
  <c r="G143" i="52099"/>
  <c r="F143" i="52082" s="1"/>
  <c r="G145" i="52099"/>
  <c r="G142" i="52099"/>
  <c r="F142" i="52082" s="1"/>
  <c r="G144" i="52099"/>
  <c r="G141" i="52099"/>
  <c r="M151" i="52097"/>
  <c r="Q151" i="52097" s="1"/>
  <c r="H151" i="52082"/>
  <c r="G151" i="52099"/>
  <c r="R113" i="111"/>
  <c r="E97" i="52082"/>
  <c r="F97" i="52097"/>
  <c r="G113" i="52098"/>
  <c r="K113" i="52098"/>
  <c r="B113" i="52098"/>
  <c r="J113" i="21"/>
  <c r="B113" i="9"/>
  <c r="G113" i="9" s="1"/>
  <c r="G140" i="111"/>
  <c r="H139" i="111"/>
  <c r="D136" i="52075"/>
  <c r="H136" i="111"/>
  <c r="C140" i="110"/>
  <c r="E249" i="108"/>
  <c r="D140" i="52074"/>
  <c r="H140" i="52074"/>
  <c r="D139" i="52075"/>
  <c r="I139" i="52075"/>
  <c r="C133" i="111"/>
  <c r="H133" i="52074"/>
  <c r="J106" i="111"/>
  <c r="B139" i="52074"/>
  <c r="F135" i="110"/>
  <c r="D238" i="52087"/>
  <c r="D203" i="52087"/>
  <c r="D223" i="52087" s="1"/>
  <c r="G18" i="52099"/>
  <c r="K18" i="52097" s="1"/>
  <c r="J18" i="52099"/>
  <c r="G14" i="52099"/>
  <c r="F14" i="52082" s="1"/>
  <c r="J14" i="52082" s="1"/>
  <c r="J14" i="52099"/>
  <c r="G10" i="52099"/>
  <c r="F10" i="52082" s="1"/>
  <c r="J10" i="52099"/>
  <c r="F64" i="52082"/>
  <c r="F70" i="52099"/>
  <c r="F100" i="52082"/>
  <c r="J100" i="52099"/>
  <c r="K99" i="52097"/>
  <c r="F96" i="52082"/>
  <c r="J96" i="52082" s="1"/>
  <c r="J96" i="52099"/>
  <c r="G95" i="52099"/>
  <c r="J95" i="52099"/>
  <c r="J91" i="52099"/>
  <c r="F88" i="52082"/>
  <c r="J88" i="52099"/>
  <c r="G87" i="52099"/>
  <c r="K87" i="52097" s="1"/>
  <c r="J87" i="52099"/>
  <c r="F84" i="52082"/>
  <c r="J84" i="52099"/>
  <c r="G83" i="52099"/>
  <c r="J83" i="52099"/>
  <c r="F76" i="52082"/>
  <c r="J76" i="52099"/>
  <c r="G75" i="52099"/>
  <c r="F75" i="52082" s="1"/>
  <c r="J75" i="52099"/>
  <c r="F105" i="52082"/>
  <c r="J105" i="52082" s="1"/>
  <c r="J105" i="52099"/>
  <c r="G114" i="52099"/>
  <c r="F114" i="52082"/>
  <c r="J114" i="52099"/>
  <c r="G107" i="52099"/>
  <c r="F116" i="52099"/>
  <c r="J107" i="52099"/>
  <c r="F121" i="52082"/>
  <c r="J121" i="52099"/>
  <c r="F152" i="52082"/>
  <c r="K152" i="52097"/>
  <c r="F150" i="52082"/>
  <c r="K150" i="52097"/>
  <c r="J150" i="52099"/>
  <c r="F149" i="52082"/>
  <c r="K149" i="52097"/>
  <c r="F148" i="52082"/>
  <c r="K148" i="52097"/>
  <c r="F147" i="52082"/>
  <c r="K147" i="52097"/>
  <c r="F146" i="52082"/>
  <c r="K146" i="52097"/>
  <c r="F140" i="52082"/>
  <c r="K140" i="52097"/>
  <c r="F139" i="52082"/>
  <c r="K139" i="52097"/>
  <c r="G136" i="52099"/>
  <c r="J136" i="52099"/>
  <c r="F134" i="52082"/>
  <c r="J134" i="52099"/>
  <c r="F133" i="52082"/>
  <c r="K133" i="52097"/>
  <c r="F132" i="52082"/>
  <c r="J132" i="52082" s="1"/>
  <c r="K132" i="52097"/>
  <c r="O132" i="52097" s="1"/>
  <c r="K183" i="52097"/>
  <c r="F183" i="52082"/>
  <c r="F182" i="52082"/>
  <c r="K182" i="52097"/>
  <c r="K181" i="52097"/>
  <c r="F181" i="52082"/>
  <c r="F180" i="52082"/>
  <c r="K180" i="52097"/>
  <c r="G175" i="52099"/>
  <c r="F175" i="52082" s="1"/>
  <c r="J175" i="52099"/>
  <c r="F173" i="52082"/>
  <c r="H8" i="52082"/>
  <c r="M8" i="52097"/>
  <c r="F21" i="52099"/>
  <c r="F51" i="52099" s="1"/>
  <c r="K8" i="52097"/>
  <c r="G16" i="52099"/>
  <c r="K16" i="52097" s="1"/>
  <c r="K21" i="52097" s="1"/>
  <c r="K32" i="52097" s="1"/>
  <c r="K33" i="52097" s="1"/>
  <c r="J16" i="52099"/>
  <c r="J12" i="52099"/>
  <c r="G12" i="52099"/>
  <c r="F12" i="52082" s="1"/>
  <c r="F21" i="52082" s="1"/>
  <c r="J68" i="52099"/>
  <c r="F68" i="52082"/>
  <c r="K67" i="52097"/>
  <c r="F67" i="52082"/>
  <c r="J67" i="52082" s="1"/>
  <c r="K72" i="52097"/>
  <c r="F72" i="52082"/>
  <c r="J72" i="52099"/>
  <c r="G101" i="52099"/>
  <c r="K101" i="52097"/>
  <c r="F94" i="52082"/>
  <c r="J94" i="52099"/>
  <c r="F90" i="52082"/>
  <c r="J90" i="52099"/>
  <c r="G89" i="52099"/>
  <c r="F89" i="52082" s="1"/>
  <c r="J89" i="52082" s="1"/>
  <c r="J89" i="52099"/>
  <c r="H89" i="52082"/>
  <c r="L89" i="52082" s="1"/>
  <c r="J85" i="52099"/>
  <c r="F82" i="52082"/>
  <c r="J82" i="52099"/>
  <c r="G81" i="52099"/>
  <c r="F81" i="52082" s="1"/>
  <c r="J81" i="52099"/>
  <c r="K77" i="52097"/>
  <c r="F74" i="52082"/>
  <c r="J74" i="52099"/>
  <c r="G73" i="52099"/>
  <c r="F73" i="52082" s="1"/>
  <c r="G116" i="52099"/>
  <c r="F110" i="52082"/>
  <c r="J110" i="52082" s="1"/>
  <c r="J110" i="52099"/>
  <c r="F109" i="52082"/>
  <c r="J109" i="52082" s="1"/>
  <c r="J109" i="52099"/>
  <c r="F126" i="52082"/>
  <c r="K126" i="52097"/>
  <c r="F125" i="52082"/>
  <c r="K125" i="52097"/>
  <c r="F124" i="52082"/>
  <c r="K124" i="52097"/>
  <c r="F123" i="52082"/>
  <c r="J123" i="52082" s="1"/>
  <c r="J123" i="52099"/>
  <c r="K123" i="52097"/>
  <c r="O123" i="52097" s="1"/>
  <c r="F122" i="52082"/>
  <c r="G137" i="52099"/>
  <c r="J137" i="52099"/>
  <c r="G135" i="52099"/>
  <c r="G154" i="52099"/>
  <c r="F135" i="52082"/>
  <c r="J135" i="52099"/>
  <c r="F154" i="52099"/>
  <c r="F241" i="52099"/>
  <c r="F166" i="52082"/>
  <c r="K166" i="52097"/>
  <c r="F165" i="52082"/>
  <c r="K165" i="52097"/>
  <c r="F164" i="52082"/>
  <c r="K164" i="52097"/>
  <c r="F163" i="52082"/>
  <c r="K163" i="52097"/>
  <c r="F162" i="52082"/>
  <c r="K162" i="52097"/>
  <c r="F161" i="52082"/>
  <c r="K161" i="52097"/>
  <c r="F160" i="52082"/>
  <c r="J160" i="52082" s="1"/>
  <c r="K160" i="52097"/>
  <c r="O160" i="52097" s="1"/>
  <c r="F159" i="52082"/>
  <c r="J159" i="52082" s="1"/>
  <c r="K159" i="52097"/>
  <c r="O159" i="52097" s="1"/>
  <c r="F158" i="52082"/>
  <c r="J158" i="52082" s="1"/>
  <c r="K158" i="52097"/>
  <c r="O158" i="52097" s="1"/>
  <c r="F157" i="52082"/>
  <c r="J157" i="52082"/>
  <c r="K157" i="52097"/>
  <c r="O157" i="52097" s="1"/>
  <c r="F170" i="52082"/>
  <c r="F185" i="52099"/>
  <c r="F178" i="52082"/>
  <c r="K178" i="52097"/>
  <c r="F177" i="52082"/>
  <c r="K177" i="52097"/>
  <c r="J176" i="52099"/>
  <c r="G176" i="52099"/>
  <c r="G174" i="52099"/>
  <c r="J174" i="52099"/>
  <c r="J172" i="52099"/>
  <c r="F172" i="52082"/>
  <c r="K172" i="52097"/>
  <c r="K171" i="52097"/>
  <c r="F171" i="52082"/>
  <c r="F187" i="52082"/>
  <c r="J187" i="52082"/>
  <c r="K187" i="52097"/>
  <c r="O187" i="52097"/>
  <c r="F199" i="52082"/>
  <c r="J199" i="52082"/>
  <c r="K199" i="52097"/>
  <c r="O199" i="52097"/>
  <c r="F198" i="52082"/>
  <c r="J198" i="52082"/>
  <c r="K198" i="52097"/>
  <c r="O198" i="52097"/>
  <c r="F197" i="52082"/>
  <c r="J197" i="52082"/>
  <c r="K197" i="52097"/>
  <c r="O197" i="52097"/>
  <c r="F196" i="52082"/>
  <c r="J196" i="52082"/>
  <c r="K196" i="52097"/>
  <c r="O196" i="52097"/>
  <c r="F195" i="52082"/>
  <c r="J195" i="52082"/>
  <c r="K195" i="52097"/>
  <c r="O195" i="52097"/>
  <c r="F194" i="52082"/>
  <c r="J194" i="52082"/>
  <c r="K194" i="52097"/>
  <c r="O194" i="52097"/>
  <c r="F193" i="52082"/>
  <c r="J193" i="52082"/>
  <c r="K193" i="52097"/>
  <c r="O193" i="52097" s="1"/>
  <c r="F192" i="52082"/>
  <c r="J192" i="52082" s="1"/>
  <c r="K192" i="52097"/>
  <c r="O192" i="52097" s="1"/>
  <c r="F191" i="52082"/>
  <c r="J191" i="52082" s="1"/>
  <c r="K191" i="52097"/>
  <c r="O191" i="52097" s="1"/>
  <c r="F190" i="52082"/>
  <c r="J190" i="52082" s="1"/>
  <c r="K190" i="52097"/>
  <c r="O190" i="52097" s="1"/>
  <c r="F189" i="52082"/>
  <c r="K189" i="52097"/>
  <c r="O189" i="52097" s="1"/>
  <c r="J188" i="52099"/>
  <c r="G188" i="52099"/>
  <c r="G201" i="52099"/>
  <c r="F201" i="52099"/>
  <c r="J201" i="52099"/>
  <c r="D222" i="52087"/>
  <c r="D254" i="52087" s="1"/>
  <c r="J122" i="52099"/>
  <c r="F101" i="52082"/>
  <c r="F127" i="52099"/>
  <c r="F239" i="52099"/>
  <c r="K14" i="52097"/>
  <c r="F18" i="52082"/>
  <c r="K175" i="52097"/>
  <c r="K107" i="52097"/>
  <c r="J97" i="52099"/>
  <c r="J101" i="52099"/>
  <c r="I212" i="52084"/>
  <c r="J66" i="52097"/>
  <c r="C66" i="52083"/>
  <c r="J212" i="52075"/>
  <c r="H213" i="9"/>
  <c r="L160" i="233"/>
  <c r="L161" i="233"/>
  <c r="D233" i="52079"/>
  <c r="D62" i="52079"/>
  <c r="I213" i="105"/>
  <c r="J213" i="105"/>
  <c r="U168" i="111"/>
  <c r="U21" i="111"/>
  <c r="L21" i="233" s="1"/>
  <c r="O116" i="110"/>
  <c r="L83" i="233"/>
  <c r="L82" i="233"/>
  <c r="U201" i="111"/>
  <c r="U243" i="111" s="1"/>
  <c r="D243" i="101"/>
  <c r="L79" i="233"/>
  <c r="O239" i="110"/>
  <c r="J178" i="52074"/>
  <c r="D68" i="52082"/>
  <c r="J68" i="101"/>
  <c r="J240" i="9"/>
  <c r="C215" i="52100"/>
  <c r="C215" i="52079"/>
  <c r="C215" i="32"/>
  <c r="C215" i="52093"/>
  <c r="C249" i="52093"/>
  <c r="C215" i="52088"/>
  <c r="C249" i="52088" s="1"/>
  <c r="C215" i="52087"/>
  <c r="C249" i="52087" s="1"/>
  <c r="D62" i="52100"/>
  <c r="D205" i="52100" s="1"/>
  <c r="D247" i="52100" s="1"/>
  <c r="D233" i="52100"/>
  <c r="O185" i="110"/>
  <c r="O243" i="110" s="1"/>
  <c r="U116" i="111"/>
  <c r="L116" i="233" s="1"/>
  <c r="U70" i="111"/>
  <c r="L70" i="233" s="1"/>
  <c r="O215" i="110"/>
  <c r="F188" i="52082"/>
  <c r="J188" i="52082" s="1"/>
  <c r="D245" i="52087"/>
  <c r="K12" i="52097"/>
  <c r="L202" i="52075"/>
  <c r="L243" i="52075" s="1"/>
  <c r="C139" i="111"/>
  <c r="C139" i="52074"/>
  <c r="M140" i="111"/>
  <c r="B140" i="52075"/>
  <c r="C140" i="52074"/>
  <c r="E243" i="52100"/>
  <c r="I243" i="52100"/>
  <c r="D223" i="52100"/>
  <c r="H108" i="52083"/>
  <c r="O211" i="111"/>
  <c r="E32" i="52100"/>
  <c r="C215" i="52067"/>
  <c r="L211" i="52097"/>
  <c r="I211" i="110"/>
  <c r="C215" i="77"/>
  <c r="D236" i="52088"/>
  <c r="B113" i="52083"/>
  <c r="I113" i="52083" s="1"/>
  <c r="K113" i="52083" s="1"/>
  <c r="E215" i="52092"/>
  <c r="E249" i="52092" s="1"/>
  <c r="I65" i="52075"/>
  <c r="M139" i="111"/>
  <c r="C245" i="52099"/>
  <c r="C215" i="52095"/>
  <c r="C249" i="52095" s="1"/>
  <c r="C215" i="52072"/>
  <c r="J179" i="52100"/>
  <c r="G133" i="110"/>
  <c r="K238" i="52076"/>
  <c r="J140" i="111"/>
  <c r="C65" i="52098"/>
  <c r="H65" i="52098" s="1"/>
  <c r="G65" i="52098"/>
  <c r="C113" i="52097"/>
  <c r="I192" i="52077"/>
  <c r="C133" i="52076"/>
  <c r="M132" i="111"/>
  <c r="C67" i="52083"/>
  <c r="G70" i="52079"/>
  <c r="G241" i="52091"/>
  <c r="D222" i="52066"/>
  <c r="D254" i="52066" s="1"/>
  <c r="C215" i="52071"/>
  <c r="C215" i="108"/>
  <c r="I211" i="52091"/>
  <c r="E215" i="114"/>
  <c r="E249" i="114" s="1"/>
  <c r="E210" i="52098"/>
  <c r="B122" i="110"/>
  <c r="H121" i="52076"/>
  <c r="B67" i="52083"/>
  <c r="H67" i="52083" s="1"/>
  <c r="B134" i="52084"/>
  <c r="B88" i="52083"/>
  <c r="D134" i="52075"/>
  <c r="D62" i="148"/>
  <c r="D205" i="148" s="1"/>
  <c r="D245" i="52067"/>
  <c r="D223" i="148"/>
  <c r="J67" i="52097"/>
  <c r="E238" i="52100"/>
  <c r="I238" i="52100" s="1"/>
  <c r="I129" i="52100"/>
  <c r="I168" i="52100"/>
  <c r="B133" i="52076"/>
  <c r="N136" i="111"/>
  <c r="K79" i="52075"/>
  <c r="H49" i="52091"/>
  <c r="H49" i="114"/>
  <c r="C136" i="52075"/>
  <c r="B136" i="111"/>
  <c r="M238" i="52082"/>
  <c r="M203" i="52082"/>
  <c r="M245" i="52082"/>
  <c r="D27" i="233"/>
  <c r="Q27" i="111"/>
  <c r="E233" i="52099"/>
  <c r="I51" i="52099"/>
  <c r="I233" i="52099" s="1"/>
  <c r="B65" i="52082"/>
  <c r="B65" i="52097"/>
  <c r="D181" i="52075"/>
  <c r="H182" i="111"/>
  <c r="N89" i="111"/>
  <c r="E89" i="52075"/>
  <c r="C89" i="9"/>
  <c r="G89" i="9" s="1"/>
  <c r="F89" i="9" s="1"/>
  <c r="C89" i="52098"/>
  <c r="H89" i="52098" s="1"/>
  <c r="H121" i="52074"/>
  <c r="J121" i="20"/>
  <c r="K21" i="52075"/>
  <c r="L75" i="233"/>
  <c r="I200" i="52083"/>
  <c r="L107" i="233"/>
  <c r="L174" i="233"/>
  <c r="C89" i="52083"/>
  <c r="J89" i="52097"/>
  <c r="B89" i="111"/>
  <c r="C89" i="52075"/>
  <c r="B121" i="52075"/>
  <c r="J121" i="52095"/>
  <c r="E161" i="105"/>
  <c r="E82" i="105"/>
  <c r="E111" i="105"/>
  <c r="E42" i="20"/>
  <c r="E91" i="20"/>
  <c r="E26" i="105"/>
  <c r="E68" i="105"/>
  <c r="E67" i="20"/>
  <c r="E97" i="20"/>
  <c r="E127" i="105"/>
  <c r="E122" i="105"/>
  <c r="I122" i="105" s="1"/>
  <c r="E171" i="105"/>
  <c r="E160" i="20"/>
  <c r="E99" i="105"/>
  <c r="E118" i="20"/>
  <c r="E156" i="20"/>
  <c r="E131" i="20"/>
  <c r="E144" i="20"/>
  <c r="E121" i="105"/>
  <c r="E162" i="20"/>
  <c r="E112" i="105"/>
  <c r="E132" i="20"/>
  <c r="E149" i="105"/>
  <c r="E64" i="105"/>
  <c r="E70" i="105" s="1"/>
  <c r="E27" i="20"/>
  <c r="E72" i="20"/>
  <c r="E105" i="20"/>
  <c r="E27" i="105"/>
  <c r="E72" i="105"/>
  <c r="E114" i="105"/>
  <c r="I114" i="105" s="1"/>
  <c r="E73" i="20"/>
  <c r="E95" i="20"/>
  <c r="E85" i="105"/>
  <c r="E35" i="20"/>
  <c r="E79" i="20"/>
  <c r="E35" i="105"/>
  <c r="E24" i="20"/>
  <c r="E109" i="20"/>
  <c r="E111" i="20"/>
  <c r="E23" i="20"/>
  <c r="E90" i="105"/>
  <c r="E23" i="105"/>
  <c r="I119" i="52083"/>
  <c r="D188" i="233"/>
  <c r="D62" i="52071"/>
  <c r="D205" i="52071" s="1"/>
  <c r="Q23" i="111"/>
  <c r="H178" i="52098"/>
  <c r="J178" i="52098" s="1"/>
  <c r="D243" i="77"/>
  <c r="D243" i="52093"/>
  <c r="L137" i="233"/>
  <c r="H49" i="52081"/>
  <c r="N10" i="52085"/>
  <c r="N18" i="52085"/>
  <c r="N26" i="52085"/>
  <c r="N31" i="52085"/>
  <c r="N35" i="52085"/>
  <c r="N7" i="52085"/>
  <c r="N11" i="52085"/>
  <c r="N15" i="52085"/>
  <c r="N19" i="52085"/>
  <c r="N23" i="52085"/>
  <c r="N27" i="52085"/>
  <c r="N41" i="52085"/>
  <c r="N40" i="52085"/>
  <c r="N38" i="52085"/>
  <c r="N34" i="52085"/>
  <c r="N30" i="52085"/>
  <c r="N24" i="52085"/>
  <c r="N16" i="52085"/>
  <c r="N8" i="52085"/>
  <c r="E118" i="52097"/>
  <c r="J2032" i="2"/>
  <c r="J121" i="52074"/>
  <c r="C249" i="108"/>
  <c r="C249" i="77"/>
  <c r="C249" i="52067"/>
  <c r="D236" i="52079"/>
  <c r="K176" i="52097"/>
  <c r="F176" i="52082"/>
  <c r="K113" i="52097"/>
  <c r="J8" i="52099"/>
  <c r="F8" i="52082"/>
  <c r="F107" i="52082"/>
  <c r="K114" i="52097"/>
  <c r="J99" i="52099"/>
  <c r="F16" i="52082"/>
  <c r="K81" i="52097"/>
  <c r="K122" i="52097"/>
  <c r="K142" i="52097"/>
  <c r="M205" i="52082"/>
  <c r="C249" i="52071"/>
  <c r="C249" i="52072"/>
  <c r="L185" i="233"/>
  <c r="K73" i="52097"/>
  <c r="J77" i="52099"/>
  <c r="K136" i="52097"/>
  <c r="F136" i="52082"/>
  <c r="F103" i="52099"/>
  <c r="F151" i="52082"/>
  <c r="J151" i="52082" s="1"/>
  <c r="K151" i="52097"/>
  <c r="O151" i="52097" s="1"/>
  <c r="E79" i="233"/>
  <c r="K79" i="110"/>
  <c r="I134" i="52075"/>
  <c r="H134" i="111"/>
  <c r="K110" i="52098"/>
  <c r="B110" i="52098"/>
  <c r="H110" i="52098" s="1"/>
  <c r="D222" i="52067"/>
  <c r="D254" i="52067" s="1"/>
  <c r="D205" i="52067"/>
  <c r="I158" i="52077"/>
  <c r="F210" i="52075"/>
  <c r="F214" i="52075" s="1"/>
  <c r="F247" i="52075" s="1"/>
  <c r="C223" i="52099"/>
  <c r="C205" i="52099"/>
  <c r="C222" i="52099"/>
  <c r="C254" i="52099" s="1"/>
  <c r="H129" i="52091"/>
  <c r="B136" i="110"/>
  <c r="I132" i="52075"/>
  <c r="B132" i="52075"/>
  <c r="G135" i="110"/>
  <c r="B108" i="52097"/>
  <c r="B108" i="52082"/>
  <c r="F134" i="110"/>
  <c r="J121" i="111"/>
  <c r="E241" i="52100"/>
  <c r="I241" i="52100" s="1"/>
  <c r="I154" i="52100"/>
  <c r="D222" i="52100"/>
  <c r="D254" i="52100"/>
  <c r="C215" i="12"/>
  <c r="G211" i="52082"/>
  <c r="F211" i="52083"/>
  <c r="F214" i="52083" s="1"/>
  <c r="F248" i="52083" s="1"/>
  <c r="B120" i="233"/>
  <c r="I137" i="52075"/>
  <c r="G89" i="233"/>
  <c r="K89" i="233" s="1"/>
  <c r="M137" i="111"/>
  <c r="I133" i="52075"/>
  <c r="F14" i="9"/>
  <c r="J211" i="52091"/>
  <c r="D211" i="9"/>
  <c r="F211" i="233" s="1"/>
  <c r="I212" i="110"/>
  <c r="E210" i="52074"/>
  <c r="L212" i="52097"/>
  <c r="E211" i="52077"/>
  <c r="O212" i="111"/>
  <c r="E215" i="77"/>
  <c r="E210" i="52084"/>
  <c r="E214" i="52084" s="1"/>
  <c r="E247" i="52084" s="1"/>
  <c r="C215" i="20"/>
  <c r="C215" i="48"/>
  <c r="G110" i="52098"/>
  <c r="D222" i="52071"/>
  <c r="D254" i="52071" s="1"/>
  <c r="O79" i="52097"/>
  <c r="L241" i="52075"/>
  <c r="G135" i="52097"/>
  <c r="D135" i="52082"/>
  <c r="L137" i="111"/>
  <c r="C134" i="110"/>
  <c r="C139" i="110"/>
  <c r="E121" i="9"/>
  <c r="G121" i="21"/>
  <c r="G86" i="93"/>
  <c r="I86" i="93" s="1"/>
  <c r="D136" i="111"/>
  <c r="H136" i="52074"/>
  <c r="B136" i="52074"/>
  <c r="C138" i="110"/>
  <c r="C135" i="110"/>
  <c r="I49" i="52097"/>
  <c r="O49" i="52097" s="1"/>
  <c r="N49" i="52097" s="1"/>
  <c r="F121" i="110"/>
  <c r="B17" i="111"/>
  <c r="F99" i="52097"/>
  <c r="E77" i="52082"/>
  <c r="F77" i="52097"/>
  <c r="C132" i="52076"/>
  <c r="D121" i="52082"/>
  <c r="J121" i="101"/>
  <c r="G121" i="52097"/>
  <c r="B138" i="52075"/>
  <c r="D95" i="52083"/>
  <c r="H95" i="52097"/>
  <c r="G74" i="52067"/>
  <c r="D74" i="52083" s="1"/>
  <c r="F134" i="111"/>
  <c r="B138" i="52074"/>
  <c r="M60" i="52082"/>
  <c r="M223" i="52082"/>
  <c r="M233" i="52082"/>
  <c r="H181" i="52074"/>
  <c r="Q25" i="111"/>
  <c r="I132" i="52083"/>
  <c r="D197" i="233"/>
  <c r="B65" i="9"/>
  <c r="C213" i="52082"/>
  <c r="B123" i="52083"/>
  <c r="H123" i="52083" s="1"/>
  <c r="Q198" i="111"/>
  <c r="J121" i="52081"/>
  <c r="C233" i="52099"/>
  <c r="B213" i="52082"/>
  <c r="D182" i="111"/>
  <c r="G89" i="111"/>
  <c r="J64" i="52097"/>
  <c r="I111" i="52083"/>
  <c r="F89" i="52097"/>
  <c r="E113" i="52097"/>
  <c r="J123" i="105"/>
  <c r="B219" i="52072"/>
  <c r="B219" i="52081"/>
  <c r="B220" i="52066"/>
  <c r="B220" i="52095"/>
  <c r="B219" i="52093"/>
  <c r="B219" i="91"/>
  <c r="B219" i="32"/>
  <c r="B219" i="52080"/>
  <c r="B219" i="52094"/>
  <c r="B220" i="52091"/>
  <c r="B220" i="52089"/>
  <c r="B220" i="12"/>
  <c r="B220" i="52092"/>
  <c r="B220" i="52090"/>
  <c r="B220" i="77"/>
  <c r="B220" i="115"/>
  <c r="B220" i="52071"/>
  <c r="B220" i="20"/>
  <c r="B220" i="114"/>
  <c r="B220" i="52079"/>
  <c r="B220" i="101"/>
  <c r="B220" i="52067"/>
  <c r="B220" i="52088"/>
  <c r="B220" i="52087"/>
  <c r="B220" i="108"/>
  <c r="B220" i="148"/>
  <c r="B220" i="105"/>
  <c r="B220" i="52064"/>
  <c r="B220" i="21"/>
  <c r="B219" i="52100"/>
  <c r="D120" i="52083"/>
  <c r="B120" i="52083"/>
  <c r="G120" i="52097"/>
  <c r="D119" i="52082"/>
  <c r="H2373" i="2"/>
  <c r="J2373" i="2" s="1"/>
  <c r="J2377" i="2" s="1"/>
  <c r="C138" i="52076"/>
  <c r="F138" i="111"/>
  <c r="D137" i="52084"/>
  <c r="H138" i="52074"/>
  <c r="C134" i="52076"/>
  <c r="M138" i="111"/>
  <c r="F132" i="111"/>
  <c r="R132" i="111" s="1"/>
  <c r="Q132" i="111" s="1"/>
  <c r="H132" i="52076"/>
  <c r="D110" i="52075"/>
  <c r="C79" i="233"/>
  <c r="N79" i="52097"/>
  <c r="Q79" i="52097"/>
  <c r="C249" i="20"/>
  <c r="E249" i="77"/>
  <c r="G215" i="52082"/>
  <c r="G249" i="52082" s="1"/>
  <c r="I156" i="52077"/>
  <c r="B205" i="52099"/>
  <c r="C247" i="52099"/>
  <c r="C209" i="52099"/>
  <c r="B209" i="52099"/>
  <c r="L133" i="111"/>
  <c r="L139" i="111"/>
  <c r="L136" i="111"/>
  <c r="B121" i="9"/>
  <c r="G121" i="9" s="1"/>
  <c r="K121" i="52098"/>
  <c r="G121" i="52098"/>
  <c r="J121" i="21"/>
  <c r="B121" i="52098"/>
  <c r="H121" i="52098" s="1"/>
  <c r="J121" i="52098" s="1"/>
  <c r="G135" i="111"/>
  <c r="D135" i="52074"/>
  <c r="H135" i="52074"/>
  <c r="E106" i="52075"/>
  <c r="N106" i="111"/>
  <c r="L140" i="111"/>
  <c r="G136" i="110"/>
  <c r="D136" i="52084"/>
  <c r="C249" i="48"/>
  <c r="O215" i="111"/>
  <c r="O249" i="111" s="1"/>
  <c r="C249" i="12"/>
  <c r="I172" i="52077"/>
  <c r="O108" i="52097"/>
  <c r="I200" i="52077"/>
  <c r="D209" i="52067"/>
  <c r="D217" i="52067" s="1"/>
  <c r="D251" i="52067" s="1"/>
  <c r="D247" i="52067"/>
  <c r="F238" i="52099"/>
  <c r="M209" i="52082"/>
  <c r="M217" i="52082"/>
  <c r="M251" i="52082" s="1"/>
  <c r="M247" i="52082"/>
  <c r="J8" i="52082"/>
  <c r="L8" i="52082" s="1"/>
  <c r="J8" i="52084"/>
  <c r="N132" i="52097"/>
  <c r="F129" i="52099"/>
  <c r="F203" i="52099" s="1"/>
  <c r="F137" i="52082"/>
  <c r="K137" i="52097"/>
  <c r="F85" i="52082"/>
  <c r="K85" i="52097"/>
  <c r="F141" i="52082"/>
  <c r="B96" i="233"/>
  <c r="H110" i="111"/>
  <c r="G137" i="110"/>
  <c r="F77" i="52082"/>
  <c r="K135" i="52097"/>
  <c r="F99" i="52082"/>
  <c r="G21" i="52099"/>
  <c r="O249" i="110"/>
  <c r="L249" i="233" s="1"/>
  <c r="D236" i="52071"/>
  <c r="C249" i="52100"/>
  <c r="K109" i="52097"/>
  <c r="F243" i="52099"/>
  <c r="F174" i="52082"/>
  <c r="K174" i="52097"/>
  <c r="F97" i="52082"/>
  <c r="K97" i="52097"/>
  <c r="J173" i="52099"/>
  <c r="K173" i="52097"/>
  <c r="G185" i="52099"/>
  <c r="F91" i="52082"/>
  <c r="K91" i="52097"/>
  <c r="B135" i="52084"/>
  <c r="E214" i="52076"/>
  <c r="E248" i="52076" s="1"/>
  <c r="C21" i="52075"/>
  <c r="C51" i="52075"/>
  <c r="I201" i="52100"/>
  <c r="E65" i="52083"/>
  <c r="C215" i="52092"/>
  <c r="C105" i="233"/>
  <c r="E203" i="52100"/>
  <c r="I203" i="52100" s="1"/>
  <c r="C65" i="52076"/>
  <c r="C215" i="52066"/>
  <c r="G179" i="233"/>
  <c r="K65" i="52098"/>
  <c r="H65" i="111"/>
  <c r="D135" i="52075"/>
  <c r="E247" i="52099"/>
  <c r="I247" i="52099" s="1"/>
  <c r="E209" i="52099"/>
  <c r="E217" i="52099" s="1"/>
  <c r="K15" i="110"/>
  <c r="E215" i="12"/>
  <c r="E249" i="12" s="1"/>
  <c r="E215" i="52091"/>
  <c r="E249" i="52091" s="1"/>
  <c r="D247" i="52091"/>
  <c r="H135" i="111"/>
  <c r="K132" i="110"/>
  <c r="D245" i="148"/>
  <c r="B121" i="52084"/>
  <c r="B137" i="52084"/>
  <c r="B10" i="111"/>
  <c r="B21" i="111" s="1"/>
  <c r="B51" i="111" s="1"/>
  <c r="B233" i="111" s="1"/>
  <c r="B137" i="111"/>
  <c r="C136" i="110"/>
  <c r="D134" i="52074"/>
  <c r="E215" i="148"/>
  <c r="E249" i="148" s="1"/>
  <c r="E215" i="115"/>
  <c r="E249" i="115" s="1"/>
  <c r="J121" i="91"/>
  <c r="C138" i="52075"/>
  <c r="E134" i="111"/>
  <c r="B134" i="52076"/>
  <c r="H121" i="52082"/>
  <c r="G121" i="52087"/>
  <c r="C121" i="52082" s="1"/>
  <c r="M121" i="52097"/>
  <c r="I103" i="52099"/>
  <c r="H213" i="52097"/>
  <c r="I112" i="52083"/>
  <c r="Q37" i="111"/>
  <c r="Q187" i="111"/>
  <c r="D26" i="233"/>
  <c r="C181" i="52084"/>
  <c r="I109" i="52083"/>
  <c r="H96" i="52083"/>
  <c r="B182" i="52097"/>
  <c r="D181" i="52074"/>
  <c r="D89" i="52083"/>
  <c r="H2838" i="52069"/>
  <c r="J2838" i="52069"/>
  <c r="K2841" i="52069" s="1"/>
  <c r="L213" i="52097"/>
  <c r="D97" i="52083"/>
  <c r="B138" i="52076"/>
  <c r="E138" i="111"/>
  <c r="I138" i="52075"/>
  <c r="E245" i="52100"/>
  <c r="E137" i="111"/>
  <c r="B137" i="52076"/>
  <c r="B139" i="110"/>
  <c r="E121" i="52097"/>
  <c r="O121" i="52097" s="1"/>
  <c r="C121" i="233" s="1"/>
  <c r="G134" i="111"/>
  <c r="I209" i="52099"/>
  <c r="C249" i="52066"/>
  <c r="I159" i="52077"/>
  <c r="G51" i="52099"/>
  <c r="G233" i="52099" s="1"/>
  <c r="F240" i="52099"/>
  <c r="H8" i="110"/>
  <c r="B138" i="111"/>
  <c r="I157" i="52077"/>
  <c r="U242" i="111"/>
  <c r="K170" i="52097"/>
  <c r="J170" i="52099"/>
  <c r="F144" i="52082"/>
  <c r="K144" i="52097"/>
  <c r="N112" i="52097"/>
  <c r="D236" i="52100"/>
  <c r="K83" i="52097"/>
  <c r="F83" i="52082"/>
  <c r="J138" i="111"/>
  <c r="D65" i="52097"/>
  <c r="C215" i="52064"/>
  <c r="C215" i="52094"/>
  <c r="E215" i="48"/>
  <c r="L138" i="111"/>
  <c r="L106" i="111"/>
  <c r="F38" i="52083"/>
  <c r="J73" i="52067"/>
  <c r="D245" i="52066"/>
  <c r="N105" i="52097"/>
  <c r="C215" i="52090"/>
  <c r="C215" i="115"/>
  <c r="D236" i="52064"/>
  <c r="E123" i="233"/>
  <c r="D223" i="52091"/>
  <c r="D222" i="52091"/>
  <c r="D254" i="52091" s="1"/>
  <c r="D236" i="52091"/>
  <c r="C88" i="52097"/>
  <c r="H122" i="52084"/>
  <c r="J122" i="52084" s="1"/>
  <c r="E74" i="52083"/>
  <c r="B121" i="110"/>
  <c r="J121" i="32"/>
  <c r="Q192" i="111"/>
  <c r="E212" i="52083"/>
  <c r="D213" i="52082"/>
  <c r="F213" i="9"/>
  <c r="B181" i="52084"/>
  <c r="N182" i="111"/>
  <c r="E89" i="111"/>
  <c r="N119" i="111"/>
  <c r="E212" i="52077"/>
  <c r="C249" i="52090"/>
  <c r="E249" i="48"/>
  <c r="C249" i="52094"/>
  <c r="C249" i="52064"/>
  <c r="D134" i="111"/>
  <c r="H134" i="52074"/>
  <c r="B134" i="52074"/>
  <c r="E135" i="111"/>
  <c r="B135" i="52076"/>
  <c r="J137" i="111"/>
  <c r="C249" i="115"/>
  <c r="C95" i="52083"/>
  <c r="J95" i="52097"/>
  <c r="J8" i="52074"/>
  <c r="K8" i="52075"/>
  <c r="R131" i="111"/>
  <c r="Q131" i="111" s="1"/>
  <c r="H118" i="52077"/>
  <c r="H120" i="52077"/>
  <c r="C118" i="52077"/>
  <c r="C120" i="52077"/>
  <c r="H119" i="52077"/>
  <c r="C119" i="52077"/>
  <c r="R8" i="111"/>
  <c r="D209" i="52100"/>
  <c r="D217" i="52100" s="1"/>
  <c r="D251" i="52100" s="1"/>
  <c r="F70" i="52082"/>
  <c r="M254" i="52082"/>
  <c r="M224" i="52082"/>
  <c r="B89" i="233"/>
  <c r="D135" i="52083"/>
  <c r="C36" i="233"/>
  <c r="N36" i="52097"/>
  <c r="C215" i="148"/>
  <c r="C215" i="52089"/>
  <c r="C249" i="52089" s="1"/>
  <c r="C215" i="52080"/>
  <c r="C249" i="52080" s="1"/>
  <c r="C215" i="52081"/>
  <c r="F106" i="9"/>
  <c r="B106" i="233"/>
  <c r="K89" i="52097"/>
  <c r="G70" i="52099"/>
  <c r="J70" i="52099" s="1"/>
  <c r="J213" i="52079"/>
  <c r="E211" i="52074"/>
  <c r="E214" i="52074" s="1"/>
  <c r="E247" i="52074" s="1"/>
  <c r="E215" i="52072"/>
  <c r="E215" i="52088"/>
  <c r="E249" i="52088" s="1"/>
  <c r="E215" i="52079"/>
  <c r="E249" i="52079" s="1"/>
  <c r="K241" i="52074"/>
  <c r="B113" i="52097"/>
  <c r="J113" i="148"/>
  <c r="D205" i="101"/>
  <c r="D209" i="101" s="1"/>
  <c r="D217" i="101" s="1"/>
  <c r="D251" i="101" s="1"/>
  <c r="D222" i="101"/>
  <c r="D254" i="101" s="1"/>
  <c r="D223" i="101"/>
  <c r="C54" i="52099"/>
  <c r="C218" i="52099"/>
  <c r="D65" i="52082"/>
  <c r="G65" i="52097"/>
  <c r="C65" i="52075"/>
  <c r="B65" i="111"/>
  <c r="I188" i="52077"/>
  <c r="L8" i="110"/>
  <c r="E8" i="233"/>
  <c r="C217" i="52099"/>
  <c r="D138" i="111"/>
  <c r="C215" i="21"/>
  <c r="J113" i="52084"/>
  <c r="D212" i="52098"/>
  <c r="H212" i="52098" s="1"/>
  <c r="J212" i="52098" s="1"/>
  <c r="C213" i="52097"/>
  <c r="F213" i="52097"/>
  <c r="G182" i="110"/>
  <c r="I89" i="52076"/>
  <c r="D181" i="52083"/>
  <c r="I131" i="52083"/>
  <c r="E89" i="52097"/>
  <c r="B65" i="52083"/>
  <c r="B119" i="9"/>
  <c r="G119" i="9" s="1"/>
  <c r="C251" i="52099"/>
  <c r="B217" i="52099"/>
  <c r="D247" i="101"/>
  <c r="E249" i="52072"/>
  <c r="G103" i="52099"/>
  <c r="G97" i="52098"/>
  <c r="K97" i="52098"/>
  <c r="B97" i="9"/>
  <c r="G97" i="9" s="1"/>
  <c r="B97" i="52098"/>
  <c r="H97" i="52098" s="1"/>
  <c r="B140" i="52083"/>
  <c r="C140" i="52097"/>
  <c r="G30" i="114"/>
  <c r="G28" i="114" s="1"/>
  <c r="I51" i="52075"/>
  <c r="I231" i="52075" s="1"/>
  <c r="F79" i="52084"/>
  <c r="J79" i="52084" s="1"/>
  <c r="H121" i="52077"/>
  <c r="D121" i="52077"/>
  <c r="G24" i="114"/>
  <c r="H97" i="52097"/>
  <c r="C249" i="52092"/>
  <c r="G243" i="52099"/>
  <c r="J243" i="52099" s="1"/>
  <c r="J185" i="52099"/>
  <c r="G156" i="52099"/>
  <c r="J156" i="52099" s="1"/>
  <c r="J21" i="52099"/>
  <c r="H95" i="52099"/>
  <c r="G127" i="52099"/>
  <c r="F127" i="52082" s="1"/>
  <c r="D132" i="233"/>
  <c r="I132" i="233"/>
  <c r="D209" i="148"/>
  <c r="D217" i="148" s="1"/>
  <c r="D251" i="148" s="1"/>
  <c r="D247" i="148"/>
  <c r="N15" i="52097"/>
  <c r="C15" i="233"/>
  <c r="N106" i="52097"/>
  <c r="B118" i="233"/>
  <c r="F118" i="9"/>
  <c r="L237" i="52083"/>
  <c r="K236" i="52077"/>
  <c r="F96" i="9"/>
  <c r="F109" i="9"/>
  <c r="E226" i="52100"/>
  <c r="E46" i="52100"/>
  <c r="B181" i="52077"/>
  <c r="B89" i="52077"/>
  <c r="H89" i="52077"/>
  <c r="J73" i="52099"/>
  <c r="C249" i="52079"/>
  <c r="C249" i="32"/>
  <c r="J113" i="52099"/>
  <c r="H113" i="52083"/>
  <c r="I121" i="105"/>
  <c r="I67" i="52083"/>
  <c r="D236" i="148"/>
  <c r="I79" i="20"/>
  <c r="D205" i="52087"/>
  <c r="F87" i="52082"/>
  <c r="F32" i="52099"/>
  <c r="F33" i="52099" s="1"/>
  <c r="K188" i="52097"/>
  <c r="U239" i="111"/>
  <c r="L239" i="233" s="1"/>
  <c r="K75" i="52097"/>
  <c r="K10" i="52097"/>
  <c r="K64" i="52097"/>
  <c r="K70" i="52097" s="1"/>
  <c r="J64" i="52099"/>
  <c r="D113" i="233"/>
  <c r="E215" i="105"/>
  <c r="E249" i="105" s="1"/>
  <c r="C215" i="114"/>
  <c r="D223" i="108"/>
  <c r="B89" i="52083"/>
  <c r="E210" i="52077"/>
  <c r="E214" i="52077" s="1"/>
  <c r="E247" i="52077" s="1"/>
  <c r="J121" i="77"/>
  <c r="C65" i="52084"/>
  <c r="D223" i="52071"/>
  <c r="G156" i="52091"/>
  <c r="G168" i="52091" s="1"/>
  <c r="G242" i="52091" s="1"/>
  <c r="G51" i="52091"/>
  <c r="G30" i="52091"/>
  <c r="G24" i="52091" s="1"/>
  <c r="H106" i="52077"/>
  <c r="C106" i="52077"/>
  <c r="J110" i="111"/>
  <c r="J107" i="111"/>
  <c r="G156" i="52081"/>
  <c r="D155" i="52103"/>
  <c r="G51" i="52081"/>
  <c r="G30" i="52081"/>
  <c r="G24" i="52081" s="1"/>
  <c r="B65" i="52077"/>
  <c r="H65" i="52077"/>
  <c r="K89" i="111"/>
  <c r="B122" i="52077"/>
  <c r="B80" i="52077"/>
  <c r="N6" i="52085"/>
  <c r="N22" i="52085"/>
  <c r="N33" i="52085"/>
  <c r="N5" i="52085"/>
  <c r="N13" i="52085"/>
  <c r="N21" i="52085"/>
  <c r="B220" i="52081"/>
  <c r="B219" i="52066"/>
  <c r="B220" i="91"/>
  <c r="B220" i="52080"/>
  <c r="B220" i="52093"/>
  <c r="B219" i="52089"/>
  <c r="B219" i="52092"/>
  <c r="B219" i="77"/>
  <c r="B219" i="52071"/>
  <c r="B219" i="114"/>
  <c r="B219" i="101"/>
  <c r="B219" i="52088"/>
  <c r="B219" i="108"/>
  <c r="B219" i="105"/>
  <c r="B219" i="21"/>
  <c r="N36" i="52085"/>
  <c r="N20" i="52085"/>
  <c r="N4" i="52085"/>
  <c r="L120" i="111"/>
  <c r="F212" i="52077"/>
  <c r="H79" i="52077"/>
  <c r="F79" i="52077"/>
  <c r="G41" i="114"/>
  <c r="C41" i="52075" s="1"/>
  <c r="G156" i="110"/>
  <c r="D155" i="52084"/>
  <c r="G233" i="52081"/>
  <c r="G127" i="52081"/>
  <c r="G28" i="52091"/>
  <c r="G42" i="52091" s="1"/>
  <c r="G41" i="52091"/>
  <c r="C84" i="52098"/>
  <c r="C84" i="9"/>
  <c r="G168" i="52099"/>
  <c r="J168" i="52099" s="1"/>
  <c r="F156" i="52082"/>
  <c r="F168" i="52082" s="1"/>
  <c r="F242" i="52082" s="1"/>
  <c r="G233" i="52091"/>
  <c r="K201" i="52097"/>
  <c r="O188" i="52097"/>
  <c r="N188" i="52097" s="1"/>
  <c r="D209" i="52087"/>
  <c r="D217" i="52087" s="1"/>
  <c r="D251" i="52087" s="1"/>
  <c r="D247" i="52087"/>
  <c r="J127" i="52099"/>
  <c r="B41" i="111"/>
  <c r="C188" i="233"/>
  <c r="H168" i="52099"/>
  <c r="H168" i="52091"/>
  <c r="V230" i="111"/>
  <c r="D255" i="233"/>
  <c r="V255" i="111"/>
  <c r="Q113" i="111"/>
  <c r="D191" i="233"/>
  <c r="Q195" i="111"/>
  <c r="Q199" i="111"/>
  <c r="H132" i="233"/>
  <c r="I178" i="52103"/>
  <c r="K178" i="52103" s="1"/>
  <c r="C178" i="52103"/>
  <c r="E131" i="233"/>
  <c r="D62" i="52081"/>
  <c r="D233" i="52081"/>
  <c r="D203" i="52081"/>
  <c r="D245" i="52081" s="1"/>
  <c r="D238" i="52081"/>
  <c r="G121" i="110"/>
  <c r="F235" i="52081"/>
  <c r="D62" i="52066"/>
  <c r="D236" i="52066" s="1"/>
  <c r="D233" i="52066"/>
  <c r="C122" i="52084"/>
  <c r="L38" i="110"/>
  <c r="E38" i="233" s="1"/>
  <c r="L39" i="110"/>
  <c r="E39" i="233" s="1"/>
  <c r="L40" i="110"/>
  <c r="E40" i="233" s="1"/>
  <c r="F235" i="52066"/>
  <c r="L65" i="48"/>
  <c r="L182" i="48"/>
  <c r="K116" i="52084"/>
  <c r="L89" i="48"/>
  <c r="E49" i="233"/>
  <c r="F235" i="48"/>
  <c r="L65" i="91"/>
  <c r="L89" i="91"/>
  <c r="D203" i="91"/>
  <c r="D222" i="91" s="1"/>
  <c r="D254" i="91" s="1"/>
  <c r="O103" i="110"/>
  <c r="O238" i="110" s="1"/>
  <c r="D238" i="91"/>
  <c r="C249" i="91"/>
  <c r="D222" i="52081"/>
  <c r="D254" i="52081" s="1"/>
  <c r="D236" i="52081"/>
  <c r="E110" i="110"/>
  <c r="C110" i="52084"/>
  <c r="D205" i="52066"/>
  <c r="D247" i="52066" s="1"/>
  <c r="D223" i="91"/>
  <c r="D245" i="91"/>
  <c r="D209" i="52066"/>
  <c r="D217" i="52066" s="1"/>
  <c r="D251" i="52066" s="1"/>
  <c r="I121" i="52103"/>
  <c r="K121" i="52103" s="1"/>
  <c r="E121" i="52103"/>
  <c r="C120" i="110"/>
  <c r="E65" i="52103"/>
  <c r="E119" i="52103"/>
  <c r="I65" i="52103"/>
  <c r="C118" i="110"/>
  <c r="E89" i="52103"/>
  <c r="E118" i="52103"/>
  <c r="E120" i="52103"/>
  <c r="J212" i="52103"/>
  <c r="D233" i="91"/>
  <c r="D62" i="91"/>
  <c r="K8" i="110"/>
  <c r="K131" i="110"/>
  <c r="D238" i="32"/>
  <c r="D203" i="32"/>
  <c r="B120" i="110"/>
  <c r="F38" i="52102"/>
  <c r="F235" i="32"/>
  <c r="E122" i="52102"/>
  <c r="E123" i="52102"/>
  <c r="E178" i="52102"/>
  <c r="L25" i="110"/>
  <c r="E25" i="233" s="1"/>
  <c r="L26" i="110"/>
  <c r="E26" i="233" s="1"/>
  <c r="L27" i="110"/>
  <c r="E27" i="233" s="1"/>
  <c r="L37" i="110"/>
  <c r="E37" i="233" s="1"/>
  <c r="B119" i="110"/>
  <c r="D238" i="52072"/>
  <c r="D203" i="52072"/>
  <c r="D62" i="52072"/>
  <c r="D233" i="52072"/>
  <c r="D182" i="110"/>
  <c r="D118" i="110"/>
  <c r="D120" i="110"/>
  <c r="D122" i="52102"/>
  <c r="D119" i="110"/>
  <c r="D178" i="52102"/>
  <c r="M61" i="52102"/>
  <c r="I89" i="52102"/>
  <c r="B178" i="52102"/>
  <c r="D62" i="52089"/>
  <c r="D233" i="52089"/>
  <c r="D203" i="52089"/>
  <c r="D238" i="52089"/>
  <c r="C120" i="52102"/>
  <c r="I123" i="52102"/>
  <c r="L89" i="52089"/>
  <c r="G89" i="52102"/>
  <c r="K89" i="52102" s="1"/>
  <c r="C65" i="52102"/>
  <c r="C119" i="52102"/>
  <c r="C123" i="52102"/>
  <c r="I181" i="52102"/>
  <c r="C181" i="52102"/>
  <c r="C118" i="52102"/>
  <c r="I122" i="52102"/>
  <c r="K122" i="52102" s="1"/>
  <c r="C122" i="52102"/>
  <c r="G212" i="52102"/>
  <c r="L65" i="52089"/>
  <c r="L182" i="52089"/>
  <c r="G181" i="52102"/>
  <c r="K181" i="52102" s="1"/>
  <c r="C178" i="52102"/>
  <c r="I178" i="52102"/>
  <c r="K178" i="52102" s="1"/>
  <c r="R79" i="111"/>
  <c r="G119" i="111"/>
  <c r="G120" i="111"/>
  <c r="C89" i="52102"/>
  <c r="C121" i="52102"/>
  <c r="D51" i="52103"/>
  <c r="M227" i="52103"/>
  <c r="M61" i="52103"/>
  <c r="C200" i="52103"/>
  <c r="N21" i="52104"/>
  <c r="E51" i="52104"/>
  <c r="E231" i="52104" s="1"/>
  <c r="D51" i="52104"/>
  <c r="D231" i="52104" s="1"/>
  <c r="C51" i="52104"/>
  <c r="B51" i="52104"/>
  <c r="H222" i="52104"/>
  <c r="M229" i="52104"/>
  <c r="I253" i="52104"/>
  <c r="I227" i="52104"/>
  <c r="M227" i="52104" s="1"/>
  <c r="D203" i="77"/>
  <c r="D238" i="77"/>
  <c r="D233" i="77"/>
  <c r="D62" i="77"/>
  <c r="K214" i="52076"/>
  <c r="K248" i="52076" s="1"/>
  <c r="D233" i="12"/>
  <c r="D62" i="12"/>
  <c r="D203" i="12"/>
  <c r="D238" i="12"/>
  <c r="K21" i="52076"/>
  <c r="K51" i="52076" s="1"/>
  <c r="D238" i="20"/>
  <c r="D203" i="20"/>
  <c r="D62" i="20"/>
  <c r="D233" i="20"/>
  <c r="F235" i="20"/>
  <c r="K236" i="52074"/>
  <c r="K202" i="52074"/>
  <c r="K243" i="52074" s="1"/>
  <c r="D238" i="115"/>
  <c r="D203" i="115"/>
  <c r="D223" i="115" s="1"/>
  <c r="D62" i="115"/>
  <c r="D233" i="115"/>
  <c r="D238" i="52090"/>
  <c r="D203" i="52090"/>
  <c r="D205" i="52090" s="1"/>
  <c r="D62" i="52090"/>
  <c r="D233" i="52090"/>
  <c r="F235" i="52095"/>
  <c r="D233" i="52080"/>
  <c r="D62" i="52080"/>
  <c r="D236" i="52080" s="1"/>
  <c r="L89" i="52080"/>
  <c r="L215" i="233"/>
  <c r="N121" i="111"/>
  <c r="L65" i="52080"/>
  <c r="L182" i="52080"/>
  <c r="D203" i="52080"/>
  <c r="D222" i="52080" s="1"/>
  <c r="D254" i="52080" s="1"/>
  <c r="D238" i="52080"/>
  <c r="D233" i="114"/>
  <c r="D62" i="114"/>
  <c r="D203" i="114"/>
  <c r="D238" i="114"/>
  <c r="B24" i="111"/>
  <c r="L231" i="52075"/>
  <c r="D62" i="52092"/>
  <c r="D233" i="52092"/>
  <c r="D203" i="52092"/>
  <c r="D223" i="52092" s="1"/>
  <c r="D238" i="52092"/>
  <c r="K51" i="52077"/>
  <c r="K231" i="52077" s="1"/>
  <c r="D203" i="52094"/>
  <c r="D223" i="52094" s="1"/>
  <c r="D238" i="52094"/>
  <c r="D233" i="52094"/>
  <c r="D62" i="52094"/>
  <c r="D205" i="52094" s="1"/>
  <c r="F235" i="52094"/>
  <c r="L80" i="111"/>
  <c r="D158" i="233"/>
  <c r="K65" i="111"/>
  <c r="R151" i="111"/>
  <c r="D151" i="233" s="1"/>
  <c r="R108" i="111"/>
  <c r="V231" i="111"/>
  <c r="H223" i="52103"/>
  <c r="D205" i="91"/>
  <c r="D209" i="91" s="1"/>
  <c r="D217" i="91" s="1"/>
  <c r="D236" i="91"/>
  <c r="D245" i="32"/>
  <c r="D222" i="32"/>
  <c r="D254" i="32" s="1"/>
  <c r="D223" i="32"/>
  <c r="D236" i="52072"/>
  <c r="D205" i="52072"/>
  <c r="D222" i="52072"/>
  <c r="D254" i="52072" s="1"/>
  <c r="D223" i="52072"/>
  <c r="D245" i="52072"/>
  <c r="D223" i="52089"/>
  <c r="D222" i="52089"/>
  <c r="D254" i="52089" s="1"/>
  <c r="D245" i="52089"/>
  <c r="D236" i="52089"/>
  <c r="D205" i="52089"/>
  <c r="D209" i="52089" s="1"/>
  <c r="D217" i="52089" s="1"/>
  <c r="D231" i="52103"/>
  <c r="C231" i="52104"/>
  <c r="D236" i="77"/>
  <c r="D205" i="77"/>
  <c r="D247" i="77" s="1"/>
  <c r="D223" i="77"/>
  <c r="D245" i="77"/>
  <c r="D222" i="77"/>
  <c r="D254" i="77" s="1"/>
  <c r="D245" i="12"/>
  <c r="D222" i="12"/>
  <c r="D254" i="12" s="1"/>
  <c r="D223" i="12"/>
  <c r="D205" i="12"/>
  <c r="K62" i="52076"/>
  <c r="D236" i="12"/>
  <c r="D236" i="20"/>
  <c r="D205" i="20"/>
  <c r="D222" i="20"/>
  <c r="D254" i="20" s="1"/>
  <c r="D245" i="20"/>
  <c r="D223" i="20"/>
  <c r="D245" i="115"/>
  <c r="C110" i="52074"/>
  <c r="C110" i="111"/>
  <c r="D236" i="115"/>
  <c r="K62" i="52074"/>
  <c r="D205" i="115"/>
  <c r="D247" i="115" s="1"/>
  <c r="D236" i="52090"/>
  <c r="D223" i="52090"/>
  <c r="D223" i="52080"/>
  <c r="D245" i="52080"/>
  <c r="D223" i="114"/>
  <c r="D222" i="114"/>
  <c r="D254" i="114" s="1"/>
  <c r="D245" i="114"/>
  <c r="D236" i="114"/>
  <c r="D222" i="52092"/>
  <c r="D254" i="52092" s="1"/>
  <c r="D236" i="52092"/>
  <c r="D205" i="52092"/>
  <c r="D247" i="52092" s="1"/>
  <c r="K62" i="52077"/>
  <c r="D236" i="52094"/>
  <c r="D245" i="52094"/>
  <c r="D247" i="91"/>
  <c r="D209" i="52072"/>
  <c r="D217" i="52072" s="1"/>
  <c r="D251" i="52072" s="1"/>
  <c r="D247" i="52072"/>
  <c r="D247" i="52089"/>
  <c r="D209" i="77"/>
  <c r="D217" i="77" s="1"/>
  <c r="D251" i="77" s="1"/>
  <c r="K235" i="52076"/>
  <c r="D209" i="12"/>
  <c r="D217" i="12" s="1"/>
  <c r="D247" i="12"/>
  <c r="D209" i="20"/>
  <c r="D217" i="20" s="1"/>
  <c r="D251" i="20" s="1"/>
  <c r="D247" i="20"/>
  <c r="D209" i="115"/>
  <c r="D217" i="115" s="1"/>
  <c r="K234" i="52074"/>
  <c r="D209" i="52092"/>
  <c r="D217" i="52092" s="1"/>
  <c r="D251" i="52092" s="1"/>
  <c r="G51" i="114"/>
  <c r="G127" i="114" s="1"/>
  <c r="G42" i="114"/>
  <c r="G253" i="114"/>
  <c r="G213" i="114" s="1"/>
  <c r="B28" i="111"/>
  <c r="B30" i="111" s="1"/>
  <c r="B32" i="111" s="1"/>
  <c r="B33" i="111" s="1"/>
  <c r="C28" i="52075"/>
  <c r="C231" i="52075"/>
  <c r="G233" i="114"/>
  <c r="B253" i="111"/>
  <c r="C42" i="52075"/>
  <c r="B42" i="111"/>
  <c r="I118" i="52103"/>
  <c r="I119" i="52103"/>
  <c r="I120" i="52103"/>
  <c r="D119" i="52103"/>
  <c r="G118" i="110"/>
  <c r="G120" i="110"/>
  <c r="D24" i="52103"/>
  <c r="G41" i="52081"/>
  <c r="D41" i="52084" s="1"/>
  <c r="G24" i="110"/>
  <c r="D24" i="52084"/>
  <c r="O51" i="110"/>
  <c r="O233" i="110" s="1"/>
  <c r="D62" i="32"/>
  <c r="L62" i="52103" s="1"/>
  <c r="L234" i="52103" s="1"/>
  <c r="D233" i="32"/>
  <c r="D41" i="52103"/>
  <c r="D236" i="32"/>
  <c r="L62" i="52104"/>
  <c r="L234" i="52104" s="1"/>
  <c r="L62" i="52102"/>
  <c r="L235" i="52102"/>
  <c r="B119" i="52103"/>
  <c r="B120" i="52103"/>
  <c r="F118" i="110"/>
  <c r="C120" i="52076"/>
  <c r="C119" i="52104"/>
  <c r="B118" i="52076"/>
  <c r="B120" i="52076"/>
  <c r="I120" i="52104"/>
  <c r="N131" i="52104"/>
  <c r="N118" i="52104"/>
  <c r="N119" i="52104"/>
  <c r="I118" i="52104"/>
  <c r="I119" i="52104"/>
  <c r="C118" i="111"/>
  <c r="C119" i="52074"/>
  <c r="C120" i="111"/>
  <c r="E120" i="52104"/>
  <c r="N120" i="52104" s="1"/>
  <c r="K179" i="110"/>
  <c r="N179" i="110"/>
  <c r="E179" i="233"/>
  <c r="I178" i="52104"/>
  <c r="N253" i="52104"/>
  <c r="K178" i="52104"/>
  <c r="D178" i="52104"/>
  <c r="N178" i="52104" s="1"/>
  <c r="L89" i="233"/>
  <c r="D62" i="52095"/>
  <c r="D233" i="52095"/>
  <c r="U51" i="111"/>
  <c r="R119" i="111"/>
  <c r="D203" i="52095"/>
  <c r="D223" i="52095" s="1"/>
  <c r="D238" i="52095"/>
  <c r="U103" i="111"/>
  <c r="U238" i="111" s="1"/>
  <c r="D131" i="233"/>
  <c r="D201" i="233"/>
  <c r="D62" i="48"/>
  <c r="D236" i="48" s="1"/>
  <c r="D233" i="48"/>
  <c r="D203" i="48"/>
  <c r="D223" i="48" s="1"/>
  <c r="D238" i="48"/>
  <c r="B89" i="52084"/>
  <c r="G28" i="52081"/>
  <c r="G65" i="110"/>
  <c r="D123" i="52103"/>
  <c r="D181" i="52084"/>
  <c r="D222" i="52095"/>
  <c r="D254" i="52095" s="1"/>
  <c r="D245" i="52095"/>
  <c r="U233" i="111"/>
  <c r="D236" i="52095"/>
  <c r="L62" i="52075"/>
  <c r="L204" i="52075" s="1"/>
  <c r="D205" i="52095"/>
  <c r="D247" i="52095" s="1"/>
  <c r="U62" i="111"/>
  <c r="D222" i="48"/>
  <c r="D254" i="48" s="1"/>
  <c r="O203" i="110"/>
  <c r="O245" i="110" s="1"/>
  <c r="K62" i="52084"/>
  <c r="K60" i="52084" s="1"/>
  <c r="K233" i="52084" s="1"/>
  <c r="O62" i="110"/>
  <c r="D28" i="52103"/>
  <c r="G28" i="110"/>
  <c r="G253" i="52081"/>
  <c r="F253" i="110" s="1"/>
  <c r="D28" i="52084"/>
  <c r="G42" i="52081"/>
  <c r="G42" i="110" s="1"/>
  <c r="L60" i="52075"/>
  <c r="L221" i="52075" s="1"/>
  <c r="L222" i="52075" s="1"/>
  <c r="L252" i="52075" s="1"/>
  <c r="D209" i="52095"/>
  <c r="D217" i="52095" s="1"/>
  <c r="D251" i="52095" s="1"/>
  <c r="O236" i="110"/>
  <c r="D42" i="52103"/>
  <c r="D251" i="52103"/>
  <c r="G213" i="52081"/>
  <c r="D212" i="52084" s="1"/>
  <c r="G213" i="110"/>
  <c r="D212" i="52103"/>
  <c r="N194" i="52097"/>
  <c r="C194" i="233"/>
  <c r="N195" i="52097"/>
  <c r="C195" i="233"/>
  <c r="C196" i="233"/>
  <c r="N196" i="52097"/>
  <c r="N197" i="52097"/>
  <c r="C197" i="233"/>
  <c r="N198" i="52097"/>
  <c r="C198" i="233"/>
  <c r="N199" i="52097"/>
  <c r="C199" i="233"/>
  <c r="E151" i="233"/>
  <c r="K151" i="110"/>
  <c r="R238" i="52097"/>
  <c r="F112" i="9"/>
  <c r="B112" i="233"/>
  <c r="Q151" i="111"/>
  <c r="V151" i="111" s="1"/>
  <c r="F97" i="9"/>
  <c r="B97" i="233"/>
  <c r="B121" i="233"/>
  <c r="I121" i="9"/>
  <c r="F121" i="9"/>
  <c r="N160" i="52097"/>
  <c r="C160" i="233"/>
  <c r="I113" i="9"/>
  <c r="F113" i="9"/>
  <c r="B113" i="233"/>
  <c r="G65" i="9"/>
  <c r="N96" i="52097"/>
  <c r="C96" i="233"/>
  <c r="C65" i="52103"/>
  <c r="H65" i="52084"/>
  <c r="F41" i="20"/>
  <c r="L211" i="52091"/>
  <c r="J243" i="9"/>
  <c r="L243" i="233" s="1"/>
  <c r="B181" i="52104"/>
  <c r="L182" i="12"/>
  <c r="E182" i="111"/>
  <c r="I123" i="52083"/>
  <c r="Q15" i="111"/>
  <c r="H89" i="110"/>
  <c r="N57" i="52097"/>
  <c r="E65" i="110"/>
  <c r="C65" i="52104"/>
  <c r="L65" i="77"/>
  <c r="D88" i="52104"/>
  <c r="D88" i="111"/>
  <c r="I181" i="52104"/>
  <c r="E181" i="52104"/>
  <c r="L182" i="115"/>
  <c r="I89" i="52104"/>
  <c r="E89" i="52104"/>
  <c r="L89" i="115"/>
  <c r="E65" i="52104"/>
  <c r="L65" i="115"/>
  <c r="D181" i="52104"/>
  <c r="L182" i="20"/>
  <c r="J108" i="52082"/>
  <c r="L65" i="32"/>
  <c r="L89" i="52072"/>
  <c r="L65" i="52066"/>
  <c r="L182" i="52066"/>
  <c r="L65" i="52095"/>
  <c r="L182" i="52095"/>
  <c r="L89" i="52094"/>
  <c r="L65" i="52093"/>
  <c r="L65" i="52092"/>
  <c r="L182" i="52092"/>
  <c r="L89" i="52090"/>
  <c r="L151" i="52100"/>
  <c r="D65" i="52104"/>
  <c r="L65" i="20"/>
  <c r="D89" i="52104"/>
  <c r="L89" i="20"/>
  <c r="B89" i="52104"/>
  <c r="L89" i="12"/>
  <c r="C181" i="52104"/>
  <c r="L182" i="77"/>
  <c r="C89" i="52104"/>
  <c r="L89" i="77"/>
  <c r="I79" i="52104"/>
  <c r="B79" i="52104"/>
  <c r="N79" i="52104" s="1"/>
  <c r="B89" i="110"/>
  <c r="E89" i="52102"/>
  <c r="L182" i="32"/>
  <c r="H119" i="52083"/>
  <c r="Q157" i="111"/>
  <c r="H181" i="52084"/>
  <c r="E182" i="110"/>
  <c r="D65" i="52077"/>
  <c r="I65" i="52077" s="1"/>
  <c r="F89" i="110"/>
  <c r="M65" i="111"/>
  <c r="M89" i="111"/>
  <c r="E65" i="52097"/>
  <c r="G65" i="111"/>
  <c r="I114" i="20"/>
  <c r="E253" i="20"/>
  <c r="H106" i="52083"/>
  <c r="H89" i="52074"/>
  <c r="C65" i="111"/>
  <c r="B181" i="52074"/>
  <c r="D89" i="52077"/>
  <c r="I89" i="52077" s="1"/>
  <c r="L182" i="52072"/>
  <c r="L89" i="52066"/>
  <c r="L89" i="52095"/>
  <c r="L65" i="52094"/>
  <c r="L182" i="52094"/>
  <c r="L89" i="52093"/>
  <c r="L89" i="52092"/>
  <c r="L65" i="52090"/>
  <c r="L182" i="52090"/>
  <c r="L89" i="52100"/>
  <c r="L182" i="52100"/>
  <c r="O28" i="52097"/>
  <c r="L89" i="52091"/>
  <c r="L182" i="52091"/>
  <c r="G151" i="233"/>
  <c r="K151" i="233" s="1"/>
  <c r="G79" i="52103"/>
  <c r="K79" i="52103" s="1"/>
  <c r="G89" i="52104"/>
  <c r="K89" i="52104" s="1"/>
  <c r="G181" i="52104"/>
  <c r="K181" i="52104" s="1"/>
  <c r="E65" i="52102"/>
  <c r="L65" i="52091"/>
  <c r="G212" i="52104"/>
  <c r="J212" i="52104" s="1"/>
  <c r="G8" i="52103"/>
  <c r="K8" i="52103"/>
  <c r="G8" i="52104"/>
  <c r="F151" i="233"/>
  <c r="J151" i="233" s="1"/>
  <c r="G79" i="52102"/>
  <c r="G242" i="52099"/>
  <c r="J242" i="52099" s="1"/>
  <c r="N157" i="52097"/>
  <c r="C157" i="233"/>
  <c r="F185" i="52082"/>
  <c r="G239" i="52099"/>
  <c r="J116" i="52099"/>
  <c r="F113" i="52082"/>
  <c r="F116" i="52082" s="1"/>
  <c r="C111" i="233"/>
  <c r="N111" i="52097"/>
  <c r="H116" i="52099"/>
  <c r="C106" i="233"/>
  <c r="J239" i="52099"/>
  <c r="J103" i="52099"/>
  <c r="F62" i="52099"/>
  <c r="J51" i="52099"/>
  <c r="J233" i="52099"/>
  <c r="F233" i="52099"/>
  <c r="K143" i="52097"/>
  <c r="K141" i="52097"/>
  <c r="J141" i="52099"/>
  <c r="J143" i="52099"/>
  <c r="C131" i="233"/>
  <c r="N131" i="52097"/>
  <c r="F145" i="52082"/>
  <c r="C190" i="233"/>
  <c r="N190" i="52097"/>
  <c r="C191" i="233"/>
  <c r="N191" i="52097"/>
  <c r="N192" i="52097"/>
  <c r="C192" i="233"/>
  <c r="N193" i="52097"/>
  <c r="C193" i="233"/>
  <c r="N159" i="52097"/>
  <c r="C159" i="233"/>
  <c r="C123" i="233"/>
  <c r="N123" i="52097"/>
  <c r="C189" i="233"/>
  <c r="N189" i="52097"/>
  <c r="C187" i="233"/>
  <c r="N187" i="52097"/>
  <c r="O201" i="52097"/>
  <c r="N110" i="52097"/>
  <c r="C110" i="233"/>
  <c r="N151" i="52097"/>
  <c r="C151" i="233"/>
  <c r="O8" i="52097"/>
  <c r="C8" i="233"/>
  <c r="H118" i="52083"/>
  <c r="I118" i="52083"/>
  <c r="I96" i="52083"/>
  <c r="O120" i="52097"/>
  <c r="N120" i="52097" s="1"/>
  <c r="N253" i="52097"/>
  <c r="H253" i="233"/>
  <c r="O253" i="52097"/>
  <c r="C28" i="233"/>
  <c r="I106" i="52083"/>
  <c r="Q8" i="52097"/>
  <c r="J120" i="52082"/>
  <c r="F110" i="9"/>
  <c r="G21" i="52103"/>
  <c r="K21" i="52103" s="1"/>
  <c r="K8" i="52104"/>
  <c r="F236" i="52099"/>
  <c r="C253" i="233"/>
  <c r="H213" i="52082"/>
  <c r="K213" i="52082" s="1"/>
  <c r="M213" i="52097"/>
  <c r="P213" i="52097" s="1"/>
  <c r="J213" i="52099"/>
  <c r="K213" i="52097"/>
  <c r="F213" i="52082"/>
  <c r="J213" i="52082" s="1"/>
  <c r="L213" i="52082" s="1"/>
  <c r="G213" i="233"/>
  <c r="G241" i="52099"/>
  <c r="J241" i="52099"/>
  <c r="H154" i="52099"/>
  <c r="J154" i="52099"/>
  <c r="D215" i="9"/>
  <c r="D249" i="9" s="1"/>
  <c r="E249" i="52064"/>
  <c r="C249" i="105"/>
  <c r="C249" i="101"/>
  <c r="F211" i="52102"/>
  <c r="F210" i="52104"/>
  <c r="F214" i="52104" s="1"/>
  <c r="F247" i="52104" s="1"/>
  <c r="F210" i="52103"/>
  <c r="F211" i="52103"/>
  <c r="F210" i="52102"/>
  <c r="K200" i="52077"/>
  <c r="K241" i="52077" s="1"/>
  <c r="I121" i="52104"/>
  <c r="K121" i="52104" s="1"/>
  <c r="E121" i="52104"/>
  <c r="N121" i="52104" s="1"/>
  <c r="I123" i="52104"/>
  <c r="D123" i="52104"/>
  <c r="N123" i="52104" s="1"/>
  <c r="L64" i="52104"/>
  <c r="L65" i="52104"/>
  <c r="L66" i="52104"/>
  <c r="L67" i="52104"/>
  <c r="L68" i="52104"/>
  <c r="L72" i="52104"/>
  <c r="L73" i="52104"/>
  <c r="L74" i="52104"/>
  <c r="L75" i="52104"/>
  <c r="L76" i="52104"/>
  <c r="L77" i="52104"/>
  <c r="L78" i="52104"/>
  <c r="L79" i="52104"/>
  <c r="L80" i="52104"/>
  <c r="L81" i="52104"/>
  <c r="L82" i="52104"/>
  <c r="L83" i="52104"/>
  <c r="L84" i="52104"/>
  <c r="L85" i="52104"/>
  <c r="L86" i="52104"/>
  <c r="L87" i="52104"/>
  <c r="L88" i="52104"/>
  <c r="L89" i="52104"/>
  <c r="L90" i="52104"/>
  <c r="L91" i="52104"/>
  <c r="L92" i="52104"/>
  <c r="L93" i="52104"/>
  <c r="L94" i="52104"/>
  <c r="L95" i="52104"/>
  <c r="L96" i="52104"/>
  <c r="L97" i="52104"/>
  <c r="L98" i="52104"/>
  <c r="L99" i="52104"/>
  <c r="L100" i="52104"/>
  <c r="L101" i="52104"/>
  <c r="L105" i="52104"/>
  <c r="L106" i="52104"/>
  <c r="L107" i="52104"/>
  <c r="L108" i="52104"/>
  <c r="L109" i="52104"/>
  <c r="L110" i="52104"/>
  <c r="L111" i="52104"/>
  <c r="L112" i="52104"/>
  <c r="L113" i="52104"/>
  <c r="L114" i="52104"/>
  <c r="L118" i="52104"/>
  <c r="L119" i="52104"/>
  <c r="L120" i="52104"/>
  <c r="L121" i="52104"/>
  <c r="L122" i="52104"/>
  <c r="L123" i="52104"/>
  <c r="L124" i="52104"/>
  <c r="L125" i="52104"/>
  <c r="L126" i="52104"/>
  <c r="L127" i="52104"/>
  <c r="L131" i="52104"/>
  <c r="L132" i="52104"/>
  <c r="L133" i="52104"/>
  <c r="L134" i="52104"/>
  <c r="L135" i="52104"/>
  <c r="L136" i="52104"/>
  <c r="L137" i="52104"/>
  <c r="L138" i="52104"/>
  <c r="L139" i="52104"/>
  <c r="L140" i="52104"/>
  <c r="L141" i="52104"/>
  <c r="L142" i="52104"/>
  <c r="L143" i="52104"/>
  <c r="L144" i="52104"/>
  <c r="L145" i="52104"/>
  <c r="L146" i="52104"/>
  <c r="L147" i="52104"/>
  <c r="L148" i="52104"/>
  <c r="L149" i="52104"/>
  <c r="L150" i="52104"/>
  <c r="L151" i="52104"/>
  <c r="L155" i="52104"/>
  <c r="L156" i="52104"/>
  <c r="L157" i="52104"/>
  <c r="L158" i="52104"/>
  <c r="L159" i="52104"/>
  <c r="L160" i="52104"/>
  <c r="L161" i="52104"/>
  <c r="L162" i="52104"/>
  <c r="L163" i="52104"/>
  <c r="L164" i="52104"/>
  <c r="L165" i="52104"/>
  <c r="L169" i="52104"/>
  <c r="L170" i="52104"/>
  <c r="L171" i="52104"/>
  <c r="L172" i="52104"/>
  <c r="L173" i="52104"/>
  <c r="L174" i="52104"/>
  <c r="L175" i="52104"/>
  <c r="L176" i="52104"/>
  <c r="L177" i="52104"/>
  <c r="L178" i="52104"/>
  <c r="L179" i="52104"/>
  <c r="L180" i="52104"/>
  <c r="L181" i="52104"/>
  <c r="L182" i="52104"/>
  <c r="L186" i="52104"/>
  <c r="L187" i="52104"/>
  <c r="L188" i="52104"/>
  <c r="L189" i="52104"/>
  <c r="L190" i="52104"/>
  <c r="L191" i="52104"/>
  <c r="L192" i="52104"/>
  <c r="L193" i="52104"/>
  <c r="L194" i="52104"/>
  <c r="L195" i="52104"/>
  <c r="L196" i="52104"/>
  <c r="L197" i="52104"/>
  <c r="L198" i="52104"/>
  <c r="L206" i="52104"/>
  <c r="L210" i="52104"/>
  <c r="L211" i="52104"/>
  <c r="L212" i="52104"/>
  <c r="B79" i="52102"/>
  <c r="L8" i="52102"/>
  <c r="L9" i="52102"/>
  <c r="L10" i="52102"/>
  <c r="L11" i="52102"/>
  <c r="L12" i="52102"/>
  <c r="L13" i="52102"/>
  <c r="L14" i="52102"/>
  <c r="L15" i="52102"/>
  <c r="L16" i="52102"/>
  <c r="L17" i="52102"/>
  <c r="L18" i="52102"/>
  <c r="L49" i="52102"/>
  <c r="L64" i="52102"/>
  <c r="L65" i="52102"/>
  <c r="L66" i="52102"/>
  <c r="L67" i="52102"/>
  <c r="L68" i="52102"/>
  <c r="L72" i="52102"/>
  <c r="L73" i="52102"/>
  <c r="L74" i="52102"/>
  <c r="L75" i="52102"/>
  <c r="L76" i="52102"/>
  <c r="L77" i="52102"/>
  <c r="L78" i="52102"/>
  <c r="L79" i="52102"/>
  <c r="L80" i="52102"/>
  <c r="L81" i="52102"/>
  <c r="L82" i="52102"/>
  <c r="L83" i="52102"/>
  <c r="L84" i="52102"/>
  <c r="L85" i="52102"/>
  <c r="L86" i="52102"/>
  <c r="L87" i="52102"/>
  <c r="L88" i="52102"/>
  <c r="L89" i="52102"/>
  <c r="L90" i="52102"/>
  <c r="L91" i="52102"/>
  <c r="L92" i="52102"/>
  <c r="L93" i="52102"/>
  <c r="L94" i="52102"/>
  <c r="L95" i="52102"/>
  <c r="L96" i="52102"/>
  <c r="L97" i="52102"/>
  <c r="L98" i="52102"/>
  <c r="L99" i="52102"/>
  <c r="L100" i="52102"/>
  <c r="L101" i="52102"/>
  <c r="L105" i="52102"/>
  <c r="L106" i="52102"/>
  <c r="L107" i="52102"/>
  <c r="L108" i="52102"/>
  <c r="L109" i="52102"/>
  <c r="L110" i="52102"/>
  <c r="L111" i="52102"/>
  <c r="L112" i="52102"/>
  <c r="L113" i="52102"/>
  <c r="L114" i="52102"/>
  <c r="L118" i="52102"/>
  <c r="L119" i="52102"/>
  <c r="L120" i="52102"/>
  <c r="L121" i="52102"/>
  <c r="L122" i="52102"/>
  <c r="L123" i="52102"/>
  <c r="L124" i="52102"/>
  <c r="L125" i="52102"/>
  <c r="L126" i="52102"/>
  <c r="L127" i="52102"/>
  <c r="L131" i="52102"/>
  <c r="L132" i="52102"/>
  <c r="L133" i="52102"/>
  <c r="L134" i="52102"/>
  <c r="L135" i="52102"/>
  <c r="L136" i="52102"/>
  <c r="L137" i="52102"/>
  <c r="L138" i="52102"/>
  <c r="L139" i="52102"/>
  <c r="L140" i="52102"/>
  <c r="L141" i="52102"/>
  <c r="L142" i="52102"/>
  <c r="L143" i="52102"/>
  <c r="L144" i="52102"/>
  <c r="L145" i="52102"/>
  <c r="L146" i="52102"/>
  <c r="L147" i="52102"/>
  <c r="L148" i="52102"/>
  <c r="L149" i="52102"/>
  <c r="L150" i="52102"/>
  <c r="L151" i="52102"/>
  <c r="L155" i="52102"/>
  <c r="L156" i="52102"/>
  <c r="L157" i="52102"/>
  <c r="L158" i="52102"/>
  <c r="L159" i="52102"/>
  <c r="L160" i="52102"/>
  <c r="L161" i="52102"/>
  <c r="L162" i="52102"/>
  <c r="L163" i="52102"/>
  <c r="L164" i="52102"/>
  <c r="L165" i="52102"/>
  <c r="L169" i="52102"/>
  <c r="L170" i="52102"/>
  <c r="L171" i="52102"/>
  <c r="L172" i="52102"/>
  <c r="L173" i="52102"/>
  <c r="L174" i="52102"/>
  <c r="L175" i="52102"/>
  <c r="L176" i="52102"/>
  <c r="L177" i="52102"/>
  <c r="L178" i="52102"/>
  <c r="L179" i="52102"/>
  <c r="L180" i="52102"/>
  <c r="L181" i="52102"/>
  <c r="M181" i="52102" s="1"/>
  <c r="L182" i="52102"/>
  <c r="L186" i="52102"/>
  <c r="L187" i="52102"/>
  <c r="L188" i="52102"/>
  <c r="L189" i="52102"/>
  <c r="L190" i="52102"/>
  <c r="L191" i="52102"/>
  <c r="L192" i="52102"/>
  <c r="L193" i="52102"/>
  <c r="L194" i="52102"/>
  <c r="L195" i="52102"/>
  <c r="L196" i="52102"/>
  <c r="L197" i="52102"/>
  <c r="L198" i="52102"/>
  <c r="L206" i="52102"/>
  <c r="L210" i="52102"/>
  <c r="L211" i="52102"/>
  <c r="L214" i="52102" s="1"/>
  <c r="L248" i="52102" s="1"/>
  <c r="L212" i="52102"/>
  <c r="L9" i="52103"/>
  <c r="L10" i="52103"/>
  <c r="L11" i="52103"/>
  <c r="L12" i="52103"/>
  <c r="L13" i="52103"/>
  <c r="L14" i="52103"/>
  <c r="L15" i="52103"/>
  <c r="L16" i="52103"/>
  <c r="L17" i="52103"/>
  <c r="L18" i="52103"/>
  <c r="L49" i="52103"/>
  <c r="L64" i="52103"/>
  <c r="L65" i="52103"/>
  <c r="L66" i="52103"/>
  <c r="L67" i="52103"/>
  <c r="L68" i="52103"/>
  <c r="L72" i="52103"/>
  <c r="L73" i="52103"/>
  <c r="L74" i="52103"/>
  <c r="L75" i="52103"/>
  <c r="L76" i="52103"/>
  <c r="L77" i="52103"/>
  <c r="L78" i="52103"/>
  <c r="L79" i="52103"/>
  <c r="L80" i="52103"/>
  <c r="L81" i="52103"/>
  <c r="L82" i="52103"/>
  <c r="L83" i="52103"/>
  <c r="L84" i="52103"/>
  <c r="L85" i="52103"/>
  <c r="L86" i="52103"/>
  <c r="L87" i="52103"/>
  <c r="L88" i="52103"/>
  <c r="L89" i="52103"/>
  <c r="L90" i="52103"/>
  <c r="L91" i="52103"/>
  <c r="L92" i="52103"/>
  <c r="L93" i="52103"/>
  <c r="L94" i="52103"/>
  <c r="L95" i="52103"/>
  <c r="L96" i="52103"/>
  <c r="L97" i="52103"/>
  <c r="L98" i="52103"/>
  <c r="L99" i="52103"/>
  <c r="L100" i="52103"/>
  <c r="L101" i="52103"/>
  <c r="L105" i="52103"/>
  <c r="L106" i="52103"/>
  <c r="L107" i="52103"/>
  <c r="L108" i="52103"/>
  <c r="L109" i="52103"/>
  <c r="L110" i="52103"/>
  <c r="L111" i="52103"/>
  <c r="L112" i="52103"/>
  <c r="L113" i="52103"/>
  <c r="L114" i="52103"/>
  <c r="L118" i="52103"/>
  <c r="L119" i="52103"/>
  <c r="L120" i="52103"/>
  <c r="L121" i="52103"/>
  <c r="L122" i="52103"/>
  <c r="L123" i="52103"/>
  <c r="L124" i="52103"/>
  <c r="L125" i="52103"/>
  <c r="L126" i="52103"/>
  <c r="L127" i="52103"/>
  <c r="L131" i="52103"/>
  <c r="L132" i="52103"/>
  <c r="L133" i="52103"/>
  <c r="L134" i="52103"/>
  <c r="L135" i="52103"/>
  <c r="L136" i="52103"/>
  <c r="L137" i="52103"/>
  <c r="L138" i="52103"/>
  <c r="L139" i="52103"/>
  <c r="L140" i="52103"/>
  <c r="L141" i="52103"/>
  <c r="L142" i="52103"/>
  <c r="L143" i="52103"/>
  <c r="L144" i="52103"/>
  <c r="L145" i="52103"/>
  <c r="L146" i="52103"/>
  <c r="L147" i="52103"/>
  <c r="L148" i="52103"/>
  <c r="L149" i="52103"/>
  <c r="L150" i="52103"/>
  <c r="L151" i="52103"/>
  <c r="L155" i="52103"/>
  <c r="L156" i="52103"/>
  <c r="L157" i="52103"/>
  <c r="L158" i="52103"/>
  <c r="L159" i="52103"/>
  <c r="L160" i="52103"/>
  <c r="L161" i="52103"/>
  <c r="L162" i="52103"/>
  <c r="L163" i="52103"/>
  <c r="L164" i="52103"/>
  <c r="L165" i="52103"/>
  <c r="L169" i="52103"/>
  <c r="L170" i="52103"/>
  <c r="L171" i="52103"/>
  <c r="L172" i="52103"/>
  <c r="L173" i="52103"/>
  <c r="L174" i="52103"/>
  <c r="L175" i="52103"/>
  <c r="L176" i="52103"/>
  <c r="L177" i="52103"/>
  <c r="L178" i="52103"/>
  <c r="L179" i="52103"/>
  <c r="L180" i="52103"/>
  <c r="L181" i="52103"/>
  <c r="L182" i="52103"/>
  <c r="L186" i="52103"/>
  <c r="L187" i="52103"/>
  <c r="L188" i="52103"/>
  <c r="L189" i="52103"/>
  <c r="L190" i="52103"/>
  <c r="L191" i="52103"/>
  <c r="L192" i="52103"/>
  <c r="L193" i="52103"/>
  <c r="L194" i="52103"/>
  <c r="L195" i="52103"/>
  <c r="L196" i="52103"/>
  <c r="L197" i="52103"/>
  <c r="L198" i="52103"/>
  <c r="L206" i="52103"/>
  <c r="L210" i="52103"/>
  <c r="L211" i="52103"/>
  <c r="L212" i="52103"/>
  <c r="E79" i="52103"/>
  <c r="L8" i="52103"/>
  <c r="G118" i="52099"/>
  <c r="J118" i="52099" s="1"/>
  <c r="G119" i="52099"/>
  <c r="K119" i="52097" s="1"/>
  <c r="O119" i="52097" s="1"/>
  <c r="J119" i="52099"/>
  <c r="F118" i="52082"/>
  <c r="J118" i="52082" s="1"/>
  <c r="G129" i="52099"/>
  <c r="G240" i="52099" s="1"/>
  <c r="J240" i="52099" s="1"/>
  <c r="N8" i="52097"/>
  <c r="N28" i="52097"/>
  <c r="E251" i="52099"/>
  <c r="I251" i="52099" s="1"/>
  <c r="I217" i="52099"/>
  <c r="H74" i="52097"/>
  <c r="K242" i="52076"/>
  <c r="F198" i="9"/>
  <c r="I89" i="52103"/>
  <c r="D89" i="52097"/>
  <c r="O89" i="52097" s="1"/>
  <c r="M257" i="52088"/>
  <c r="M256" i="52088"/>
  <c r="M254" i="52088"/>
  <c r="M252" i="52088"/>
  <c r="M250" i="52088"/>
  <c r="M248" i="52088"/>
  <c r="M246" i="52088"/>
  <c r="M244" i="52088"/>
  <c r="M242" i="52088"/>
  <c r="M240" i="52088"/>
  <c r="M238" i="52088"/>
  <c r="M236" i="52088"/>
  <c r="M234" i="52088"/>
  <c r="M232" i="52088"/>
  <c r="M230" i="52088"/>
  <c r="M228" i="52088"/>
  <c r="M226" i="52088"/>
  <c r="M224" i="52088"/>
  <c r="M222" i="52088"/>
  <c r="M220" i="52088"/>
  <c r="M218" i="52088"/>
  <c r="M216" i="52088"/>
  <c r="M214" i="52088"/>
  <c r="M212" i="52088"/>
  <c r="M210" i="52088"/>
  <c r="M208" i="52088"/>
  <c r="M206" i="52088"/>
  <c r="M204" i="52088"/>
  <c r="M202" i="52088"/>
  <c r="M200" i="52088"/>
  <c r="M198" i="52088"/>
  <c r="M196" i="52088"/>
  <c r="M194" i="52088"/>
  <c r="M192" i="52088"/>
  <c r="M190" i="52088"/>
  <c r="M188" i="52088"/>
  <c r="M186" i="52088"/>
  <c r="M184" i="52088"/>
  <c r="M182" i="52088"/>
  <c r="M180" i="52088"/>
  <c r="M178" i="52088"/>
  <c r="M176" i="52088"/>
  <c r="M174" i="52088"/>
  <c r="M172" i="52088"/>
  <c r="M170" i="52088"/>
  <c r="M168" i="52088"/>
  <c r="M166" i="52088"/>
  <c r="M164" i="52088"/>
  <c r="M162" i="52088"/>
  <c r="M160" i="52088"/>
  <c r="M158" i="52088"/>
  <c r="M156" i="52088"/>
  <c r="M154" i="52088"/>
  <c r="M152" i="52088"/>
  <c r="M150" i="52088"/>
  <c r="M148" i="52088"/>
  <c r="M146" i="52088"/>
  <c r="M144" i="52088"/>
  <c r="M142" i="52088"/>
  <c r="M140" i="52088"/>
  <c r="M138" i="52088"/>
  <c r="M136" i="52088"/>
  <c r="M134" i="52088"/>
  <c r="M132" i="52088"/>
  <c r="M130" i="52088"/>
  <c r="M128" i="52088"/>
  <c r="M126" i="52088"/>
  <c r="M124" i="52088"/>
  <c r="M122" i="52088"/>
  <c r="M120" i="52088"/>
  <c r="M118" i="52088"/>
  <c r="M116" i="52088"/>
  <c r="M114" i="52088"/>
  <c r="M112" i="52088"/>
  <c r="M110" i="52088"/>
  <c r="M108" i="52088"/>
  <c r="M106" i="52088"/>
  <c r="M104" i="52088"/>
  <c r="M102" i="52088"/>
  <c r="M100" i="52088"/>
  <c r="M98" i="52088"/>
  <c r="M96" i="52088"/>
  <c r="M94" i="52088"/>
  <c r="M92" i="52088"/>
  <c r="M90" i="52088"/>
  <c r="M88" i="52088"/>
  <c r="M86" i="52088"/>
  <c r="M84" i="52088"/>
  <c r="M82" i="52088"/>
  <c r="M80" i="52088"/>
  <c r="M78" i="52088"/>
  <c r="M76" i="52088"/>
  <c r="M74" i="52088"/>
  <c r="M72" i="52088"/>
  <c r="M70" i="52088"/>
  <c r="M68" i="52088"/>
  <c r="M66" i="52088"/>
  <c r="M64" i="52088"/>
  <c r="M62" i="52088"/>
  <c r="M60" i="52088"/>
  <c r="M58" i="52088"/>
  <c r="M56" i="52088"/>
  <c r="M54" i="52088"/>
  <c r="M52" i="52088"/>
  <c r="M50" i="52088"/>
  <c r="M48" i="52088"/>
  <c r="M46" i="52088"/>
  <c r="M44" i="52088"/>
  <c r="M42" i="52088"/>
  <c r="M40" i="52088"/>
  <c r="M38" i="52088"/>
  <c r="M36" i="52088"/>
  <c r="M34" i="52088"/>
  <c r="M32" i="52088"/>
  <c r="M30" i="52088"/>
  <c r="M28" i="52088"/>
  <c r="M26" i="52088"/>
  <c r="M24" i="52088"/>
  <c r="M22" i="52088"/>
  <c r="M20" i="52088"/>
  <c r="M18" i="52088"/>
  <c r="M16" i="52088"/>
  <c r="M14" i="52088"/>
  <c r="M12" i="52088"/>
  <c r="M10" i="52088"/>
  <c r="M8" i="52088"/>
  <c r="M255" i="52088"/>
  <c r="M253" i="52088"/>
  <c r="M251" i="52088"/>
  <c r="M247" i="52088"/>
  <c r="M243" i="52088"/>
  <c r="M239" i="52088"/>
  <c r="M235" i="52088"/>
  <c r="M231" i="52088"/>
  <c r="M227" i="52088"/>
  <c r="M223" i="52088"/>
  <c r="M219" i="52088"/>
  <c r="M215" i="52088"/>
  <c r="M211" i="52088"/>
  <c r="M207" i="52088"/>
  <c r="M203" i="52088"/>
  <c r="M199" i="52088"/>
  <c r="M195" i="52088"/>
  <c r="M191" i="52088"/>
  <c r="M187" i="52088"/>
  <c r="M183" i="52088"/>
  <c r="M179" i="52088"/>
  <c r="M175" i="52088"/>
  <c r="M171" i="52088"/>
  <c r="M167" i="52088"/>
  <c r="M163" i="52088"/>
  <c r="M159" i="52088"/>
  <c r="M155" i="52088"/>
  <c r="M151" i="52088"/>
  <c r="M147" i="52088"/>
  <c r="M143" i="52088"/>
  <c r="M139" i="52088"/>
  <c r="M135" i="52088"/>
  <c r="M131" i="52088"/>
  <c r="M127" i="52088"/>
  <c r="M123" i="52088"/>
  <c r="M119" i="52088"/>
  <c r="M115" i="52088"/>
  <c r="M111" i="52088"/>
  <c r="M107" i="52088"/>
  <c r="M103" i="52088"/>
  <c r="M99" i="52088"/>
  <c r="M95" i="52088"/>
  <c r="M91" i="52088"/>
  <c r="M87" i="52088"/>
  <c r="M83" i="52088"/>
  <c r="M79" i="52088"/>
  <c r="M75" i="52088"/>
  <c r="M71" i="52088"/>
  <c r="M67" i="52088"/>
  <c r="M63" i="52088"/>
  <c r="M59" i="52088"/>
  <c r="M55" i="52088"/>
  <c r="M51" i="52088"/>
  <c r="M47" i="52088"/>
  <c r="M43" i="52088"/>
  <c r="M39" i="52088"/>
  <c r="M35" i="52088"/>
  <c r="M31" i="52088"/>
  <c r="M27" i="52088"/>
  <c r="M23" i="52088"/>
  <c r="M19" i="52088"/>
  <c r="M15" i="52088"/>
  <c r="M11" i="52088"/>
  <c r="M249" i="52088"/>
  <c r="M245" i="52088"/>
  <c r="M241" i="52088"/>
  <c r="M237" i="52088"/>
  <c r="M233" i="52088"/>
  <c r="M229" i="52088"/>
  <c r="M225" i="52088"/>
  <c r="M221" i="52088"/>
  <c r="M217" i="52088"/>
  <c r="M213" i="52088"/>
  <c r="M209" i="52088"/>
  <c r="M205" i="52088"/>
  <c r="M201" i="52088"/>
  <c r="M197" i="52088"/>
  <c r="M193" i="52088"/>
  <c r="M189" i="52088"/>
  <c r="M185" i="52088"/>
  <c r="M181" i="52088"/>
  <c r="M177" i="52088"/>
  <c r="M173" i="52088"/>
  <c r="M169" i="52088"/>
  <c r="M165" i="52088"/>
  <c r="M161" i="52088"/>
  <c r="M157" i="52088"/>
  <c r="M153" i="52088"/>
  <c r="M149" i="52088"/>
  <c r="M145" i="52088"/>
  <c r="M141" i="52088"/>
  <c r="M137" i="52088"/>
  <c r="M133" i="52088"/>
  <c r="M129" i="52088"/>
  <c r="M125" i="52088"/>
  <c r="M121" i="52088"/>
  <c r="M117" i="52088"/>
  <c r="M113" i="52088"/>
  <c r="M109" i="52088"/>
  <c r="M105" i="52088"/>
  <c r="M101" i="52088"/>
  <c r="M97" i="52088"/>
  <c r="M93" i="52088"/>
  <c r="M89" i="52088"/>
  <c r="M85" i="52088"/>
  <c r="M81" i="52088"/>
  <c r="M77" i="52088"/>
  <c r="M73" i="52088"/>
  <c r="M69" i="52088"/>
  <c r="M65" i="52088"/>
  <c r="M61" i="52088"/>
  <c r="M57" i="52088"/>
  <c r="M53" i="52088"/>
  <c r="M49" i="52088"/>
  <c r="M45" i="52088"/>
  <c r="M41" i="52088"/>
  <c r="M37" i="52088"/>
  <c r="M33" i="52088"/>
  <c r="M29" i="52088"/>
  <c r="M25" i="52088"/>
  <c r="M21" i="52088"/>
  <c r="M17" i="52088"/>
  <c r="M13" i="52088"/>
  <c r="M9" i="52088"/>
  <c r="M257" i="52087"/>
  <c r="M255" i="52087"/>
  <c r="M253" i="52087"/>
  <c r="M251" i="52087"/>
  <c r="M249" i="52087"/>
  <c r="M247" i="52087"/>
  <c r="M245" i="52087"/>
  <c r="M243" i="52087"/>
  <c r="M241" i="52087"/>
  <c r="M239" i="52087"/>
  <c r="M237" i="52087"/>
  <c r="M235" i="52087"/>
  <c r="M233" i="52087"/>
  <c r="M231" i="52087"/>
  <c r="M229" i="52087"/>
  <c r="M227" i="52087"/>
  <c r="M225" i="52087"/>
  <c r="M223" i="52087"/>
  <c r="M221" i="52087"/>
  <c r="M219" i="52087"/>
  <c r="M217" i="52087"/>
  <c r="M215" i="52087"/>
  <c r="M213" i="52087"/>
  <c r="M211" i="52087"/>
  <c r="M209" i="52087"/>
  <c r="M207" i="52087"/>
  <c r="M205" i="52087"/>
  <c r="M203" i="52087"/>
  <c r="M201" i="52087"/>
  <c r="M199" i="52087"/>
  <c r="M197" i="52087"/>
  <c r="M195" i="52087"/>
  <c r="M193" i="52087"/>
  <c r="M191" i="52087"/>
  <c r="M189" i="52087"/>
  <c r="M187" i="52087"/>
  <c r="M185" i="52087"/>
  <c r="M183" i="52087"/>
  <c r="M181" i="52087"/>
  <c r="M179" i="52087"/>
  <c r="M177" i="52087"/>
  <c r="M175" i="52087"/>
  <c r="M173" i="52087"/>
  <c r="M171" i="52087"/>
  <c r="M169" i="52087"/>
  <c r="M167" i="52087"/>
  <c r="M165" i="52087"/>
  <c r="M163" i="52087"/>
  <c r="M161" i="52087"/>
  <c r="M159" i="52087"/>
  <c r="M157" i="52087"/>
  <c r="M155" i="52087"/>
  <c r="M153" i="52087"/>
  <c r="M151" i="52087"/>
  <c r="M149" i="52087"/>
  <c r="M147" i="52087"/>
  <c r="M145" i="52087"/>
  <c r="M143" i="52087"/>
  <c r="M141" i="52087"/>
  <c r="M139" i="52087"/>
  <c r="M137" i="52087"/>
  <c r="M135" i="52087"/>
  <c r="M133" i="52087"/>
  <c r="M131" i="52087"/>
  <c r="M129" i="52087"/>
  <c r="M127" i="52087"/>
  <c r="M125" i="52087"/>
  <c r="M123" i="52087"/>
  <c r="M121" i="52087"/>
  <c r="M119" i="52087"/>
  <c r="M117" i="52087"/>
  <c r="M115" i="52087"/>
  <c r="M113" i="52087"/>
  <c r="M111" i="52087"/>
  <c r="M109" i="52087"/>
  <c r="M107" i="52087"/>
  <c r="M105" i="52087"/>
  <c r="M103" i="52087"/>
  <c r="M101" i="52087"/>
  <c r="M99" i="52087"/>
  <c r="M97" i="52087"/>
  <c r="M95" i="52087"/>
  <c r="M93" i="52087"/>
  <c r="M91" i="52087"/>
  <c r="M89" i="52087"/>
  <c r="M87" i="52087"/>
  <c r="M85" i="52087"/>
  <c r="M83" i="52087"/>
  <c r="M81" i="52087"/>
  <c r="M79" i="52087"/>
  <c r="M77" i="52087"/>
  <c r="M75" i="52087"/>
  <c r="M73" i="52087"/>
  <c r="M71" i="52087"/>
  <c r="M69" i="52087"/>
  <c r="M67" i="52087"/>
  <c r="M65" i="52087"/>
  <c r="M63" i="52087"/>
  <c r="M61" i="52087"/>
  <c r="M59" i="52087"/>
  <c r="M57" i="52087"/>
  <c r="M55" i="52087"/>
  <c r="M53" i="52087"/>
  <c r="M51" i="52087"/>
  <c r="M49" i="52087"/>
  <c r="M47" i="52087"/>
  <c r="M45" i="52087"/>
  <c r="M43" i="52087"/>
  <c r="M41" i="52087"/>
  <c r="M39" i="52087"/>
  <c r="M37" i="52087"/>
  <c r="M35" i="52087"/>
  <c r="M33" i="52087"/>
  <c r="M31" i="52087"/>
  <c r="M29" i="52087"/>
  <c r="M27" i="52087"/>
  <c r="M25" i="52087"/>
  <c r="M23" i="52087"/>
  <c r="M21" i="52087"/>
  <c r="M19" i="52087"/>
  <c r="M17" i="52087"/>
  <c r="M15" i="52087"/>
  <c r="M13" i="52087"/>
  <c r="M11" i="52087"/>
  <c r="M9" i="52087"/>
  <c r="M256" i="52087"/>
  <c r="M254" i="52087"/>
  <c r="M252" i="52087"/>
  <c r="M250" i="52087"/>
  <c r="M248" i="52087"/>
  <c r="M246" i="52087"/>
  <c r="M244" i="52087"/>
  <c r="M242" i="52087"/>
  <c r="M240" i="52087"/>
  <c r="M238" i="52087"/>
  <c r="M236" i="52087"/>
  <c r="M234" i="52087"/>
  <c r="M232" i="52087"/>
  <c r="M230" i="52087"/>
  <c r="M228" i="52087"/>
  <c r="M226" i="52087"/>
  <c r="M224" i="52087"/>
  <c r="M222" i="52087"/>
  <c r="M220" i="52087"/>
  <c r="M218" i="52087"/>
  <c r="M216" i="52087"/>
  <c r="M214" i="52087"/>
  <c r="M212" i="52087"/>
  <c r="M210" i="52087"/>
  <c r="M208" i="52087"/>
  <c r="M206" i="52087"/>
  <c r="M204" i="52087"/>
  <c r="M202" i="52087"/>
  <c r="M200" i="52087"/>
  <c r="M198" i="52087"/>
  <c r="M196" i="52087"/>
  <c r="M194" i="52087"/>
  <c r="M192" i="52087"/>
  <c r="M190" i="52087"/>
  <c r="M188" i="52087"/>
  <c r="M186" i="52087"/>
  <c r="M184" i="52087"/>
  <c r="M182" i="52087"/>
  <c r="M180" i="52087"/>
  <c r="M178" i="52087"/>
  <c r="M176" i="52087"/>
  <c r="M174" i="52087"/>
  <c r="M172" i="52087"/>
  <c r="M170" i="52087"/>
  <c r="M168" i="52087"/>
  <c r="M166" i="52087"/>
  <c r="M164" i="52087"/>
  <c r="M162" i="52087"/>
  <c r="M160" i="52087"/>
  <c r="M158" i="52087"/>
  <c r="M156" i="52087"/>
  <c r="M154" i="52087"/>
  <c r="M152" i="52087"/>
  <c r="M150" i="52087"/>
  <c r="M148" i="52087"/>
  <c r="M146" i="52087"/>
  <c r="M144" i="52087"/>
  <c r="M142" i="52087"/>
  <c r="M140" i="52087"/>
  <c r="M138" i="52087"/>
  <c r="M136" i="52087"/>
  <c r="M134" i="52087"/>
  <c r="M132" i="52087"/>
  <c r="M130" i="52087"/>
  <c r="M128" i="52087"/>
  <c r="M126" i="52087"/>
  <c r="M124" i="52087"/>
  <c r="M122" i="52087"/>
  <c r="M120" i="52087"/>
  <c r="M118" i="52087"/>
  <c r="M116" i="52087"/>
  <c r="M114" i="52087"/>
  <c r="M112" i="52087"/>
  <c r="M110" i="52087"/>
  <c r="M108" i="52087"/>
  <c r="M106" i="52087"/>
  <c r="M104" i="52087"/>
  <c r="M102" i="52087"/>
  <c r="M100" i="52087"/>
  <c r="M98" i="52087"/>
  <c r="M96" i="52087"/>
  <c r="M94" i="52087"/>
  <c r="M92" i="52087"/>
  <c r="M90" i="52087"/>
  <c r="M88" i="52087"/>
  <c r="M86" i="52087"/>
  <c r="M84" i="52087"/>
  <c r="M82" i="52087"/>
  <c r="M80" i="52087"/>
  <c r="M78" i="52087"/>
  <c r="M76" i="52087"/>
  <c r="M74" i="52087"/>
  <c r="M72" i="52087"/>
  <c r="M70" i="52087"/>
  <c r="M68" i="52087"/>
  <c r="M66" i="52087"/>
  <c r="M64" i="52087"/>
  <c r="M62" i="52087"/>
  <c r="M60" i="52087"/>
  <c r="M58" i="52087"/>
  <c r="M56" i="52087"/>
  <c r="M54" i="52087"/>
  <c r="M52" i="52087"/>
  <c r="M50" i="52087"/>
  <c r="M48" i="52087"/>
  <c r="M46" i="52087"/>
  <c r="M44" i="52087"/>
  <c r="M42" i="52087"/>
  <c r="M40" i="52087"/>
  <c r="M38" i="52087"/>
  <c r="M36" i="52087"/>
  <c r="M34" i="52087"/>
  <c r="M32" i="52087"/>
  <c r="M30" i="52087"/>
  <c r="M28" i="52087"/>
  <c r="M26" i="52087"/>
  <c r="M24" i="52087"/>
  <c r="M22" i="52087"/>
  <c r="M20" i="52087"/>
  <c r="M18" i="52087"/>
  <c r="M16" i="52087"/>
  <c r="M14" i="52087"/>
  <c r="M12" i="52087"/>
  <c r="M10" i="52087"/>
  <c r="M8" i="52087"/>
  <c r="M257" i="108"/>
  <c r="M255" i="108"/>
  <c r="M253" i="108"/>
  <c r="M251" i="108"/>
  <c r="M249" i="108"/>
  <c r="M247" i="108"/>
  <c r="M245" i="108"/>
  <c r="M243" i="108"/>
  <c r="M241" i="108"/>
  <c r="M239" i="108"/>
  <c r="M237" i="108"/>
  <c r="M235" i="108"/>
  <c r="M233" i="108"/>
  <c r="M231" i="108"/>
  <c r="M229" i="108"/>
  <c r="M227" i="108"/>
  <c r="M225" i="108"/>
  <c r="M223" i="108"/>
  <c r="M221" i="108"/>
  <c r="M219" i="108"/>
  <c r="M217" i="108"/>
  <c r="M215" i="108"/>
  <c r="M213" i="108"/>
  <c r="M211" i="108"/>
  <c r="M209" i="108"/>
  <c r="M207" i="108"/>
  <c r="M205" i="108"/>
  <c r="M203" i="108"/>
  <c r="M201" i="108"/>
  <c r="M199" i="108"/>
  <c r="M197" i="108"/>
  <c r="M195" i="108"/>
  <c r="M193" i="108"/>
  <c r="M191" i="108"/>
  <c r="M189" i="108"/>
  <c r="M187" i="108"/>
  <c r="M185" i="108"/>
  <c r="M183" i="108"/>
  <c r="M181" i="108"/>
  <c r="M179" i="108"/>
  <c r="M177" i="108"/>
  <c r="M175" i="108"/>
  <c r="M173" i="108"/>
  <c r="M171" i="108"/>
  <c r="M169" i="108"/>
  <c r="M167" i="108"/>
  <c r="M165" i="108"/>
  <c r="M163" i="108"/>
  <c r="M161" i="108"/>
  <c r="M159" i="108"/>
  <c r="M157" i="108"/>
  <c r="M155" i="108"/>
  <c r="M153" i="108"/>
  <c r="M151" i="108"/>
  <c r="M149" i="108"/>
  <c r="M147" i="108"/>
  <c r="M145" i="108"/>
  <c r="M143" i="108"/>
  <c r="M141" i="108"/>
  <c r="M139" i="108"/>
  <c r="M137" i="108"/>
  <c r="M135" i="108"/>
  <c r="M133" i="108"/>
  <c r="M131" i="108"/>
  <c r="M129" i="108"/>
  <c r="M127" i="108"/>
  <c r="M125" i="108"/>
  <c r="M123" i="108"/>
  <c r="M121" i="108"/>
  <c r="M119" i="108"/>
  <c r="M117" i="108"/>
  <c r="M115" i="108"/>
  <c r="M113" i="108"/>
  <c r="M111" i="108"/>
  <c r="M109" i="108"/>
  <c r="M107" i="108"/>
  <c r="M105" i="108"/>
  <c r="M103" i="108"/>
  <c r="M101" i="108"/>
  <c r="M99" i="108"/>
  <c r="M97" i="108"/>
  <c r="M95" i="108"/>
  <c r="M93" i="108"/>
  <c r="M91" i="108"/>
  <c r="M89" i="108"/>
  <c r="M87" i="108"/>
  <c r="M85" i="108"/>
  <c r="M83" i="108"/>
  <c r="M81" i="108"/>
  <c r="M79" i="108"/>
  <c r="M77" i="108"/>
  <c r="M75" i="108"/>
  <c r="M73" i="108"/>
  <c r="M71" i="108"/>
  <c r="M69" i="108"/>
  <c r="M67" i="108"/>
  <c r="M65" i="108"/>
  <c r="M63" i="108"/>
  <c r="M61" i="108"/>
  <c r="M59" i="108"/>
  <c r="M57" i="108"/>
  <c r="M55" i="108"/>
  <c r="M53" i="108"/>
  <c r="M51" i="108"/>
  <c r="M49" i="108"/>
  <c r="M47" i="108"/>
  <c r="M45" i="108"/>
  <c r="M43" i="108"/>
  <c r="M41" i="108"/>
  <c r="M39" i="108"/>
  <c r="M37" i="108"/>
  <c r="M35" i="108"/>
  <c r="M33" i="108"/>
  <c r="M31" i="108"/>
  <c r="M29" i="108"/>
  <c r="M27" i="108"/>
  <c r="M25" i="108"/>
  <c r="M23" i="108"/>
  <c r="M21" i="108"/>
  <c r="M19" i="108"/>
  <c r="M17" i="108"/>
  <c r="M15" i="108"/>
  <c r="M13" i="108"/>
  <c r="M11" i="108"/>
  <c r="M9" i="108"/>
  <c r="M256" i="108"/>
  <c r="M254" i="108"/>
  <c r="M252" i="108"/>
  <c r="M250" i="108"/>
  <c r="M248" i="108"/>
  <c r="M246" i="108"/>
  <c r="M244" i="108"/>
  <c r="M242" i="108"/>
  <c r="M240" i="108"/>
  <c r="M238" i="108"/>
  <c r="M236" i="108"/>
  <c r="M234" i="108"/>
  <c r="M232" i="108"/>
  <c r="M230" i="108"/>
  <c r="M228" i="108"/>
  <c r="M226" i="108"/>
  <c r="M224" i="108"/>
  <c r="M222" i="108"/>
  <c r="M220" i="108"/>
  <c r="M218" i="108"/>
  <c r="M216" i="108"/>
  <c r="M214" i="108"/>
  <c r="M212" i="108"/>
  <c r="M210" i="108"/>
  <c r="M208" i="108"/>
  <c r="M206" i="108"/>
  <c r="M204" i="108"/>
  <c r="M202" i="108"/>
  <c r="M200" i="108"/>
  <c r="M198" i="108"/>
  <c r="M196" i="108"/>
  <c r="M194" i="108"/>
  <c r="M192" i="108"/>
  <c r="M190" i="108"/>
  <c r="M188" i="108"/>
  <c r="M186" i="108"/>
  <c r="M184" i="108"/>
  <c r="M182" i="108"/>
  <c r="M180" i="108"/>
  <c r="M178" i="108"/>
  <c r="M176" i="108"/>
  <c r="M174" i="108"/>
  <c r="M172" i="108"/>
  <c r="M170" i="108"/>
  <c r="M168" i="108"/>
  <c r="M166" i="108"/>
  <c r="M164" i="108"/>
  <c r="M162" i="108"/>
  <c r="M160" i="108"/>
  <c r="M158" i="108"/>
  <c r="M156" i="108"/>
  <c r="M154" i="108"/>
  <c r="M152" i="108"/>
  <c r="M150" i="108"/>
  <c r="M148" i="108"/>
  <c r="M146" i="108"/>
  <c r="M144" i="108"/>
  <c r="M142" i="108"/>
  <c r="M140" i="108"/>
  <c r="M138" i="108"/>
  <c r="M136" i="108"/>
  <c r="M134" i="108"/>
  <c r="M132" i="108"/>
  <c r="M130" i="108"/>
  <c r="M128" i="108"/>
  <c r="M126" i="108"/>
  <c r="M124" i="108"/>
  <c r="M122" i="108"/>
  <c r="M120" i="108"/>
  <c r="M118" i="108"/>
  <c r="M116" i="108"/>
  <c r="M114" i="108"/>
  <c r="M112" i="108"/>
  <c r="M110" i="108"/>
  <c r="M108" i="108"/>
  <c r="M106" i="108"/>
  <c r="M104" i="108"/>
  <c r="M102" i="108"/>
  <c r="M100" i="108"/>
  <c r="M98" i="108"/>
  <c r="M96" i="108"/>
  <c r="M94" i="108"/>
  <c r="M92" i="108"/>
  <c r="M90" i="108"/>
  <c r="M88" i="108"/>
  <c r="M86" i="108"/>
  <c r="M84" i="108"/>
  <c r="M82" i="108"/>
  <c r="M80" i="108"/>
  <c r="M78" i="108"/>
  <c r="M76" i="108"/>
  <c r="M74" i="108"/>
  <c r="M72" i="108"/>
  <c r="M70" i="108"/>
  <c r="M68" i="108"/>
  <c r="M66" i="108"/>
  <c r="M64" i="108"/>
  <c r="M62" i="108"/>
  <c r="M60" i="108"/>
  <c r="M58" i="108"/>
  <c r="M56" i="108"/>
  <c r="M54" i="108"/>
  <c r="M52" i="108"/>
  <c r="M50" i="108"/>
  <c r="M48" i="108"/>
  <c r="M46" i="108"/>
  <c r="M44" i="108"/>
  <c r="M42" i="108"/>
  <c r="M40" i="108"/>
  <c r="M38" i="108"/>
  <c r="M36" i="108"/>
  <c r="M34" i="108"/>
  <c r="M32" i="108"/>
  <c r="M30" i="108"/>
  <c r="M28" i="108"/>
  <c r="M26" i="108"/>
  <c r="M24" i="108"/>
  <c r="M22" i="108"/>
  <c r="M20" i="108"/>
  <c r="M18" i="108"/>
  <c r="M16" i="108"/>
  <c r="M14" i="108"/>
  <c r="M12" i="108"/>
  <c r="M10" i="108"/>
  <c r="M8" i="108"/>
  <c r="M257" i="105"/>
  <c r="M255" i="105"/>
  <c r="M253" i="105"/>
  <c r="M251" i="105"/>
  <c r="M249" i="105"/>
  <c r="M247" i="105"/>
  <c r="M245" i="105"/>
  <c r="M243" i="105"/>
  <c r="M241" i="105"/>
  <c r="M239" i="105"/>
  <c r="M237" i="105"/>
  <c r="M235" i="105"/>
  <c r="M233" i="105"/>
  <c r="M231" i="105"/>
  <c r="M229" i="105"/>
  <c r="M227" i="105"/>
  <c r="M225" i="105"/>
  <c r="M223" i="105"/>
  <c r="M221" i="105"/>
  <c r="M219" i="105"/>
  <c r="M217" i="105"/>
  <c r="M215" i="105"/>
  <c r="M213" i="105"/>
  <c r="M211" i="105"/>
  <c r="M209" i="105"/>
  <c r="M207" i="105"/>
  <c r="M205" i="105"/>
  <c r="M203" i="105"/>
  <c r="M201" i="105"/>
  <c r="M199" i="105"/>
  <c r="M197" i="105"/>
  <c r="M195" i="105"/>
  <c r="M193" i="105"/>
  <c r="M191" i="105"/>
  <c r="M189" i="105"/>
  <c r="M187" i="105"/>
  <c r="M185" i="105"/>
  <c r="M183" i="105"/>
  <c r="M181" i="105"/>
  <c r="M179" i="105"/>
  <c r="M177" i="105"/>
  <c r="M175" i="105"/>
  <c r="M173" i="105"/>
  <c r="M171" i="105"/>
  <c r="M169" i="105"/>
  <c r="M167" i="105"/>
  <c r="M165" i="105"/>
  <c r="M163" i="105"/>
  <c r="M161" i="105"/>
  <c r="M159" i="105"/>
  <c r="M157" i="105"/>
  <c r="M155" i="105"/>
  <c r="M153" i="105"/>
  <c r="M151" i="105"/>
  <c r="M149" i="105"/>
  <c r="M147" i="105"/>
  <c r="M145" i="105"/>
  <c r="M143" i="105"/>
  <c r="M141" i="105"/>
  <c r="M139" i="105"/>
  <c r="M137" i="105"/>
  <c r="M135" i="105"/>
  <c r="M133" i="105"/>
  <c r="M131" i="105"/>
  <c r="M129" i="105"/>
  <c r="M127" i="105"/>
  <c r="M125" i="105"/>
  <c r="M123" i="105"/>
  <c r="M121" i="105"/>
  <c r="M119" i="105"/>
  <c r="M117" i="105"/>
  <c r="M115" i="105"/>
  <c r="M113" i="105"/>
  <c r="M111" i="105"/>
  <c r="M109" i="105"/>
  <c r="M107" i="105"/>
  <c r="M105" i="105"/>
  <c r="M103" i="105"/>
  <c r="M101" i="105"/>
  <c r="M99" i="105"/>
  <c r="M97" i="105"/>
  <c r="M95" i="105"/>
  <c r="M93" i="105"/>
  <c r="M91" i="105"/>
  <c r="M89" i="105"/>
  <c r="M87" i="105"/>
  <c r="M85" i="105"/>
  <c r="M83" i="105"/>
  <c r="M81" i="105"/>
  <c r="M79" i="105"/>
  <c r="M77" i="105"/>
  <c r="M75" i="105"/>
  <c r="M73" i="105"/>
  <c r="M71" i="105"/>
  <c r="M69" i="105"/>
  <c r="M67" i="105"/>
  <c r="M65" i="105"/>
  <c r="M63" i="105"/>
  <c r="M61" i="105"/>
  <c r="M59" i="105"/>
  <c r="M57" i="105"/>
  <c r="M55" i="105"/>
  <c r="M53" i="105"/>
  <c r="M51" i="105"/>
  <c r="M49" i="105"/>
  <c r="M47" i="105"/>
  <c r="M45" i="105"/>
  <c r="M43" i="105"/>
  <c r="M41" i="105"/>
  <c r="M39" i="105"/>
  <c r="M37" i="105"/>
  <c r="M35" i="105"/>
  <c r="M33" i="105"/>
  <c r="M31" i="105"/>
  <c r="M29" i="105"/>
  <c r="M27" i="105"/>
  <c r="M25" i="105"/>
  <c r="M23" i="105"/>
  <c r="M21" i="105"/>
  <c r="M19" i="105"/>
  <c r="M17" i="105"/>
  <c r="M15" i="105"/>
  <c r="M13" i="105"/>
  <c r="M11" i="105"/>
  <c r="M9" i="105"/>
  <c r="M256" i="105"/>
  <c r="M254" i="105"/>
  <c r="M252" i="105"/>
  <c r="M250" i="105"/>
  <c r="M248" i="105"/>
  <c r="M246" i="105"/>
  <c r="M244" i="105"/>
  <c r="M242" i="105"/>
  <c r="M240" i="105"/>
  <c r="M238" i="105"/>
  <c r="M236" i="105"/>
  <c r="M234" i="105"/>
  <c r="M232" i="105"/>
  <c r="M230" i="105"/>
  <c r="M228" i="105"/>
  <c r="M226" i="105"/>
  <c r="M224" i="105"/>
  <c r="M222" i="105"/>
  <c r="M220" i="105"/>
  <c r="M218" i="105"/>
  <c r="M216" i="105"/>
  <c r="M214" i="105"/>
  <c r="M212" i="105"/>
  <c r="M210" i="105"/>
  <c r="M208" i="105"/>
  <c r="M206" i="105"/>
  <c r="M204" i="105"/>
  <c r="M202" i="105"/>
  <c r="M200" i="105"/>
  <c r="M198" i="105"/>
  <c r="M196" i="105"/>
  <c r="M194" i="105"/>
  <c r="M192" i="105"/>
  <c r="M190" i="105"/>
  <c r="M188" i="105"/>
  <c r="M186" i="105"/>
  <c r="M184" i="105"/>
  <c r="M182" i="105"/>
  <c r="M180" i="105"/>
  <c r="M178" i="105"/>
  <c r="M176" i="105"/>
  <c r="M174" i="105"/>
  <c r="M172" i="105"/>
  <c r="M170" i="105"/>
  <c r="M168" i="105"/>
  <c r="M166" i="105"/>
  <c r="M164" i="105"/>
  <c r="M162" i="105"/>
  <c r="M160" i="105"/>
  <c r="M158" i="105"/>
  <c r="M156" i="105"/>
  <c r="M154" i="105"/>
  <c r="M152" i="105"/>
  <c r="M150" i="105"/>
  <c r="M148" i="105"/>
  <c r="M146" i="105"/>
  <c r="M144" i="105"/>
  <c r="M142" i="105"/>
  <c r="M140" i="105"/>
  <c r="M138" i="105"/>
  <c r="M136" i="105"/>
  <c r="M134" i="105"/>
  <c r="M132" i="105"/>
  <c r="M130" i="105"/>
  <c r="M128" i="105"/>
  <c r="M126" i="105"/>
  <c r="M124" i="105"/>
  <c r="M122" i="105"/>
  <c r="M120" i="105"/>
  <c r="M118" i="105"/>
  <c r="M116" i="105"/>
  <c r="M114" i="105"/>
  <c r="M112" i="105"/>
  <c r="M110" i="105"/>
  <c r="M108" i="105"/>
  <c r="M106" i="105"/>
  <c r="M104" i="105"/>
  <c r="M102" i="105"/>
  <c r="M100" i="105"/>
  <c r="M98" i="105"/>
  <c r="M96" i="105"/>
  <c r="M94" i="105"/>
  <c r="M92" i="105"/>
  <c r="M90" i="105"/>
  <c r="M88" i="105"/>
  <c r="M86" i="105"/>
  <c r="M84" i="105"/>
  <c r="M82" i="105"/>
  <c r="M80" i="105"/>
  <c r="M78" i="105"/>
  <c r="M76" i="105"/>
  <c r="M74" i="105"/>
  <c r="M72" i="105"/>
  <c r="M70" i="105"/>
  <c r="M68" i="105"/>
  <c r="M66" i="105"/>
  <c r="M64" i="105"/>
  <c r="M62" i="105"/>
  <c r="M60" i="105"/>
  <c r="M58" i="105"/>
  <c r="M56" i="105"/>
  <c r="M54" i="105"/>
  <c r="M52" i="105"/>
  <c r="M50" i="105"/>
  <c r="M48" i="105"/>
  <c r="M46" i="105"/>
  <c r="M44" i="105"/>
  <c r="M42" i="105"/>
  <c r="M40" i="105"/>
  <c r="M38" i="105"/>
  <c r="M36" i="105"/>
  <c r="M34" i="105"/>
  <c r="M32" i="105"/>
  <c r="M30" i="105"/>
  <c r="M28" i="105"/>
  <c r="M26" i="105"/>
  <c r="M24" i="105"/>
  <c r="M22" i="105"/>
  <c r="M20" i="105"/>
  <c r="M18" i="105"/>
  <c r="M16" i="105"/>
  <c r="M14" i="105"/>
  <c r="M12" i="105"/>
  <c r="M10" i="105"/>
  <c r="M8" i="105"/>
  <c r="M257" i="148"/>
  <c r="M255" i="148"/>
  <c r="M253" i="148"/>
  <c r="M251" i="148"/>
  <c r="M249" i="148"/>
  <c r="M247" i="148"/>
  <c r="M245" i="148"/>
  <c r="M243" i="148"/>
  <c r="M241" i="148"/>
  <c r="M239" i="148"/>
  <c r="M237" i="148"/>
  <c r="M235" i="148"/>
  <c r="M233" i="148"/>
  <c r="M231" i="148"/>
  <c r="M229" i="148"/>
  <c r="M227" i="148"/>
  <c r="M225" i="148"/>
  <c r="M223" i="148"/>
  <c r="M221" i="148"/>
  <c r="M219" i="148"/>
  <c r="M217" i="148"/>
  <c r="M215" i="148"/>
  <c r="M213" i="148"/>
  <c r="M211" i="148"/>
  <c r="M209" i="148"/>
  <c r="M207" i="148"/>
  <c r="M205" i="148"/>
  <c r="M203" i="148"/>
  <c r="M201" i="148"/>
  <c r="M199" i="148"/>
  <c r="M197" i="148"/>
  <c r="M195" i="148"/>
  <c r="M193" i="148"/>
  <c r="M191" i="148"/>
  <c r="M189" i="148"/>
  <c r="M187" i="148"/>
  <c r="M185" i="148"/>
  <c r="M183" i="148"/>
  <c r="M181" i="148"/>
  <c r="M179" i="148"/>
  <c r="M177" i="148"/>
  <c r="M175" i="148"/>
  <c r="M173" i="148"/>
  <c r="M171" i="148"/>
  <c r="M169" i="148"/>
  <c r="M167" i="148"/>
  <c r="M165" i="148"/>
  <c r="M163" i="148"/>
  <c r="M161" i="148"/>
  <c r="M159" i="148"/>
  <c r="M157" i="148"/>
  <c r="M155" i="148"/>
  <c r="M153" i="148"/>
  <c r="M151" i="148"/>
  <c r="M149" i="148"/>
  <c r="M147" i="148"/>
  <c r="M145" i="148"/>
  <c r="M143" i="148"/>
  <c r="M141" i="148"/>
  <c r="M139" i="148"/>
  <c r="M137" i="148"/>
  <c r="M135" i="148"/>
  <c r="M133" i="148"/>
  <c r="M131" i="148"/>
  <c r="M129" i="148"/>
  <c r="M127" i="148"/>
  <c r="M125" i="148"/>
  <c r="M123" i="148"/>
  <c r="M121" i="148"/>
  <c r="M119" i="148"/>
  <c r="M117" i="148"/>
  <c r="M115" i="148"/>
  <c r="M113" i="148"/>
  <c r="M111" i="148"/>
  <c r="M109" i="148"/>
  <c r="M107" i="148"/>
  <c r="M105" i="148"/>
  <c r="M103" i="148"/>
  <c r="M101" i="148"/>
  <c r="M99" i="148"/>
  <c r="M97" i="148"/>
  <c r="M95" i="148"/>
  <c r="M93" i="148"/>
  <c r="M91" i="148"/>
  <c r="M89" i="148"/>
  <c r="M87" i="148"/>
  <c r="M85" i="148"/>
  <c r="M83" i="148"/>
  <c r="M81" i="148"/>
  <c r="M79" i="148"/>
  <c r="M77" i="148"/>
  <c r="M75" i="148"/>
  <c r="M73" i="148"/>
  <c r="M71" i="148"/>
  <c r="M69" i="148"/>
  <c r="M67" i="148"/>
  <c r="M65" i="148"/>
  <c r="M63" i="148"/>
  <c r="M61" i="148"/>
  <c r="M59" i="148"/>
  <c r="M57" i="148"/>
  <c r="M55" i="148"/>
  <c r="M53" i="148"/>
  <c r="M51" i="148"/>
  <c r="M49" i="148"/>
  <c r="M47" i="148"/>
  <c r="M45" i="148"/>
  <c r="M43" i="148"/>
  <c r="M41" i="148"/>
  <c r="M39" i="148"/>
  <c r="M37" i="148"/>
  <c r="M35" i="148"/>
  <c r="M33" i="148"/>
  <c r="M31" i="148"/>
  <c r="M29" i="148"/>
  <c r="M27" i="148"/>
  <c r="M25" i="148"/>
  <c r="M23" i="148"/>
  <c r="M21" i="148"/>
  <c r="M19" i="148"/>
  <c r="M17" i="148"/>
  <c r="M15" i="148"/>
  <c r="M13" i="148"/>
  <c r="M11" i="148"/>
  <c r="M9" i="148"/>
  <c r="M256" i="148"/>
  <c r="M254" i="148"/>
  <c r="M252" i="148"/>
  <c r="M250" i="148"/>
  <c r="M248" i="148"/>
  <c r="M246" i="148"/>
  <c r="M244" i="148"/>
  <c r="M242" i="148"/>
  <c r="M240" i="148"/>
  <c r="M238" i="148"/>
  <c r="M236" i="148"/>
  <c r="M234" i="148"/>
  <c r="M232" i="148"/>
  <c r="M230" i="148"/>
  <c r="M228" i="148"/>
  <c r="M226" i="148"/>
  <c r="M224" i="148"/>
  <c r="M222" i="148"/>
  <c r="M220" i="148"/>
  <c r="M218" i="148"/>
  <c r="M216" i="148"/>
  <c r="M214" i="148"/>
  <c r="M212" i="148"/>
  <c r="M210" i="148"/>
  <c r="M208" i="148"/>
  <c r="M206" i="148"/>
  <c r="M204" i="148"/>
  <c r="M202" i="148"/>
  <c r="M200" i="148"/>
  <c r="M198" i="148"/>
  <c r="M196" i="148"/>
  <c r="M194" i="148"/>
  <c r="M192" i="148"/>
  <c r="M190" i="148"/>
  <c r="M188" i="148"/>
  <c r="M186" i="148"/>
  <c r="M184" i="148"/>
  <c r="M182" i="148"/>
  <c r="M180" i="148"/>
  <c r="M178" i="148"/>
  <c r="M176" i="148"/>
  <c r="M174" i="148"/>
  <c r="M172" i="148"/>
  <c r="M170" i="148"/>
  <c r="M168" i="148"/>
  <c r="M166" i="148"/>
  <c r="M164" i="148"/>
  <c r="M162" i="148"/>
  <c r="M160" i="148"/>
  <c r="M158" i="148"/>
  <c r="M156" i="148"/>
  <c r="M154" i="148"/>
  <c r="M152" i="148"/>
  <c r="M150" i="148"/>
  <c r="M148" i="148"/>
  <c r="M146" i="148"/>
  <c r="M144" i="148"/>
  <c r="M142" i="148"/>
  <c r="M140" i="148"/>
  <c r="M138" i="148"/>
  <c r="M136" i="148"/>
  <c r="M134" i="148"/>
  <c r="M132" i="148"/>
  <c r="M130" i="148"/>
  <c r="M128" i="148"/>
  <c r="M126" i="148"/>
  <c r="M124" i="148"/>
  <c r="M122" i="148"/>
  <c r="M120" i="148"/>
  <c r="M118" i="148"/>
  <c r="M116" i="148"/>
  <c r="M114" i="148"/>
  <c r="M112" i="148"/>
  <c r="M110" i="148"/>
  <c r="M108" i="148"/>
  <c r="M106" i="148"/>
  <c r="M104" i="148"/>
  <c r="M102" i="148"/>
  <c r="M100" i="148"/>
  <c r="M98" i="148"/>
  <c r="M96" i="148"/>
  <c r="M94" i="148"/>
  <c r="M92" i="148"/>
  <c r="M90" i="148"/>
  <c r="M88" i="148"/>
  <c r="M86" i="148"/>
  <c r="M84" i="148"/>
  <c r="M82" i="148"/>
  <c r="M80" i="148"/>
  <c r="M78" i="148"/>
  <c r="M76" i="148"/>
  <c r="M74" i="148"/>
  <c r="M72" i="148"/>
  <c r="M70" i="148"/>
  <c r="M68" i="148"/>
  <c r="M66" i="148"/>
  <c r="M64" i="148"/>
  <c r="M62" i="148"/>
  <c r="M60" i="148"/>
  <c r="M58" i="148"/>
  <c r="M56" i="148"/>
  <c r="M54" i="148"/>
  <c r="M52" i="148"/>
  <c r="M50" i="148"/>
  <c r="M48" i="148"/>
  <c r="M46" i="148"/>
  <c r="M44" i="148"/>
  <c r="M42" i="148"/>
  <c r="M40" i="148"/>
  <c r="M38" i="148"/>
  <c r="M36" i="148"/>
  <c r="M34" i="148"/>
  <c r="M32" i="148"/>
  <c r="M30" i="148"/>
  <c r="M28" i="148"/>
  <c r="M26" i="148"/>
  <c r="M24" i="148"/>
  <c r="M22" i="148"/>
  <c r="M20" i="148"/>
  <c r="M18" i="148"/>
  <c r="M16" i="148"/>
  <c r="M14" i="148"/>
  <c r="M12" i="148"/>
  <c r="M10" i="148"/>
  <c r="M8" i="148"/>
  <c r="M257" i="52081"/>
  <c r="M255" i="52081"/>
  <c r="M253" i="52081"/>
  <c r="M251" i="52081"/>
  <c r="M249" i="52081"/>
  <c r="M247" i="52081"/>
  <c r="M245" i="52081"/>
  <c r="M243" i="52081"/>
  <c r="M241" i="52081"/>
  <c r="M239" i="52081"/>
  <c r="M237" i="52081"/>
  <c r="M235" i="52081"/>
  <c r="M233" i="52081"/>
  <c r="M231" i="52081"/>
  <c r="M229" i="52081"/>
  <c r="M227" i="52081"/>
  <c r="M225" i="52081"/>
  <c r="M223" i="52081"/>
  <c r="M221" i="52081"/>
  <c r="M219" i="52081"/>
  <c r="M217" i="52081"/>
  <c r="M215" i="52081"/>
  <c r="M213" i="52081"/>
  <c r="M211" i="52081"/>
  <c r="M209" i="52081"/>
  <c r="M207" i="52081"/>
  <c r="M205" i="52081"/>
  <c r="M203" i="52081"/>
  <c r="M201" i="52081"/>
  <c r="M199" i="52081"/>
  <c r="M197" i="52081"/>
  <c r="M195" i="52081"/>
  <c r="M193" i="52081"/>
  <c r="M191" i="52081"/>
  <c r="M189" i="52081"/>
  <c r="M187" i="52081"/>
  <c r="M185" i="52081"/>
  <c r="M183" i="52081"/>
  <c r="M181" i="52081"/>
  <c r="M179" i="52081"/>
  <c r="M177" i="52081"/>
  <c r="M175" i="52081"/>
  <c r="M173" i="52081"/>
  <c r="M171" i="52081"/>
  <c r="M169" i="52081"/>
  <c r="M167" i="52081"/>
  <c r="M165" i="52081"/>
  <c r="M163" i="52081"/>
  <c r="M161" i="52081"/>
  <c r="M159" i="52081"/>
  <c r="M157" i="52081"/>
  <c r="M155" i="52081"/>
  <c r="M153" i="52081"/>
  <c r="M151" i="52081"/>
  <c r="M149" i="52081"/>
  <c r="M147" i="52081"/>
  <c r="M145" i="52081"/>
  <c r="M143" i="52081"/>
  <c r="M141" i="52081"/>
  <c r="M139" i="52081"/>
  <c r="M137" i="52081"/>
  <c r="M135" i="52081"/>
  <c r="M133" i="52081"/>
  <c r="M131" i="52081"/>
  <c r="M129" i="52081"/>
  <c r="M127" i="52081"/>
  <c r="M125" i="52081"/>
  <c r="M123" i="52081"/>
  <c r="M121" i="52081"/>
  <c r="M119" i="52081"/>
  <c r="M117" i="52081"/>
  <c r="M115" i="52081"/>
  <c r="M113" i="52081"/>
  <c r="M111" i="52081"/>
  <c r="M109" i="52081"/>
  <c r="M107" i="52081"/>
  <c r="M105" i="52081"/>
  <c r="M103" i="52081"/>
  <c r="M101" i="52081"/>
  <c r="M99" i="52081"/>
  <c r="M97" i="52081"/>
  <c r="M95" i="52081"/>
  <c r="M93" i="52081"/>
  <c r="M91" i="52081"/>
  <c r="M89" i="52081"/>
  <c r="M87" i="52081"/>
  <c r="M85" i="52081"/>
  <c r="M83" i="52081"/>
  <c r="M81" i="52081"/>
  <c r="M79" i="52081"/>
  <c r="M77" i="52081"/>
  <c r="M75" i="52081"/>
  <c r="M73" i="52081"/>
  <c r="M71" i="52081"/>
  <c r="M69" i="52081"/>
  <c r="M67" i="52081"/>
  <c r="M65" i="52081"/>
  <c r="M63" i="52081"/>
  <c r="M61" i="52081"/>
  <c r="M59" i="52081"/>
  <c r="M57" i="52081"/>
  <c r="M55" i="52081"/>
  <c r="M53" i="52081"/>
  <c r="M51" i="52081"/>
  <c r="M49" i="52081"/>
  <c r="M47" i="52081"/>
  <c r="M45" i="52081"/>
  <c r="M43" i="52081"/>
  <c r="M41" i="52081"/>
  <c r="M39" i="52081"/>
  <c r="M37" i="52081"/>
  <c r="M35" i="52081"/>
  <c r="M33" i="52081"/>
  <c r="M31" i="52081"/>
  <c r="M29" i="52081"/>
  <c r="M27" i="52081"/>
  <c r="M25" i="52081"/>
  <c r="M23" i="52081"/>
  <c r="M21" i="52081"/>
  <c r="M19" i="52081"/>
  <c r="M17" i="52081"/>
  <c r="M15" i="52081"/>
  <c r="M13" i="52081"/>
  <c r="M11" i="52081"/>
  <c r="M9" i="52081"/>
  <c r="M257" i="52064"/>
  <c r="M255" i="52064"/>
  <c r="M256" i="52081"/>
  <c r="M254" i="52081"/>
  <c r="M252" i="52081"/>
  <c r="M250" i="52081"/>
  <c r="M248" i="52081"/>
  <c r="M246" i="52081"/>
  <c r="M244" i="52081"/>
  <c r="M242" i="52081"/>
  <c r="M240" i="52081"/>
  <c r="M238" i="52081"/>
  <c r="M236" i="52081"/>
  <c r="M234" i="52081"/>
  <c r="M232" i="52081"/>
  <c r="M230" i="52081"/>
  <c r="M228" i="52081"/>
  <c r="M226" i="52081"/>
  <c r="M224" i="52081"/>
  <c r="M222" i="52081"/>
  <c r="M220" i="52081"/>
  <c r="M218" i="52081"/>
  <c r="M216" i="52081"/>
  <c r="M214" i="52081"/>
  <c r="M212" i="52081"/>
  <c r="M210" i="52081"/>
  <c r="M208" i="52081"/>
  <c r="M206" i="52081"/>
  <c r="M204" i="52081"/>
  <c r="M202" i="52081"/>
  <c r="M200" i="52081"/>
  <c r="M198" i="52081"/>
  <c r="M196" i="52081"/>
  <c r="M194" i="52081"/>
  <c r="M192" i="52081"/>
  <c r="M190" i="52081"/>
  <c r="M188" i="52081"/>
  <c r="M186" i="52081"/>
  <c r="M184" i="52081"/>
  <c r="M182" i="52081"/>
  <c r="M180" i="52081"/>
  <c r="M178" i="52081"/>
  <c r="M176" i="52081"/>
  <c r="M174" i="52081"/>
  <c r="M172" i="52081"/>
  <c r="M170" i="52081"/>
  <c r="M168" i="52081"/>
  <c r="M166" i="52081"/>
  <c r="M164" i="52081"/>
  <c r="M162" i="52081"/>
  <c r="M160" i="52081"/>
  <c r="M158" i="52081"/>
  <c r="M156" i="52081"/>
  <c r="M154" i="52081"/>
  <c r="M152" i="52081"/>
  <c r="M150" i="52081"/>
  <c r="M148" i="52081"/>
  <c r="M146" i="52081"/>
  <c r="M144" i="52081"/>
  <c r="M142" i="52081"/>
  <c r="M140" i="52081"/>
  <c r="M138" i="52081"/>
  <c r="M136" i="52081"/>
  <c r="M134" i="52081"/>
  <c r="M132" i="52081"/>
  <c r="M130" i="52081"/>
  <c r="M128" i="52081"/>
  <c r="M126" i="52081"/>
  <c r="M124" i="52081"/>
  <c r="M122" i="52081"/>
  <c r="M120" i="52081"/>
  <c r="M118" i="52081"/>
  <c r="M116" i="52081"/>
  <c r="M114" i="52081"/>
  <c r="M112" i="52081"/>
  <c r="M110" i="52081"/>
  <c r="M108" i="52081"/>
  <c r="M106" i="52081"/>
  <c r="M104" i="52081"/>
  <c r="M102" i="52081"/>
  <c r="M100" i="52081"/>
  <c r="M98" i="52081"/>
  <c r="M96" i="52081"/>
  <c r="M94" i="52081"/>
  <c r="M92" i="52081"/>
  <c r="M90" i="52081"/>
  <c r="M88" i="52081"/>
  <c r="M86" i="52081"/>
  <c r="M84" i="52081"/>
  <c r="M82" i="52081"/>
  <c r="M80" i="52081"/>
  <c r="M78" i="52081"/>
  <c r="M76" i="52081"/>
  <c r="M74" i="52081"/>
  <c r="M72" i="52081"/>
  <c r="M70" i="52081"/>
  <c r="M68" i="52081"/>
  <c r="M66" i="52081"/>
  <c r="M64" i="52081"/>
  <c r="M62" i="52081"/>
  <c r="M60" i="52081"/>
  <c r="M58" i="52081"/>
  <c r="M56" i="52081"/>
  <c r="M54" i="52081"/>
  <c r="M52" i="52081"/>
  <c r="M50" i="52081"/>
  <c r="M48" i="52081"/>
  <c r="M46" i="52081"/>
  <c r="M44" i="52081"/>
  <c r="M42" i="52081"/>
  <c r="M40" i="52081"/>
  <c r="M38" i="52081"/>
  <c r="M36" i="52081"/>
  <c r="M34" i="52081"/>
  <c r="M32" i="52081"/>
  <c r="M30" i="52081"/>
  <c r="M28" i="52081"/>
  <c r="M26" i="52081"/>
  <c r="M24" i="52081"/>
  <c r="M22" i="52081"/>
  <c r="M20" i="52081"/>
  <c r="M18" i="52081"/>
  <c r="M16" i="52081"/>
  <c r="M14" i="52081"/>
  <c r="M12" i="52081"/>
  <c r="M10" i="52081"/>
  <c r="M8" i="52081"/>
  <c r="M256" i="52064"/>
  <c r="M254" i="52064"/>
  <c r="M253" i="52064"/>
  <c r="M251" i="52064"/>
  <c r="M249" i="52064"/>
  <c r="M247" i="52064"/>
  <c r="M245" i="52064"/>
  <c r="M243" i="52064"/>
  <c r="M241" i="52064"/>
  <c r="M239" i="52064"/>
  <c r="M237" i="52064"/>
  <c r="M235" i="52064"/>
  <c r="M233" i="52064"/>
  <c r="M231" i="52064"/>
  <c r="M229" i="52064"/>
  <c r="M227" i="52064"/>
  <c r="M225" i="52064"/>
  <c r="M223" i="52064"/>
  <c r="M221" i="52064"/>
  <c r="M219" i="52064"/>
  <c r="M217" i="52064"/>
  <c r="M215" i="52064"/>
  <c r="M213" i="52064"/>
  <c r="M211" i="52064"/>
  <c r="M209" i="52064"/>
  <c r="M207" i="52064"/>
  <c r="M205" i="52064"/>
  <c r="M203" i="52064"/>
  <c r="M201" i="52064"/>
  <c r="M199" i="52064"/>
  <c r="M197" i="52064"/>
  <c r="M195" i="52064"/>
  <c r="M193" i="52064"/>
  <c r="M191" i="52064"/>
  <c r="M189" i="52064"/>
  <c r="M187" i="52064"/>
  <c r="M185" i="52064"/>
  <c r="M183" i="52064"/>
  <c r="M181" i="52064"/>
  <c r="M179" i="52064"/>
  <c r="M177" i="52064"/>
  <c r="M175" i="52064"/>
  <c r="M173" i="52064"/>
  <c r="M171" i="52064"/>
  <c r="M169" i="52064"/>
  <c r="M167" i="52064"/>
  <c r="M165" i="52064"/>
  <c r="M163" i="52064"/>
  <c r="M161" i="52064"/>
  <c r="M159" i="52064"/>
  <c r="M157" i="52064"/>
  <c r="M155" i="52064"/>
  <c r="M153" i="52064"/>
  <c r="M151" i="52064"/>
  <c r="M149" i="52064"/>
  <c r="M147" i="52064"/>
  <c r="M145" i="52064"/>
  <c r="M143" i="52064"/>
  <c r="M141" i="52064"/>
  <c r="M139" i="52064"/>
  <c r="M137" i="52064"/>
  <c r="M135" i="52064"/>
  <c r="M133" i="52064"/>
  <c r="M131" i="52064"/>
  <c r="M129" i="52064"/>
  <c r="M127" i="52064"/>
  <c r="M125" i="52064"/>
  <c r="M123" i="52064"/>
  <c r="M121" i="52064"/>
  <c r="M119" i="52064"/>
  <c r="M117" i="52064"/>
  <c r="M115" i="52064"/>
  <c r="M113" i="52064"/>
  <c r="M111" i="52064"/>
  <c r="M109" i="52064"/>
  <c r="M107" i="52064"/>
  <c r="M105" i="52064"/>
  <c r="M103" i="52064"/>
  <c r="M101" i="52064"/>
  <c r="M99" i="52064"/>
  <c r="M97" i="52064"/>
  <c r="M95" i="52064"/>
  <c r="M93" i="52064"/>
  <c r="M91" i="52064"/>
  <c r="M89" i="52064"/>
  <c r="M87" i="52064"/>
  <c r="M85" i="52064"/>
  <c r="M83" i="52064"/>
  <c r="M81" i="52064"/>
  <c r="M79" i="52064"/>
  <c r="M77" i="52064"/>
  <c r="M75" i="52064"/>
  <c r="M73" i="52064"/>
  <c r="M71" i="52064"/>
  <c r="M69" i="52064"/>
  <c r="M67" i="52064"/>
  <c r="M65" i="52064"/>
  <c r="M63" i="52064"/>
  <c r="M61" i="52064"/>
  <c r="M59" i="52064"/>
  <c r="M57" i="52064"/>
  <c r="M55" i="52064"/>
  <c r="M53" i="52064"/>
  <c r="M51" i="52064"/>
  <c r="M49" i="52064"/>
  <c r="M47" i="52064"/>
  <c r="M45" i="52064"/>
  <c r="M43" i="52064"/>
  <c r="M41" i="52064"/>
  <c r="M39" i="52064"/>
  <c r="M37" i="52064"/>
  <c r="M35" i="52064"/>
  <c r="M33" i="52064"/>
  <c r="M31" i="52064"/>
  <c r="M29" i="52064"/>
  <c r="M27" i="52064"/>
  <c r="M25" i="52064"/>
  <c r="M23" i="52064"/>
  <c r="M21" i="52064"/>
  <c r="M19" i="52064"/>
  <c r="M17" i="52064"/>
  <c r="M15" i="52064"/>
  <c r="M13" i="52064"/>
  <c r="M11" i="52064"/>
  <c r="M9" i="52064"/>
  <c r="M252" i="52064"/>
  <c r="M250" i="52064"/>
  <c r="M248" i="52064"/>
  <c r="M246" i="52064"/>
  <c r="M244" i="52064"/>
  <c r="M242" i="52064"/>
  <c r="M240" i="52064"/>
  <c r="M238" i="52064"/>
  <c r="M236" i="52064"/>
  <c r="M234" i="52064"/>
  <c r="M232" i="52064"/>
  <c r="M230" i="52064"/>
  <c r="M228" i="52064"/>
  <c r="M226" i="52064"/>
  <c r="M224" i="52064"/>
  <c r="M222" i="52064"/>
  <c r="M220" i="52064"/>
  <c r="M218" i="52064"/>
  <c r="M216" i="52064"/>
  <c r="M214" i="52064"/>
  <c r="M212" i="52064"/>
  <c r="M210" i="52064"/>
  <c r="M208" i="52064"/>
  <c r="M206" i="52064"/>
  <c r="M204" i="52064"/>
  <c r="M202" i="52064"/>
  <c r="M200" i="52064"/>
  <c r="M198" i="52064"/>
  <c r="M196" i="52064"/>
  <c r="M194" i="52064"/>
  <c r="M192" i="52064"/>
  <c r="M190" i="52064"/>
  <c r="M188" i="52064"/>
  <c r="M186" i="52064"/>
  <c r="M184" i="52064"/>
  <c r="M182" i="52064"/>
  <c r="M180" i="52064"/>
  <c r="M178" i="52064"/>
  <c r="M176" i="52064"/>
  <c r="M174" i="52064"/>
  <c r="M172" i="52064"/>
  <c r="M170" i="52064"/>
  <c r="M168" i="52064"/>
  <c r="M166" i="52064"/>
  <c r="M164" i="52064"/>
  <c r="M162" i="52064"/>
  <c r="M160" i="52064"/>
  <c r="M158" i="52064"/>
  <c r="M156" i="52064"/>
  <c r="M154" i="52064"/>
  <c r="M152" i="52064"/>
  <c r="M150" i="52064"/>
  <c r="M148" i="52064"/>
  <c r="M146" i="52064"/>
  <c r="M144" i="52064"/>
  <c r="M142" i="52064"/>
  <c r="M140" i="52064"/>
  <c r="M138" i="52064"/>
  <c r="M136" i="52064"/>
  <c r="M134" i="52064"/>
  <c r="M132" i="52064"/>
  <c r="M130" i="52064"/>
  <c r="M128" i="52064"/>
  <c r="M126" i="52064"/>
  <c r="M124" i="52064"/>
  <c r="M122" i="52064"/>
  <c r="M120" i="52064"/>
  <c r="M118" i="52064"/>
  <c r="M116" i="52064"/>
  <c r="M114" i="52064"/>
  <c r="M112" i="52064"/>
  <c r="M110" i="52064"/>
  <c r="M108" i="52064"/>
  <c r="M106" i="52064"/>
  <c r="M104" i="52064"/>
  <c r="M102" i="52064"/>
  <c r="M100" i="52064"/>
  <c r="M98" i="52064"/>
  <c r="M96" i="52064"/>
  <c r="M94" i="52064"/>
  <c r="M92" i="52064"/>
  <c r="M90" i="52064"/>
  <c r="M88" i="52064"/>
  <c r="M86" i="52064"/>
  <c r="M84" i="52064"/>
  <c r="M82" i="52064"/>
  <c r="M80" i="52064"/>
  <c r="M78" i="52064"/>
  <c r="M76" i="52064"/>
  <c r="M74" i="52064"/>
  <c r="M72" i="52064"/>
  <c r="M70" i="52064"/>
  <c r="M68" i="52064"/>
  <c r="M66" i="52064"/>
  <c r="M64" i="52064"/>
  <c r="M62" i="52064"/>
  <c r="M60" i="52064"/>
  <c r="M58" i="52064"/>
  <c r="M56" i="52064"/>
  <c r="M54" i="52064"/>
  <c r="M52" i="52064"/>
  <c r="M50" i="52064"/>
  <c r="M48" i="52064"/>
  <c r="M46" i="52064"/>
  <c r="M44" i="52064"/>
  <c r="M42" i="52064"/>
  <c r="M40" i="52064"/>
  <c r="M38" i="52064"/>
  <c r="M36" i="52064"/>
  <c r="M34" i="52064"/>
  <c r="M32" i="52064"/>
  <c r="M30" i="52064"/>
  <c r="M28" i="52064"/>
  <c r="M26" i="52064"/>
  <c r="M24" i="52064"/>
  <c r="M22" i="52064"/>
  <c r="M20" i="52064"/>
  <c r="M18" i="52064"/>
  <c r="M16" i="52064"/>
  <c r="M14" i="52064"/>
  <c r="M12" i="52064"/>
  <c r="M10" i="52064"/>
  <c r="M8" i="52064"/>
  <c r="M9" i="21"/>
  <c r="M11" i="21"/>
  <c r="M13" i="21"/>
  <c r="M15" i="21"/>
  <c r="M17" i="21"/>
  <c r="M19" i="21"/>
  <c r="M23" i="21"/>
  <c r="M25" i="21"/>
  <c r="M27" i="21"/>
  <c r="M29" i="21"/>
  <c r="M31" i="21"/>
  <c r="M33" i="21"/>
  <c r="M35" i="21"/>
  <c r="M37" i="21"/>
  <c r="M39" i="21"/>
  <c r="M41" i="21"/>
  <c r="M43" i="21"/>
  <c r="M45" i="21"/>
  <c r="M47" i="21"/>
  <c r="M49" i="21"/>
  <c r="M53" i="21"/>
  <c r="M55" i="21"/>
  <c r="M57" i="21"/>
  <c r="M59" i="21"/>
  <c r="M61" i="21"/>
  <c r="M63" i="21"/>
  <c r="M65" i="21"/>
  <c r="M67" i="21"/>
  <c r="M69" i="21"/>
  <c r="M71" i="21"/>
  <c r="M73" i="21"/>
  <c r="M75" i="21"/>
  <c r="M77" i="21"/>
  <c r="M79" i="21"/>
  <c r="M81" i="21"/>
  <c r="M83" i="21"/>
  <c r="M85" i="21"/>
  <c r="M87" i="21"/>
  <c r="M89" i="21"/>
  <c r="M91" i="21"/>
  <c r="M93" i="21"/>
  <c r="M95" i="21"/>
  <c r="M97" i="21"/>
  <c r="M99" i="21"/>
  <c r="M101" i="21"/>
  <c r="M103" i="21"/>
  <c r="M105" i="21"/>
  <c r="M107" i="21"/>
  <c r="M109" i="21"/>
  <c r="M111" i="21"/>
  <c r="M113" i="21"/>
  <c r="M115" i="21"/>
  <c r="M117" i="21"/>
  <c r="M119" i="21"/>
  <c r="M121" i="21"/>
  <c r="M123" i="21"/>
  <c r="M125" i="21"/>
  <c r="M131" i="21"/>
  <c r="M133" i="21"/>
  <c r="M135" i="21"/>
  <c r="M137" i="21"/>
  <c r="M139" i="21"/>
  <c r="M141" i="21"/>
  <c r="M143" i="21"/>
  <c r="M145" i="21"/>
  <c r="M147" i="21"/>
  <c r="M149" i="21"/>
  <c r="M151" i="21"/>
  <c r="M153" i="21"/>
  <c r="M155" i="21"/>
  <c r="M157" i="21"/>
  <c r="M159" i="21"/>
  <c r="M161" i="21"/>
  <c r="M163" i="21"/>
  <c r="M165" i="21"/>
  <c r="M167" i="21"/>
  <c r="M169" i="21"/>
  <c r="M171" i="21"/>
  <c r="M173" i="21"/>
  <c r="M175" i="21"/>
  <c r="M177" i="21"/>
  <c r="M179" i="21"/>
  <c r="M181" i="21"/>
  <c r="M183" i="21"/>
  <c r="M185" i="21"/>
  <c r="M187" i="21"/>
  <c r="M189" i="21"/>
  <c r="M191" i="21"/>
  <c r="M193" i="21"/>
  <c r="M195" i="21"/>
  <c r="M197" i="21"/>
  <c r="M199" i="21"/>
  <c r="M201" i="21"/>
  <c r="M211" i="21"/>
  <c r="M213" i="21"/>
  <c r="M219" i="21"/>
  <c r="M221" i="21"/>
  <c r="M225" i="21"/>
  <c r="M227" i="21"/>
  <c r="M229" i="21"/>
  <c r="M231" i="21"/>
  <c r="M235" i="21"/>
  <c r="M237" i="21"/>
  <c r="M239" i="21"/>
  <c r="M241" i="21"/>
  <c r="M243" i="21"/>
  <c r="M253" i="21"/>
  <c r="M255" i="21"/>
  <c r="M257" i="21"/>
  <c r="M228" i="21"/>
  <c r="M10" i="21"/>
  <c r="M12" i="21"/>
  <c r="M14" i="21"/>
  <c r="M16" i="21"/>
  <c r="M18" i="21"/>
  <c r="M20" i="21"/>
  <c r="M22" i="21"/>
  <c r="M24" i="21"/>
  <c r="M26" i="21"/>
  <c r="M28" i="21"/>
  <c r="M30" i="21"/>
  <c r="M32" i="21"/>
  <c r="M34" i="21"/>
  <c r="M36" i="21"/>
  <c r="M38" i="21"/>
  <c r="M40" i="21"/>
  <c r="M42" i="21"/>
  <c r="M44" i="21"/>
  <c r="M46" i="21"/>
  <c r="M48" i="21"/>
  <c r="M50" i="21"/>
  <c r="M52" i="21"/>
  <c r="M54" i="21"/>
  <c r="M56" i="21"/>
  <c r="M58" i="21"/>
  <c r="M60" i="21"/>
  <c r="M64" i="21"/>
  <c r="M66" i="21"/>
  <c r="M68" i="21"/>
  <c r="M70" i="21"/>
  <c r="M72" i="21"/>
  <c r="M74" i="21"/>
  <c r="M76" i="21"/>
  <c r="M78" i="21"/>
  <c r="M80" i="21"/>
  <c r="M82" i="21"/>
  <c r="M84" i="21"/>
  <c r="M86" i="21"/>
  <c r="M88" i="21"/>
  <c r="M90" i="21"/>
  <c r="M92" i="21"/>
  <c r="M94" i="21"/>
  <c r="M96" i="21"/>
  <c r="M98" i="21"/>
  <c r="M100" i="21"/>
  <c r="M102" i="21"/>
  <c r="M104" i="21"/>
  <c r="M106" i="21"/>
  <c r="M108" i="21"/>
  <c r="M110" i="21"/>
  <c r="M112" i="21"/>
  <c r="M114" i="21"/>
  <c r="M116" i="21"/>
  <c r="M118" i="21"/>
  <c r="M120" i="21"/>
  <c r="M122" i="21"/>
  <c r="M124" i="21"/>
  <c r="M126" i="21"/>
  <c r="M128" i="21"/>
  <c r="M130" i="21"/>
  <c r="M132" i="21"/>
  <c r="M134" i="21"/>
  <c r="M136" i="21"/>
  <c r="M138" i="21"/>
  <c r="M140" i="21"/>
  <c r="M142" i="21"/>
  <c r="M144" i="21"/>
  <c r="M146" i="21"/>
  <c r="M148" i="21"/>
  <c r="M150" i="21"/>
  <c r="M152" i="21"/>
  <c r="M154" i="21"/>
  <c r="M158" i="21"/>
  <c r="M160" i="21"/>
  <c r="M162" i="21"/>
  <c r="M164" i="21"/>
  <c r="M166" i="21"/>
  <c r="M170" i="21"/>
  <c r="M172" i="21"/>
  <c r="M174" i="21"/>
  <c r="M176" i="21"/>
  <c r="M178" i="21"/>
  <c r="M180" i="21"/>
  <c r="M182" i="21"/>
  <c r="M184" i="21"/>
  <c r="M186" i="21"/>
  <c r="M188" i="21"/>
  <c r="M190" i="21"/>
  <c r="M192" i="21"/>
  <c r="M194" i="21"/>
  <c r="M196" i="21"/>
  <c r="M198" i="21"/>
  <c r="M200" i="21"/>
  <c r="M202" i="21"/>
  <c r="M204" i="21"/>
  <c r="M206" i="21"/>
  <c r="M208" i="21"/>
  <c r="M210" i="21"/>
  <c r="M214" i="21"/>
  <c r="M216" i="21"/>
  <c r="M218" i="21"/>
  <c r="M220" i="21"/>
  <c r="M224" i="21"/>
  <c r="M226" i="21"/>
  <c r="M230" i="21"/>
  <c r="M232" i="21"/>
  <c r="M244" i="21"/>
  <c r="M252" i="21"/>
  <c r="M234" i="21"/>
  <c r="M238" i="21"/>
  <c r="M246" i="21"/>
  <c r="M250" i="21"/>
  <c r="M248" i="21"/>
  <c r="M256" i="21"/>
  <c r="M8" i="21"/>
  <c r="D203" i="21" l="1"/>
  <c r="D238" i="21"/>
  <c r="D233" i="21"/>
  <c r="D62" i="21"/>
  <c r="E211" i="52098"/>
  <c r="H113" i="52098"/>
  <c r="J113" i="52098" s="1"/>
  <c r="E215" i="21"/>
  <c r="D203" i="52079"/>
  <c r="D238" i="52079"/>
  <c r="D238" i="52093"/>
  <c r="D203" i="52093"/>
  <c r="D62" i="52099"/>
  <c r="D233" i="52099"/>
  <c r="D205" i="114"/>
  <c r="D203" i="52064"/>
  <c r="J103" i="9"/>
  <c r="D238" i="52064"/>
  <c r="D203" i="105"/>
  <c r="D238" i="105"/>
  <c r="D203" i="52088"/>
  <c r="D238" i="52088"/>
  <c r="D62" i="108"/>
  <c r="R51" i="52097"/>
  <c r="D233" i="108"/>
  <c r="D203" i="52099"/>
  <c r="D238" i="52099"/>
  <c r="D243" i="12"/>
  <c r="I213" i="115"/>
  <c r="D28" i="52096"/>
  <c r="D7" i="52096"/>
  <c r="D19" i="52096"/>
  <c r="E19" i="52096"/>
  <c r="E43" i="52096"/>
  <c r="D205" i="52079"/>
  <c r="D205" i="105"/>
  <c r="G56" i="52082"/>
  <c r="F212" i="52102"/>
  <c r="J212" i="52102" s="1"/>
  <c r="D209" i="52094"/>
  <c r="D217" i="52094" s="1"/>
  <c r="D251" i="52094" s="1"/>
  <c r="D247" i="52094"/>
  <c r="F245" i="52099"/>
  <c r="F205" i="52099"/>
  <c r="F247" i="52099" s="1"/>
  <c r="D247" i="114"/>
  <c r="D209" i="114"/>
  <c r="D217" i="114" s="1"/>
  <c r="D251" i="114" s="1"/>
  <c r="D209" i="52090"/>
  <c r="D217" i="52090" s="1"/>
  <c r="D251" i="52090" s="1"/>
  <c r="D247" i="52090"/>
  <c r="D247" i="52071"/>
  <c r="D209" i="52071"/>
  <c r="D217" i="52071" s="1"/>
  <c r="D251" i="52071" s="1"/>
  <c r="D247" i="52079"/>
  <c r="D209" i="52079"/>
  <c r="D217" i="52079" s="1"/>
  <c r="J129" i="52099"/>
  <c r="K118" i="52097"/>
  <c r="O118" i="52097" s="1"/>
  <c r="J213" i="52081"/>
  <c r="D42" i="52084"/>
  <c r="K234" i="52084"/>
  <c r="D30" i="52084"/>
  <c r="D205" i="48"/>
  <c r="D245" i="48"/>
  <c r="D205" i="32"/>
  <c r="G41" i="110"/>
  <c r="C251" i="52075"/>
  <c r="D222" i="52094"/>
  <c r="D254" i="52094" s="1"/>
  <c r="D245" i="52092"/>
  <c r="D205" i="52080"/>
  <c r="D222" i="52090"/>
  <c r="D254" i="52090" s="1"/>
  <c r="D245" i="52090"/>
  <c r="D222" i="115"/>
  <c r="D254" i="115" s="1"/>
  <c r="K127" i="52097"/>
  <c r="K156" i="52097"/>
  <c r="K168" i="52097" s="1"/>
  <c r="K242" i="52097" s="1"/>
  <c r="G62" i="52099"/>
  <c r="G236" i="52099" s="1"/>
  <c r="J236" i="52099" s="1"/>
  <c r="J121" i="52087"/>
  <c r="J74" i="52067"/>
  <c r="O113" i="52097"/>
  <c r="L214" i="52104"/>
  <c r="E215" i="20"/>
  <c r="E249" i="20" s="1"/>
  <c r="F121" i="111"/>
  <c r="R121" i="111" s="1"/>
  <c r="E215" i="52081"/>
  <c r="E249" i="52081" s="1"/>
  <c r="E215" i="101"/>
  <c r="E249" i="101" s="1"/>
  <c r="E215" i="52067"/>
  <c r="E249" i="52067" s="1"/>
  <c r="G156" i="114"/>
  <c r="J2420" i="52069"/>
  <c r="U129" i="111"/>
  <c r="D212" i="52083"/>
  <c r="H212" i="52083" s="1"/>
  <c r="G131" i="9"/>
  <c r="H122" i="52098"/>
  <c r="J122" i="52098" s="1"/>
  <c r="G8" i="9"/>
  <c r="J49" i="52082"/>
  <c r="D243" i="52071"/>
  <c r="B201" i="9"/>
  <c r="G201" i="9" s="1"/>
  <c r="J122" i="52079"/>
  <c r="L89" i="114"/>
  <c r="B121" i="52076"/>
  <c r="J121" i="52094"/>
  <c r="H28" i="52098"/>
  <c r="H252" i="52098" s="1"/>
  <c r="H35" i="52098"/>
  <c r="H39" i="52098"/>
  <c r="G24" i="9"/>
  <c r="B24" i="233" s="1"/>
  <c r="G26" i="9"/>
  <c r="B26" i="233" s="1"/>
  <c r="G28" i="9"/>
  <c r="B28" i="233" s="1"/>
  <c r="G187" i="9"/>
  <c r="G191" i="9"/>
  <c r="G193" i="9"/>
  <c r="O24" i="52097"/>
  <c r="O26" i="52097"/>
  <c r="O35" i="52097"/>
  <c r="O41" i="52097"/>
  <c r="J56" i="52082"/>
  <c r="K118" i="111"/>
  <c r="R118" i="111" s="1"/>
  <c r="B120" i="52098"/>
  <c r="H120" i="52098" s="1"/>
  <c r="B120" i="52074"/>
  <c r="D122" i="52077"/>
  <c r="F56" i="52103"/>
  <c r="E56" i="52084"/>
  <c r="D56" i="9"/>
  <c r="F56" i="233" s="1"/>
  <c r="E38" i="52071"/>
  <c r="L38" i="52097" s="1"/>
  <c r="E57" i="52074"/>
  <c r="E57" i="52076"/>
  <c r="F56" i="52102"/>
  <c r="E38" i="52090"/>
  <c r="F38" i="52075" s="1"/>
  <c r="E38" i="52092"/>
  <c r="O38" i="111" s="1"/>
  <c r="C183" i="52069"/>
  <c r="C185" i="52069"/>
  <c r="C187" i="52069"/>
  <c r="C189" i="52069"/>
  <c r="C191" i="52069"/>
  <c r="C193" i="52069"/>
  <c r="C195" i="52069"/>
  <c r="C197" i="52069"/>
  <c r="C199" i="52069"/>
  <c r="C201" i="52069"/>
  <c r="C203" i="52069"/>
  <c r="C205" i="52069"/>
  <c r="C207" i="52069"/>
  <c r="C209" i="52069"/>
  <c r="C211" i="52069"/>
  <c r="C213" i="52069"/>
  <c r="C215" i="52069"/>
  <c r="C217" i="52069"/>
  <c r="C219" i="52069"/>
  <c r="C221" i="52069"/>
  <c r="C223" i="52069"/>
  <c r="C225" i="52069"/>
  <c r="C227" i="52069"/>
  <c r="C229" i="52069"/>
  <c r="C231" i="52069"/>
  <c r="C233" i="52069"/>
  <c r="C235" i="52069"/>
  <c r="C237" i="52069"/>
  <c r="C239" i="52069"/>
  <c r="C241" i="52069"/>
  <c r="C243" i="52069"/>
  <c r="C245" i="52069"/>
  <c r="C247" i="52069"/>
  <c r="C249" i="52069"/>
  <c r="C251" i="52069"/>
  <c r="C253" i="52069"/>
  <c r="C255" i="52069"/>
  <c r="K2420" i="52069"/>
  <c r="C269" i="52069"/>
  <c r="C271" i="52069"/>
  <c r="C273" i="52069"/>
  <c r="C275" i="52069"/>
  <c r="C277" i="52069"/>
  <c r="C279" i="52069"/>
  <c r="C281" i="52069"/>
  <c r="C283" i="52069"/>
  <c r="C285" i="52069"/>
  <c r="C287" i="52069"/>
  <c r="C289" i="52069"/>
  <c r="C291" i="52069"/>
  <c r="C293" i="52069"/>
  <c r="C295" i="52069"/>
  <c r="C297" i="52069"/>
  <c r="C299" i="52069"/>
  <c r="C301" i="52069"/>
  <c r="C303" i="52069"/>
  <c r="C305" i="52069"/>
  <c r="C307" i="52069"/>
  <c r="C309" i="52069"/>
  <c r="C311" i="52069"/>
  <c r="C313" i="52069"/>
  <c r="C315" i="52069"/>
  <c r="C317" i="52069"/>
  <c r="C319" i="52069"/>
  <c r="C321" i="52069"/>
  <c r="C323" i="52069"/>
  <c r="C325" i="52069"/>
  <c r="C327" i="52069"/>
  <c r="C329" i="52069"/>
  <c r="C331" i="52069"/>
  <c r="C333" i="52069"/>
  <c r="C335" i="52069"/>
  <c r="C337" i="52069"/>
  <c r="C339" i="52069"/>
  <c r="C341" i="52069"/>
  <c r="C343" i="52069"/>
  <c r="C345" i="52069"/>
  <c r="C347" i="52069"/>
  <c r="C349" i="52069"/>
  <c r="C351" i="52069"/>
  <c r="C353" i="52069"/>
  <c r="C355" i="52069"/>
  <c r="C357" i="52069"/>
  <c r="C359" i="52069"/>
  <c r="C361" i="52069"/>
  <c r="C363" i="52069"/>
  <c r="C365" i="52069"/>
  <c r="C367" i="52069"/>
  <c r="C369" i="52069"/>
  <c r="C371" i="52069"/>
  <c r="C373" i="52069"/>
  <c r="C375" i="52069"/>
  <c r="C377" i="52069"/>
  <c r="C379" i="52069"/>
  <c r="C381" i="52069"/>
  <c r="C383" i="52069"/>
  <c r="C385" i="52069"/>
  <c r="C387" i="52069"/>
  <c r="C389" i="52069"/>
  <c r="C391" i="52069"/>
  <c r="C393" i="52069"/>
  <c r="C395" i="52069"/>
  <c r="C397" i="52069"/>
  <c r="C399" i="52069"/>
  <c r="C401" i="52069"/>
  <c r="C403" i="52069"/>
  <c r="C405" i="52069"/>
  <c r="C407" i="52069"/>
  <c r="C409" i="52069"/>
  <c r="C411" i="52069"/>
  <c r="C413" i="52069"/>
  <c r="C415" i="52069"/>
  <c r="C417" i="52069"/>
  <c r="C419" i="52069"/>
  <c r="C421" i="52069"/>
  <c r="C423" i="52069"/>
  <c r="C425" i="52069"/>
  <c r="C427" i="52069"/>
  <c r="C429" i="52069"/>
  <c r="C431" i="52069"/>
  <c r="C433" i="52069"/>
  <c r="C435" i="52069"/>
  <c r="C437" i="52069"/>
  <c r="C439" i="52069"/>
  <c r="C441" i="52069"/>
  <c r="C443" i="52069"/>
  <c r="C445" i="52069"/>
  <c r="C447" i="52069"/>
  <c r="C449" i="52069"/>
  <c r="C451" i="52069"/>
  <c r="C453" i="52069"/>
  <c r="C455" i="52069"/>
  <c r="C457" i="52069"/>
  <c r="C459" i="52069"/>
  <c r="C461" i="52069"/>
  <c r="C463" i="52069"/>
  <c r="C465" i="52069"/>
  <c r="C467" i="52069"/>
  <c r="C469" i="52069"/>
  <c r="C471" i="52069"/>
  <c r="C473" i="52069"/>
  <c r="C475" i="52069"/>
  <c r="C477" i="52069"/>
  <c r="C479" i="52069"/>
  <c r="C481" i="52069"/>
  <c r="C483" i="52069"/>
  <c r="C485" i="52069"/>
  <c r="C487" i="52069"/>
  <c r="C489" i="52069"/>
  <c r="C491" i="52069"/>
  <c r="C709" i="52069"/>
  <c r="C711" i="52069"/>
  <c r="C713" i="52069"/>
  <c r="C715" i="52069"/>
  <c r="C717" i="52069"/>
  <c r="C719" i="52069"/>
  <c r="C721" i="52069"/>
  <c r="C723" i="52069"/>
  <c r="C725" i="52069"/>
  <c r="C727" i="52069"/>
  <c r="C729" i="52069"/>
  <c r="C731" i="52069"/>
  <c r="C733" i="52069"/>
  <c r="C735" i="52069"/>
  <c r="C737" i="52069"/>
  <c r="C739" i="52069"/>
  <c r="C741" i="52069"/>
  <c r="C743" i="52069"/>
  <c r="C745" i="52069"/>
  <c r="C747" i="52069"/>
  <c r="C749" i="52069"/>
  <c r="C751" i="52069"/>
  <c r="C753" i="52069"/>
  <c r="C755" i="52069"/>
  <c r="C757" i="52069"/>
  <c r="C759" i="52069"/>
  <c r="C761" i="52069"/>
  <c r="C763" i="52069"/>
  <c r="C765" i="52069"/>
  <c r="C767" i="52069"/>
  <c r="C769" i="52069"/>
  <c r="C771" i="52069"/>
  <c r="C773" i="52069"/>
  <c r="C775" i="52069"/>
  <c r="C777" i="52069"/>
  <c r="C779" i="52069"/>
  <c r="C781" i="52069"/>
  <c r="C1096" i="52069"/>
  <c r="C1098" i="52069"/>
  <c r="C1100" i="52069"/>
  <c r="C1102" i="52069"/>
  <c r="C1104" i="52069"/>
  <c r="C1106" i="52069"/>
  <c r="C1108" i="52069"/>
  <c r="C1110" i="52069"/>
  <c r="C1112" i="52069"/>
  <c r="C1114" i="52069"/>
  <c r="C1116" i="52069"/>
  <c r="C1118" i="52069"/>
  <c r="C1120" i="52069"/>
  <c r="C1122" i="52069"/>
  <c r="C1124" i="52069"/>
  <c r="C1126" i="52069"/>
  <c r="C1128" i="52069"/>
  <c r="C1130" i="52069"/>
  <c r="C1132" i="52069"/>
  <c r="C1134" i="52069"/>
  <c r="C1136" i="52069"/>
  <c r="C1138" i="52069"/>
  <c r="C1140" i="52069"/>
  <c r="C1142" i="52069"/>
  <c r="C1144" i="52069"/>
  <c r="C1146" i="52069"/>
  <c r="C1148" i="52069"/>
  <c r="C1150" i="52069"/>
  <c r="C1152" i="52069"/>
  <c r="C1154" i="52069"/>
  <c r="C1156" i="52069"/>
  <c r="C1158" i="52069"/>
  <c r="C1160" i="52069"/>
  <c r="C1162" i="52069"/>
  <c r="C1164" i="52069"/>
  <c r="C1166" i="52069"/>
  <c r="C1401" i="52069"/>
  <c r="C1403" i="52069"/>
  <c r="C1405" i="52069"/>
  <c r="C1407" i="52069"/>
  <c r="C1409" i="52069"/>
  <c r="C1411" i="52069"/>
  <c r="C1413" i="52069"/>
  <c r="C1415" i="52069"/>
  <c r="C1417" i="52069"/>
  <c r="C1419" i="52069"/>
  <c r="C1421" i="52069"/>
  <c r="C1423" i="52069"/>
  <c r="C1425" i="52069"/>
  <c r="C1427" i="52069"/>
  <c r="C1429" i="52069"/>
  <c r="C1431" i="52069"/>
  <c r="C1433" i="52069"/>
  <c r="C1435" i="52069"/>
  <c r="C1437" i="52069"/>
  <c r="C1439" i="52069"/>
  <c r="C1441" i="52069"/>
  <c r="C1443" i="52069"/>
  <c r="C1445" i="52069"/>
  <c r="C1447" i="52069"/>
  <c r="C1449" i="52069"/>
  <c r="C1451" i="52069"/>
  <c r="C1453" i="52069"/>
  <c r="C1455" i="52069"/>
  <c r="C1457" i="52069"/>
  <c r="C1459" i="52069"/>
  <c r="C1461" i="52069"/>
  <c r="C1463" i="52069"/>
  <c r="C1465" i="52069"/>
  <c r="C1467" i="52069"/>
  <c r="C1469" i="52069"/>
  <c r="C1471" i="52069"/>
  <c r="C1473" i="52069"/>
  <c r="C1475" i="52069"/>
  <c r="C1477" i="52069"/>
  <c r="C1479" i="52069"/>
  <c r="C1481" i="52069"/>
  <c r="C1483" i="52069"/>
  <c r="C1485" i="52069"/>
  <c r="C1487" i="52069"/>
  <c r="C1489" i="52069"/>
  <c r="C1491" i="52069"/>
  <c r="C1493" i="52069"/>
  <c r="C1495" i="52069"/>
  <c r="C1497" i="52069"/>
  <c r="C1499" i="52069"/>
  <c r="C1501" i="52069"/>
  <c r="C1503" i="52069"/>
  <c r="C1505" i="52069"/>
  <c r="C1507" i="52069"/>
  <c r="C1509" i="52069"/>
  <c r="C1511" i="52069"/>
  <c r="C1513" i="52069"/>
  <c r="C1515" i="52069"/>
  <c r="C1517" i="52069"/>
  <c r="C1519" i="52069"/>
  <c r="C1521" i="52069"/>
  <c r="C1523" i="52069"/>
  <c r="C1525" i="52069"/>
  <c r="C1527" i="52069"/>
  <c r="C1529" i="52069"/>
  <c r="C1531" i="52069"/>
  <c r="C1533" i="52069"/>
  <c r="C1535" i="52069"/>
  <c r="C1537" i="52069"/>
  <c r="C1539" i="52069"/>
  <c r="C1541" i="52069"/>
  <c r="C1543" i="52069"/>
  <c r="C1545" i="52069"/>
  <c r="C1547" i="52069"/>
  <c r="C1549" i="52069"/>
  <c r="C1551" i="52069"/>
  <c r="C1553" i="52069"/>
  <c r="C1555" i="52069"/>
  <c r="C1557" i="52069"/>
  <c r="C1559" i="52069"/>
  <c r="C1561" i="52069"/>
  <c r="C1563" i="52069"/>
  <c r="C1565" i="52069"/>
  <c r="C1567" i="52069"/>
  <c r="C1569" i="52069"/>
  <c r="C1571" i="52069"/>
  <c r="C1573" i="52069"/>
  <c r="C1575" i="52069"/>
  <c r="C1577" i="52069"/>
  <c r="C1651" i="52069"/>
  <c r="C1653" i="52069"/>
  <c r="C1655" i="52069"/>
  <c r="C1657" i="52069"/>
  <c r="C1659" i="52069"/>
  <c r="C1661" i="52069"/>
  <c r="C1663" i="52069"/>
  <c r="C1665" i="52069"/>
  <c r="C1667" i="52069"/>
  <c r="C1669" i="52069"/>
  <c r="C1671" i="52069"/>
  <c r="C1673" i="52069"/>
  <c r="C1675" i="52069"/>
  <c r="C1677" i="52069"/>
  <c r="C1679" i="52069"/>
  <c r="C1681" i="52069"/>
  <c r="C1683" i="52069"/>
  <c r="C1685" i="52069"/>
  <c r="C1687" i="52069"/>
  <c r="C1689" i="52069"/>
  <c r="C1691" i="52069"/>
  <c r="C1693" i="52069"/>
  <c r="C1695" i="52069"/>
  <c r="C1697" i="52069"/>
  <c r="C1699" i="52069"/>
  <c r="C1701" i="52069"/>
  <c r="C1703" i="52069"/>
  <c r="C1705" i="52069"/>
  <c r="C1707" i="52069"/>
  <c r="C1709" i="52069"/>
  <c r="C1711" i="52069"/>
  <c r="C1713" i="52069"/>
  <c r="C1715" i="52069"/>
  <c r="C1717" i="52069"/>
  <c r="C1719" i="52069"/>
  <c r="C1721" i="52069"/>
  <c r="L57" i="52097"/>
  <c r="F57" i="233" s="1"/>
  <c r="J44" i="52085" s="1"/>
  <c r="F57" i="52102"/>
  <c r="C1956" i="52069"/>
  <c r="C1958" i="52069"/>
  <c r="C1960" i="52069"/>
  <c r="C1962" i="52069"/>
  <c r="C1964" i="52069"/>
  <c r="C1966" i="52069"/>
  <c r="C1968" i="52069"/>
  <c r="C1970" i="52069"/>
  <c r="C1972" i="52069"/>
  <c r="C1974" i="52069"/>
  <c r="C1976" i="52069"/>
  <c r="C1978" i="52069"/>
  <c r="C1980" i="52069"/>
  <c r="C1982" i="52069"/>
  <c r="C1984" i="52069"/>
  <c r="C1986" i="52069"/>
  <c r="C1988" i="52069"/>
  <c r="C1990" i="52069"/>
  <c r="C1992" i="52069"/>
  <c r="C1994" i="52069"/>
  <c r="C1996" i="52069"/>
  <c r="C1998" i="52069"/>
  <c r="C2000" i="52069"/>
  <c r="C2002" i="52069"/>
  <c r="C2004" i="52069"/>
  <c r="C2006" i="52069"/>
  <c r="C2008" i="52069"/>
  <c r="C2010" i="52069"/>
  <c r="C2012" i="52069"/>
  <c r="C2014" i="52069"/>
  <c r="C2016" i="52069"/>
  <c r="C2018" i="52069"/>
  <c r="C2020" i="52069"/>
  <c r="C2022" i="52069"/>
  <c r="C2024" i="52069"/>
  <c r="C2026" i="52069"/>
  <c r="C2028" i="52069"/>
  <c r="C2030" i="52069"/>
  <c r="C2032" i="52069"/>
  <c r="C2034" i="52069"/>
  <c r="C2036" i="52069"/>
  <c r="C2038" i="52069"/>
  <c r="C2040" i="52069"/>
  <c r="C2042" i="52069"/>
  <c r="C2044" i="52069"/>
  <c r="C2046" i="52069"/>
  <c r="C2048" i="52069"/>
  <c r="C2050" i="52069"/>
  <c r="C2052" i="52069"/>
  <c r="C2054" i="52069"/>
  <c r="C2056" i="52069"/>
  <c r="C2058" i="52069"/>
  <c r="C2060" i="52069"/>
  <c r="C2062" i="52069"/>
  <c r="C2064" i="52069"/>
  <c r="C2066" i="52069"/>
  <c r="C2068" i="52069"/>
  <c r="C2070" i="52069"/>
  <c r="C2072" i="52069"/>
  <c r="C2074" i="52069"/>
  <c r="C2076" i="52069"/>
  <c r="C2078" i="52069"/>
  <c r="C2080" i="52069"/>
  <c r="C2082" i="52069"/>
  <c r="C2084" i="52069"/>
  <c r="C2086" i="52069"/>
  <c r="C2088" i="52069"/>
  <c r="C2090" i="52069"/>
  <c r="C2092" i="52069"/>
  <c r="C2094" i="52069"/>
  <c r="C2096" i="52069"/>
  <c r="C2098" i="52069"/>
  <c r="C2100" i="52069"/>
  <c r="C2102" i="52069"/>
  <c r="C2104" i="52069"/>
  <c r="C2106" i="52069"/>
  <c r="C2337" i="52069"/>
  <c r="C2339" i="52069"/>
  <c r="C2341" i="52069"/>
  <c r="C2343" i="52069"/>
  <c r="C2345" i="52069"/>
  <c r="C2347" i="52069"/>
  <c r="C2349" i="52069"/>
  <c r="C2351" i="52069"/>
  <c r="C2353" i="52069"/>
  <c r="C2355" i="52069"/>
  <c r="C2357" i="52069"/>
  <c r="C2359" i="52069"/>
  <c r="C2361" i="52069"/>
  <c r="C2363" i="52069"/>
  <c r="C2365" i="52069"/>
  <c r="C2367" i="52069"/>
  <c r="C2369" i="52069"/>
  <c r="C2371" i="52069"/>
  <c r="C2373" i="52069"/>
  <c r="C2375" i="52069"/>
  <c r="C2377" i="52069"/>
  <c r="C2379" i="52069"/>
  <c r="C2381" i="52069"/>
  <c r="C2383" i="52069"/>
  <c r="C2385" i="52069"/>
  <c r="C2387" i="52069"/>
  <c r="C2389" i="52069"/>
  <c r="C2391" i="52069"/>
  <c r="C2393" i="52069"/>
  <c r="C2395" i="52069"/>
  <c r="C2397" i="52069"/>
  <c r="C2399" i="52069"/>
  <c r="C2401" i="52069"/>
  <c r="C2403" i="52069"/>
  <c r="C2405" i="52069"/>
  <c r="C2407" i="52069"/>
  <c r="C2409" i="52069"/>
  <c r="C2411" i="52069"/>
  <c r="C2413" i="52069"/>
  <c r="C2415" i="52069"/>
  <c r="C2417" i="52069"/>
  <c r="C2419" i="52069"/>
  <c r="C2421" i="52069"/>
  <c r="C2423" i="52069"/>
  <c r="C2425" i="52069"/>
  <c r="C2427" i="52069"/>
  <c r="C2429" i="52069"/>
  <c r="C2431" i="52069"/>
  <c r="C2433" i="52069"/>
  <c r="C2435" i="52069"/>
  <c r="C2437" i="52069"/>
  <c r="C2439" i="52069"/>
  <c r="C2441" i="52069"/>
  <c r="C2443" i="52069"/>
  <c r="C2445" i="52069"/>
  <c r="C2447" i="52069"/>
  <c r="C2449" i="52069"/>
  <c r="C2451" i="52069"/>
  <c r="C2453" i="52069"/>
  <c r="C2455" i="52069"/>
  <c r="C2457" i="52069"/>
  <c r="C2459" i="52069"/>
  <c r="C2461" i="52069"/>
  <c r="C2463" i="52069"/>
  <c r="C2465" i="52069"/>
  <c r="C2467" i="52069"/>
  <c r="C2469" i="52069"/>
  <c r="C2471" i="52069"/>
  <c r="C2473" i="52069"/>
  <c r="C2475" i="52069"/>
  <c r="C2477" i="52069"/>
  <c r="C2479" i="52069"/>
  <c r="C2481" i="52069"/>
  <c r="C2483" i="52069"/>
  <c r="C2485" i="52069"/>
  <c r="C2487" i="52069"/>
  <c r="C2489" i="52069"/>
  <c r="C2491" i="52069"/>
  <c r="C2493" i="52069"/>
  <c r="C2495" i="52069"/>
  <c r="C2497" i="52069"/>
  <c r="C2499" i="52069"/>
  <c r="C2501" i="52069"/>
  <c r="C2503" i="52069"/>
  <c r="C2588" i="52069"/>
  <c r="C2590" i="52069"/>
  <c r="C2592" i="52069"/>
  <c r="C2594" i="52069"/>
  <c r="C2596" i="52069"/>
  <c r="C2598" i="52069"/>
  <c r="C2600" i="52069"/>
  <c r="C2602" i="52069"/>
  <c r="C2815" i="52069"/>
  <c r="C2817" i="52069"/>
  <c r="C2819" i="52069"/>
  <c r="C2821" i="52069"/>
  <c r="C2823" i="52069"/>
  <c r="C2825" i="52069"/>
  <c r="C2827" i="52069"/>
  <c r="C2829" i="52069"/>
  <c r="C2831" i="52069"/>
  <c r="C2833" i="52069"/>
  <c r="C2835" i="52069"/>
  <c r="C2837" i="52069"/>
  <c r="E212" i="52098"/>
  <c r="I212" i="52098" s="1"/>
  <c r="E38" i="52081"/>
  <c r="C3" i="2"/>
  <c r="C5" i="2"/>
  <c r="C7" i="2"/>
  <c r="C9" i="2"/>
  <c r="C11" i="2"/>
  <c r="C13" i="2"/>
  <c r="C15" i="2"/>
  <c r="C17" i="2"/>
  <c r="C19" i="2"/>
  <c r="C21" i="2"/>
  <c r="C23" i="2"/>
  <c r="C25" i="2"/>
  <c r="C27" i="2"/>
  <c r="C29" i="2"/>
  <c r="C31" i="2"/>
  <c r="C33" i="2"/>
  <c r="C35" i="2"/>
  <c r="C37" i="2"/>
  <c r="C39" i="2"/>
  <c r="C41" i="2"/>
  <c r="C43" i="2"/>
  <c r="C45" i="2"/>
  <c r="C47" i="2"/>
  <c r="C49" i="2"/>
  <c r="C51" i="2"/>
  <c r="C53" i="2"/>
  <c r="C55" i="2"/>
  <c r="C57" i="2"/>
  <c r="C59" i="2"/>
  <c r="C61" i="2"/>
  <c r="C63" i="2"/>
  <c r="C65" i="2"/>
  <c r="C67" i="2"/>
  <c r="C69" i="2"/>
  <c r="C71" i="2"/>
  <c r="C73" i="2"/>
  <c r="C75" i="2"/>
  <c r="C77" i="2"/>
  <c r="C79" i="2"/>
  <c r="C81" i="2"/>
  <c r="C83" i="2"/>
  <c r="C85" i="2"/>
  <c r="C87" i="2"/>
  <c r="C89" i="2"/>
  <c r="C91" i="2"/>
  <c r="C93" i="2"/>
  <c r="C95" i="2"/>
  <c r="C97" i="2"/>
  <c r="C99" i="2"/>
  <c r="C101" i="2"/>
  <c r="C103" i="2"/>
  <c r="C105" i="2"/>
  <c r="C107" i="2"/>
  <c r="C109" i="2"/>
  <c r="C111" i="2"/>
  <c r="C113" i="2"/>
  <c r="C115" i="2"/>
  <c r="C117" i="2"/>
  <c r="C119" i="2"/>
  <c r="C121" i="2"/>
  <c r="C123" i="2"/>
  <c r="C125" i="2"/>
  <c r="C127" i="2"/>
  <c r="C129" i="2"/>
  <c r="C131" i="2"/>
  <c r="C133" i="2"/>
  <c r="C135" i="2"/>
  <c r="C137" i="2"/>
  <c r="C139" i="2"/>
  <c r="C141" i="2"/>
  <c r="C143" i="2"/>
  <c r="C145" i="2"/>
  <c r="C147" i="2"/>
  <c r="C149" i="2"/>
  <c r="C151" i="2"/>
  <c r="C153" i="2"/>
  <c r="C155" i="2"/>
  <c r="C157" i="2"/>
  <c r="C159" i="2"/>
  <c r="C161" i="2"/>
  <c r="C163" i="2"/>
  <c r="C165" i="2"/>
  <c r="C167" i="2"/>
  <c r="C169" i="2"/>
  <c r="C171" i="2"/>
  <c r="C173" i="2"/>
  <c r="C175" i="2"/>
  <c r="C177" i="2"/>
  <c r="C179" i="2"/>
  <c r="C181" i="2"/>
  <c r="C183" i="2"/>
  <c r="C185" i="2"/>
  <c r="C187" i="2"/>
  <c r="C466" i="2"/>
  <c r="C468" i="2"/>
  <c r="C470" i="2"/>
  <c r="C472" i="2"/>
  <c r="C474" i="2"/>
  <c r="C476" i="2"/>
  <c r="C478" i="2"/>
  <c r="C480" i="2"/>
  <c r="C482" i="2"/>
  <c r="C484" i="2"/>
  <c r="C486" i="2"/>
  <c r="C488" i="2"/>
  <c r="C490" i="2"/>
  <c r="C492" i="2"/>
  <c r="C494" i="2"/>
  <c r="C496" i="2"/>
  <c r="C498" i="2"/>
  <c r="C500" i="2"/>
  <c r="C502" i="2"/>
  <c r="C504" i="2"/>
  <c r="C506" i="2"/>
  <c r="C508" i="2"/>
  <c r="C510" i="2"/>
  <c r="C512" i="2"/>
  <c r="C514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44" i="2"/>
  <c r="C546" i="2"/>
  <c r="C548" i="2"/>
  <c r="C550" i="2"/>
  <c r="C552" i="2"/>
  <c r="C554" i="2"/>
  <c r="C556" i="2"/>
  <c r="C558" i="2"/>
  <c r="C560" i="2"/>
  <c r="C562" i="2"/>
  <c r="C564" i="2"/>
  <c r="C566" i="2"/>
  <c r="C568" i="2"/>
  <c r="C570" i="2"/>
  <c r="C572" i="2"/>
  <c r="C574" i="2"/>
  <c r="C576" i="2"/>
  <c r="C578" i="2"/>
  <c r="C580" i="2"/>
  <c r="C582" i="2"/>
  <c r="C584" i="2"/>
  <c r="C586" i="2"/>
  <c r="C588" i="2"/>
  <c r="C590" i="2"/>
  <c r="C592" i="2"/>
  <c r="C594" i="2"/>
  <c r="C596" i="2"/>
  <c r="C598" i="2"/>
  <c r="C600" i="2"/>
  <c r="C602" i="2"/>
  <c r="C604" i="2"/>
  <c r="C606" i="2"/>
  <c r="C608" i="2"/>
  <c r="C610" i="2"/>
  <c r="C612" i="2"/>
  <c r="C614" i="2"/>
  <c r="C616" i="2"/>
  <c r="C618" i="2"/>
  <c r="C620" i="2"/>
  <c r="C622" i="2"/>
  <c r="C624" i="2"/>
  <c r="C626" i="2"/>
  <c r="C628" i="2"/>
  <c r="C630" i="2"/>
  <c r="C632" i="2"/>
  <c r="C634" i="2"/>
  <c r="C636" i="2"/>
  <c r="C638" i="2"/>
  <c r="C640" i="2"/>
  <c r="C642" i="2"/>
  <c r="C644" i="2"/>
  <c r="C646" i="2"/>
  <c r="C648" i="2"/>
  <c r="C650" i="2"/>
  <c r="C652" i="2"/>
  <c r="C654" i="2"/>
  <c r="C656" i="2"/>
  <c r="C658" i="2"/>
  <c r="C660" i="2"/>
  <c r="C662" i="2"/>
  <c r="C664" i="2"/>
  <c r="C666" i="2"/>
  <c r="C668" i="2"/>
  <c r="C670" i="2"/>
  <c r="C672" i="2"/>
  <c r="C674" i="2"/>
  <c r="C676" i="2"/>
  <c r="C678" i="2"/>
  <c r="C680" i="2"/>
  <c r="C682" i="2"/>
  <c r="C684" i="2"/>
  <c r="C686" i="2"/>
  <c r="C688" i="2"/>
  <c r="C690" i="2"/>
  <c r="C692" i="2"/>
  <c r="C694" i="2"/>
  <c r="C696" i="2"/>
  <c r="C698" i="2"/>
  <c r="C700" i="2"/>
  <c r="C702" i="2"/>
  <c r="C704" i="2"/>
  <c r="C706" i="2"/>
  <c r="C708" i="2"/>
  <c r="C710" i="2"/>
  <c r="C712" i="2"/>
  <c r="C714" i="2"/>
  <c r="C716" i="2"/>
  <c r="C718" i="2"/>
  <c r="C720" i="2"/>
  <c r="C722" i="2"/>
  <c r="C724" i="2"/>
  <c r="C726" i="2"/>
  <c r="C728" i="2"/>
  <c r="C730" i="2"/>
  <c r="C732" i="2"/>
  <c r="C734" i="2"/>
  <c r="C736" i="2"/>
  <c r="C738" i="2"/>
  <c r="C740" i="2"/>
  <c r="C742" i="2"/>
  <c r="C744" i="2"/>
  <c r="C746" i="2"/>
  <c r="C748" i="2"/>
  <c r="C750" i="2"/>
  <c r="C752" i="2"/>
  <c r="C754" i="2"/>
  <c r="C756" i="2"/>
  <c r="C758" i="2"/>
  <c r="C760" i="2"/>
  <c r="C762" i="2"/>
  <c r="C764" i="2"/>
  <c r="C766" i="2"/>
  <c r="C768" i="2"/>
  <c r="C770" i="2"/>
  <c r="C772" i="2"/>
  <c r="C774" i="2"/>
  <c r="C776" i="2"/>
  <c r="C778" i="2"/>
  <c r="C780" i="2"/>
  <c r="C782" i="2"/>
  <c r="C784" i="2"/>
  <c r="C786" i="2"/>
  <c r="C788" i="2"/>
  <c r="C790" i="2"/>
  <c r="C792" i="2"/>
  <c r="C794" i="2"/>
  <c r="C796" i="2"/>
  <c r="C798" i="2"/>
  <c r="C800" i="2"/>
  <c r="C802" i="2"/>
  <c r="C804" i="2"/>
  <c r="C806" i="2"/>
  <c r="C808" i="2"/>
  <c r="C810" i="2"/>
  <c r="C812" i="2"/>
  <c r="C814" i="2"/>
  <c r="C816" i="2"/>
  <c r="C818" i="2"/>
  <c r="C820" i="2"/>
  <c r="C945" i="2"/>
  <c r="C953" i="2"/>
  <c r="C955" i="2"/>
  <c r="C957" i="2"/>
  <c r="C961" i="2"/>
  <c r="C964" i="2"/>
  <c r="C966" i="2"/>
  <c r="C994" i="2"/>
  <c r="C996" i="2"/>
  <c r="C998" i="2"/>
  <c r="C1000" i="2"/>
  <c r="C1002" i="2"/>
  <c r="C1004" i="2"/>
  <c r="C1006" i="2"/>
  <c r="C1008" i="2"/>
  <c r="C1010" i="2"/>
  <c r="C1012" i="2"/>
  <c r="C1014" i="2"/>
  <c r="C1016" i="2"/>
  <c r="C1018" i="2"/>
  <c r="C1020" i="2"/>
  <c r="C1022" i="2"/>
  <c r="C1024" i="2"/>
  <c r="C1026" i="2"/>
  <c r="C1028" i="2"/>
  <c r="C1030" i="2"/>
  <c r="C1032" i="2"/>
  <c r="C1034" i="2"/>
  <c r="C1036" i="2"/>
  <c r="C1038" i="2"/>
  <c r="C1040" i="2"/>
  <c r="C1042" i="2"/>
  <c r="C1044" i="2"/>
  <c r="C1046" i="2"/>
  <c r="C1048" i="2"/>
  <c r="C1050" i="2"/>
  <c r="C1052" i="2"/>
  <c r="C1054" i="2"/>
  <c r="C1056" i="2"/>
  <c r="C1058" i="2"/>
  <c r="C1060" i="2"/>
  <c r="C1062" i="2"/>
  <c r="C1064" i="2"/>
  <c r="C1066" i="2"/>
  <c r="C1068" i="2"/>
  <c r="C1070" i="2"/>
  <c r="C1072" i="2"/>
  <c r="C1074" i="2"/>
  <c r="C1076" i="2"/>
  <c r="C1078" i="2"/>
  <c r="C1080" i="2"/>
  <c r="C1082" i="2"/>
  <c r="C1084" i="2"/>
  <c r="C1086" i="2"/>
  <c r="C1088" i="2"/>
  <c r="C1090" i="2"/>
  <c r="C1092" i="2"/>
  <c r="C1094" i="2"/>
  <c r="C1096" i="2"/>
  <c r="C1098" i="2"/>
  <c r="C1100" i="2"/>
  <c r="C1102" i="2"/>
  <c r="C1104" i="2"/>
  <c r="C1106" i="2"/>
  <c r="C1108" i="2"/>
  <c r="C1110" i="2"/>
  <c r="C1112" i="2"/>
  <c r="C1114" i="2"/>
  <c r="C1116" i="2"/>
  <c r="C1118" i="2"/>
  <c r="C1120" i="2"/>
  <c r="C1122" i="2"/>
  <c r="C1124" i="2"/>
  <c r="C1126" i="2"/>
  <c r="C1128" i="2"/>
  <c r="C1130" i="2"/>
  <c r="C1132" i="2"/>
  <c r="C1134" i="2"/>
  <c r="C1136" i="2"/>
  <c r="C1138" i="2"/>
  <c r="C1140" i="2"/>
  <c r="C1142" i="2"/>
  <c r="C1144" i="2"/>
  <c r="C1146" i="2"/>
  <c r="C1148" i="2"/>
  <c r="C1150" i="2"/>
  <c r="C1152" i="2"/>
  <c r="C1154" i="2"/>
  <c r="C1156" i="2"/>
  <c r="C1158" i="2"/>
  <c r="C1160" i="2"/>
  <c r="C1162" i="2"/>
  <c r="C1164" i="2"/>
  <c r="C1166" i="2"/>
  <c r="C1168" i="2"/>
  <c r="C1170" i="2"/>
  <c r="C1172" i="2"/>
  <c r="C1174" i="2"/>
  <c r="C1176" i="2"/>
  <c r="C1178" i="2"/>
  <c r="C1180" i="2"/>
  <c r="C1182" i="2"/>
  <c r="C1184" i="2"/>
  <c r="C1186" i="2"/>
  <c r="C1188" i="2"/>
  <c r="C1190" i="2"/>
  <c r="C1192" i="2"/>
  <c r="C1194" i="2"/>
  <c r="C1196" i="2"/>
  <c r="C1198" i="2"/>
  <c r="C1200" i="2"/>
  <c r="C1202" i="2"/>
  <c r="C1204" i="2"/>
  <c r="C1206" i="2"/>
  <c r="C1208" i="2"/>
  <c r="C1210" i="2"/>
  <c r="C1212" i="2"/>
  <c r="C1214" i="2"/>
  <c r="C1216" i="2"/>
  <c r="C1218" i="2"/>
  <c r="C1220" i="2"/>
  <c r="C1223" i="2"/>
  <c r="C1225" i="2"/>
  <c r="C1227" i="2"/>
  <c r="C1229" i="2"/>
  <c r="C1231" i="2"/>
  <c r="C1233" i="2"/>
  <c r="C1237" i="2"/>
  <c r="C1477" i="2"/>
  <c r="C1479" i="2"/>
  <c r="C1967" i="2"/>
  <c r="C1969" i="2"/>
  <c r="C1971" i="2"/>
  <c r="C1973" i="2"/>
  <c r="C1975" i="2"/>
  <c r="C1977" i="2"/>
  <c r="C1979" i="2"/>
  <c r="C1981" i="2"/>
  <c r="C1983" i="2"/>
  <c r="C1985" i="2"/>
  <c r="C1987" i="2"/>
  <c r="C1989" i="2"/>
  <c r="C1991" i="2"/>
  <c r="C1993" i="2"/>
  <c r="C1995" i="2"/>
  <c r="C1997" i="2"/>
  <c r="C1999" i="2"/>
  <c r="C2001" i="2"/>
  <c r="C2003" i="2"/>
  <c r="C2005" i="2"/>
  <c r="C2007" i="2"/>
  <c r="C2009" i="2"/>
  <c r="C2011" i="2"/>
  <c r="C2013" i="2"/>
  <c r="C2015" i="2"/>
  <c r="C2017" i="2"/>
  <c r="C2019" i="2"/>
  <c r="C2021" i="2"/>
  <c r="C2023" i="2"/>
  <c r="C2025" i="2"/>
  <c r="C2027" i="2"/>
  <c r="C2067" i="2"/>
  <c r="C2069" i="2"/>
  <c r="C2071" i="2"/>
  <c r="C2073" i="2"/>
  <c r="C2075" i="2"/>
  <c r="C2077" i="2"/>
  <c r="C2079" i="2"/>
  <c r="C2081" i="2"/>
  <c r="C2083" i="2"/>
  <c r="C2085" i="2"/>
  <c r="C2087" i="2"/>
  <c r="C2089" i="2"/>
  <c r="C2091" i="2"/>
  <c r="C2093" i="2"/>
  <c r="C2095" i="2"/>
  <c r="C2097" i="2"/>
  <c r="C2099" i="2"/>
  <c r="C2101" i="2"/>
  <c r="C2103" i="2"/>
  <c r="C2105" i="2"/>
  <c r="C2107" i="2"/>
  <c r="C2109" i="2"/>
  <c r="C2111" i="2"/>
  <c r="C2113" i="2"/>
  <c r="C2115" i="2"/>
  <c r="C2117" i="2"/>
  <c r="C2119" i="2"/>
  <c r="C2121" i="2"/>
  <c r="C2249" i="2"/>
  <c r="C2251" i="2"/>
  <c r="C2253" i="2"/>
  <c r="C2255" i="2"/>
  <c r="C2257" i="2"/>
  <c r="C2259" i="2"/>
  <c r="C2261" i="2"/>
  <c r="C2263" i="2"/>
  <c r="C2265" i="2"/>
  <c r="C2267" i="2"/>
  <c r="C2269" i="2"/>
  <c r="C2271" i="2"/>
  <c r="C2273" i="2"/>
  <c r="C2275" i="2"/>
  <c r="C2277" i="2"/>
  <c r="C2279" i="2"/>
  <c r="C2281" i="2"/>
  <c r="C2283" i="2"/>
  <c r="C2285" i="2"/>
  <c r="C2287" i="2"/>
  <c r="C2289" i="2"/>
  <c r="C2291" i="2"/>
  <c r="C2293" i="2"/>
  <c r="C2295" i="2"/>
  <c r="C2297" i="2"/>
  <c r="C2299" i="2"/>
  <c r="C2301" i="2"/>
  <c r="C2303" i="2"/>
  <c r="C2305" i="2"/>
  <c r="C2307" i="2"/>
  <c r="C2309" i="2"/>
  <c r="C2311" i="2"/>
  <c r="C2313" i="2"/>
  <c r="C2315" i="2"/>
  <c r="C2317" i="2"/>
  <c r="C2319" i="2"/>
  <c r="C2321" i="2"/>
  <c r="C2323" i="2"/>
  <c r="C2325" i="2"/>
  <c r="C2327" i="2"/>
  <c r="C2329" i="2"/>
  <c r="C2331" i="2"/>
  <c r="C2333" i="2"/>
  <c r="C2335" i="2"/>
  <c r="C2337" i="2"/>
  <c r="C2339" i="2"/>
  <c r="C2341" i="2"/>
  <c r="C2343" i="2"/>
  <c r="C2345" i="2"/>
  <c r="C2347" i="2"/>
  <c r="C2349" i="2"/>
  <c r="C2351" i="2"/>
  <c r="C2353" i="2"/>
  <c r="C2355" i="2"/>
  <c r="C2357" i="2"/>
  <c r="C2359" i="2"/>
  <c r="C2361" i="2"/>
  <c r="C2363" i="2"/>
  <c r="C2365" i="2"/>
  <c r="L8" i="52104"/>
  <c r="L10" i="52104"/>
  <c r="L12" i="52104"/>
  <c r="L14" i="52104"/>
  <c r="L16" i="52104"/>
  <c r="L18" i="52104"/>
  <c r="F30" i="52082"/>
  <c r="F44" i="52082" s="1"/>
  <c r="E28" i="52096"/>
  <c r="C19" i="52096"/>
  <c r="G151" i="9"/>
  <c r="D79" i="52077"/>
  <c r="G79" i="52104"/>
  <c r="K79" i="52104" s="1"/>
  <c r="L61" i="52077"/>
  <c r="L9" i="52104"/>
  <c r="L11" i="52104"/>
  <c r="L13" i="52104"/>
  <c r="L15" i="52104"/>
  <c r="L17" i="52104"/>
  <c r="D43" i="52096"/>
  <c r="D45" i="52096" s="1"/>
  <c r="D47" i="52096" s="1"/>
  <c r="E7" i="52096"/>
  <c r="C28" i="52096"/>
  <c r="C45" i="52096" s="1"/>
  <c r="F65" i="9"/>
  <c r="B65" i="233"/>
  <c r="D119" i="233"/>
  <c r="Q119" i="111"/>
  <c r="K60" i="52074"/>
  <c r="K204" i="52074"/>
  <c r="K208" i="52074" s="1"/>
  <c r="F119" i="9"/>
  <c r="B119" i="233"/>
  <c r="D8" i="233"/>
  <c r="M89" i="52104"/>
  <c r="F32" i="52082"/>
  <c r="F33" i="52082" s="1"/>
  <c r="F46" i="52082"/>
  <c r="F47" i="52082" s="1"/>
  <c r="F51" i="52082"/>
  <c r="K51" i="52097"/>
  <c r="K233" i="52097" s="1"/>
  <c r="K46" i="52097"/>
  <c r="K47" i="52097" s="1"/>
  <c r="U236" i="111"/>
  <c r="U60" i="111"/>
  <c r="U235" i="111" s="1"/>
  <c r="I79" i="233"/>
  <c r="D79" i="233"/>
  <c r="Q79" i="111"/>
  <c r="H79" i="233" s="1"/>
  <c r="L167" i="52103"/>
  <c r="L240" i="52103" s="1"/>
  <c r="L167" i="52102"/>
  <c r="L241" i="52102" s="1"/>
  <c r="G30" i="110"/>
  <c r="K116" i="52097"/>
  <c r="K239" i="52097" s="1"/>
  <c r="O109" i="52097"/>
  <c r="L200" i="52104"/>
  <c r="F214" i="52103"/>
  <c r="F247" i="52103" s="1"/>
  <c r="L89" i="52077"/>
  <c r="H89" i="52083"/>
  <c r="C108" i="233"/>
  <c r="N108" i="52097"/>
  <c r="Q201" i="111"/>
  <c r="F154" i="52082"/>
  <c r="F241" i="52082" s="1"/>
  <c r="I120" i="52083"/>
  <c r="L201" i="233"/>
  <c r="O67" i="52097"/>
  <c r="H190" i="52098"/>
  <c r="H194" i="52098"/>
  <c r="H198" i="52098"/>
  <c r="D30" i="52098"/>
  <c r="D44" i="52098" s="1"/>
  <c r="D200" i="52098"/>
  <c r="G30" i="52098"/>
  <c r="G44" i="52098" s="1"/>
  <c r="G42" i="9"/>
  <c r="B42" i="233" s="1"/>
  <c r="G57" i="9"/>
  <c r="B57" i="233" s="1"/>
  <c r="G197" i="9"/>
  <c r="O25" i="52097"/>
  <c r="O27" i="52097"/>
  <c r="O40" i="52097"/>
  <c r="O42" i="52097"/>
  <c r="L124" i="233"/>
  <c r="G213" i="9"/>
  <c r="L188" i="233"/>
  <c r="L192" i="233"/>
  <c r="L196" i="233"/>
  <c r="O179" i="52097"/>
  <c r="H132" i="52098"/>
  <c r="J89" i="111"/>
  <c r="R89" i="111" s="1"/>
  <c r="F182" i="110"/>
  <c r="Q113" i="52097"/>
  <c r="C113" i="233"/>
  <c r="L116" i="52103"/>
  <c r="L237" i="52103" s="1"/>
  <c r="L21" i="52102"/>
  <c r="L51" i="52102" s="1"/>
  <c r="N201" i="52097"/>
  <c r="L129" i="52102"/>
  <c r="L239" i="52102" s="1"/>
  <c r="J113" i="52082"/>
  <c r="L113" i="52082" s="1"/>
  <c r="L153" i="52103"/>
  <c r="L239" i="52103" s="1"/>
  <c r="L21" i="52103"/>
  <c r="L51" i="52103" s="1"/>
  <c r="L231" i="52103" s="1"/>
  <c r="L200" i="52103"/>
  <c r="L129" i="52103"/>
  <c r="L238" i="52103" s="1"/>
  <c r="M65" i="52103"/>
  <c r="L153" i="52102"/>
  <c r="L240" i="52102" s="1"/>
  <c r="M181" i="52104"/>
  <c r="L70" i="52104"/>
  <c r="I8" i="233"/>
  <c r="I131" i="233"/>
  <c r="K62" i="52097"/>
  <c r="K236" i="52097" s="1"/>
  <c r="M89" i="52102"/>
  <c r="Q8" i="111"/>
  <c r="L234" i="52075"/>
  <c r="D30" i="52103"/>
  <c r="O60" i="110"/>
  <c r="J60" i="110" s="1"/>
  <c r="J235" i="110" s="1"/>
  <c r="R120" i="111"/>
  <c r="K245" i="52074"/>
  <c r="D108" i="233"/>
  <c r="Q108" i="111"/>
  <c r="I89" i="52083"/>
  <c r="F42" i="20"/>
  <c r="C49" i="233"/>
  <c r="C67" i="233"/>
  <c r="N67" i="52097"/>
  <c r="C70" i="52083"/>
  <c r="J189" i="52082"/>
  <c r="J201" i="52082" s="1"/>
  <c r="F201" i="52082"/>
  <c r="F243" i="52082" s="1"/>
  <c r="I212" i="52083"/>
  <c r="K212" i="52083" s="1"/>
  <c r="K185" i="52097"/>
  <c r="K243" i="52097" s="1"/>
  <c r="J121" i="52082"/>
  <c r="J97" i="52082"/>
  <c r="J70" i="52097"/>
  <c r="I215" i="110"/>
  <c r="I249" i="110" s="1"/>
  <c r="J65" i="111"/>
  <c r="L113" i="110"/>
  <c r="L242" i="52083"/>
  <c r="V38" i="111"/>
  <c r="C40" i="233"/>
  <c r="N40" i="52097"/>
  <c r="H105" i="52083"/>
  <c r="H109" i="52083"/>
  <c r="B30" i="52098"/>
  <c r="C30" i="52098"/>
  <c r="C44" i="52098" s="1"/>
  <c r="C200" i="52098"/>
  <c r="G25" i="9"/>
  <c r="G40" i="9"/>
  <c r="B40" i="233" s="1"/>
  <c r="G159" i="9"/>
  <c r="G196" i="9"/>
  <c r="O38" i="52097"/>
  <c r="O56" i="52097"/>
  <c r="J79" i="110"/>
  <c r="H79" i="52082"/>
  <c r="L79" i="52082" s="1"/>
  <c r="B182" i="110"/>
  <c r="L101" i="233"/>
  <c r="L181" i="233"/>
  <c r="L86" i="233"/>
  <c r="K167" i="52077"/>
  <c r="K240" i="52077" s="1"/>
  <c r="L112" i="233"/>
  <c r="L127" i="233"/>
  <c r="L166" i="233"/>
  <c r="Q40" i="111"/>
  <c r="L108" i="233"/>
  <c r="L126" i="233"/>
  <c r="L74" i="233"/>
  <c r="K214" i="52074"/>
  <c r="K247" i="52074" s="1"/>
  <c r="J179" i="52082"/>
  <c r="L179" i="52082" s="1"/>
  <c r="H15" i="52098"/>
  <c r="G122" i="9"/>
  <c r="I8" i="52083"/>
  <c r="K8" i="52083" s="1"/>
  <c r="H131" i="52083"/>
  <c r="H111" i="52083"/>
  <c r="G89" i="110"/>
  <c r="L89" i="110" s="1"/>
  <c r="E38" i="52077"/>
  <c r="D32" i="52084"/>
  <c r="D33" i="52084" s="1"/>
  <c r="L208" i="52075"/>
  <c r="L216" i="52075" s="1"/>
  <c r="L245" i="52075"/>
  <c r="J213" i="114"/>
  <c r="L213" i="114" s="1"/>
  <c r="C212" i="52075"/>
  <c r="B213" i="111"/>
  <c r="B127" i="111"/>
  <c r="C127" i="52075"/>
  <c r="D251" i="115"/>
  <c r="D5" i="115"/>
  <c r="D251" i="12"/>
  <c r="D251" i="52089"/>
  <c r="K232" i="52076"/>
  <c r="K60" i="52076"/>
  <c r="L60" i="52103"/>
  <c r="D32" i="52103"/>
  <c r="D33" i="52103" s="1"/>
  <c r="D251" i="91"/>
  <c r="D127" i="52103"/>
  <c r="D129" i="52103" s="1"/>
  <c r="D238" i="52103" s="1"/>
  <c r="G129" i="52081"/>
  <c r="D127" i="52084"/>
  <c r="D129" i="52084" s="1"/>
  <c r="D238" i="52084" s="1"/>
  <c r="G127" i="110"/>
  <c r="G129" i="110" s="1"/>
  <c r="G240" i="110" s="1"/>
  <c r="C24" i="52075"/>
  <c r="C30" i="52075" s="1"/>
  <c r="C32" i="52075" s="1"/>
  <c r="C33" i="52075" s="1"/>
  <c r="G238" i="52099"/>
  <c r="J238" i="52099" s="1"/>
  <c r="H103" i="52099"/>
  <c r="C249" i="21"/>
  <c r="C249" i="148"/>
  <c r="M89" i="52103"/>
  <c r="K53" i="52097"/>
  <c r="K54" i="52097" s="1"/>
  <c r="G203" i="52099"/>
  <c r="H129" i="52099"/>
  <c r="K129" i="52097"/>
  <c r="F119" i="52082"/>
  <c r="J119" i="52082" s="1"/>
  <c r="L214" i="52103"/>
  <c r="L70" i="52102"/>
  <c r="L103" i="52102" s="1"/>
  <c r="L237" i="52102" s="1"/>
  <c r="L153" i="52104"/>
  <c r="L239" i="52104" s="1"/>
  <c r="L129" i="52104"/>
  <c r="L238" i="52104" s="1"/>
  <c r="F214" i="52102"/>
  <c r="F248" i="52102" s="1"/>
  <c r="F62" i="52082"/>
  <c r="F236" i="52082" s="1"/>
  <c r="G113" i="93"/>
  <c r="D205" i="52081"/>
  <c r="Q121" i="52097"/>
  <c r="N121" i="52097"/>
  <c r="L184" i="52103"/>
  <c r="L241" i="52103" s="1"/>
  <c r="L200" i="52102"/>
  <c r="L242" i="52102" s="1"/>
  <c r="L184" i="52102"/>
  <c r="L247" i="52104"/>
  <c r="L184" i="52104"/>
  <c r="L167" i="52104"/>
  <c r="L240" i="52104" s="1"/>
  <c r="L116" i="52104"/>
  <c r="L237" i="52104" s="1"/>
  <c r="L103" i="52104"/>
  <c r="L236" i="52104" s="1"/>
  <c r="K233" i="52074"/>
  <c r="D223" i="52081"/>
  <c r="G253" i="52091"/>
  <c r="G213" i="52091" s="1"/>
  <c r="C249" i="114"/>
  <c r="C249" i="52081"/>
  <c r="K145" i="52097"/>
  <c r="J145" i="52099"/>
  <c r="H120" i="52083"/>
  <c r="J213" i="52097"/>
  <c r="O213" i="52097" s="1"/>
  <c r="F95" i="52082"/>
  <c r="F103" i="52082" s="1"/>
  <c r="F238" i="52082" s="1"/>
  <c r="K95" i="52097"/>
  <c r="K103" i="52097" s="1"/>
  <c r="K238" i="52097" s="1"/>
  <c r="E84" i="52087"/>
  <c r="E73" i="52087"/>
  <c r="E67" i="52087"/>
  <c r="E68" i="52087"/>
  <c r="E105" i="52087"/>
  <c r="E42" i="52087"/>
  <c r="E41" i="52067"/>
  <c r="E161" i="52088"/>
  <c r="E35" i="52088"/>
  <c r="E109" i="52088"/>
  <c r="E64" i="52071"/>
  <c r="E119" i="52071"/>
  <c r="E156" i="52067"/>
  <c r="E145" i="52071"/>
  <c r="E127" i="115"/>
  <c r="E179" i="115"/>
  <c r="E39" i="115"/>
  <c r="E99" i="52067"/>
  <c r="E150" i="52067"/>
  <c r="E131" i="52071"/>
  <c r="E165" i="115"/>
  <c r="E143" i="52071"/>
  <c r="E99" i="52088"/>
  <c r="E120" i="52067"/>
  <c r="E112" i="52071"/>
  <c r="E118" i="115"/>
  <c r="E132" i="115"/>
  <c r="E113" i="52071"/>
  <c r="E141" i="52071"/>
  <c r="E145" i="115"/>
  <c r="E138" i="52088"/>
  <c r="E180" i="52088"/>
  <c r="E165" i="52067"/>
  <c r="E118" i="52071"/>
  <c r="E165" i="52071"/>
  <c r="E132" i="52071"/>
  <c r="E134" i="52071"/>
  <c r="E148" i="52071"/>
  <c r="E148" i="115"/>
  <c r="E180" i="115"/>
  <c r="E158" i="52087"/>
  <c r="E179" i="77"/>
  <c r="E143" i="52087"/>
  <c r="E118" i="52087"/>
  <c r="E118" i="52067"/>
  <c r="E152" i="52087"/>
  <c r="E158" i="52067"/>
  <c r="E100" i="52071"/>
  <c r="E85" i="52071"/>
  <c r="E72" i="52088"/>
  <c r="I72" i="52088" s="1"/>
  <c r="E88" i="52088"/>
  <c r="E86" i="52067"/>
  <c r="E85" i="115"/>
  <c r="E28" i="52071"/>
  <c r="E36" i="52071"/>
  <c r="E67" i="115"/>
  <c r="E78" i="52071"/>
  <c r="E80" i="52088"/>
  <c r="E91" i="52088"/>
  <c r="E73" i="52071"/>
  <c r="E41" i="115"/>
  <c r="E109" i="115"/>
  <c r="E88" i="52071"/>
  <c r="E27" i="52087"/>
  <c r="E77" i="52087"/>
  <c r="E91" i="52087"/>
  <c r="E64" i="52087"/>
  <c r="E79" i="52087"/>
  <c r="E86" i="52087"/>
  <c r="E24" i="52067"/>
  <c r="E28" i="52087"/>
  <c r="E72" i="52087"/>
  <c r="E88" i="52087"/>
  <c r="E36" i="52067"/>
  <c r="E77" i="52067"/>
  <c r="E85" i="52067"/>
  <c r="E95" i="52067"/>
  <c r="E96" i="52088"/>
  <c r="E79" i="52088"/>
  <c r="I79" i="52088" s="1"/>
  <c r="E73" i="52088"/>
  <c r="E27" i="52088"/>
  <c r="E111" i="52088"/>
  <c r="E80" i="52087"/>
  <c r="E161" i="52067"/>
  <c r="E67" i="52067"/>
  <c r="E85" i="52088"/>
  <c r="E121" i="52067"/>
  <c r="E127" i="52071"/>
  <c r="E138" i="52071"/>
  <c r="E112" i="115"/>
  <c r="E142" i="115"/>
  <c r="E119" i="52087"/>
  <c r="E131" i="52088"/>
  <c r="E162" i="52088"/>
  <c r="E162" i="52067"/>
  <c r="E120" i="115"/>
  <c r="E134" i="115"/>
  <c r="E156" i="115"/>
  <c r="E122" i="115"/>
  <c r="E120" i="52087"/>
  <c r="E112" i="52088"/>
  <c r="E143" i="52088"/>
  <c r="E127" i="52067"/>
  <c r="E160" i="52067"/>
  <c r="E146" i="52071"/>
  <c r="E113" i="115"/>
  <c r="E118" i="52088"/>
  <c r="E141" i="52088"/>
  <c r="E156" i="52088"/>
  <c r="E113" i="52087"/>
  <c r="E162" i="77"/>
  <c r="E127" i="52087"/>
  <c r="E127" i="52088"/>
  <c r="E131" i="52087"/>
  <c r="E179" i="52087"/>
  <c r="E113" i="52067"/>
  <c r="E152" i="52088"/>
  <c r="E122" i="52067"/>
  <c r="E119" i="52088"/>
  <c r="E121" i="52088"/>
  <c r="E145" i="52088"/>
  <c r="E158" i="52088"/>
  <c r="E120" i="52071"/>
  <c r="E106" i="52071"/>
  <c r="E66" i="52088"/>
  <c r="E84" i="52088"/>
  <c r="E82" i="52067"/>
  <c r="E91" i="52071"/>
  <c r="E106" i="115"/>
  <c r="E86" i="52071"/>
  <c r="E84" i="115"/>
  <c r="E105" i="52071"/>
  <c r="E74" i="52088"/>
  <c r="E86" i="52088"/>
  <c r="E105" i="52088"/>
  <c r="E78" i="115"/>
  <c r="E66" i="52071"/>
  <c r="E25" i="115"/>
  <c r="E95" i="52088"/>
  <c r="E73" i="115"/>
  <c r="E24" i="115"/>
  <c r="E88" i="115"/>
  <c r="E82" i="52071"/>
  <c r="E64" i="52088"/>
  <c r="E66" i="52067"/>
  <c r="E84" i="52067"/>
  <c r="E84" i="52071"/>
  <c r="E114" i="115"/>
  <c r="E41" i="52071"/>
  <c r="E95" i="115"/>
  <c r="E177" i="52067"/>
  <c r="E90" i="115"/>
  <c r="E133" i="52088"/>
  <c r="E135" i="52067"/>
  <c r="E140" i="52067"/>
  <c r="E93" i="52087"/>
  <c r="E94" i="52067"/>
  <c r="E25" i="52087"/>
  <c r="E42" i="52088"/>
  <c r="E68" i="52071"/>
  <c r="E77" i="115"/>
  <c r="E67" i="52071"/>
  <c r="E24" i="52088"/>
  <c r="E109" i="52071"/>
  <c r="E82" i="115"/>
  <c r="E161" i="115"/>
  <c r="E161" i="52071"/>
  <c r="E86" i="115"/>
  <c r="E83" i="115"/>
  <c r="E125" i="52087"/>
  <c r="E114" i="52067"/>
  <c r="E97" i="52087"/>
  <c r="E93" i="52067"/>
  <c r="E114" i="52071"/>
  <c r="E106" i="52087"/>
  <c r="E66" i="52087"/>
  <c r="E90" i="52087"/>
  <c r="E24" i="52087"/>
  <c r="E135" i="52087"/>
  <c r="E68" i="52067"/>
  <c r="E35" i="52087"/>
  <c r="E85" i="52087"/>
  <c r="E95" i="52087"/>
  <c r="E73" i="52067"/>
  <c r="E26" i="52087"/>
  <c r="D245" i="108"/>
  <c r="H182" i="110"/>
  <c r="H207" i="52091"/>
  <c r="C121" i="52076"/>
  <c r="J121" i="52092"/>
  <c r="E51" i="52100"/>
  <c r="L77" i="233"/>
  <c r="H132" i="52083"/>
  <c r="H105" i="52098"/>
  <c r="H121" i="52083"/>
  <c r="L114" i="233"/>
  <c r="J168" i="9"/>
  <c r="L146" i="233"/>
  <c r="K153" i="52077"/>
  <c r="L96" i="233"/>
  <c r="L176" i="233"/>
  <c r="L180" i="233"/>
  <c r="L64" i="233"/>
  <c r="K70" i="52076"/>
  <c r="K103" i="52076" s="1"/>
  <c r="L153" i="52083"/>
  <c r="D65" i="52084"/>
  <c r="L78" i="233"/>
  <c r="G15" i="9"/>
  <c r="G111" i="9"/>
  <c r="G21" i="110"/>
  <c r="G179" i="9"/>
  <c r="H112" i="52083"/>
  <c r="G123" i="9"/>
  <c r="E38" i="52098"/>
  <c r="H30" i="52083"/>
  <c r="H44" i="52083" s="1"/>
  <c r="F38" i="52104"/>
  <c r="H200" i="52083"/>
  <c r="L178" i="233"/>
  <c r="H178" i="52083"/>
  <c r="J182" i="111"/>
  <c r="N14" i="52085"/>
  <c r="N37" i="52085"/>
  <c r="N17" i="52085"/>
  <c r="N39" i="52085"/>
  <c r="N12" i="52085"/>
  <c r="B200" i="52098"/>
  <c r="H200" i="52098" s="1"/>
  <c r="G157" i="9"/>
  <c r="G189" i="9"/>
  <c r="O23" i="52097"/>
  <c r="O29" i="52097"/>
  <c r="O37" i="52097"/>
  <c r="O39" i="52097"/>
  <c r="J255" i="52082"/>
  <c r="R154" i="52097"/>
  <c r="L21" i="52104"/>
  <c r="L51" i="52104" s="1"/>
  <c r="I253" i="52103"/>
  <c r="H178" i="52077"/>
  <c r="G179" i="52080"/>
  <c r="C201" i="233"/>
  <c r="L60" i="52102"/>
  <c r="L232" i="52102"/>
  <c r="K240" i="52097"/>
  <c r="C119" i="233"/>
  <c r="N119" i="52097"/>
  <c r="L247" i="52103"/>
  <c r="Q120" i="111"/>
  <c r="D120" i="233"/>
  <c r="C89" i="233"/>
  <c r="N89" i="52097"/>
  <c r="L202" i="52104"/>
  <c r="F239" i="52082"/>
  <c r="L249" i="52075"/>
  <c r="N113" i="52097"/>
  <c r="C118" i="233"/>
  <c r="L116" i="52102"/>
  <c r="L238" i="52102" s="1"/>
  <c r="L70" i="52103"/>
  <c r="L103" i="52103" s="1"/>
  <c r="C120" i="233"/>
  <c r="L65" i="52077"/>
  <c r="K79" i="52102"/>
  <c r="K234" i="52077"/>
  <c r="K60" i="52077"/>
  <c r="N51" i="52104"/>
  <c r="B231" i="52104"/>
  <c r="K202" i="52084"/>
  <c r="K237" i="52084"/>
  <c r="H97" i="52083"/>
  <c r="L121" i="52082"/>
  <c r="C158" i="233"/>
  <c r="N158" i="52097"/>
  <c r="C132" i="233"/>
  <c r="J65" i="52082"/>
  <c r="F213" i="233"/>
  <c r="L215" i="52097"/>
  <c r="H79" i="52083"/>
  <c r="I110" i="52083"/>
  <c r="I125" i="20"/>
  <c r="N8" i="233"/>
  <c r="D236" i="21" l="1"/>
  <c r="D205" i="21"/>
  <c r="J62" i="9"/>
  <c r="D245" i="21"/>
  <c r="D223" i="21"/>
  <c r="D222" i="21"/>
  <c r="D254" i="21" s="1"/>
  <c r="E249" i="21"/>
  <c r="E214" i="52098"/>
  <c r="E248" i="52098" s="1"/>
  <c r="D209" i="105"/>
  <c r="D217" i="105" s="1"/>
  <c r="D251" i="105" s="1"/>
  <c r="D247" i="105"/>
  <c r="D223" i="52099"/>
  <c r="D222" i="52099"/>
  <c r="D254" i="52099" s="1"/>
  <c r="D245" i="52099"/>
  <c r="R233" i="52097"/>
  <c r="L233" i="233" s="1"/>
  <c r="L51" i="233"/>
  <c r="D245" i="52064"/>
  <c r="D205" i="52064"/>
  <c r="D222" i="52064"/>
  <c r="D254" i="52064" s="1"/>
  <c r="D223" i="52064"/>
  <c r="D222" i="52093"/>
  <c r="D254" i="52093" s="1"/>
  <c r="D245" i="52093"/>
  <c r="D223" i="52093"/>
  <c r="D205" i="52093"/>
  <c r="U203" i="111"/>
  <c r="O223" i="110"/>
  <c r="L241" i="52104"/>
  <c r="D236" i="108"/>
  <c r="L62" i="52083"/>
  <c r="R62" i="52097"/>
  <c r="D205" i="108"/>
  <c r="D222" i="52088"/>
  <c r="D254" i="52088" s="1"/>
  <c r="D245" i="52088"/>
  <c r="D223" i="52088"/>
  <c r="D222" i="105"/>
  <c r="D254" i="105" s="1"/>
  <c r="D223" i="105"/>
  <c r="D245" i="105"/>
  <c r="J238" i="9"/>
  <c r="L238" i="233" s="1"/>
  <c r="L103" i="233"/>
  <c r="D205" i="52088"/>
  <c r="D205" i="52099"/>
  <c r="D236" i="52099"/>
  <c r="D222" i="52079"/>
  <c r="D254" i="52079" s="1"/>
  <c r="D245" i="52079"/>
  <c r="D223" i="52079"/>
  <c r="D118" i="233"/>
  <c r="Q118" i="111"/>
  <c r="Q121" i="111"/>
  <c r="D121" i="233"/>
  <c r="I151" i="233"/>
  <c r="F151" i="9"/>
  <c r="H151" i="233" s="1"/>
  <c r="B151" i="233"/>
  <c r="E45" i="52096"/>
  <c r="E47" i="52096" s="1"/>
  <c r="C132" i="52067"/>
  <c r="F132" i="52067" s="1"/>
  <c r="C148" i="52067"/>
  <c r="F148" i="52067" s="1"/>
  <c r="C165" i="52067"/>
  <c r="F165" i="52067" s="1"/>
  <c r="C105" i="105"/>
  <c r="C113" i="105"/>
  <c r="C143" i="105"/>
  <c r="F143" i="105" s="1"/>
  <c r="C25" i="52087"/>
  <c r="C132" i="52087"/>
  <c r="F132" i="52087" s="1"/>
  <c r="J132" i="52087" s="1"/>
  <c r="C36" i="52088"/>
  <c r="C143" i="52088"/>
  <c r="F143" i="52088" s="1"/>
  <c r="C152" i="52088"/>
  <c r="F152" i="52088" s="1"/>
  <c r="C127" i="101"/>
  <c r="F127" i="101" s="1"/>
  <c r="C27" i="52067"/>
  <c r="C118" i="52067"/>
  <c r="C122" i="52067"/>
  <c r="F122" i="52067" s="1"/>
  <c r="C158" i="52071"/>
  <c r="F158" i="52071" s="1"/>
  <c r="J158" i="52071" s="1"/>
  <c r="C64" i="52088"/>
  <c r="C72" i="52088"/>
  <c r="F72" i="52088" s="1"/>
  <c r="C84" i="52088"/>
  <c r="F84" i="52088" s="1"/>
  <c r="C162" i="52088"/>
  <c r="F162" i="52088" s="1"/>
  <c r="C100" i="101"/>
  <c r="F100" i="101" s="1"/>
  <c r="C36" i="52067"/>
  <c r="C66" i="52067"/>
  <c r="F66" i="52067" s="1"/>
  <c r="C73" i="52067"/>
  <c r="C83" i="52067"/>
  <c r="F83" i="52067" s="1"/>
  <c r="C90" i="52067"/>
  <c r="F90" i="52067" s="1"/>
  <c r="C96" i="52067"/>
  <c r="F96" i="52067" s="1"/>
  <c r="J96" i="52067" s="1"/>
  <c r="C156" i="52067"/>
  <c r="C178" i="52067"/>
  <c r="F178" i="52067" s="1"/>
  <c r="C109" i="52071"/>
  <c r="F109" i="52071" s="1"/>
  <c r="J109" i="52071" s="1"/>
  <c r="C131" i="52071"/>
  <c r="C109" i="114"/>
  <c r="F109" i="114" s="1"/>
  <c r="C143" i="114"/>
  <c r="C152" i="114"/>
  <c r="F152" i="114" s="1"/>
  <c r="C97" i="115"/>
  <c r="C73" i="105"/>
  <c r="F73" i="105" s="1"/>
  <c r="C90" i="105"/>
  <c r="F90" i="105" s="1"/>
  <c r="C158" i="105"/>
  <c r="F158" i="105" s="1"/>
  <c r="C77" i="52087"/>
  <c r="F77" i="52087" s="1"/>
  <c r="C163" i="105"/>
  <c r="F163" i="105" s="1"/>
  <c r="C112" i="52087"/>
  <c r="C100" i="52088"/>
  <c r="F100" i="52088" s="1"/>
  <c r="C41" i="101"/>
  <c r="C82" i="101"/>
  <c r="F82" i="101" s="1"/>
  <c r="C114" i="101"/>
  <c r="F114" i="101" s="1"/>
  <c r="C105" i="52067"/>
  <c r="C113" i="52067"/>
  <c r="C145" i="52067"/>
  <c r="F145" i="52067" s="1"/>
  <c r="C161" i="52067"/>
  <c r="F161" i="52067" s="1"/>
  <c r="C134" i="105"/>
  <c r="F134" i="105" s="1"/>
  <c r="C150" i="105"/>
  <c r="F150" i="105" s="1"/>
  <c r="C100" i="52087"/>
  <c r="F100" i="52087" s="1"/>
  <c r="C142" i="52087"/>
  <c r="F142" i="52087" s="1"/>
  <c r="C28" i="52088"/>
  <c r="C253" i="52088" s="1"/>
  <c r="C134" i="52088"/>
  <c r="F134" i="52088" s="1"/>
  <c r="C150" i="52088"/>
  <c r="F150" i="52088" s="1"/>
  <c r="C179" i="101"/>
  <c r="C121" i="52067"/>
  <c r="C68" i="52071"/>
  <c r="F68" i="52071" s="1"/>
  <c r="J68" i="52071" s="1"/>
  <c r="C79" i="52071"/>
  <c r="C97" i="52071"/>
  <c r="F97" i="52071" s="1"/>
  <c r="J97" i="52071" s="1"/>
  <c r="C76" i="52067"/>
  <c r="F76" i="52067" s="1"/>
  <c r="C84" i="52067"/>
  <c r="F84" i="52067" s="1"/>
  <c r="C88" i="52067"/>
  <c r="F88" i="52067" s="1"/>
  <c r="C97" i="52067"/>
  <c r="F97" i="52067" s="1"/>
  <c r="J97" i="52067" s="1"/>
  <c r="C106" i="52071"/>
  <c r="F106" i="52071" s="1"/>
  <c r="J106" i="52071" s="1"/>
  <c r="C114" i="52071"/>
  <c r="F114" i="52071" s="1"/>
  <c r="C138" i="52071"/>
  <c r="F138" i="52071" s="1"/>
  <c r="C146" i="52071"/>
  <c r="F146" i="52071" s="1"/>
  <c r="C162" i="52071"/>
  <c r="F162" i="52071" s="1"/>
  <c r="C134" i="114"/>
  <c r="F134" i="114" s="1"/>
  <c r="J134" i="114" s="1"/>
  <c r="C150" i="114"/>
  <c r="F150" i="114" s="1"/>
  <c r="C100" i="115"/>
  <c r="F100" i="115" s="1"/>
  <c r="C124" i="115"/>
  <c r="C165" i="115"/>
  <c r="F165" i="115" s="1"/>
  <c r="C66" i="20"/>
  <c r="L66" i="20" s="1"/>
  <c r="C105" i="20"/>
  <c r="C131" i="20"/>
  <c r="C156" i="20"/>
  <c r="C108" i="12"/>
  <c r="F108" i="12" s="1"/>
  <c r="C132" i="12"/>
  <c r="F132" i="12" s="1"/>
  <c r="C160" i="12"/>
  <c r="C24" i="77"/>
  <c r="C41" i="77"/>
  <c r="C84" i="77"/>
  <c r="C108" i="77"/>
  <c r="C132" i="77"/>
  <c r="F132" i="77" s="1"/>
  <c r="J132" i="77" s="1"/>
  <c r="C160" i="77"/>
  <c r="F160" i="77" s="1"/>
  <c r="J160" i="77" s="1"/>
  <c r="C152" i="101"/>
  <c r="F152" i="101" s="1"/>
  <c r="C152" i="105"/>
  <c r="F152" i="105" s="1"/>
  <c r="C105" i="52088"/>
  <c r="C121" i="101"/>
  <c r="C27" i="52071"/>
  <c r="C80" i="52071"/>
  <c r="F80" i="52071" s="1"/>
  <c r="C86" i="52071"/>
  <c r="F86" i="52071" s="1"/>
  <c r="C100" i="52071"/>
  <c r="F100" i="52071" s="1"/>
  <c r="C67" i="52088"/>
  <c r="F67" i="52088" s="1"/>
  <c r="J67" i="52088" s="1"/>
  <c r="J249" i="52088" s="1"/>
  <c r="C160" i="52088"/>
  <c r="F160" i="52088" s="1"/>
  <c r="J160" i="52088" s="1"/>
  <c r="C42" i="52071"/>
  <c r="C147" i="52071"/>
  <c r="F147" i="52071" s="1"/>
  <c r="C161" i="52071"/>
  <c r="F161" i="52071" s="1"/>
  <c r="C135" i="114"/>
  <c r="F135" i="114" s="1"/>
  <c r="J135" i="114" s="1"/>
  <c r="C161" i="114"/>
  <c r="F161" i="114" s="1"/>
  <c r="C99" i="115"/>
  <c r="F99" i="115" s="1"/>
  <c r="C179" i="105"/>
  <c r="C96" i="52087"/>
  <c r="F96" i="52087" s="1"/>
  <c r="J96" i="52087" s="1"/>
  <c r="C120" i="52088"/>
  <c r="F120" i="52088" s="1"/>
  <c r="J120" i="52088" s="1"/>
  <c r="C67" i="101"/>
  <c r="F67" i="101" s="1"/>
  <c r="J67" i="101" s="1"/>
  <c r="J249" i="101" s="1"/>
  <c r="C134" i="101"/>
  <c r="F134" i="101" s="1"/>
  <c r="C162" i="101"/>
  <c r="F162" i="101" s="1"/>
  <c r="C138" i="105"/>
  <c r="F138" i="105" s="1"/>
  <c r="C150" i="52087"/>
  <c r="F150" i="52087" s="1"/>
  <c r="C122" i="101"/>
  <c r="C64" i="101"/>
  <c r="C72" i="52067"/>
  <c r="F72" i="52067" s="1"/>
  <c r="C114" i="114"/>
  <c r="C122" i="115"/>
  <c r="C27" i="20"/>
  <c r="C148" i="20"/>
  <c r="C134" i="12"/>
  <c r="F134" i="12" s="1"/>
  <c r="C150" i="12"/>
  <c r="C39" i="77"/>
  <c r="C82" i="77"/>
  <c r="C114" i="77"/>
  <c r="C162" i="77"/>
  <c r="F162" i="77" s="1"/>
  <c r="C122" i="52090"/>
  <c r="C24" i="114"/>
  <c r="C67" i="114"/>
  <c r="C80" i="114"/>
  <c r="C84" i="114"/>
  <c r="C88" i="114"/>
  <c r="F88" i="114" s="1"/>
  <c r="C121" i="114"/>
  <c r="C27" i="105"/>
  <c r="C83" i="105"/>
  <c r="F83" i="105" s="1"/>
  <c r="C173" i="105"/>
  <c r="F173" i="105" s="1"/>
  <c r="C79" i="52087"/>
  <c r="C106" i="52087"/>
  <c r="F106" i="52087" s="1"/>
  <c r="J106" i="52087" s="1"/>
  <c r="C156" i="52087"/>
  <c r="C118" i="52088"/>
  <c r="C39" i="101"/>
  <c r="C88" i="101"/>
  <c r="F88" i="101" s="1"/>
  <c r="C160" i="101"/>
  <c r="F160" i="101" s="1"/>
  <c r="J160" i="101" s="1"/>
  <c r="C143" i="52067"/>
  <c r="F143" i="52067" s="1"/>
  <c r="C152" i="52067"/>
  <c r="F152" i="52067" s="1"/>
  <c r="C132" i="105"/>
  <c r="F132" i="105" s="1"/>
  <c r="C64" i="52087"/>
  <c r="C24" i="52088"/>
  <c r="C148" i="52088"/>
  <c r="F148" i="52088" s="1"/>
  <c r="G148" i="52088" s="1"/>
  <c r="C24" i="52071"/>
  <c r="C66" i="52071"/>
  <c r="F66" i="52071" s="1"/>
  <c r="C85" i="52071"/>
  <c r="F85" i="52071" s="1"/>
  <c r="C99" i="52071"/>
  <c r="F99" i="52071" s="1"/>
  <c r="C127" i="52071"/>
  <c r="F127" i="52071" s="1"/>
  <c r="C90" i="52088"/>
  <c r="F90" i="52088" s="1"/>
  <c r="C99" i="101"/>
  <c r="F99" i="101" s="1"/>
  <c r="C108" i="114"/>
  <c r="C148" i="114"/>
  <c r="F148" i="114" s="1"/>
  <c r="C35" i="115"/>
  <c r="C114" i="20"/>
  <c r="C150" i="20"/>
  <c r="C143" i="12"/>
  <c r="C42" i="77"/>
  <c r="C147" i="77"/>
  <c r="C36" i="52090"/>
  <c r="C119" i="52090"/>
  <c r="C25" i="114"/>
  <c r="C90" i="114"/>
  <c r="F90" i="114" s="1"/>
  <c r="C158" i="114"/>
  <c r="F158" i="114" s="1"/>
  <c r="J158" i="114" s="1"/>
  <c r="C66" i="115"/>
  <c r="F66" i="115" s="1"/>
  <c r="C77" i="115"/>
  <c r="F77" i="115" s="1"/>
  <c r="C105" i="115"/>
  <c r="C113" i="115"/>
  <c r="C147" i="115"/>
  <c r="F147" i="115" s="1"/>
  <c r="C180" i="115"/>
  <c r="F180" i="115" s="1"/>
  <c r="C84" i="20"/>
  <c r="F84" i="20" s="1"/>
  <c r="C95" i="20"/>
  <c r="C119" i="20"/>
  <c r="C149" i="20"/>
  <c r="C173" i="20"/>
  <c r="C28" i="12"/>
  <c r="C68" i="12"/>
  <c r="F68" i="12" s="1"/>
  <c r="C96" i="12"/>
  <c r="F96" i="12" s="1"/>
  <c r="C120" i="12"/>
  <c r="F120" i="12" s="1"/>
  <c r="C64" i="77"/>
  <c r="C99" i="77"/>
  <c r="F99" i="77" s="1"/>
  <c r="C127" i="77"/>
  <c r="F127" i="77" s="1"/>
  <c r="C66" i="52090"/>
  <c r="C77" i="52090"/>
  <c r="F77" i="52090" s="1"/>
  <c r="C131" i="105"/>
  <c r="C149" i="105"/>
  <c r="F149" i="105" s="1"/>
  <c r="C182" i="52087"/>
  <c r="F182" i="52087" s="1"/>
  <c r="C26" i="52088"/>
  <c r="C133" i="52088"/>
  <c r="F133" i="52088" s="1"/>
  <c r="J133" i="52088" s="1"/>
  <c r="C141" i="52088"/>
  <c r="F141" i="52088" s="1"/>
  <c r="C36" i="101"/>
  <c r="C25" i="52071"/>
  <c r="C82" i="52071"/>
  <c r="F82" i="52071" s="1"/>
  <c r="C42" i="52088"/>
  <c r="C82" i="52088"/>
  <c r="F82" i="52088" s="1"/>
  <c r="C90" i="101"/>
  <c r="F90" i="101" s="1"/>
  <c r="C143" i="52071"/>
  <c r="F143" i="52071" s="1"/>
  <c r="C149" i="52071"/>
  <c r="F149" i="52071" s="1"/>
  <c r="C141" i="114"/>
  <c r="C95" i="115"/>
  <c r="C85" i="105"/>
  <c r="F85" i="105" s="1"/>
  <c r="C171" i="105"/>
  <c r="F171" i="105" s="1"/>
  <c r="C156" i="52088"/>
  <c r="C78" i="101"/>
  <c r="F78" i="101" s="1"/>
  <c r="C142" i="101"/>
  <c r="F142" i="101" s="1"/>
  <c r="C114" i="105"/>
  <c r="F114" i="105" s="1"/>
  <c r="C42" i="52087"/>
  <c r="C106" i="52088"/>
  <c r="F106" i="52088" s="1"/>
  <c r="J106" i="52088" s="1"/>
  <c r="C158" i="101"/>
  <c r="F158" i="101" s="1"/>
  <c r="J158" i="101" s="1"/>
  <c r="C79" i="52088"/>
  <c r="C97" i="101"/>
  <c r="F97" i="101" s="1"/>
  <c r="J97" i="101" s="1"/>
  <c r="C138" i="114"/>
  <c r="F138" i="114" s="1"/>
  <c r="J138" i="114" s="1"/>
  <c r="C183" i="115"/>
  <c r="F183" i="115" s="1"/>
  <c r="C72" i="20"/>
  <c r="C112" i="20"/>
  <c r="C161" i="20"/>
  <c r="C114" i="12"/>
  <c r="F114" i="12" s="1"/>
  <c r="C162" i="12"/>
  <c r="C86" i="77"/>
  <c r="F86" i="77" s="1"/>
  <c r="C134" i="77"/>
  <c r="F134" i="77" s="1"/>
  <c r="J134" i="77" s="1"/>
  <c r="C150" i="77"/>
  <c r="F150" i="77" s="1"/>
  <c r="C90" i="52090"/>
  <c r="C100" i="52090"/>
  <c r="C160" i="52090"/>
  <c r="C26" i="114"/>
  <c r="C41" i="114"/>
  <c r="C72" i="114"/>
  <c r="C82" i="114"/>
  <c r="F82" i="114" s="1"/>
  <c r="C91" i="114"/>
  <c r="C99" i="114"/>
  <c r="F99" i="114" s="1"/>
  <c r="C123" i="114"/>
  <c r="C68" i="105"/>
  <c r="F68" i="105" s="1"/>
  <c r="C96" i="105"/>
  <c r="F96" i="105" s="1"/>
  <c r="C156" i="105"/>
  <c r="C161" i="105"/>
  <c r="F161" i="105" s="1"/>
  <c r="C95" i="52087"/>
  <c r="F95" i="52087" s="1"/>
  <c r="C145" i="52087"/>
  <c r="F145" i="52087" s="1"/>
  <c r="C158" i="52088"/>
  <c r="F158" i="52088" s="1"/>
  <c r="J158" i="52088" s="1"/>
  <c r="C76" i="101"/>
  <c r="F76" i="101" s="1"/>
  <c r="C84" i="101"/>
  <c r="F84" i="101" s="1"/>
  <c r="C132" i="101"/>
  <c r="F132" i="101" s="1"/>
  <c r="J132" i="101" s="1"/>
  <c r="C148" i="101"/>
  <c r="F148" i="101" s="1"/>
  <c r="C131" i="52067"/>
  <c r="C135" i="52067"/>
  <c r="F135" i="52067" s="1"/>
  <c r="J135" i="52067" s="1"/>
  <c r="C119" i="52087"/>
  <c r="F119" i="52087" s="1"/>
  <c r="J119" i="52087" s="1"/>
  <c r="C112" i="52088"/>
  <c r="F112" i="52088" s="1"/>
  <c r="J112" i="52088" s="1"/>
  <c r="C177" i="101"/>
  <c r="F177" i="101" s="1"/>
  <c r="C66" i="52088"/>
  <c r="F66" i="52088" s="1"/>
  <c r="C35" i="101"/>
  <c r="C86" i="52067"/>
  <c r="F86" i="52067" s="1"/>
  <c r="C41" i="52071"/>
  <c r="C132" i="52071"/>
  <c r="F132" i="52071" s="1"/>
  <c r="J132" i="52071" s="1"/>
  <c r="C160" i="52071"/>
  <c r="F160" i="52071" s="1"/>
  <c r="J160" i="52071" s="1"/>
  <c r="C160" i="114"/>
  <c r="F160" i="114" s="1"/>
  <c r="J160" i="114" s="1"/>
  <c r="C127" i="115"/>
  <c r="F127" i="115" s="1"/>
  <c r="C108" i="20"/>
  <c r="F108" i="20" s="1"/>
  <c r="C147" i="12"/>
  <c r="C135" i="77"/>
  <c r="F135" i="77" s="1"/>
  <c r="J135" i="77" s="1"/>
  <c r="C91" i="52090"/>
  <c r="F91" i="52090" s="1"/>
  <c r="C179" i="114"/>
  <c r="C79" i="115"/>
  <c r="C152" i="115"/>
  <c r="F152" i="115" s="1"/>
  <c r="C88" i="20"/>
  <c r="L88" i="20" s="1"/>
  <c r="C121" i="20"/>
  <c r="L121" i="20" s="1"/>
  <c r="C35" i="12"/>
  <c r="C77" i="12"/>
  <c r="F77" i="12" s="1"/>
  <c r="C118" i="12"/>
  <c r="C36" i="77"/>
  <c r="C125" i="77"/>
  <c r="F125" i="77" s="1"/>
  <c r="C25" i="52090"/>
  <c r="C85" i="52090"/>
  <c r="C109" i="52090"/>
  <c r="F109" i="52090" s="1"/>
  <c r="G109" i="52090" s="1"/>
  <c r="C134" i="52090"/>
  <c r="F134" i="52090" s="1"/>
  <c r="J134" i="52090" s="1"/>
  <c r="C148" i="52090"/>
  <c r="C179" i="52090"/>
  <c r="C28" i="52094"/>
  <c r="C80" i="52094"/>
  <c r="C84" i="52094"/>
  <c r="F84" i="52094" s="1"/>
  <c r="C95" i="52094"/>
  <c r="C119" i="52094"/>
  <c r="C35" i="52095"/>
  <c r="C99" i="52095"/>
  <c r="F99" i="52095" s="1"/>
  <c r="C127" i="52095"/>
  <c r="F127" i="52095" s="1"/>
  <c r="C77" i="52094"/>
  <c r="C131" i="52094"/>
  <c r="C145" i="52094"/>
  <c r="C163" i="52094"/>
  <c r="F163" i="52094" s="1"/>
  <c r="C68" i="52095"/>
  <c r="C108" i="52095"/>
  <c r="F108" i="52095" s="1"/>
  <c r="C148" i="52095"/>
  <c r="C165" i="52095"/>
  <c r="F165" i="52095" s="1"/>
  <c r="C68" i="20"/>
  <c r="C158" i="20"/>
  <c r="C145" i="12"/>
  <c r="C73" i="77"/>
  <c r="F73" i="77" s="1"/>
  <c r="C105" i="77"/>
  <c r="C113" i="77"/>
  <c r="C149" i="77"/>
  <c r="F149" i="77" s="1"/>
  <c r="C97" i="52090"/>
  <c r="C68" i="114"/>
  <c r="C96" i="114"/>
  <c r="F96" i="114" s="1"/>
  <c r="C120" i="114"/>
  <c r="F120" i="114" s="1"/>
  <c r="J120" i="114" s="1"/>
  <c r="C24" i="115"/>
  <c r="C41" i="115"/>
  <c r="C84" i="115"/>
  <c r="F84" i="115" s="1"/>
  <c r="C108" i="115"/>
  <c r="C132" i="115"/>
  <c r="F132" i="115" s="1"/>
  <c r="C138" i="115"/>
  <c r="F138" i="115" s="1"/>
  <c r="C150" i="115"/>
  <c r="F150" i="115" s="1"/>
  <c r="C67" i="20"/>
  <c r="F67" i="20" s="1"/>
  <c r="C90" i="20"/>
  <c r="C120" i="20"/>
  <c r="C152" i="20"/>
  <c r="F152" i="20" s="1"/>
  <c r="C27" i="12"/>
  <c r="C42" i="12"/>
  <c r="C76" i="12"/>
  <c r="C86" i="12"/>
  <c r="C95" i="12"/>
  <c r="F95" i="12" s="1"/>
  <c r="C119" i="12"/>
  <c r="C96" i="77"/>
  <c r="C120" i="77"/>
  <c r="C173" i="77"/>
  <c r="F173" i="77" s="1"/>
  <c r="J173" i="77" s="1"/>
  <c r="C39" i="52090"/>
  <c r="C78" i="52090"/>
  <c r="C86" i="52090"/>
  <c r="C110" i="52090"/>
  <c r="C114" i="52090"/>
  <c r="C135" i="52090"/>
  <c r="F135" i="52090" s="1"/>
  <c r="J135" i="52090" s="1"/>
  <c r="C145" i="52090"/>
  <c r="C39" i="52094"/>
  <c r="C90" i="52094"/>
  <c r="C122" i="52094"/>
  <c r="C179" i="52094"/>
  <c r="C24" i="52067"/>
  <c r="C147" i="101"/>
  <c r="F147" i="101" s="1"/>
  <c r="C140" i="52067"/>
  <c r="F140" i="52067" s="1"/>
  <c r="C160" i="52067"/>
  <c r="F160" i="52067" s="1"/>
  <c r="J160" i="52067" s="1"/>
  <c r="C109" i="105"/>
  <c r="F109" i="105" s="1"/>
  <c r="C133" i="105"/>
  <c r="F133" i="105" s="1"/>
  <c r="C147" i="105"/>
  <c r="F147" i="105" s="1"/>
  <c r="C97" i="52087"/>
  <c r="F97" i="52087" s="1"/>
  <c r="J97" i="52087" s="1"/>
  <c r="C120" i="52087"/>
  <c r="F120" i="52087" s="1"/>
  <c r="J120" i="52087" s="1"/>
  <c r="C148" i="52087"/>
  <c r="F148" i="52087" s="1"/>
  <c r="C131" i="52088"/>
  <c r="C147" i="52088"/>
  <c r="F147" i="52088" s="1"/>
  <c r="G147" i="52088" s="1"/>
  <c r="C119" i="101"/>
  <c r="F119" i="101" s="1"/>
  <c r="J119" i="101" s="1"/>
  <c r="C180" i="101"/>
  <c r="F180" i="101" s="1"/>
  <c r="C35" i="52067"/>
  <c r="C120" i="52067"/>
  <c r="F120" i="52067" s="1"/>
  <c r="J120" i="52067" s="1"/>
  <c r="C122" i="52071"/>
  <c r="C25" i="52088"/>
  <c r="C80" i="52088"/>
  <c r="F80" i="52088" s="1"/>
  <c r="J80" i="52088" s="1"/>
  <c r="C88" i="52088"/>
  <c r="F88" i="52088" s="1"/>
  <c r="C96" i="101"/>
  <c r="F96" i="101" s="1"/>
  <c r="J96" i="101" s="1"/>
  <c r="C26" i="52067"/>
  <c r="C64" i="52067"/>
  <c r="C68" i="52067"/>
  <c r="F68" i="52067" s="1"/>
  <c r="J68" i="52067" s="1"/>
  <c r="C77" i="52067"/>
  <c r="F77" i="52067" s="1"/>
  <c r="C79" i="52067"/>
  <c r="C85" i="52067"/>
  <c r="F85" i="52067" s="1"/>
  <c r="C94" i="52067"/>
  <c r="F94" i="52067" s="1"/>
  <c r="C100" i="52067"/>
  <c r="F100" i="52067" s="1"/>
  <c r="C158" i="52067"/>
  <c r="F158" i="52067" s="1"/>
  <c r="J158" i="52067" s="1"/>
  <c r="C180" i="52067"/>
  <c r="F180" i="52067" s="1"/>
  <c r="C113" i="52071"/>
  <c r="C105" i="114"/>
  <c r="C113" i="114"/>
  <c r="C147" i="114"/>
  <c r="F147" i="114" s="1"/>
  <c r="C64" i="115"/>
  <c r="C25" i="105"/>
  <c r="C122" i="105"/>
  <c r="C66" i="52087"/>
  <c r="F66" i="52087" s="1"/>
  <c r="C85" i="52087"/>
  <c r="F85" i="52087" s="1"/>
  <c r="C41" i="52087"/>
  <c r="C141" i="52087"/>
  <c r="F141" i="52087" s="1"/>
  <c r="C24" i="101"/>
  <c r="C74" i="101"/>
  <c r="F74" i="101" s="1"/>
  <c r="C106" i="101"/>
  <c r="F106" i="101" s="1"/>
  <c r="J106" i="101" s="1"/>
  <c r="C138" i="101"/>
  <c r="F138" i="101" s="1"/>
  <c r="C109" i="52067"/>
  <c r="F109" i="52067" s="1"/>
  <c r="J109" i="52067" s="1"/>
  <c r="C141" i="52067"/>
  <c r="F141" i="52067" s="1"/>
  <c r="C149" i="52067"/>
  <c r="F149" i="52067" s="1"/>
  <c r="C110" i="105"/>
  <c r="F110" i="105" s="1"/>
  <c r="C142" i="105"/>
  <c r="F142" i="105" s="1"/>
  <c r="C27" i="52087"/>
  <c r="C125" i="52087"/>
  <c r="F125" i="52087" s="1"/>
  <c r="C165" i="52087"/>
  <c r="F165" i="52087" s="1"/>
  <c r="C110" i="52088"/>
  <c r="F110" i="52088" s="1"/>
  <c r="J110" i="52088" s="1"/>
  <c r="C142" i="52088"/>
  <c r="F142" i="52088" s="1"/>
  <c r="C118" i="101"/>
  <c r="C42" i="52067"/>
  <c r="C26" i="52071"/>
  <c r="C83" i="52071"/>
  <c r="F83" i="52071" s="1"/>
  <c r="C121" i="52071"/>
  <c r="C93" i="52067"/>
  <c r="F93" i="52067" s="1"/>
  <c r="C36" i="52071"/>
  <c r="C110" i="52071"/>
  <c r="F110" i="52071" s="1"/>
  <c r="J110" i="52071" s="1"/>
  <c r="C134" i="52071"/>
  <c r="F134" i="52071" s="1"/>
  <c r="C142" i="52071"/>
  <c r="F142" i="52071" s="1"/>
  <c r="C150" i="52071"/>
  <c r="F150" i="52071" s="1"/>
  <c r="C110" i="114"/>
  <c r="C142" i="114"/>
  <c r="F142" i="114" s="1"/>
  <c r="C162" i="114"/>
  <c r="C120" i="115"/>
  <c r="F120" i="115" s="1"/>
  <c r="C160" i="115"/>
  <c r="F160" i="115" s="1"/>
  <c r="C25" i="20"/>
  <c r="C76" i="20"/>
  <c r="F76" i="20" s="1"/>
  <c r="C109" i="20"/>
  <c r="C144" i="20"/>
  <c r="F144" i="20" s="1"/>
  <c r="C23" i="12"/>
  <c r="C112" i="12"/>
  <c r="F112" i="12" s="1"/>
  <c r="C148" i="12"/>
  <c r="F148" i="12" s="1"/>
  <c r="C165" i="12"/>
  <c r="C28" i="77"/>
  <c r="C67" i="77"/>
  <c r="C88" i="77"/>
  <c r="F88" i="77" s="1"/>
  <c r="C112" i="77"/>
  <c r="C148" i="77"/>
  <c r="C165" i="77"/>
  <c r="C145" i="105"/>
  <c r="F145" i="105" s="1"/>
  <c r="C118" i="52087"/>
  <c r="C145" i="52088"/>
  <c r="F145" i="52088" s="1"/>
  <c r="C182" i="101"/>
  <c r="F182" i="101" s="1"/>
  <c r="C78" i="52071"/>
  <c r="F78" i="52071" s="1"/>
  <c r="C84" i="52071"/>
  <c r="F84" i="52071" s="1"/>
  <c r="C88" i="52071"/>
  <c r="F88" i="52071" s="1"/>
  <c r="C118" i="52071"/>
  <c r="C86" i="52088"/>
  <c r="F86" i="52088" s="1"/>
  <c r="C35" i="52071"/>
  <c r="C91" i="52071"/>
  <c r="F91" i="52071" s="1"/>
  <c r="J91" i="52071" s="1"/>
  <c r="C105" i="52071"/>
  <c r="C152" i="52071"/>
  <c r="F152" i="52071" s="1"/>
  <c r="C39" i="114"/>
  <c r="C145" i="114"/>
  <c r="F145" i="114" s="1"/>
  <c r="C91" i="115"/>
  <c r="F91" i="115" s="1"/>
  <c r="C77" i="105"/>
  <c r="F77" i="105" s="1"/>
  <c r="C73" i="52087"/>
  <c r="F73" i="52087" s="1"/>
  <c r="C93" i="52087"/>
  <c r="F93" i="52087" s="1"/>
  <c r="C173" i="52088"/>
  <c r="F173" i="52088" s="1"/>
  <c r="J173" i="52088" s="1"/>
  <c r="C86" i="101"/>
  <c r="F86" i="101" s="1"/>
  <c r="C150" i="101"/>
  <c r="F150" i="101" s="1"/>
  <c r="C106" i="105"/>
  <c r="F106" i="105" s="1"/>
  <c r="C121" i="52087"/>
  <c r="C114" i="52088"/>
  <c r="F114" i="52088" s="1"/>
  <c r="C68" i="52088"/>
  <c r="F68" i="52088" s="1"/>
  <c r="J68" i="52088" s="1"/>
  <c r="C28" i="52067"/>
  <c r="C253" i="52067" s="1"/>
  <c r="D252" i="52083" s="1"/>
  <c r="C177" i="52067"/>
  <c r="F177" i="52067" s="1"/>
  <c r="C96" i="115"/>
  <c r="F96" i="115" s="1"/>
  <c r="C162" i="115"/>
  <c r="C42" i="20"/>
  <c r="C110" i="12"/>
  <c r="F110" i="12" s="1"/>
  <c r="C142" i="12"/>
  <c r="C183" i="12"/>
  <c r="C74" i="77"/>
  <c r="F74" i="77" s="1"/>
  <c r="C106" i="77"/>
  <c r="F106" i="77" s="1"/>
  <c r="C138" i="77"/>
  <c r="F138" i="77" s="1"/>
  <c r="J138" i="77" s="1"/>
  <c r="C118" i="52090"/>
  <c r="C162" i="52090"/>
  <c r="C28" i="114"/>
  <c r="C78" i="114"/>
  <c r="C180" i="114"/>
  <c r="F180" i="114" s="1"/>
  <c r="C42" i="105"/>
  <c r="C100" i="105"/>
  <c r="F100" i="105" s="1"/>
  <c r="C68" i="52087"/>
  <c r="C91" i="52087"/>
  <c r="F91" i="52087" s="1"/>
  <c r="C114" i="52087"/>
  <c r="F114" i="52087" s="1"/>
  <c r="C39" i="52088"/>
  <c r="C179" i="52088"/>
  <c r="C72" i="101"/>
  <c r="F72" i="101" s="1"/>
  <c r="C112" i="101"/>
  <c r="C39" i="52067"/>
  <c r="C147" i="52067"/>
  <c r="F147" i="52067" s="1"/>
  <c r="C39" i="105"/>
  <c r="C148" i="105"/>
  <c r="F148" i="105" s="1"/>
  <c r="C138" i="52087"/>
  <c r="F138" i="52087" s="1"/>
  <c r="C160" i="52087"/>
  <c r="F160" i="52087" s="1"/>
  <c r="J160" i="52087" s="1"/>
  <c r="C132" i="52088"/>
  <c r="F132" i="52088" s="1"/>
  <c r="J132" i="52088" s="1"/>
  <c r="C173" i="101"/>
  <c r="F173" i="101" s="1"/>
  <c r="G173" i="101" s="1"/>
  <c r="C28" i="52071"/>
  <c r="C253" i="52071" s="1"/>
  <c r="D252" i="52098" s="1"/>
  <c r="C73" i="52071"/>
  <c r="C77" i="52071"/>
  <c r="F77" i="52071" s="1"/>
  <c r="C95" i="52071"/>
  <c r="F95" i="52071" s="1"/>
  <c r="C119" i="52071"/>
  <c r="F119" i="52071" s="1"/>
  <c r="J119" i="52071" s="1"/>
  <c r="C73" i="52088"/>
  <c r="F73" i="52088" s="1"/>
  <c r="G73" i="52088" s="1"/>
  <c r="C91" i="101"/>
  <c r="F91" i="101" s="1"/>
  <c r="C41" i="52067"/>
  <c r="C132" i="114"/>
  <c r="F132" i="114" s="1"/>
  <c r="J132" i="114" s="1"/>
  <c r="C165" i="114"/>
  <c r="F165" i="114" s="1"/>
  <c r="C28" i="20"/>
  <c r="C138" i="20"/>
  <c r="F138" i="20" s="1"/>
  <c r="C131" i="12"/>
  <c r="C152" i="12"/>
  <c r="F152" i="12" s="1"/>
  <c r="C131" i="77"/>
  <c r="C163" i="77"/>
  <c r="F163" i="77" s="1"/>
  <c r="G163" i="77" s="1"/>
  <c r="C95" i="52090"/>
  <c r="C127" i="52090"/>
  <c r="F127" i="52090" s="1"/>
  <c r="C73" i="114"/>
  <c r="F73" i="114" s="1"/>
  <c r="C122" i="114"/>
  <c r="C25" i="115"/>
  <c r="C73" i="115"/>
  <c r="F73" i="115" s="1"/>
  <c r="C85" i="115"/>
  <c r="F85" i="115" s="1"/>
  <c r="C109" i="115"/>
  <c r="F109" i="115" s="1"/>
  <c r="C143" i="115"/>
  <c r="F143" i="115" s="1"/>
  <c r="C149" i="115"/>
  <c r="F149" i="115" s="1"/>
  <c r="C73" i="20"/>
  <c r="C91" i="20"/>
  <c r="F91" i="20" s="1"/>
  <c r="C99" i="20"/>
  <c r="C127" i="20"/>
  <c r="F127" i="20" s="1"/>
  <c r="C160" i="20"/>
  <c r="C24" i="12"/>
  <c r="C64" i="12"/>
  <c r="C79" i="12"/>
  <c r="C100" i="12"/>
  <c r="C156" i="12"/>
  <c r="C97" i="77"/>
  <c r="C119" i="77"/>
  <c r="C27" i="52090"/>
  <c r="C73" i="52090"/>
  <c r="C143" i="101"/>
  <c r="F143" i="101" s="1"/>
  <c r="C141" i="105"/>
  <c r="F141" i="105" s="1"/>
  <c r="C122" i="52087"/>
  <c r="C109" i="52088"/>
  <c r="F109" i="52088" s="1"/>
  <c r="J109" i="52088" s="1"/>
  <c r="C149" i="52088"/>
  <c r="F149" i="52088" s="1"/>
  <c r="C125" i="101"/>
  <c r="F125" i="101" s="1"/>
  <c r="C67" i="52071"/>
  <c r="F67" i="52071" s="1"/>
  <c r="J67" i="52071" s="1"/>
  <c r="J249" i="52071" s="1"/>
  <c r="C96" i="52071"/>
  <c r="C120" i="52071"/>
  <c r="F120" i="52071" s="1"/>
  <c r="J120" i="52071" s="1"/>
  <c r="C74" i="52088"/>
  <c r="F74" i="52088" s="1"/>
  <c r="C91" i="52088"/>
  <c r="F91" i="52088" s="1"/>
  <c r="C64" i="52071"/>
  <c r="C141" i="52071"/>
  <c r="F141" i="52071" s="1"/>
  <c r="C145" i="52071"/>
  <c r="F145" i="52071" s="1"/>
  <c r="C131" i="114"/>
  <c r="C36" i="115"/>
  <c r="C66" i="105"/>
  <c r="F66" i="105" s="1"/>
  <c r="C118" i="105"/>
  <c r="F118" i="105" s="1"/>
  <c r="C96" i="52088"/>
  <c r="F96" i="52088" s="1"/>
  <c r="J96" i="52088" s="1"/>
  <c r="C28" i="101"/>
  <c r="C253" i="101" s="1"/>
  <c r="C110" i="101"/>
  <c r="F110" i="101" s="1"/>
  <c r="J110" i="101" s="1"/>
  <c r="C134" i="52087"/>
  <c r="F134" i="52087" s="1"/>
  <c r="C138" i="52088"/>
  <c r="F138" i="52088" s="1"/>
  <c r="C35" i="52088"/>
  <c r="C161" i="52088"/>
  <c r="F161" i="52088" s="1"/>
  <c r="C106" i="114"/>
  <c r="C118" i="115"/>
  <c r="C36" i="20"/>
  <c r="C85" i="20"/>
  <c r="F85" i="20" s="1"/>
  <c r="C141" i="20"/>
  <c r="C106" i="12"/>
  <c r="C138" i="12"/>
  <c r="F138" i="12" s="1"/>
  <c r="C26" i="77"/>
  <c r="C110" i="77"/>
  <c r="F110" i="77" s="1"/>
  <c r="C142" i="77"/>
  <c r="C35" i="52090"/>
  <c r="C96" i="52090"/>
  <c r="C120" i="52090"/>
  <c r="F120" i="52090" s="1"/>
  <c r="J120" i="52090" s="1"/>
  <c r="C165" i="52090"/>
  <c r="F165" i="52090" s="1"/>
  <c r="C35" i="114"/>
  <c r="C64" i="114"/>
  <c r="C76" i="114"/>
  <c r="C86" i="114"/>
  <c r="C95" i="114"/>
  <c r="C119" i="114"/>
  <c r="C127" i="114"/>
  <c r="F127" i="114" s="1"/>
  <c r="J127" i="114" s="1"/>
  <c r="C36" i="105"/>
  <c r="C79" i="105"/>
  <c r="C120" i="105"/>
  <c r="F120" i="105" s="1"/>
  <c r="C36" i="52087"/>
  <c r="C26" i="52087"/>
  <c r="C110" i="52087"/>
  <c r="F110" i="52087" s="1"/>
  <c r="J110" i="52087" s="1"/>
  <c r="C122" i="52088"/>
  <c r="F122" i="52088" s="1"/>
  <c r="C26" i="101"/>
  <c r="C108" i="101"/>
  <c r="F108" i="101" s="1"/>
  <c r="J108" i="101" s="1"/>
  <c r="C165" i="101"/>
  <c r="F165" i="101" s="1"/>
  <c r="C112" i="105"/>
  <c r="F112" i="105" s="1"/>
  <c r="C120" i="101"/>
  <c r="F120" i="101" s="1"/>
  <c r="J120" i="101" s="1"/>
  <c r="C179" i="52087"/>
  <c r="C85" i="52088"/>
  <c r="F85" i="52088" s="1"/>
  <c r="C82" i="52067"/>
  <c r="F82" i="52067" s="1"/>
  <c r="C99" i="52067"/>
  <c r="F99" i="52067" s="1"/>
  <c r="C112" i="52071"/>
  <c r="F112" i="52071" s="1"/>
  <c r="J112" i="52071" s="1"/>
  <c r="C148" i="52071"/>
  <c r="F148" i="52071" s="1"/>
  <c r="C165" i="52071"/>
  <c r="F165" i="52071" s="1"/>
  <c r="C90" i="115"/>
  <c r="F90" i="115" s="1"/>
  <c r="C24" i="20"/>
  <c r="C142" i="20"/>
  <c r="C68" i="77"/>
  <c r="F68" i="77" s="1"/>
  <c r="C152" i="77"/>
  <c r="F152" i="77" s="1"/>
  <c r="C77" i="114"/>
  <c r="C68" i="115"/>
  <c r="C145" i="115"/>
  <c r="F145" i="115" s="1"/>
  <c r="C23" i="20"/>
  <c r="L23" i="20" s="1"/>
  <c r="C97" i="20"/>
  <c r="F97" i="20" s="1"/>
  <c r="C145" i="20"/>
  <c r="F145" i="20" s="1"/>
  <c r="C66" i="12"/>
  <c r="F66" i="12" s="1"/>
  <c r="C85" i="12"/>
  <c r="F85" i="12" s="1"/>
  <c r="C179" i="12"/>
  <c r="C95" i="77"/>
  <c r="C180" i="77"/>
  <c r="C42" i="52090"/>
  <c r="C105" i="52090"/>
  <c r="C113" i="52090"/>
  <c r="C138" i="52090"/>
  <c r="F138" i="52090" s="1"/>
  <c r="J138" i="52090" s="1"/>
  <c r="C158" i="52090"/>
  <c r="F158" i="52090" s="1"/>
  <c r="J158" i="52090" s="1"/>
  <c r="C76" i="52094"/>
  <c r="F76" i="52094" s="1"/>
  <c r="C91" i="52094"/>
  <c r="C99" i="52094"/>
  <c r="C127" i="52094"/>
  <c r="F127" i="52094" s="1"/>
  <c r="C95" i="52095"/>
  <c r="F95" i="52095" s="1"/>
  <c r="C119" i="52095"/>
  <c r="F119" i="52095" s="1"/>
  <c r="C66" i="52094"/>
  <c r="F66" i="52094" s="1"/>
  <c r="C85" i="52094"/>
  <c r="F85" i="52094" s="1"/>
  <c r="C141" i="52094"/>
  <c r="F141" i="52094" s="1"/>
  <c r="C149" i="52094"/>
  <c r="C42" i="52095"/>
  <c r="C79" i="52095"/>
  <c r="C112" i="52095"/>
  <c r="C160" i="52095"/>
  <c r="F160" i="52095" s="1"/>
  <c r="C35" i="20"/>
  <c r="C132" i="20"/>
  <c r="F132" i="20" s="1"/>
  <c r="C109" i="12"/>
  <c r="F109" i="12" s="1"/>
  <c r="C23" i="77"/>
  <c r="C141" i="77"/>
  <c r="F141" i="77" s="1"/>
  <c r="C64" i="52090"/>
  <c r="C36" i="114"/>
  <c r="C79" i="114"/>
  <c r="C156" i="114"/>
  <c r="C28" i="115"/>
  <c r="C253" i="115" s="1"/>
  <c r="C67" i="115"/>
  <c r="F67" i="115" s="1"/>
  <c r="C88" i="115"/>
  <c r="F88" i="115" s="1"/>
  <c r="C112" i="115"/>
  <c r="F112" i="115" s="1"/>
  <c r="C134" i="115"/>
  <c r="F134" i="115" s="1"/>
  <c r="C142" i="115"/>
  <c r="F142" i="115" s="1"/>
  <c r="C156" i="115"/>
  <c r="C82" i="20"/>
  <c r="C110" i="20"/>
  <c r="C143" i="20"/>
  <c r="C162" i="20"/>
  <c r="C36" i="12"/>
  <c r="C67" i="12"/>
  <c r="C82" i="12"/>
  <c r="F82" i="12" s="1"/>
  <c r="C91" i="12"/>
  <c r="C99" i="12"/>
  <c r="F99" i="12" s="1"/>
  <c r="C127" i="12"/>
  <c r="F127" i="12" s="1"/>
  <c r="C100" i="77"/>
  <c r="F100" i="77" s="1"/>
  <c r="C156" i="77"/>
  <c r="C26" i="52090"/>
  <c r="C74" i="52090"/>
  <c r="F74" i="52090" s="1"/>
  <c r="C82" i="52090"/>
  <c r="C106" i="52090"/>
  <c r="F106" i="52090" s="1"/>
  <c r="C141" i="52090"/>
  <c r="F141" i="52090" s="1"/>
  <c r="C152" i="52090"/>
  <c r="F152" i="52090" s="1"/>
  <c r="C82" i="52094"/>
  <c r="F82" i="52094" s="1"/>
  <c r="C118" i="52094"/>
  <c r="C158" i="52094"/>
  <c r="F158" i="52094" s="1"/>
  <c r="C64" i="52095"/>
  <c r="C122" i="52095"/>
  <c r="C179" i="52095"/>
  <c r="C83" i="52094"/>
  <c r="C110" i="52094"/>
  <c r="C134" i="52094"/>
  <c r="F134" i="52094" s="1"/>
  <c r="C142" i="52094"/>
  <c r="C160" i="52094"/>
  <c r="C28" i="52095"/>
  <c r="C67" i="52095"/>
  <c r="C88" i="52095"/>
  <c r="F88" i="52095" s="1"/>
  <c r="C141" i="52095"/>
  <c r="F141" i="52095" s="1"/>
  <c r="C161" i="52095"/>
  <c r="F161" i="52095" s="1"/>
  <c r="C94" i="52081"/>
  <c r="C118" i="52081"/>
  <c r="C126" i="52081"/>
  <c r="C152" i="52081"/>
  <c r="C66" i="52081"/>
  <c r="C77" i="52081"/>
  <c r="F77" i="52081" s="1"/>
  <c r="C90" i="52081"/>
  <c r="C138" i="52081"/>
  <c r="F138" i="52081" s="1"/>
  <c r="J138" i="52081" s="1"/>
  <c r="C161" i="52081"/>
  <c r="C179" i="52081"/>
  <c r="C39" i="52081"/>
  <c r="C97" i="52081"/>
  <c r="C114" i="52081"/>
  <c r="F114" i="52081" s="1"/>
  <c r="J114" i="52081" s="1"/>
  <c r="C125" i="52081"/>
  <c r="C148" i="52081"/>
  <c r="F148" i="52081" s="1"/>
  <c r="C163" i="52081"/>
  <c r="F163" i="52081" s="1"/>
  <c r="C35" i="52081"/>
  <c r="C74" i="52081"/>
  <c r="C141" i="52081"/>
  <c r="C180" i="52081"/>
  <c r="F180" i="52081" s="1"/>
  <c r="C127" i="52087"/>
  <c r="F127" i="52087" s="1"/>
  <c r="C165" i="52088"/>
  <c r="F165" i="52088" s="1"/>
  <c r="C119" i="52067"/>
  <c r="F119" i="52067" s="1"/>
  <c r="J119" i="52067" s="1"/>
  <c r="C27" i="52088"/>
  <c r="C95" i="101"/>
  <c r="C74" i="52067"/>
  <c r="C95" i="52067"/>
  <c r="C90" i="52071"/>
  <c r="F90" i="52071" s="1"/>
  <c r="C79" i="20"/>
  <c r="C39" i="12"/>
  <c r="C143" i="77"/>
  <c r="F143" i="77" s="1"/>
  <c r="C66" i="114"/>
  <c r="F66" i="114" s="1"/>
  <c r="C118" i="114"/>
  <c r="C42" i="115"/>
  <c r="C131" i="115"/>
  <c r="C113" i="20"/>
  <c r="L113" i="20" s="1"/>
  <c r="C171" i="20"/>
  <c r="F171" i="20" s="1"/>
  <c r="C26" i="12"/>
  <c r="C73" i="12"/>
  <c r="C122" i="12"/>
  <c r="C173" i="12"/>
  <c r="F173" i="12" s="1"/>
  <c r="C121" i="77"/>
  <c r="C79" i="52090"/>
  <c r="C142" i="52090"/>
  <c r="C156" i="52090"/>
  <c r="C26" i="52094"/>
  <c r="C88" i="52094"/>
  <c r="C180" i="52094"/>
  <c r="F180" i="52094" s="1"/>
  <c r="C121" i="52095"/>
  <c r="C24" i="52094"/>
  <c r="C105" i="52094"/>
  <c r="C143" i="52094"/>
  <c r="F143" i="52094" s="1"/>
  <c r="C152" i="52094"/>
  <c r="F152" i="52094" s="1"/>
  <c r="C66" i="52095"/>
  <c r="F66" i="52095" s="1"/>
  <c r="C77" i="52095"/>
  <c r="C90" i="52095"/>
  <c r="C110" i="52095"/>
  <c r="C134" i="52095"/>
  <c r="F134" i="52095" s="1"/>
  <c r="C138" i="52095"/>
  <c r="F138" i="52095" s="1"/>
  <c r="C150" i="52095"/>
  <c r="F150" i="52095" s="1"/>
  <c r="C161" i="115"/>
  <c r="F161" i="115" s="1"/>
  <c r="C41" i="20"/>
  <c r="C106" i="20"/>
  <c r="F106" i="20" s="1"/>
  <c r="C113" i="12"/>
  <c r="C161" i="12"/>
  <c r="F161" i="12" s="1"/>
  <c r="C66" i="77"/>
  <c r="F66" i="77" s="1"/>
  <c r="C85" i="77"/>
  <c r="F85" i="77" s="1"/>
  <c r="C145" i="77"/>
  <c r="C121" i="52090"/>
  <c r="C27" i="114"/>
  <c r="C83" i="114"/>
  <c r="C177" i="114"/>
  <c r="C39" i="115"/>
  <c r="C86" i="115"/>
  <c r="F86" i="115" s="1"/>
  <c r="C110" i="115"/>
  <c r="F110" i="115" s="1"/>
  <c r="C148" i="115"/>
  <c r="F148" i="115" s="1"/>
  <c r="C179" i="115"/>
  <c r="C86" i="20"/>
  <c r="F86" i="20" s="1"/>
  <c r="C100" i="20"/>
  <c r="F100" i="20" s="1"/>
  <c r="C122" i="20"/>
  <c r="L122" i="20" s="1"/>
  <c r="C165" i="20"/>
  <c r="F165" i="20" s="1"/>
  <c r="C74" i="12"/>
  <c r="C84" i="12"/>
  <c r="F84" i="12" s="1"/>
  <c r="C97" i="12"/>
  <c r="F97" i="12" s="1"/>
  <c r="C180" i="12"/>
  <c r="C90" i="77"/>
  <c r="C122" i="77"/>
  <c r="C179" i="77"/>
  <c r="C24" i="52090"/>
  <c r="C41" i="52090"/>
  <c r="C84" i="52090"/>
  <c r="C108" i="52090"/>
  <c r="F108" i="52090" s="1"/>
  <c r="J108" i="52090" s="1"/>
  <c r="C143" i="52090"/>
  <c r="C180" i="52090"/>
  <c r="F180" i="52090" s="1"/>
  <c r="C36" i="52094"/>
  <c r="C86" i="52094"/>
  <c r="C100" i="52094"/>
  <c r="F100" i="52094" s="1"/>
  <c r="C156" i="52094"/>
  <c r="C96" i="52095"/>
  <c r="C120" i="52095"/>
  <c r="F120" i="52095" s="1"/>
  <c r="C173" i="52095"/>
  <c r="C41" i="52094"/>
  <c r="C79" i="52094"/>
  <c r="C112" i="52094"/>
  <c r="F112" i="52094" s="1"/>
  <c r="C148" i="52094"/>
  <c r="C165" i="52094"/>
  <c r="C39" i="52095"/>
  <c r="C74" i="52095"/>
  <c r="C86" i="52095"/>
  <c r="F86" i="52095" s="1"/>
  <c r="C105" i="52095"/>
  <c r="C113" i="52095"/>
  <c r="C147" i="52095"/>
  <c r="C25" i="52081"/>
  <c r="C85" i="52081"/>
  <c r="F85" i="52081" s="1"/>
  <c r="C109" i="52081"/>
  <c r="F109" i="52081" s="1"/>
  <c r="J109" i="52081" s="1"/>
  <c r="C120" i="52081"/>
  <c r="C132" i="52081"/>
  <c r="F132" i="52081" s="1"/>
  <c r="J132" i="52081" s="1"/>
  <c r="C149" i="52081"/>
  <c r="C23" i="52081"/>
  <c r="C68" i="52081"/>
  <c r="C87" i="52081"/>
  <c r="C24" i="52081"/>
  <c r="C82" i="52081"/>
  <c r="F82" i="52081" s="1"/>
  <c r="C106" i="52081"/>
  <c r="F106" i="52081" s="1"/>
  <c r="J106" i="52081" s="1"/>
  <c r="C112" i="52081"/>
  <c r="C133" i="52081"/>
  <c r="C150" i="52081"/>
  <c r="F150" i="52081" s="1"/>
  <c r="C26" i="52081"/>
  <c r="C72" i="52081"/>
  <c r="F72" i="52081" s="1"/>
  <c r="C80" i="52081"/>
  <c r="F80" i="52081" s="1"/>
  <c r="C88" i="52081"/>
  <c r="C127" i="52081"/>
  <c r="F127" i="52081" s="1"/>
  <c r="J127" i="52081" s="1"/>
  <c r="C162" i="52081"/>
  <c r="C41" i="105"/>
  <c r="C82" i="105"/>
  <c r="F82" i="105" s="1"/>
  <c r="C99" i="105"/>
  <c r="F99" i="105" s="1"/>
  <c r="C35" i="52087"/>
  <c r="C162" i="105"/>
  <c r="F162" i="105" s="1"/>
  <c r="C99" i="52087"/>
  <c r="F99" i="52087" s="1"/>
  <c r="C121" i="52088"/>
  <c r="C73" i="101"/>
  <c r="C81" i="101"/>
  <c r="F81" i="101" s="1"/>
  <c r="C113" i="101"/>
  <c r="C145" i="101"/>
  <c r="F145" i="101" s="1"/>
  <c r="C110" i="52067"/>
  <c r="F110" i="52067" s="1"/>
  <c r="J110" i="52067" s="1"/>
  <c r="C138" i="52067"/>
  <c r="F138" i="52067" s="1"/>
  <c r="C28" i="105"/>
  <c r="C253" i="105" s="1"/>
  <c r="C78" i="105"/>
  <c r="F78" i="105" s="1"/>
  <c r="C125" i="105"/>
  <c r="F125" i="105" s="1"/>
  <c r="C82" i="52087"/>
  <c r="F82" i="52087" s="1"/>
  <c r="C90" i="52087"/>
  <c r="F90" i="52087" s="1"/>
  <c r="C113" i="52087"/>
  <c r="C143" i="52087"/>
  <c r="F143" i="52087" s="1"/>
  <c r="C119" i="52088"/>
  <c r="F119" i="52088" s="1"/>
  <c r="J119" i="52088" s="1"/>
  <c r="C42" i="101"/>
  <c r="C131" i="101"/>
  <c r="C64" i="105"/>
  <c r="C86" i="105"/>
  <c r="F86" i="105" s="1"/>
  <c r="C119" i="105"/>
  <c r="F119" i="105" s="1"/>
  <c r="C67" i="52087"/>
  <c r="F67" i="52087" s="1"/>
  <c r="J67" i="52087" s="1"/>
  <c r="J249" i="52087" s="1"/>
  <c r="C23" i="105"/>
  <c r="C147" i="52087"/>
  <c r="F147" i="52087" s="1"/>
  <c r="C66" i="101"/>
  <c r="F66" i="101" s="1"/>
  <c r="C85" i="101"/>
  <c r="F85" i="101" s="1"/>
  <c r="C141" i="101"/>
  <c r="F141" i="101" s="1"/>
  <c r="C134" i="52067"/>
  <c r="F134" i="52067" s="1"/>
  <c r="C150" i="52067"/>
  <c r="F150" i="52067" s="1"/>
  <c r="C74" i="105"/>
  <c r="F74" i="105" s="1"/>
  <c r="C97" i="105"/>
  <c r="F97" i="105" s="1"/>
  <c r="C72" i="52087"/>
  <c r="F72" i="52087" s="1"/>
  <c r="C86" i="52087"/>
  <c r="F86" i="52087" s="1"/>
  <c r="C24" i="52087"/>
  <c r="C135" i="52087"/>
  <c r="F135" i="52087" s="1"/>
  <c r="J135" i="52087" s="1"/>
  <c r="C180" i="52087"/>
  <c r="F180" i="52087" s="1"/>
  <c r="C25" i="101"/>
  <c r="C83" i="101"/>
  <c r="F83" i="101" s="1"/>
  <c r="C158" i="52095"/>
  <c r="C106" i="52094"/>
  <c r="F106" i="52094" s="1"/>
  <c r="C138" i="52094"/>
  <c r="F138" i="52094" s="1"/>
  <c r="C24" i="52095"/>
  <c r="C84" i="52095"/>
  <c r="C145" i="52095"/>
  <c r="C99" i="52081"/>
  <c r="C134" i="52081"/>
  <c r="F134" i="52081" s="1"/>
  <c r="J134" i="52081" s="1"/>
  <c r="C147" i="52081"/>
  <c r="C73" i="52081"/>
  <c r="C105" i="52081"/>
  <c r="C171" i="52081"/>
  <c r="F171" i="52081" s="1"/>
  <c r="C84" i="52081"/>
  <c r="F84" i="52081" s="1"/>
  <c r="C119" i="52081"/>
  <c r="C156" i="52081"/>
  <c r="C42" i="52081"/>
  <c r="C143" i="52081"/>
  <c r="F143" i="52081" s="1"/>
  <c r="C41" i="52088"/>
  <c r="C127" i="52067"/>
  <c r="F127" i="52067" s="1"/>
  <c r="C67" i="52067"/>
  <c r="F67" i="52067" s="1"/>
  <c r="J67" i="52067" s="1"/>
  <c r="J249" i="52067" s="1"/>
  <c r="C179" i="52067"/>
  <c r="C134" i="20"/>
  <c r="F134" i="20" s="1"/>
  <c r="C99" i="52090"/>
  <c r="C27" i="115"/>
  <c r="C141" i="115"/>
  <c r="C179" i="20"/>
  <c r="L179" i="20" s="1"/>
  <c r="C90" i="12"/>
  <c r="C91" i="77"/>
  <c r="C132" i="52090"/>
  <c r="F132" i="52090" s="1"/>
  <c r="J132" i="52090" s="1"/>
  <c r="C173" i="52090"/>
  <c r="C121" i="52094"/>
  <c r="C180" i="52095"/>
  <c r="C109" i="52094"/>
  <c r="C27" i="52095"/>
  <c r="C85" i="52095"/>
  <c r="F85" i="52095" s="1"/>
  <c r="C114" i="52095"/>
  <c r="C142" i="52095"/>
  <c r="C26" i="20"/>
  <c r="C105" i="12"/>
  <c r="C27" i="77"/>
  <c r="C109" i="77"/>
  <c r="C161" i="52090"/>
  <c r="F161" i="52090" s="1"/>
  <c r="C100" i="114"/>
  <c r="C82" i="115"/>
  <c r="F82" i="115" s="1"/>
  <c r="C114" i="115"/>
  <c r="F114" i="115" s="1"/>
  <c r="C39" i="20"/>
  <c r="C118" i="20"/>
  <c r="C180" i="20"/>
  <c r="C88" i="12"/>
  <c r="F88" i="12" s="1"/>
  <c r="C35" i="77"/>
  <c r="C158" i="77"/>
  <c r="F158" i="77" s="1"/>
  <c r="J158" i="77" s="1"/>
  <c r="C28" i="52090"/>
  <c r="C253" i="52090" s="1"/>
  <c r="C88" i="52090"/>
  <c r="C147" i="52090"/>
  <c r="C67" i="52094"/>
  <c r="C120" i="52094"/>
  <c r="C100" i="52095"/>
  <c r="F100" i="52095" s="1"/>
  <c r="C177" i="52095"/>
  <c r="C108" i="52094"/>
  <c r="C162" i="52094"/>
  <c r="F162" i="52094" s="1"/>
  <c r="C72" i="52095"/>
  <c r="F72" i="52095" s="1"/>
  <c r="C91" i="52095"/>
  <c r="F91" i="52095" s="1"/>
  <c r="C143" i="52095"/>
  <c r="F143" i="52095" s="1"/>
  <c r="C64" i="52081"/>
  <c r="C113" i="52081"/>
  <c r="C145" i="52081"/>
  <c r="C41" i="52081"/>
  <c r="C165" i="52081"/>
  <c r="C95" i="52081"/>
  <c r="C121" i="52081"/>
  <c r="C158" i="52081"/>
  <c r="C76" i="52081"/>
  <c r="C91" i="52081"/>
  <c r="F91" i="52081" s="1"/>
  <c r="C178" i="52081"/>
  <c r="C26" i="105"/>
  <c r="C91" i="105"/>
  <c r="F91" i="105" s="1"/>
  <c r="C84" i="52087"/>
  <c r="F84" i="52087" s="1"/>
  <c r="C158" i="52087"/>
  <c r="F158" i="52087" s="1"/>
  <c r="J158" i="52087" s="1"/>
  <c r="C114" i="52067"/>
  <c r="F114" i="52067" s="1"/>
  <c r="C67" i="105"/>
  <c r="F67" i="105" s="1"/>
  <c r="C182" i="105"/>
  <c r="F182" i="105" s="1"/>
  <c r="C105" i="52087"/>
  <c r="C95" i="52088"/>
  <c r="C79" i="101"/>
  <c r="C76" i="105"/>
  <c r="F76" i="105" s="1"/>
  <c r="C127" i="105"/>
  <c r="F127" i="105" s="1"/>
  <c r="C131" i="52087"/>
  <c r="C77" i="101"/>
  <c r="F77" i="101" s="1"/>
  <c r="G77" i="101" s="1"/>
  <c r="C112" i="52067"/>
  <c r="F112" i="52067" s="1"/>
  <c r="J112" i="52067" s="1"/>
  <c r="C24" i="105"/>
  <c r="C121" i="105"/>
  <c r="C160" i="105"/>
  <c r="F160" i="105" s="1"/>
  <c r="C152" i="52087"/>
  <c r="F152" i="52087" s="1"/>
  <c r="C68" i="101"/>
  <c r="C118" i="52095"/>
  <c r="C114" i="52094"/>
  <c r="C150" i="52094"/>
  <c r="F150" i="52094" s="1"/>
  <c r="C41" i="52095"/>
  <c r="C131" i="52095"/>
  <c r="C83" i="52081"/>
  <c r="F83" i="52081" s="1"/>
  <c r="C122" i="52081"/>
  <c r="C28" i="52081"/>
  <c r="C253" i="52081" s="1"/>
  <c r="C81" i="52081"/>
  <c r="F81" i="52081" s="1"/>
  <c r="C142" i="52081"/>
  <c r="C27" i="52081"/>
  <c r="C100" i="52081"/>
  <c r="F100" i="52081" s="1"/>
  <c r="C131" i="52081"/>
  <c r="C173" i="52081"/>
  <c r="C78" i="52081"/>
  <c r="C39" i="52087"/>
  <c r="C156" i="101"/>
  <c r="C77" i="52088"/>
  <c r="F77" i="52088" s="1"/>
  <c r="J77" i="52088" s="1"/>
  <c r="C91" i="52067"/>
  <c r="F91" i="52067" s="1"/>
  <c r="C112" i="114"/>
  <c r="C119" i="115"/>
  <c r="F119" i="115" s="1"/>
  <c r="C79" i="77"/>
  <c r="C85" i="114"/>
  <c r="F85" i="114" s="1"/>
  <c r="C83" i="115"/>
  <c r="F83" i="115" s="1"/>
  <c r="C125" i="20"/>
  <c r="C41" i="12"/>
  <c r="C158" i="12"/>
  <c r="F158" i="12" s="1"/>
  <c r="J158" i="12" s="1"/>
  <c r="C68" i="52090"/>
  <c r="C150" i="52090"/>
  <c r="F150" i="52090" s="1"/>
  <c r="G150" i="52090" s="1"/>
  <c r="C35" i="52094"/>
  <c r="C97" i="52095"/>
  <c r="F97" i="52095" s="1"/>
  <c r="C42" i="52094"/>
  <c r="C147" i="52094"/>
  <c r="F147" i="52094" s="1"/>
  <c r="C73" i="52095"/>
  <c r="F73" i="52095" s="1"/>
  <c r="C106" i="52095"/>
  <c r="F106" i="52095" s="1"/>
  <c r="C121" i="115"/>
  <c r="C77" i="20"/>
  <c r="F77" i="20" s="1"/>
  <c r="C141" i="12"/>
  <c r="C77" i="77"/>
  <c r="C161" i="77"/>
  <c r="F161" i="77" s="1"/>
  <c r="C42" i="114"/>
  <c r="C26" i="115"/>
  <c r="C106" i="115"/>
  <c r="F106" i="115" s="1"/>
  <c r="C158" i="115"/>
  <c r="F158" i="115" s="1"/>
  <c r="C96" i="20"/>
  <c r="C147" i="20"/>
  <c r="F147" i="20" s="1"/>
  <c r="C78" i="12"/>
  <c r="C121" i="12"/>
  <c r="C118" i="77"/>
  <c r="C67" i="52090"/>
  <c r="F67" i="52090" s="1"/>
  <c r="C112" i="52090"/>
  <c r="F112" i="52090" s="1"/>
  <c r="C27" i="52094"/>
  <c r="C96" i="52094"/>
  <c r="F96" i="52094" s="1"/>
  <c r="C36" i="52095"/>
  <c r="C156" i="52095"/>
  <c r="C68" i="52094"/>
  <c r="F68" i="52094" s="1"/>
  <c r="C132" i="52094"/>
  <c r="F132" i="52094" s="1"/>
  <c r="C26" i="52095"/>
  <c r="C82" i="52095"/>
  <c r="C109" i="52095"/>
  <c r="F109" i="52095" s="1"/>
  <c r="C152" i="52095"/>
  <c r="F152" i="52095" s="1"/>
  <c r="C96" i="52081"/>
  <c r="F96" i="52081" s="1"/>
  <c r="J96" i="52081" s="1"/>
  <c r="C124" i="52081"/>
  <c r="C176" i="52081"/>
  <c r="F176" i="52081" s="1"/>
  <c r="C79" i="52081"/>
  <c r="C36" i="52081"/>
  <c r="C110" i="52081"/>
  <c r="C135" i="52081"/>
  <c r="F135" i="52081" s="1"/>
  <c r="J135" i="52081" s="1"/>
  <c r="C67" i="52081"/>
  <c r="C86" i="52081"/>
  <c r="C160" i="52081"/>
  <c r="C72" i="105"/>
  <c r="F72" i="105" s="1"/>
  <c r="C180" i="105"/>
  <c r="F180" i="105" s="1"/>
  <c r="C28" i="52087"/>
  <c r="C253" i="52087" s="1"/>
  <c r="C180" i="52088"/>
  <c r="F180" i="52088" s="1"/>
  <c r="C105" i="101"/>
  <c r="C161" i="101"/>
  <c r="F161" i="101" s="1"/>
  <c r="C162" i="52067"/>
  <c r="F162" i="52067" s="1"/>
  <c r="G162" i="52067" s="1"/>
  <c r="C84" i="105"/>
  <c r="F84" i="105" s="1"/>
  <c r="C165" i="105"/>
  <c r="F165" i="105" s="1"/>
  <c r="C127" i="52088"/>
  <c r="F127" i="52088" s="1"/>
  <c r="C35" i="105"/>
  <c r="C95" i="105"/>
  <c r="C88" i="52087"/>
  <c r="F88" i="52087" s="1"/>
  <c r="C27" i="101"/>
  <c r="C109" i="101"/>
  <c r="F109" i="101" s="1"/>
  <c r="J109" i="101" s="1"/>
  <c r="C142" i="52067"/>
  <c r="F142" i="52067" s="1"/>
  <c r="C88" i="105"/>
  <c r="F88" i="105" s="1"/>
  <c r="C80" i="52087"/>
  <c r="F80" i="52087" s="1"/>
  <c r="C109" i="52087"/>
  <c r="F109" i="52087" s="1"/>
  <c r="J109" i="52087" s="1"/>
  <c r="C99" i="52088"/>
  <c r="F99" i="52088" s="1"/>
  <c r="J99" i="52088" s="1"/>
  <c r="C197" i="52100"/>
  <c r="C193" i="52100"/>
  <c r="F193" i="52100" s="1"/>
  <c r="C189" i="52100"/>
  <c r="F189" i="52100" s="1"/>
  <c r="C181" i="52100"/>
  <c r="C177" i="52100"/>
  <c r="C173" i="52100"/>
  <c r="C166" i="52100"/>
  <c r="C162" i="52100"/>
  <c r="C158" i="52100"/>
  <c r="C150" i="52100"/>
  <c r="C146" i="52100"/>
  <c r="C142" i="52100"/>
  <c r="C138" i="52100"/>
  <c r="F138" i="52100" s="1"/>
  <c r="C134" i="52100"/>
  <c r="F134" i="52100" s="1"/>
  <c r="C127" i="52100"/>
  <c r="C123" i="52100"/>
  <c r="L123" i="52100" s="1"/>
  <c r="C119" i="52100"/>
  <c r="C112" i="52100"/>
  <c r="C108" i="52100"/>
  <c r="C101" i="52100"/>
  <c r="C97" i="52100"/>
  <c r="C93" i="52100"/>
  <c r="C88" i="52100"/>
  <c r="C84" i="52100"/>
  <c r="C80" i="52100"/>
  <c r="C76" i="52100"/>
  <c r="C72" i="52100"/>
  <c r="C65" i="52100"/>
  <c r="C41" i="52100"/>
  <c r="C36" i="52100"/>
  <c r="C27" i="52100"/>
  <c r="C23" i="52100"/>
  <c r="C16" i="52100"/>
  <c r="F16" i="52100" s="1"/>
  <c r="J16" i="52100" s="1"/>
  <c r="C12" i="52100"/>
  <c r="F12" i="52100" s="1"/>
  <c r="J12" i="52100" s="1"/>
  <c r="C22" i="93"/>
  <c r="C131" i="32"/>
  <c r="C108" i="52067"/>
  <c r="F108" i="52067" s="1"/>
  <c r="J108" i="52067" s="1"/>
  <c r="C36" i="52064"/>
  <c r="C13" i="105"/>
  <c r="F13" i="105" s="1"/>
  <c r="C139" i="105"/>
  <c r="F139" i="105" s="1"/>
  <c r="C23" i="108"/>
  <c r="C121" i="108"/>
  <c r="C197" i="108"/>
  <c r="F197" i="108" s="1"/>
  <c r="J197" i="108" s="1"/>
  <c r="C177" i="52087"/>
  <c r="F177" i="52087" s="1"/>
  <c r="C111" i="52088"/>
  <c r="F111" i="52088" s="1"/>
  <c r="J111" i="52088" s="1"/>
  <c r="C15" i="101"/>
  <c r="F15" i="101" s="1"/>
  <c r="J15" i="101" s="1"/>
  <c r="C190" i="52067"/>
  <c r="F190" i="52067" s="1"/>
  <c r="J190" i="52067" s="1"/>
  <c r="C198" i="52067"/>
  <c r="F198" i="52067" s="1"/>
  <c r="J198" i="52067" s="1"/>
  <c r="C39" i="52079"/>
  <c r="C120" i="52079"/>
  <c r="F120" i="52079" s="1"/>
  <c r="J120" i="52079" s="1"/>
  <c r="C176" i="52071"/>
  <c r="F176" i="52071" s="1"/>
  <c r="C182" i="52071"/>
  <c r="F182" i="52071" s="1"/>
  <c r="C195" i="52071"/>
  <c r="F195" i="52071" s="1"/>
  <c r="J195" i="52071" s="1"/>
  <c r="C76" i="52088"/>
  <c r="F76" i="52088" s="1"/>
  <c r="C92" i="101"/>
  <c r="F92" i="101" s="1"/>
  <c r="C11" i="52067"/>
  <c r="F11" i="52067" s="1"/>
  <c r="J11" i="52067" s="1"/>
  <c r="C87" i="52067"/>
  <c r="F87" i="52067" s="1"/>
  <c r="C98" i="52067"/>
  <c r="F98" i="52067" s="1"/>
  <c r="C172" i="52067"/>
  <c r="F172" i="52067" s="1"/>
  <c r="C18" i="52079"/>
  <c r="F18" i="52079" s="1"/>
  <c r="C175" i="52079"/>
  <c r="F175" i="52079" s="1"/>
  <c r="C189" i="52079"/>
  <c r="F189" i="52079" s="1"/>
  <c r="J189" i="52079" s="1"/>
  <c r="C135" i="52071"/>
  <c r="F135" i="52071" s="1"/>
  <c r="C19" i="114"/>
  <c r="F19" i="114" s="1"/>
  <c r="J19" i="114" s="1"/>
  <c r="C139" i="114"/>
  <c r="F139" i="114" s="1"/>
  <c r="J139" i="114" s="1"/>
  <c r="C18" i="115"/>
  <c r="F18" i="115" s="1"/>
  <c r="C120" i="21"/>
  <c r="F120" i="21" s="1"/>
  <c r="C190" i="21"/>
  <c r="F190" i="21" s="1"/>
  <c r="C10" i="52064"/>
  <c r="F10" i="52064" s="1"/>
  <c r="C148" i="52064"/>
  <c r="F148" i="52064" s="1"/>
  <c r="C19" i="148"/>
  <c r="F19" i="148" s="1"/>
  <c r="C79" i="148"/>
  <c r="C121" i="148"/>
  <c r="C170" i="21"/>
  <c r="C180" i="52064"/>
  <c r="F180" i="52064" s="1"/>
  <c r="C174" i="148"/>
  <c r="F174" i="148" s="1"/>
  <c r="C175" i="105"/>
  <c r="F175" i="105" s="1"/>
  <c r="C66" i="108"/>
  <c r="F66" i="108" s="1"/>
  <c r="C112" i="108"/>
  <c r="F112" i="108" s="1"/>
  <c r="J112" i="108" s="1"/>
  <c r="C165" i="108"/>
  <c r="F165" i="108" s="1"/>
  <c r="C158" i="21"/>
  <c r="F158" i="21" s="1"/>
  <c r="C96" i="52064"/>
  <c r="F96" i="52064" s="1"/>
  <c r="C191" i="52064"/>
  <c r="F191" i="52064" s="1"/>
  <c r="C150" i="148"/>
  <c r="F150" i="148" s="1"/>
  <c r="C101" i="52087"/>
  <c r="F101" i="52087" s="1"/>
  <c r="C197" i="52087"/>
  <c r="F197" i="52087" s="1"/>
  <c r="J197" i="52087" s="1"/>
  <c r="C177" i="52088"/>
  <c r="F177" i="52088" s="1"/>
  <c r="C187" i="101"/>
  <c r="C133" i="52067"/>
  <c r="F133" i="52067" s="1"/>
  <c r="C41" i="52064"/>
  <c r="C124" i="108"/>
  <c r="F124" i="108" s="1"/>
  <c r="C125" i="52067"/>
  <c r="F125" i="52067" s="1"/>
  <c r="C199" i="52067"/>
  <c r="F199" i="52067" s="1"/>
  <c r="J199" i="52067" s="1"/>
  <c r="C97" i="52079"/>
  <c r="F97" i="52079" s="1"/>
  <c r="J97" i="52079" s="1"/>
  <c r="C125" i="52079"/>
  <c r="F125" i="52079" s="1"/>
  <c r="C11" i="52071"/>
  <c r="F11" i="52071" s="1"/>
  <c r="C75" i="52071"/>
  <c r="F75" i="52071" s="1"/>
  <c r="C164" i="52071"/>
  <c r="F164" i="52071" s="1"/>
  <c r="C12" i="101"/>
  <c r="F12" i="101" s="1"/>
  <c r="C101" i="101"/>
  <c r="F101" i="101" s="1"/>
  <c r="C101" i="52067"/>
  <c r="F101" i="52067" s="1"/>
  <c r="C15" i="52079"/>
  <c r="F15" i="52079" s="1"/>
  <c r="J15" i="52079" s="1"/>
  <c r="C67" i="52079"/>
  <c r="F67" i="52079" s="1"/>
  <c r="J67" i="52079" s="1"/>
  <c r="J249" i="52079" s="1"/>
  <c r="C196" i="52100"/>
  <c r="C192" i="52100"/>
  <c r="C188" i="52100"/>
  <c r="C180" i="52100"/>
  <c r="C176" i="52100"/>
  <c r="C172" i="52100"/>
  <c r="C165" i="52100"/>
  <c r="C161" i="52100"/>
  <c r="C157" i="52100"/>
  <c r="C149" i="52100"/>
  <c r="C145" i="52100"/>
  <c r="C141" i="52100"/>
  <c r="C137" i="52100"/>
  <c r="C133" i="52100"/>
  <c r="C126" i="52100"/>
  <c r="C122" i="52100"/>
  <c r="L122" i="52100" s="1"/>
  <c r="C118" i="52100"/>
  <c r="C111" i="52100"/>
  <c r="C107" i="52100"/>
  <c r="C100" i="52100"/>
  <c r="C96" i="52100"/>
  <c r="C92" i="52100"/>
  <c r="C87" i="52100"/>
  <c r="C83" i="52100"/>
  <c r="C79" i="52100"/>
  <c r="C75" i="52100"/>
  <c r="C68" i="52100"/>
  <c r="C64" i="52100"/>
  <c r="C40" i="52100"/>
  <c r="C35" i="52100"/>
  <c r="C26" i="52100"/>
  <c r="C19" i="52100"/>
  <c r="F19" i="52100" s="1"/>
  <c r="C15" i="52100"/>
  <c r="F15" i="52100" s="1"/>
  <c r="J15" i="52100" s="1"/>
  <c r="C11" i="52100"/>
  <c r="F11" i="52100" s="1"/>
  <c r="J11" i="52100" s="1"/>
  <c r="C98" i="93"/>
  <c r="F98" i="93" s="1"/>
  <c r="C199" i="52081"/>
  <c r="F199" i="52081" s="1"/>
  <c r="J199" i="52081" s="1"/>
  <c r="C166" i="101"/>
  <c r="F166" i="101" s="1"/>
  <c r="C49" i="52067"/>
  <c r="C144" i="52067"/>
  <c r="F144" i="52067" s="1"/>
  <c r="J144" i="52067" s="1"/>
  <c r="C106" i="148"/>
  <c r="F106" i="148" s="1"/>
  <c r="C101" i="108"/>
  <c r="F101" i="108" s="1"/>
  <c r="C175" i="108"/>
  <c r="F175" i="108" s="1"/>
  <c r="C10" i="52087"/>
  <c r="F10" i="52087" s="1"/>
  <c r="C140" i="52087"/>
  <c r="F140" i="52087" s="1"/>
  <c r="C192" i="52087"/>
  <c r="F192" i="52087" s="1"/>
  <c r="J192" i="52087" s="1"/>
  <c r="C139" i="52088"/>
  <c r="F139" i="52088" s="1"/>
  <c r="C12" i="52067"/>
  <c r="F12" i="52067" s="1"/>
  <c r="C188" i="52067"/>
  <c r="F188" i="52067" s="1"/>
  <c r="J188" i="52067" s="1"/>
  <c r="C196" i="52067"/>
  <c r="F196" i="52067" s="1"/>
  <c r="J196" i="52067" s="1"/>
  <c r="C24" i="52079"/>
  <c r="C100" i="52079"/>
  <c r="F100" i="52079" s="1"/>
  <c r="C122" i="52079"/>
  <c r="C126" i="52071"/>
  <c r="F126" i="52071" s="1"/>
  <c r="C174" i="52071"/>
  <c r="F174" i="52071" s="1"/>
  <c r="C193" i="52071"/>
  <c r="F193" i="52071" s="1"/>
  <c r="J193" i="52071" s="1"/>
  <c r="C9" i="114"/>
  <c r="F9" i="114" s="1"/>
  <c r="C37" i="52088"/>
  <c r="C37" i="101"/>
  <c r="C81" i="52067"/>
  <c r="F81" i="52067" s="1"/>
  <c r="C173" i="52079"/>
  <c r="F173" i="52079" s="1"/>
  <c r="C181" i="52079"/>
  <c r="F181" i="52079" s="1"/>
  <c r="C107" i="52071"/>
  <c r="F107" i="52071" s="1"/>
  <c r="C133" i="52071"/>
  <c r="F133" i="52071" s="1"/>
  <c r="C163" i="114"/>
  <c r="F163" i="114" s="1"/>
  <c r="C86" i="21"/>
  <c r="F86" i="21" s="1"/>
  <c r="C138" i="21"/>
  <c r="F138" i="21" s="1"/>
  <c r="C96" i="21"/>
  <c r="F96" i="21" s="1"/>
  <c r="C132" i="52064"/>
  <c r="F132" i="52064" s="1"/>
  <c r="C198" i="52064"/>
  <c r="F198" i="52064" s="1"/>
  <c r="C87" i="148"/>
  <c r="F87" i="148" s="1"/>
  <c r="C99" i="21"/>
  <c r="F99" i="21" s="1"/>
  <c r="C174" i="21"/>
  <c r="F174" i="21" s="1"/>
  <c r="C126" i="52064"/>
  <c r="F126" i="52064" s="1"/>
  <c r="C157" i="148"/>
  <c r="F157" i="148" s="1"/>
  <c r="C195" i="148"/>
  <c r="F195" i="148" s="1"/>
  <c r="C81" i="105"/>
  <c r="F81" i="105" s="1"/>
  <c r="C183" i="105"/>
  <c r="F183" i="105" s="1"/>
  <c r="C77" i="108"/>
  <c r="F77" i="108" s="1"/>
  <c r="G77" i="108" s="1"/>
  <c r="C132" i="108"/>
  <c r="F132" i="108" s="1"/>
  <c r="J132" i="108" s="1"/>
  <c r="C68" i="52064"/>
  <c r="F68" i="52064" s="1"/>
  <c r="C134" i="148"/>
  <c r="F134" i="148" s="1"/>
  <c r="C189" i="52087"/>
  <c r="F189" i="52087" s="1"/>
  <c r="J189" i="52087" s="1"/>
  <c r="C164" i="52088"/>
  <c r="F164" i="52088" s="1"/>
  <c r="C8" i="101"/>
  <c r="C195" i="101"/>
  <c r="F195" i="101" s="1"/>
  <c r="J195" i="101" s="1"/>
  <c r="C114" i="148"/>
  <c r="F114" i="148" s="1"/>
  <c r="C11" i="108"/>
  <c r="F11" i="108" s="1"/>
  <c r="J11" i="108" s="1"/>
  <c r="C178" i="108"/>
  <c r="F178" i="108" s="1"/>
  <c r="C171" i="101"/>
  <c r="F171" i="101" s="1"/>
  <c r="C187" i="52067"/>
  <c r="C8" i="52079"/>
  <c r="C121" i="52079"/>
  <c r="C166" i="52079"/>
  <c r="F166" i="52079" s="1"/>
  <c r="C101" i="52071"/>
  <c r="F101" i="52071" s="1"/>
  <c r="C157" i="52071"/>
  <c r="F157" i="52071" s="1"/>
  <c r="J157" i="52071" s="1"/>
  <c r="C49" i="52088"/>
  <c r="C92" i="52088"/>
  <c r="F92" i="52088" s="1"/>
  <c r="C42" i="52079"/>
  <c r="C8" i="114"/>
  <c r="C17" i="20"/>
  <c r="F17" i="20" s="1"/>
  <c r="C9" i="12"/>
  <c r="F9" i="12" s="1"/>
  <c r="C140" i="12"/>
  <c r="C16" i="114"/>
  <c r="F16" i="114" s="1"/>
  <c r="J16" i="114" s="1"/>
  <c r="C81" i="20"/>
  <c r="C139" i="20"/>
  <c r="C49" i="12"/>
  <c r="C35" i="52089"/>
  <c r="C74" i="52089"/>
  <c r="C82" i="52089"/>
  <c r="C99" i="52089"/>
  <c r="C127" i="52089"/>
  <c r="F127" i="52089" s="1"/>
  <c r="C190" i="101"/>
  <c r="F190" i="101" s="1"/>
  <c r="J190" i="101" s="1"/>
  <c r="C160" i="148"/>
  <c r="F160" i="148" s="1"/>
  <c r="C123" i="108"/>
  <c r="C29" i="52087"/>
  <c r="C173" i="52087"/>
  <c r="F173" i="52087" s="1"/>
  <c r="C159" i="101"/>
  <c r="F159" i="101" s="1"/>
  <c r="J159" i="101" s="1"/>
  <c r="C164" i="52067"/>
  <c r="F164" i="52067" s="1"/>
  <c r="C12" i="52071"/>
  <c r="F12" i="52071" s="1"/>
  <c r="C40" i="52071"/>
  <c r="C98" i="52071"/>
  <c r="F98" i="52071" s="1"/>
  <c r="C29" i="52088"/>
  <c r="C40" i="52079"/>
  <c r="C79" i="52079"/>
  <c r="C132" i="52079"/>
  <c r="F132" i="52079" s="1"/>
  <c r="J132" i="52079" s="1"/>
  <c r="C140" i="52079"/>
  <c r="F140" i="52079" s="1"/>
  <c r="J140" i="52079" s="1"/>
  <c r="C197" i="52079"/>
  <c r="F197" i="52079" s="1"/>
  <c r="J197" i="52079" s="1"/>
  <c r="C139" i="52071"/>
  <c r="F139" i="52071" s="1"/>
  <c r="C187" i="21"/>
  <c r="C17" i="21"/>
  <c r="F17" i="21" s="1"/>
  <c r="C12" i="148"/>
  <c r="F12" i="148" s="1"/>
  <c r="C172" i="52064"/>
  <c r="F172" i="52064" s="1"/>
  <c r="C94" i="105"/>
  <c r="F94" i="105" s="1"/>
  <c r="C73" i="108"/>
  <c r="F73" i="108" s="1"/>
  <c r="C92" i="52064"/>
  <c r="F92" i="52064" s="1"/>
  <c r="C10" i="52088"/>
  <c r="F10" i="52088" s="1"/>
  <c r="C96" i="108"/>
  <c r="F96" i="108" s="1"/>
  <c r="J96" i="108" s="1"/>
  <c r="C174" i="108"/>
  <c r="F174" i="108" s="1"/>
  <c r="C175" i="101"/>
  <c r="F175" i="101" s="1"/>
  <c r="C194" i="52087"/>
  <c r="F194" i="52087" s="1"/>
  <c r="J194" i="52087" s="1"/>
  <c r="C141" i="52079"/>
  <c r="F141" i="52079" s="1"/>
  <c r="C149" i="52079"/>
  <c r="F149" i="52079" s="1"/>
  <c r="C194" i="52079"/>
  <c r="F194" i="52079" s="1"/>
  <c r="J194" i="52079" s="1"/>
  <c r="C12" i="20"/>
  <c r="F12" i="20" s="1"/>
  <c r="C190" i="20"/>
  <c r="C146" i="77"/>
  <c r="C28" i="52089"/>
  <c r="C253" i="52089" s="1"/>
  <c r="C76" i="52089"/>
  <c r="F76" i="52089" s="1"/>
  <c r="C125" i="52089"/>
  <c r="F125" i="52089" s="1"/>
  <c r="C193" i="52089"/>
  <c r="F193" i="52089" s="1"/>
  <c r="J193" i="52089" s="1"/>
  <c r="C94" i="52090"/>
  <c r="F94" i="52090" s="1"/>
  <c r="C24" i="52091"/>
  <c r="C113" i="52091"/>
  <c r="C143" i="52091"/>
  <c r="F143" i="52091" s="1"/>
  <c r="C12" i="52092"/>
  <c r="F12" i="52092" s="1"/>
  <c r="C74" i="114"/>
  <c r="C101" i="114"/>
  <c r="C159" i="114"/>
  <c r="F159" i="114" s="1"/>
  <c r="J159" i="114" s="1"/>
  <c r="C188" i="114"/>
  <c r="C76" i="21"/>
  <c r="F76" i="21" s="1"/>
  <c r="C183" i="21"/>
  <c r="F183" i="21" s="1"/>
  <c r="C157" i="21"/>
  <c r="F157" i="21" s="1"/>
  <c r="C110" i="52064"/>
  <c r="F110" i="52064" s="1"/>
  <c r="J110" i="52064" s="1"/>
  <c r="C183" i="52064"/>
  <c r="F183" i="52064" s="1"/>
  <c r="C81" i="148"/>
  <c r="F81" i="148" s="1"/>
  <c r="C64" i="21"/>
  <c r="C172" i="21"/>
  <c r="F172" i="21" s="1"/>
  <c r="C174" i="52064"/>
  <c r="F174" i="52064" s="1"/>
  <c r="C93" i="148"/>
  <c r="F93" i="148" s="1"/>
  <c r="C12" i="105"/>
  <c r="F12" i="105" s="1"/>
  <c r="C181" i="105"/>
  <c r="F181" i="105" s="1"/>
  <c r="C17" i="108"/>
  <c r="F17" i="108" s="1"/>
  <c r="C79" i="108"/>
  <c r="C138" i="108"/>
  <c r="F138" i="108" s="1"/>
  <c r="C15" i="52064"/>
  <c r="F15" i="52064" s="1"/>
  <c r="C90" i="52064"/>
  <c r="F90" i="52064" s="1"/>
  <c r="C136" i="148"/>
  <c r="F136" i="148" s="1"/>
  <c r="C12" i="52087"/>
  <c r="F12" i="52087" s="1"/>
  <c r="C171" i="52088"/>
  <c r="F171" i="52088" s="1"/>
  <c r="C19" i="101"/>
  <c r="F19" i="101" s="1"/>
  <c r="C144" i="101"/>
  <c r="F144" i="101" s="1"/>
  <c r="J144" i="101" s="1"/>
  <c r="C111" i="52067"/>
  <c r="F111" i="52067" s="1"/>
  <c r="J111" i="52067" s="1"/>
  <c r="C142" i="21"/>
  <c r="F142" i="21" s="1"/>
  <c r="C13" i="108"/>
  <c r="F13" i="108" s="1"/>
  <c r="C180" i="108"/>
  <c r="F180" i="108" s="1"/>
  <c r="C123" i="52087"/>
  <c r="F123" i="52087" s="1"/>
  <c r="C163" i="52079"/>
  <c r="F163" i="52079" s="1"/>
  <c r="C159" i="52071"/>
  <c r="F159" i="52071" s="1"/>
  <c r="J159" i="52071" s="1"/>
  <c r="C40" i="52088"/>
  <c r="C13" i="52079"/>
  <c r="F13" i="52079" s="1"/>
  <c r="C25" i="52079"/>
  <c r="C76" i="52079"/>
  <c r="F76" i="52079" s="1"/>
  <c r="C93" i="52079"/>
  <c r="F93" i="52079" s="1"/>
  <c r="C143" i="52079"/>
  <c r="F143" i="52079" s="1"/>
  <c r="C152" i="52079"/>
  <c r="F152" i="52079" s="1"/>
  <c r="C188" i="52079"/>
  <c r="F188" i="52079" s="1"/>
  <c r="J188" i="52079" s="1"/>
  <c r="C18" i="114"/>
  <c r="F18" i="114" s="1"/>
  <c r="J18" i="114" s="1"/>
  <c r="C163" i="115"/>
  <c r="C64" i="20"/>
  <c r="C192" i="20"/>
  <c r="C139" i="77"/>
  <c r="C29" i="52089"/>
  <c r="C85" i="52089"/>
  <c r="C98" i="52089"/>
  <c r="F98" i="52089" s="1"/>
  <c r="C196" i="52089"/>
  <c r="C138" i="52091"/>
  <c r="F138" i="52091" s="1"/>
  <c r="J138" i="52091" s="1"/>
  <c r="C40" i="114"/>
  <c r="C98" i="114"/>
  <c r="C194" i="114"/>
  <c r="F194" i="114" s="1"/>
  <c r="J194" i="114" s="1"/>
  <c r="C23" i="115"/>
  <c r="C81" i="115"/>
  <c r="F81" i="115" s="1"/>
  <c r="C176" i="115"/>
  <c r="F176" i="115" s="1"/>
  <c r="C191" i="115"/>
  <c r="F191" i="115" s="1"/>
  <c r="C123" i="20"/>
  <c r="C37" i="12"/>
  <c r="C181" i="12"/>
  <c r="C14" i="77"/>
  <c r="F14" i="77" s="1"/>
  <c r="J14" i="77" s="1"/>
  <c r="C93" i="77"/>
  <c r="F93" i="77" s="1"/>
  <c r="C174" i="77"/>
  <c r="C197" i="77"/>
  <c r="F197" i="77" s="1"/>
  <c r="J197" i="77" s="1"/>
  <c r="C113" i="52089"/>
  <c r="C139" i="52089"/>
  <c r="F139" i="52089" s="1"/>
  <c r="J139" i="52089" s="1"/>
  <c r="C11" i="52090"/>
  <c r="F11" i="52090" s="1"/>
  <c r="C24" i="52064"/>
  <c r="C119" i="108"/>
  <c r="F119" i="108" s="1"/>
  <c r="J119" i="108" s="1"/>
  <c r="C136" i="52087"/>
  <c r="F136" i="52087" s="1"/>
  <c r="C135" i="52088"/>
  <c r="F135" i="52088" s="1"/>
  <c r="C126" i="52079"/>
  <c r="F126" i="52079" s="1"/>
  <c r="C29" i="52071"/>
  <c r="C187" i="52071"/>
  <c r="C35" i="52079"/>
  <c r="C85" i="52079"/>
  <c r="F85" i="52079" s="1"/>
  <c r="C106" i="52079"/>
  <c r="F106" i="52079" s="1"/>
  <c r="J106" i="52079" s="1"/>
  <c r="C110" i="52079"/>
  <c r="C164" i="52079"/>
  <c r="F164" i="52079" s="1"/>
  <c r="C17" i="114"/>
  <c r="F17" i="114" s="1"/>
  <c r="J17" i="114" s="1"/>
  <c r="C149" i="114"/>
  <c r="C49" i="21"/>
  <c r="C108" i="52064"/>
  <c r="F108" i="52064" s="1"/>
  <c r="C26" i="148"/>
  <c r="C125" i="148"/>
  <c r="F125" i="148" s="1"/>
  <c r="C122" i="52064"/>
  <c r="C35" i="108"/>
  <c r="C160" i="108"/>
  <c r="F160" i="108" s="1"/>
  <c r="J160" i="108" s="1"/>
  <c r="C100" i="52064"/>
  <c r="F100" i="52064" s="1"/>
  <c r="C146" i="148"/>
  <c r="F146" i="148" s="1"/>
  <c r="C178" i="52087"/>
  <c r="F178" i="52087" s="1"/>
  <c r="C197" i="52088"/>
  <c r="F197" i="52088" s="1"/>
  <c r="J197" i="52088" s="1"/>
  <c r="C74" i="52079"/>
  <c r="F74" i="52079" s="1"/>
  <c r="C109" i="52079"/>
  <c r="F109" i="52079" s="1"/>
  <c r="J109" i="52079" s="1"/>
  <c r="C49" i="77"/>
  <c r="C24" i="52089"/>
  <c r="C176" i="52089"/>
  <c r="F176" i="52089" s="1"/>
  <c r="C92" i="52090"/>
  <c r="F92" i="52090" s="1"/>
  <c r="C11" i="52091"/>
  <c r="F11" i="52091" s="1"/>
  <c r="J11" i="52091" s="1"/>
  <c r="C26" i="52091"/>
  <c r="C172" i="114"/>
  <c r="C190" i="114"/>
  <c r="F190" i="114" s="1"/>
  <c r="J190" i="114" s="1"/>
  <c r="C123" i="21"/>
  <c r="C114" i="52064"/>
  <c r="F114" i="52064" s="1"/>
  <c r="C194" i="52064"/>
  <c r="F194" i="52064" s="1"/>
  <c r="C98" i="148"/>
  <c r="F98" i="148" s="1"/>
  <c r="C105" i="21"/>
  <c r="C180" i="21"/>
  <c r="F180" i="21" s="1"/>
  <c r="C178" i="52064"/>
  <c r="F178" i="52064" s="1"/>
  <c r="C193" i="148"/>
  <c r="F193" i="148" s="1"/>
  <c r="C177" i="105"/>
  <c r="F177" i="105" s="1"/>
  <c r="C75" i="108"/>
  <c r="F75" i="108" s="1"/>
  <c r="C110" i="108"/>
  <c r="C183" i="108"/>
  <c r="F183" i="108" s="1"/>
  <c r="C25" i="21"/>
  <c r="C157" i="108"/>
  <c r="F157" i="108" s="1"/>
  <c r="J157" i="108" s="1"/>
  <c r="C140" i="101"/>
  <c r="F140" i="101" s="1"/>
  <c r="C136" i="105"/>
  <c r="F136" i="105" s="1"/>
  <c r="C29" i="108"/>
  <c r="C176" i="108"/>
  <c r="F176" i="108" s="1"/>
  <c r="C196" i="52087"/>
  <c r="F196" i="52087" s="1"/>
  <c r="J196" i="52087" s="1"/>
  <c r="C123" i="52067"/>
  <c r="C119" i="52079"/>
  <c r="F119" i="52079" s="1"/>
  <c r="J119" i="52079" s="1"/>
  <c r="C157" i="52067"/>
  <c r="F157" i="52067" s="1"/>
  <c r="J157" i="52067" s="1"/>
  <c r="C108" i="52071"/>
  <c r="F108" i="52071" s="1"/>
  <c r="J108" i="52071" s="1"/>
  <c r="C87" i="77"/>
  <c r="C118" i="52089"/>
  <c r="C192" i="52089"/>
  <c r="F192" i="52089" s="1"/>
  <c r="J192" i="52089" s="1"/>
  <c r="C94" i="114"/>
  <c r="C111" i="115"/>
  <c r="F111" i="115" s="1"/>
  <c r="C178" i="115"/>
  <c r="F178" i="115" s="1"/>
  <c r="C189" i="20"/>
  <c r="F189" i="20" s="1"/>
  <c r="C126" i="12"/>
  <c r="F126" i="12" s="1"/>
  <c r="C159" i="77"/>
  <c r="F159" i="77" s="1"/>
  <c r="J159" i="77" s="1"/>
  <c r="C107" i="52089"/>
  <c r="C166" i="52089"/>
  <c r="C171" i="52090"/>
  <c r="C192" i="52090"/>
  <c r="F192" i="52090" s="1"/>
  <c r="J192" i="52090" s="1"/>
  <c r="C85" i="52091"/>
  <c r="F85" i="52091" s="1"/>
  <c r="C98" i="52091"/>
  <c r="F98" i="52091" s="1"/>
  <c r="J98" i="52091" s="1"/>
  <c r="C158" i="52091"/>
  <c r="F158" i="52091" s="1"/>
  <c r="C173" i="52091"/>
  <c r="C23" i="52092"/>
  <c r="C93" i="52092"/>
  <c r="C121" i="52092"/>
  <c r="C161" i="52092"/>
  <c r="F161" i="52092" s="1"/>
  <c r="C112" i="52093"/>
  <c r="C150" i="52093"/>
  <c r="C72" i="52094"/>
  <c r="C178" i="52094"/>
  <c r="C172" i="52095"/>
  <c r="C193" i="52095"/>
  <c r="F193" i="52095" s="1"/>
  <c r="C105" i="52080"/>
  <c r="C113" i="52080"/>
  <c r="C137" i="52080"/>
  <c r="C162" i="52080"/>
  <c r="C110" i="32"/>
  <c r="C142" i="32"/>
  <c r="C162" i="32"/>
  <c r="C122" i="91"/>
  <c r="F122" i="91" s="1"/>
  <c r="C180" i="91"/>
  <c r="F180" i="91" s="1"/>
  <c r="C195" i="91"/>
  <c r="C40" i="48"/>
  <c r="C81" i="48"/>
  <c r="C94" i="48"/>
  <c r="C100" i="48"/>
  <c r="C124" i="48"/>
  <c r="C164" i="48"/>
  <c r="C188" i="48"/>
  <c r="C27" i="52066"/>
  <c r="C74" i="52066"/>
  <c r="C105" i="52066"/>
  <c r="C133" i="52066"/>
  <c r="C149" i="52066"/>
  <c r="C176" i="52066"/>
  <c r="F176" i="52066" s="1"/>
  <c r="C19" i="52072"/>
  <c r="F19" i="52072" s="1"/>
  <c r="C10" i="52092"/>
  <c r="F10" i="52092" s="1"/>
  <c r="C78" i="52092"/>
  <c r="C134" i="52092"/>
  <c r="F134" i="52092" s="1"/>
  <c r="J134" i="52092" s="1"/>
  <c r="C148" i="52092"/>
  <c r="C173" i="52092"/>
  <c r="F173" i="52092" s="1"/>
  <c r="C181" i="52092"/>
  <c r="C198" i="52092"/>
  <c r="F198" i="52092" s="1"/>
  <c r="J198" i="52092" s="1"/>
  <c r="C66" i="52093"/>
  <c r="C100" i="52093"/>
  <c r="F100" i="52093" s="1"/>
  <c r="C193" i="52093"/>
  <c r="F193" i="52093" s="1"/>
  <c r="J193" i="52093" s="1"/>
  <c r="C107" i="52094"/>
  <c r="C8" i="52095"/>
  <c r="C15" i="115"/>
  <c r="F15" i="115" s="1"/>
  <c r="C137" i="20"/>
  <c r="F137" i="20" s="1"/>
  <c r="C136" i="12"/>
  <c r="C12" i="77"/>
  <c r="F12" i="77" s="1"/>
  <c r="C76" i="77"/>
  <c r="F76" i="77" s="1"/>
  <c r="C136" i="77"/>
  <c r="F136" i="77" s="1"/>
  <c r="J136" i="77" s="1"/>
  <c r="C10" i="52089"/>
  <c r="F10" i="52089" s="1"/>
  <c r="J10" i="52089" s="1"/>
  <c r="C26" i="52089"/>
  <c r="C91" i="52089"/>
  <c r="C123" i="52089"/>
  <c r="C170" i="52089"/>
  <c r="C183" i="52067"/>
  <c r="F183" i="52067" s="1"/>
  <c r="C16" i="105"/>
  <c r="F16" i="105" s="1"/>
  <c r="C135" i="105"/>
  <c r="F135" i="105" s="1"/>
  <c r="C99" i="108"/>
  <c r="F99" i="108" s="1"/>
  <c r="C8" i="52087"/>
  <c r="C8" i="52088"/>
  <c r="C157" i="101"/>
  <c r="F157" i="101" s="1"/>
  <c r="J157" i="101" s="1"/>
  <c r="C174" i="101"/>
  <c r="F174" i="101" s="1"/>
  <c r="C72" i="52071"/>
  <c r="F72" i="52071" s="1"/>
  <c r="C94" i="101"/>
  <c r="F94" i="101" s="1"/>
  <c r="C17" i="52067"/>
  <c r="F17" i="52067" s="1"/>
  <c r="C16" i="52079"/>
  <c r="F16" i="52079" s="1"/>
  <c r="C66" i="52079"/>
  <c r="F66" i="52079" s="1"/>
  <c r="C75" i="52079"/>
  <c r="F75" i="52079" s="1"/>
  <c r="C112" i="52079"/>
  <c r="F112" i="52079" s="1"/>
  <c r="J112" i="52079" s="1"/>
  <c r="C138" i="52079"/>
  <c r="F138" i="52079" s="1"/>
  <c r="C150" i="52079"/>
  <c r="F150" i="52079" s="1"/>
  <c r="G150" i="52079" s="1"/>
  <c r="C199" i="52079"/>
  <c r="F199" i="52079" s="1"/>
  <c r="J199" i="52079" s="1"/>
  <c r="C111" i="114"/>
  <c r="C133" i="21"/>
  <c r="F133" i="21" s="1"/>
  <c r="C136" i="52064"/>
  <c r="F136" i="52064" s="1"/>
  <c r="C83" i="148"/>
  <c r="F83" i="148" s="1"/>
  <c r="C112" i="21"/>
  <c r="F112" i="21" s="1"/>
  <c r="C197" i="52064"/>
  <c r="F197" i="52064" s="1"/>
  <c r="C29" i="105"/>
  <c r="C30" i="105" s="1"/>
  <c r="C90" i="108"/>
  <c r="F90" i="108" s="1"/>
  <c r="C75" i="52064"/>
  <c r="F75" i="52064" s="1"/>
  <c r="C49" i="105"/>
  <c r="C170" i="52087"/>
  <c r="C37" i="148"/>
  <c r="C12" i="52088"/>
  <c r="F12" i="52088" s="1"/>
  <c r="C87" i="52088"/>
  <c r="F87" i="52088" s="1"/>
  <c r="C19" i="52079"/>
  <c r="F19" i="52079" s="1"/>
  <c r="C91" i="52079"/>
  <c r="F91" i="52079" s="1"/>
  <c r="J91" i="52079" s="1"/>
  <c r="C137" i="52079"/>
  <c r="F137" i="52079" s="1"/>
  <c r="C183" i="52079"/>
  <c r="F183" i="52079" s="1"/>
  <c r="C183" i="114"/>
  <c r="C133" i="20"/>
  <c r="C93" i="52089"/>
  <c r="C159" i="52089"/>
  <c r="F159" i="52089" s="1"/>
  <c r="J159" i="52089" s="1"/>
  <c r="C197" i="52089"/>
  <c r="F197" i="52089" s="1"/>
  <c r="J197" i="52089" s="1"/>
  <c r="C37" i="52090"/>
  <c r="C126" i="52090"/>
  <c r="F126" i="52090" s="1"/>
  <c r="C28" i="52091"/>
  <c r="C133" i="52091"/>
  <c r="C161" i="52091"/>
  <c r="F161" i="52091" s="1"/>
  <c r="J161" i="52091" s="1"/>
  <c r="C37" i="114"/>
  <c r="C157" i="114"/>
  <c r="F157" i="114" s="1"/>
  <c r="J157" i="114" s="1"/>
  <c r="C191" i="21"/>
  <c r="F191" i="21" s="1"/>
  <c r="C40" i="21"/>
  <c r="C122" i="21"/>
  <c r="C150" i="52064"/>
  <c r="F150" i="52064" s="1"/>
  <c r="C24" i="148"/>
  <c r="C109" i="148"/>
  <c r="F109" i="148" s="1"/>
  <c r="C123" i="148"/>
  <c r="C148" i="21"/>
  <c r="F148" i="21" s="1"/>
  <c r="C120" i="52064"/>
  <c r="F120" i="52064" s="1"/>
  <c r="C189" i="52064"/>
  <c r="F189" i="52064" s="1"/>
  <c r="C197" i="148"/>
  <c r="F197" i="148" s="1"/>
  <c r="C124" i="105"/>
  <c r="F124" i="105" s="1"/>
  <c r="C87" i="108"/>
  <c r="F87" i="108" s="1"/>
  <c r="C146" i="108"/>
  <c r="F146" i="108" s="1"/>
  <c r="J146" i="108" s="1"/>
  <c r="C87" i="52087"/>
  <c r="F87" i="52087" s="1"/>
  <c r="C81" i="52064"/>
  <c r="F81" i="52064" s="1"/>
  <c r="C35" i="148"/>
  <c r="C26" i="108"/>
  <c r="C126" i="52088"/>
  <c r="F126" i="52088" s="1"/>
  <c r="C80" i="101"/>
  <c r="F80" i="101" s="1"/>
  <c r="C197" i="101"/>
  <c r="F197" i="101" s="1"/>
  <c r="J197" i="101" s="1"/>
  <c r="C139" i="52067"/>
  <c r="F139" i="52067" s="1"/>
  <c r="C118" i="108"/>
  <c r="C181" i="52087"/>
  <c r="F181" i="52087" s="1"/>
  <c r="C140" i="52088"/>
  <c r="F140" i="52088" s="1"/>
  <c r="C124" i="101"/>
  <c r="F124" i="101" s="1"/>
  <c r="J124" i="101" s="1"/>
  <c r="C8" i="52071"/>
  <c r="C123" i="52071"/>
  <c r="C163" i="52088"/>
  <c r="F163" i="52088" s="1"/>
  <c r="C72" i="52079"/>
  <c r="F72" i="52079" s="1"/>
  <c r="C88" i="52079"/>
  <c r="F88" i="52079" s="1"/>
  <c r="C139" i="52079"/>
  <c r="F139" i="52079" s="1"/>
  <c r="C180" i="52079"/>
  <c r="F180" i="52079" s="1"/>
  <c r="C10" i="52071"/>
  <c r="F10" i="52071" s="1"/>
  <c r="C123" i="115"/>
  <c r="C13" i="12"/>
  <c r="F13" i="12" s="1"/>
  <c r="C11" i="77"/>
  <c r="F11" i="77" s="1"/>
  <c r="C75" i="77"/>
  <c r="F75" i="77" s="1"/>
  <c r="C66" i="52089"/>
  <c r="C175" i="52089"/>
  <c r="F175" i="52089" s="1"/>
  <c r="C10" i="52091"/>
  <c r="F10" i="52091" s="1"/>
  <c r="J10" i="52091" s="1"/>
  <c r="C114" i="52091"/>
  <c r="C13" i="52092"/>
  <c r="F13" i="52092" s="1"/>
  <c r="C198" i="114"/>
  <c r="F198" i="114" s="1"/>
  <c r="J198" i="114" s="1"/>
  <c r="C133" i="115"/>
  <c r="C157" i="115"/>
  <c r="C195" i="115"/>
  <c r="C157" i="20"/>
  <c r="C181" i="20"/>
  <c r="C75" i="12"/>
  <c r="C87" i="12"/>
  <c r="C124" i="12"/>
  <c r="C171" i="12"/>
  <c r="C194" i="12"/>
  <c r="F194" i="12" s="1"/>
  <c r="C172" i="77"/>
  <c r="F172" i="77" s="1"/>
  <c r="C193" i="77"/>
  <c r="F193" i="77" s="1"/>
  <c r="J193" i="77" s="1"/>
  <c r="C18" i="52089"/>
  <c r="F18" i="52089" s="1"/>
  <c r="C133" i="52089"/>
  <c r="F133" i="52089" s="1"/>
  <c r="J133" i="52089" s="1"/>
  <c r="C147" i="52089"/>
  <c r="F147" i="52089" s="1"/>
  <c r="C40" i="52090"/>
  <c r="C95" i="148"/>
  <c r="C12" i="108"/>
  <c r="F12" i="108" s="1"/>
  <c r="C127" i="108"/>
  <c r="F127" i="108" s="1"/>
  <c r="C49" i="52087"/>
  <c r="F49" i="52087" s="1"/>
  <c r="J49" i="52087" s="1"/>
  <c r="C170" i="101"/>
  <c r="C156" i="52079"/>
  <c r="C9" i="52071"/>
  <c r="F9" i="52071" s="1"/>
  <c r="C15" i="52088"/>
  <c r="F15" i="52088" s="1"/>
  <c r="J15" i="52088" s="1"/>
  <c r="C14" i="52079"/>
  <c r="F14" i="52079" s="1"/>
  <c r="C64" i="52079"/>
  <c r="C90" i="52079"/>
  <c r="F90" i="52079" s="1"/>
  <c r="C134" i="52079"/>
  <c r="F134" i="52079" s="1"/>
  <c r="C17" i="52071"/>
  <c r="F17" i="52071" s="1"/>
  <c r="C137" i="52071"/>
  <c r="F137" i="52071" s="1"/>
  <c r="C163" i="52071"/>
  <c r="F163" i="52071" s="1"/>
  <c r="C166" i="114"/>
  <c r="C8" i="21"/>
  <c r="C149" i="21"/>
  <c r="F149" i="21" s="1"/>
  <c r="C190" i="52064"/>
  <c r="F190" i="52064" s="1"/>
  <c r="C85" i="21"/>
  <c r="F85" i="21" s="1"/>
  <c r="C176" i="52064"/>
  <c r="F176" i="52064" s="1"/>
  <c r="C191" i="148"/>
  <c r="F191" i="148" s="1"/>
  <c r="C81" i="108"/>
  <c r="F81" i="108" s="1"/>
  <c r="C18" i="52087"/>
  <c r="F18" i="52087" s="1"/>
  <c r="C83" i="52064"/>
  <c r="F83" i="52064" s="1"/>
  <c r="C23" i="52087"/>
  <c r="C30" i="52087" s="1"/>
  <c r="C191" i="101"/>
  <c r="F191" i="101" s="1"/>
  <c r="J191" i="101" s="1"/>
  <c r="C25" i="108"/>
  <c r="C183" i="52088"/>
  <c r="F183" i="52088" s="1"/>
  <c r="C181" i="52071"/>
  <c r="F181" i="52071" s="1"/>
  <c r="C65" i="52067"/>
  <c r="F65" i="52067" s="1"/>
  <c r="C82" i="52079"/>
  <c r="F82" i="52079" s="1"/>
  <c r="C190" i="52079"/>
  <c r="F190" i="52079" s="1"/>
  <c r="J190" i="52079" s="1"/>
  <c r="C37" i="115"/>
  <c r="C19" i="20"/>
  <c r="F19" i="20" s="1"/>
  <c r="C16" i="77"/>
  <c r="F16" i="77" s="1"/>
  <c r="C37" i="52089"/>
  <c r="C97" i="52089"/>
  <c r="C180" i="52089"/>
  <c r="C195" i="52089"/>
  <c r="F195" i="52089" s="1"/>
  <c r="J195" i="52089" s="1"/>
  <c r="C39" i="52091"/>
  <c r="C141" i="52091"/>
  <c r="C149" i="52091"/>
  <c r="C163" i="52091"/>
  <c r="C14" i="114"/>
  <c r="F14" i="114" s="1"/>
  <c r="J14" i="114" s="1"/>
  <c r="C174" i="114"/>
  <c r="F174" i="114" s="1"/>
  <c r="C10" i="21"/>
  <c r="F10" i="21" s="1"/>
  <c r="C94" i="21"/>
  <c r="F94" i="21" s="1"/>
  <c r="C78" i="21"/>
  <c r="F78" i="21" s="1"/>
  <c r="C35" i="21"/>
  <c r="C138" i="52064"/>
  <c r="F138" i="52064" s="1"/>
  <c r="C16" i="148"/>
  <c r="F16" i="148" s="1"/>
  <c r="C66" i="148"/>
  <c r="F66" i="148" s="1"/>
  <c r="C119" i="148"/>
  <c r="F119" i="148" s="1"/>
  <c r="C40" i="52064"/>
  <c r="C176" i="148"/>
  <c r="F176" i="148" s="1"/>
  <c r="C8" i="105"/>
  <c r="C196" i="105"/>
  <c r="F196" i="105" s="1"/>
  <c r="C83" i="108"/>
  <c r="F83" i="108" s="1"/>
  <c r="C142" i="108"/>
  <c r="F142" i="108" s="1"/>
  <c r="C83" i="52087"/>
  <c r="F83" i="52087" s="1"/>
  <c r="C85" i="52064"/>
  <c r="F85" i="52064" s="1"/>
  <c r="C163" i="52087"/>
  <c r="F163" i="52087" s="1"/>
  <c r="C10" i="101"/>
  <c r="F10" i="101" s="1"/>
  <c r="C97" i="148"/>
  <c r="F97" i="148" s="1"/>
  <c r="C108" i="105"/>
  <c r="F108" i="105" s="1"/>
  <c r="C98" i="108"/>
  <c r="F98" i="108" s="1"/>
  <c r="C193" i="108"/>
  <c r="F193" i="108" s="1"/>
  <c r="J193" i="108" s="1"/>
  <c r="C37" i="52067"/>
  <c r="C36" i="52079"/>
  <c r="C190" i="52071"/>
  <c r="F190" i="52071" s="1"/>
  <c r="J190" i="52071" s="1"/>
  <c r="C175" i="52067"/>
  <c r="F175" i="52067" s="1"/>
  <c r="C49" i="114"/>
  <c r="C111" i="12"/>
  <c r="C73" i="52089"/>
  <c r="C17" i="52091"/>
  <c r="F17" i="52091" s="1"/>
  <c r="J17" i="52091" s="1"/>
  <c r="C142" i="52091"/>
  <c r="F142" i="52091" s="1"/>
  <c r="C29" i="114"/>
  <c r="C196" i="114"/>
  <c r="F196" i="114" s="1"/>
  <c r="J196" i="114" s="1"/>
  <c r="C197" i="115"/>
  <c r="F197" i="115" s="1"/>
  <c r="C164" i="20"/>
  <c r="C197" i="20"/>
  <c r="F197" i="20" s="1"/>
  <c r="C192" i="12"/>
  <c r="C195" i="77"/>
  <c r="C23" i="52090"/>
  <c r="C144" i="52090"/>
  <c r="F144" i="52090" s="1"/>
  <c r="J144" i="52090" s="1"/>
  <c r="C196" i="52090"/>
  <c r="F196" i="52090" s="1"/>
  <c r="J196" i="52090" s="1"/>
  <c r="C23" i="52091"/>
  <c r="C73" i="52091"/>
  <c r="C81" i="52091"/>
  <c r="C118" i="52091"/>
  <c r="C175" i="52091"/>
  <c r="C196" i="52091"/>
  <c r="C64" i="52092"/>
  <c r="C166" i="52092"/>
  <c r="C14" i="52093"/>
  <c r="F14" i="52093" s="1"/>
  <c r="C134" i="52093"/>
  <c r="F134" i="52093" s="1"/>
  <c r="C163" i="52093"/>
  <c r="F163" i="52093" s="1"/>
  <c r="C16" i="52094"/>
  <c r="F16" i="52094" s="1"/>
  <c r="C123" i="52094"/>
  <c r="C174" i="52094"/>
  <c r="C193" i="52094"/>
  <c r="F193" i="52094" s="1"/>
  <c r="C11" i="52095"/>
  <c r="F11" i="52095" s="1"/>
  <c r="C174" i="52095"/>
  <c r="C197" i="52095"/>
  <c r="F197" i="52095" s="1"/>
  <c r="C91" i="52080"/>
  <c r="C143" i="52080"/>
  <c r="C35" i="32"/>
  <c r="C114" i="32"/>
  <c r="C150" i="32"/>
  <c r="C15" i="91"/>
  <c r="F15" i="91" s="1"/>
  <c r="J15" i="91" s="1"/>
  <c r="C98" i="91"/>
  <c r="F98" i="91" s="1"/>
  <c r="C158" i="91"/>
  <c r="F158" i="91" s="1"/>
  <c r="C191" i="91"/>
  <c r="F191" i="91" s="1"/>
  <c r="C66" i="48"/>
  <c r="C85" i="48"/>
  <c r="C179" i="48"/>
  <c r="C196" i="48"/>
  <c r="C78" i="52066"/>
  <c r="C86" i="52066"/>
  <c r="C137" i="52066"/>
  <c r="F137" i="52066" s="1"/>
  <c r="C152" i="52066"/>
  <c r="F152" i="52066" s="1"/>
  <c r="C180" i="52066"/>
  <c r="F180" i="52066" s="1"/>
  <c r="C74" i="52092"/>
  <c r="C106" i="52092"/>
  <c r="C114" i="52092"/>
  <c r="C194" i="52092"/>
  <c r="F194" i="52092" s="1"/>
  <c r="J194" i="52092" s="1"/>
  <c r="C25" i="52093"/>
  <c r="C73" i="52093"/>
  <c r="F73" i="52093" s="1"/>
  <c r="C81" i="52093"/>
  <c r="C96" i="52093"/>
  <c r="C123" i="52093"/>
  <c r="C147" i="52093"/>
  <c r="C165" i="52093"/>
  <c r="C197" i="52093"/>
  <c r="C40" i="52094"/>
  <c r="C161" i="52094"/>
  <c r="C25" i="52095"/>
  <c r="C83" i="52095"/>
  <c r="C92" i="52095"/>
  <c r="C144" i="52095"/>
  <c r="C18" i="52080"/>
  <c r="F18" i="52080" s="1"/>
  <c r="C39" i="52080"/>
  <c r="C83" i="52080"/>
  <c r="C121" i="52080"/>
  <c r="C177" i="52080"/>
  <c r="C199" i="52080"/>
  <c r="F199" i="52080" s="1"/>
  <c r="J199" i="52080" s="1"/>
  <c r="C18" i="20"/>
  <c r="F18" i="20" s="1"/>
  <c r="C196" i="20"/>
  <c r="C133" i="12"/>
  <c r="C40" i="77"/>
  <c r="C137" i="77"/>
  <c r="C36" i="52089"/>
  <c r="C112" i="52091"/>
  <c r="C160" i="52091"/>
  <c r="C23" i="114"/>
  <c r="C195" i="114"/>
  <c r="F195" i="114" s="1"/>
  <c r="J195" i="114" s="1"/>
  <c r="C132" i="52095"/>
  <c r="F132" i="52095" s="1"/>
  <c r="C29" i="52080"/>
  <c r="C87" i="52080"/>
  <c r="C181" i="52080"/>
  <c r="C12" i="32"/>
  <c r="F12" i="32" s="1"/>
  <c r="C23" i="52089"/>
  <c r="C96" i="52089"/>
  <c r="C194" i="52089"/>
  <c r="F194" i="52089" s="1"/>
  <c r="J194" i="52089" s="1"/>
  <c r="C49" i="52091"/>
  <c r="C181" i="114"/>
  <c r="C181" i="115"/>
  <c r="F181" i="115" s="1"/>
  <c r="C16" i="20"/>
  <c r="F16" i="20" s="1"/>
  <c r="C172" i="20"/>
  <c r="C178" i="20"/>
  <c r="C195" i="20"/>
  <c r="C178" i="12"/>
  <c r="C193" i="12"/>
  <c r="F193" i="12" s="1"/>
  <c r="C37" i="77"/>
  <c r="C177" i="77"/>
  <c r="C198" i="77"/>
  <c r="F198" i="77" s="1"/>
  <c r="J198" i="77" s="1"/>
  <c r="C12" i="52090"/>
  <c r="F12" i="52090" s="1"/>
  <c r="C49" i="52090"/>
  <c r="C178" i="52090"/>
  <c r="F178" i="52090" s="1"/>
  <c r="C197" i="52090"/>
  <c r="C64" i="52091"/>
  <c r="C78" i="52091"/>
  <c r="C99" i="52091"/>
  <c r="C127" i="52091"/>
  <c r="C178" i="52091"/>
  <c r="F178" i="52091" s="1"/>
  <c r="J178" i="52091" s="1"/>
  <c r="C28" i="52092"/>
  <c r="C253" i="52092" s="1"/>
  <c r="C96" i="52092"/>
  <c r="F96" i="52092" s="1"/>
  <c r="G96" i="52092" s="1"/>
  <c r="C124" i="52092"/>
  <c r="C16" i="52093"/>
  <c r="F16" i="52093" s="1"/>
  <c r="C114" i="52093"/>
  <c r="F114" i="52093" s="1"/>
  <c r="C148" i="52093"/>
  <c r="F148" i="52093" s="1"/>
  <c r="C23" i="52094"/>
  <c r="C126" i="52094"/>
  <c r="C175" i="52094"/>
  <c r="C192" i="52094"/>
  <c r="C12" i="52095"/>
  <c r="F12" i="52095" s="1"/>
  <c r="C98" i="52095"/>
  <c r="F98" i="52095" s="1"/>
  <c r="C175" i="52095"/>
  <c r="C196" i="52095"/>
  <c r="C90" i="52080"/>
  <c r="C108" i="52080"/>
  <c r="C144" i="52080"/>
  <c r="C14" i="32"/>
  <c r="F14" i="32" s="1"/>
  <c r="C107" i="32"/>
  <c r="C141" i="32"/>
  <c r="C149" i="32"/>
  <c r="C13" i="91"/>
  <c r="F13" i="91" s="1"/>
  <c r="J13" i="91" s="1"/>
  <c r="C95" i="91"/>
  <c r="C99" i="91"/>
  <c r="F99" i="91" s="1"/>
  <c r="C119" i="91"/>
  <c r="C123" i="91"/>
  <c r="C37" i="48"/>
  <c r="C97" i="48"/>
  <c r="C189" i="48"/>
  <c r="F189" i="48" s="1"/>
  <c r="C195" i="48"/>
  <c r="C18" i="52066"/>
  <c r="F18" i="52066" s="1"/>
  <c r="C29" i="52066"/>
  <c r="C75" i="52066"/>
  <c r="F75" i="52066" s="1"/>
  <c r="C92" i="52066"/>
  <c r="F92" i="52066" s="1"/>
  <c r="C146" i="52066"/>
  <c r="F146" i="52066" s="1"/>
  <c r="J146" i="52066" s="1"/>
  <c r="C9" i="52072"/>
  <c r="F9" i="52072" s="1"/>
  <c r="C25" i="52072"/>
  <c r="C36" i="52092"/>
  <c r="C111" i="52092"/>
  <c r="C131" i="52092"/>
  <c r="C145" i="52092"/>
  <c r="C149" i="52092"/>
  <c r="F149" i="52092" s="1"/>
  <c r="C170" i="52092"/>
  <c r="C178" i="52092"/>
  <c r="F178" i="52092" s="1"/>
  <c r="C197" i="52092"/>
  <c r="F197" i="52092" s="1"/>
  <c r="J197" i="52092" s="1"/>
  <c r="C9" i="52093"/>
  <c r="F9" i="52093" s="1"/>
  <c r="C18" i="52093"/>
  <c r="F18" i="52093" s="1"/>
  <c r="C26" i="52093"/>
  <c r="C72" i="52093"/>
  <c r="C78" i="52093"/>
  <c r="F78" i="52093" s="1"/>
  <c r="C122" i="52093"/>
  <c r="C179" i="52093"/>
  <c r="C17" i="52094"/>
  <c r="F17" i="52094" s="1"/>
  <c r="C9" i="52095"/>
  <c r="F9" i="52095" s="1"/>
  <c r="C149" i="52095"/>
  <c r="C35" i="52080"/>
  <c r="C80" i="52080"/>
  <c r="C88" i="52080"/>
  <c r="C118" i="52080"/>
  <c r="C170" i="52080"/>
  <c r="C190" i="52080"/>
  <c r="F190" i="52080" s="1"/>
  <c r="J190" i="52080" s="1"/>
  <c r="C49" i="32"/>
  <c r="C78" i="32"/>
  <c r="C119" i="32"/>
  <c r="C175" i="32"/>
  <c r="C192" i="32"/>
  <c r="C9" i="91"/>
  <c r="F9" i="91" s="1"/>
  <c r="C17" i="91"/>
  <c r="F17" i="91" s="1"/>
  <c r="C25" i="91"/>
  <c r="C83" i="91"/>
  <c r="F83" i="91" s="1"/>
  <c r="C87" i="91"/>
  <c r="C107" i="91"/>
  <c r="F107" i="91" s="1"/>
  <c r="C131" i="91"/>
  <c r="C137" i="91"/>
  <c r="F137" i="91" s="1"/>
  <c r="C161" i="91"/>
  <c r="C49" i="48"/>
  <c r="F49" i="48" s="1"/>
  <c r="C108" i="48"/>
  <c r="C136" i="48"/>
  <c r="C148" i="48"/>
  <c r="F148" i="48" s="1"/>
  <c r="C120" i="52066"/>
  <c r="F120" i="52066" s="1"/>
  <c r="J120" i="52066" s="1"/>
  <c r="C165" i="52066"/>
  <c r="C198" i="52066"/>
  <c r="F198" i="52066" s="1"/>
  <c r="J198" i="52066" s="1"/>
  <c r="C35" i="52072"/>
  <c r="C72" i="52072"/>
  <c r="C108" i="52072"/>
  <c r="C140" i="52072"/>
  <c r="C199" i="52072"/>
  <c r="F199" i="52072" s="1"/>
  <c r="J199" i="52072" s="1"/>
  <c r="C111" i="52081"/>
  <c r="F111" i="52081" s="1"/>
  <c r="J111" i="52081" s="1"/>
  <c r="C194" i="52081"/>
  <c r="F194" i="52081" s="1"/>
  <c r="J194" i="52081" s="1"/>
  <c r="C63" i="93"/>
  <c r="F63" i="93" s="1"/>
  <c r="I63" i="93" s="1"/>
  <c r="C108" i="93"/>
  <c r="F108" i="93" s="1"/>
  <c r="C140" i="93"/>
  <c r="F140" i="93" s="1"/>
  <c r="I140" i="93" s="1"/>
  <c r="C39" i="52072"/>
  <c r="C121" i="52072"/>
  <c r="C166" i="52072"/>
  <c r="C198" i="52072"/>
  <c r="F198" i="52072" s="1"/>
  <c r="J198" i="52072" s="1"/>
  <c r="C24" i="93"/>
  <c r="F24" i="93" s="1"/>
  <c r="I24" i="93" s="1"/>
  <c r="C60" i="93"/>
  <c r="F60" i="93" s="1"/>
  <c r="I60" i="93" s="1"/>
  <c r="C88" i="93"/>
  <c r="F88" i="93" s="1"/>
  <c r="I88" i="93" s="1"/>
  <c r="C99" i="93"/>
  <c r="F99" i="93" s="1"/>
  <c r="I99" i="93" s="1"/>
  <c r="C133" i="93"/>
  <c r="C188" i="93"/>
  <c r="F188" i="93" s="1"/>
  <c r="I188" i="93" s="1"/>
  <c r="C196" i="93"/>
  <c r="F196" i="93" s="1"/>
  <c r="I196" i="93" s="1"/>
  <c r="C66" i="32"/>
  <c r="F66" i="32" s="1"/>
  <c r="C92" i="32"/>
  <c r="C126" i="32"/>
  <c r="C189" i="32"/>
  <c r="F189" i="32" s="1"/>
  <c r="C8" i="91"/>
  <c r="C41" i="91"/>
  <c r="C82" i="91"/>
  <c r="F82" i="91" s="1"/>
  <c r="C110" i="91"/>
  <c r="C162" i="91"/>
  <c r="F162" i="91" s="1"/>
  <c r="C28" i="48"/>
  <c r="C253" i="48" s="1"/>
  <c r="C109" i="48"/>
  <c r="C137" i="48"/>
  <c r="C143" i="48"/>
  <c r="C161" i="48"/>
  <c r="C10" i="52066"/>
  <c r="F10" i="52066" s="1"/>
  <c r="C23" i="52066"/>
  <c r="C99" i="52066"/>
  <c r="F99" i="52066" s="1"/>
  <c r="C187" i="52066"/>
  <c r="C64" i="52072"/>
  <c r="C75" i="52072"/>
  <c r="C105" i="52072"/>
  <c r="C113" i="52072"/>
  <c r="C131" i="52072"/>
  <c r="C146" i="52081"/>
  <c r="C48" i="93"/>
  <c r="F48" i="93" s="1"/>
  <c r="I48" i="93" s="1"/>
  <c r="C65" i="93"/>
  <c r="F65" i="93" s="1"/>
  <c r="C146" i="93"/>
  <c r="F146" i="93" s="1"/>
  <c r="I146" i="93" s="1"/>
  <c r="C90" i="52072"/>
  <c r="C118" i="52072"/>
  <c r="C178" i="52072"/>
  <c r="C19" i="52081"/>
  <c r="F19" i="52081" s="1"/>
  <c r="J19" i="52081" s="1"/>
  <c r="C192" i="52081"/>
  <c r="C51" i="93"/>
  <c r="F51" i="93" s="1"/>
  <c r="I51" i="93" s="1"/>
  <c r="C62" i="93"/>
  <c r="F62" i="93" s="1"/>
  <c r="C77" i="93"/>
  <c r="F77" i="93" s="1"/>
  <c r="I77" i="93" s="1"/>
  <c r="C125" i="93"/>
  <c r="F125" i="93" s="1"/>
  <c r="I125" i="93" s="1"/>
  <c r="C155" i="93"/>
  <c r="F155" i="93" s="1"/>
  <c r="I155" i="93" s="1"/>
  <c r="C198" i="93"/>
  <c r="F198" i="93" s="1"/>
  <c r="I198" i="93" s="1"/>
  <c r="C183" i="52071"/>
  <c r="F183" i="52071" s="1"/>
  <c r="C135" i="52079"/>
  <c r="F135" i="52079" s="1"/>
  <c r="C136" i="52071"/>
  <c r="F136" i="52071" s="1"/>
  <c r="C11" i="114"/>
  <c r="F11" i="114" s="1"/>
  <c r="J11" i="114" s="1"/>
  <c r="C8" i="20"/>
  <c r="C40" i="52089"/>
  <c r="C14" i="52090"/>
  <c r="F14" i="52090" s="1"/>
  <c r="C134" i="52091"/>
  <c r="F134" i="52091" s="1"/>
  <c r="J134" i="52091" s="1"/>
  <c r="C13" i="114"/>
  <c r="F13" i="114" s="1"/>
  <c r="J13" i="114" s="1"/>
  <c r="C17" i="115"/>
  <c r="F17" i="115" s="1"/>
  <c r="C170" i="115"/>
  <c r="C187" i="115"/>
  <c r="C9" i="20"/>
  <c r="F9" i="20" s="1"/>
  <c r="C93" i="20"/>
  <c r="C81" i="12"/>
  <c r="C176" i="77"/>
  <c r="C39" i="52089"/>
  <c r="C79" i="52091"/>
  <c r="C96" i="52091"/>
  <c r="C120" i="52091"/>
  <c r="C171" i="52091"/>
  <c r="C190" i="52091"/>
  <c r="C42" i="52092"/>
  <c r="C119" i="52092"/>
  <c r="C163" i="52092"/>
  <c r="F163" i="52092" s="1"/>
  <c r="C136" i="52093"/>
  <c r="F136" i="52093" s="1"/>
  <c r="C182" i="52093"/>
  <c r="C93" i="52094"/>
  <c r="C101" i="52094"/>
  <c r="C159" i="52094"/>
  <c r="C199" i="52094"/>
  <c r="F199" i="52094" s="1"/>
  <c r="C159" i="52095"/>
  <c r="F159" i="52095" s="1"/>
  <c r="C191" i="52095"/>
  <c r="C93" i="52080"/>
  <c r="C141" i="52080"/>
  <c r="C149" i="52080"/>
  <c r="C16" i="32"/>
  <c r="F16" i="32" s="1"/>
  <c r="C108" i="32"/>
  <c r="C140" i="32"/>
  <c r="C165" i="32"/>
  <c r="F165" i="32" s="1"/>
  <c r="C35" i="91"/>
  <c r="C96" i="91"/>
  <c r="C172" i="91"/>
  <c r="C193" i="91"/>
  <c r="F193" i="91" s="1"/>
  <c r="C36" i="48"/>
  <c r="C83" i="48"/>
  <c r="F83" i="48" s="1"/>
  <c r="C98" i="48"/>
  <c r="C158" i="48"/>
  <c r="F158" i="48" s="1"/>
  <c r="C181" i="48"/>
  <c r="C72" i="52066"/>
  <c r="C80" i="52066"/>
  <c r="C131" i="52066"/>
  <c r="C147" i="52066"/>
  <c r="C174" i="52066"/>
  <c r="C24" i="52072"/>
  <c r="C76" i="52092"/>
  <c r="C84" i="52092"/>
  <c r="F84" i="52092" s="1"/>
  <c r="C132" i="52092"/>
  <c r="F132" i="52092" s="1"/>
  <c r="J132" i="52092" s="1"/>
  <c r="C146" i="52092"/>
  <c r="F146" i="52092" s="1"/>
  <c r="J146" i="52092" s="1"/>
  <c r="C13" i="52093"/>
  <c r="F13" i="52093" s="1"/>
  <c r="C27" i="52093"/>
  <c r="C79" i="52093"/>
  <c r="C94" i="52093"/>
  <c r="C113" i="52093"/>
  <c r="C143" i="52093"/>
  <c r="F143" i="52093" s="1"/>
  <c r="C162" i="52093"/>
  <c r="F162" i="52093" s="1"/>
  <c r="C174" i="52093"/>
  <c r="F174" i="52093" s="1"/>
  <c r="C195" i="52093"/>
  <c r="F195" i="52093" s="1"/>
  <c r="J195" i="52093" s="1"/>
  <c r="C15" i="52094"/>
  <c r="F15" i="52094" s="1"/>
  <c r="C81" i="52094"/>
  <c r="C166" i="52094"/>
  <c r="C27" i="52080"/>
  <c r="C73" i="52080"/>
  <c r="F73" i="52080" s="1"/>
  <c r="C85" i="52080"/>
  <c r="F85" i="52080" s="1"/>
  <c r="C127" i="52080"/>
  <c r="F127" i="52080" s="1"/>
  <c r="C179" i="52080"/>
  <c r="C13" i="77"/>
  <c r="F13" i="77" s="1"/>
  <c r="C27" i="52089"/>
  <c r="C100" i="52089"/>
  <c r="F100" i="52089" s="1"/>
  <c r="C164" i="52089"/>
  <c r="F164" i="52089" s="1"/>
  <c r="C198" i="52089"/>
  <c r="F198" i="52089" s="1"/>
  <c r="J198" i="52089" s="1"/>
  <c r="C27" i="52091"/>
  <c r="C189" i="114"/>
  <c r="F189" i="114" s="1"/>
  <c r="J189" i="114" s="1"/>
  <c r="C197" i="114"/>
  <c r="C10" i="115"/>
  <c r="F10" i="115" s="1"/>
  <c r="C49" i="115"/>
  <c r="C136" i="115"/>
  <c r="F136" i="115" s="1"/>
  <c r="C175" i="115"/>
  <c r="F175" i="115" s="1"/>
  <c r="C196" i="115"/>
  <c r="F196" i="115" s="1"/>
  <c r="C126" i="20"/>
  <c r="C176" i="20"/>
  <c r="C17" i="12"/>
  <c r="F17" i="12" s="1"/>
  <c r="C40" i="12"/>
  <c r="C101" i="12"/>
  <c r="C191" i="12"/>
  <c r="C94" i="77"/>
  <c r="C175" i="77"/>
  <c r="C196" i="77"/>
  <c r="C19" i="52089"/>
  <c r="F19" i="52089" s="1"/>
  <c r="C134" i="52089"/>
  <c r="F134" i="52089" s="1"/>
  <c r="J134" i="52089" s="1"/>
  <c r="C150" i="52089"/>
  <c r="F150" i="52089" s="1"/>
  <c r="C16" i="52090"/>
  <c r="F16" i="52090" s="1"/>
  <c r="C80" i="52090"/>
  <c r="F80" i="52090" s="1"/>
  <c r="C157" i="52090"/>
  <c r="C195" i="52090"/>
  <c r="F195" i="52090" s="1"/>
  <c r="J195" i="52090" s="1"/>
  <c r="C16" i="52091"/>
  <c r="F16" i="52091" s="1"/>
  <c r="J16" i="52091" s="1"/>
  <c r="C101" i="52091"/>
  <c r="F101" i="52091" s="1"/>
  <c r="J101" i="52091" s="1"/>
  <c r="C125" i="52091"/>
  <c r="F125" i="52091" s="1"/>
  <c r="J125" i="52091" s="1"/>
  <c r="C180" i="52091"/>
  <c r="C199" i="52091"/>
  <c r="F199" i="52091" s="1"/>
  <c r="J199" i="52091" s="1"/>
  <c r="C92" i="52092"/>
  <c r="C12" i="52093"/>
  <c r="F12" i="52093" s="1"/>
  <c r="C132" i="52093"/>
  <c r="F132" i="52093" s="1"/>
  <c r="J132" i="52093" s="1"/>
  <c r="C180" i="52093"/>
  <c r="C164" i="52095"/>
  <c r="F164" i="52095" s="1"/>
  <c r="C190" i="52095"/>
  <c r="F190" i="52095" s="1"/>
  <c r="C198" i="52095"/>
  <c r="F198" i="52095" s="1"/>
  <c r="C92" i="52080"/>
  <c r="C142" i="52080"/>
  <c r="C158" i="52080"/>
  <c r="F158" i="52080" s="1"/>
  <c r="C23" i="32"/>
  <c r="C137" i="32"/>
  <c r="C147" i="32"/>
  <c r="F147" i="32" s="1"/>
  <c r="C121" i="91"/>
  <c r="C164" i="91"/>
  <c r="C181" i="91"/>
  <c r="C196" i="91"/>
  <c r="F196" i="91" s="1"/>
  <c r="C123" i="48"/>
  <c r="C170" i="48"/>
  <c r="C85" i="52066"/>
  <c r="F85" i="52066" s="1"/>
  <c r="C136" i="52066"/>
  <c r="F136" i="52066" s="1"/>
  <c r="C144" i="52066"/>
  <c r="F144" i="52066" s="1"/>
  <c r="J144" i="52066" s="1"/>
  <c r="C177" i="52066"/>
  <c r="F177" i="52066" s="1"/>
  <c r="C23" i="52072"/>
  <c r="C18" i="52092"/>
  <c r="F18" i="52092" s="1"/>
  <c r="C73" i="52092"/>
  <c r="F73" i="52092" s="1"/>
  <c r="G73" i="52092" s="1"/>
  <c r="C81" i="52092"/>
  <c r="C105" i="52092"/>
  <c r="C113" i="52092"/>
  <c r="C152" i="52092"/>
  <c r="F152" i="52092" s="1"/>
  <c r="C191" i="52092"/>
  <c r="C28" i="52093"/>
  <c r="C80" i="52093"/>
  <c r="F80" i="52093" s="1"/>
  <c r="C93" i="52093"/>
  <c r="F93" i="52093" s="1"/>
  <c r="C124" i="52093"/>
  <c r="F124" i="52093" s="1"/>
  <c r="J124" i="52093" s="1"/>
  <c r="C149" i="52093"/>
  <c r="C160" i="52093"/>
  <c r="F160" i="52093" s="1"/>
  <c r="J160" i="52093" s="1"/>
  <c r="C190" i="52093"/>
  <c r="F190" i="52093" s="1"/>
  <c r="C87" i="52094"/>
  <c r="C18" i="52095"/>
  <c r="F18" i="52095" s="1"/>
  <c r="C163" i="52095"/>
  <c r="F163" i="52095" s="1"/>
  <c r="C17" i="52080"/>
  <c r="F17" i="52080" s="1"/>
  <c r="C37" i="52080"/>
  <c r="C74" i="52080"/>
  <c r="F74" i="52080" s="1"/>
  <c r="C82" i="52080"/>
  <c r="F82" i="52080" s="1"/>
  <c r="C96" i="52080"/>
  <c r="C120" i="52080"/>
  <c r="C159" i="52080"/>
  <c r="F159" i="52080" s="1"/>
  <c r="J159" i="52080" s="1"/>
  <c r="C29" i="32"/>
  <c r="C88" i="32"/>
  <c r="F88" i="32" s="1"/>
  <c r="C121" i="32"/>
  <c r="C177" i="32"/>
  <c r="C190" i="32"/>
  <c r="C198" i="32"/>
  <c r="F198" i="32" s="1"/>
  <c r="C66" i="91"/>
  <c r="C77" i="91"/>
  <c r="C85" i="91"/>
  <c r="C109" i="91"/>
  <c r="F109" i="91" s="1"/>
  <c r="C133" i="91"/>
  <c r="C145" i="91"/>
  <c r="F145" i="91" s="1"/>
  <c r="C152" i="91"/>
  <c r="F152" i="91" s="1"/>
  <c r="C10" i="48"/>
  <c r="F10" i="48" s="1"/>
  <c r="C25" i="48"/>
  <c r="C110" i="48"/>
  <c r="C49" i="52066"/>
  <c r="C118" i="52066"/>
  <c r="C192" i="52066"/>
  <c r="C67" i="52072"/>
  <c r="C74" i="52072"/>
  <c r="F74" i="52072" s="1"/>
  <c r="C78" i="52072"/>
  <c r="C82" i="52072"/>
  <c r="C86" i="52072"/>
  <c r="F86" i="52072" s="1"/>
  <c r="C106" i="52072"/>
  <c r="C114" i="52072"/>
  <c r="C138" i="52072"/>
  <c r="F138" i="52072" s="1"/>
  <c r="C146" i="52072"/>
  <c r="C14" i="52081"/>
  <c r="F14" i="52081" s="1"/>
  <c r="J14" i="52081" s="1"/>
  <c r="C198" i="52081"/>
  <c r="F198" i="52081" s="1"/>
  <c r="J198" i="52081" s="1"/>
  <c r="C36" i="93"/>
  <c r="C45" i="93"/>
  <c r="C144" i="93"/>
  <c r="F144" i="93" s="1"/>
  <c r="I144" i="93" s="1"/>
  <c r="C93" i="52072"/>
  <c r="C101" i="52072"/>
  <c r="C123" i="52072"/>
  <c r="F123" i="52072" s="1"/>
  <c r="C156" i="52072"/>
  <c r="C181" i="52072"/>
  <c r="C140" i="52081"/>
  <c r="F140" i="52081" s="1"/>
  <c r="J140" i="52081" s="1"/>
  <c r="C144" i="52081"/>
  <c r="C50" i="93"/>
  <c r="F50" i="93" s="1"/>
  <c r="I50" i="93" s="1"/>
  <c r="C72" i="93"/>
  <c r="C123" i="93"/>
  <c r="F123" i="93" s="1"/>
  <c r="I123" i="93" s="1"/>
  <c r="C162" i="93"/>
  <c r="F162" i="93" s="1"/>
  <c r="I162" i="93" s="1"/>
  <c r="C39" i="32"/>
  <c r="C83" i="32"/>
  <c r="C100" i="32"/>
  <c r="C124" i="32"/>
  <c r="F124" i="32" s="1"/>
  <c r="C170" i="32"/>
  <c r="C195" i="32"/>
  <c r="C26" i="91"/>
  <c r="C18" i="48"/>
  <c r="F18" i="48" s="1"/>
  <c r="C107" i="48"/>
  <c r="C131" i="48"/>
  <c r="C152" i="48"/>
  <c r="F152" i="48" s="1"/>
  <c r="C97" i="52066"/>
  <c r="C121" i="52066"/>
  <c r="C166" i="52066"/>
  <c r="C197" i="52066"/>
  <c r="F197" i="52066" s="1"/>
  <c r="J197" i="52066" s="1"/>
  <c r="C66" i="52072"/>
  <c r="C77" i="52072"/>
  <c r="F77" i="52072" s="1"/>
  <c r="C87" i="52072"/>
  <c r="F87" i="52072" s="1"/>
  <c r="C111" i="52072"/>
  <c r="C135" i="52072"/>
  <c r="F135" i="52072" s="1"/>
  <c r="C139" i="52072"/>
  <c r="C163" i="52072"/>
  <c r="F163" i="52072" s="1"/>
  <c r="C108" i="52081"/>
  <c r="C189" i="52081"/>
  <c r="F189" i="52081" s="1"/>
  <c r="J189" i="52081" s="1"/>
  <c r="C39" i="93"/>
  <c r="F39" i="93" s="1"/>
  <c r="G39" i="93" s="1"/>
  <c r="I39" i="93" s="1"/>
  <c r="C100" i="93"/>
  <c r="F100" i="93" s="1"/>
  <c r="C116" i="93"/>
  <c r="F116" i="93" s="1"/>
  <c r="I116" i="93" s="1"/>
  <c r="C42" i="52072"/>
  <c r="C139" i="52081"/>
  <c r="C16" i="93"/>
  <c r="F16" i="93" s="1"/>
  <c r="I16" i="93" s="1"/>
  <c r="C117" i="93"/>
  <c r="F117" i="93" s="1"/>
  <c r="I117" i="93" s="1"/>
  <c r="C158" i="93"/>
  <c r="F158" i="93" s="1"/>
  <c r="I158" i="93" s="1"/>
  <c r="C178" i="93"/>
  <c r="C192" i="21"/>
  <c r="F192" i="21" s="1"/>
  <c r="C36" i="21"/>
  <c r="C105" i="52064"/>
  <c r="C149" i="52064"/>
  <c r="F149" i="52064" s="1"/>
  <c r="C192" i="52064"/>
  <c r="F192" i="52064" s="1"/>
  <c r="C195" i="52100"/>
  <c r="C187" i="52100"/>
  <c r="C175" i="52100"/>
  <c r="C164" i="52100"/>
  <c r="C156" i="52100"/>
  <c r="C144" i="52100"/>
  <c r="C136" i="52100"/>
  <c r="C125" i="52100"/>
  <c r="C114" i="52100"/>
  <c r="C106" i="52100"/>
  <c r="C95" i="52100"/>
  <c r="C86" i="52100"/>
  <c r="F86" i="52100" s="1"/>
  <c r="C78" i="52100"/>
  <c r="C67" i="52100"/>
  <c r="F67" i="52100" s="1"/>
  <c r="C39" i="52100"/>
  <c r="C25" i="52100"/>
  <c r="C14" i="52100"/>
  <c r="F14" i="52100" s="1"/>
  <c r="J14" i="52100" s="1"/>
  <c r="C8" i="52100"/>
  <c r="C194" i="101"/>
  <c r="F194" i="101" s="1"/>
  <c r="J194" i="101" s="1"/>
  <c r="C162" i="148"/>
  <c r="F162" i="148" s="1"/>
  <c r="C9" i="108"/>
  <c r="F9" i="108" s="1"/>
  <c r="C171" i="108"/>
  <c r="F171" i="108" s="1"/>
  <c r="C40" i="52087"/>
  <c r="C137" i="52088"/>
  <c r="F137" i="52088" s="1"/>
  <c r="C124" i="52067"/>
  <c r="F124" i="52067" s="1"/>
  <c r="J124" i="52067" s="1"/>
  <c r="C28" i="52079"/>
  <c r="C253" i="52079" s="1"/>
  <c r="C252" i="52083" s="1"/>
  <c r="C98" i="52079"/>
  <c r="F98" i="52079" s="1"/>
  <c r="C172" i="52071"/>
  <c r="F172" i="52071" s="1"/>
  <c r="C191" i="52071"/>
  <c r="F191" i="52071" s="1"/>
  <c r="J191" i="52071" s="1"/>
  <c r="C93" i="52088"/>
  <c r="F93" i="52088" s="1"/>
  <c r="C19" i="52067"/>
  <c r="F19" i="52067" s="1"/>
  <c r="C170" i="52067"/>
  <c r="C171" i="52079"/>
  <c r="F171" i="52079" s="1"/>
  <c r="C193" i="52079"/>
  <c r="F193" i="52079" s="1"/>
  <c r="J193" i="52079" s="1"/>
  <c r="C133" i="114"/>
  <c r="C93" i="115"/>
  <c r="F93" i="115" s="1"/>
  <c r="C39" i="21"/>
  <c r="C165" i="52064"/>
  <c r="F165" i="52064" s="1"/>
  <c r="C105" i="148"/>
  <c r="C23" i="52064"/>
  <c r="C10" i="105"/>
  <c r="F10" i="105" s="1"/>
  <c r="C94" i="108"/>
  <c r="F94" i="108" s="1"/>
  <c r="C198" i="108"/>
  <c r="F198" i="108" s="1"/>
  <c r="J198" i="108" s="1"/>
  <c r="C158" i="52064"/>
  <c r="F158" i="52064" s="1"/>
  <c r="C195" i="108"/>
  <c r="F195" i="108" s="1"/>
  <c r="J195" i="108" s="1"/>
  <c r="C124" i="52088"/>
  <c r="F124" i="52088" s="1"/>
  <c r="J124" i="52088" s="1"/>
  <c r="C16" i="52067"/>
  <c r="F16" i="52067" s="1"/>
  <c r="C100" i="108"/>
  <c r="F100" i="108" s="1"/>
  <c r="C191" i="52067"/>
  <c r="F191" i="52067" s="1"/>
  <c r="J191" i="52067" s="1"/>
  <c r="C101" i="52079"/>
  <c r="F101" i="52079" s="1"/>
  <c r="C18" i="52071"/>
  <c r="F18" i="52071" s="1"/>
  <c r="C75" i="52088"/>
  <c r="F75" i="52088" s="1"/>
  <c r="C80" i="52067"/>
  <c r="F80" i="52067" s="1"/>
  <c r="C29" i="52079"/>
  <c r="C194" i="52100"/>
  <c r="F194" i="52100" s="1"/>
  <c r="C183" i="52100"/>
  <c r="C174" i="52100"/>
  <c r="C163" i="52100"/>
  <c r="C152" i="52100"/>
  <c r="C143" i="52100"/>
  <c r="C135" i="52100"/>
  <c r="F135" i="52100" s="1"/>
  <c r="C124" i="52100"/>
  <c r="C113" i="52100"/>
  <c r="L113" i="52100" s="1"/>
  <c r="C105" i="52100"/>
  <c r="C94" i="52100"/>
  <c r="C85" i="52100"/>
  <c r="C77" i="52100"/>
  <c r="C66" i="52100"/>
  <c r="F66" i="52100" s="1"/>
  <c r="C37" i="52100"/>
  <c r="L37" i="52100" s="1"/>
  <c r="C24" i="52100"/>
  <c r="C13" i="52100"/>
  <c r="F13" i="52100" s="1"/>
  <c r="J13" i="52100" s="1"/>
  <c r="C131" i="52093"/>
  <c r="C14" i="52067"/>
  <c r="F14" i="52067" s="1"/>
  <c r="J14" i="52067" s="1"/>
  <c r="C11" i="148"/>
  <c r="F11" i="148" s="1"/>
  <c r="C125" i="108"/>
  <c r="F125" i="108" s="1"/>
  <c r="J125" i="108" s="1"/>
  <c r="C124" i="52087"/>
  <c r="F124" i="52087" s="1"/>
  <c r="C107" i="52088"/>
  <c r="F107" i="52088" s="1"/>
  <c r="C40" i="52067"/>
  <c r="C9" i="52079"/>
  <c r="F9" i="52079" s="1"/>
  <c r="C118" i="52079"/>
  <c r="C170" i="52071"/>
  <c r="C197" i="52071"/>
  <c r="F197" i="52071" s="1"/>
  <c r="J197" i="52071" s="1"/>
  <c r="C13" i="101"/>
  <c r="F13" i="101" s="1"/>
  <c r="C174" i="52067"/>
  <c r="F174" i="52067" s="1"/>
  <c r="C191" i="52079"/>
  <c r="F191" i="52079" s="1"/>
  <c r="J191" i="52079" s="1"/>
  <c r="C137" i="114"/>
  <c r="F137" i="114" s="1"/>
  <c r="J137" i="114" s="1"/>
  <c r="C12" i="21"/>
  <c r="F12" i="21" s="1"/>
  <c r="C141" i="21"/>
  <c r="F141" i="21" s="1"/>
  <c r="C68" i="148"/>
  <c r="F68" i="148" s="1"/>
  <c r="C132" i="21"/>
  <c r="F132" i="21" s="1"/>
  <c r="C18" i="148"/>
  <c r="F18" i="148" s="1"/>
  <c r="C40" i="105"/>
  <c r="C194" i="105"/>
  <c r="F194" i="105" s="1"/>
  <c r="C140" i="108"/>
  <c r="F140" i="108" s="1"/>
  <c r="C41" i="108"/>
  <c r="C189" i="52088"/>
  <c r="F189" i="52088" s="1"/>
  <c r="J189" i="52088" s="1"/>
  <c r="C166" i="52067"/>
  <c r="F166" i="52067" s="1"/>
  <c r="C40" i="108"/>
  <c r="C29" i="52067"/>
  <c r="C41" i="52079"/>
  <c r="C39" i="52071"/>
  <c r="C18" i="52088"/>
  <c r="F18" i="52088" s="1"/>
  <c r="C159" i="52067"/>
  <c r="F159" i="52067" s="1"/>
  <c r="J159" i="52067" s="1"/>
  <c r="C10" i="20"/>
  <c r="F10" i="20" s="1"/>
  <c r="C14" i="12"/>
  <c r="F14" i="12" s="1"/>
  <c r="C92" i="115"/>
  <c r="F92" i="115" s="1"/>
  <c r="C194" i="20"/>
  <c r="F194" i="20" s="1"/>
  <c r="J194" i="20" s="1"/>
  <c r="C67" i="52089"/>
  <c r="C86" i="52089"/>
  <c r="C172" i="52089"/>
  <c r="C97" i="108"/>
  <c r="F97" i="108" s="1"/>
  <c r="C126" i="52087"/>
  <c r="F126" i="52087" s="1"/>
  <c r="C126" i="52067"/>
  <c r="F126" i="52067" s="1"/>
  <c r="C23" i="52071"/>
  <c r="C30" i="52071" s="1"/>
  <c r="C189" i="52071"/>
  <c r="F189" i="52071" s="1"/>
  <c r="J189" i="52071" s="1"/>
  <c r="C68" i="52079"/>
  <c r="C136" i="52079"/>
  <c r="F136" i="52079" s="1"/>
  <c r="C14" i="52071"/>
  <c r="F14" i="52071" s="1"/>
  <c r="J14" i="52071" s="1"/>
  <c r="C87" i="21"/>
  <c r="F87" i="21" s="1"/>
  <c r="C49" i="148"/>
  <c r="C126" i="105"/>
  <c r="F126" i="105" s="1"/>
  <c r="C133" i="52087"/>
  <c r="F133" i="52087" s="1"/>
  <c r="C170" i="108"/>
  <c r="C196" i="52071"/>
  <c r="F196" i="52071" s="1"/>
  <c r="J196" i="52071" s="1"/>
  <c r="C145" i="52079"/>
  <c r="F145" i="52079" s="1"/>
  <c r="C146" i="114"/>
  <c r="C12" i="12"/>
  <c r="F12" i="12" s="1"/>
  <c r="C64" i="52089"/>
  <c r="C178" i="52089"/>
  <c r="C15" i="52091"/>
  <c r="F15" i="52091" s="1"/>
  <c r="J15" i="52091" s="1"/>
  <c r="C137" i="52091"/>
  <c r="F137" i="52091" s="1"/>
  <c r="J137" i="52091" s="1"/>
  <c r="C19" i="52092"/>
  <c r="F19" i="52092" s="1"/>
  <c r="C125" i="114"/>
  <c r="F125" i="114" s="1"/>
  <c r="C37" i="21"/>
  <c r="C42" i="21"/>
  <c r="C142" i="52064"/>
  <c r="F142" i="52064" s="1"/>
  <c r="C90" i="148"/>
  <c r="F90" i="148" s="1"/>
  <c r="C27" i="52064"/>
  <c r="C159" i="148"/>
  <c r="F159" i="148" s="1"/>
  <c r="C192" i="105"/>
  <c r="F192" i="105" s="1"/>
  <c r="C106" i="108"/>
  <c r="F106" i="108" s="1"/>
  <c r="J106" i="108" s="1"/>
  <c r="C73" i="52064"/>
  <c r="F73" i="52064" s="1"/>
  <c r="C144" i="148"/>
  <c r="F144" i="148" s="1"/>
  <c r="C191" i="52088"/>
  <c r="F191" i="52088" s="1"/>
  <c r="J191" i="52088" s="1"/>
  <c r="C193" i="101"/>
  <c r="F193" i="101" s="1"/>
  <c r="J193" i="101" s="1"/>
  <c r="C161" i="148"/>
  <c r="F161" i="148" s="1"/>
  <c r="C19" i="52087"/>
  <c r="F19" i="52087" s="1"/>
  <c r="C13" i="52071"/>
  <c r="F13" i="52071" s="1"/>
  <c r="C81" i="52088"/>
  <c r="F81" i="52088" s="1"/>
  <c r="C65" i="52079"/>
  <c r="C111" i="52079"/>
  <c r="F111" i="52079" s="1"/>
  <c r="J111" i="52079" s="1"/>
  <c r="C176" i="52079"/>
  <c r="F176" i="52079" s="1"/>
  <c r="C98" i="115"/>
  <c r="F98" i="115" s="1"/>
  <c r="C87" i="20"/>
  <c r="C14" i="52089"/>
  <c r="F14" i="52089" s="1"/>
  <c r="J14" i="52089" s="1"/>
  <c r="C94" i="52089"/>
  <c r="F94" i="52089" s="1"/>
  <c r="C106" i="52091"/>
  <c r="C81" i="114"/>
  <c r="C14" i="115"/>
  <c r="F14" i="115" s="1"/>
  <c r="C137" i="115"/>
  <c r="F137" i="115" s="1"/>
  <c r="C199" i="115"/>
  <c r="F199" i="115" s="1"/>
  <c r="C177" i="12"/>
  <c r="C18" i="77"/>
  <c r="F18" i="77" s="1"/>
  <c r="C187" i="77"/>
  <c r="C137" i="52089"/>
  <c r="F137" i="52089" s="1"/>
  <c r="J137" i="52089" s="1"/>
  <c r="C17" i="52090"/>
  <c r="F17" i="52090" s="1"/>
  <c r="C177" i="108"/>
  <c r="F177" i="108" s="1"/>
  <c r="C124" i="52079"/>
  <c r="F124" i="52079" s="1"/>
  <c r="J124" i="52079" s="1"/>
  <c r="C74" i="52071"/>
  <c r="F74" i="52071" s="1"/>
  <c r="C77" i="52079"/>
  <c r="F77" i="52079" s="1"/>
  <c r="C108" i="52079"/>
  <c r="F108" i="52079" s="1"/>
  <c r="J108" i="52079" s="1"/>
  <c r="C93" i="52071"/>
  <c r="F93" i="52071" s="1"/>
  <c r="C18" i="21"/>
  <c r="F18" i="21" s="1"/>
  <c r="C144" i="52064"/>
  <c r="F144" i="52064" s="1"/>
  <c r="C178" i="21"/>
  <c r="F178" i="21" s="1"/>
  <c r="C108" i="108"/>
  <c r="F108" i="108" s="1"/>
  <c r="J108" i="108" s="1"/>
  <c r="C110" i="148"/>
  <c r="F110" i="148" s="1"/>
  <c r="C181" i="52088"/>
  <c r="F181" i="52088" s="1"/>
  <c r="C163" i="148"/>
  <c r="F163" i="148" s="1"/>
  <c r="C182" i="108"/>
  <c r="F182" i="108" s="1"/>
  <c r="C173" i="52071"/>
  <c r="F173" i="52071" s="1"/>
  <c r="C173" i="52067"/>
  <c r="F173" i="52067" s="1"/>
  <c r="C174" i="52079"/>
  <c r="F174" i="52079" s="1"/>
  <c r="C146" i="12"/>
  <c r="C72" i="52089"/>
  <c r="F72" i="52089" s="1"/>
  <c r="C121" i="52089"/>
  <c r="C124" i="52090"/>
  <c r="F124" i="52090" s="1"/>
  <c r="J124" i="52090" s="1"/>
  <c r="C107" i="52091"/>
  <c r="C131" i="52091"/>
  <c r="C178" i="114"/>
  <c r="F178" i="114" s="1"/>
  <c r="C77" i="21"/>
  <c r="F77" i="21" s="1"/>
  <c r="C12" i="52064"/>
  <c r="F12" i="52064" s="1"/>
  <c r="C146" i="52064"/>
  <c r="F146" i="52064" s="1"/>
  <c r="C83" i="21"/>
  <c r="F83" i="21" s="1"/>
  <c r="C124" i="52064"/>
  <c r="F124" i="52064" s="1"/>
  <c r="C19" i="105"/>
  <c r="F19" i="105" s="1"/>
  <c r="C92" i="108"/>
  <c r="F92" i="108" s="1"/>
  <c r="C75" i="52087"/>
  <c r="F75" i="52087" s="1"/>
  <c r="C94" i="52064"/>
  <c r="F94" i="52064" s="1"/>
  <c r="C132" i="148"/>
  <c r="F132" i="148" s="1"/>
  <c r="C148" i="148"/>
  <c r="F148" i="148" s="1"/>
  <c r="C137" i="52087"/>
  <c r="F137" i="52087" s="1"/>
  <c r="C16" i="52088"/>
  <c r="F16" i="52088" s="1"/>
  <c r="C175" i="52088"/>
  <c r="F175" i="52088" s="1"/>
  <c r="C49" i="101"/>
  <c r="C144" i="105"/>
  <c r="F144" i="105" s="1"/>
  <c r="C9" i="52087"/>
  <c r="F9" i="52087" s="1"/>
  <c r="C197" i="52067"/>
  <c r="F197" i="52067" s="1"/>
  <c r="J197" i="52067" s="1"/>
  <c r="C179" i="52071"/>
  <c r="C198" i="52071"/>
  <c r="F198" i="52071" s="1"/>
  <c r="J198" i="52071" s="1"/>
  <c r="C131" i="52079"/>
  <c r="C25" i="52089"/>
  <c r="C123" i="52090"/>
  <c r="C135" i="115"/>
  <c r="F135" i="115" s="1"/>
  <c r="C18" i="12"/>
  <c r="F18" i="12" s="1"/>
  <c r="C15" i="52089"/>
  <c r="F15" i="52089" s="1"/>
  <c r="J15" i="52089" s="1"/>
  <c r="C75" i="52090"/>
  <c r="F75" i="52090" s="1"/>
  <c r="C40" i="52091"/>
  <c r="C122" i="52091"/>
  <c r="C179" i="52091"/>
  <c r="C192" i="52091"/>
  <c r="C101" i="52092"/>
  <c r="C108" i="52093"/>
  <c r="F108" i="52093" s="1"/>
  <c r="J108" i="52093" s="1"/>
  <c r="C13" i="52094"/>
  <c r="F13" i="52094" s="1"/>
  <c r="C170" i="52095"/>
  <c r="C8" i="52080"/>
  <c r="C133" i="52080"/>
  <c r="C41" i="32"/>
  <c r="C146" i="32"/>
  <c r="F146" i="32" s="1"/>
  <c r="C126" i="91"/>
  <c r="C14" i="48"/>
  <c r="F14" i="48" s="1"/>
  <c r="C90" i="48"/>
  <c r="C120" i="48"/>
  <c r="C175" i="48"/>
  <c r="C67" i="52066"/>
  <c r="F67" i="52066" s="1"/>
  <c r="C113" i="52066"/>
  <c r="C172" i="52066"/>
  <c r="F172" i="52066" s="1"/>
  <c r="C26" i="52072"/>
  <c r="C82" i="52092"/>
  <c r="C156" i="52092"/>
  <c r="C190" i="52092"/>
  <c r="C92" i="52093"/>
  <c r="F92" i="52093" s="1"/>
  <c r="C8" i="52094"/>
  <c r="C29" i="52095"/>
  <c r="C183" i="20"/>
  <c r="C19" i="77"/>
  <c r="F19" i="77" s="1"/>
  <c r="C140" i="77"/>
  <c r="C41" i="52089"/>
  <c r="C187" i="52064"/>
  <c r="C27" i="108"/>
  <c r="C144" i="52087"/>
  <c r="F144" i="52087" s="1"/>
  <c r="J144" i="52087" s="1"/>
  <c r="C172" i="101"/>
  <c r="F172" i="101" s="1"/>
  <c r="C190" i="52087"/>
  <c r="F190" i="52087" s="1"/>
  <c r="J190" i="52087" s="1"/>
  <c r="C12" i="52079"/>
  <c r="F12" i="52079" s="1"/>
  <c r="C73" i="52079"/>
  <c r="C114" i="52079"/>
  <c r="F114" i="52079" s="1"/>
  <c r="C195" i="52079"/>
  <c r="F195" i="52079" s="1"/>
  <c r="J195" i="52079" s="1"/>
  <c r="C13" i="115"/>
  <c r="F13" i="115" s="1"/>
  <c r="C160" i="52064"/>
  <c r="F160" i="52064" s="1"/>
  <c r="C35" i="52064"/>
  <c r="C198" i="105"/>
  <c r="F198" i="105" s="1"/>
  <c r="C138" i="148"/>
  <c r="F138" i="148" s="1"/>
  <c r="C16" i="101"/>
  <c r="F16" i="101" s="1"/>
  <c r="C188" i="52071"/>
  <c r="F188" i="52071" s="1"/>
  <c r="J188" i="52071" s="1"/>
  <c r="C86" i="52079"/>
  <c r="F86" i="52079" s="1"/>
  <c r="C170" i="52079"/>
  <c r="C107" i="20"/>
  <c r="C101" i="52089"/>
  <c r="C15" i="52090"/>
  <c r="F15" i="52090" s="1"/>
  <c r="J15" i="52090" s="1"/>
  <c r="C183" i="52090"/>
  <c r="F183" i="52090" s="1"/>
  <c r="C139" i="52091"/>
  <c r="C93" i="114"/>
  <c r="C134" i="21"/>
  <c r="F134" i="21" s="1"/>
  <c r="C134" i="52064"/>
  <c r="F134" i="52064" s="1"/>
  <c r="C73" i="148"/>
  <c r="C90" i="21"/>
  <c r="F90" i="21" s="1"/>
  <c r="C170" i="52064"/>
  <c r="C92" i="105"/>
  <c r="F92" i="105" s="1"/>
  <c r="C114" i="108"/>
  <c r="F114" i="108" s="1"/>
  <c r="C183" i="148"/>
  <c r="F183" i="148" s="1"/>
  <c r="C199" i="52088"/>
  <c r="F199" i="52088" s="1"/>
  <c r="J199" i="52088" s="1"/>
  <c r="C107" i="52067"/>
  <c r="F107" i="52067" s="1"/>
  <c r="C126" i="108"/>
  <c r="F126" i="108" s="1"/>
  <c r="C18" i="101"/>
  <c r="F18" i="101" s="1"/>
  <c r="C81" i="52071"/>
  <c r="F81" i="52071" s="1"/>
  <c r="C37" i="52079"/>
  <c r="C107" i="52079"/>
  <c r="F107" i="52079" s="1"/>
  <c r="C192" i="52079"/>
  <c r="F192" i="52079" s="1"/>
  <c r="J192" i="52079" s="1"/>
  <c r="C74" i="20"/>
  <c r="C25" i="77"/>
  <c r="C122" i="52089"/>
  <c r="C25" i="52091"/>
  <c r="C187" i="114"/>
  <c r="C139" i="115"/>
  <c r="C14" i="20"/>
  <c r="F14" i="20" s="1"/>
  <c r="C15" i="12"/>
  <c r="F15" i="12" s="1"/>
  <c r="C92" i="12"/>
  <c r="C190" i="12"/>
  <c r="C178" i="77"/>
  <c r="C105" i="52089"/>
  <c r="C163" i="52089"/>
  <c r="F163" i="52089" s="1"/>
  <c r="C165" i="148"/>
  <c r="F165" i="148" s="1"/>
  <c r="C17" i="52087"/>
  <c r="F17" i="52087" s="1"/>
  <c r="C178" i="101"/>
  <c r="F178" i="101" s="1"/>
  <c r="C15" i="52071"/>
  <c r="F15" i="52071" s="1"/>
  <c r="J15" i="52071" s="1"/>
  <c r="C23" i="52079"/>
  <c r="C94" i="52079"/>
  <c r="F94" i="52079" s="1"/>
  <c r="C37" i="52071"/>
  <c r="C67" i="21"/>
  <c r="F67" i="21" s="1"/>
  <c r="C75" i="148"/>
  <c r="F75" i="148" s="1"/>
  <c r="C101" i="148"/>
  <c r="F101" i="148" s="1"/>
  <c r="C136" i="108"/>
  <c r="F136" i="108" s="1"/>
  <c r="C18" i="108"/>
  <c r="F18" i="108" s="1"/>
  <c r="C146" i="105"/>
  <c r="F146" i="105" s="1"/>
  <c r="C177" i="52071"/>
  <c r="F177" i="52071" s="1"/>
  <c r="C181" i="52067"/>
  <c r="F181" i="52067" s="1"/>
  <c r="C16" i="52071"/>
  <c r="F16" i="52071" s="1"/>
  <c r="C198" i="20"/>
  <c r="F198" i="20" s="1"/>
  <c r="C80" i="52089"/>
  <c r="F80" i="52089" s="1"/>
  <c r="C189" i="52089"/>
  <c r="F189" i="52089" s="1"/>
  <c r="J189" i="52089" s="1"/>
  <c r="C135" i="52091"/>
  <c r="F135" i="52091" s="1"/>
  <c r="J135" i="52091" s="1"/>
  <c r="C152" i="52091"/>
  <c r="C170" i="114"/>
  <c r="C126" i="21"/>
  <c r="F126" i="21" s="1"/>
  <c r="C194" i="21"/>
  <c r="F194" i="21" s="1"/>
  <c r="C162" i="52064"/>
  <c r="F162" i="52064" s="1"/>
  <c r="C77" i="148"/>
  <c r="F77" i="148" s="1"/>
  <c r="C112" i="148"/>
  <c r="F112" i="148" s="1"/>
  <c r="C87" i="105"/>
  <c r="F87" i="105" s="1"/>
  <c r="C134" i="108"/>
  <c r="F134" i="108" s="1"/>
  <c r="C66" i="52064"/>
  <c r="F66" i="52064" s="1"/>
  <c r="C187" i="52088"/>
  <c r="C166" i="148"/>
  <c r="F166" i="148" s="1"/>
  <c r="C172" i="108"/>
  <c r="F172" i="108" s="1"/>
  <c r="C189" i="52067"/>
  <c r="F189" i="52067" s="1"/>
  <c r="J189" i="52067" s="1"/>
  <c r="C15" i="52067"/>
  <c r="F15" i="52067" s="1"/>
  <c r="J15" i="52067" s="1"/>
  <c r="C136" i="114"/>
  <c r="F136" i="114" s="1"/>
  <c r="J136" i="114" s="1"/>
  <c r="C90" i="52089"/>
  <c r="F90" i="52089" s="1"/>
  <c r="C183" i="52091"/>
  <c r="C87" i="115"/>
  <c r="F87" i="115" s="1"/>
  <c r="C193" i="20"/>
  <c r="F193" i="20" s="1"/>
  <c r="C9" i="77"/>
  <c r="F9" i="77" s="1"/>
  <c r="C81" i="52090"/>
  <c r="F81" i="52090" s="1"/>
  <c r="C9" i="52091"/>
  <c r="F9" i="52091" s="1"/>
  <c r="J9" i="52091" s="1"/>
  <c r="C77" i="52091"/>
  <c r="C126" i="52091"/>
  <c r="C27" i="52092"/>
  <c r="C11" i="52093"/>
  <c r="F11" i="52093" s="1"/>
  <c r="C142" i="52093"/>
  <c r="C37" i="52094"/>
  <c r="C187" i="52094"/>
  <c r="C123" i="52095"/>
  <c r="C12" i="52080"/>
  <c r="F12" i="52080" s="1"/>
  <c r="C147" i="52080"/>
  <c r="C13" i="32"/>
  <c r="F13" i="32" s="1"/>
  <c r="C138" i="32"/>
  <c r="F138" i="32" s="1"/>
  <c r="C37" i="91"/>
  <c r="C176" i="91"/>
  <c r="F176" i="91" s="1"/>
  <c r="C77" i="48"/>
  <c r="C192" i="48"/>
  <c r="C82" i="52066"/>
  <c r="C141" i="52066"/>
  <c r="C67" i="52092"/>
  <c r="C110" i="52092"/>
  <c r="C17" i="52093"/>
  <c r="F17" i="52093" s="1"/>
  <c r="C77" i="52093"/>
  <c r="C119" i="52093"/>
  <c r="C159" i="52093"/>
  <c r="F159" i="52093" s="1"/>
  <c r="J159" i="52093" s="1"/>
  <c r="C18" i="52094"/>
  <c r="F18" i="52094" s="1"/>
  <c r="C15" i="52095"/>
  <c r="F15" i="52095" s="1"/>
  <c r="C87" i="52095"/>
  <c r="F87" i="52095" s="1"/>
  <c r="C11" i="52080"/>
  <c r="F11" i="52080" s="1"/>
  <c r="C68" i="52080"/>
  <c r="C125" i="52080"/>
  <c r="C125" i="115"/>
  <c r="C16" i="12"/>
  <c r="F16" i="12" s="1"/>
  <c r="C81" i="77"/>
  <c r="F81" i="77" s="1"/>
  <c r="C120" i="52089"/>
  <c r="C166" i="52090"/>
  <c r="F166" i="52090" s="1"/>
  <c r="C11" i="52092"/>
  <c r="F11" i="52092" s="1"/>
  <c r="C16" i="115"/>
  <c r="F16" i="115" s="1"/>
  <c r="C79" i="52080"/>
  <c r="C195" i="52080"/>
  <c r="F195" i="52080" s="1"/>
  <c r="J195" i="52080" s="1"/>
  <c r="C79" i="52089"/>
  <c r="C101" i="52090"/>
  <c r="F101" i="52090" s="1"/>
  <c r="C177" i="115"/>
  <c r="C170" i="20"/>
  <c r="C187" i="20"/>
  <c r="C187" i="12"/>
  <c r="C164" i="77"/>
  <c r="C144" i="52089"/>
  <c r="F144" i="52089" s="1"/>
  <c r="J144" i="52089" s="1"/>
  <c r="C174" i="52090"/>
  <c r="F174" i="52090" s="1"/>
  <c r="C35" i="52091"/>
  <c r="C86" i="52091"/>
  <c r="F86" i="52091" s="1"/>
  <c r="J86" i="52091" s="1"/>
  <c r="C170" i="52091"/>
  <c r="C41" i="52092"/>
  <c r="C10" i="52093"/>
  <c r="F10" i="52093" s="1"/>
  <c r="C141" i="52093"/>
  <c r="C94" i="52094"/>
  <c r="F94" i="52094" s="1"/>
  <c r="C188" i="52094"/>
  <c r="C19" i="52095"/>
  <c r="F19" i="52095" s="1"/>
  <c r="C188" i="52095"/>
  <c r="C94" i="52080"/>
  <c r="C166" i="52080"/>
  <c r="C135" i="32"/>
  <c r="F135" i="32" s="1"/>
  <c r="C163" i="32"/>
  <c r="C72" i="48"/>
  <c r="C83" i="52066"/>
  <c r="C175" i="52066"/>
  <c r="C14" i="52092"/>
  <c r="F14" i="52092" s="1"/>
  <c r="J14" i="52092" s="1"/>
  <c r="C175" i="52093"/>
  <c r="C25" i="52094"/>
  <c r="C166" i="52095"/>
  <c r="C84" i="52080"/>
  <c r="C126" i="52080"/>
  <c r="C198" i="52080"/>
  <c r="F198" i="52080" s="1"/>
  <c r="J198" i="52080" s="1"/>
  <c r="C86" i="32"/>
  <c r="C179" i="32"/>
  <c r="C42" i="91"/>
  <c r="C37" i="52066"/>
  <c r="C190" i="52066"/>
  <c r="C65" i="52072"/>
  <c r="C112" i="52072"/>
  <c r="C40" i="52081"/>
  <c r="C15" i="93"/>
  <c r="F15" i="93" s="1"/>
  <c r="I15" i="93" s="1"/>
  <c r="C114" i="93"/>
  <c r="F114" i="93" s="1"/>
  <c r="I114" i="93" s="1"/>
  <c r="C96" i="52072"/>
  <c r="F96" i="52072" s="1"/>
  <c r="C179" i="52072"/>
  <c r="C42" i="93"/>
  <c r="F42" i="93" s="1"/>
  <c r="C90" i="93"/>
  <c r="F90" i="93" s="1"/>
  <c r="I90" i="93" s="1"/>
  <c r="C141" i="93"/>
  <c r="F141" i="93" s="1"/>
  <c r="I141" i="93" s="1"/>
  <c r="C28" i="32"/>
  <c r="C98" i="32"/>
  <c r="C197" i="32"/>
  <c r="C78" i="91"/>
  <c r="C150" i="91"/>
  <c r="F150" i="91" s="1"/>
  <c r="C105" i="48"/>
  <c r="C139" i="48"/>
  <c r="C166" i="48"/>
  <c r="C95" i="52066"/>
  <c r="C195" i="52066"/>
  <c r="F195" i="52066" s="1"/>
  <c r="J195" i="52066" s="1"/>
  <c r="C79" i="52072"/>
  <c r="C29" i="93"/>
  <c r="F29" i="93" s="1"/>
  <c r="I29" i="93" s="1"/>
  <c r="C103" i="93"/>
  <c r="F103" i="93" s="1"/>
  <c r="I103" i="93" s="1"/>
  <c r="C92" i="52072"/>
  <c r="F92" i="52072" s="1"/>
  <c r="C11" i="52081"/>
  <c r="F11" i="52081" s="1"/>
  <c r="J11" i="52081" s="1"/>
  <c r="C26" i="93"/>
  <c r="F26" i="93" s="1"/>
  <c r="I26" i="93" s="1"/>
  <c r="C75" i="93"/>
  <c r="F75" i="93" s="1"/>
  <c r="I75" i="93" s="1"/>
  <c r="C135" i="93"/>
  <c r="F135" i="93" s="1"/>
  <c r="I135" i="93" s="1"/>
  <c r="C171" i="52087"/>
  <c r="F171" i="52087" s="1"/>
  <c r="C193" i="52067"/>
  <c r="F193" i="52067" s="1"/>
  <c r="J193" i="52067" s="1"/>
  <c r="C171" i="52067"/>
  <c r="F171" i="52067" s="1"/>
  <c r="C140" i="52071"/>
  <c r="F140" i="52071" s="1"/>
  <c r="C163" i="20"/>
  <c r="C179" i="52089"/>
  <c r="C150" i="52091"/>
  <c r="C75" i="115"/>
  <c r="F75" i="115" s="1"/>
  <c r="C193" i="115"/>
  <c r="F193" i="115" s="1"/>
  <c r="C101" i="20"/>
  <c r="C191" i="77"/>
  <c r="C164" i="52090"/>
  <c r="F164" i="52090" s="1"/>
  <c r="C181" i="52090"/>
  <c r="F181" i="52090" s="1"/>
  <c r="C198" i="52090"/>
  <c r="F198" i="52090" s="1"/>
  <c r="J198" i="52090" s="1"/>
  <c r="C87" i="52091"/>
  <c r="F87" i="52091" s="1"/>
  <c r="C124" i="52091"/>
  <c r="C177" i="52091"/>
  <c r="C99" i="52092"/>
  <c r="F99" i="52092" s="1"/>
  <c r="C23" i="52093"/>
  <c r="C187" i="52093"/>
  <c r="C157" i="52094"/>
  <c r="C125" i="52095"/>
  <c r="C16" i="52080"/>
  <c r="F16" i="52080" s="1"/>
  <c r="C145" i="52080"/>
  <c r="C37" i="32"/>
  <c r="C148" i="32"/>
  <c r="C94" i="91"/>
  <c r="F94" i="91" s="1"/>
  <c r="C174" i="91"/>
  <c r="C68" i="48"/>
  <c r="C126" i="48"/>
  <c r="C64" i="52066"/>
  <c r="C107" i="52066"/>
  <c r="F107" i="52066" s="1"/>
  <c r="C170" i="52066"/>
  <c r="C72" i="52092"/>
  <c r="C112" i="52092"/>
  <c r="F112" i="52092" s="1"/>
  <c r="C179" i="52092"/>
  <c r="C192" i="52092"/>
  <c r="C42" i="52093"/>
  <c r="C98" i="52093"/>
  <c r="F98" i="52093" s="1"/>
  <c r="C152" i="52093"/>
  <c r="F152" i="52093" s="1"/>
  <c r="C178" i="52093"/>
  <c r="C73" i="52094"/>
  <c r="C146" i="52095"/>
  <c r="C77" i="52080"/>
  <c r="F77" i="52080" s="1"/>
  <c r="C175" i="52080"/>
  <c r="C11" i="52089"/>
  <c r="F11" i="52089" s="1"/>
  <c r="J11" i="52089" s="1"/>
  <c r="C124" i="52089"/>
  <c r="F124" i="52089" s="1"/>
  <c r="C12" i="52091"/>
  <c r="F12" i="52091" s="1"/>
  <c r="J12" i="52091" s="1"/>
  <c r="C193" i="114"/>
  <c r="F193" i="114" s="1"/>
  <c r="J193" i="114" s="1"/>
  <c r="C19" i="115"/>
  <c r="F19" i="115" s="1"/>
  <c r="C144" i="115"/>
  <c r="C13" i="20"/>
  <c r="F13" i="20" s="1"/>
  <c r="C199" i="20"/>
  <c r="F199" i="20" s="1"/>
  <c r="C93" i="12"/>
  <c r="C195" i="12"/>
  <c r="C188" i="77"/>
  <c r="F188" i="77" s="1"/>
  <c r="J188" i="77" s="1"/>
  <c r="C106" i="52089"/>
  <c r="C162" i="52089"/>
  <c r="F162" i="52089" s="1"/>
  <c r="C137" i="52090"/>
  <c r="F137" i="52090" s="1"/>
  <c r="J137" i="52090" s="1"/>
  <c r="C13" i="52091"/>
  <c r="F13" i="52091" s="1"/>
  <c r="J13" i="52091" s="1"/>
  <c r="C121" i="52091"/>
  <c r="F121" i="52091" s="1"/>
  <c r="C191" i="52091"/>
  <c r="C162" i="52092"/>
  <c r="C156" i="52093"/>
  <c r="C181" i="52095"/>
  <c r="C14" i="52080"/>
  <c r="F14" i="52080" s="1"/>
  <c r="C146" i="52080"/>
  <c r="F146" i="52080" s="1"/>
  <c r="J146" i="52080" s="1"/>
  <c r="C105" i="32"/>
  <c r="C161" i="32"/>
  <c r="F161" i="32" s="1"/>
  <c r="C173" i="91"/>
  <c r="F173" i="91" s="1"/>
  <c r="C41" i="48"/>
  <c r="C39" i="52066"/>
  <c r="C140" i="52066"/>
  <c r="C14" i="52072"/>
  <c r="F14" i="52072" s="1"/>
  <c r="J14" i="52072" s="1"/>
  <c r="C66" i="52092"/>
  <c r="C85" i="52092"/>
  <c r="F85" i="52092" s="1"/>
  <c r="C139" i="52092"/>
  <c r="F139" i="52092" s="1"/>
  <c r="J139" i="52092" s="1"/>
  <c r="C199" i="52092"/>
  <c r="F199" i="52092" s="1"/>
  <c r="J199" i="52092" s="1"/>
  <c r="C88" i="52093"/>
  <c r="C133" i="52093"/>
  <c r="C166" i="52093"/>
  <c r="C14" i="52095"/>
  <c r="F14" i="52095" s="1"/>
  <c r="C10" i="52080"/>
  <c r="F10" i="52080" s="1"/>
  <c r="C67" i="52080"/>
  <c r="C86" i="52080"/>
  <c r="C124" i="52080"/>
  <c r="C80" i="32"/>
  <c r="C159" i="32"/>
  <c r="C194" i="32"/>
  <c r="F194" i="32" s="1"/>
  <c r="C73" i="91"/>
  <c r="C105" i="91"/>
  <c r="C141" i="91"/>
  <c r="F141" i="91" s="1"/>
  <c r="C163" i="91"/>
  <c r="C106" i="48"/>
  <c r="F106" i="48" s="1"/>
  <c r="C98" i="52066"/>
  <c r="C8" i="52072"/>
  <c r="C110" i="52072"/>
  <c r="C142" i="52072"/>
  <c r="F142" i="52072" s="1"/>
  <c r="C101" i="52081"/>
  <c r="C40" i="93"/>
  <c r="F40" i="93" s="1"/>
  <c r="C195" i="93"/>
  <c r="F195" i="93" s="1"/>
  <c r="I195" i="93" s="1"/>
  <c r="C120" i="52072"/>
  <c r="C171" i="52072"/>
  <c r="F171" i="52072" s="1"/>
  <c r="C145" i="93"/>
  <c r="F145" i="93" s="1"/>
  <c r="I145" i="93" s="1"/>
  <c r="C79" i="32"/>
  <c r="C120" i="32"/>
  <c r="F120" i="32" s="1"/>
  <c r="C172" i="32"/>
  <c r="C49" i="91"/>
  <c r="F49" i="91" s="1"/>
  <c r="C111" i="48"/>
  <c r="C26" i="52066"/>
  <c r="C125" i="52066"/>
  <c r="C18" i="52072"/>
  <c r="F18" i="52072" s="1"/>
  <c r="C81" i="52072"/>
  <c r="F81" i="52072" s="1"/>
  <c r="C133" i="52072"/>
  <c r="C152" i="52072"/>
  <c r="F152" i="52072" s="1"/>
  <c r="C177" i="52081"/>
  <c r="C44" i="93"/>
  <c r="F44" i="93" s="1"/>
  <c r="I44" i="93" s="1"/>
  <c r="C166" i="93"/>
  <c r="F166" i="93" s="1"/>
  <c r="I166" i="93" s="1"/>
  <c r="C187" i="52081"/>
  <c r="C139" i="93"/>
  <c r="F139" i="93" s="1"/>
  <c r="I139" i="93" s="1"/>
  <c r="C47" i="93"/>
  <c r="F47" i="93" s="1"/>
  <c r="I47" i="93" s="1"/>
  <c r="C8" i="52064"/>
  <c r="C166" i="52064"/>
  <c r="F166" i="52064" s="1"/>
  <c r="C29" i="148"/>
  <c r="C29" i="52064"/>
  <c r="C179" i="52064"/>
  <c r="C10" i="108"/>
  <c r="F10" i="108" s="1"/>
  <c r="C74" i="108"/>
  <c r="C91" i="108"/>
  <c r="F91" i="108" s="1"/>
  <c r="C133" i="108"/>
  <c r="F133" i="108" s="1"/>
  <c r="C161" i="108"/>
  <c r="F161" i="108" s="1"/>
  <c r="C74" i="52087"/>
  <c r="F74" i="52087" s="1"/>
  <c r="C16" i="52064"/>
  <c r="F16" i="52064" s="1"/>
  <c r="C157" i="52088"/>
  <c r="F157" i="52088" s="1"/>
  <c r="J157" i="52088" s="1"/>
  <c r="C194" i="52088"/>
  <c r="F194" i="52088" s="1"/>
  <c r="J194" i="52088" s="1"/>
  <c r="C23" i="52067"/>
  <c r="C193" i="21"/>
  <c r="F193" i="21" s="1"/>
  <c r="C72" i="21"/>
  <c r="F72" i="21" s="1"/>
  <c r="C39" i="52064"/>
  <c r="C188" i="52064"/>
  <c r="F188" i="52064" s="1"/>
  <c r="C72" i="148"/>
  <c r="F72" i="148" s="1"/>
  <c r="C88" i="148"/>
  <c r="F88" i="148" s="1"/>
  <c r="C122" i="148"/>
  <c r="C175" i="21"/>
  <c r="F175" i="21" s="1"/>
  <c r="C119" i="52064"/>
  <c r="F119" i="52064" s="1"/>
  <c r="C181" i="52064"/>
  <c r="F181" i="52064" s="1"/>
  <c r="C179" i="148"/>
  <c r="C15" i="105"/>
  <c r="F15" i="105" s="1"/>
  <c r="C84" i="108"/>
  <c r="F84" i="108" s="1"/>
  <c r="C111" i="108"/>
  <c r="F111" i="108" s="1"/>
  <c r="J111" i="108" s="1"/>
  <c r="C74" i="52064"/>
  <c r="F74" i="52064" s="1"/>
  <c r="C84" i="52064"/>
  <c r="F84" i="52064" s="1"/>
  <c r="C135" i="148"/>
  <c r="F135" i="148" s="1"/>
  <c r="C152" i="148"/>
  <c r="F152" i="148" s="1"/>
  <c r="C174" i="52088"/>
  <c r="F174" i="52088" s="1"/>
  <c r="C192" i="52088"/>
  <c r="F192" i="52088" s="1"/>
  <c r="J192" i="52088" s="1"/>
  <c r="C75" i="101"/>
  <c r="F75" i="101" s="1"/>
  <c r="C101" i="21"/>
  <c r="F101" i="21" s="1"/>
  <c r="C92" i="21"/>
  <c r="F92" i="21" s="1"/>
  <c r="C75" i="52080"/>
  <c r="C173" i="52080"/>
  <c r="C101" i="115"/>
  <c r="C83" i="20"/>
  <c r="C87" i="52089"/>
  <c r="F87" i="52089" s="1"/>
  <c r="C181" i="52089"/>
  <c r="C19" i="52091"/>
  <c r="F19" i="52091" s="1"/>
  <c r="J19" i="52091" s="1"/>
  <c r="C8" i="115"/>
  <c r="C146" i="115"/>
  <c r="F146" i="115" s="1"/>
  <c r="C173" i="115"/>
  <c r="C198" i="115"/>
  <c r="F198" i="115" s="1"/>
  <c r="C98" i="20"/>
  <c r="F98" i="20" s="1"/>
  <c r="C11" i="12"/>
  <c r="F11" i="12" s="1"/>
  <c r="C170" i="12"/>
  <c r="C174" i="12"/>
  <c r="C8" i="77"/>
  <c r="C124" i="77"/>
  <c r="F124" i="77" s="1"/>
  <c r="J124" i="77" s="1"/>
  <c r="C194" i="77"/>
  <c r="F194" i="77" s="1"/>
  <c r="J194" i="77" s="1"/>
  <c r="C49" i="52089"/>
  <c r="C112" i="52089"/>
  <c r="C136" i="52089"/>
  <c r="C148" i="52089"/>
  <c r="F148" i="52089" s="1"/>
  <c r="C165" i="52089"/>
  <c r="F165" i="52089" s="1"/>
  <c r="C149" i="52090"/>
  <c r="F149" i="52090" s="1"/>
  <c r="C172" i="52090"/>
  <c r="F172" i="52090" s="1"/>
  <c r="C191" i="52090"/>
  <c r="F191" i="52090" s="1"/>
  <c r="J191" i="52090" s="1"/>
  <c r="C41" i="52091"/>
  <c r="C82" i="52091"/>
  <c r="F82" i="52091" s="1"/>
  <c r="J82" i="52091" s="1"/>
  <c r="C95" i="52091"/>
  <c r="C172" i="52091"/>
  <c r="C187" i="52091"/>
  <c r="C24" i="52092"/>
  <c r="C94" i="52092"/>
  <c r="C160" i="52092"/>
  <c r="C109" i="52093"/>
  <c r="F109" i="52093" s="1"/>
  <c r="C161" i="52093"/>
  <c r="C29" i="52094"/>
  <c r="C98" i="52094"/>
  <c r="C192" i="52095"/>
  <c r="C132" i="52080"/>
  <c r="F132" i="52080" s="1"/>
  <c r="J132" i="52080" s="1"/>
  <c r="C148" i="52080"/>
  <c r="F148" i="52080" s="1"/>
  <c r="C161" i="52080"/>
  <c r="F161" i="52080" s="1"/>
  <c r="C111" i="32"/>
  <c r="C91" i="91"/>
  <c r="F91" i="91" s="1"/>
  <c r="C171" i="91"/>
  <c r="F171" i="91" s="1"/>
  <c r="C183" i="91"/>
  <c r="C194" i="91"/>
  <c r="F194" i="91" s="1"/>
  <c r="C199" i="52100"/>
  <c r="F199" i="52100" s="1"/>
  <c r="C191" i="52100"/>
  <c r="C179" i="52100"/>
  <c r="L179" i="52100" s="1"/>
  <c r="C171" i="52100"/>
  <c r="C160" i="52100"/>
  <c r="C148" i="52100"/>
  <c r="C140" i="52100"/>
  <c r="C132" i="52100"/>
  <c r="F132" i="52100" s="1"/>
  <c r="C121" i="52100"/>
  <c r="C110" i="52100"/>
  <c r="C99" i="52100"/>
  <c r="C91" i="52100"/>
  <c r="C82" i="52100"/>
  <c r="F82" i="52100" s="1"/>
  <c r="C74" i="52100"/>
  <c r="C49" i="52100"/>
  <c r="C29" i="52100"/>
  <c r="C18" i="52100"/>
  <c r="F18" i="52100" s="1"/>
  <c r="C10" i="52100"/>
  <c r="F10" i="52100" s="1"/>
  <c r="J10" i="52100" s="1"/>
  <c r="C197" i="48"/>
  <c r="C150" i="21"/>
  <c r="F150" i="21" s="1"/>
  <c r="C137" i="105"/>
  <c r="F137" i="105" s="1"/>
  <c r="C95" i="108"/>
  <c r="F95" i="108" s="1"/>
  <c r="C179" i="108"/>
  <c r="C13" i="52088"/>
  <c r="F13" i="52088" s="1"/>
  <c r="C176" i="101"/>
  <c r="F176" i="101" s="1"/>
  <c r="C194" i="52067"/>
  <c r="F194" i="52067" s="1"/>
  <c r="J194" i="52067" s="1"/>
  <c r="C96" i="52079"/>
  <c r="F96" i="52079" s="1"/>
  <c r="J96" i="52079" s="1"/>
  <c r="C156" i="52071"/>
  <c r="C180" i="52071"/>
  <c r="F180" i="52071" s="1"/>
  <c r="C199" i="52071"/>
  <c r="F199" i="52071" s="1"/>
  <c r="J199" i="52071" s="1"/>
  <c r="C9" i="52067"/>
  <c r="F9" i="52067" s="1"/>
  <c r="C92" i="52067"/>
  <c r="F92" i="52067" s="1"/>
  <c r="C176" i="52067"/>
  <c r="F176" i="52067" s="1"/>
  <c r="C179" i="52079"/>
  <c r="C187" i="52079"/>
  <c r="C12" i="114"/>
  <c r="F12" i="114" s="1"/>
  <c r="J12" i="114" s="1"/>
  <c r="C11" i="115"/>
  <c r="F11" i="115" s="1"/>
  <c r="C195" i="21"/>
  <c r="F195" i="21" s="1"/>
  <c r="C49" i="52064"/>
  <c r="F49" i="52064" s="1"/>
  <c r="C39" i="148"/>
  <c r="C79" i="21"/>
  <c r="C170" i="148"/>
  <c r="C14" i="108"/>
  <c r="F14" i="108" s="1"/>
  <c r="J14" i="108" s="1"/>
  <c r="C148" i="108"/>
  <c r="F148" i="108" s="1"/>
  <c r="C79" i="52064"/>
  <c r="C142" i="148"/>
  <c r="F142" i="148" s="1"/>
  <c r="C159" i="52087"/>
  <c r="F159" i="52087" s="1"/>
  <c r="J159" i="52087" s="1"/>
  <c r="C193" i="52088"/>
  <c r="F193" i="52088" s="1"/>
  <c r="J193" i="52088" s="1"/>
  <c r="C137" i="52067"/>
  <c r="F137" i="52067" s="1"/>
  <c r="C126" i="101"/>
  <c r="F126" i="101" s="1"/>
  <c r="J126" i="101" s="1"/>
  <c r="C26" i="52079"/>
  <c r="C161" i="52079"/>
  <c r="F161" i="52079" s="1"/>
  <c r="C87" i="52071"/>
  <c r="F87" i="52071" s="1"/>
  <c r="C93" i="101"/>
  <c r="F93" i="101" s="1"/>
  <c r="C10" i="52079"/>
  <c r="F10" i="52079" s="1"/>
  <c r="C198" i="52100"/>
  <c r="F198" i="52100" s="1"/>
  <c r="C190" i="52100"/>
  <c r="C178" i="52100"/>
  <c r="C170" i="52100"/>
  <c r="C159" i="52100"/>
  <c r="C147" i="52100"/>
  <c r="C139" i="52100"/>
  <c r="C131" i="52100"/>
  <c r="C120" i="52100"/>
  <c r="C109" i="52100"/>
  <c r="C98" i="52100"/>
  <c r="C90" i="52100"/>
  <c r="F90" i="52100" s="1"/>
  <c r="C81" i="52100"/>
  <c r="C73" i="52100"/>
  <c r="C42" i="52100"/>
  <c r="C28" i="52100"/>
  <c r="C17" i="52100"/>
  <c r="F17" i="52100" s="1"/>
  <c r="C9" i="52100"/>
  <c r="F9" i="52100" s="1"/>
  <c r="J9" i="52100" s="1"/>
  <c r="C163" i="101"/>
  <c r="F163" i="101" s="1"/>
  <c r="C136" i="52067"/>
  <c r="F136" i="52067" s="1"/>
  <c r="C39" i="108"/>
  <c r="C189" i="108"/>
  <c r="F189" i="108" s="1"/>
  <c r="J189" i="108" s="1"/>
  <c r="C166" i="52087"/>
  <c r="F166" i="52087" s="1"/>
  <c r="C123" i="101"/>
  <c r="F123" i="101" s="1"/>
  <c r="J123" i="101" s="1"/>
  <c r="C192" i="52067"/>
  <c r="F192" i="52067" s="1"/>
  <c r="J192" i="52067" s="1"/>
  <c r="C49" i="52079"/>
  <c r="C124" i="52071"/>
  <c r="F124" i="52071" s="1"/>
  <c r="J124" i="52071" s="1"/>
  <c r="C178" i="52071"/>
  <c r="F178" i="52071" s="1"/>
  <c r="C198" i="52087"/>
  <c r="F198" i="52087" s="1"/>
  <c r="J198" i="52087" s="1"/>
  <c r="C75" i="52067"/>
  <c r="F75" i="52067" s="1"/>
  <c r="C177" i="52079"/>
  <c r="F177" i="52079" s="1"/>
  <c r="C111" i="52071"/>
  <c r="F111" i="52071" s="1"/>
  <c r="J111" i="52071" s="1"/>
  <c r="C131" i="52090"/>
  <c r="C75" i="21"/>
  <c r="F75" i="21" s="1"/>
  <c r="C140" i="52064"/>
  <c r="F140" i="52064" s="1"/>
  <c r="C26" i="21"/>
  <c r="C118" i="52064"/>
  <c r="C187" i="148"/>
  <c r="C98" i="105"/>
  <c r="F98" i="105" s="1"/>
  <c r="C85" i="108"/>
  <c r="F85" i="108" s="1"/>
  <c r="C87" i="52064"/>
  <c r="F87" i="52064" s="1"/>
  <c r="C19" i="52088"/>
  <c r="F19" i="52088" s="1"/>
  <c r="C146" i="101"/>
  <c r="F146" i="101" s="1"/>
  <c r="J146" i="101" s="1"/>
  <c r="C14" i="105"/>
  <c r="F14" i="105" s="1"/>
  <c r="C188" i="52087"/>
  <c r="F188" i="52087" s="1"/>
  <c r="J188" i="52087" s="1"/>
  <c r="C195" i="52067"/>
  <c r="F195" i="52067" s="1"/>
  <c r="J195" i="52067" s="1"/>
  <c r="C157" i="52079"/>
  <c r="F157" i="52079" s="1"/>
  <c r="J157" i="52079" s="1"/>
  <c r="C125" i="52071"/>
  <c r="F125" i="52071" s="1"/>
  <c r="C83" i="52088"/>
  <c r="F83" i="52088" s="1"/>
  <c r="C92" i="52071"/>
  <c r="F92" i="52071" s="1"/>
  <c r="C40" i="20"/>
  <c r="C49" i="52071"/>
  <c r="C135" i="20"/>
  <c r="F135" i="20" s="1"/>
  <c r="C144" i="77"/>
  <c r="C78" i="52089"/>
  <c r="F78" i="52089" s="1"/>
  <c r="C119" i="52089"/>
  <c r="C27" i="21"/>
  <c r="C181" i="108"/>
  <c r="F181" i="108" s="1"/>
  <c r="C113" i="52088"/>
  <c r="C160" i="52079"/>
  <c r="F160" i="52079" s="1"/>
  <c r="J160" i="52079" s="1"/>
  <c r="C76" i="52071"/>
  <c r="F76" i="52071" s="1"/>
  <c r="C78" i="52088"/>
  <c r="F78" i="52088" s="1"/>
  <c r="C87" i="52079"/>
  <c r="F87" i="52079" s="1"/>
  <c r="C146" i="52079"/>
  <c r="F146" i="52079" s="1"/>
  <c r="J146" i="52079" s="1"/>
  <c r="C10" i="114"/>
  <c r="F10" i="114" s="1"/>
  <c r="J10" i="114" s="1"/>
  <c r="C118" i="21"/>
  <c r="C178" i="148"/>
  <c r="F178" i="148" s="1"/>
  <c r="C190" i="108"/>
  <c r="F190" i="108" s="1"/>
  <c r="J190" i="108" s="1"/>
  <c r="C199" i="101"/>
  <c r="F199" i="101" s="1"/>
  <c r="J199" i="101" s="1"/>
  <c r="C146" i="52088"/>
  <c r="F146" i="52088" s="1"/>
  <c r="J146" i="52088" s="1"/>
  <c r="C133" i="52079"/>
  <c r="F133" i="52079" s="1"/>
  <c r="C178" i="52079"/>
  <c r="F178" i="52079" s="1"/>
  <c r="C78" i="20"/>
  <c r="C12" i="52089"/>
  <c r="F12" i="52089" s="1"/>
  <c r="J12" i="52089" s="1"/>
  <c r="C84" i="52089"/>
  <c r="C8" i="52090"/>
  <c r="C109" i="52091"/>
  <c r="C147" i="52091"/>
  <c r="C97" i="114"/>
  <c r="C176" i="114"/>
  <c r="F176" i="114" s="1"/>
  <c r="C137" i="21"/>
  <c r="F137" i="21" s="1"/>
  <c r="C19" i="52064"/>
  <c r="F19" i="52064" s="1"/>
  <c r="C41" i="148"/>
  <c r="C114" i="21"/>
  <c r="F114" i="21" s="1"/>
  <c r="C14" i="148"/>
  <c r="F14" i="148" s="1"/>
  <c r="C75" i="105"/>
  <c r="F75" i="105" s="1"/>
  <c r="C68" i="108"/>
  <c r="F68" i="108" s="1"/>
  <c r="C162" i="108"/>
  <c r="F162" i="108" s="1"/>
  <c r="C98" i="52064"/>
  <c r="F98" i="52064" s="1"/>
  <c r="C174" i="52087"/>
  <c r="F174" i="52087" s="1"/>
  <c r="C136" i="101"/>
  <c r="F136" i="101" s="1"/>
  <c r="C163" i="52067"/>
  <c r="F163" i="52067" s="1"/>
  <c r="C49" i="108"/>
  <c r="C11" i="52079"/>
  <c r="F11" i="52079" s="1"/>
  <c r="C11" i="52088"/>
  <c r="F11" i="52088" s="1"/>
  <c r="J11" i="52088" s="1"/>
  <c r="C17" i="52079"/>
  <c r="F17" i="52079" s="1"/>
  <c r="C80" i="52079"/>
  <c r="F80" i="52079" s="1"/>
  <c r="C147" i="52079"/>
  <c r="F147" i="52079" s="1"/>
  <c r="C196" i="52079"/>
  <c r="F196" i="52079" s="1"/>
  <c r="J196" i="52079" s="1"/>
  <c r="C15" i="20"/>
  <c r="F15" i="20" s="1"/>
  <c r="C83" i="77"/>
  <c r="F83" i="77" s="1"/>
  <c r="C77" i="52089"/>
  <c r="F77" i="52089" s="1"/>
  <c r="C158" i="52089"/>
  <c r="C162" i="52091"/>
  <c r="C175" i="114"/>
  <c r="C29" i="115"/>
  <c r="C189" i="115"/>
  <c r="F189" i="115" s="1"/>
  <c r="C166" i="20"/>
  <c r="C198" i="12"/>
  <c r="F198" i="12" s="1"/>
  <c r="C123" i="77"/>
  <c r="F123" i="77" s="1"/>
  <c r="J123" i="77" s="1"/>
  <c r="C109" i="52089"/>
  <c r="C161" i="52089"/>
  <c r="F161" i="52089" s="1"/>
  <c r="C107" i="105"/>
  <c r="F107" i="105" s="1"/>
  <c r="C162" i="52087"/>
  <c r="F162" i="52087" s="1"/>
  <c r="C162" i="52079"/>
  <c r="F162" i="52079" s="1"/>
  <c r="C98" i="101"/>
  <c r="F98" i="101" s="1"/>
  <c r="C92" i="52079"/>
  <c r="F92" i="52079" s="1"/>
  <c r="C142" i="52079"/>
  <c r="F142" i="52079" s="1"/>
  <c r="C107" i="114"/>
  <c r="C198" i="21"/>
  <c r="F198" i="21" s="1"/>
  <c r="C94" i="148"/>
  <c r="F94" i="148" s="1"/>
  <c r="C17" i="105"/>
  <c r="F17" i="105" s="1"/>
  <c r="C26" i="52064"/>
  <c r="C108" i="52087"/>
  <c r="F108" i="52087" s="1"/>
  <c r="J108" i="52087" s="1"/>
  <c r="C9" i="52064"/>
  <c r="F9" i="52064" s="1"/>
  <c r="C120" i="108"/>
  <c r="F120" i="108" s="1"/>
  <c r="J120" i="108" s="1"/>
  <c r="C183" i="101"/>
  <c r="F183" i="101" s="1"/>
  <c r="C192" i="52071"/>
  <c r="F192" i="52071" s="1"/>
  <c r="J192" i="52071" s="1"/>
  <c r="C78" i="52079"/>
  <c r="F78" i="52079" s="1"/>
  <c r="C198" i="52079"/>
  <c r="F198" i="52079" s="1"/>
  <c r="J198" i="52079" s="1"/>
  <c r="C78" i="77"/>
  <c r="C88" i="52089"/>
  <c r="C199" i="52089"/>
  <c r="F199" i="52089" s="1"/>
  <c r="J199" i="52089" s="1"/>
  <c r="C18" i="52091"/>
  <c r="F18" i="52091" s="1"/>
  <c r="J18" i="52091" s="1"/>
  <c r="C111" i="52091"/>
  <c r="C8" i="52092"/>
  <c r="C199" i="21"/>
  <c r="F199" i="21" s="1"/>
  <c r="J199" i="21" s="1"/>
  <c r="C145" i="21"/>
  <c r="F145" i="21" s="1"/>
  <c r="C106" i="52064"/>
  <c r="F106" i="52064" s="1"/>
  <c r="C85" i="148"/>
  <c r="F85" i="148" s="1"/>
  <c r="C162" i="21"/>
  <c r="F162" i="21" s="1"/>
  <c r="C172" i="148"/>
  <c r="F172" i="148" s="1"/>
  <c r="C188" i="105"/>
  <c r="F188" i="105" s="1"/>
  <c r="C150" i="108"/>
  <c r="F150" i="108" s="1"/>
  <c r="G150" i="108" s="1"/>
  <c r="C77" i="52064"/>
  <c r="F77" i="52064" s="1"/>
  <c r="C156" i="52064"/>
  <c r="C140" i="148"/>
  <c r="F140" i="148" s="1"/>
  <c r="C166" i="105"/>
  <c r="F166" i="105" s="1"/>
  <c r="C183" i="52087"/>
  <c r="F183" i="52087" s="1"/>
  <c r="C98" i="52088"/>
  <c r="F98" i="52088" s="1"/>
  <c r="C195" i="52088"/>
  <c r="F195" i="52088" s="1"/>
  <c r="J195" i="52088" s="1"/>
  <c r="C28" i="52064"/>
  <c r="C253" i="52064" s="1"/>
  <c r="C252" i="52098" s="1"/>
  <c r="C122" i="108"/>
  <c r="C144" i="52088"/>
  <c r="F144" i="52088" s="1"/>
  <c r="J144" i="52088" s="1"/>
  <c r="C175" i="52071"/>
  <c r="F175" i="52071" s="1"/>
  <c r="C8" i="52067"/>
  <c r="C8" i="12"/>
  <c r="C171" i="52089"/>
  <c r="F171" i="52089" s="1"/>
  <c r="C9" i="115"/>
  <c r="F9" i="115" s="1"/>
  <c r="C175" i="20"/>
  <c r="F175" i="20" s="1"/>
  <c r="C101" i="77"/>
  <c r="F101" i="77" s="1"/>
  <c r="C145" i="52089"/>
  <c r="F145" i="52089" s="1"/>
  <c r="C175" i="52090"/>
  <c r="F175" i="52090" s="1"/>
  <c r="C94" i="52091"/>
  <c r="C164" i="52091"/>
  <c r="F164" i="52091" s="1"/>
  <c r="C40" i="52092"/>
  <c r="C125" i="52092"/>
  <c r="C138" i="52093"/>
  <c r="F138" i="52093" s="1"/>
  <c r="C172" i="52094"/>
  <c r="C178" i="52095"/>
  <c r="C109" i="52080"/>
  <c r="C152" i="52080"/>
  <c r="F152" i="52080" s="1"/>
  <c r="C134" i="32"/>
  <c r="F134" i="32" s="1"/>
  <c r="C92" i="91"/>
  <c r="F92" i="91" s="1"/>
  <c r="C189" i="91"/>
  <c r="F189" i="91" s="1"/>
  <c r="C73" i="48"/>
  <c r="C96" i="48"/>
  <c r="C156" i="48"/>
  <c r="C17" i="52066"/>
  <c r="F17" i="52066" s="1"/>
  <c r="C91" i="52066"/>
  <c r="F91" i="52066" s="1"/>
  <c r="C145" i="52066"/>
  <c r="C10" i="52072"/>
  <c r="F10" i="52072" s="1"/>
  <c r="J10" i="52072" s="1"/>
  <c r="C35" i="52092"/>
  <c r="C140" i="52092"/>
  <c r="C177" i="52092"/>
  <c r="C29" i="52093"/>
  <c r="C181" i="52093"/>
  <c r="C111" i="52094"/>
  <c r="C29" i="20"/>
  <c r="C30" i="20" s="1"/>
  <c r="C144" i="12"/>
  <c r="C80" i="77"/>
  <c r="C16" i="52089"/>
  <c r="F16" i="52089" s="1"/>
  <c r="C95" i="52089"/>
  <c r="C174" i="52089"/>
  <c r="C111" i="105"/>
  <c r="F111" i="105" s="1"/>
  <c r="C173" i="108"/>
  <c r="F173" i="108" s="1"/>
  <c r="J173" i="108" s="1"/>
  <c r="C166" i="52088"/>
  <c r="F166" i="52088" s="1"/>
  <c r="C158" i="52079"/>
  <c r="F158" i="52079" s="1"/>
  <c r="J158" i="52079" s="1"/>
  <c r="C164" i="101"/>
  <c r="F164" i="101" s="1"/>
  <c r="C27" i="52079"/>
  <c r="C81" i="52079"/>
  <c r="F81" i="52079" s="1"/>
  <c r="C144" i="52079"/>
  <c r="F144" i="52079" s="1"/>
  <c r="J144" i="52079" s="1"/>
  <c r="C166" i="52071"/>
  <c r="F166" i="52071" s="1"/>
  <c r="C17" i="52064"/>
  <c r="F17" i="52064" s="1"/>
  <c r="C113" i="148"/>
  <c r="C199" i="148"/>
  <c r="F199" i="148" s="1"/>
  <c r="C144" i="108"/>
  <c r="F144" i="108" s="1"/>
  <c r="C159" i="108"/>
  <c r="F159" i="108" s="1"/>
  <c r="J159" i="108" s="1"/>
  <c r="C16" i="52087"/>
  <c r="F16" i="52087" s="1"/>
  <c r="C10" i="52067"/>
  <c r="F10" i="52067" s="1"/>
  <c r="C113" i="52079"/>
  <c r="C15" i="114"/>
  <c r="F15" i="114" s="1"/>
  <c r="J15" i="114" s="1"/>
  <c r="C72" i="77"/>
  <c r="C187" i="52089"/>
  <c r="C98" i="52090"/>
  <c r="F98" i="52090" s="1"/>
  <c r="C105" i="52091"/>
  <c r="C166" i="52091"/>
  <c r="C192" i="114"/>
  <c r="F192" i="114" s="1"/>
  <c r="J192" i="114" s="1"/>
  <c r="C29" i="21"/>
  <c r="C9" i="148"/>
  <c r="F9" i="148" s="1"/>
  <c r="C176" i="21"/>
  <c r="F176" i="21" s="1"/>
  <c r="C180" i="148"/>
  <c r="F180" i="148" s="1"/>
  <c r="C164" i="105"/>
  <c r="F164" i="105" s="1"/>
  <c r="C194" i="108"/>
  <c r="F194" i="108" s="1"/>
  <c r="J194" i="108" s="1"/>
  <c r="C193" i="52087"/>
  <c r="F193" i="52087" s="1"/>
  <c r="J193" i="52087" s="1"/>
  <c r="C189" i="101"/>
  <c r="F189" i="101" s="1"/>
  <c r="J189" i="101" s="1"/>
  <c r="C195" i="52064"/>
  <c r="F195" i="52064" s="1"/>
  <c r="C108" i="52088"/>
  <c r="F108" i="52088" s="1"/>
  <c r="J108" i="52088" s="1"/>
  <c r="C181" i="101"/>
  <c r="F181" i="101" s="1"/>
  <c r="C171" i="52071"/>
  <c r="F171" i="52071" s="1"/>
  <c r="C84" i="52079"/>
  <c r="F84" i="52079" s="1"/>
  <c r="C172" i="52079"/>
  <c r="F172" i="52079" s="1"/>
  <c r="C140" i="114"/>
  <c r="F140" i="114" s="1"/>
  <c r="J140" i="114" s="1"/>
  <c r="C107" i="12"/>
  <c r="C107" i="77"/>
  <c r="C188" i="52089"/>
  <c r="F188" i="52089" s="1"/>
  <c r="J188" i="52089" s="1"/>
  <c r="C146" i="52091"/>
  <c r="F146" i="52091" s="1"/>
  <c r="J146" i="52091" s="1"/>
  <c r="C40" i="115"/>
  <c r="C159" i="115"/>
  <c r="C177" i="20"/>
  <c r="C83" i="12"/>
  <c r="C164" i="12"/>
  <c r="C170" i="77"/>
  <c r="C9" i="52089"/>
  <c r="F9" i="52089" s="1"/>
  <c r="C143" i="52089"/>
  <c r="F143" i="52089" s="1"/>
  <c r="C198" i="101"/>
  <c r="F198" i="101" s="1"/>
  <c r="J198" i="101" s="1"/>
  <c r="C42" i="108"/>
  <c r="C157" i="52087"/>
  <c r="F157" i="52087" s="1"/>
  <c r="J157" i="52087" s="1"/>
  <c r="C165" i="52079"/>
  <c r="F165" i="52079" s="1"/>
  <c r="C11" i="101"/>
  <c r="F11" i="101" s="1"/>
  <c r="C83" i="52079"/>
  <c r="F83" i="52079" s="1"/>
  <c r="C148" i="52079"/>
  <c r="F148" i="52079" s="1"/>
  <c r="C112" i="52064"/>
  <c r="F112" i="52064" s="1"/>
  <c r="C160" i="21"/>
  <c r="F160" i="21" s="1"/>
  <c r="C190" i="105"/>
  <c r="F190" i="105" s="1"/>
  <c r="C81" i="52087"/>
  <c r="F81" i="52087" s="1"/>
  <c r="C149" i="52087"/>
  <c r="F149" i="52087" s="1"/>
  <c r="C175" i="52087"/>
  <c r="F175" i="52087" s="1"/>
  <c r="C18" i="52067"/>
  <c r="F18" i="52067" s="1"/>
  <c r="C105" i="52079"/>
  <c r="C126" i="115"/>
  <c r="C183" i="77"/>
  <c r="C157" i="52089"/>
  <c r="F157" i="52089" s="1"/>
  <c r="J157" i="52089" s="1"/>
  <c r="C10" i="52090"/>
  <c r="F10" i="52090" s="1"/>
  <c r="C145" i="52091"/>
  <c r="C16" i="52092"/>
  <c r="F16" i="52092" s="1"/>
  <c r="J16" i="52092" s="1"/>
  <c r="C182" i="114"/>
  <c r="F182" i="114" s="1"/>
  <c r="C93" i="21"/>
  <c r="F93" i="21" s="1"/>
  <c r="C109" i="21"/>
  <c r="F109" i="21" s="1"/>
  <c r="C28" i="148"/>
  <c r="C253" i="148" s="1"/>
  <c r="C127" i="148"/>
  <c r="F127" i="148" s="1"/>
  <c r="C189" i="148"/>
  <c r="F189" i="148" s="1"/>
  <c r="C37" i="108"/>
  <c r="C14" i="52087"/>
  <c r="F14" i="52087" s="1"/>
  <c r="J14" i="52087" s="1"/>
  <c r="C187" i="108"/>
  <c r="C13" i="52067"/>
  <c r="F13" i="52067" s="1"/>
  <c r="C8" i="108"/>
  <c r="C146" i="52087"/>
  <c r="F146" i="52087" s="1"/>
  <c r="J146" i="52087" s="1"/>
  <c r="C159" i="52079"/>
  <c r="F159" i="52079" s="1"/>
  <c r="J159" i="52079" s="1"/>
  <c r="C94" i="52071"/>
  <c r="F94" i="52071" s="1"/>
  <c r="C17" i="77"/>
  <c r="F17" i="77" s="1"/>
  <c r="C110" i="52091"/>
  <c r="F110" i="52091" s="1"/>
  <c r="J110" i="52091" s="1"/>
  <c r="C126" i="114"/>
  <c r="F126" i="114" s="1"/>
  <c r="C49" i="20"/>
  <c r="C94" i="12"/>
  <c r="C152" i="52089"/>
  <c r="F152" i="52089" s="1"/>
  <c r="C188" i="52090"/>
  <c r="C66" i="52091"/>
  <c r="C90" i="52091"/>
  <c r="F90" i="52091" s="1"/>
  <c r="J90" i="52091" s="1"/>
  <c r="C188" i="52091"/>
  <c r="C97" i="52092"/>
  <c r="F97" i="52092" s="1"/>
  <c r="C49" i="52093"/>
  <c r="C189" i="52093"/>
  <c r="F189" i="52093" s="1"/>
  <c r="J189" i="52093" s="1"/>
  <c r="C170" i="52094"/>
  <c r="C197" i="52094"/>
  <c r="C187" i="52095"/>
  <c r="C139" i="52080"/>
  <c r="C106" i="32"/>
  <c r="C183" i="32"/>
  <c r="C118" i="91"/>
  <c r="C199" i="91"/>
  <c r="F199" i="91" s="1"/>
  <c r="C173" i="48"/>
  <c r="F173" i="48" s="1"/>
  <c r="C40" i="52066"/>
  <c r="C109" i="52066"/>
  <c r="C163" i="52066"/>
  <c r="C86" i="52092"/>
  <c r="C144" i="52092"/>
  <c r="C40" i="52093"/>
  <c r="C87" i="52093"/>
  <c r="C127" i="52093"/>
  <c r="F127" i="52093" s="1"/>
  <c r="C176" i="52093"/>
  <c r="C135" i="52094"/>
  <c r="F135" i="52094" s="1"/>
  <c r="C75" i="52095"/>
  <c r="F75" i="52095" s="1"/>
  <c r="C140" i="52095"/>
  <c r="C25" i="52080"/>
  <c r="C97" i="52080"/>
  <c r="F97" i="52080" s="1"/>
  <c r="C191" i="52080"/>
  <c r="F191" i="52080" s="1"/>
  <c r="J191" i="52080" s="1"/>
  <c r="C140" i="20"/>
  <c r="C166" i="12"/>
  <c r="C166" i="77"/>
  <c r="C9" i="52090"/>
  <c r="F9" i="52090" s="1"/>
  <c r="C136" i="52091"/>
  <c r="C173" i="114"/>
  <c r="C136" i="52095"/>
  <c r="C164" i="52080"/>
  <c r="C111" i="20"/>
  <c r="C173" i="52089"/>
  <c r="C144" i="52091"/>
  <c r="F144" i="52091" s="1"/>
  <c r="J144" i="52091" s="1"/>
  <c r="C194" i="115"/>
  <c r="F194" i="115" s="1"/>
  <c r="C174" i="20"/>
  <c r="C123" i="12"/>
  <c r="C15" i="77"/>
  <c r="F15" i="77" s="1"/>
  <c r="J15" i="77" s="1"/>
  <c r="C190" i="77"/>
  <c r="F190" i="77" s="1"/>
  <c r="J190" i="77" s="1"/>
  <c r="C19" i="52090"/>
  <c r="F19" i="52090" s="1"/>
  <c r="C189" i="52090"/>
  <c r="F189" i="52090" s="1"/>
  <c r="J189" i="52090" s="1"/>
  <c r="C72" i="52091"/>
  <c r="C119" i="52091"/>
  <c r="F119" i="52091" s="1"/>
  <c r="J119" i="52091" s="1"/>
  <c r="C197" i="52091"/>
  <c r="F197" i="52091" s="1"/>
  <c r="C100" i="52092"/>
  <c r="C105" i="52093"/>
  <c r="C9" i="52094"/>
  <c r="F9" i="52094" s="1"/>
  <c r="C171" i="52094"/>
  <c r="F171" i="52094" s="1"/>
  <c r="C196" i="52094"/>
  <c r="C171" i="52095"/>
  <c r="C9" i="52080"/>
  <c r="F9" i="52080" s="1"/>
  <c r="C136" i="52080"/>
  <c r="C36" i="32"/>
  <c r="C145" i="32"/>
  <c r="C36" i="91"/>
  <c r="C179" i="91"/>
  <c r="C16" i="48"/>
  <c r="F16" i="48" s="1"/>
  <c r="C121" i="48"/>
  <c r="C68" i="52066"/>
  <c r="F68" i="52066" s="1"/>
  <c r="C142" i="52066"/>
  <c r="C17" i="52072"/>
  <c r="F17" i="52072" s="1"/>
  <c r="C79" i="52092"/>
  <c r="C41" i="52093"/>
  <c r="C10" i="52094"/>
  <c r="F10" i="52094" s="1"/>
  <c r="C135" i="52095"/>
  <c r="F135" i="52095" s="1"/>
  <c r="C64" i="52080"/>
  <c r="C98" i="52080"/>
  <c r="C174" i="52080"/>
  <c r="C72" i="32"/>
  <c r="C123" i="32"/>
  <c r="C144" i="48"/>
  <c r="C156" i="52066"/>
  <c r="C12" i="52072"/>
  <c r="F12" i="52072" s="1"/>
  <c r="J12" i="52072" s="1"/>
  <c r="C80" i="52072"/>
  <c r="C148" i="52072"/>
  <c r="F148" i="52072" s="1"/>
  <c r="C172" i="52081"/>
  <c r="C68" i="93"/>
  <c r="F68" i="93" s="1"/>
  <c r="I68" i="93" s="1"/>
  <c r="C165" i="93"/>
  <c r="F165" i="93" s="1"/>
  <c r="I165" i="93" s="1"/>
  <c r="C158" i="52072"/>
  <c r="C197" i="52081"/>
  <c r="F197" i="52081" s="1"/>
  <c r="J197" i="52081" s="1"/>
  <c r="C78" i="93"/>
  <c r="F78" i="93" s="1"/>
  <c r="I78" i="93" s="1"/>
  <c r="C85" i="32"/>
  <c r="C180" i="32"/>
  <c r="F180" i="32" s="1"/>
  <c r="C28" i="91"/>
  <c r="C253" i="91" s="1"/>
  <c r="C106" i="91"/>
  <c r="F106" i="91" s="1"/>
  <c r="C8" i="48"/>
  <c r="C133" i="48"/>
  <c r="C147" i="48"/>
  <c r="C14" i="52066"/>
  <c r="F14" i="52066" s="1"/>
  <c r="C123" i="52066"/>
  <c r="C68" i="52072"/>
  <c r="F68" i="52072" s="1"/>
  <c r="C109" i="52072"/>
  <c r="F109" i="52072" s="1"/>
  <c r="J109" i="52072" s="1"/>
  <c r="C49" i="52081"/>
  <c r="C64" i="93"/>
  <c r="F64" i="93" s="1"/>
  <c r="I64" i="93" s="1"/>
  <c r="C150" i="93"/>
  <c r="C189" i="93"/>
  <c r="F189" i="93" s="1"/>
  <c r="I189" i="93" s="1"/>
  <c r="C157" i="52072"/>
  <c r="F157" i="52072" s="1"/>
  <c r="J157" i="52072" s="1"/>
  <c r="C174" i="52081"/>
  <c r="C59" i="93"/>
  <c r="F59" i="93" s="1"/>
  <c r="C107" i="93"/>
  <c r="F107" i="93" s="1"/>
  <c r="C182" i="93"/>
  <c r="F182" i="93" s="1"/>
  <c r="I182" i="93" s="1"/>
  <c r="C136" i="52088"/>
  <c r="F136" i="52088" s="1"/>
  <c r="C127" i="52079"/>
  <c r="F127" i="52079" s="1"/>
  <c r="C19" i="52071"/>
  <c r="F19" i="52071" s="1"/>
  <c r="C144" i="114"/>
  <c r="C126" i="52089"/>
  <c r="C163" i="52090"/>
  <c r="C191" i="114"/>
  <c r="F191" i="114" s="1"/>
  <c r="J191" i="114" s="1"/>
  <c r="C174" i="115"/>
  <c r="C80" i="20"/>
  <c r="F80" i="20" s="1"/>
  <c r="C98" i="12"/>
  <c r="C111" i="52090"/>
  <c r="C177" i="52090"/>
  <c r="C194" i="52090"/>
  <c r="F194" i="52090" s="1"/>
  <c r="J194" i="52090" s="1"/>
  <c r="C42" i="52091"/>
  <c r="C100" i="52091"/>
  <c r="C156" i="52091"/>
  <c r="C25" i="52092"/>
  <c r="C127" i="52092"/>
  <c r="F127" i="52092" s="1"/>
  <c r="C158" i="52093"/>
  <c r="C97" i="52094"/>
  <c r="C195" i="52094"/>
  <c r="C176" i="52095"/>
  <c r="C135" i="52080"/>
  <c r="F135" i="52080" s="1"/>
  <c r="J135" i="52080" s="1"/>
  <c r="C160" i="52080"/>
  <c r="C132" i="32"/>
  <c r="F132" i="32" s="1"/>
  <c r="C12" i="91"/>
  <c r="F12" i="91" s="1"/>
  <c r="J12" i="91" s="1"/>
  <c r="C124" i="91"/>
  <c r="F124" i="91" s="1"/>
  <c r="C197" i="91"/>
  <c r="F197" i="91" s="1"/>
  <c r="C92" i="48"/>
  <c r="C171" i="48"/>
  <c r="C76" i="52066"/>
  <c r="C139" i="52066"/>
  <c r="C16" i="52072"/>
  <c r="F16" i="52072" s="1"/>
  <c r="J16" i="52072" s="1"/>
  <c r="C80" i="52092"/>
  <c r="F80" i="52092" s="1"/>
  <c r="C142" i="52092"/>
  <c r="C19" i="52093"/>
  <c r="F19" i="52093" s="1"/>
  <c r="C90" i="52093"/>
  <c r="F90" i="52093" s="1"/>
  <c r="C125" i="52093"/>
  <c r="F125" i="52093" s="1"/>
  <c r="C170" i="52093"/>
  <c r="C11" i="52094"/>
  <c r="F11" i="52094" s="1"/>
  <c r="C113" i="52094"/>
  <c r="C41" i="52080"/>
  <c r="C119" i="52080"/>
  <c r="F119" i="52080" s="1"/>
  <c r="J119" i="52080" s="1"/>
  <c r="C197" i="52080"/>
  <c r="C75" i="52089"/>
  <c r="C177" i="52089"/>
  <c r="F177" i="52089" s="1"/>
  <c r="C92" i="114"/>
  <c r="C199" i="114"/>
  <c r="F199" i="114" s="1"/>
  <c r="J199" i="114" s="1"/>
  <c r="C72" i="115"/>
  <c r="F72" i="115" s="1"/>
  <c r="C188" i="115"/>
  <c r="C159" i="20"/>
  <c r="F159" i="20" s="1"/>
  <c r="C25" i="12"/>
  <c r="C189" i="12"/>
  <c r="F189" i="12" s="1"/>
  <c r="C98" i="77"/>
  <c r="F98" i="77" s="1"/>
  <c r="C13" i="52089"/>
  <c r="F13" i="52089" s="1"/>
  <c r="J13" i="52089" s="1"/>
  <c r="C138" i="52089"/>
  <c r="F138" i="52089" s="1"/>
  <c r="J138" i="52089" s="1"/>
  <c r="C76" i="52090"/>
  <c r="C176" i="52090"/>
  <c r="C37" i="52091"/>
  <c r="C159" i="52091"/>
  <c r="C39" i="52092"/>
  <c r="C39" i="52093"/>
  <c r="C124" i="52095"/>
  <c r="C194" i="52095"/>
  <c r="F194" i="52095" s="1"/>
  <c r="C138" i="52080"/>
  <c r="F138" i="52080" s="1"/>
  <c r="J138" i="52080" s="1"/>
  <c r="C9" i="32"/>
  <c r="F9" i="32" s="1"/>
  <c r="C143" i="32"/>
  <c r="F143" i="32" s="1"/>
  <c r="C159" i="91"/>
  <c r="F159" i="91" s="1"/>
  <c r="C188" i="91"/>
  <c r="F188" i="91" s="1"/>
  <c r="C127" i="48"/>
  <c r="F127" i="48" s="1"/>
  <c r="C132" i="52066"/>
  <c r="F132" i="52066" s="1"/>
  <c r="J132" i="52066" s="1"/>
  <c r="C173" i="52066"/>
  <c r="C9" i="52092"/>
  <c r="F9" i="52092" s="1"/>
  <c r="C77" i="52092"/>
  <c r="C109" i="52092"/>
  <c r="F109" i="52092" s="1"/>
  <c r="C176" i="52092"/>
  <c r="F176" i="52092" s="1"/>
  <c r="C37" i="52093"/>
  <c r="C97" i="52093"/>
  <c r="F97" i="52093" s="1"/>
  <c r="C157" i="52093"/>
  <c r="C194" i="52093"/>
  <c r="F194" i="52093" s="1"/>
  <c r="J194" i="52093" s="1"/>
  <c r="C49" i="52095"/>
  <c r="C28" i="52080"/>
  <c r="C78" i="52080"/>
  <c r="C100" i="52080"/>
  <c r="C8" i="32"/>
  <c r="C93" i="32"/>
  <c r="C181" i="32"/>
  <c r="C27" i="91"/>
  <c r="C81" i="91"/>
  <c r="C113" i="91"/>
  <c r="C149" i="91"/>
  <c r="F149" i="91" s="1"/>
  <c r="C17" i="48"/>
  <c r="F17" i="48" s="1"/>
  <c r="C28" i="52066"/>
  <c r="C188" i="52066"/>
  <c r="F188" i="52066" s="1"/>
  <c r="J188" i="52066" s="1"/>
  <c r="C134" i="52072"/>
  <c r="F134" i="52072" s="1"/>
  <c r="C195" i="52072"/>
  <c r="F195" i="52072" s="1"/>
  <c r="J195" i="52072" s="1"/>
  <c r="C23" i="93"/>
  <c r="F23" i="93" s="1"/>
  <c r="I23" i="93" s="1"/>
  <c r="C112" i="93"/>
  <c r="F112" i="93" s="1"/>
  <c r="I112" i="93" s="1"/>
  <c r="C97" i="52072"/>
  <c r="F97" i="52072" s="1"/>
  <c r="C194" i="52072"/>
  <c r="F194" i="52072" s="1"/>
  <c r="J194" i="52072" s="1"/>
  <c r="C109" i="93"/>
  <c r="F109" i="93" s="1"/>
  <c r="C192" i="93"/>
  <c r="F192" i="93" s="1"/>
  <c r="I192" i="93" s="1"/>
  <c r="C96" i="32"/>
  <c r="C156" i="32"/>
  <c r="F156" i="32" s="1"/>
  <c r="C10" i="91"/>
  <c r="F10" i="91" s="1"/>
  <c r="J10" i="91" s="1"/>
  <c r="C26" i="48"/>
  <c r="C149" i="48"/>
  <c r="F149" i="48" s="1"/>
  <c r="C101" i="52066"/>
  <c r="F101" i="52066" s="1"/>
  <c r="C193" i="52066"/>
  <c r="F193" i="52066" s="1"/>
  <c r="J193" i="52066" s="1"/>
  <c r="C73" i="52072"/>
  <c r="C107" i="52072"/>
  <c r="C137" i="52072"/>
  <c r="C189" i="52072"/>
  <c r="F189" i="52072" s="1"/>
  <c r="J189" i="52072" s="1"/>
  <c r="C17" i="93"/>
  <c r="F17" i="93" s="1"/>
  <c r="I17" i="93" s="1"/>
  <c r="C106" i="93"/>
  <c r="F106" i="93" s="1"/>
  <c r="C98" i="52081"/>
  <c r="C61" i="93"/>
  <c r="F61" i="93" s="1"/>
  <c r="I61" i="93" s="1"/>
  <c r="C119" i="21"/>
  <c r="F119" i="21" s="1"/>
  <c r="C113" i="52064"/>
  <c r="C141" i="52064"/>
  <c r="F141" i="52064" s="1"/>
  <c r="C17" i="148"/>
  <c r="F17" i="148" s="1"/>
  <c r="C24" i="21"/>
  <c r="C175" i="52064"/>
  <c r="F175" i="52064" s="1"/>
  <c r="C159" i="105"/>
  <c r="F159" i="105" s="1"/>
  <c r="C64" i="108"/>
  <c r="C82" i="108"/>
  <c r="F82" i="108" s="1"/>
  <c r="C109" i="108"/>
  <c r="F109" i="108" s="1"/>
  <c r="J109" i="108" s="1"/>
  <c r="C145" i="108"/>
  <c r="F145" i="108" s="1"/>
  <c r="C192" i="108"/>
  <c r="F192" i="108" s="1"/>
  <c r="J192" i="108" s="1"/>
  <c r="C146" i="21"/>
  <c r="F146" i="21" s="1"/>
  <c r="C111" i="52087"/>
  <c r="F111" i="52087" s="1"/>
  <c r="J111" i="52087" s="1"/>
  <c r="C172" i="52088"/>
  <c r="F172" i="52088" s="1"/>
  <c r="C192" i="101"/>
  <c r="F192" i="101" s="1"/>
  <c r="J192" i="101" s="1"/>
  <c r="C124" i="21"/>
  <c r="F124" i="21" s="1"/>
  <c r="C16" i="21"/>
  <c r="F16" i="21" s="1"/>
  <c r="C196" i="21"/>
  <c r="F196" i="21" s="1"/>
  <c r="C147" i="52064"/>
  <c r="F147" i="52064" s="1"/>
  <c r="C23" i="148"/>
  <c r="C80" i="148"/>
  <c r="F80" i="148" s="1"/>
  <c r="C107" i="148"/>
  <c r="F107" i="148" s="1"/>
  <c r="C161" i="21"/>
  <c r="F161" i="21" s="1"/>
  <c r="C179" i="21"/>
  <c r="C127" i="52064"/>
  <c r="F127" i="52064" s="1"/>
  <c r="C171" i="148"/>
  <c r="F171" i="148" s="1"/>
  <c r="C76" i="108"/>
  <c r="F76" i="108" s="1"/>
  <c r="C93" i="108"/>
  <c r="F93" i="108" s="1"/>
  <c r="C37" i="52087"/>
  <c r="C78" i="52064"/>
  <c r="F78" i="52064" s="1"/>
  <c r="C93" i="52064"/>
  <c r="F93" i="52064" s="1"/>
  <c r="C143" i="148"/>
  <c r="F143" i="148" s="1"/>
  <c r="C14" i="52088"/>
  <c r="F14" i="52088" s="1"/>
  <c r="J14" i="52088" s="1"/>
  <c r="C182" i="52088"/>
  <c r="F182" i="52088" s="1"/>
  <c r="C29" i="101"/>
  <c r="C139" i="101"/>
  <c r="F139" i="101" s="1"/>
  <c r="C166" i="21"/>
  <c r="F166" i="21" s="1"/>
  <c r="C49" i="52080"/>
  <c r="C101" i="52080"/>
  <c r="C189" i="52080"/>
  <c r="F189" i="52080" s="1"/>
  <c r="J189" i="52080" s="1"/>
  <c r="C166" i="115"/>
  <c r="F166" i="115" s="1"/>
  <c r="C68" i="52089"/>
  <c r="F68" i="52089" s="1"/>
  <c r="C156" i="52089"/>
  <c r="C125" i="52090"/>
  <c r="F125" i="52090" s="1"/>
  <c r="C87" i="114"/>
  <c r="C74" i="115"/>
  <c r="F74" i="115" s="1"/>
  <c r="C164" i="115"/>
  <c r="F164" i="115" s="1"/>
  <c r="C190" i="115"/>
  <c r="F190" i="115" s="1"/>
  <c r="C94" i="20"/>
  <c r="C124" i="20"/>
  <c r="F124" i="20" s="1"/>
  <c r="C19" i="12"/>
  <c r="F19" i="12" s="1"/>
  <c r="C172" i="12"/>
  <c r="C197" i="12"/>
  <c r="C92" i="77"/>
  <c r="C181" i="77"/>
  <c r="C17" i="52089"/>
  <c r="F17" i="52089" s="1"/>
  <c r="C108" i="52089"/>
  <c r="F108" i="52089" s="1"/>
  <c r="J108" i="52089" s="1"/>
  <c r="C132" i="52089"/>
  <c r="F132" i="52089" s="1"/>
  <c r="J132" i="52089" s="1"/>
  <c r="C140" i="52089"/>
  <c r="F140" i="52089" s="1"/>
  <c r="J140" i="52089" s="1"/>
  <c r="C160" i="52089"/>
  <c r="C72" i="52090"/>
  <c r="F72" i="52090" s="1"/>
  <c r="C170" i="52090"/>
  <c r="C187" i="52090"/>
  <c r="C8" i="52091"/>
  <c r="C74" i="52091"/>
  <c r="C91" i="52091"/>
  <c r="C123" i="52091"/>
  <c r="F123" i="52091" s="1"/>
  <c r="J123" i="52091" s="1"/>
  <c r="C174" i="52091"/>
  <c r="C193" i="52091"/>
  <c r="F193" i="52091" s="1"/>
  <c r="J193" i="52091" s="1"/>
  <c r="C90" i="52092"/>
  <c r="F90" i="52092" s="1"/>
  <c r="C120" i="52092"/>
  <c r="C165" i="52092"/>
  <c r="C135" i="52093"/>
  <c r="F135" i="52093" s="1"/>
  <c r="C183" i="52093"/>
  <c r="C74" i="52094"/>
  <c r="C126" i="52095"/>
  <c r="C112" i="52080"/>
  <c r="C140" i="52080"/>
  <c r="C156" i="52080"/>
  <c r="C42" i="32"/>
  <c r="C152" i="32"/>
  <c r="F152" i="32" s="1"/>
  <c r="C127" i="91"/>
  <c r="F127" i="91" s="1"/>
  <c r="C175" i="91"/>
  <c r="C190" i="91"/>
  <c r="F190" i="91" s="1"/>
  <c r="C198" i="91"/>
  <c r="F198" i="91" s="1"/>
  <c r="C76" i="48"/>
  <c r="F76" i="48" s="1"/>
  <c r="C84" i="48"/>
  <c r="F84" i="48" s="1"/>
  <c r="C93" i="48"/>
  <c r="C125" i="48"/>
  <c r="C159" i="48"/>
  <c r="C180" i="48"/>
  <c r="C199" i="48"/>
  <c r="F199" i="48" s="1"/>
  <c r="C79" i="52066"/>
  <c r="C106" i="52066"/>
  <c r="F106" i="52066" s="1"/>
  <c r="C114" i="52066"/>
  <c r="F114" i="52066" s="1"/>
  <c r="C138" i="52066"/>
  <c r="F138" i="52066" s="1"/>
  <c r="C162" i="52066"/>
  <c r="C179" i="52066"/>
  <c r="C29" i="52072"/>
  <c r="C75" i="52092"/>
  <c r="C87" i="52092"/>
  <c r="C135" i="52092"/>
  <c r="F135" i="52092" s="1"/>
  <c r="J135" i="52092" s="1"/>
  <c r="C157" i="52092"/>
  <c r="C174" i="52092"/>
  <c r="F174" i="52092" s="1"/>
  <c r="C193" i="52092"/>
  <c r="F193" i="52092" s="1"/>
  <c r="J193" i="52092" s="1"/>
  <c r="C64" i="52093"/>
  <c r="C82" i="52093"/>
  <c r="C91" i="52093"/>
  <c r="F91" i="52093" s="1"/>
  <c r="G91" i="52093" s="1"/>
  <c r="C99" i="52093"/>
  <c r="F99" i="52093" s="1"/>
  <c r="C126" i="52093"/>
  <c r="F126" i="52093" s="1"/>
  <c r="C164" i="52093"/>
  <c r="C192" i="52093"/>
  <c r="F192" i="52093" s="1"/>
  <c r="J192" i="52093" s="1"/>
  <c r="C64" i="52094"/>
  <c r="C75" i="52094"/>
  <c r="C146" i="52094"/>
  <c r="C76" i="52095"/>
  <c r="F76" i="52095" s="1"/>
  <c r="C80" i="52095"/>
  <c r="C93" i="52095"/>
  <c r="C107" i="52095"/>
  <c r="C13" i="52080"/>
  <c r="F13" i="52080" s="1"/>
  <c r="J13" i="52080" s="1"/>
  <c r="C19" i="52080"/>
  <c r="F19" i="52080" s="1"/>
  <c r="C26" i="52080"/>
  <c r="C64" i="48"/>
  <c r="C88" i="48"/>
  <c r="F88" i="48" s="1"/>
  <c r="C157" i="48"/>
  <c r="F157" i="48" s="1"/>
  <c r="C191" i="48"/>
  <c r="F191" i="48" s="1"/>
  <c r="C87" i="52066"/>
  <c r="F87" i="52066" s="1"/>
  <c r="C134" i="52066"/>
  <c r="F134" i="52066" s="1"/>
  <c r="C171" i="52066"/>
  <c r="F171" i="52066" s="1"/>
  <c r="C68" i="52092"/>
  <c r="F68" i="52092" s="1"/>
  <c r="C107" i="52092"/>
  <c r="C172" i="52092"/>
  <c r="C35" i="52093"/>
  <c r="C86" i="52093"/>
  <c r="F86" i="52093" s="1"/>
  <c r="C118" i="52093"/>
  <c r="C171" i="52093"/>
  <c r="F171" i="52093" s="1"/>
  <c r="C111" i="52095"/>
  <c r="C72" i="52080"/>
  <c r="F72" i="52080" s="1"/>
  <c r="C76" i="52080"/>
  <c r="C122" i="52080"/>
  <c r="C178" i="52080"/>
  <c r="C194" i="52080"/>
  <c r="F194" i="52080" s="1"/>
  <c r="J194" i="52080" s="1"/>
  <c r="C19" i="32"/>
  <c r="F19" i="32" s="1"/>
  <c r="C74" i="32"/>
  <c r="C91" i="32"/>
  <c r="C99" i="32"/>
  <c r="F99" i="32" s="1"/>
  <c r="C171" i="32"/>
  <c r="F171" i="32" s="1"/>
  <c r="C196" i="32"/>
  <c r="C68" i="91"/>
  <c r="F68" i="91" s="1"/>
  <c r="C79" i="91"/>
  <c r="C135" i="91"/>
  <c r="F135" i="91" s="1"/>
  <c r="C143" i="91"/>
  <c r="F143" i="91" s="1"/>
  <c r="C166" i="91"/>
  <c r="F166" i="91" s="1"/>
  <c r="C19" i="48"/>
  <c r="F19" i="48" s="1"/>
  <c r="C112" i="48"/>
  <c r="C140" i="48"/>
  <c r="F140" i="48" s="1"/>
  <c r="C165" i="48"/>
  <c r="F165" i="48" s="1"/>
  <c r="C13" i="52066"/>
  <c r="F13" i="52066" s="1"/>
  <c r="C96" i="52066"/>
  <c r="F96" i="52066" s="1"/>
  <c r="C100" i="52066"/>
  <c r="F100" i="52066" s="1"/>
  <c r="C124" i="52066"/>
  <c r="C183" i="52066"/>
  <c r="C194" i="52066"/>
  <c r="F194" i="52066" s="1"/>
  <c r="J194" i="52066" s="1"/>
  <c r="C41" i="52072"/>
  <c r="C84" i="52072"/>
  <c r="F84" i="52072" s="1"/>
  <c r="C132" i="52072"/>
  <c r="F132" i="52072" s="1"/>
  <c r="J132" i="52072" s="1"/>
  <c r="C144" i="52072"/>
  <c r="F144" i="52072" s="1"/>
  <c r="J144" i="52072" s="1"/>
  <c r="C165" i="52072"/>
  <c r="C10" i="52081"/>
  <c r="F10" i="52081" s="1"/>
  <c r="J10" i="52081" s="1"/>
  <c r="C18" i="52081"/>
  <c r="F18" i="52081" s="1"/>
  <c r="J18" i="52081" s="1"/>
  <c r="C29" i="52081"/>
  <c r="C107" i="52081"/>
  <c r="C159" i="52081"/>
  <c r="C181" i="52081"/>
  <c r="C8" i="93"/>
  <c r="C38" i="93"/>
  <c r="F38" i="93" s="1"/>
  <c r="G38" i="93" s="1"/>
  <c r="I38" i="93" s="1"/>
  <c r="C43" i="93"/>
  <c r="F43" i="93" s="1"/>
  <c r="I43" i="93" s="1"/>
  <c r="C102" i="93"/>
  <c r="F102" i="93" s="1"/>
  <c r="C148" i="93"/>
  <c r="F148" i="93" s="1"/>
  <c r="I148" i="93" s="1"/>
  <c r="C183" i="93"/>
  <c r="F183" i="93" s="1"/>
  <c r="I183" i="93" s="1"/>
  <c r="C91" i="52072"/>
  <c r="C126" i="52072"/>
  <c r="C175" i="52072"/>
  <c r="C17" i="52081"/>
  <c r="F17" i="52081" s="1"/>
  <c r="J17" i="52081" s="1"/>
  <c r="C14" i="93"/>
  <c r="F14" i="93" s="1"/>
  <c r="I14" i="93" s="1"/>
  <c r="C52" i="93"/>
  <c r="F52" i="93" s="1"/>
  <c r="I52" i="93" s="1"/>
  <c r="C56" i="93"/>
  <c r="F56" i="93" s="1"/>
  <c r="I56" i="93" s="1"/>
  <c r="C89" i="93"/>
  <c r="F89" i="93" s="1"/>
  <c r="I89" i="93" s="1"/>
  <c r="C105" i="93"/>
  <c r="F105" i="93" s="1"/>
  <c r="C127" i="93"/>
  <c r="F127" i="93" s="1"/>
  <c r="I127" i="93" s="1"/>
  <c r="C160" i="93"/>
  <c r="F160" i="93" s="1"/>
  <c r="I160" i="93" s="1"/>
  <c r="C15" i="32"/>
  <c r="F15" i="32" s="1"/>
  <c r="C73" i="32"/>
  <c r="C81" i="32"/>
  <c r="C118" i="32"/>
  <c r="C158" i="32"/>
  <c r="C191" i="32"/>
  <c r="F191" i="32" s="1"/>
  <c r="C24" i="91"/>
  <c r="C74" i="91"/>
  <c r="F74" i="91" s="1"/>
  <c r="C114" i="91"/>
  <c r="C138" i="91"/>
  <c r="F138" i="91" s="1"/>
  <c r="C146" i="91"/>
  <c r="C24" i="48"/>
  <c r="C35" i="52066"/>
  <c r="C127" i="52066"/>
  <c r="F127" i="52066" s="1"/>
  <c r="C191" i="52066"/>
  <c r="C13" i="52072"/>
  <c r="F13" i="52072" s="1"/>
  <c r="J13" i="52072" s="1"/>
  <c r="C83" i="52072"/>
  <c r="F83" i="52072" s="1"/>
  <c r="C141" i="52072"/>
  <c r="F141" i="52072" s="1"/>
  <c r="C161" i="52072"/>
  <c r="C193" i="52072"/>
  <c r="F193" i="52072" s="1"/>
  <c r="J193" i="52072" s="1"/>
  <c r="C13" i="93"/>
  <c r="F13" i="93" s="1"/>
  <c r="I13" i="93" s="1"/>
  <c r="C41" i="93"/>
  <c r="F41" i="93" s="1"/>
  <c r="C73" i="93"/>
  <c r="F73" i="93" s="1"/>
  <c r="I73" i="93" s="1"/>
  <c r="C122" i="93"/>
  <c r="C181" i="93"/>
  <c r="F181" i="93" s="1"/>
  <c r="I181" i="93" s="1"/>
  <c r="C95" i="52072"/>
  <c r="C164" i="52072"/>
  <c r="C180" i="52072"/>
  <c r="C137" i="52081"/>
  <c r="C12" i="93"/>
  <c r="F12" i="93" s="1"/>
  <c r="I12" i="93" s="1"/>
  <c r="C53" i="93"/>
  <c r="F53" i="93" s="1"/>
  <c r="I53" i="93" s="1"/>
  <c r="C83" i="93"/>
  <c r="C129" i="93"/>
  <c r="F129" i="93" s="1"/>
  <c r="I129" i="93" s="1"/>
  <c r="C161" i="93"/>
  <c r="F161" i="93" s="1"/>
  <c r="I161" i="93" s="1"/>
  <c r="C25" i="52067"/>
  <c r="C99" i="52079"/>
  <c r="F99" i="52079" s="1"/>
  <c r="C194" i="52071"/>
  <c r="F194" i="52071" s="1"/>
  <c r="J194" i="52071" s="1"/>
  <c r="C144" i="52071"/>
  <c r="F144" i="52071" s="1"/>
  <c r="J144" i="52071" s="1"/>
  <c r="C37" i="20"/>
  <c r="C139" i="12"/>
  <c r="C29" i="77"/>
  <c r="C8" i="52089"/>
  <c r="C21" i="52089" s="1"/>
  <c r="C29" i="52091"/>
  <c r="C107" i="115"/>
  <c r="C175" i="12"/>
  <c r="C196" i="12"/>
  <c r="C189" i="77"/>
  <c r="F189" i="77" s="1"/>
  <c r="J189" i="77" s="1"/>
  <c r="C111" i="52089"/>
  <c r="F111" i="52089" s="1"/>
  <c r="C141" i="52089"/>
  <c r="F141" i="52089" s="1"/>
  <c r="C13" i="52090"/>
  <c r="F13" i="52090" s="1"/>
  <c r="C83" i="52090"/>
  <c r="F83" i="52090" s="1"/>
  <c r="C107" i="52090"/>
  <c r="C140" i="52090"/>
  <c r="C190" i="52090"/>
  <c r="C36" i="52091"/>
  <c r="C75" i="52091"/>
  <c r="C92" i="52091"/>
  <c r="C194" i="52091"/>
  <c r="F194" i="52091" s="1"/>
  <c r="J194" i="52091" s="1"/>
  <c r="C29" i="52092"/>
  <c r="C95" i="52092"/>
  <c r="C8" i="52093"/>
  <c r="C110" i="52093"/>
  <c r="C146" i="52093"/>
  <c r="F146" i="52093" s="1"/>
  <c r="C125" i="52094"/>
  <c r="C189" i="52094"/>
  <c r="F189" i="52094" s="1"/>
  <c r="C13" i="52095"/>
  <c r="F13" i="52095" s="1"/>
  <c r="C37" i="52095"/>
  <c r="C157" i="52095"/>
  <c r="C195" i="52095"/>
  <c r="C107" i="52080"/>
  <c r="C131" i="52080"/>
  <c r="C165" i="52080"/>
  <c r="C112" i="32"/>
  <c r="F112" i="32" s="1"/>
  <c r="C144" i="32"/>
  <c r="C90" i="91"/>
  <c r="F90" i="91" s="1"/>
  <c r="C120" i="91"/>
  <c r="C170" i="91"/>
  <c r="C182" i="91"/>
  <c r="C9" i="48"/>
  <c r="F9" i="48" s="1"/>
  <c r="C42" i="48"/>
  <c r="C79" i="48"/>
  <c r="C118" i="48"/>
  <c r="C177" i="48"/>
  <c r="C194" i="48"/>
  <c r="F194" i="48" s="1"/>
  <c r="C19" i="52066"/>
  <c r="F19" i="52066" s="1"/>
  <c r="C84" i="52066"/>
  <c r="C93" i="52066"/>
  <c r="C135" i="52066"/>
  <c r="F135" i="52066" s="1"/>
  <c r="C161" i="52066"/>
  <c r="C28" i="52072"/>
  <c r="C253" i="52072" s="1"/>
  <c r="C37" i="52092"/>
  <c r="C108" i="52092"/>
  <c r="C138" i="52092"/>
  <c r="F138" i="52092" s="1"/>
  <c r="J138" i="52092" s="1"/>
  <c r="C158" i="52092"/>
  <c r="C171" i="52092"/>
  <c r="C188" i="52092"/>
  <c r="F188" i="52092" s="1"/>
  <c r="J188" i="52092" s="1"/>
  <c r="C36" i="52093"/>
  <c r="C75" i="52093"/>
  <c r="C85" i="52093"/>
  <c r="C172" i="52093"/>
  <c r="C199" i="52093"/>
  <c r="F199" i="52093" s="1"/>
  <c r="J199" i="52093" s="1"/>
  <c r="C81" i="52095"/>
  <c r="C36" i="52080"/>
  <c r="C171" i="52080"/>
  <c r="C193" i="52080"/>
  <c r="F193" i="52080" s="1"/>
  <c r="J193" i="52080" s="1"/>
  <c r="C94" i="115"/>
  <c r="C136" i="20"/>
  <c r="C188" i="20"/>
  <c r="C137" i="12"/>
  <c r="C133" i="77"/>
  <c r="F133" i="77" s="1"/>
  <c r="J133" i="77" s="1"/>
  <c r="C83" i="52089"/>
  <c r="F83" i="52089" s="1"/>
  <c r="C190" i="52089"/>
  <c r="F190" i="52089" s="1"/>
  <c r="J190" i="52089" s="1"/>
  <c r="C93" i="52090"/>
  <c r="F93" i="52090" s="1"/>
  <c r="C132" i="52091"/>
  <c r="F132" i="52091" s="1"/>
  <c r="J132" i="52091" s="1"/>
  <c r="C148" i="52091"/>
  <c r="C17" i="52092"/>
  <c r="F17" i="52092" s="1"/>
  <c r="C124" i="114"/>
  <c r="C76" i="115"/>
  <c r="F76" i="115" s="1"/>
  <c r="C140" i="115"/>
  <c r="F140" i="115" s="1"/>
  <c r="C192" i="115"/>
  <c r="C92" i="20"/>
  <c r="C29" i="12"/>
  <c r="C72" i="12"/>
  <c r="F72" i="12" s="1"/>
  <c r="C176" i="12"/>
  <c r="C10" i="77"/>
  <c r="F10" i="77" s="1"/>
  <c r="C171" i="77"/>
  <c r="C110" i="52089"/>
  <c r="F110" i="52089" s="1"/>
  <c r="C142" i="52089"/>
  <c r="F142" i="52089" s="1"/>
  <c r="C183" i="52089"/>
  <c r="C159" i="52090"/>
  <c r="F159" i="52090" s="1"/>
  <c r="J159" i="52090" s="1"/>
  <c r="C199" i="52090"/>
  <c r="F199" i="52090" s="1"/>
  <c r="J199" i="52090" s="1"/>
  <c r="C76" i="52091"/>
  <c r="C84" i="52091"/>
  <c r="C93" i="52091"/>
  <c r="C157" i="52091"/>
  <c r="C189" i="52091"/>
  <c r="F189" i="52091" s="1"/>
  <c r="J189" i="52091" s="1"/>
  <c r="C26" i="52092"/>
  <c r="C98" i="52092"/>
  <c r="C183" i="52092"/>
  <c r="C111" i="52093"/>
  <c r="C139" i="52093"/>
  <c r="C188" i="52093"/>
  <c r="C78" i="52094"/>
  <c r="C124" i="52094"/>
  <c r="C173" i="52094"/>
  <c r="C181" i="52094"/>
  <c r="C194" i="52094"/>
  <c r="F194" i="52094" s="1"/>
  <c r="C16" i="52095"/>
  <c r="F16" i="52095" s="1"/>
  <c r="C110" i="52080"/>
  <c r="C134" i="52080"/>
  <c r="F134" i="52080" s="1"/>
  <c r="J134" i="52080" s="1"/>
  <c r="C163" i="52080"/>
  <c r="C109" i="32"/>
  <c r="C133" i="32"/>
  <c r="C166" i="32"/>
  <c r="C18" i="91"/>
  <c r="F18" i="91" s="1"/>
  <c r="C93" i="91"/>
  <c r="F93" i="91" s="1"/>
  <c r="C101" i="91"/>
  <c r="C157" i="91"/>
  <c r="F157" i="91" s="1"/>
  <c r="C192" i="91"/>
  <c r="F192" i="91" s="1"/>
  <c r="C13" i="48"/>
  <c r="F13" i="48" s="1"/>
  <c r="C67" i="48"/>
  <c r="C78" i="48"/>
  <c r="C86" i="48"/>
  <c r="F86" i="48" s="1"/>
  <c r="C95" i="48"/>
  <c r="C119" i="48"/>
  <c r="F119" i="48" s="1"/>
  <c r="C174" i="48"/>
  <c r="F174" i="48" s="1"/>
  <c r="C187" i="48"/>
  <c r="C16" i="52066"/>
  <c r="F16" i="52066" s="1"/>
  <c r="C66" i="52066"/>
  <c r="F66" i="52066" s="1"/>
  <c r="G66" i="52066" s="1"/>
  <c r="C77" i="52066"/>
  <c r="F77" i="52066" s="1"/>
  <c r="C90" i="52066"/>
  <c r="C108" i="52066"/>
  <c r="F108" i="52066" s="1"/>
  <c r="C148" i="52066"/>
  <c r="C164" i="52066"/>
  <c r="F164" i="52066" s="1"/>
  <c r="C27" i="52072"/>
  <c r="C143" i="52092"/>
  <c r="C159" i="52092"/>
  <c r="F159" i="52092" s="1"/>
  <c r="J159" i="52092" s="1"/>
  <c r="C189" i="52092"/>
  <c r="F189" i="52092" s="1"/>
  <c r="J189" i="52092" s="1"/>
  <c r="C15" i="52093"/>
  <c r="F15" i="52093" s="1"/>
  <c r="J15" i="52093" s="1"/>
  <c r="C67" i="52093"/>
  <c r="C84" i="52093"/>
  <c r="F84" i="52093" s="1"/>
  <c r="C120" i="52093"/>
  <c r="F120" i="52093" s="1"/>
  <c r="J120" i="52093" s="1"/>
  <c r="C177" i="52093"/>
  <c r="C12" i="52094"/>
  <c r="F12" i="52094" s="1"/>
  <c r="C136" i="52094"/>
  <c r="C144" i="52094"/>
  <c r="C78" i="52095"/>
  <c r="C137" i="52095"/>
  <c r="C24" i="52080"/>
  <c r="C176" i="52080"/>
  <c r="C188" i="52080"/>
  <c r="F188" i="52080" s="1"/>
  <c r="J188" i="52080" s="1"/>
  <c r="C196" i="52080"/>
  <c r="F196" i="52080" s="1"/>
  <c r="J196" i="52080" s="1"/>
  <c r="C25" i="32"/>
  <c r="C76" i="32"/>
  <c r="F76" i="32" s="1"/>
  <c r="C97" i="32"/>
  <c r="F97" i="32" s="1"/>
  <c r="C125" i="32"/>
  <c r="F125" i="32" s="1"/>
  <c r="C173" i="32"/>
  <c r="F173" i="32" s="1"/>
  <c r="C23" i="91"/>
  <c r="C29" i="48"/>
  <c r="C134" i="48"/>
  <c r="F134" i="48" s="1"/>
  <c r="C146" i="48"/>
  <c r="C162" i="48"/>
  <c r="F162" i="48" s="1"/>
  <c r="C11" i="52066"/>
  <c r="F11" i="52066" s="1"/>
  <c r="C122" i="52066"/>
  <c r="C158" i="52066"/>
  <c r="F158" i="52066" s="1"/>
  <c r="J158" i="52066" s="1"/>
  <c r="C15" i="52072"/>
  <c r="F15" i="52072" s="1"/>
  <c r="J15" i="52072" s="1"/>
  <c r="C150" i="52072"/>
  <c r="C187" i="52072"/>
  <c r="C37" i="52081"/>
  <c r="C164" i="52081"/>
  <c r="C10" i="93"/>
  <c r="F10" i="93" s="1"/>
  <c r="I10" i="93" s="1"/>
  <c r="C66" i="93"/>
  <c r="F66" i="93" s="1"/>
  <c r="C104" i="93"/>
  <c r="F104" i="93" s="1"/>
  <c r="I104" i="93" s="1"/>
  <c r="C128" i="93"/>
  <c r="F128" i="93" s="1"/>
  <c r="I128" i="93" s="1"/>
  <c r="C154" i="93"/>
  <c r="C187" i="93"/>
  <c r="F187" i="93" s="1"/>
  <c r="I187" i="93" s="1"/>
  <c r="C49" i="52072"/>
  <c r="C177" i="52072"/>
  <c r="C13" i="52081"/>
  <c r="F13" i="52081" s="1"/>
  <c r="J13" i="52081" s="1"/>
  <c r="C75" i="52081"/>
  <c r="C92" i="52081"/>
  <c r="F92" i="52081" s="1"/>
  <c r="C136" i="52081"/>
  <c r="C183" i="52081"/>
  <c r="C18" i="93"/>
  <c r="F18" i="93" s="1"/>
  <c r="I18" i="93" s="1"/>
  <c r="C76" i="93"/>
  <c r="F76" i="93" s="1"/>
  <c r="I76" i="93" s="1"/>
  <c r="C84" i="93"/>
  <c r="F84" i="93" s="1"/>
  <c r="I84" i="93" s="1"/>
  <c r="C96" i="93"/>
  <c r="C156" i="93"/>
  <c r="F156" i="93" s="1"/>
  <c r="I156" i="93" s="1"/>
  <c r="C140" i="21"/>
  <c r="F140" i="21" s="1"/>
  <c r="C18" i="32"/>
  <c r="F18" i="32" s="1"/>
  <c r="C26" i="32"/>
  <c r="C75" i="32"/>
  <c r="C94" i="32"/>
  <c r="C178" i="32"/>
  <c r="C193" i="32"/>
  <c r="F193" i="32" s="1"/>
  <c r="C19" i="91"/>
  <c r="F19" i="91" s="1"/>
  <c r="C39" i="91"/>
  <c r="C76" i="91"/>
  <c r="F76" i="91" s="1"/>
  <c r="C80" i="91"/>
  <c r="C84" i="91"/>
  <c r="F84" i="91" s="1"/>
  <c r="C88" i="91"/>
  <c r="C112" i="91"/>
  <c r="C132" i="91"/>
  <c r="F132" i="91" s="1"/>
  <c r="C140" i="91"/>
  <c r="F140" i="91" s="1"/>
  <c r="C148" i="91"/>
  <c r="C165" i="91"/>
  <c r="F165" i="91" s="1"/>
  <c r="C11" i="48"/>
  <c r="F11" i="48" s="1"/>
  <c r="C135" i="48"/>
  <c r="F135" i="48" s="1"/>
  <c r="C141" i="48"/>
  <c r="C163" i="48"/>
  <c r="F163" i="48" s="1"/>
  <c r="C12" i="52066"/>
  <c r="F12" i="52066" s="1"/>
  <c r="C157" i="52066"/>
  <c r="F157" i="52066" s="1"/>
  <c r="J157" i="52066" s="1"/>
  <c r="C11" i="52072"/>
  <c r="F11" i="52072" s="1"/>
  <c r="J11" i="52072" s="1"/>
  <c r="C143" i="52072"/>
  <c r="C197" i="52072"/>
  <c r="F197" i="52072" s="1"/>
  <c r="J197" i="52072" s="1"/>
  <c r="C12" i="52081"/>
  <c r="F12" i="52081" s="1"/>
  <c r="J12" i="52081" s="1"/>
  <c r="C93" i="52081"/>
  <c r="C191" i="52081"/>
  <c r="F191" i="52081" s="1"/>
  <c r="J191" i="52081" s="1"/>
  <c r="C9" i="93"/>
  <c r="F9" i="93" s="1"/>
  <c r="I9" i="93" s="1"/>
  <c r="C67" i="93"/>
  <c r="F67" i="93" s="1"/>
  <c r="I67" i="93" s="1"/>
  <c r="C126" i="93"/>
  <c r="F126" i="93" s="1"/>
  <c r="I126" i="93" s="1"/>
  <c r="C142" i="93"/>
  <c r="F142" i="93" s="1"/>
  <c r="I142" i="93" s="1"/>
  <c r="C185" i="93"/>
  <c r="F185" i="93" s="1"/>
  <c r="I185" i="93" s="1"/>
  <c r="C94" i="52072"/>
  <c r="C100" i="52072"/>
  <c r="F100" i="52072" s="1"/>
  <c r="C124" i="52072"/>
  <c r="C127" i="52072"/>
  <c r="F127" i="52072" s="1"/>
  <c r="C170" i="52072"/>
  <c r="C176" i="52072"/>
  <c r="C196" i="52072"/>
  <c r="F196" i="52072" s="1"/>
  <c r="J196" i="52072" s="1"/>
  <c r="C15" i="52081"/>
  <c r="F15" i="52081" s="1"/>
  <c r="J15" i="52081" s="1"/>
  <c r="C49" i="93"/>
  <c r="F49" i="93" s="1"/>
  <c r="C92" i="93"/>
  <c r="F92" i="93" s="1"/>
  <c r="I92" i="93" s="1"/>
  <c r="C101" i="93"/>
  <c r="F101" i="93" s="1"/>
  <c r="C115" i="93"/>
  <c r="F115" i="93" s="1"/>
  <c r="I115" i="93" s="1"/>
  <c r="C147" i="93"/>
  <c r="F147" i="93" s="1"/>
  <c r="I147" i="93" s="1"/>
  <c r="C186" i="93"/>
  <c r="F186" i="93" s="1"/>
  <c r="I186" i="93" s="1"/>
  <c r="C15" i="21"/>
  <c r="F15" i="21" s="1"/>
  <c r="C95" i="21"/>
  <c r="C159" i="21"/>
  <c r="F159" i="21" s="1"/>
  <c r="C67" i="148"/>
  <c r="F67" i="148" s="1"/>
  <c r="C86" i="148"/>
  <c r="F86" i="148" s="1"/>
  <c r="C120" i="148"/>
  <c r="F120" i="148" s="1"/>
  <c r="C106" i="21"/>
  <c r="F106" i="21" s="1"/>
  <c r="C156" i="21"/>
  <c r="C177" i="21"/>
  <c r="F177" i="21" s="1"/>
  <c r="C121" i="52064"/>
  <c r="C156" i="148"/>
  <c r="C181" i="148"/>
  <c r="F181" i="148" s="1"/>
  <c r="C11" i="105"/>
  <c r="F11" i="105" s="1"/>
  <c r="C123" i="105"/>
  <c r="C129" i="105" s="1"/>
  <c r="C67" i="52064"/>
  <c r="F67" i="52064" s="1"/>
  <c r="C91" i="52064"/>
  <c r="F91" i="52064" s="1"/>
  <c r="C164" i="52064"/>
  <c r="F164" i="52064" s="1"/>
  <c r="C141" i="148"/>
  <c r="F141" i="148" s="1"/>
  <c r="C149" i="148"/>
  <c r="F149" i="148" s="1"/>
  <c r="C28" i="108"/>
  <c r="C253" i="108" s="1"/>
  <c r="E252" i="52083" s="1"/>
  <c r="C191" i="108"/>
  <c r="F191" i="108" s="1"/>
  <c r="J191" i="108" s="1"/>
  <c r="C172" i="52087"/>
  <c r="F172" i="52087" s="1"/>
  <c r="C9" i="52088"/>
  <c r="F9" i="52088" s="1"/>
  <c r="C9" i="101"/>
  <c r="F9" i="101" s="1"/>
  <c r="C146" i="52067"/>
  <c r="F146" i="52067" s="1"/>
  <c r="J146" i="52067" s="1"/>
  <c r="C108" i="21"/>
  <c r="F108" i="21" s="1"/>
  <c r="C188" i="21"/>
  <c r="F188" i="21" s="1"/>
  <c r="C121" i="21"/>
  <c r="C131" i="52064"/>
  <c r="C28" i="21"/>
  <c r="C253" i="21" s="1"/>
  <c r="C113" i="21"/>
  <c r="C37" i="52064"/>
  <c r="C192" i="148"/>
  <c r="F192" i="148" s="1"/>
  <c r="C93" i="105"/>
  <c r="F93" i="105" s="1"/>
  <c r="C191" i="105"/>
  <c r="F191" i="105" s="1"/>
  <c r="C139" i="108"/>
  <c r="F139" i="108" s="1"/>
  <c r="C101" i="52064"/>
  <c r="F101" i="52064" s="1"/>
  <c r="C199" i="108"/>
  <c r="F199" i="108" s="1"/>
  <c r="J199" i="108" s="1"/>
  <c r="C197" i="21"/>
  <c r="F197" i="21" s="1"/>
  <c r="C81" i="21"/>
  <c r="F81" i="21" s="1"/>
  <c r="C163" i="21"/>
  <c r="F163" i="21" s="1"/>
  <c r="C66" i="21"/>
  <c r="C14" i="52064"/>
  <c r="F14" i="52064" s="1"/>
  <c r="C133" i="52064"/>
  <c r="F133" i="52064" s="1"/>
  <c r="C145" i="52064"/>
  <c r="F145" i="52064" s="1"/>
  <c r="C13" i="148"/>
  <c r="F13" i="148" s="1"/>
  <c r="C74" i="148"/>
  <c r="F74" i="148" s="1"/>
  <c r="C92" i="148"/>
  <c r="F92" i="148" s="1"/>
  <c r="C91" i="21"/>
  <c r="F91" i="21" s="1"/>
  <c r="C125" i="52064"/>
  <c r="F125" i="52064" s="1"/>
  <c r="C193" i="52064"/>
  <c r="F193" i="52064" s="1"/>
  <c r="C164" i="148"/>
  <c r="F164" i="148" s="1"/>
  <c r="C190" i="148"/>
  <c r="F190" i="148" s="1"/>
  <c r="C197" i="105"/>
  <c r="F197" i="105" s="1"/>
  <c r="C72" i="108"/>
  <c r="F72" i="108" s="1"/>
  <c r="G72" i="108" s="1"/>
  <c r="C86" i="108"/>
  <c r="F86" i="108" s="1"/>
  <c r="C113" i="108"/>
  <c r="C13" i="52087"/>
  <c r="F13" i="52087" s="1"/>
  <c r="C101" i="52088"/>
  <c r="F101" i="52088" s="1"/>
  <c r="C159" i="52088"/>
  <c r="F159" i="52088" s="1"/>
  <c r="J159" i="52088" s="1"/>
  <c r="C17" i="101"/>
  <c r="F17" i="101" s="1"/>
  <c r="C189" i="21"/>
  <c r="F189" i="21" s="1"/>
  <c r="C13" i="21"/>
  <c r="F13" i="21" s="1"/>
  <c r="C143" i="21"/>
  <c r="F143" i="21" s="1"/>
  <c r="C107" i="52064"/>
  <c r="F107" i="52064" s="1"/>
  <c r="C135" i="52064"/>
  <c r="F135" i="52064" s="1"/>
  <c r="C143" i="52064"/>
  <c r="F143" i="52064" s="1"/>
  <c r="C163" i="52064"/>
  <c r="F163" i="52064" s="1"/>
  <c r="C64" i="148"/>
  <c r="C84" i="148"/>
  <c r="F84" i="148" s="1"/>
  <c r="C118" i="148"/>
  <c r="C25" i="52064"/>
  <c r="C30" i="52064" s="1"/>
  <c r="C44" i="52064" s="1"/>
  <c r="C177" i="52064"/>
  <c r="F177" i="52064" s="1"/>
  <c r="C9" i="105"/>
  <c r="F9" i="105" s="1"/>
  <c r="C24" i="108"/>
  <c r="C23" i="52088"/>
  <c r="C30" i="52088" s="1"/>
  <c r="C44" i="52088" s="1"/>
  <c r="C170" i="52088"/>
  <c r="C188" i="52088"/>
  <c r="F188" i="52088" s="1"/>
  <c r="J188" i="52088" s="1"/>
  <c r="C111" i="101"/>
  <c r="F111" i="101" s="1"/>
  <c r="J111" i="101" s="1"/>
  <c r="C101" i="105"/>
  <c r="F101" i="105" s="1"/>
  <c r="C199" i="105"/>
  <c r="F199" i="105" s="1"/>
  <c r="C147" i="108"/>
  <c r="F147" i="108" s="1"/>
  <c r="C196" i="108"/>
  <c r="F196" i="108" s="1"/>
  <c r="J196" i="108" s="1"/>
  <c r="C98" i="52087"/>
  <c r="F98" i="52087" s="1"/>
  <c r="C156" i="108"/>
  <c r="C23" i="101"/>
  <c r="C30" i="101" s="1"/>
  <c r="C74" i="21"/>
  <c r="F74" i="21" s="1"/>
  <c r="C110" i="21"/>
  <c r="F110" i="21" s="1"/>
  <c r="C42" i="148"/>
  <c r="C73" i="21"/>
  <c r="F73" i="21" s="1"/>
  <c r="C42" i="52064"/>
  <c r="C187" i="105"/>
  <c r="C149" i="108"/>
  <c r="F149" i="108" s="1"/>
  <c r="C11" i="52087"/>
  <c r="F11" i="52087" s="1"/>
  <c r="J11" i="52087" s="1"/>
  <c r="C76" i="52064"/>
  <c r="F76" i="52064" s="1"/>
  <c r="C95" i="52064"/>
  <c r="C91" i="148"/>
  <c r="F91" i="148" s="1"/>
  <c r="C145" i="148"/>
  <c r="F145" i="148" s="1"/>
  <c r="C92" i="52087"/>
  <c r="F92" i="52087" s="1"/>
  <c r="C161" i="52087"/>
  <c r="F161" i="52087" s="1"/>
  <c r="C195" i="52087"/>
  <c r="F195" i="52087" s="1"/>
  <c r="J195" i="52087" s="1"/>
  <c r="C190" i="52088"/>
  <c r="F190" i="52088" s="1"/>
  <c r="J190" i="52088" s="1"/>
  <c r="C135" i="101"/>
  <c r="F135" i="101" s="1"/>
  <c r="J135" i="101" s="1"/>
  <c r="C188" i="101"/>
  <c r="F188" i="101" s="1"/>
  <c r="J188" i="101" s="1"/>
  <c r="C139" i="21"/>
  <c r="F139" i="21" s="1"/>
  <c r="C136" i="21"/>
  <c r="F136" i="21" s="1"/>
  <c r="C97" i="21"/>
  <c r="F97" i="21" s="1"/>
  <c r="C10" i="148"/>
  <c r="F10" i="148" s="1"/>
  <c r="C126" i="148"/>
  <c r="F126" i="148" s="1"/>
  <c r="C171" i="21"/>
  <c r="F171" i="21" s="1"/>
  <c r="C158" i="148"/>
  <c r="F158" i="148" s="1"/>
  <c r="C188" i="148"/>
  <c r="F188" i="148" s="1"/>
  <c r="C37" i="105"/>
  <c r="C172" i="105"/>
  <c r="F172" i="105" s="1"/>
  <c r="C189" i="105"/>
  <c r="F189" i="105" s="1"/>
  <c r="C16" i="108"/>
  <c r="F16" i="108" s="1"/>
  <c r="C80" i="108"/>
  <c r="F80" i="108" s="1"/>
  <c r="C107" i="108"/>
  <c r="F107" i="108" s="1"/>
  <c r="C143" i="108"/>
  <c r="F143" i="108" s="1"/>
  <c r="C188" i="108"/>
  <c r="F188" i="108" s="1"/>
  <c r="J188" i="108" s="1"/>
  <c r="C13" i="52064"/>
  <c r="F13" i="52064" s="1"/>
  <c r="C80" i="52064"/>
  <c r="F80" i="52064" s="1"/>
  <c r="C97" i="52064"/>
  <c r="F97" i="52064" s="1"/>
  <c r="C139" i="148"/>
  <c r="F139" i="148" s="1"/>
  <c r="C164" i="108"/>
  <c r="F164" i="108" s="1"/>
  <c r="C196" i="52088"/>
  <c r="F196" i="52088" s="1"/>
  <c r="J196" i="52088" s="1"/>
  <c r="C80" i="48"/>
  <c r="F80" i="48" s="1"/>
  <c r="C101" i="48"/>
  <c r="C176" i="48"/>
  <c r="F176" i="48" s="1"/>
  <c r="C42" i="52066"/>
  <c r="C110" i="52066"/>
  <c r="F110" i="52066" s="1"/>
  <c r="J110" i="52066" s="1"/>
  <c r="C150" i="52066"/>
  <c r="F150" i="52066" s="1"/>
  <c r="C83" i="52092"/>
  <c r="C141" i="52092"/>
  <c r="C187" i="52092"/>
  <c r="C76" i="52093"/>
  <c r="F76" i="52093" s="1"/>
  <c r="C95" i="52093"/>
  <c r="C145" i="52093"/>
  <c r="F145" i="52093" s="1"/>
  <c r="C196" i="52093"/>
  <c r="C40" i="52080"/>
  <c r="C172" i="52080"/>
  <c r="F172" i="52080" s="1"/>
  <c r="C183" i="52080"/>
  <c r="F183" i="52080" s="1"/>
  <c r="C11" i="32"/>
  <c r="F11" i="32" s="1"/>
  <c r="C27" i="32"/>
  <c r="C82" i="32"/>
  <c r="C95" i="32"/>
  <c r="C127" i="32"/>
  <c r="F127" i="32" s="1"/>
  <c r="C188" i="32"/>
  <c r="C29" i="91"/>
  <c r="C75" i="91"/>
  <c r="F75" i="91" s="1"/>
  <c r="C111" i="91"/>
  <c r="C139" i="91"/>
  <c r="F139" i="91" s="1"/>
  <c r="C147" i="91"/>
  <c r="C12" i="48"/>
  <c r="F12" i="48" s="1"/>
  <c r="C27" i="48"/>
  <c r="C132" i="48"/>
  <c r="F132" i="48" s="1"/>
  <c r="C160" i="48"/>
  <c r="F160" i="48" s="1"/>
  <c r="C9" i="52066"/>
  <c r="F9" i="52066" s="1"/>
  <c r="C24" i="52066"/>
  <c r="C76" i="52072"/>
  <c r="F76" i="52072" s="1"/>
  <c r="C88" i="52072"/>
  <c r="C136" i="52072"/>
  <c r="F136" i="52072" s="1"/>
  <c r="C160" i="52072"/>
  <c r="C191" i="52072"/>
  <c r="C124" i="93"/>
  <c r="F124" i="93" s="1"/>
  <c r="I124" i="93" s="1"/>
  <c r="C191" i="93"/>
  <c r="F191" i="93" s="1"/>
  <c r="I191" i="93" s="1"/>
  <c r="C99" i="52072"/>
  <c r="C173" i="52072"/>
  <c r="F173" i="52072" s="1"/>
  <c r="C190" i="52072"/>
  <c r="C188" i="52081"/>
  <c r="C28" i="93"/>
  <c r="F28" i="93" s="1"/>
  <c r="I28" i="93" s="1"/>
  <c r="C85" i="93"/>
  <c r="F85" i="93" s="1"/>
  <c r="I85" i="93" s="1"/>
  <c r="C91" i="93"/>
  <c r="F91" i="93" s="1"/>
  <c r="I91" i="93" s="1"/>
  <c r="C113" i="93"/>
  <c r="F113" i="93" s="1"/>
  <c r="I113" i="93" s="1"/>
  <c r="C149" i="93"/>
  <c r="F149" i="93" s="1"/>
  <c r="I149" i="93" s="1"/>
  <c r="C180" i="93"/>
  <c r="F180" i="93" s="1"/>
  <c r="I180" i="93" s="1"/>
  <c r="C24" i="32"/>
  <c r="C77" i="32"/>
  <c r="C90" i="32"/>
  <c r="F90" i="32" s="1"/>
  <c r="C122" i="32"/>
  <c r="C176" i="32"/>
  <c r="C16" i="91"/>
  <c r="F16" i="91" s="1"/>
  <c r="C67" i="91"/>
  <c r="C86" i="91"/>
  <c r="C134" i="91"/>
  <c r="F134" i="91" s="1"/>
  <c r="C142" i="91"/>
  <c r="F142" i="91" s="1"/>
  <c r="C15" i="48"/>
  <c r="F15" i="48" s="1"/>
  <c r="C113" i="48"/>
  <c r="C119" i="52066"/>
  <c r="C159" i="52066"/>
  <c r="F159" i="52066" s="1"/>
  <c r="J159" i="52066" s="1"/>
  <c r="C199" i="52066"/>
  <c r="F199" i="52066" s="1"/>
  <c r="J199" i="52066" s="1"/>
  <c r="C36" i="52072"/>
  <c r="C85" i="52072"/>
  <c r="F85" i="52072" s="1"/>
  <c r="C145" i="52072"/>
  <c r="F145" i="52072" s="1"/>
  <c r="C183" i="52072"/>
  <c r="C166" i="52081"/>
  <c r="C25" i="93"/>
  <c r="F25" i="93" s="1"/>
  <c r="I25" i="93" s="1"/>
  <c r="C46" i="93"/>
  <c r="F46" i="93" s="1"/>
  <c r="I46" i="93" s="1"/>
  <c r="C110" i="93"/>
  <c r="F110" i="93" s="1"/>
  <c r="I110" i="93" s="1"/>
  <c r="C138" i="93"/>
  <c r="F138" i="93" s="1"/>
  <c r="I138" i="93" s="1"/>
  <c r="C197" i="93"/>
  <c r="F197" i="93" s="1"/>
  <c r="I197" i="93" s="1"/>
  <c r="C122" i="52072"/>
  <c r="C174" i="52072"/>
  <c r="C192" i="52072"/>
  <c r="F192" i="52072" s="1"/>
  <c r="J192" i="52072" s="1"/>
  <c r="C170" i="52081"/>
  <c r="C30" i="93"/>
  <c r="F30" i="93" s="1"/>
  <c r="I30" i="93" s="1"/>
  <c r="C57" i="93"/>
  <c r="F57" i="93" s="1"/>
  <c r="I57" i="93" s="1"/>
  <c r="C87" i="93"/>
  <c r="F87" i="93" s="1"/>
  <c r="I87" i="93" s="1"/>
  <c r="C143" i="93"/>
  <c r="C190" i="93"/>
  <c r="F190" i="93" s="1"/>
  <c r="I190" i="93" s="1"/>
  <c r="C95" i="52079"/>
  <c r="C123" i="52079"/>
  <c r="F123" i="52079" s="1"/>
  <c r="C94" i="52088"/>
  <c r="F94" i="52088" s="1"/>
  <c r="C12" i="115"/>
  <c r="F12" i="115" s="1"/>
  <c r="C135" i="12"/>
  <c r="F135" i="12" s="1"/>
  <c r="C163" i="12"/>
  <c r="F163" i="12" s="1"/>
  <c r="C111" i="77"/>
  <c r="F111" i="77" s="1"/>
  <c r="C81" i="52089"/>
  <c r="F81" i="52089" s="1"/>
  <c r="C171" i="114"/>
  <c r="C172" i="115"/>
  <c r="F172" i="115" s="1"/>
  <c r="C188" i="12"/>
  <c r="C157" i="77"/>
  <c r="C199" i="77"/>
  <c r="F199" i="77" s="1"/>
  <c r="J199" i="77" s="1"/>
  <c r="C135" i="52089"/>
  <c r="F135" i="52089" s="1"/>
  <c r="J135" i="52089" s="1"/>
  <c r="C149" i="52089"/>
  <c r="C29" i="52090"/>
  <c r="C87" i="52090"/>
  <c r="F87" i="52090" s="1"/>
  <c r="C136" i="52090"/>
  <c r="F136" i="52090" s="1"/>
  <c r="J136" i="52090" s="1"/>
  <c r="C146" i="52090"/>
  <c r="F146" i="52090" s="1"/>
  <c r="J146" i="52090" s="1"/>
  <c r="C14" i="52091"/>
  <c r="F14" i="52091" s="1"/>
  <c r="J14" i="52091" s="1"/>
  <c r="C68" i="52091"/>
  <c r="C83" i="52091"/>
  <c r="C181" i="52091"/>
  <c r="C198" i="52091"/>
  <c r="F198" i="52091" s="1"/>
  <c r="J198" i="52091" s="1"/>
  <c r="C91" i="52092"/>
  <c r="C123" i="52092"/>
  <c r="F123" i="52092" s="1"/>
  <c r="J123" i="52092" s="1"/>
  <c r="C106" i="52093"/>
  <c r="F106" i="52093" s="1"/>
  <c r="J106" i="52093" s="1"/>
  <c r="C140" i="52093"/>
  <c r="F140" i="52093" s="1"/>
  <c r="C49" i="52094"/>
  <c r="C176" i="52094"/>
  <c r="C191" i="52094"/>
  <c r="F191" i="52094" s="1"/>
  <c r="C17" i="52095"/>
  <c r="F17" i="52095" s="1"/>
  <c r="C101" i="52095"/>
  <c r="C189" i="52095"/>
  <c r="F189" i="52095" s="1"/>
  <c r="C199" i="52095"/>
  <c r="F199" i="52095" s="1"/>
  <c r="C111" i="52080"/>
  <c r="F111" i="52080" s="1"/>
  <c r="C157" i="52080"/>
  <c r="C64" i="32"/>
  <c r="C136" i="32"/>
  <c r="C160" i="32"/>
  <c r="C100" i="91"/>
  <c r="F100" i="91" s="1"/>
  <c r="C156" i="91"/>
  <c r="C178" i="91"/>
  <c r="F178" i="91" s="1"/>
  <c r="C187" i="91"/>
  <c r="C23" i="48"/>
  <c r="C75" i="48"/>
  <c r="C87" i="48"/>
  <c r="C122" i="48"/>
  <c r="C190" i="48"/>
  <c r="C198" i="48"/>
  <c r="F198" i="48" s="1"/>
  <c r="C36" i="52066"/>
  <c r="C88" i="52066"/>
  <c r="C111" i="52066"/>
  <c r="F111" i="52066" s="1"/>
  <c r="C143" i="52066"/>
  <c r="C178" i="52066"/>
  <c r="C15" i="52092"/>
  <c r="F15" i="52092" s="1"/>
  <c r="J15" i="52092" s="1"/>
  <c r="C88" i="52092"/>
  <c r="F88" i="52092" s="1"/>
  <c r="C136" i="52092"/>
  <c r="F136" i="52092" s="1"/>
  <c r="J136" i="52092" s="1"/>
  <c r="C150" i="52092"/>
  <c r="C164" i="52092"/>
  <c r="F164" i="52092" s="1"/>
  <c r="C175" i="52092"/>
  <c r="C196" i="52092"/>
  <c r="C68" i="52093"/>
  <c r="C83" i="52093"/>
  <c r="C121" i="52093"/>
  <c r="C191" i="52093"/>
  <c r="C133" i="52094"/>
  <c r="C137" i="52094"/>
  <c r="C139" i="52094"/>
  <c r="C10" i="52095"/>
  <c r="F10" i="52095" s="1"/>
  <c r="C23" i="52095"/>
  <c r="C40" i="52095"/>
  <c r="C94" i="52095"/>
  <c r="C162" i="52095"/>
  <c r="F162" i="52095" s="1"/>
  <c r="C183" i="52095"/>
  <c r="C15" i="52080"/>
  <c r="F15" i="52080" s="1"/>
  <c r="J15" i="52080" s="1"/>
  <c r="C23" i="52080"/>
  <c r="C66" i="52080"/>
  <c r="F66" i="52080" s="1"/>
  <c r="C81" i="52080"/>
  <c r="C95" i="52080"/>
  <c r="C99" i="52080"/>
  <c r="F99" i="52080" s="1"/>
  <c r="C123" i="52080"/>
  <c r="C187" i="52080"/>
  <c r="C10" i="32"/>
  <c r="F10" i="32" s="1"/>
  <c r="C11" i="20"/>
  <c r="F11" i="20" s="1"/>
  <c r="C146" i="20"/>
  <c r="C10" i="12"/>
  <c r="F10" i="12" s="1"/>
  <c r="C149" i="12"/>
  <c r="C42" i="52089"/>
  <c r="C92" i="52089"/>
  <c r="F92" i="52089" s="1"/>
  <c r="C18" i="52090"/>
  <c r="F18" i="52090" s="1"/>
  <c r="C108" i="52091"/>
  <c r="C140" i="52091"/>
  <c r="C165" i="52091"/>
  <c r="C75" i="114"/>
  <c r="F75" i="114" s="1"/>
  <c r="C164" i="114"/>
  <c r="C80" i="115"/>
  <c r="C171" i="115"/>
  <c r="C75" i="20"/>
  <c r="C191" i="20"/>
  <c r="C65" i="12"/>
  <c r="C80" i="12"/>
  <c r="C125" i="12"/>
  <c r="C157" i="12"/>
  <c r="F157" i="12" s="1"/>
  <c r="C159" i="12"/>
  <c r="F159" i="12" s="1"/>
  <c r="C199" i="12"/>
  <c r="F199" i="12" s="1"/>
  <c r="C126" i="77"/>
  <c r="C192" i="77"/>
  <c r="C114" i="52089"/>
  <c r="C146" i="52089"/>
  <c r="F146" i="52089" s="1"/>
  <c r="J146" i="52089" s="1"/>
  <c r="C133" i="52090"/>
  <c r="F133" i="52090" s="1"/>
  <c r="J133" i="52090" s="1"/>
  <c r="C139" i="52090"/>
  <c r="F139" i="52090" s="1"/>
  <c r="J139" i="52090" s="1"/>
  <c r="C193" i="52090"/>
  <c r="F193" i="52090" s="1"/>
  <c r="J193" i="52090" s="1"/>
  <c r="C67" i="52091"/>
  <c r="C80" i="52091"/>
  <c r="C88" i="52091"/>
  <c r="C97" i="52091"/>
  <c r="F97" i="52091" s="1"/>
  <c r="J97" i="52091" s="1"/>
  <c r="C176" i="52091"/>
  <c r="C195" i="52091"/>
  <c r="C49" i="52092"/>
  <c r="C118" i="52092"/>
  <c r="C122" i="52092"/>
  <c r="F122" i="52092" s="1"/>
  <c r="C126" i="52092"/>
  <c r="C107" i="52093"/>
  <c r="C137" i="52093"/>
  <c r="C144" i="52093"/>
  <c r="F144" i="52093" s="1"/>
  <c r="J144" i="52093" s="1"/>
  <c r="C14" i="52094"/>
  <c r="F14" i="52094" s="1"/>
  <c r="C92" i="52094"/>
  <c r="C164" i="52094"/>
  <c r="C177" i="52094"/>
  <c r="C190" i="52094"/>
  <c r="C198" i="52094"/>
  <c r="F198" i="52094" s="1"/>
  <c r="C106" i="52080"/>
  <c r="C114" i="52080"/>
  <c r="C150" i="52080"/>
  <c r="F150" i="52080" s="1"/>
  <c r="C40" i="32"/>
  <c r="C113" i="32"/>
  <c r="C139" i="32"/>
  <c r="C11" i="91"/>
  <c r="F11" i="91" s="1"/>
  <c r="J11" i="91" s="1"/>
  <c r="C64" i="91"/>
  <c r="C97" i="91"/>
  <c r="F97" i="91" s="1"/>
  <c r="C125" i="91"/>
  <c r="F125" i="91" s="1"/>
  <c r="C177" i="91"/>
  <c r="F177" i="91" s="1"/>
  <c r="C35" i="48"/>
  <c r="C74" i="48"/>
  <c r="F74" i="48" s="1"/>
  <c r="C82" i="48"/>
  <c r="F82" i="48" s="1"/>
  <c r="C91" i="48"/>
  <c r="F91" i="48" s="1"/>
  <c r="C99" i="48"/>
  <c r="C172" i="48"/>
  <c r="F172" i="48" s="1"/>
  <c r="C178" i="48"/>
  <c r="C193" i="48"/>
  <c r="F193" i="48" s="1"/>
  <c r="C25" i="52066"/>
  <c r="C73" i="52066"/>
  <c r="F73" i="52066" s="1"/>
  <c r="C81" i="52066"/>
  <c r="F81" i="52066" s="1"/>
  <c r="C94" i="52066"/>
  <c r="F94" i="52066" s="1"/>
  <c r="C112" i="52066"/>
  <c r="C160" i="52066"/>
  <c r="C181" i="52066"/>
  <c r="C133" i="52092"/>
  <c r="F133" i="52092" s="1"/>
  <c r="J133" i="52092" s="1"/>
  <c r="C137" i="52092"/>
  <c r="C147" i="52092"/>
  <c r="C180" i="52092"/>
  <c r="F180" i="52092" s="1"/>
  <c r="C195" i="52092"/>
  <c r="C24" i="52093"/>
  <c r="C74" i="52093"/>
  <c r="C101" i="52093"/>
  <c r="C173" i="52093"/>
  <c r="F173" i="52093" s="1"/>
  <c r="J173" i="52093" s="1"/>
  <c r="C198" i="52093"/>
  <c r="F198" i="52093" s="1"/>
  <c r="J198" i="52093" s="1"/>
  <c r="C19" i="52094"/>
  <c r="F19" i="52094" s="1"/>
  <c r="C140" i="52094"/>
  <c r="C183" i="52094"/>
  <c r="F183" i="52094" s="1"/>
  <c r="C133" i="52095"/>
  <c r="C139" i="52095"/>
  <c r="F139" i="52095" s="1"/>
  <c r="C42" i="52080"/>
  <c r="C180" i="52080"/>
  <c r="C192" i="52080"/>
  <c r="C17" i="32"/>
  <c r="F17" i="32" s="1"/>
  <c r="C67" i="32"/>
  <c r="C84" i="32"/>
  <c r="C101" i="32"/>
  <c r="C157" i="32"/>
  <c r="C14" i="91"/>
  <c r="F14" i="91" s="1"/>
  <c r="J14" i="91" s="1"/>
  <c r="C40" i="91"/>
  <c r="C114" i="48"/>
  <c r="C138" i="48"/>
  <c r="F138" i="48" s="1"/>
  <c r="C142" i="48"/>
  <c r="F142" i="48" s="1"/>
  <c r="C150" i="48"/>
  <c r="C183" i="48"/>
  <c r="C15" i="52066"/>
  <c r="F15" i="52066" s="1"/>
  <c r="J15" i="52066" s="1"/>
  <c r="C126" i="52066"/>
  <c r="F126" i="52066" s="1"/>
  <c r="C196" i="52066"/>
  <c r="C37" i="52072"/>
  <c r="C162" i="52072"/>
  <c r="F162" i="52072" s="1"/>
  <c r="C8" i="52081"/>
  <c r="C157" i="52081"/>
  <c r="C190" i="52081"/>
  <c r="F190" i="52081" s="1"/>
  <c r="J190" i="52081" s="1"/>
  <c r="C27" i="93"/>
  <c r="F27" i="93" s="1"/>
  <c r="I27" i="93" s="1"/>
  <c r="C74" i="93"/>
  <c r="F74" i="93" s="1"/>
  <c r="I74" i="93" s="1"/>
  <c r="C118" i="93"/>
  <c r="F118" i="93" s="1"/>
  <c r="I118" i="93" s="1"/>
  <c r="C136" i="93"/>
  <c r="F136" i="93" s="1"/>
  <c r="I136" i="93" s="1"/>
  <c r="C179" i="93"/>
  <c r="F179" i="93" s="1"/>
  <c r="I179" i="93" s="1"/>
  <c r="C175" i="52081"/>
  <c r="F175" i="52081" s="1"/>
  <c r="C193" i="52081"/>
  <c r="F193" i="52081" s="1"/>
  <c r="J193" i="52081" s="1"/>
  <c r="C54" i="93"/>
  <c r="C58" i="93"/>
  <c r="F58" i="93" s="1"/>
  <c r="I58" i="93" s="1"/>
  <c r="C86" i="93"/>
  <c r="C137" i="93"/>
  <c r="F137" i="93" s="1"/>
  <c r="I137" i="93" s="1"/>
  <c r="C184" i="93"/>
  <c r="F184" i="93" s="1"/>
  <c r="I184" i="93" s="1"/>
  <c r="C68" i="32"/>
  <c r="C87" i="32"/>
  <c r="C174" i="32"/>
  <c r="C187" i="32"/>
  <c r="C199" i="32"/>
  <c r="F199" i="32" s="1"/>
  <c r="C72" i="91"/>
  <c r="F72" i="91" s="1"/>
  <c r="C108" i="91"/>
  <c r="F108" i="91" s="1"/>
  <c r="C136" i="91"/>
  <c r="F136" i="91" s="1"/>
  <c r="C144" i="91"/>
  <c r="C160" i="91"/>
  <c r="F160" i="91" s="1"/>
  <c r="C39" i="48"/>
  <c r="C145" i="48"/>
  <c r="C8" i="52066"/>
  <c r="C21" i="52066" s="1"/>
  <c r="C41" i="52066"/>
  <c r="C189" i="52066"/>
  <c r="F189" i="52066" s="1"/>
  <c r="J189" i="52066" s="1"/>
  <c r="C40" i="52072"/>
  <c r="C147" i="52072"/>
  <c r="F147" i="52072" s="1"/>
  <c r="C9" i="52081"/>
  <c r="F9" i="52081" s="1"/>
  <c r="C16" i="52081"/>
  <c r="F16" i="52081" s="1"/>
  <c r="J16" i="52081" s="1"/>
  <c r="C123" i="52081"/>
  <c r="C195" i="52081"/>
  <c r="F195" i="52081" s="1"/>
  <c r="C37" i="93"/>
  <c r="F37" i="93" s="1"/>
  <c r="I37" i="93" s="1"/>
  <c r="C79" i="93"/>
  <c r="F79" i="93" s="1"/>
  <c r="I79" i="93" s="1"/>
  <c r="C134" i="93"/>
  <c r="F134" i="93" s="1"/>
  <c r="I134" i="93" s="1"/>
  <c r="C159" i="93"/>
  <c r="F159" i="93" s="1"/>
  <c r="I159" i="93" s="1"/>
  <c r="C193" i="93"/>
  <c r="F193" i="93" s="1"/>
  <c r="I193" i="93" s="1"/>
  <c r="C98" i="52072"/>
  <c r="C119" i="52072"/>
  <c r="F119" i="52072" s="1"/>
  <c r="J119" i="52072" s="1"/>
  <c r="C125" i="52072"/>
  <c r="C159" i="52072"/>
  <c r="C172" i="52072"/>
  <c r="C188" i="52072"/>
  <c r="C196" i="52081"/>
  <c r="F196" i="52081" s="1"/>
  <c r="J196" i="52081" s="1"/>
  <c r="C55" i="93"/>
  <c r="F55" i="93" s="1"/>
  <c r="I55" i="93" s="1"/>
  <c r="C97" i="93"/>
  <c r="F97" i="93" s="1"/>
  <c r="I97" i="93" s="1"/>
  <c r="C111" i="93"/>
  <c r="F111" i="93" s="1"/>
  <c r="I111" i="93" s="1"/>
  <c r="C163" i="93"/>
  <c r="F163" i="93" s="1"/>
  <c r="I163" i="93" s="1"/>
  <c r="C194" i="93"/>
  <c r="F194" i="93" s="1"/>
  <c r="I194" i="93" s="1"/>
  <c r="C111" i="21"/>
  <c r="F111" i="21" s="1"/>
  <c r="C127" i="21"/>
  <c r="F127" i="21" s="1"/>
  <c r="F127" i="52098" s="1"/>
  <c r="C8" i="148"/>
  <c r="C78" i="148"/>
  <c r="F78" i="148" s="1"/>
  <c r="C100" i="148"/>
  <c r="F100" i="148" s="1"/>
  <c r="C84" i="21"/>
  <c r="F84" i="21" s="1"/>
  <c r="C173" i="21"/>
  <c r="F173" i="21" s="1"/>
  <c r="C181" i="21"/>
  <c r="F181" i="21" s="1"/>
  <c r="C15" i="148"/>
  <c r="F15" i="148" s="1"/>
  <c r="C173" i="148"/>
  <c r="F173" i="148" s="1"/>
  <c r="C194" i="148"/>
  <c r="F194" i="148" s="1"/>
  <c r="C193" i="105"/>
  <c r="F193" i="105" s="1"/>
  <c r="C82" i="52064"/>
  <c r="F82" i="52064" s="1"/>
  <c r="C99" i="52064"/>
  <c r="F99" i="52064" s="1"/>
  <c r="C133" i="148"/>
  <c r="F133" i="148" s="1"/>
  <c r="C139" i="52087"/>
  <c r="F139" i="52087" s="1"/>
  <c r="C187" i="52087"/>
  <c r="C97" i="52088"/>
  <c r="F97" i="52088" s="1"/>
  <c r="J97" i="52088" s="1"/>
  <c r="C40" i="101"/>
  <c r="C80" i="21"/>
  <c r="F80" i="21" s="1"/>
  <c r="C107" i="21"/>
  <c r="F107" i="21" s="1"/>
  <c r="C68" i="21"/>
  <c r="F68" i="21" s="1"/>
  <c r="C152" i="21"/>
  <c r="F152" i="21" s="1"/>
  <c r="C40" i="148"/>
  <c r="C88" i="21"/>
  <c r="F88" i="21" s="1"/>
  <c r="C108" i="148"/>
  <c r="F108" i="148" s="1"/>
  <c r="C198" i="148"/>
  <c r="F198" i="148" s="1"/>
  <c r="C174" i="105"/>
  <c r="F174" i="105" s="1"/>
  <c r="C36" i="108"/>
  <c r="C64" i="52064"/>
  <c r="C199" i="52064"/>
  <c r="F199" i="52064" s="1"/>
  <c r="C191" i="52087"/>
  <c r="F191" i="52087" s="1"/>
  <c r="J191" i="52087" s="1"/>
  <c r="C9" i="21"/>
  <c r="F9" i="21" s="1"/>
  <c r="C14" i="21"/>
  <c r="F14" i="21" s="1"/>
  <c r="C19" i="21"/>
  <c r="F19" i="21" s="1"/>
  <c r="C147" i="21"/>
  <c r="F147" i="21" s="1"/>
  <c r="C109" i="52064"/>
  <c r="F109" i="52064" s="1"/>
  <c r="C137" i="52064"/>
  <c r="F137" i="52064" s="1"/>
  <c r="C161" i="52064"/>
  <c r="F161" i="52064" s="1"/>
  <c r="C25" i="148"/>
  <c r="C82" i="148"/>
  <c r="F82" i="148" s="1"/>
  <c r="C111" i="148"/>
  <c r="F111" i="148" s="1"/>
  <c r="C131" i="21"/>
  <c r="C171" i="52064"/>
  <c r="F171" i="52064" s="1"/>
  <c r="C99" i="148"/>
  <c r="F99" i="148" s="1"/>
  <c r="C177" i="148"/>
  <c r="F177" i="148" s="1"/>
  <c r="C176" i="105"/>
  <c r="F176" i="105" s="1"/>
  <c r="C19" i="108"/>
  <c r="F19" i="108" s="1"/>
  <c r="C78" i="108"/>
  <c r="F78" i="108" s="1"/>
  <c r="C105" i="108"/>
  <c r="C15" i="108"/>
  <c r="F15" i="108" s="1"/>
  <c r="J15" i="108" s="1"/>
  <c r="C17" i="52088"/>
  <c r="F17" i="52088" s="1"/>
  <c r="C125" i="52088"/>
  <c r="F125" i="52088" s="1"/>
  <c r="C198" i="52088"/>
  <c r="F198" i="52088" s="1"/>
  <c r="J198" i="52088" s="1"/>
  <c r="C196" i="101"/>
  <c r="F196" i="101" s="1"/>
  <c r="J196" i="101" s="1"/>
  <c r="C125" i="21"/>
  <c r="F125" i="21" s="1"/>
  <c r="C41" i="21"/>
  <c r="C11" i="52064"/>
  <c r="F11" i="52064" s="1"/>
  <c r="C111" i="52064"/>
  <c r="F111" i="52064" s="1"/>
  <c r="C139" i="52064"/>
  <c r="F139" i="52064" s="1"/>
  <c r="C152" i="52064"/>
  <c r="F152" i="52064" s="1"/>
  <c r="C196" i="52064"/>
  <c r="F196" i="52064" s="1"/>
  <c r="C76" i="148"/>
  <c r="F76" i="148" s="1"/>
  <c r="C96" i="148"/>
  <c r="F96" i="148" s="1"/>
  <c r="C82" i="21"/>
  <c r="F82" i="21" s="1"/>
  <c r="C100" i="21"/>
  <c r="F100" i="21" s="1"/>
  <c r="C123" i="52064"/>
  <c r="C36" i="148"/>
  <c r="C80" i="105"/>
  <c r="F80" i="105" s="1"/>
  <c r="C94" i="52087"/>
  <c r="F94" i="52087" s="1"/>
  <c r="C123" i="52088"/>
  <c r="F123" i="52088" s="1"/>
  <c r="J123" i="52088" s="1"/>
  <c r="C178" i="52088"/>
  <c r="F178" i="52088" s="1"/>
  <c r="C107" i="101"/>
  <c r="F107" i="101" s="1"/>
  <c r="C137" i="101"/>
  <c r="F137" i="101" s="1"/>
  <c r="C170" i="105"/>
  <c r="C135" i="108"/>
  <c r="F135" i="108" s="1"/>
  <c r="C163" i="108"/>
  <c r="F163" i="108" s="1"/>
  <c r="C76" i="52087"/>
  <c r="F76" i="52087" s="1"/>
  <c r="C159" i="52064"/>
  <c r="F159" i="52064" s="1"/>
  <c r="C164" i="52087"/>
  <c r="F164" i="52087" s="1"/>
  <c r="C87" i="101"/>
  <c r="F87" i="101" s="1"/>
  <c r="C135" i="21"/>
  <c r="F135" i="21" s="1"/>
  <c r="C18" i="52064"/>
  <c r="F18" i="52064" s="1"/>
  <c r="C124" i="148"/>
  <c r="F124" i="148" s="1"/>
  <c r="C165" i="21"/>
  <c r="F165" i="21" s="1"/>
  <c r="C18" i="105"/>
  <c r="F18" i="105" s="1"/>
  <c r="C141" i="108"/>
  <c r="F141" i="108" s="1"/>
  <c r="C166" i="108"/>
  <c r="F166" i="108" s="1"/>
  <c r="C78" i="52087"/>
  <c r="F78" i="52087" s="1"/>
  <c r="C86" i="52064"/>
  <c r="F86" i="52064" s="1"/>
  <c r="C157" i="52064"/>
  <c r="F157" i="52064" s="1"/>
  <c r="C137" i="148"/>
  <c r="F137" i="148" s="1"/>
  <c r="C158" i="108"/>
  <c r="F158" i="108" s="1"/>
  <c r="J158" i="108" s="1"/>
  <c r="C107" i="52087"/>
  <c r="F107" i="52087" s="1"/>
  <c r="C176" i="52087"/>
  <c r="F176" i="52087" s="1"/>
  <c r="C176" i="52088"/>
  <c r="F176" i="52088" s="1"/>
  <c r="C133" i="101"/>
  <c r="F133" i="101" s="1"/>
  <c r="C149" i="101"/>
  <c r="F149" i="101" s="1"/>
  <c r="C23" i="21"/>
  <c r="C30" i="21" s="1"/>
  <c r="C44" i="21" s="1"/>
  <c r="C219" i="21" s="1"/>
  <c r="C11" i="21"/>
  <c r="F11" i="21" s="1"/>
  <c r="C98" i="21"/>
  <c r="F98" i="21" s="1"/>
  <c r="C164" i="21"/>
  <c r="F164" i="21" s="1"/>
  <c r="C27" i="148"/>
  <c r="C144" i="21"/>
  <c r="F144" i="21" s="1"/>
  <c r="C173" i="52064"/>
  <c r="F173" i="52064" s="1"/>
  <c r="C175" i="148"/>
  <c r="F175" i="148" s="1"/>
  <c r="C196" i="148"/>
  <c r="F196" i="148" s="1"/>
  <c r="C157" i="105"/>
  <c r="F157" i="105" s="1"/>
  <c r="C178" i="105"/>
  <c r="F178" i="105" s="1"/>
  <c r="C195" i="105"/>
  <c r="F195" i="105" s="1"/>
  <c r="C67" i="108"/>
  <c r="F67" i="108" s="1"/>
  <c r="J67" i="108" s="1"/>
  <c r="J249" i="108" s="1"/>
  <c r="C88" i="108"/>
  <c r="F88" i="108" s="1"/>
  <c r="C131" i="108"/>
  <c r="C152" i="108"/>
  <c r="F152" i="108" s="1"/>
  <c r="C15" i="52087"/>
  <c r="F15" i="52087" s="1"/>
  <c r="J15" i="52087" s="1"/>
  <c r="C72" i="52064"/>
  <c r="F72" i="52064" s="1"/>
  <c r="C88" i="52064"/>
  <c r="F88" i="52064" s="1"/>
  <c r="C131" i="148"/>
  <c r="C147" i="148"/>
  <c r="F147" i="148" s="1"/>
  <c r="C199" i="52087"/>
  <c r="F199" i="52087" s="1"/>
  <c r="J199" i="52087" s="1"/>
  <c r="C14" i="101"/>
  <c r="F14" i="101" s="1"/>
  <c r="J14" i="101" s="1"/>
  <c r="C164" i="93"/>
  <c r="F164" i="93" s="1"/>
  <c r="I164" i="93" s="1"/>
  <c r="C149" i="52072"/>
  <c r="C191" i="52089"/>
  <c r="F191" i="52089" s="1"/>
  <c r="C106" i="52067"/>
  <c r="F106" i="52067" s="1"/>
  <c r="J106" i="52067" s="1"/>
  <c r="C137" i="108"/>
  <c r="F137" i="108" s="1"/>
  <c r="C164" i="32"/>
  <c r="C78" i="115"/>
  <c r="F78" i="115" s="1"/>
  <c r="C140" i="105"/>
  <c r="F140" i="105" s="1"/>
  <c r="C131" i="52089"/>
  <c r="C11" i="93"/>
  <c r="F11" i="93" s="1"/>
  <c r="C78" i="52067"/>
  <c r="F78" i="52067" s="1"/>
  <c r="E96" i="52087"/>
  <c r="I96" i="52087" s="1"/>
  <c r="E28" i="52067"/>
  <c r="E253" i="52067" s="1"/>
  <c r="E74" i="52067"/>
  <c r="I74" i="52067" s="1"/>
  <c r="E82" i="52088"/>
  <c r="I82" i="52088" s="1"/>
  <c r="E83" i="52067"/>
  <c r="I83" i="52067" s="1"/>
  <c r="E90" i="52067"/>
  <c r="I90" i="52067" s="1"/>
  <c r="E90" i="52088"/>
  <c r="I90" i="52088" s="1"/>
  <c r="E25" i="52088"/>
  <c r="E150" i="52088"/>
  <c r="I150" i="52088" s="1"/>
  <c r="E99" i="115"/>
  <c r="E97" i="52071"/>
  <c r="I97" i="52071" s="1"/>
  <c r="E179" i="52067"/>
  <c r="I179" i="52067" s="1"/>
  <c r="E138" i="115"/>
  <c r="E158" i="115"/>
  <c r="E39" i="77"/>
  <c r="E156" i="77"/>
  <c r="E158" i="77"/>
  <c r="I158" i="77" s="1"/>
  <c r="E147" i="52087"/>
  <c r="I147" i="52087" s="1"/>
  <c r="E179" i="52088"/>
  <c r="I179" i="52088" s="1"/>
  <c r="E100" i="52088"/>
  <c r="I100" i="52088" s="1"/>
  <c r="E145" i="52087"/>
  <c r="I145" i="52087" s="1"/>
  <c r="E132" i="52087"/>
  <c r="I132" i="52087" s="1"/>
  <c r="E132" i="52067"/>
  <c r="I132" i="52067" s="1"/>
  <c r="E152" i="52067"/>
  <c r="I152" i="52067" s="1"/>
  <c r="E143" i="52067"/>
  <c r="I143" i="52067" s="1"/>
  <c r="E39" i="52088"/>
  <c r="E180" i="52087"/>
  <c r="I180" i="52087" s="1"/>
  <c r="E72" i="52067"/>
  <c r="I72" i="52067" s="1"/>
  <c r="E111" i="52071"/>
  <c r="I111" i="52071" s="1"/>
  <c r="E41" i="52088"/>
  <c r="E96" i="115"/>
  <c r="E36" i="115"/>
  <c r="E76" i="52067"/>
  <c r="I76" i="52067" s="1"/>
  <c r="E109" i="52087"/>
  <c r="I109" i="52087" s="1"/>
  <c r="E97" i="52067"/>
  <c r="I97" i="52067" s="1"/>
  <c r="E88" i="52067"/>
  <c r="I88" i="52067" s="1"/>
  <c r="E36" i="52088"/>
  <c r="E142" i="52067"/>
  <c r="I142" i="52067" s="1"/>
  <c r="E160" i="115"/>
  <c r="E147" i="115"/>
  <c r="E162" i="115"/>
  <c r="E150" i="52087"/>
  <c r="I150" i="52087" s="1"/>
  <c r="E160" i="52088"/>
  <c r="I160" i="52088" s="1"/>
  <c r="E149" i="52071"/>
  <c r="I149" i="52071" s="1"/>
  <c r="E134" i="52087"/>
  <c r="I134" i="52087" s="1"/>
  <c r="E147" i="52088"/>
  <c r="I147" i="52088" s="1"/>
  <c r="E145" i="52067"/>
  <c r="I145" i="52067" s="1"/>
  <c r="E119" i="115"/>
  <c r="E141" i="115"/>
  <c r="E100" i="115"/>
  <c r="E160" i="52087"/>
  <c r="I160" i="52087" s="1"/>
  <c r="E112" i="52087"/>
  <c r="I112" i="52087" s="1"/>
  <c r="E142" i="52087"/>
  <c r="I142" i="52087" s="1"/>
  <c r="E138" i="52087"/>
  <c r="I138" i="52087" s="1"/>
  <c r="E39" i="52087"/>
  <c r="E134" i="52067"/>
  <c r="I134" i="52067" s="1"/>
  <c r="E138" i="52067"/>
  <c r="I138" i="52067" s="1"/>
  <c r="E26" i="52071"/>
  <c r="E106" i="52088"/>
  <c r="I106" i="52088" s="1"/>
  <c r="E68" i="115"/>
  <c r="E26" i="115"/>
  <c r="E68" i="52088"/>
  <c r="I68" i="52088" s="1"/>
  <c r="E91" i="115"/>
  <c r="E27" i="52071"/>
  <c r="E64" i="115"/>
  <c r="E90" i="52071"/>
  <c r="I90" i="52071" s="1"/>
  <c r="E95" i="52071"/>
  <c r="I95" i="52071" s="1"/>
  <c r="E42" i="115"/>
  <c r="E108" i="115"/>
  <c r="E109" i="52067"/>
  <c r="I109" i="52067" s="1"/>
  <c r="E66" i="115"/>
  <c r="E77" i="52071"/>
  <c r="I77" i="52071" s="1"/>
  <c r="E111" i="115"/>
  <c r="E82" i="52087"/>
  <c r="I82" i="52087" s="1"/>
  <c r="E114" i="52087"/>
  <c r="I114" i="52087" s="1"/>
  <c r="E35" i="52067"/>
  <c r="E64" i="52067"/>
  <c r="E67" i="52088"/>
  <c r="I67" i="52088" s="1"/>
  <c r="I249" i="52088" s="1"/>
  <c r="E114" i="52088"/>
  <c r="I114" i="52088" s="1"/>
  <c r="E79" i="52067"/>
  <c r="I79" i="52067" s="1"/>
  <c r="E26" i="52088"/>
  <c r="E80" i="52071"/>
  <c r="I80" i="52071" s="1"/>
  <c r="E99" i="52071"/>
  <c r="I99" i="52071" s="1"/>
  <c r="E150" i="115"/>
  <c r="E112" i="52067"/>
  <c r="I112" i="52067" s="1"/>
  <c r="E147" i="52071"/>
  <c r="I147" i="52071" s="1"/>
  <c r="E180" i="77"/>
  <c r="E142" i="52071"/>
  <c r="I142" i="52071" s="1"/>
  <c r="E99" i="52087"/>
  <c r="I99" i="52087" s="1"/>
  <c r="E121" i="52087"/>
  <c r="I121" i="52087" s="1"/>
  <c r="E163" i="77"/>
  <c r="I163" i="77" s="1"/>
  <c r="E141" i="52067"/>
  <c r="I141" i="52067" s="1"/>
  <c r="E148" i="52088"/>
  <c r="I148" i="52088" s="1"/>
  <c r="E122" i="52087"/>
  <c r="I122" i="52087" s="1"/>
  <c r="E165" i="52087"/>
  <c r="I165" i="52087" s="1"/>
  <c r="E147" i="52067"/>
  <c r="I147" i="52067" s="1"/>
  <c r="E132" i="52088"/>
  <c r="I132" i="52088" s="1"/>
  <c r="E180" i="52067"/>
  <c r="I180" i="52067" s="1"/>
  <c r="E120" i="52088"/>
  <c r="I120" i="52088" s="1"/>
  <c r="E142" i="52088"/>
  <c r="I142" i="52088" s="1"/>
  <c r="E39" i="52067"/>
  <c r="E106" i="52067"/>
  <c r="I106" i="52067" s="1"/>
  <c r="E25" i="52071"/>
  <c r="E96" i="52071"/>
  <c r="I96" i="52071" s="1"/>
  <c r="E35" i="52071"/>
  <c r="E41" i="52087"/>
  <c r="E36" i="52087"/>
  <c r="E42" i="52067"/>
  <c r="E28" i="52088"/>
  <c r="E253" i="52088" s="1"/>
  <c r="E105" i="52067"/>
  <c r="E119" i="52067"/>
  <c r="I119" i="52067" s="1"/>
  <c r="E143" i="115"/>
  <c r="E131" i="115"/>
  <c r="E122" i="52071"/>
  <c r="I122" i="52071" s="1"/>
  <c r="E121" i="52071"/>
  <c r="I121" i="52071" s="1"/>
  <c r="E122" i="52088"/>
  <c r="I122" i="52088" s="1"/>
  <c r="E148" i="52067"/>
  <c r="I148" i="52067" s="1"/>
  <c r="E97" i="115"/>
  <c r="E134" i="52088"/>
  <c r="I134" i="52088" s="1"/>
  <c r="E131" i="52067"/>
  <c r="I131" i="52067" s="1"/>
  <c r="E178" i="52067"/>
  <c r="I178" i="52067" s="1"/>
  <c r="E121" i="115"/>
  <c r="E152" i="115"/>
  <c r="E100" i="52087"/>
  <c r="I100" i="52087" s="1"/>
  <c r="E141" i="52087"/>
  <c r="I141" i="52087" s="1"/>
  <c r="E148" i="52087"/>
  <c r="I148" i="52087" s="1"/>
  <c r="E156" i="52087"/>
  <c r="E165" i="52088"/>
  <c r="I165" i="52088" s="1"/>
  <c r="E100" i="52067"/>
  <c r="I100" i="52067" s="1"/>
  <c r="E149" i="52067"/>
  <c r="I149" i="52067" s="1"/>
  <c r="E149" i="52088"/>
  <c r="I149" i="52088" s="1"/>
  <c r="E77" i="52088"/>
  <c r="I77" i="52088" s="1"/>
  <c r="E96" i="52067"/>
  <c r="I96" i="52067" s="1"/>
  <c r="E83" i="52071"/>
  <c r="I83" i="52071" s="1"/>
  <c r="E42" i="52071"/>
  <c r="E79" i="115"/>
  <c r="E35" i="115"/>
  <c r="E78" i="52067"/>
  <c r="E124" i="115"/>
  <c r="E149" i="115"/>
  <c r="E79" i="52071"/>
  <c r="I79" i="52071" s="1"/>
  <c r="E28" i="115"/>
  <c r="E91" i="52067"/>
  <c r="I91" i="52067" s="1"/>
  <c r="E24" i="52071"/>
  <c r="E105" i="115"/>
  <c r="E27" i="115"/>
  <c r="E183" i="115"/>
  <c r="E109" i="52094"/>
  <c r="E97" i="52095"/>
  <c r="E86" i="101"/>
  <c r="I86" i="101" s="1"/>
  <c r="E106" i="101"/>
  <c r="I106" i="101" s="1"/>
  <c r="E85" i="114"/>
  <c r="I85" i="114" s="1"/>
  <c r="E96" i="114"/>
  <c r="I96" i="114" s="1"/>
  <c r="E135" i="114"/>
  <c r="I135" i="114" s="1"/>
  <c r="E27" i="12"/>
  <c r="E79" i="12"/>
  <c r="I79" i="12" s="1"/>
  <c r="E24" i="77"/>
  <c r="E96" i="77"/>
  <c r="E64" i="52090"/>
  <c r="E96" i="52094"/>
  <c r="E73" i="101"/>
  <c r="I73" i="101" s="1"/>
  <c r="E83" i="101"/>
  <c r="I83" i="101" s="1"/>
  <c r="E95" i="101"/>
  <c r="E67" i="114"/>
  <c r="E86" i="114"/>
  <c r="E66" i="12"/>
  <c r="E108" i="12"/>
  <c r="E28" i="77"/>
  <c r="E41" i="77"/>
  <c r="E85" i="77"/>
  <c r="I85" i="77" s="1"/>
  <c r="E161" i="77"/>
  <c r="I161" i="77" s="1"/>
  <c r="E28" i="52094"/>
  <c r="E95" i="52094"/>
  <c r="E66" i="101"/>
  <c r="I66" i="101" s="1"/>
  <c r="E76" i="101"/>
  <c r="I76" i="101" s="1"/>
  <c r="E72" i="114"/>
  <c r="E42" i="12"/>
  <c r="E90" i="12"/>
  <c r="E23" i="77"/>
  <c r="E77" i="52090"/>
  <c r="I77" i="52090" s="1"/>
  <c r="E96" i="52090"/>
  <c r="E79" i="52094"/>
  <c r="E91" i="52094"/>
  <c r="E66" i="52095"/>
  <c r="E85" i="52095"/>
  <c r="E114" i="52095"/>
  <c r="E90" i="52095"/>
  <c r="E134" i="77"/>
  <c r="I134" i="77" s="1"/>
  <c r="E150" i="114"/>
  <c r="I150" i="114" s="1"/>
  <c r="E120" i="52090"/>
  <c r="I120" i="52090" s="1"/>
  <c r="E160" i="105"/>
  <c r="I160" i="105" s="1"/>
  <c r="E39" i="101"/>
  <c r="E120" i="114"/>
  <c r="I120" i="114" s="1"/>
  <c r="E180" i="114"/>
  <c r="I180" i="114" s="1"/>
  <c r="E39" i="52090"/>
  <c r="E134" i="12"/>
  <c r="E119" i="114"/>
  <c r="E39" i="52095"/>
  <c r="E134" i="52090"/>
  <c r="I134" i="52090" s="1"/>
  <c r="E138" i="52095"/>
  <c r="E180" i="52095"/>
  <c r="E147" i="114"/>
  <c r="I147" i="114" s="1"/>
  <c r="E147" i="12"/>
  <c r="E127" i="77"/>
  <c r="I127" i="77" s="1"/>
  <c r="E121" i="52090"/>
  <c r="I121" i="52090" s="1"/>
  <c r="E143" i="52090"/>
  <c r="E127" i="52094"/>
  <c r="E145" i="101"/>
  <c r="I145" i="101" s="1"/>
  <c r="E113" i="12"/>
  <c r="E122" i="77"/>
  <c r="I122" i="77" s="1"/>
  <c r="E145" i="77"/>
  <c r="E118" i="52090"/>
  <c r="E162" i="52090"/>
  <c r="E100" i="101"/>
  <c r="I100" i="101" s="1"/>
  <c r="E99" i="114"/>
  <c r="I99" i="114" s="1"/>
  <c r="E131" i="12"/>
  <c r="E143" i="77"/>
  <c r="I143" i="77" s="1"/>
  <c r="E165" i="52090"/>
  <c r="I165" i="52090" s="1"/>
  <c r="E113" i="101"/>
  <c r="I113" i="101" s="1"/>
  <c r="E122" i="114"/>
  <c r="I122" i="114" s="1"/>
  <c r="E156" i="114"/>
  <c r="E162" i="12"/>
  <c r="E163" i="52094"/>
  <c r="E121" i="52095"/>
  <c r="E120" i="52095"/>
  <c r="E143" i="114"/>
  <c r="E141" i="12"/>
  <c r="E131" i="77"/>
  <c r="E127" i="52090"/>
  <c r="I127" i="52090" s="1"/>
  <c r="E99" i="52094"/>
  <c r="E145" i="52095"/>
  <c r="E160" i="101"/>
  <c r="I160" i="101" s="1"/>
  <c r="E122" i="52094"/>
  <c r="E118" i="101"/>
  <c r="E118" i="12"/>
  <c r="E118" i="52095"/>
  <c r="E148" i="114"/>
  <c r="I148" i="114" s="1"/>
  <c r="E132" i="52094"/>
  <c r="E148" i="52095"/>
  <c r="E150" i="101"/>
  <c r="I150" i="101" s="1"/>
  <c r="E76" i="77"/>
  <c r="I76" i="77" s="1"/>
  <c r="E99" i="52079"/>
  <c r="I99" i="52079" s="1"/>
  <c r="E179" i="52091"/>
  <c r="I179" i="52091" s="1"/>
  <c r="E160" i="52092"/>
  <c r="E99" i="52064"/>
  <c r="E100" i="52089"/>
  <c r="E112" i="52091"/>
  <c r="E119" i="52092"/>
  <c r="E147" i="52093"/>
  <c r="E122" i="52089"/>
  <c r="E170" i="52091"/>
  <c r="E121" i="52072"/>
  <c r="I121" i="52072" s="1"/>
  <c r="E147" i="52072"/>
  <c r="I147" i="52072" s="1"/>
  <c r="E116" i="93"/>
  <c r="H116" i="93" s="1"/>
  <c r="E187" i="93"/>
  <c r="H187" i="93" s="1"/>
  <c r="E147" i="48"/>
  <c r="E141" i="52089"/>
  <c r="E177" i="52089"/>
  <c r="E118" i="52092"/>
  <c r="E162" i="21"/>
  <c r="E118" i="52093"/>
  <c r="E121" i="52091"/>
  <c r="I121" i="52091" s="1"/>
  <c r="E150" i="52093"/>
  <c r="E138" i="52066"/>
  <c r="I138" i="52066" s="1"/>
  <c r="E86" i="93"/>
  <c r="H86" i="93" s="1"/>
  <c r="E138" i="52091"/>
  <c r="I138" i="52091" s="1"/>
  <c r="E158" i="32"/>
  <c r="E145" i="52066"/>
  <c r="E134" i="52072"/>
  <c r="I134" i="52072" s="1"/>
  <c r="E101" i="93"/>
  <c r="H101" i="93" s="1"/>
  <c r="E118" i="93"/>
  <c r="H118" i="93" s="1"/>
  <c r="E149" i="32"/>
  <c r="E150" i="52072"/>
  <c r="E122" i="93"/>
  <c r="E165" i="21"/>
  <c r="I165" i="21" s="1"/>
  <c r="E138" i="32"/>
  <c r="E171" i="52072"/>
  <c r="I171" i="52072" s="1"/>
  <c r="E84" i="93"/>
  <c r="H84" i="93" s="1"/>
  <c r="E180" i="52089"/>
  <c r="E134" i="52093"/>
  <c r="I134" i="52093" s="1"/>
  <c r="E152" i="91"/>
  <c r="E165" i="52072"/>
  <c r="E9" i="93"/>
  <c r="H9" i="93" s="1"/>
  <c r="E126" i="93"/>
  <c r="H126" i="93" s="1"/>
  <c r="E163" i="32"/>
  <c r="E99" i="52072"/>
  <c r="E145" i="52072"/>
  <c r="I145" i="52072" s="1"/>
  <c r="E108" i="93"/>
  <c r="H108" i="93" s="1"/>
  <c r="E135" i="93"/>
  <c r="H135" i="93" s="1"/>
  <c r="E142" i="21"/>
  <c r="E152" i="21"/>
  <c r="E156" i="108"/>
  <c r="E120" i="52064"/>
  <c r="E112" i="108"/>
  <c r="E141" i="148"/>
  <c r="E165" i="148"/>
  <c r="E121" i="52064"/>
  <c r="E180" i="148"/>
  <c r="I180" i="148" s="1"/>
  <c r="E179" i="21"/>
  <c r="E132" i="52064"/>
  <c r="E93" i="52064"/>
  <c r="E25" i="52089"/>
  <c r="E77" i="52092"/>
  <c r="E41" i="52064"/>
  <c r="E66" i="148"/>
  <c r="I66" i="148" s="1"/>
  <c r="E24" i="52089"/>
  <c r="E67" i="52092"/>
  <c r="E74" i="52091"/>
  <c r="E91" i="52093"/>
  <c r="I91" i="52093" s="1"/>
  <c r="E72" i="48"/>
  <c r="E161" i="32"/>
  <c r="E109" i="21"/>
  <c r="I109" i="21" s="1"/>
  <c r="E106" i="108"/>
  <c r="E24" i="108"/>
  <c r="E67" i="52064"/>
  <c r="E36" i="148"/>
  <c r="E76" i="148"/>
  <c r="E26" i="52064"/>
  <c r="E156" i="52064"/>
  <c r="E11" i="52087"/>
  <c r="I11" i="52087" s="1"/>
  <c r="E160" i="52071"/>
  <c r="I160" i="52071" s="1"/>
  <c r="E138" i="52089"/>
  <c r="E162" i="52089"/>
  <c r="E39" i="52091"/>
  <c r="E120" i="52093"/>
  <c r="I120" i="52093" s="1"/>
  <c r="L120" i="52093" s="1"/>
  <c r="E113" i="52064"/>
  <c r="E162" i="148"/>
  <c r="I162" i="148" s="1"/>
  <c r="E124" i="52067"/>
  <c r="I124" i="52067" s="1"/>
  <c r="E158" i="52071"/>
  <c r="I158" i="52071" s="1"/>
  <c r="E149" i="52089"/>
  <c r="E150" i="52092"/>
  <c r="E127" i="52093"/>
  <c r="I127" i="52093" s="1"/>
  <c r="E11" i="114"/>
  <c r="I11" i="114" s="1"/>
  <c r="E127" i="32"/>
  <c r="E113" i="91"/>
  <c r="E100" i="48"/>
  <c r="E177" i="48"/>
  <c r="E162" i="52072"/>
  <c r="I162" i="52072" s="1"/>
  <c r="E100" i="93"/>
  <c r="H100" i="93" s="1"/>
  <c r="E143" i="93"/>
  <c r="H143" i="93" s="1"/>
  <c r="E99" i="148"/>
  <c r="I99" i="148" s="1"/>
  <c r="E120" i="108"/>
  <c r="I120" i="108" s="1"/>
  <c r="E180" i="52071"/>
  <c r="I180" i="52071" s="1"/>
  <c r="E160" i="52089"/>
  <c r="E100" i="52092"/>
  <c r="E113" i="21"/>
  <c r="I113" i="21" s="1"/>
  <c r="E146" i="148"/>
  <c r="E98" i="52067"/>
  <c r="I98" i="52067" s="1"/>
  <c r="E142" i="52091"/>
  <c r="I142" i="52091" s="1"/>
  <c r="E142" i="52093"/>
  <c r="E11" i="52091"/>
  <c r="I11" i="52091" s="1"/>
  <c r="E113" i="52092"/>
  <c r="I113" i="52092" s="1"/>
  <c r="E148" i="52093"/>
  <c r="I148" i="52093" s="1"/>
  <c r="E39" i="48"/>
  <c r="E140" i="93"/>
  <c r="H140" i="93" s="1"/>
  <c r="E143" i="32"/>
  <c r="I143" i="32" s="1"/>
  <c r="E99" i="48"/>
  <c r="E147" i="52091"/>
  <c r="E122" i="52092"/>
  <c r="I122" i="52092" s="1"/>
  <c r="E99" i="32"/>
  <c r="I99" i="32" s="1"/>
  <c r="E39" i="91"/>
  <c r="E100" i="52066"/>
  <c r="I100" i="52066" s="1"/>
  <c r="E68" i="93"/>
  <c r="H68" i="93" s="1"/>
  <c r="E148" i="93"/>
  <c r="H148" i="93" s="1"/>
  <c r="E99" i="91"/>
  <c r="E119" i="91"/>
  <c r="E138" i="91"/>
  <c r="E147" i="91"/>
  <c r="E158" i="91"/>
  <c r="E165" i="48"/>
  <c r="E156" i="21"/>
  <c r="E144" i="108"/>
  <c r="I144" i="108" s="1"/>
  <c r="E160" i="91"/>
  <c r="E150" i="52066"/>
  <c r="I150" i="52066" s="1"/>
  <c r="E186" i="93"/>
  <c r="H186" i="93" s="1"/>
  <c r="E138" i="52093"/>
  <c r="I138" i="52093" s="1"/>
  <c r="E97" i="48"/>
  <c r="E115" i="93"/>
  <c r="H115" i="93" s="1"/>
  <c r="E39" i="32"/>
  <c r="E90" i="93"/>
  <c r="H90" i="93" s="1"/>
  <c r="E141" i="93"/>
  <c r="H141" i="93" s="1"/>
  <c r="E99" i="21"/>
  <c r="E147" i="21"/>
  <c r="E165" i="52064"/>
  <c r="E147" i="52064"/>
  <c r="E160" i="52064"/>
  <c r="E180" i="52064"/>
  <c r="E179" i="108"/>
  <c r="I179" i="108" s="1"/>
  <c r="E118" i="148"/>
  <c r="E131" i="21"/>
  <c r="E68" i="52089"/>
  <c r="E35" i="52091"/>
  <c r="E25" i="52064"/>
  <c r="E84" i="148"/>
  <c r="I84" i="148" s="1"/>
  <c r="E72" i="52089"/>
  <c r="E91" i="52089"/>
  <c r="E83" i="52090"/>
  <c r="I83" i="52090" s="1"/>
  <c r="E109" i="52092"/>
  <c r="I109" i="52092" s="1"/>
  <c r="E105" i="52089"/>
  <c r="E27" i="52092"/>
  <c r="E26" i="52093"/>
  <c r="E66" i="91"/>
  <c r="E93" i="91"/>
  <c r="E42" i="52066"/>
  <c r="E96" i="91"/>
  <c r="E24" i="52066"/>
  <c r="E90" i="21"/>
  <c r="E36" i="52066"/>
  <c r="E53" i="93"/>
  <c r="H53" i="93" s="1"/>
  <c r="E67" i="52089"/>
  <c r="E29" i="32"/>
  <c r="E111" i="48"/>
  <c r="E27" i="91"/>
  <c r="E36" i="108"/>
  <c r="F36" i="52083" s="1"/>
  <c r="E111" i="108"/>
  <c r="E96" i="52089"/>
  <c r="E111" i="52092"/>
  <c r="E64" i="52064"/>
  <c r="E105" i="148"/>
  <c r="E88" i="108"/>
  <c r="E24" i="52091"/>
  <c r="E24" i="52093"/>
  <c r="E55" i="93"/>
  <c r="H55" i="93" s="1"/>
  <c r="E83" i="52072"/>
  <c r="I83" i="52072" s="1"/>
  <c r="E66" i="52066"/>
  <c r="I66" i="52066" s="1"/>
  <c r="E42" i="48"/>
  <c r="E9" i="52064"/>
  <c r="E9" i="48"/>
  <c r="E41" i="52079"/>
  <c r="E113" i="52079"/>
  <c r="I113" i="52079" s="1"/>
  <c r="E124" i="52079"/>
  <c r="I124" i="52079" s="1"/>
  <c r="E174" i="52079"/>
  <c r="I174" i="52079" s="1"/>
  <c r="E182" i="52079"/>
  <c r="I182" i="52079" s="1"/>
  <c r="E193" i="52079"/>
  <c r="I193" i="52079" s="1"/>
  <c r="E93" i="21"/>
  <c r="E106" i="52072"/>
  <c r="E27" i="52072"/>
  <c r="E67" i="48"/>
  <c r="E9" i="32"/>
  <c r="E17" i="52079"/>
  <c r="I17" i="52079" s="1"/>
  <c r="E42" i="52079"/>
  <c r="E78" i="52079"/>
  <c r="I78" i="52079" s="1"/>
  <c r="E86" i="52079"/>
  <c r="I86" i="52079" s="1"/>
  <c r="E95" i="52079"/>
  <c r="E164" i="52079"/>
  <c r="I164" i="52079" s="1"/>
  <c r="E175" i="52079"/>
  <c r="I175" i="52079" s="1"/>
  <c r="E183" i="52079"/>
  <c r="I183" i="52079" s="1"/>
  <c r="E194" i="52079"/>
  <c r="I194" i="52079" s="1"/>
  <c r="E97" i="114"/>
  <c r="I97" i="114" s="1"/>
  <c r="E161" i="52087"/>
  <c r="I161" i="52087" s="1"/>
  <c r="E80" i="52064"/>
  <c r="E135" i="148"/>
  <c r="I135" i="148" s="1"/>
  <c r="E77" i="52064"/>
  <c r="E95" i="108"/>
  <c r="I95" i="108" s="1"/>
  <c r="E67" i="148"/>
  <c r="I67" i="148" s="1"/>
  <c r="I249" i="148" s="1"/>
  <c r="E64" i="108"/>
  <c r="E88" i="52064"/>
  <c r="E82" i="148"/>
  <c r="E148" i="148"/>
  <c r="E100" i="52091"/>
  <c r="E127" i="52092"/>
  <c r="I127" i="52092" s="1"/>
  <c r="E156" i="52093"/>
  <c r="E145" i="21"/>
  <c r="I145" i="21" s="1"/>
  <c r="E132" i="148"/>
  <c r="E122" i="52091"/>
  <c r="E97" i="52092"/>
  <c r="I97" i="52092" s="1"/>
  <c r="E145" i="52092"/>
  <c r="E131" i="52091"/>
  <c r="E142" i="32"/>
  <c r="E179" i="32"/>
  <c r="E143" i="91"/>
  <c r="E158" i="48"/>
  <c r="E11" i="93"/>
  <c r="E104" i="93"/>
  <c r="H104" i="93" s="1"/>
  <c r="E141" i="108"/>
  <c r="E156" i="52071"/>
  <c r="E145" i="52064"/>
  <c r="E160" i="108"/>
  <c r="I160" i="108" s="1"/>
  <c r="E121" i="52089"/>
  <c r="E156" i="52089"/>
  <c r="E170" i="52093"/>
  <c r="E143" i="52091"/>
  <c r="I143" i="52091" s="1"/>
  <c r="E143" i="52093"/>
  <c r="I143" i="52093" s="1"/>
  <c r="E142" i="48"/>
  <c r="E120" i="52066"/>
  <c r="I120" i="52066" s="1"/>
  <c r="E147" i="52066"/>
  <c r="E156" i="52066"/>
  <c r="E134" i="52091"/>
  <c r="I134" i="52091" s="1"/>
  <c r="E149" i="52093"/>
  <c r="E100" i="91"/>
  <c r="E165" i="91"/>
  <c r="E121" i="91"/>
  <c r="E162" i="91"/>
  <c r="E112" i="52066"/>
  <c r="E39" i="21"/>
  <c r="E112" i="21"/>
  <c r="I112" i="21" s="1"/>
  <c r="E118" i="48"/>
  <c r="E163" i="52093"/>
  <c r="I163" i="52093" s="1"/>
  <c r="E162" i="32"/>
  <c r="E160" i="52066"/>
  <c r="E133" i="52072"/>
  <c r="I133" i="52072" s="1"/>
  <c r="E156" i="52072"/>
  <c r="E141" i="48"/>
  <c r="E120" i="21"/>
  <c r="I120" i="21" s="1"/>
  <c r="E170" i="52095"/>
  <c r="E145" i="148"/>
  <c r="I145" i="148" s="1"/>
  <c r="E11" i="52067"/>
  <c r="I11" i="52067" s="1"/>
  <c r="E149" i="108"/>
  <c r="E122" i="108"/>
  <c r="I122" i="108" s="1"/>
  <c r="E132" i="108"/>
  <c r="E156" i="148"/>
  <c r="E99" i="108"/>
  <c r="I99" i="108" s="1"/>
  <c r="E97" i="52064"/>
  <c r="E148" i="21"/>
  <c r="I148" i="21" s="1"/>
  <c r="E11" i="52064"/>
  <c r="E80" i="148"/>
  <c r="I80" i="148" s="1"/>
  <c r="E79" i="52091"/>
  <c r="E23" i="52092"/>
  <c r="E72" i="52093"/>
  <c r="I72" i="52093" s="1"/>
  <c r="E108" i="21"/>
  <c r="E96" i="148"/>
  <c r="I96" i="148" s="1"/>
  <c r="E66" i="52089"/>
  <c r="E77" i="52091"/>
  <c r="E82" i="52093"/>
  <c r="E95" i="52089"/>
  <c r="E41" i="52092"/>
  <c r="E135" i="52095"/>
  <c r="E109" i="48"/>
  <c r="E73" i="91"/>
  <c r="E111" i="91"/>
  <c r="E161" i="21"/>
  <c r="I161" i="21" s="1"/>
  <c r="E66" i="108"/>
  <c r="I66" i="108" s="1"/>
  <c r="E26" i="52067"/>
  <c r="E79" i="148"/>
  <c r="I79" i="148" s="1"/>
  <c r="E84" i="108"/>
  <c r="I84" i="108" s="1"/>
  <c r="E114" i="52064"/>
  <c r="E95" i="148"/>
  <c r="E80" i="105"/>
  <c r="E118" i="21"/>
  <c r="E158" i="108"/>
  <c r="I158" i="108" s="1"/>
  <c r="E179" i="52092"/>
  <c r="I179" i="52092" s="1"/>
  <c r="L179" i="52092" s="1"/>
  <c r="E150" i="52064"/>
  <c r="E148" i="108"/>
  <c r="E131" i="52089"/>
  <c r="E112" i="52093"/>
  <c r="E163" i="52091"/>
  <c r="E165" i="32"/>
  <c r="E145" i="48"/>
  <c r="E66" i="93"/>
  <c r="H66" i="93" s="1"/>
  <c r="E179" i="93"/>
  <c r="H179" i="93" s="1"/>
  <c r="E124" i="91"/>
  <c r="E180" i="48"/>
  <c r="E131" i="148"/>
  <c r="E121" i="108"/>
  <c r="I121" i="108" s="1"/>
  <c r="E145" i="52091"/>
  <c r="E124" i="52071"/>
  <c r="I124" i="52071" s="1"/>
  <c r="E150" i="21"/>
  <c r="E11" i="105"/>
  <c r="I11" i="105" s="1"/>
  <c r="E11" i="12"/>
  <c r="E99" i="52093"/>
  <c r="I99" i="52093" s="1"/>
  <c r="E132" i="52092"/>
  <c r="I132" i="52092" s="1"/>
  <c r="E160" i="52093"/>
  <c r="I160" i="52093" s="1"/>
  <c r="E132" i="52066"/>
  <c r="I132" i="52066" s="1"/>
  <c r="E138" i="52072"/>
  <c r="I138" i="52072" s="1"/>
  <c r="E79" i="93"/>
  <c r="H79" i="93" s="1"/>
  <c r="E177" i="32"/>
  <c r="E127" i="52072"/>
  <c r="I127" i="52072" s="1"/>
  <c r="E132" i="52089"/>
  <c r="E152" i="52089"/>
  <c r="E141" i="52091"/>
  <c r="E99" i="52092"/>
  <c r="I99" i="52092" s="1"/>
  <c r="E158" i="52093"/>
  <c r="E144" i="32"/>
  <c r="E132" i="48"/>
  <c r="E156" i="48"/>
  <c r="E149" i="52066"/>
  <c r="E110" i="93"/>
  <c r="H110" i="93" s="1"/>
  <c r="E131" i="52090"/>
  <c r="E124" i="101"/>
  <c r="I124" i="101" s="1"/>
  <c r="E171" i="21"/>
  <c r="E162" i="48"/>
  <c r="E140" i="52093"/>
  <c r="I140" i="52093" s="1"/>
  <c r="E113" i="52066"/>
  <c r="I113" i="52066" s="1"/>
  <c r="E179" i="52066"/>
  <c r="I179" i="52066" s="1"/>
  <c r="E156" i="32"/>
  <c r="E113" i="52072"/>
  <c r="I113" i="52072" s="1"/>
  <c r="L113" i="52072" s="1"/>
  <c r="E124" i="52072"/>
  <c r="I124" i="52072" s="1"/>
  <c r="E149" i="101"/>
  <c r="I149" i="101" s="1"/>
  <c r="E118" i="108"/>
  <c r="E147" i="108"/>
  <c r="E134" i="148"/>
  <c r="E138" i="148"/>
  <c r="I138" i="148" s="1"/>
  <c r="E131" i="52064"/>
  <c r="E142" i="148"/>
  <c r="E97" i="148"/>
  <c r="I97" i="148" s="1"/>
  <c r="E137" i="52071"/>
  <c r="I137" i="52071" s="1"/>
  <c r="E28" i="52064"/>
  <c r="E64" i="52092"/>
  <c r="E93" i="52071"/>
  <c r="I93" i="52071" s="1"/>
  <c r="E161" i="52064"/>
  <c r="E28" i="52089"/>
  <c r="E106" i="52091"/>
  <c r="E68" i="52093"/>
  <c r="E135" i="12"/>
  <c r="I135" i="12" s="1"/>
  <c r="E108" i="52091"/>
  <c r="E88" i="52092"/>
  <c r="E161" i="52094"/>
  <c r="E86" i="48"/>
  <c r="E96" i="52066"/>
  <c r="I96" i="52066" s="1"/>
  <c r="E74" i="52072"/>
  <c r="I74" i="52072" s="1"/>
  <c r="E81" i="52072"/>
  <c r="I81" i="52072" s="1"/>
  <c r="E44" i="93"/>
  <c r="H44" i="93" s="1"/>
  <c r="E62" i="93"/>
  <c r="H62" i="93" s="1"/>
  <c r="E146" i="93"/>
  <c r="H146" i="93" s="1"/>
  <c r="E26" i="91"/>
  <c r="E28" i="52066"/>
  <c r="E109" i="52066"/>
  <c r="E79" i="21"/>
  <c r="E67" i="21"/>
  <c r="I67" i="21" s="1"/>
  <c r="I249" i="21" s="1"/>
  <c r="E26" i="52072"/>
  <c r="E78" i="52091"/>
  <c r="E67" i="52093"/>
  <c r="E80" i="32"/>
  <c r="E76" i="48"/>
  <c r="E95" i="32"/>
  <c r="E76" i="93"/>
  <c r="H76" i="93" s="1"/>
  <c r="E86" i="148"/>
  <c r="I86" i="148" s="1"/>
  <c r="E23" i="52089"/>
  <c r="E66" i="52093"/>
  <c r="E23" i="52064"/>
  <c r="E77" i="148"/>
  <c r="E76" i="108"/>
  <c r="E26" i="52089"/>
  <c r="E105" i="52092"/>
  <c r="E79" i="52089"/>
  <c r="E29" i="52091"/>
  <c r="E25" i="52092"/>
  <c r="E35" i="52093"/>
  <c r="E24" i="32"/>
  <c r="E82" i="48"/>
  <c r="I82" i="48" s="1"/>
  <c r="E50" i="93"/>
  <c r="H50" i="93" s="1"/>
  <c r="E75" i="93"/>
  <c r="H75" i="93" s="1"/>
  <c r="E24" i="91"/>
  <c r="E26" i="52066"/>
  <c r="E109" i="52072"/>
  <c r="I109" i="52072" s="1"/>
  <c r="L109" i="52072" s="1"/>
  <c r="E36" i="93"/>
  <c r="E83" i="21"/>
  <c r="E111" i="52089"/>
  <c r="E74" i="52092"/>
  <c r="E84" i="32"/>
  <c r="E90" i="91"/>
  <c r="E24" i="52072"/>
  <c r="E101" i="52064"/>
  <c r="E40" i="52087"/>
  <c r="E66" i="52092"/>
  <c r="E86" i="91"/>
  <c r="E88" i="52072"/>
  <c r="E106" i="91"/>
  <c r="E73" i="52066"/>
  <c r="I73" i="52066" s="1"/>
  <c r="E82" i="52091"/>
  <c r="I82" i="52091" s="1"/>
  <c r="L82" i="52091" s="1"/>
  <c r="E111" i="52093"/>
  <c r="E79" i="52072"/>
  <c r="I79" i="52072" s="1"/>
  <c r="E56" i="93"/>
  <c r="H56" i="93" s="1"/>
  <c r="E195" i="52064"/>
  <c r="E11" i="20"/>
  <c r="E196" i="52089"/>
  <c r="E198" i="52089"/>
  <c r="E8" i="52090"/>
  <c r="I8" i="52090" s="1"/>
  <c r="L8" i="52090" s="1"/>
  <c r="E171" i="52092"/>
  <c r="I171" i="52092" s="1"/>
  <c r="E74" i="20"/>
  <c r="E191" i="12"/>
  <c r="E81" i="148"/>
  <c r="E83" i="52087"/>
  <c r="I83" i="52087" s="1"/>
  <c r="E16" i="52088"/>
  <c r="I16" i="52088" s="1"/>
  <c r="E133" i="101"/>
  <c r="I133" i="101" s="1"/>
  <c r="E146" i="20"/>
  <c r="E190" i="52092"/>
  <c r="I190" i="52092" s="1"/>
  <c r="E192" i="52092"/>
  <c r="I192" i="52092" s="1"/>
  <c r="E17" i="52093"/>
  <c r="I17" i="52093" s="1"/>
  <c r="E98" i="52093"/>
  <c r="I98" i="52093" s="1"/>
  <c r="E107" i="52093"/>
  <c r="I107" i="52093" s="1"/>
  <c r="E181" i="52093"/>
  <c r="I181" i="52093" s="1"/>
  <c r="E164" i="20"/>
  <c r="E101" i="52094"/>
  <c r="E194" i="52095"/>
  <c r="E146" i="52094"/>
  <c r="E11" i="91"/>
  <c r="E13" i="52064"/>
  <c r="E93" i="52088"/>
  <c r="I93" i="52088" s="1"/>
  <c r="E16" i="52071"/>
  <c r="I16" i="52071" s="1"/>
  <c r="E23" i="52071"/>
  <c r="E178" i="12"/>
  <c r="E174" i="52092"/>
  <c r="I174" i="52092" s="1"/>
  <c r="E178" i="52092"/>
  <c r="I178" i="52092" s="1"/>
  <c r="E98" i="52071"/>
  <c r="I98" i="52071" s="1"/>
  <c r="E139" i="52071"/>
  <c r="I139" i="52071" s="1"/>
  <c r="E166" i="52071"/>
  <c r="I166" i="52071" s="1"/>
  <c r="E192" i="20"/>
  <c r="E193" i="21"/>
  <c r="E40" i="148"/>
  <c r="E87" i="52087"/>
  <c r="I87" i="52087" s="1"/>
  <c r="E8" i="52088"/>
  <c r="E166" i="12"/>
  <c r="E92" i="52092"/>
  <c r="I92" i="52092" s="1"/>
  <c r="E192" i="21"/>
  <c r="E15" i="108"/>
  <c r="I15" i="108" s="1"/>
  <c r="E164" i="52087"/>
  <c r="I164" i="52087" s="1"/>
  <c r="E196" i="52088"/>
  <c r="I196" i="52088" s="1"/>
  <c r="E8" i="101"/>
  <c r="E136" i="114"/>
  <c r="I136" i="114" s="1"/>
  <c r="L136" i="114" s="1"/>
  <c r="E157" i="114"/>
  <c r="I157" i="114" s="1"/>
  <c r="L157" i="114" s="1"/>
  <c r="E176" i="12"/>
  <c r="E172" i="52090"/>
  <c r="I172" i="52090" s="1"/>
  <c r="E191" i="52090"/>
  <c r="I191" i="52090" s="1"/>
  <c r="E175" i="52091"/>
  <c r="I175" i="52091" s="1"/>
  <c r="E17" i="52092"/>
  <c r="I17" i="52092" s="1"/>
  <c r="E111" i="52094"/>
  <c r="E187" i="12"/>
  <c r="E12" i="52064"/>
  <c r="E13" i="105"/>
  <c r="E19" i="108"/>
  <c r="I19" i="108" s="1"/>
  <c r="E166" i="52088"/>
  <c r="I166" i="52088" s="1"/>
  <c r="E12" i="101"/>
  <c r="I12" i="101" s="1"/>
  <c r="E23" i="101"/>
  <c r="E49" i="77"/>
  <c r="E19" i="52091"/>
  <c r="I19" i="52091" s="1"/>
  <c r="E195" i="52091"/>
  <c r="I195" i="52091" s="1"/>
  <c r="E199" i="52091"/>
  <c r="I199" i="52091" s="1"/>
  <c r="E193" i="52071"/>
  <c r="I193" i="52071" s="1"/>
  <c r="E197" i="52071"/>
  <c r="I197" i="52071" s="1"/>
  <c r="E19" i="114"/>
  <c r="I19" i="114" s="1"/>
  <c r="E187" i="20"/>
  <c r="E92" i="77"/>
  <c r="I92" i="77" s="1"/>
  <c r="E157" i="77"/>
  <c r="E107" i="32"/>
  <c r="E166" i="48"/>
  <c r="E41" i="93"/>
  <c r="H41" i="93" s="1"/>
  <c r="E138" i="93"/>
  <c r="H138" i="93" s="1"/>
  <c r="E178" i="52094"/>
  <c r="E140" i="32"/>
  <c r="E72" i="52064"/>
  <c r="E78" i="108"/>
  <c r="E188" i="20"/>
  <c r="E140" i="77"/>
  <c r="I140" i="77" s="1"/>
  <c r="E189" i="77"/>
  <c r="I189" i="77" s="1"/>
  <c r="E80" i="52089"/>
  <c r="E174" i="52091"/>
  <c r="I174" i="52091" s="1"/>
  <c r="E178" i="52091"/>
  <c r="I178" i="52091" s="1"/>
  <c r="E123" i="52071"/>
  <c r="I123" i="52071" s="1"/>
  <c r="E187" i="114"/>
  <c r="I187" i="114" s="1"/>
  <c r="E13" i="52071"/>
  <c r="I13" i="52071" s="1"/>
  <c r="E135" i="21"/>
  <c r="E178" i="148"/>
  <c r="E197" i="101"/>
  <c r="I197" i="101" s="1"/>
  <c r="E159" i="52067"/>
  <c r="I159" i="52067" s="1"/>
  <c r="E159" i="114"/>
  <c r="I159" i="114" s="1"/>
  <c r="E139" i="115"/>
  <c r="E166" i="77"/>
  <c r="I166" i="77" s="1"/>
  <c r="E195" i="77"/>
  <c r="I195" i="77" s="1"/>
  <c r="E166" i="52089"/>
  <c r="E125" i="52090"/>
  <c r="I125" i="52090" s="1"/>
  <c r="E13" i="52093"/>
  <c r="I13" i="52093" s="1"/>
  <c r="E80" i="52093"/>
  <c r="I80" i="52093" s="1"/>
  <c r="E126" i="52093"/>
  <c r="I126" i="52093" s="1"/>
  <c r="E188" i="52093"/>
  <c r="I188" i="52093" s="1"/>
  <c r="E126" i="20"/>
  <c r="E10" i="52093"/>
  <c r="I10" i="52093" s="1"/>
  <c r="E16" i="52093"/>
  <c r="I16" i="52093" s="1"/>
  <c r="E37" i="52093"/>
  <c r="E192" i="52095"/>
  <c r="E181" i="91"/>
  <c r="E192" i="91"/>
  <c r="E13" i="48"/>
  <c r="E125" i="52094"/>
  <c r="E164" i="91"/>
  <c r="E177" i="91"/>
  <c r="E19" i="21"/>
  <c r="E133" i="12"/>
  <c r="E159" i="77"/>
  <c r="I159" i="77" s="1"/>
  <c r="L159" i="77" s="1"/>
  <c r="E164" i="52089"/>
  <c r="E10" i="52090"/>
  <c r="I10" i="52090" s="1"/>
  <c r="E14" i="52090"/>
  <c r="I14" i="52090" s="1"/>
  <c r="E40" i="52090"/>
  <c r="E195" i="52095"/>
  <c r="E170" i="48"/>
  <c r="E162" i="52066"/>
  <c r="I162" i="52066" s="1"/>
  <c r="E72" i="52072"/>
  <c r="E126" i="52094"/>
  <c r="E159" i="32"/>
  <c r="E187" i="91"/>
  <c r="E40" i="52072"/>
  <c r="E195" i="20"/>
  <c r="E87" i="52091"/>
  <c r="I87" i="52091" s="1"/>
  <c r="E195" i="52094"/>
  <c r="E8" i="91"/>
  <c r="E176" i="48"/>
  <c r="I176" i="48" s="1"/>
  <c r="E23" i="52095"/>
  <c r="E196" i="91"/>
  <c r="E8" i="48"/>
  <c r="E166" i="52066"/>
  <c r="I166" i="52066" s="1"/>
  <c r="E183" i="52066"/>
  <c r="I183" i="52066" s="1"/>
  <c r="E18" i="52072"/>
  <c r="I18" i="52072" s="1"/>
  <c r="E75" i="21"/>
  <c r="E98" i="105"/>
  <c r="E13" i="108"/>
  <c r="I13" i="108" s="1"/>
  <c r="E74" i="148"/>
  <c r="I74" i="148" s="1"/>
  <c r="E192" i="52087"/>
  <c r="I192" i="52087" s="1"/>
  <c r="E177" i="52087"/>
  <c r="I177" i="52087" s="1"/>
  <c r="E176" i="105"/>
  <c r="E190" i="52067"/>
  <c r="I190" i="52067" s="1"/>
  <c r="E93" i="101"/>
  <c r="I93" i="101" s="1"/>
  <c r="E111" i="52087"/>
  <c r="I111" i="52087" s="1"/>
  <c r="E175" i="105"/>
  <c r="E193" i="52087"/>
  <c r="I193" i="52087" s="1"/>
  <c r="E197" i="21"/>
  <c r="E75" i="108"/>
  <c r="I75" i="108" s="1"/>
  <c r="E157" i="101"/>
  <c r="I157" i="101" s="1"/>
  <c r="E136" i="52090"/>
  <c r="I136" i="52090" s="1"/>
  <c r="E195" i="52090"/>
  <c r="I195" i="52090" s="1"/>
  <c r="E159" i="52091"/>
  <c r="I159" i="52091" s="1"/>
  <c r="E198" i="52091"/>
  <c r="I198" i="52091" s="1"/>
  <c r="E72" i="52071"/>
  <c r="I72" i="52071" s="1"/>
  <c r="E174" i="52071"/>
  <c r="I174" i="52071" s="1"/>
  <c r="E178" i="52071"/>
  <c r="I178" i="52071" s="1"/>
  <c r="E190" i="52071"/>
  <c r="I190" i="52071" s="1"/>
  <c r="E194" i="52071"/>
  <c r="I194" i="52071" s="1"/>
  <c r="E189" i="114"/>
  <c r="I189" i="114" s="1"/>
  <c r="E16" i="115"/>
  <c r="E190" i="12"/>
  <c r="E166" i="52091"/>
  <c r="I166" i="52091" s="1"/>
  <c r="E189" i="52091"/>
  <c r="I189" i="52091" s="1"/>
  <c r="E125" i="52095"/>
  <c r="E23" i="48"/>
  <c r="E176" i="52094"/>
  <c r="E40" i="91"/>
  <c r="E144" i="115"/>
  <c r="E144" i="52090"/>
  <c r="I144" i="52090" s="1"/>
  <c r="E16" i="52092"/>
  <c r="I16" i="52092" s="1"/>
  <c r="E166" i="52095"/>
  <c r="E74" i="91"/>
  <c r="E83" i="91"/>
  <c r="E37" i="48"/>
  <c r="E40" i="52094"/>
  <c r="E176" i="32"/>
  <c r="E12" i="93"/>
  <c r="H12" i="93" s="1"/>
  <c r="E59" i="93"/>
  <c r="H59" i="93" s="1"/>
  <c r="E92" i="21"/>
  <c r="E17" i="52064"/>
  <c r="E108" i="52072"/>
  <c r="I108" i="52072" s="1"/>
  <c r="E98" i="93"/>
  <c r="H98" i="93" s="1"/>
  <c r="E137" i="12"/>
  <c r="E188" i="32"/>
  <c r="E107" i="48"/>
  <c r="E180" i="52072"/>
  <c r="I180" i="52072" s="1"/>
  <c r="E191" i="52072"/>
  <c r="I191" i="52072" s="1"/>
  <c r="E137" i="93"/>
  <c r="H137" i="93" s="1"/>
  <c r="E161" i="93"/>
  <c r="H161" i="93" s="1"/>
  <c r="E182" i="93"/>
  <c r="H182" i="93" s="1"/>
  <c r="E94" i="21"/>
  <c r="E196" i="52087"/>
  <c r="I196" i="52087" s="1"/>
  <c r="E146" i="52087"/>
  <c r="I146" i="52087" s="1"/>
  <c r="E49" i="52087"/>
  <c r="I49" i="52087" s="1"/>
  <c r="E191" i="148"/>
  <c r="E18" i="148"/>
  <c r="E190" i="52088"/>
  <c r="I190" i="52088" s="1"/>
  <c r="E78" i="52088"/>
  <c r="I78" i="52088" s="1"/>
  <c r="E12" i="108"/>
  <c r="I12" i="108" s="1"/>
  <c r="E123" i="105"/>
  <c r="E37" i="52067"/>
  <c r="E188" i="52088"/>
  <c r="I188" i="52088" s="1"/>
  <c r="E193" i="148"/>
  <c r="E83" i="52064"/>
  <c r="E146" i="52064"/>
  <c r="E39" i="93"/>
  <c r="H39" i="93" s="1"/>
  <c r="E96" i="21"/>
  <c r="E135" i="52089"/>
  <c r="E96" i="52093"/>
  <c r="E135" i="32"/>
  <c r="E68" i="48"/>
  <c r="E66" i="52072"/>
  <c r="E114" i="32"/>
  <c r="E28" i="108"/>
  <c r="E253" i="108" s="1"/>
  <c r="E25" i="12"/>
  <c r="E109" i="52091"/>
  <c r="E95" i="52092"/>
  <c r="E42" i="148"/>
  <c r="E83" i="108"/>
  <c r="E42" i="52089"/>
  <c r="E74" i="52093"/>
  <c r="E90" i="52089"/>
  <c r="E84" i="52092"/>
  <c r="I84" i="52092" s="1"/>
  <c r="E77" i="32"/>
  <c r="E74" i="52066"/>
  <c r="E25" i="52072"/>
  <c r="E38" i="93"/>
  <c r="H38" i="93" s="1"/>
  <c r="E28" i="91"/>
  <c r="E29" i="48"/>
  <c r="E95" i="52066"/>
  <c r="E49" i="93"/>
  <c r="H49" i="93" s="1"/>
  <c r="E105" i="21"/>
  <c r="E95" i="21"/>
  <c r="E83" i="52089"/>
  <c r="E88" i="52091"/>
  <c r="E27" i="52093"/>
  <c r="E27" i="32"/>
  <c r="E35" i="48"/>
  <c r="E114" i="52072"/>
  <c r="E40" i="93"/>
  <c r="H40" i="93" s="1"/>
  <c r="E29" i="91"/>
  <c r="E190" i="105"/>
  <c r="E183" i="52067"/>
  <c r="I183" i="52067" s="1"/>
  <c r="E87" i="52071"/>
  <c r="I87" i="52071" s="1"/>
  <c r="E80" i="115"/>
  <c r="E10" i="12"/>
  <c r="E175" i="52092"/>
  <c r="I175" i="52092" s="1"/>
  <c r="E164" i="52071"/>
  <c r="I164" i="52071" s="1"/>
  <c r="E123" i="20"/>
  <c r="E12" i="52071"/>
  <c r="I12" i="52071" s="1"/>
  <c r="E40" i="52071"/>
  <c r="E172" i="148"/>
  <c r="E137" i="101"/>
  <c r="I137" i="101" s="1"/>
  <c r="E146" i="101"/>
  <c r="I146" i="101" s="1"/>
  <c r="E194" i="101"/>
  <c r="I194" i="101" s="1"/>
  <c r="E198" i="101"/>
  <c r="I198" i="101" s="1"/>
  <c r="E94" i="20"/>
  <c r="E93" i="52092"/>
  <c r="E162" i="52093"/>
  <c r="I162" i="52093" s="1"/>
  <c r="E197" i="20"/>
  <c r="E181" i="52094"/>
  <c r="E14" i="32"/>
  <c r="E161" i="52066"/>
  <c r="I161" i="52066" s="1"/>
  <c r="E181" i="52066"/>
  <c r="I181" i="52066" s="1"/>
  <c r="E157" i="32"/>
  <c r="E101" i="91"/>
  <c r="E174" i="21"/>
  <c r="E196" i="105"/>
  <c r="I196" i="105" s="1"/>
  <c r="E126" i="114"/>
  <c r="I126" i="114" s="1"/>
  <c r="E139" i="114"/>
  <c r="I139" i="114" s="1"/>
  <c r="L139" i="114" s="1"/>
  <c r="E163" i="114"/>
  <c r="I163" i="114" s="1"/>
  <c r="E176" i="115"/>
  <c r="E196" i="115"/>
  <c r="E8" i="20"/>
  <c r="E175" i="52089"/>
  <c r="E197" i="52089"/>
  <c r="E111" i="52090"/>
  <c r="I111" i="52090" s="1"/>
  <c r="E49" i="52094"/>
  <c r="E189" i="115"/>
  <c r="E8" i="12"/>
  <c r="E196" i="21"/>
  <c r="E98" i="148"/>
  <c r="E190" i="108"/>
  <c r="I190" i="108" s="1"/>
  <c r="E195" i="108"/>
  <c r="I195" i="108" s="1"/>
  <c r="E199" i="108"/>
  <c r="I199" i="108" s="1"/>
  <c r="E14" i="52087"/>
  <c r="I14" i="52087" s="1"/>
  <c r="E78" i="52087"/>
  <c r="I78" i="52087" s="1"/>
  <c r="E101" i="52088"/>
  <c r="I101" i="52088" s="1"/>
  <c r="E18" i="20"/>
  <c r="E172" i="21"/>
  <c r="E19" i="105"/>
  <c r="E14" i="52088"/>
  <c r="I14" i="52088" s="1"/>
  <c r="E87" i="52088"/>
  <c r="I87" i="52088" s="1"/>
  <c r="E94" i="52088"/>
  <c r="I94" i="52088" s="1"/>
  <c r="E113" i="52088"/>
  <c r="I113" i="52088" s="1"/>
  <c r="E183" i="101"/>
  <c r="I183" i="101" s="1"/>
  <c r="E81" i="52067"/>
  <c r="I81" i="52067" s="1"/>
  <c r="E111" i="52067"/>
  <c r="I111" i="52067" s="1"/>
  <c r="E181" i="114"/>
  <c r="I181" i="114" s="1"/>
  <c r="E40" i="115"/>
  <c r="E87" i="77"/>
  <c r="I87" i="77" s="1"/>
  <c r="E139" i="77"/>
  <c r="I139" i="77" s="1"/>
  <c r="E188" i="77"/>
  <c r="I188" i="77" s="1"/>
  <c r="E18" i="52089"/>
  <c r="E108" i="52093"/>
  <c r="I108" i="52093" s="1"/>
  <c r="L108" i="52093" s="1"/>
  <c r="E109" i="52093"/>
  <c r="I109" i="52093" s="1"/>
  <c r="E105" i="91"/>
  <c r="E82" i="91"/>
  <c r="E96" i="48"/>
  <c r="E106" i="21"/>
  <c r="I106" i="21" s="1"/>
  <c r="E36" i="52089"/>
  <c r="E76" i="52093"/>
  <c r="I76" i="52093" s="1"/>
  <c r="E161" i="48"/>
  <c r="E28" i="93"/>
  <c r="H28" i="93" s="1"/>
  <c r="E25" i="91"/>
  <c r="E126" i="115"/>
  <c r="E170" i="115"/>
  <c r="E10" i="77"/>
  <c r="I10" i="77" s="1"/>
  <c r="E25" i="77"/>
  <c r="E94" i="52091"/>
  <c r="E14" i="114"/>
  <c r="I14" i="114" s="1"/>
  <c r="E166" i="20"/>
  <c r="E92" i="52064"/>
  <c r="E183" i="148"/>
  <c r="E19" i="52067"/>
  <c r="I19" i="52067" s="1"/>
  <c r="E171" i="52067"/>
  <c r="I171" i="52067" s="1"/>
  <c r="E175" i="52067"/>
  <c r="I175" i="52067" s="1"/>
  <c r="E14" i="52071"/>
  <c r="I14" i="52071" s="1"/>
  <c r="E183" i="114"/>
  <c r="I183" i="114" s="1"/>
  <c r="E15" i="115"/>
  <c r="E37" i="20"/>
  <c r="E159" i="52092"/>
  <c r="I159" i="52092" s="1"/>
  <c r="L159" i="52092" s="1"/>
  <c r="E75" i="115"/>
  <c r="E187" i="115"/>
  <c r="E101" i="52089"/>
  <c r="E191" i="52089"/>
  <c r="E23" i="52090"/>
  <c r="E144" i="52095"/>
  <c r="E87" i="93"/>
  <c r="H87" i="93" s="1"/>
  <c r="E94" i="52094"/>
  <c r="E164" i="32"/>
  <c r="E178" i="21"/>
  <c r="E188" i="105"/>
  <c r="E101" i="101"/>
  <c r="I101" i="101" s="1"/>
  <c r="E163" i="101"/>
  <c r="I163" i="101" s="1"/>
  <c r="E174" i="101"/>
  <c r="I174" i="101" s="1"/>
  <c r="E176" i="101"/>
  <c r="I176" i="101" s="1"/>
  <c r="E193" i="101"/>
  <c r="I193" i="101" s="1"/>
  <c r="E8" i="114"/>
  <c r="E16" i="52090"/>
  <c r="I16" i="52090" s="1"/>
  <c r="E8" i="52094"/>
  <c r="E65" i="12"/>
  <c r="E198" i="21"/>
  <c r="E126" i="148"/>
  <c r="E136" i="52088"/>
  <c r="I136" i="52088" s="1"/>
  <c r="E139" i="52088"/>
  <c r="I139" i="52088" s="1"/>
  <c r="E146" i="52088"/>
  <c r="I146" i="52088" s="1"/>
  <c r="E178" i="20"/>
  <c r="E176" i="21"/>
  <c r="E172" i="105"/>
  <c r="E126" i="52067"/>
  <c r="I126" i="52067" s="1"/>
  <c r="E183" i="52071"/>
  <c r="I183" i="52071" s="1"/>
  <c r="E107" i="114"/>
  <c r="I107" i="114" s="1"/>
  <c r="E14" i="12"/>
  <c r="E98" i="20"/>
  <c r="E81" i="52071"/>
  <c r="I81" i="52071" s="1"/>
  <c r="E107" i="21"/>
  <c r="E172" i="52064"/>
  <c r="E193" i="105"/>
  <c r="E189" i="108"/>
  <c r="I189" i="108" s="1"/>
  <c r="E196" i="108"/>
  <c r="I196" i="108" s="1"/>
  <c r="E8" i="52087"/>
  <c r="E83" i="12"/>
  <c r="E187" i="77"/>
  <c r="E172" i="52091"/>
  <c r="I172" i="52091" s="1"/>
  <c r="E191" i="52091"/>
  <c r="I191" i="52091" s="1"/>
  <c r="E13" i="52092"/>
  <c r="I13" i="52092" s="1"/>
  <c r="E16" i="52094"/>
  <c r="E188" i="114"/>
  <c r="I188" i="114" s="1"/>
  <c r="E198" i="114"/>
  <c r="I198" i="114" s="1"/>
  <c r="E125" i="12"/>
  <c r="E107" i="52091"/>
  <c r="I107" i="52091" s="1"/>
  <c r="E78" i="52095"/>
  <c r="E123" i="48"/>
  <c r="E146" i="52095"/>
  <c r="E196" i="32"/>
  <c r="E15" i="93"/>
  <c r="H15" i="93" s="1"/>
  <c r="E30" i="93"/>
  <c r="H30" i="93" s="1"/>
  <c r="E191" i="93"/>
  <c r="H191" i="93" s="1"/>
  <c r="E191" i="52064"/>
  <c r="I191" i="52064" s="1"/>
  <c r="E136" i="108"/>
  <c r="I136" i="108" s="1"/>
  <c r="E139" i="108"/>
  <c r="I139" i="108" s="1"/>
  <c r="E181" i="108"/>
  <c r="I181" i="108" s="1"/>
  <c r="E10" i="52087"/>
  <c r="I10" i="52087" s="1"/>
  <c r="E124" i="52087"/>
  <c r="I124" i="52087" s="1"/>
  <c r="E195" i="52088"/>
  <c r="I195" i="52088" s="1"/>
  <c r="E199" i="52088"/>
  <c r="I199" i="52088" s="1"/>
  <c r="E29" i="101"/>
  <c r="E144" i="12"/>
  <c r="E124" i="52092"/>
  <c r="I124" i="52092" s="1"/>
  <c r="E133" i="52092"/>
  <c r="I133" i="52092" s="1"/>
  <c r="L133" i="52092" s="1"/>
  <c r="E183" i="20"/>
  <c r="E183" i="21"/>
  <c r="E166" i="105"/>
  <c r="E190" i="52091"/>
  <c r="I190" i="52091" s="1"/>
  <c r="E12" i="52092"/>
  <c r="I12" i="52092" s="1"/>
  <c r="E37" i="52071"/>
  <c r="E188" i="52089"/>
  <c r="E192" i="52089"/>
  <c r="E81" i="52090"/>
  <c r="I81" i="52090" s="1"/>
  <c r="E94" i="52090"/>
  <c r="I94" i="52090" s="1"/>
  <c r="E195" i="52092"/>
  <c r="I195" i="52092" s="1"/>
  <c r="E197" i="52092"/>
  <c r="I197" i="52092" s="1"/>
  <c r="L197" i="52092" s="1"/>
  <c r="E199" i="52092"/>
  <c r="I199" i="52092" s="1"/>
  <c r="E139" i="52095"/>
  <c r="E187" i="32"/>
  <c r="E18" i="52066"/>
  <c r="I18" i="52066" s="1"/>
  <c r="E172" i="52094"/>
  <c r="E80" i="52066"/>
  <c r="I80" i="52066" s="1"/>
  <c r="E80" i="21"/>
  <c r="E191" i="20"/>
  <c r="E14" i="77"/>
  <c r="I14" i="77" s="1"/>
  <c r="E98" i="77"/>
  <c r="I98" i="77" s="1"/>
  <c r="E124" i="52091"/>
  <c r="I124" i="52091" s="1"/>
  <c r="E126" i="52091"/>
  <c r="I126" i="52091" s="1"/>
  <c r="E189" i="52094"/>
  <c r="E124" i="32"/>
  <c r="E191" i="48"/>
  <c r="E75" i="32"/>
  <c r="E188" i="48"/>
  <c r="E144" i="52066"/>
  <c r="I144" i="52066" s="1"/>
  <c r="E157" i="52066"/>
  <c r="I157" i="52066" s="1"/>
  <c r="L157" i="52066" s="1"/>
  <c r="E197" i="93"/>
  <c r="H197" i="93" s="1"/>
  <c r="E189" i="52067"/>
  <c r="I189" i="52067" s="1"/>
  <c r="E192" i="101"/>
  <c r="I192" i="101" s="1"/>
  <c r="E126" i="101"/>
  <c r="I126" i="101" s="1"/>
  <c r="E11" i="101"/>
  <c r="I11" i="101" s="1"/>
  <c r="E123" i="52088"/>
  <c r="I123" i="52088" s="1"/>
  <c r="E136" i="52087"/>
  <c r="I136" i="52087" s="1"/>
  <c r="E81" i="52095"/>
  <c r="E108" i="52066"/>
  <c r="I108" i="52066" s="1"/>
  <c r="E188" i="52066"/>
  <c r="I188" i="52066" s="1"/>
  <c r="E197" i="52066"/>
  <c r="I197" i="52066" s="1"/>
  <c r="L197" i="52066" s="1"/>
  <c r="E93" i="115"/>
  <c r="E181" i="115"/>
  <c r="E164" i="12"/>
  <c r="E75" i="52095"/>
  <c r="E14" i="48"/>
  <c r="E171" i="52066"/>
  <c r="I171" i="52066" s="1"/>
  <c r="E192" i="52066"/>
  <c r="I192" i="52066" s="1"/>
  <c r="E13" i="52072"/>
  <c r="I13" i="52072" s="1"/>
  <c r="E103" i="93"/>
  <c r="H103" i="93" s="1"/>
  <c r="E162" i="93"/>
  <c r="H162" i="93" s="1"/>
  <c r="E29" i="52094"/>
  <c r="E29" i="52077" s="1"/>
  <c r="E10" i="32"/>
  <c r="E98" i="48"/>
  <c r="E196" i="52072"/>
  <c r="I196" i="52072" s="1"/>
  <c r="L196" i="52072" s="1"/>
  <c r="E198" i="52072"/>
  <c r="I198" i="52072" s="1"/>
  <c r="E8" i="93"/>
  <c r="E198" i="52067"/>
  <c r="I198" i="52067" s="1"/>
  <c r="E193" i="52067"/>
  <c r="I193" i="52067" s="1"/>
  <c r="E163" i="52067"/>
  <c r="I163" i="52067" s="1"/>
  <c r="E190" i="101"/>
  <c r="I190" i="101" s="1"/>
  <c r="E189" i="52088"/>
  <c r="I189" i="52088" s="1"/>
  <c r="E159" i="52088"/>
  <c r="I159" i="52088" s="1"/>
  <c r="E164" i="148"/>
  <c r="E49" i="52067"/>
  <c r="I49" i="52067" s="1"/>
  <c r="E191" i="52088"/>
  <c r="I191" i="52088" s="1"/>
  <c r="E191" i="52087"/>
  <c r="I191" i="52087" s="1"/>
  <c r="E176" i="52087"/>
  <c r="I176" i="52087" s="1"/>
  <c r="E81" i="52087"/>
  <c r="I81" i="52087" s="1"/>
  <c r="E176" i="108"/>
  <c r="I176" i="108" s="1"/>
  <c r="E181" i="148"/>
  <c r="E195" i="52087"/>
  <c r="I195" i="52087" s="1"/>
  <c r="E144" i="52087"/>
  <c r="I144" i="52087" s="1"/>
  <c r="E183" i="108"/>
  <c r="I183" i="108" s="1"/>
  <c r="E177" i="105"/>
  <c r="I177" i="105" s="1"/>
  <c r="E181" i="101"/>
  <c r="I181" i="101" s="1"/>
  <c r="E133" i="148"/>
  <c r="I133" i="148" s="1"/>
  <c r="E193" i="52088"/>
  <c r="I193" i="52088" s="1"/>
  <c r="E174" i="52087"/>
  <c r="I174" i="52087" s="1"/>
  <c r="E157" i="108"/>
  <c r="I157" i="108" s="1"/>
  <c r="E101" i="105"/>
  <c r="E81" i="108"/>
  <c r="I81" i="108" s="1"/>
  <c r="E157" i="52064"/>
  <c r="E174" i="52067"/>
  <c r="I174" i="52067" s="1"/>
  <c r="E157" i="52071"/>
  <c r="I157" i="52071" s="1"/>
  <c r="E12" i="20"/>
  <c r="E23" i="52094"/>
  <c r="E170" i="77"/>
  <c r="I170" i="77" s="1"/>
  <c r="E78" i="52092"/>
  <c r="I78" i="52092" s="1"/>
  <c r="E101" i="52092"/>
  <c r="I101" i="52092" s="1"/>
  <c r="E146" i="52092"/>
  <c r="I146" i="52092" s="1"/>
  <c r="E181" i="52092"/>
  <c r="I181" i="52092" s="1"/>
  <c r="E49" i="52093"/>
  <c r="E178" i="52095"/>
  <c r="E163" i="48"/>
  <c r="E15" i="52072"/>
  <c r="I15" i="52072" s="1"/>
  <c r="E87" i="52072"/>
  <c r="I87" i="52072" s="1"/>
  <c r="E140" i="52072"/>
  <c r="I140" i="52072" s="1"/>
  <c r="E154" i="93"/>
  <c r="E102" i="93"/>
  <c r="H102" i="93" s="1"/>
  <c r="E166" i="93"/>
  <c r="H166" i="93" s="1"/>
  <c r="E12" i="21"/>
  <c r="E170" i="20"/>
  <c r="E12" i="52091"/>
  <c r="I12" i="52091" s="1"/>
  <c r="E16" i="52091"/>
  <c r="I16" i="52091" s="1"/>
  <c r="E23" i="52091"/>
  <c r="E188" i="52092"/>
  <c r="I188" i="52092" s="1"/>
  <c r="L188" i="52092" s="1"/>
  <c r="E75" i="52093"/>
  <c r="I75" i="52093" s="1"/>
  <c r="E133" i="52093"/>
  <c r="I133" i="52093" s="1"/>
  <c r="E83" i="52095"/>
  <c r="E49" i="91"/>
  <c r="E12" i="52072"/>
  <c r="I12" i="52072" s="1"/>
  <c r="E37" i="52072"/>
  <c r="E81" i="32"/>
  <c r="E98" i="91"/>
  <c r="E108" i="91"/>
  <c r="E137" i="91"/>
  <c r="E140" i="91"/>
  <c r="E101" i="48"/>
  <c r="I101" i="48" s="1"/>
  <c r="E125" i="21"/>
  <c r="E10" i="91"/>
  <c r="E123" i="91"/>
  <c r="E49" i="52072"/>
  <c r="E13" i="77"/>
  <c r="I13" i="77" s="1"/>
  <c r="E72" i="77"/>
  <c r="I72" i="77" s="1"/>
  <c r="E124" i="77"/>
  <c r="I124" i="77" s="1"/>
  <c r="E171" i="77"/>
  <c r="I171" i="77" s="1"/>
  <c r="E157" i="52089"/>
  <c r="E98" i="52092"/>
  <c r="I98" i="52092" s="1"/>
  <c r="E196" i="52093"/>
  <c r="I196" i="52093" s="1"/>
  <c r="E13" i="32"/>
  <c r="E90" i="52066"/>
  <c r="E133" i="52066"/>
  <c r="I133" i="52066" s="1"/>
  <c r="E40" i="48"/>
  <c r="E10" i="21"/>
  <c r="E49" i="105"/>
  <c r="E125" i="148"/>
  <c r="I125" i="148" s="1"/>
  <c r="E90" i="52064"/>
  <c r="E187" i="148"/>
  <c r="E181" i="52064"/>
  <c r="E8" i="105"/>
  <c r="E93" i="108"/>
  <c r="I93" i="108" s="1"/>
  <c r="E173" i="52087"/>
  <c r="I173" i="52087" s="1"/>
  <c r="E90" i="48"/>
  <c r="E24" i="52092"/>
  <c r="E84" i="52093"/>
  <c r="I84" i="52093" s="1"/>
  <c r="E90" i="32"/>
  <c r="E95" i="91"/>
  <c r="E161" i="52072"/>
  <c r="E52" i="93"/>
  <c r="H52" i="93" s="1"/>
  <c r="E74" i="93"/>
  <c r="H74" i="93" s="1"/>
  <c r="E41" i="91"/>
  <c r="E24" i="52064"/>
  <c r="E68" i="148"/>
  <c r="I68" i="148" s="1"/>
  <c r="E85" i="108"/>
  <c r="I85" i="108" s="1"/>
  <c r="E73" i="52091"/>
  <c r="E85" i="52093"/>
  <c r="E27" i="52064"/>
  <c r="E90" i="148"/>
  <c r="I90" i="148" s="1"/>
  <c r="E96" i="108"/>
  <c r="E66" i="52091"/>
  <c r="E29" i="52071"/>
  <c r="E29" i="52092"/>
  <c r="E28" i="32"/>
  <c r="E95" i="48"/>
  <c r="E106" i="32"/>
  <c r="E136" i="48"/>
  <c r="I136" i="48" s="1"/>
  <c r="E28" i="52072"/>
  <c r="E253" i="52072" s="1"/>
  <c r="E64" i="21"/>
  <c r="E28" i="21"/>
  <c r="E253" i="21" s="1"/>
  <c r="E68" i="52092"/>
  <c r="I68" i="52092" s="1"/>
  <c r="E79" i="52093"/>
  <c r="I79" i="52093" s="1"/>
  <c r="E35" i="91"/>
  <c r="E76" i="52066"/>
  <c r="E41" i="52072"/>
  <c r="F41" i="52072" s="1"/>
  <c r="E94" i="148"/>
  <c r="I94" i="148" s="1"/>
  <c r="E123" i="115"/>
  <c r="E177" i="115"/>
  <c r="E197" i="115"/>
  <c r="E29" i="20"/>
  <c r="E18" i="52090"/>
  <c r="I18" i="52090" s="1"/>
  <c r="E15" i="52093"/>
  <c r="I15" i="52093" s="1"/>
  <c r="E172" i="52093"/>
  <c r="I172" i="52093" s="1"/>
  <c r="E87" i="115"/>
  <c r="E107" i="115"/>
  <c r="E190" i="20"/>
  <c r="E164" i="52064"/>
  <c r="E29" i="105"/>
  <c r="E30" i="105" s="1"/>
  <c r="E170" i="52087"/>
  <c r="I170" i="52087" s="1"/>
  <c r="E140" i="115"/>
  <c r="E172" i="115"/>
  <c r="E191" i="115"/>
  <c r="E193" i="115"/>
  <c r="E189" i="20"/>
  <c r="E144" i="52092"/>
  <c r="I144" i="52092" s="1"/>
  <c r="E171" i="52071"/>
  <c r="I171" i="52071" s="1"/>
  <c r="E175" i="52071"/>
  <c r="I175" i="52071" s="1"/>
  <c r="E64" i="20"/>
  <c r="E15" i="52094"/>
  <c r="E176" i="52095"/>
  <c r="E133" i="52094"/>
  <c r="E192" i="32"/>
  <c r="E64" i="52066"/>
  <c r="E199" i="52064"/>
  <c r="I199" i="52064" s="1"/>
  <c r="E92" i="114"/>
  <c r="I92" i="114" s="1"/>
  <c r="E124" i="114"/>
  <c r="I124" i="114" s="1"/>
  <c r="E170" i="12"/>
  <c r="E171" i="52090"/>
  <c r="I171" i="52090" s="1"/>
  <c r="E192" i="52090"/>
  <c r="I192" i="52090" s="1"/>
  <c r="E40" i="52093"/>
  <c r="E15" i="114"/>
  <c r="I15" i="114" s="1"/>
  <c r="E140" i="20"/>
  <c r="E137" i="21"/>
  <c r="E194" i="52064"/>
  <c r="E195" i="105"/>
  <c r="E177" i="12"/>
  <c r="E107" i="148"/>
  <c r="E157" i="12"/>
  <c r="E107" i="52089"/>
  <c r="E140" i="52089"/>
  <c r="E178" i="52089"/>
  <c r="E49" i="52090"/>
  <c r="E144" i="114"/>
  <c r="I144" i="114" s="1"/>
  <c r="E176" i="114"/>
  <c r="I176" i="114" s="1"/>
  <c r="E190" i="114"/>
  <c r="I190" i="114" s="1"/>
  <c r="E12" i="115"/>
  <c r="E188" i="115"/>
  <c r="E93" i="12"/>
  <c r="E159" i="21"/>
  <c r="E13" i="148"/>
  <c r="E13" i="52087"/>
  <c r="I13" i="52087" s="1"/>
  <c r="E23" i="52087"/>
  <c r="E171" i="12"/>
  <c r="E124" i="52090"/>
  <c r="I124" i="52090" s="1"/>
  <c r="E137" i="52090"/>
  <c r="I137" i="52090" s="1"/>
  <c r="E196" i="52090"/>
  <c r="I196" i="52090" s="1"/>
  <c r="E8" i="52091"/>
  <c r="E101" i="114"/>
  <c r="I101" i="114" s="1"/>
  <c r="E37" i="12"/>
  <c r="E187" i="52092"/>
  <c r="E164" i="52095"/>
  <c r="E93" i="48"/>
  <c r="E40" i="52095"/>
  <c r="E175" i="32"/>
  <c r="E163" i="52064"/>
  <c r="E126" i="52087"/>
  <c r="I126" i="52087" s="1"/>
  <c r="E13" i="52088"/>
  <c r="I13" i="52088" s="1"/>
  <c r="E13" i="20"/>
  <c r="E18" i="77"/>
  <c r="I18" i="77" s="1"/>
  <c r="E125" i="52089"/>
  <c r="E139" i="52089"/>
  <c r="E135" i="52092"/>
  <c r="I135" i="52092" s="1"/>
  <c r="E94" i="52093"/>
  <c r="I94" i="52093" s="1"/>
  <c r="E144" i="52093"/>
  <c r="I144" i="52093" s="1"/>
  <c r="E75" i="114"/>
  <c r="I75" i="114" s="1"/>
  <c r="E87" i="12"/>
  <c r="E174" i="52064"/>
  <c r="E125" i="108"/>
  <c r="E176" i="52067"/>
  <c r="I176" i="52067" s="1"/>
  <c r="E159" i="52071"/>
  <c r="I159" i="52071" s="1"/>
  <c r="E171" i="52091"/>
  <c r="I171" i="52091" s="1"/>
  <c r="E183" i="52092"/>
  <c r="I183" i="52092" s="1"/>
  <c r="E193" i="52092"/>
  <c r="I193" i="52092" s="1"/>
  <c r="E74" i="115"/>
  <c r="E15" i="20"/>
  <c r="E78" i="52089"/>
  <c r="E166" i="52090"/>
  <c r="I166" i="52090" s="1"/>
  <c r="E177" i="52090"/>
  <c r="I177" i="52090" s="1"/>
  <c r="E188" i="52094"/>
  <c r="E13" i="91"/>
  <c r="E94" i="91"/>
  <c r="E163" i="91"/>
  <c r="E37" i="52094"/>
  <c r="E18" i="52095"/>
  <c r="E189" i="91"/>
  <c r="E72" i="21"/>
  <c r="E123" i="77"/>
  <c r="I123" i="77" s="1"/>
  <c r="L123" i="77" s="1"/>
  <c r="E139" i="52091"/>
  <c r="I139" i="52091" s="1"/>
  <c r="E13" i="52095"/>
  <c r="E18" i="48"/>
  <c r="I18" i="48" s="1"/>
  <c r="E189" i="52095"/>
  <c r="E49" i="52066"/>
  <c r="E147" i="93"/>
  <c r="H147" i="93" s="1"/>
  <c r="E14" i="21"/>
  <c r="E175" i="52088"/>
  <c r="I175" i="52088" s="1"/>
  <c r="E157" i="52088"/>
  <c r="I157" i="52088" s="1"/>
  <c r="E176" i="91"/>
  <c r="E188" i="91"/>
  <c r="E159" i="20"/>
  <c r="E176" i="52093"/>
  <c r="I176" i="52093" s="1"/>
  <c r="E194" i="52093"/>
  <c r="I194" i="52093" s="1"/>
  <c r="E15" i="52095"/>
  <c r="E144" i="91"/>
  <c r="E164" i="48"/>
  <c r="E171" i="52095"/>
  <c r="E17" i="48"/>
  <c r="E93" i="52072"/>
  <c r="I93" i="52072" s="1"/>
  <c r="E123" i="52072"/>
  <c r="I123" i="52072" s="1"/>
  <c r="E72" i="93"/>
  <c r="E14" i="52064"/>
  <c r="E16" i="105"/>
  <c r="E76" i="52064"/>
  <c r="I76" i="52064" s="1"/>
  <c r="E92" i="52087"/>
  <c r="I92" i="52087" s="1"/>
  <c r="E177" i="108"/>
  <c r="I177" i="108" s="1"/>
  <c r="E171" i="108"/>
  <c r="E74" i="52064"/>
  <c r="E12" i="52088"/>
  <c r="I12" i="52088" s="1"/>
  <c r="E137" i="148"/>
  <c r="E187" i="101"/>
  <c r="E190" i="52064"/>
  <c r="E195" i="101"/>
  <c r="I195" i="101" s="1"/>
  <c r="E75" i="52067"/>
  <c r="I75" i="52067" s="1"/>
  <c r="E133" i="115"/>
  <c r="E29" i="77"/>
  <c r="E83" i="20"/>
  <c r="I83" i="20" s="1"/>
  <c r="E75" i="77"/>
  <c r="I75" i="77" s="1"/>
  <c r="E93" i="77"/>
  <c r="I93" i="77" s="1"/>
  <c r="E37" i="52089"/>
  <c r="E196" i="52095"/>
  <c r="E171" i="48"/>
  <c r="E92" i="32"/>
  <c r="E76" i="115"/>
  <c r="E75" i="52090"/>
  <c r="I75" i="52090" s="1"/>
  <c r="E98" i="52090"/>
  <c r="I98" i="52090" s="1"/>
  <c r="E107" i="52090"/>
  <c r="I107" i="52090" s="1"/>
  <c r="E188" i="52090"/>
  <c r="I188" i="52090" s="1"/>
  <c r="E164" i="52091"/>
  <c r="I164" i="52091" s="1"/>
  <c r="E137" i="52093"/>
  <c r="I137" i="52093" s="1"/>
  <c r="E195" i="52093"/>
  <c r="I195" i="52093" s="1"/>
  <c r="E199" i="52093"/>
  <c r="I199" i="52093" s="1"/>
  <c r="E19" i="52095"/>
  <c r="E16" i="91"/>
  <c r="E37" i="91"/>
  <c r="E13" i="52066"/>
  <c r="I13" i="52066" s="1"/>
  <c r="E134" i="93"/>
  <c r="H134" i="93" s="1"/>
  <c r="E15" i="32"/>
  <c r="E196" i="48"/>
  <c r="E188" i="93"/>
  <c r="H188" i="93" s="1"/>
  <c r="E170" i="32"/>
  <c r="E181" i="20"/>
  <c r="E174" i="77"/>
  <c r="I174" i="77" s="1"/>
  <c r="E176" i="77"/>
  <c r="I176" i="77" s="1"/>
  <c r="E178" i="77"/>
  <c r="I178" i="77" s="1"/>
  <c r="E87" i="52089"/>
  <c r="E94" i="52089"/>
  <c r="E133" i="52089"/>
  <c r="E187" i="52089"/>
  <c r="E198" i="52093"/>
  <c r="I198" i="52093" s="1"/>
  <c r="E199" i="52094"/>
  <c r="E175" i="52095"/>
  <c r="E15" i="52066"/>
  <c r="I15" i="52066" s="1"/>
  <c r="E98" i="52066"/>
  <c r="I98" i="52066" s="1"/>
  <c r="E137" i="52066"/>
  <c r="I137" i="52066" s="1"/>
  <c r="E10" i="52095"/>
  <c r="E17" i="91"/>
  <c r="E133" i="48"/>
  <c r="E15" i="52064"/>
  <c r="E133" i="52064"/>
  <c r="E139" i="52064"/>
  <c r="E170" i="52088"/>
  <c r="I170" i="52088" s="1"/>
  <c r="E14" i="108"/>
  <c r="I14" i="108" s="1"/>
  <c r="E16" i="148"/>
  <c r="E87" i="52064"/>
  <c r="E159" i="101"/>
  <c r="I159" i="101" s="1"/>
  <c r="E101" i="52087"/>
  <c r="I101" i="52087" s="1"/>
  <c r="E144" i="148"/>
  <c r="E190" i="52087"/>
  <c r="I190" i="52087" s="1"/>
  <c r="E15" i="105"/>
  <c r="E18" i="52064"/>
  <c r="E192" i="148"/>
  <c r="E10" i="52067"/>
  <c r="I10" i="52067" s="1"/>
  <c r="E139" i="105"/>
  <c r="E197" i="52090"/>
  <c r="I197" i="52090" s="1"/>
  <c r="E193" i="93"/>
  <c r="H193" i="93" s="1"/>
  <c r="E194" i="108"/>
  <c r="I194" i="108" s="1"/>
  <c r="E92" i="148"/>
  <c r="E177" i="21"/>
  <c r="E166" i="21"/>
  <c r="E194" i="48"/>
  <c r="E190" i="148"/>
  <c r="E49" i="108"/>
  <c r="I49" i="108" s="1"/>
  <c r="E135" i="105"/>
  <c r="E194" i="21"/>
  <c r="E82" i="21"/>
  <c r="I82" i="21" s="1"/>
  <c r="E26" i="93"/>
  <c r="H26" i="93" s="1"/>
  <c r="E42" i="52072"/>
  <c r="F42" i="52072" s="1"/>
  <c r="E28" i="48"/>
  <c r="E253" i="48" s="1"/>
  <c r="E29" i="52079"/>
  <c r="E68" i="52079"/>
  <c r="I68" i="52079" s="1"/>
  <c r="E79" i="52079"/>
  <c r="I79" i="52079" s="1"/>
  <c r="E87" i="52079"/>
  <c r="I87" i="52079" s="1"/>
  <c r="E96" i="52079"/>
  <c r="I96" i="52079" s="1"/>
  <c r="E107" i="52079"/>
  <c r="I107" i="52079" s="1"/>
  <c r="E118" i="52079"/>
  <c r="E195" i="52079"/>
  <c r="I195" i="52079" s="1"/>
  <c r="E61" i="93"/>
  <c r="H61" i="93" s="1"/>
  <c r="E86" i="52072"/>
  <c r="I86" i="52072" s="1"/>
  <c r="E26" i="48"/>
  <c r="E9" i="21"/>
  <c r="E9" i="52094"/>
  <c r="E64" i="52079"/>
  <c r="E136" i="52089"/>
  <c r="E176" i="52089"/>
  <c r="E136" i="52092"/>
  <c r="I136" i="52092" s="1"/>
  <c r="L136" i="52092" s="1"/>
  <c r="E157" i="20"/>
  <c r="E136" i="21"/>
  <c r="E188" i="52064"/>
  <c r="E10" i="108"/>
  <c r="I10" i="108" s="1"/>
  <c r="E87" i="108"/>
  <c r="I87" i="108" s="1"/>
  <c r="E126" i="108"/>
  <c r="I126" i="108" s="1"/>
  <c r="E163" i="52071"/>
  <c r="I163" i="52071" s="1"/>
  <c r="E13" i="12"/>
  <c r="E196" i="77"/>
  <c r="I196" i="77" s="1"/>
  <c r="E14" i="52089"/>
  <c r="E170" i="52089"/>
  <c r="E18" i="115"/>
  <c r="E10" i="52089"/>
  <c r="I10" i="52089" s="1"/>
  <c r="E87" i="52090"/>
  <c r="I87" i="52090" s="1"/>
  <c r="E159" i="52090"/>
  <c r="I159" i="52090" s="1"/>
  <c r="L159" i="52090" s="1"/>
  <c r="E176" i="52090"/>
  <c r="I176" i="52090" s="1"/>
  <c r="E187" i="52090"/>
  <c r="E123" i="52095"/>
  <c r="E12" i="91"/>
  <c r="E78" i="91"/>
  <c r="E159" i="91"/>
  <c r="E159" i="48"/>
  <c r="E139" i="52072"/>
  <c r="I139" i="52072" s="1"/>
  <c r="E181" i="52072"/>
  <c r="I181" i="52072" s="1"/>
  <c r="E157" i="52094"/>
  <c r="E136" i="32"/>
  <c r="E74" i="52071"/>
  <c r="I74" i="52071" s="1"/>
  <c r="E17" i="148"/>
  <c r="E80" i="52067"/>
  <c r="I80" i="52067" s="1"/>
  <c r="E126" i="52071"/>
  <c r="I126" i="52071" s="1"/>
  <c r="E144" i="52071"/>
  <c r="I144" i="52071" s="1"/>
  <c r="E135" i="20"/>
  <c r="E93" i="52091"/>
  <c r="I93" i="52091" s="1"/>
  <c r="E191" i="114"/>
  <c r="I191" i="114" s="1"/>
  <c r="E197" i="114"/>
  <c r="I197" i="114" s="1"/>
  <c r="E37" i="115"/>
  <c r="E193" i="12"/>
  <c r="E15" i="148"/>
  <c r="E13" i="101"/>
  <c r="I13" i="101" s="1"/>
  <c r="E140" i="101"/>
  <c r="I140" i="101" s="1"/>
  <c r="E40" i="12"/>
  <c r="E75" i="52091"/>
  <c r="I75" i="52091" s="1"/>
  <c r="E64" i="52094"/>
  <c r="E49" i="52089"/>
  <c r="E10" i="52091"/>
  <c r="I10" i="52091" s="1"/>
  <c r="E164" i="52093"/>
  <c r="I164" i="52093" s="1"/>
  <c r="E191" i="52093"/>
  <c r="I191" i="52093" s="1"/>
  <c r="E193" i="52093"/>
  <c r="I193" i="52093" s="1"/>
  <c r="E17" i="52095"/>
  <c r="E146" i="32"/>
  <c r="E22" i="93"/>
  <c r="E37" i="32"/>
  <c r="E195" i="52066"/>
  <c r="I195" i="52066" s="1"/>
  <c r="E10" i="52072"/>
  <c r="E107" i="52072"/>
  <c r="I107" i="52072" s="1"/>
  <c r="E196" i="93"/>
  <c r="H196" i="93" s="1"/>
  <c r="E29" i="21"/>
  <c r="E139" i="20"/>
  <c r="E12" i="52089"/>
  <c r="E93" i="52089"/>
  <c r="E101" i="52091"/>
  <c r="I101" i="52091" s="1"/>
  <c r="E135" i="52091"/>
  <c r="I135" i="52091" s="1"/>
  <c r="E146" i="52091"/>
  <c r="I146" i="52091" s="1"/>
  <c r="E175" i="52093"/>
  <c r="I175" i="52093" s="1"/>
  <c r="E74" i="52094"/>
  <c r="E171" i="32"/>
  <c r="I171" i="32" s="1"/>
  <c r="E83" i="52066"/>
  <c r="I83" i="52066" s="1"/>
  <c r="E123" i="52066"/>
  <c r="I123" i="52066" s="1"/>
  <c r="E158" i="52066"/>
  <c r="I158" i="52066" s="1"/>
  <c r="E175" i="52072"/>
  <c r="I175" i="52072" s="1"/>
  <c r="E160" i="93"/>
  <c r="H160" i="93" s="1"/>
  <c r="E183" i="52094"/>
  <c r="E166" i="91"/>
  <c r="E195" i="91"/>
  <c r="E199" i="91"/>
  <c r="E14" i="52066"/>
  <c r="I14" i="52066" s="1"/>
  <c r="E75" i="52066"/>
  <c r="I75" i="52066" s="1"/>
  <c r="E94" i="52066"/>
  <c r="I94" i="52066" s="1"/>
  <c r="E114" i="52066"/>
  <c r="I114" i="52066" s="1"/>
  <c r="E172" i="52066"/>
  <c r="I172" i="52066" s="1"/>
  <c r="E180" i="52066"/>
  <c r="I180" i="52066" s="1"/>
  <c r="E8" i="21"/>
  <c r="E17" i="52088"/>
  <c r="I17" i="52088" s="1"/>
  <c r="E157" i="52087"/>
  <c r="I157" i="52087" s="1"/>
  <c r="E194" i="93"/>
  <c r="H194" i="93" s="1"/>
  <c r="E123" i="12"/>
  <c r="E40" i="52092"/>
  <c r="E136" i="52095"/>
  <c r="E126" i="48"/>
  <c r="E177" i="52094"/>
  <c r="E195" i="32"/>
  <c r="E88" i="93"/>
  <c r="H88" i="93" s="1"/>
  <c r="E76" i="21"/>
  <c r="E136" i="148"/>
  <c r="E93" i="105"/>
  <c r="I93" i="105" s="1"/>
  <c r="E40" i="101"/>
  <c r="E18" i="108"/>
  <c r="I18" i="108" s="1"/>
  <c r="E178" i="105"/>
  <c r="E195" i="148"/>
  <c r="E10" i="52064"/>
  <c r="E18" i="101"/>
  <c r="I18" i="101" s="1"/>
  <c r="E107" i="20"/>
  <c r="E192" i="77"/>
  <c r="E15" i="52089"/>
  <c r="E12" i="52090"/>
  <c r="E198" i="52071"/>
  <c r="E17" i="114"/>
  <c r="I17" i="114" s="1"/>
  <c r="E98" i="114"/>
  <c r="I98" i="114" s="1"/>
  <c r="E173" i="114"/>
  <c r="I173" i="114" s="1"/>
  <c r="E166" i="52094"/>
  <c r="E83" i="32"/>
  <c r="E78" i="52066"/>
  <c r="I78" i="52066" s="1"/>
  <c r="E170" i="52066"/>
  <c r="E199" i="48"/>
  <c r="E166" i="115"/>
  <c r="E146" i="12"/>
  <c r="E187" i="52091"/>
  <c r="E124" i="52095"/>
  <c r="E12" i="48"/>
  <c r="E16" i="52095"/>
  <c r="E139" i="48"/>
  <c r="E164" i="52072"/>
  <c r="I164" i="52072" s="1"/>
  <c r="E146" i="21"/>
  <c r="I146" i="21" s="1"/>
  <c r="E135" i="91"/>
  <c r="E11" i="21"/>
  <c r="E172" i="77"/>
  <c r="E40" i="52091"/>
  <c r="E40" i="52077" s="1"/>
  <c r="L40" i="52077" s="1"/>
  <c r="E25" i="52093"/>
  <c r="E37" i="52095"/>
  <c r="E144" i="48"/>
  <c r="E87" i="52095"/>
  <c r="E166" i="52072"/>
  <c r="I166" i="52072" s="1"/>
  <c r="E178" i="52072"/>
  <c r="I178" i="52072" s="1"/>
  <c r="E193" i="52072"/>
  <c r="I193" i="52072" s="1"/>
  <c r="E19" i="52064"/>
  <c r="E80" i="108"/>
  <c r="I80" i="108" s="1"/>
  <c r="E94" i="52064"/>
  <c r="E92" i="52067"/>
  <c r="I92" i="52067" s="1"/>
  <c r="E107" i="52088"/>
  <c r="E188" i="148"/>
  <c r="E125" i="52064"/>
  <c r="E94" i="105"/>
  <c r="I94" i="105" s="1"/>
  <c r="E172" i="52088"/>
  <c r="E75" i="52087"/>
  <c r="I75" i="52087" s="1"/>
  <c r="E137" i="52064"/>
  <c r="E12" i="52067"/>
  <c r="I12" i="52067" s="1"/>
  <c r="E15" i="101"/>
  <c r="I15" i="101" s="1"/>
  <c r="E29" i="52087"/>
  <c r="E166" i="148"/>
  <c r="E173" i="148"/>
  <c r="E177" i="148"/>
  <c r="I177" i="148" s="1"/>
  <c r="E94" i="52071"/>
  <c r="I94" i="52071" s="1"/>
  <c r="E87" i="148"/>
  <c r="E157" i="148"/>
  <c r="E194" i="52091"/>
  <c r="I194" i="52091" s="1"/>
  <c r="E194" i="52090"/>
  <c r="I194" i="52090" s="1"/>
  <c r="E198" i="93"/>
  <c r="H198" i="93" s="1"/>
  <c r="E98" i="52064"/>
  <c r="E16" i="108"/>
  <c r="I16" i="108" s="1"/>
  <c r="E181" i="105"/>
  <c r="E87" i="52067"/>
  <c r="E15" i="52071"/>
  <c r="I15" i="52071" s="1"/>
  <c r="E194" i="20"/>
  <c r="E111" i="52072"/>
  <c r="E75" i="52071"/>
  <c r="I75" i="52071" s="1"/>
  <c r="E146" i="108"/>
  <c r="E189" i="21"/>
  <c r="E194" i="114"/>
  <c r="E73" i="21"/>
  <c r="I73" i="21" s="1"/>
  <c r="E27" i="52066"/>
  <c r="E91" i="91"/>
  <c r="E9" i="101"/>
  <c r="I9" i="101" s="1"/>
  <c r="E9" i="52089"/>
  <c r="E9" i="91"/>
  <c r="E19" i="52079"/>
  <c r="I19" i="52079" s="1"/>
  <c r="E39" i="52079"/>
  <c r="E126" i="52079"/>
  <c r="I126" i="52079" s="1"/>
  <c r="E137" i="52079"/>
  <c r="I137" i="52079" s="1"/>
  <c r="E145" i="52079"/>
  <c r="I145" i="52079" s="1"/>
  <c r="E157" i="52079"/>
  <c r="I157" i="52079" s="1"/>
  <c r="E165" i="52079"/>
  <c r="I165" i="52079" s="1"/>
  <c r="E176" i="52079"/>
  <c r="I176" i="52079" s="1"/>
  <c r="E187" i="52079"/>
  <c r="E85" i="21"/>
  <c r="E35" i="52066"/>
  <c r="E9" i="108"/>
  <c r="I9" i="108" s="1"/>
  <c r="E9" i="20"/>
  <c r="E11" i="52079"/>
  <c r="E18" i="52079"/>
  <c r="I18" i="52079" s="1"/>
  <c r="E40" i="52079"/>
  <c r="E76" i="52079"/>
  <c r="E93" i="52079"/>
  <c r="I93" i="52079" s="1"/>
  <c r="E86" i="52094"/>
  <c r="E114" i="52094"/>
  <c r="E82" i="101"/>
  <c r="I82" i="101" s="1"/>
  <c r="E96" i="101"/>
  <c r="I96" i="101" s="1"/>
  <c r="E111" i="101"/>
  <c r="I111" i="101" s="1"/>
  <c r="E90" i="114"/>
  <c r="I90" i="114" s="1"/>
  <c r="E109" i="114"/>
  <c r="I109" i="114" s="1"/>
  <c r="E161" i="114"/>
  <c r="I161" i="114" s="1"/>
  <c r="E41" i="12"/>
  <c r="E95" i="12"/>
  <c r="E74" i="77"/>
  <c r="I74" i="77" s="1"/>
  <c r="E109" i="77"/>
  <c r="E88" i="52094"/>
  <c r="E25" i="101"/>
  <c r="E79" i="101"/>
  <c r="I79" i="101" s="1"/>
  <c r="E88" i="101"/>
  <c r="I88" i="101" s="1"/>
  <c r="E97" i="101"/>
  <c r="I97" i="101" s="1"/>
  <c r="E77" i="114"/>
  <c r="E91" i="114"/>
  <c r="E85" i="12"/>
  <c r="E26" i="77"/>
  <c r="E35" i="77"/>
  <c r="E64" i="77"/>
  <c r="E90" i="77"/>
  <c r="E161" i="52090"/>
  <c r="I161" i="52090" s="1"/>
  <c r="E42" i="52094"/>
  <c r="E95" i="52095"/>
  <c r="E68" i="101"/>
  <c r="I68" i="101" s="1"/>
  <c r="E66" i="114"/>
  <c r="I66" i="114" s="1"/>
  <c r="E28" i="12"/>
  <c r="E76" i="12"/>
  <c r="E106" i="12"/>
  <c r="E68" i="52090"/>
  <c r="E85" i="52090"/>
  <c r="E68" i="52094"/>
  <c r="E85" i="52094"/>
  <c r="E108" i="52094"/>
  <c r="E79" i="52095"/>
  <c r="E96" i="52095"/>
  <c r="E64" i="52095"/>
  <c r="E74" i="101"/>
  <c r="I74" i="101" s="1"/>
  <c r="E72" i="52095"/>
  <c r="E36" i="52095"/>
  <c r="E28" i="52095"/>
  <c r="E138" i="114"/>
  <c r="I138" i="114" s="1"/>
  <c r="E119" i="52090"/>
  <c r="E39" i="12"/>
  <c r="E180" i="105"/>
  <c r="E152" i="12"/>
  <c r="E163" i="105"/>
  <c r="E134" i="101"/>
  <c r="I134" i="101" s="1"/>
  <c r="E152" i="114"/>
  <c r="I152" i="114" s="1"/>
  <c r="E134" i="114"/>
  <c r="I134" i="114" s="1"/>
  <c r="E180" i="12"/>
  <c r="E152" i="77"/>
  <c r="I152" i="77" s="1"/>
  <c r="E119" i="52094"/>
  <c r="E180" i="52094"/>
  <c r="E152" i="52094"/>
  <c r="E113" i="114"/>
  <c r="I113" i="114" s="1"/>
  <c r="L113" i="114" s="1"/>
  <c r="E165" i="114"/>
  <c r="I165" i="114" s="1"/>
  <c r="E112" i="77"/>
  <c r="E112" i="52090"/>
  <c r="I112" i="52090" s="1"/>
  <c r="E132" i="52090"/>
  <c r="I132" i="52090" s="1"/>
  <c r="E156" i="52090"/>
  <c r="E141" i="52095"/>
  <c r="E158" i="101"/>
  <c r="I158" i="101" s="1"/>
  <c r="E160" i="12"/>
  <c r="E132" i="77"/>
  <c r="I132" i="77" s="1"/>
  <c r="E148" i="77"/>
  <c r="E145" i="52090"/>
  <c r="E142" i="52094"/>
  <c r="E147" i="101"/>
  <c r="I147" i="101" s="1"/>
  <c r="E99" i="12"/>
  <c r="E99" i="77"/>
  <c r="I99" i="77" s="1"/>
  <c r="E147" i="77"/>
  <c r="I147" i="77" s="1"/>
  <c r="E143" i="52095"/>
  <c r="E121" i="101"/>
  <c r="I121" i="101" s="1"/>
  <c r="E131" i="114"/>
  <c r="E121" i="12"/>
  <c r="E118" i="52094"/>
  <c r="E127" i="52095"/>
  <c r="I127" i="52095" s="1"/>
  <c r="E120" i="77"/>
  <c r="E138" i="52094"/>
  <c r="E162" i="114"/>
  <c r="E121" i="77"/>
  <c r="I121" i="77" s="1"/>
  <c r="E99" i="52090"/>
  <c r="E147" i="52090"/>
  <c r="E179" i="52094"/>
  <c r="E142" i="101"/>
  <c r="I142" i="101" s="1"/>
  <c r="E148" i="12"/>
  <c r="E148" i="52094"/>
  <c r="E143" i="101"/>
  <c r="I143" i="101" s="1"/>
  <c r="E121" i="52094"/>
  <c r="E147" i="52095"/>
  <c r="E158" i="12"/>
  <c r="E122" i="52095"/>
  <c r="E158" i="52095"/>
  <c r="E152" i="101"/>
  <c r="I152" i="101" s="1"/>
  <c r="E85" i="48"/>
  <c r="E41" i="21"/>
  <c r="E106" i="52079"/>
  <c r="I106" i="52079" s="1"/>
  <c r="E108" i="105"/>
  <c r="E112" i="52092"/>
  <c r="I112" i="52092" s="1"/>
  <c r="E122" i="21"/>
  <c r="E97" i="52088"/>
  <c r="I97" i="52088" s="1"/>
  <c r="E120" i="52089"/>
  <c r="E162" i="52091"/>
  <c r="E137" i="52092"/>
  <c r="E177" i="52071"/>
  <c r="I177" i="52071" s="1"/>
  <c r="E120" i="52091"/>
  <c r="E100" i="52072"/>
  <c r="I100" i="52072" s="1"/>
  <c r="E141" i="52072"/>
  <c r="I141" i="52072" s="1"/>
  <c r="E111" i="93"/>
  <c r="H111" i="93" s="1"/>
  <c r="E142" i="93"/>
  <c r="H142" i="93" s="1"/>
  <c r="E11" i="32"/>
  <c r="E160" i="148"/>
  <c r="E171" i="52089"/>
  <c r="E179" i="52089"/>
  <c r="E152" i="52093"/>
  <c r="I152" i="52093" s="1"/>
  <c r="E127" i="108"/>
  <c r="E99" i="52091"/>
  <c r="E147" i="52092"/>
  <c r="E179" i="48"/>
  <c r="E142" i="52066"/>
  <c r="E127" i="52091"/>
  <c r="E160" i="52091"/>
  <c r="E127" i="52066"/>
  <c r="I127" i="52066" s="1"/>
  <c r="E132" i="52072"/>
  <c r="I132" i="52072" s="1"/>
  <c r="E152" i="52072"/>
  <c r="I152" i="52072" s="1"/>
  <c r="E105" i="93"/>
  <c r="H105" i="93" s="1"/>
  <c r="E185" i="93"/>
  <c r="H185" i="93" s="1"/>
  <c r="E39" i="52066"/>
  <c r="E64" i="93"/>
  <c r="H64" i="93" s="1"/>
  <c r="E127" i="21"/>
  <c r="I127" i="21" s="1"/>
  <c r="E121" i="21"/>
  <c r="E122" i="52066"/>
  <c r="I122" i="52066" s="1"/>
  <c r="E149" i="52072"/>
  <c r="E67" i="93"/>
  <c r="H67" i="93" s="1"/>
  <c r="E106" i="93"/>
  <c r="H106" i="93" s="1"/>
  <c r="E138" i="52092"/>
  <c r="I138" i="52092" s="1"/>
  <c r="E147" i="32"/>
  <c r="E121" i="48"/>
  <c r="E177" i="52072"/>
  <c r="I177" i="52072" s="1"/>
  <c r="E109" i="93"/>
  <c r="H109" i="93" s="1"/>
  <c r="E100" i="32"/>
  <c r="E149" i="48"/>
  <c r="E125" i="52072"/>
  <c r="I125" i="52072" s="1"/>
  <c r="E160" i="52072"/>
  <c r="E114" i="93"/>
  <c r="H114" i="93" s="1"/>
  <c r="E97" i="21"/>
  <c r="E170" i="52094"/>
  <c r="E139" i="52067"/>
  <c r="I139" i="52067" s="1"/>
  <c r="E39" i="148"/>
  <c r="G39" i="52082" s="1"/>
  <c r="E100" i="52064"/>
  <c r="E150" i="108"/>
  <c r="I150" i="108" s="1"/>
  <c r="E149" i="52064"/>
  <c r="E39" i="52064"/>
  <c r="D39" i="9" s="1"/>
  <c r="E162" i="52064"/>
  <c r="E124" i="148"/>
  <c r="E173" i="52064"/>
  <c r="E160" i="21"/>
  <c r="E41" i="108"/>
  <c r="E95" i="52091"/>
  <c r="E42" i="52093"/>
  <c r="E79" i="52064"/>
  <c r="E114" i="148"/>
  <c r="E84" i="52091"/>
  <c r="E72" i="52090"/>
  <c r="I72" i="52090" s="1"/>
  <c r="E73" i="52093"/>
  <c r="I73" i="52093" s="1"/>
  <c r="E67" i="32"/>
  <c r="E36" i="52072"/>
  <c r="E41" i="48"/>
  <c r="E76" i="52088"/>
  <c r="I76" i="52088" s="1"/>
  <c r="E83" i="148"/>
  <c r="E24" i="148"/>
  <c r="E23" i="108"/>
  <c r="E82" i="108"/>
  <c r="I82" i="108" s="1"/>
  <c r="E95" i="52064"/>
  <c r="E73" i="148"/>
  <c r="I73" i="148" s="1"/>
  <c r="E131" i="108"/>
  <c r="E125" i="52071"/>
  <c r="I125" i="52071" s="1"/>
  <c r="E112" i="52089"/>
  <c r="E150" i="52089"/>
  <c r="E149" i="52090"/>
  <c r="I149" i="52090" s="1"/>
  <c r="E158" i="52091"/>
  <c r="I158" i="52091" s="1"/>
  <c r="E145" i="52093"/>
  <c r="I145" i="52093" s="1"/>
  <c r="E121" i="148"/>
  <c r="I121" i="148" s="1"/>
  <c r="E165" i="108"/>
  <c r="I165" i="108" s="1"/>
  <c r="E152" i="52071"/>
  <c r="I152" i="52071" s="1"/>
  <c r="E11" i="115"/>
  <c r="E39" i="52092"/>
  <c r="E170" i="52092"/>
  <c r="E179" i="52071"/>
  <c r="I179" i="52071" s="1"/>
  <c r="E39" i="52089"/>
  <c r="E97" i="91"/>
  <c r="E142" i="91"/>
  <c r="E127" i="48"/>
  <c r="E148" i="32"/>
  <c r="E85" i="93"/>
  <c r="H85" i="93" s="1"/>
  <c r="E117" i="93"/>
  <c r="H117" i="93" s="1"/>
  <c r="E178" i="93"/>
  <c r="E100" i="108"/>
  <c r="E138" i="108"/>
  <c r="I138" i="108" s="1"/>
  <c r="E127" i="52089"/>
  <c r="E132" i="52091"/>
  <c r="I132" i="52091" s="1"/>
  <c r="E121" i="52093"/>
  <c r="I121" i="52093" s="1"/>
  <c r="E122" i="52064"/>
  <c r="E134" i="108"/>
  <c r="I134" i="108" s="1"/>
  <c r="E119" i="52089"/>
  <c r="E131" i="52092"/>
  <c r="E142" i="52089"/>
  <c r="E149" i="52091"/>
  <c r="E141" i="52092"/>
  <c r="E134" i="32"/>
  <c r="E152" i="48"/>
  <c r="E183" i="93"/>
  <c r="H183" i="93" s="1"/>
  <c r="E179" i="91"/>
  <c r="E150" i="48"/>
  <c r="E11" i="52092"/>
  <c r="I11" i="52092" s="1"/>
  <c r="E141" i="52093"/>
  <c r="E133" i="32"/>
  <c r="E119" i="48"/>
  <c r="E179" i="52072"/>
  <c r="I179" i="52072" s="1"/>
  <c r="E112" i="93"/>
  <c r="H112" i="93" s="1"/>
  <c r="E122" i="32"/>
  <c r="E112" i="91"/>
  <c r="E120" i="91"/>
  <c r="E141" i="91"/>
  <c r="E150" i="91"/>
  <c r="E122" i="48"/>
  <c r="E172" i="52087"/>
  <c r="I172" i="52087" s="1"/>
  <c r="E158" i="21"/>
  <c r="E112" i="32"/>
  <c r="E143" i="48"/>
  <c r="E101" i="52072"/>
  <c r="I101" i="52072" s="1"/>
  <c r="E118" i="52089"/>
  <c r="E171" i="91"/>
  <c r="E97" i="93"/>
  <c r="H97" i="93" s="1"/>
  <c r="E150" i="93"/>
  <c r="H150" i="93" s="1"/>
  <c r="E132" i="32"/>
  <c r="I132" i="32" s="1"/>
  <c r="E128" i="93"/>
  <c r="H128" i="93" s="1"/>
  <c r="E149" i="93"/>
  <c r="H149" i="93" s="1"/>
  <c r="E180" i="21"/>
  <c r="E39" i="108"/>
  <c r="E113" i="108"/>
  <c r="I113" i="108" s="1"/>
  <c r="E143" i="148"/>
  <c r="E119" i="52064"/>
  <c r="E142" i="108"/>
  <c r="I142" i="108" s="1"/>
  <c r="E122" i="148"/>
  <c r="E112" i="52064"/>
  <c r="E41" i="148"/>
  <c r="E108" i="52089"/>
  <c r="E83" i="52092"/>
  <c r="E96" i="52064"/>
  <c r="E27" i="108"/>
  <c r="E77" i="52089"/>
  <c r="E114" i="52089"/>
  <c r="E36" i="52091"/>
  <c r="E90" i="52093"/>
  <c r="I90" i="52093" s="1"/>
  <c r="E85" i="52091"/>
  <c r="E79" i="52092"/>
  <c r="I79" i="52092" s="1"/>
  <c r="E26" i="32"/>
  <c r="E79" i="91"/>
  <c r="E36" i="48"/>
  <c r="E82" i="32"/>
  <c r="E74" i="48"/>
  <c r="E35" i="21"/>
  <c r="E77" i="21"/>
  <c r="E96" i="52072"/>
  <c r="I96" i="52072" s="1"/>
  <c r="E68" i="21"/>
  <c r="I68" i="21" s="1"/>
  <c r="E96" i="52091"/>
  <c r="E28" i="52092"/>
  <c r="E88" i="52093"/>
  <c r="E105" i="32"/>
  <c r="E135" i="52072"/>
  <c r="I135" i="52072" s="1"/>
  <c r="E78" i="32"/>
  <c r="E109" i="52064"/>
  <c r="E73" i="108"/>
  <c r="I73" i="108" s="1"/>
  <c r="E74" i="52089"/>
  <c r="E82" i="52089"/>
  <c r="E73" i="52092"/>
  <c r="I73" i="52092" s="1"/>
  <c r="E105" i="52093"/>
  <c r="E105" i="52064"/>
  <c r="E72" i="108"/>
  <c r="E84" i="52089"/>
  <c r="E85" i="52092"/>
  <c r="I85" i="52092" s="1"/>
  <c r="E24" i="21"/>
  <c r="E24" i="52098" s="1"/>
  <c r="E37" i="93"/>
  <c r="H37" i="93" s="1"/>
  <c r="E106" i="52066"/>
  <c r="I106" i="52066" s="1"/>
  <c r="E114" i="48"/>
  <c r="E77" i="91"/>
  <c r="E9" i="52091"/>
  <c r="I9" i="52091" s="1"/>
  <c r="E27" i="52079"/>
  <c r="E109" i="52079"/>
  <c r="I109" i="52079" s="1"/>
  <c r="E120" i="52079"/>
  <c r="I120" i="52079" s="1"/>
  <c r="E131" i="52079"/>
  <c r="E178" i="52079"/>
  <c r="I178" i="52079" s="1"/>
  <c r="E189" i="52079"/>
  <c r="I189" i="52079" s="1"/>
  <c r="E197" i="52079"/>
  <c r="I197" i="52079" s="1"/>
  <c r="E51" i="93"/>
  <c r="H51" i="93" s="1"/>
  <c r="E78" i="52072"/>
  <c r="E135" i="48"/>
  <c r="E9" i="148"/>
  <c r="E12" i="52079"/>
  <c r="I12" i="52079" s="1"/>
  <c r="E24" i="52079"/>
  <c r="E74" i="52079"/>
  <c r="I74" i="52079" s="1"/>
  <c r="E82" i="52079"/>
  <c r="I82" i="52079" s="1"/>
  <c r="E91" i="52079"/>
  <c r="I91" i="52079" s="1"/>
  <c r="E160" i="52079"/>
  <c r="I160" i="52079" s="1"/>
  <c r="E171" i="52079"/>
  <c r="I171" i="52079" s="1"/>
  <c r="E179" i="52079"/>
  <c r="I179" i="52079" s="1"/>
  <c r="E190" i="52079"/>
  <c r="I190" i="52079" s="1"/>
  <c r="E198" i="52079"/>
  <c r="I198" i="52079" s="1"/>
  <c r="E75" i="52072"/>
  <c r="E72" i="12"/>
  <c r="E91" i="148"/>
  <c r="I91" i="148" s="1"/>
  <c r="E105" i="108"/>
  <c r="E28" i="148"/>
  <c r="E253" i="148" s="1"/>
  <c r="E27" i="52067"/>
  <c r="E161" i="148"/>
  <c r="I161" i="148" s="1"/>
  <c r="E84" i="52064"/>
  <c r="E35" i="148"/>
  <c r="E66" i="52064"/>
  <c r="E118" i="52064"/>
  <c r="E145" i="108"/>
  <c r="E165" i="52091"/>
  <c r="E148" i="52092"/>
  <c r="E134" i="21"/>
  <c r="I134" i="21" s="1"/>
  <c r="E142" i="52064"/>
  <c r="E16" i="114"/>
  <c r="I16" i="114" s="1"/>
  <c r="E148" i="52091"/>
  <c r="E121" i="52092"/>
  <c r="I121" i="52092" s="1"/>
  <c r="E39" i="52071"/>
  <c r="E180" i="52092"/>
  <c r="I180" i="52092" s="1"/>
  <c r="E180" i="32"/>
  <c r="E134" i="91"/>
  <c r="E156" i="91"/>
  <c r="E142" i="52072"/>
  <c r="I142" i="52072" s="1"/>
  <c r="E91" i="93"/>
  <c r="H91" i="93" s="1"/>
  <c r="E127" i="93"/>
  <c r="H127" i="93" s="1"/>
  <c r="E184" i="93"/>
  <c r="H184" i="93" s="1"/>
  <c r="E112" i="148"/>
  <c r="I112" i="148" s="1"/>
  <c r="E172" i="101"/>
  <c r="I172" i="101" s="1"/>
  <c r="E142" i="52092"/>
  <c r="E119" i="52093"/>
  <c r="E141" i="21"/>
  <c r="I141" i="21" s="1"/>
  <c r="E158" i="148"/>
  <c r="I158" i="148" s="1"/>
  <c r="E150" i="52071"/>
  <c r="I150" i="52071" s="1"/>
  <c r="E143" i="52089"/>
  <c r="E113" i="52091"/>
  <c r="E97" i="52093"/>
  <c r="I97" i="52093" s="1"/>
  <c r="E119" i="52091"/>
  <c r="I119" i="52091" s="1"/>
  <c r="L119" i="52091" s="1"/>
  <c r="E156" i="52092"/>
  <c r="E120" i="32"/>
  <c r="E119" i="52066"/>
  <c r="E121" i="52066"/>
  <c r="I121" i="52066" s="1"/>
  <c r="E152" i="52066"/>
  <c r="I152" i="52066" s="1"/>
  <c r="E149" i="91"/>
  <c r="E138" i="48"/>
  <c r="E150" i="52091"/>
  <c r="E179" i="52093"/>
  <c r="I179" i="52093" s="1"/>
  <c r="E145" i="91"/>
  <c r="E148" i="48"/>
  <c r="E132" i="91"/>
  <c r="E11" i="48"/>
  <c r="E118" i="52066"/>
  <c r="E162" i="52095"/>
  <c r="E97" i="32"/>
  <c r="E122" i="52093"/>
  <c r="I122" i="52093" s="1"/>
  <c r="E121" i="32"/>
  <c r="I121" i="32" s="1"/>
  <c r="E148" i="52066"/>
  <c r="E97" i="52072"/>
  <c r="I97" i="52072" s="1"/>
  <c r="E148" i="52072"/>
  <c r="I148" i="52072" s="1"/>
  <c r="E145" i="32"/>
  <c r="E160" i="48"/>
  <c r="E149" i="21"/>
  <c r="E144" i="21"/>
  <c r="E141" i="52064"/>
  <c r="E150" i="148"/>
  <c r="E127" i="52064"/>
  <c r="E138" i="52064"/>
  <c r="E134" i="52064"/>
  <c r="E11" i="52088"/>
  <c r="I11" i="52088" s="1"/>
  <c r="E149" i="148"/>
  <c r="E143" i="52064"/>
  <c r="E158" i="52064"/>
  <c r="E76" i="52095"/>
  <c r="E86" i="52089"/>
  <c r="E86" i="52091"/>
  <c r="I86" i="52091" s="1"/>
  <c r="L86" i="52091" s="1"/>
  <c r="E90" i="52092"/>
  <c r="I90" i="52092" s="1"/>
  <c r="E95" i="52093"/>
  <c r="E108" i="52064"/>
  <c r="E42" i="108"/>
  <c r="F42" i="52083" s="1"/>
  <c r="E72" i="52091"/>
  <c r="I72" i="52091" s="1"/>
  <c r="E90" i="52091"/>
  <c r="I90" i="52091" s="1"/>
  <c r="L90" i="52091" s="1"/>
  <c r="E73" i="52089"/>
  <c r="E27" i="52091"/>
  <c r="E96" i="52092"/>
  <c r="I96" i="52092" s="1"/>
  <c r="E109" i="32"/>
  <c r="E76" i="32"/>
  <c r="E87" i="91"/>
  <c r="E27" i="48"/>
  <c r="E35" i="52064"/>
  <c r="D35" i="9" s="1"/>
  <c r="E106" i="52064"/>
  <c r="E86" i="108"/>
  <c r="I86" i="108" s="1"/>
  <c r="E86" i="52064"/>
  <c r="E78" i="148"/>
  <c r="E161" i="108"/>
  <c r="I161" i="108" s="1"/>
  <c r="E26" i="148"/>
  <c r="E85" i="52064"/>
  <c r="I85" i="52064" s="1"/>
  <c r="E120" i="148"/>
  <c r="I120" i="148" s="1"/>
  <c r="E152" i="52091"/>
  <c r="E132" i="52093"/>
  <c r="I132" i="52093" s="1"/>
  <c r="E11" i="52094"/>
  <c r="E152" i="148"/>
  <c r="I152" i="148" s="1"/>
  <c r="E149" i="52087"/>
  <c r="I149" i="52087" s="1"/>
  <c r="E152" i="52092"/>
  <c r="I152" i="52092" s="1"/>
  <c r="E180" i="52093"/>
  <c r="E113" i="32"/>
  <c r="E113" i="48"/>
  <c r="E119" i="52072"/>
  <c r="I119" i="52072" s="1"/>
  <c r="L119" i="52072" s="1"/>
  <c r="E125" i="93"/>
  <c r="H125" i="93" s="1"/>
  <c r="E118" i="32"/>
  <c r="E112" i="48"/>
  <c r="E143" i="21"/>
  <c r="I143" i="21" s="1"/>
  <c r="E119" i="108"/>
  <c r="E152" i="108"/>
  <c r="E165" i="52092"/>
  <c r="E149" i="12"/>
  <c r="E11" i="148"/>
  <c r="E143" i="108"/>
  <c r="E120" i="52092"/>
  <c r="E156" i="52091"/>
  <c r="E113" i="52093"/>
  <c r="I113" i="52093" s="1"/>
  <c r="L113" i="52093" s="1"/>
  <c r="E160" i="32"/>
  <c r="E143" i="52066"/>
  <c r="E10" i="93"/>
  <c r="H10" i="93" s="1"/>
  <c r="E133" i="93"/>
  <c r="E134" i="48"/>
  <c r="E99" i="52089"/>
  <c r="E134" i="52089"/>
  <c r="E158" i="52089"/>
  <c r="E180" i="52091"/>
  <c r="I180" i="52091" s="1"/>
  <c r="E143" i="52092"/>
  <c r="E119" i="32"/>
  <c r="E122" i="91"/>
  <c r="E141" i="32"/>
  <c r="E97" i="52066"/>
  <c r="E78" i="93"/>
  <c r="H78" i="93" s="1"/>
  <c r="E180" i="93"/>
  <c r="H180" i="93" s="1"/>
  <c r="E132" i="52095"/>
  <c r="E132" i="21"/>
  <c r="I132" i="21" s="1"/>
  <c r="E150" i="32"/>
  <c r="E145" i="52089"/>
  <c r="E146" i="52093"/>
  <c r="I146" i="52093" s="1"/>
  <c r="E141" i="52066"/>
  <c r="E39" i="52072"/>
  <c r="E112" i="52072"/>
  <c r="E122" i="52072"/>
  <c r="I122" i="52072" s="1"/>
  <c r="E100" i="21"/>
  <c r="I100" i="21" s="1"/>
  <c r="E119" i="21"/>
  <c r="I119" i="21" s="1"/>
  <c r="E113" i="148"/>
  <c r="I113" i="148" s="1"/>
  <c r="E97" i="108"/>
  <c r="E152" i="52064"/>
  <c r="E127" i="148"/>
  <c r="I127" i="148" s="1"/>
  <c r="E147" i="148"/>
  <c r="E148" i="52064"/>
  <c r="E92" i="93"/>
  <c r="H92" i="93" s="1"/>
  <c r="E25" i="52095"/>
  <c r="E26" i="108"/>
  <c r="E78" i="52093"/>
  <c r="I78" i="52093" s="1"/>
  <c r="E68" i="52064"/>
  <c r="E108" i="148"/>
  <c r="E41" i="52089"/>
  <c r="E41" i="52093"/>
  <c r="E29" i="114"/>
  <c r="E41" i="52091"/>
  <c r="E72" i="52092"/>
  <c r="E83" i="52093"/>
  <c r="I83" i="52093" s="1"/>
  <c r="E86" i="32"/>
  <c r="E79" i="52066"/>
  <c r="I79" i="52066" s="1"/>
  <c r="E111" i="52066"/>
  <c r="I111" i="52066" s="1"/>
  <c r="E77" i="52072"/>
  <c r="I77" i="52072" s="1"/>
  <c r="E82" i="52072"/>
  <c r="E54" i="93"/>
  <c r="H54" i="93" s="1"/>
  <c r="E73" i="93"/>
  <c r="H73" i="93" s="1"/>
  <c r="E68" i="32"/>
  <c r="E105" i="48"/>
  <c r="E82" i="52066"/>
  <c r="E80" i="52072"/>
  <c r="I80" i="52072" s="1"/>
  <c r="E91" i="21"/>
  <c r="I91" i="21" s="1"/>
  <c r="E108" i="48"/>
  <c r="E66" i="21"/>
  <c r="I66" i="21" s="1"/>
  <c r="E105" i="52091"/>
  <c r="E106" i="52093"/>
  <c r="I106" i="52093" s="1"/>
  <c r="L106" i="52093" s="1"/>
  <c r="E68" i="91"/>
  <c r="E35" i="52072"/>
  <c r="E24" i="93"/>
  <c r="H24" i="93" s="1"/>
  <c r="E182" i="91"/>
  <c r="E91" i="108"/>
  <c r="E106" i="52092"/>
  <c r="E161" i="52093"/>
  <c r="E82" i="52064"/>
  <c r="E25" i="108"/>
  <c r="E108" i="108"/>
  <c r="I108" i="108" s="1"/>
  <c r="E80" i="52092"/>
  <c r="I80" i="52092" s="1"/>
  <c r="E64" i="52093"/>
  <c r="E109" i="52089"/>
  <c r="E114" i="52091"/>
  <c r="I114" i="52091" s="1"/>
  <c r="E108" i="52092"/>
  <c r="E77" i="52093"/>
  <c r="E91" i="32"/>
  <c r="E105" i="52066"/>
  <c r="E58" i="93"/>
  <c r="H58" i="93" s="1"/>
  <c r="E35" i="32"/>
  <c r="E64" i="48"/>
  <c r="E84" i="52072"/>
  <c r="I84" i="52072" s="1"/>
  <c r="E29" i="93"/>
  <c r="H29" i="93" s="1"/>
  <c r="E88" i="21"/>
  <c r="E106" i="52089"/>
  <c r="E26" i="52091"/>
  <c r="E23" i="32"/>
  <c r="E76" i="91"/>
  <c r="E79" i="48"/>
  <c r="E88" i="32"/>
  <c r="E137" i="105"/>
  <c r="E91" i="52091"/>
  <c r="E42" i="32"/>
  <c r="E41" i="52066"/>
  <c r="E79" i="32"/>
  <c r="E25" i="48"/>
  <c r="E27" i="21"/>
  <c r="E27" i="52098" s="1"/>
  <c r="E91" i="52092"/>
  <c r="E111" i="32"/>
  <c r="E91" i="52072"/>
  <c r="E36" i="32"/>
  <c r="E125" i="115"/>
  <c r="E98" i="12"/>
  <c r="E144" i="52091"/>
  <c r="I144" i="52091" s="1"/>
  <c r="E72" i="52094"/>
  <c r="E18" i="12"/>
  <c r="E176" i="52064"/>
  <c r="E159" i="105"/>
  <c r="E81" i="115"/>
  <c r="E37" i="77"/>
  <c r="E12" i="52093"/>
  <c r="I12" i="52093" s="1"/>
  <c r="E81" i="52093"/>
  <c r="I81" i="52093" s="1"/>
  <c r="E123" i="52093"/>
  <c r="I123" i="52093" s="1"/>
  <c r="E182" i="52093"/>
  <c r="E8" i="77"/>
  <c r="E101" i="52095"/>
  <c r="E8" i="52066"/>
  <c r="E172" i="52095"/>
  <c r="E189" i="48"/>
  <c r="E175" i="148"/>
  <c r="E37" i="101"/>
  <c r="E18" i="52071"/>
  <c r="I18" i="52071" s="1"/>
  <c r="E182" i="114"/>
  <c r="E172" i="52092"/>
  <c r="I172" i="52092" s="1"/>
  <c r="E176" i="52092"/>
  <c r="I176" i="52092" s="1"/>
  <c r="E8" i="52093"/>
  <c r="I8" i="52093" s="1"/>
  <c r="L8" i="52093" s="1"/>
  <c r="E101" i="52071"/>
  <c r="I101" i="52071" s="1"/>
  <c r="E140" i="52071"/>
  <c r="I140" i="52071" s="1"/>
  <c r="E187" i="52071"/>
  <c r="I187" i="52071" s="1"/>
  <c r="E189" i="12"/>
  <c r="E111" i="52064"/>
  <c r="E187" i="105"/>
  <c r="E159" i="52087"/>
  <c r="I159" i="52087" s="1"/>
  <c r="E92" i="20"/>
  <c r="E75" i="52092"/>
  <c r="I75" i="52092" s="1"/>
  <c r="E157" i="21"/>
  <c r="E171" i="148"/>
  <c r="E123" i="52087"/>
  <c r="I123" i="52087" s="1"/>
  <c r="E194" i="52088"/>
  <c r="I194" i="52088" s="1"/>
  <c r="E198" i="52088"/>
  <c r="I198" i="52088" s="1"/>
  <c r="E125" i="114"/>
  <c r="I125" i="114" s="1"/>
  <c r="E140" i="114"/>
  <c r="I140" i="114" s="1"/>
  <c r="L140" i="114" s="1"/>
  <c r="E133" i="20"/>
  <c r="E164" i="52090"/>
  <c r="I164" i="52090" s="1"/>
  <c r="E181" i="52090"/>
  <c r="I181" i="52090" s="1"/>
  <c r="E193" i="52090"/>
  <c r="I193" i="52090" s="1"/>
  <c r="E177" i="52091"/>
  <c r="I177" i="52091" s="1"/>
  <c r="E123" i="52092"/>
  <c r="I123" i="52092" s="1"/>
  <c r="L123" i="52092" s="1"/>
  <c r="E198" i="20"/>
  <c r="E140" i="21"/>
  <c r="E196" i="52064"/>
  <c r="E17" i="108"/>
  <c r="I17" i="108" s="1"/>
  <c r="E29" i="108"/>
  <c r="E181" i="52088"/>
  <c r="I181" i="52088" s="1"/>
  <c r="E16" i="101"/>
  <c r="I16" i="101" s="1"/>
  <c r="E176" i="20"/>
  <c r="E193" i="52089"/>
  <c r="E76" i="52091"/>
  <c r="E197" i="52091"/>
  <c r="I197" i="52091" s="1"/>
  <c r="E191" i="52071"/>
  <c r="I191" i="52071" s="1"/>
  <c r="E195" i="52071"/>
  <c r="I195" i="52071" s="1"/>
  <c r="E199" i="52071"/>
  <c r="I199" i="52071" s="1"/>
  <c r="E74" i="114"/>
  <c r="I74" i="114" s="1"/>
  <c r="E80" i="77"/>
  <c r="I80" i="77" s="1"/>
  <c r="E94" i="77"/>
  <c r="I94" i="77" s="1"/>
  <c r="E137" i="52095"/>
  <c r="E16" i="48"/>
  <c r="E13" i="93"/>
  <c r="H13" i="93" s="1"/>
  <c r="E42" i="93"/>
  <c r="H42" i="93" s="1"/>
  <c r="E75" i="52094"/>
  <c r="E49" i="32"/>
  <c r="E87" i="48"/>
  <c r="I87" i="48" s="1"/>
  <c r="E12" i="105"/>
  <c r="E19" i="115"/>
  <c r="E11" i="77"/>
  <c r="I11" i="77" s="1"/>
  <c r="E164" i="77"/>
  <c r="E17" i="52089"/>
  <c r="E123" i="52089"/>
  <c r="E176" i="52091"/>
  <c r="I176" i="52091" s="1"/>
  <c r="E14" i="52092"/>
  <c r="I14" i="52092" s="1"/>
  <c r="E175" i="114"/>
  <c r="I175" i="114" s="1"/>
  <c r="E29" i="12"/>
  <c r="E19" i="52071"/>
  <c r="I19" i="52071" s="1"/>
  <c r="E29" i="52064"/>
  <c r="D29" i="9" s="1"/>
  <c r="E107" i="108"/>
  <c r="I107" i="108" s="1"/>
  <c r="E17" i="52067"/>
  <c r="I17" i="52067" s="1"/>
  <c r="E18" i="114"/>
  <c r="I18" i="114" s="1"/>
  <c r="E135" i="115"/>
  <c r="E173" i="115"/>
  <c r="E190" i="77"/>
  <c r="I190" i="77" s="1"/>
  <c r="E199" i="77"/>
  <c r="I199" i="77" s="1"/>
  <c r="E183" i="52089"/>
  <c r="E170" i="52090"/>
  <c r="E19" i="52093"/>
  <c r="I19" i="52093" s="1"/>
  <c r="E124" i="52093"/>
  <c r="I124" i="52093" s="1"/>
  <c r="L124" i="52093" s="1"/>
  <c r="E159" i="52093"/>
  <c r="I159" i="52093" s="1"/>
  <c r="E10" i="52094"/>
  <c r="E198" i="12"/>
  <c r="E11" i="52093"/>
  <c r="I11" i="52093" s="1"/>
  <c r="E18" i="52093"/>
  <c r="I18" i="52093" s="1"/>
  <c r="E196" i="52094"/>
  <c r="E125" i="32"/>
  <c r="E191" i="91"/>
  <c r="E193" i="91"/>
  <c r="E123" i="93"/>
  <c r="H123" i="93" s="1"/>
  <c r="E181" i="52095"/>
  <c r="E175" i="91"/>
  <c r="E19" i="48"/>
  <c r="E13" i="21"/>
  <c r="E144" i="77"/>
  <c r="I144" i="77" s="1"/>
  <c r="E144" i="52089"/>
  <c r="E181" i="52089"/>
  <c r="E11" i="52090"/>
  <c r="I11" i="52090" s="1"/>
  <c r="E15" i="52090"/>
  <c r="I15" i="52090" s="1"/>
  <c r="E49" i="52095"/>
  <c r="E198" i="32"/>
  <c r="E135" i="52066"/>
  <c r="I135" i="52066" s="1"/>
  <c r="E194" i="52066"/>
  <c r="I194" i="52066" s="1"/>
  <c r="E143" i="52072"/>
  <c r="E80" i="52095"/>
  <c r="I80" i="52095" s="1"/>
  <c r="E183" i="91"/>
  <c r="E37" i="52066"/>
  <c r="E123" i="21"/>
  <c r="E81" i="52091"/>
  <c r="I81" i="52091" s="1"/>
  <c r="E8" i="52092"/>
  <c r="E163" i="52095"/>
  <c r="E92" i="48"/>
  <c r="E81" i="52094"/>
  <c r="E93" i="32"/>
  <c r="E198" i="91"/>
  <c r="E124" i="52066"/>
  <c r="I124" i="52066" s="1"/>
  <c r="E178" i="52066"/>
  <c r="I178" i="52066" s="1"/>
  <c r="E16" i="52072"/>
  <c r="I16" i="52072" s="1"/>
  <c r="E23" i="52072"/>
  <c r="E170" i="21"/>
  <c r="E37" i="52064"/>
  <c r="E174" i="105"/>
  <c r="E189" i="148"/>
  <c r="E188" i="52087"/>
  <c r="I188" i="52087" s="1"/>
  <c r="E163" i="52087"/>
  <c r="I163" i="52087" s="1"/>
  <c r="E140" i="148"/>
  <c r="E146" i="52067"/>
  <c r="I146" i="52067" s="1"/>
  <c r="E197" i="52087"/>
  <c r="I197" i="52087" s="1"/>
  <c r="E23" i="52067"/>
  <c r="E30" i="52067" s="1"/>
  <c r="E44" i="52067" s="1"/>
  <c r="E75" i="101"/>
  <c r="I75" i="101" s="1"/>
  <c r="E178" i="52087"/>
  <c r="I178" i="52087" s="1"/>
  <c r="E93" i="148"/>
  <c r="I93" i="148" s="1"/>
  <c r="E123" i="108"/>
  <c r="I123" i="108" s="1"/>
  <c r="E101" i="12"/>
  <c r="E140" i="52090"/>
  <c r="I140" i="52090" s="1"/>
  <c r="E17" i="52091"/>
  <c r="I17" i="52091" s="1"/>
  <c r="E192" i="52091"/>
  <c r="I192" i="52091" s="1"/>
  <c r="E15" i="52092"/>
  <c r="I15" i="52092" s="1"/>
  <c r="E172" i="52071"/>
  <c r="I172" i="52071" s="1"/>
  <c r="E176" i="52071"/>
  <c r="I176" i="52071" s="1"/>
  <c r="E188" i="52071"/>
  <c r="I188" i="52071" s="1"/>
  <c r="E192" i="52071"/>
  <c r="I192" i="52071" s="1"/>
  <c r="E196" i="52071"/>
  <c r="I196" i="52071" s="1"/>
  <c r="E199" i="114"/>
  <c r="I199" i="114" s="1"/>
  <c r="E23" i="115"/>
  <c r="E80" i="52091"/>
  <c r="I80" i="52091" s="1"/>
  <c r="E188" i="52091"/>
  <c r="I188" i="52091" s="1"/>
  <c r="E19" i="52094"/>
  <c r="E18" i="32"/>
  <c r="E192" i="48"/>
  <c r="E15" i="91"/>
  <c r="E101" i="21"/>
  <c r="E94" i="12"/>
  <c r="E157" i="52090"/>
  <c r="E197" i="52094"/>
  <c r="E181" i="32"/>
  <c r="E75" i="91"/>
  <c r="E157" i="91"/>
  <c r="E178" i="48"/>
  <c r="E93" i="52095"/>
  <c r="E146" i="48"/>
  <c r="E18" i="93"/>
  <c r="H18" i="93" s="1"/>
  <c r="E195" i="93"/>
  <c r="H195" i="93" s="1"/>
  <c r="E197" i="52067"/>
  <c r="I197" i="52067" s="1"/>
  <c r="E157" i="52095"/>
  <c r="E126" i="52072"/>
  <c r="I126" i="52072" s="1"/>
  <c r="E81" i="21"/>
  <c r="E193" i="52095"/>
  <c r="E191" i="32"/>
  <c r="E176" i="52072"/>
  <c r="I176" i="52072" s="1"/>
  <c r="E188" i="52072"/>
  <c r="I188" i="52072" s="1"/>
  <c r="E192" i="52072"/>
  <c r="I192" i="52072" s="1"/>
  <c r="E139" i="93"/>
  <c r="H139" i="93" s="1"/>
  <c r="E190" i="93"/>
  <c r="H190" i="93" s="1"/>
  <c r="E192" i="93"/>
  <c r="H192" i="93" s="1"/>
  <c r="E10" i="52088"/>
  <c r="I10" i="52088" s="1"/>
  <c r="E171" i="52087"/>
  <c r="I171" i="52087" s="1"/>
  <c r="E108" i="52087"/>
  <c r="I108" i="52087" s="1"/>
  <c r="E170" i="108"/>
  <c r="E136" i="52064"/>
  <c r="E192" i="52088"/>
  <c r="I192" i="52088" s="1"/>
  <c r="E144" i="52088"/>
  <c r="I144" i="52088" s="1"/>
  <c r="E92" i="108"/>
  <c r="I92" i="108" s="1"/>
  <c r="E196" i="148"/>
  <c r="E133" i="52067"/>
  <c r="I133" i="52067" s="1"/>
  <c r="E189" i="101"/>
  <c r="I189" i="101" s="1"/>
  <c r="E172" i="108"/>
  <c r="I172" i="108" s="1"/>
  <c r="E135" i="52064"/>
  <c r="E29" i="148"/>
  <c r="E90" i="52072"/>
  <c r="E77" i="93"/>
  <c r="H77" i="93" s="1"/>
  <c r="E26" i="21"/>
  <c r="E26" i="52098" s="1"/>
  <c r="E28" i="52091"/>
  <c r="E253" i="52091" s="1"/>
  <c r="E42" i="52091"/>
  <c r="F42" i="52091" s="1"/>
  <c r="E29" i="52093"/>
  <c r="E64" i="32"/>
  <c r="E161" i="91"/>
  <c r="E68" i="52066"/>
  <c r="I68" i="52066" s="1"/>
  <c r="E84" i="52066"/>
  <c r="E73" i="52072"/>
  <c r="E105" i="52072"/>
  <c r="E96" i="93"/>
  <c r="E79" i="108"/>
  <c r="E68" i="52091"/>
  <c r="E36" i="52092"/>
  <c r="E114" i="52093"/>
  <c r="I114" i="52093" s="1"/>
  <c r="E111" i="148"/>
  <c r="I111" i="148" s="1"/>
  <c r="E109" i="108"/>
  <c r="E35" i="52092"/>
  <c r="E85" i="52089"/>
  <c r="E64" i="52091"/>
  <c r="E86" i="52093"/>
  <c r="I86" i="52093" s="1"/>
  <c r="E66" i="48"/>
  <c r="E85" i="52066"/>
  <c r="I85" i="52066" s="1"/>
  <c r="E27" i="93"/>
  <c r="H27" i="93" s="1"/>
  <c r="E73" i="32"/>
  <c r="E64" i="91"/>
  <c r="E83" i="48"/>
  <c r="E45" i="93"/>
  <c r="H45" i="93" s="1"/>
  <c r="E57" i="93"/>
  <c r="H57" i="93" s="1"/>
  <c r="E25" i="21"/>
  <c r="E25" i="52098" s="1"/>
  <c r="E76" i="52089"/>
  <c r="E88" i="52089"/>
  <c r="E82" i="52092"/>
  <c r="E36" i="52093"/>
  <c r="E96" i="32"/>
  <c r="E106" i="48"/>
  <c r="E25" i="93"/>
  <c r="H25" i="93" s="1"/>
  <c r="E66" i="32"/>
  <c r="E171" i="52064"/>
  <c r="E164" i="52067"/>
  <c r="I164" i="52067" s="1"/>
  <c r="E49" i="52071"/>
  <c r="I49" i="52071" s="1"/>
  <c r="E136" i="52071"/>
  <c r="I136" i="52071" s="1"/>
  <c r="E98" i="115"/>
  <c r="E40" i="52089"/>
  <c r="E177" i="52092"/>
  <c r="E170" i="52071"/>
  <c r="E80" i="12"/>
  <c r="E17" i="52071"/>
  <c r="I17" i="52071" s="1"/>
  <c r="E192" i="52064"/>
  <c r="E40" i="108"/>
  <c r="E139" i="101"/>
  <c r="I139" i="101" s="1"/>
  <c r="E166" i="101"/>
  <c r="I166" i="101" s="1"/>
  <c r="E196" i="101"/>
  <c r="I196" i="101" s="1"/>
  <c r="E8" i="52067"/>
  <c r="E175" i="12"/>
  <c r="E125" i="52093"/>
  <c r="I125" i="52093" s="1"/>
  <c r="E78" i="52094"/>
  <c r="E40" i="77"/>
  <c r="E133" i="52095"/>
  <c r="E93" i="52066"/>
  <c r="I93" i="52066" s="1"/>
  <c r="E164" i="52066"/>
  <c r="I164" i="52066" s="1"/>
  <c r="E65" i="52072"/>
  <c r="E80" i="91"/>
  <c r="E15" i="48"/>
  <c r="E144" i="52064"/>
  <c r="E170" i="52067"/>
  <c r="I170" i="52067" s="1"/>
  <c r="E137" i="114"/>
  <c r="I137" i="114" s="1"/>
  <c r="E146" i="114"/>
  <c r="I146" i="114" s="1"/>
  <c r="E174" i="115"/>
  <c r="E178" i="115"/>
  <c r="E198" i="115"/>
  <c r="E12" i="12"/>
  <c r="E195" i="52089"/>
  <c r="E199" i="52089"/>
  <c r="E37" i="52091"/>
  <c r="E163" i="115"/>
  <c r="E40" i="20"/>
  <c r="E40" i="52074" s="1"/>
  <c r="E197" i="12"/>
  <c r="E170" i="52064"/>
  <c r="E188" i="108"/>
  <c r="I188" i="108" s="1"/>
  <c r="E192" i="108"/>
  <c r="I192" i="108" s="1"/>
  <c r="E197" i="108"/>
  <c r="I197" i="108" s="1"/>
  <c r="E12" i="52087"/>
  <c r="I12" i="52087" s="1"/>
  <c r="E19" i="52087"/>
  <c r="I19" i="52087" s="1"/>
  <c r="E18" i="52088"/>
  <c r="I18" i="52088" s="1"/>
  <c r="E135" i="52088"/>
  <c r="I135" i="52088" s="1"/>
  <c r="E15" i="12"/>
  <c r="E81" i="52064"/>
  <c r="E133" i="52087"/>
  <c r="I133" i="52087" s="1"/>
  <c r="E83" i="52088"/>
  <c r="I83" i="52088" s="1"/>
  <c r="E92" i="52088"/>
  <c r="I92" i="52088" s="1"/>
  <c r="E98" i="52088"/>
  <c r="I98" i="52088" s="1"/>
  <c r="E164" i="52088"/>
  <c r="I164" i="52088" s="1"/>
  <c r="E15" i="52067"/>
  <c r="I15" i="52067" s="1"/>
  <c r="E101" i="52067"/>
  <c r="I101" i="52067" s="1"/>
  <c r="E166" i="114"/>
  <c r="I166" i="114" s="1"/>
  <c r="E17" i="115"/>
  <c r="E177" i="20"/>
  <c r="E137" i="77"/>
  <c r="I137" i="77" s="1"/>
  <c r="E146" i="77"/>
  <c r="I146" i="77" s="1"/>
  <c r="E193" i="77"/>
  <c r="I193" i="77" s="1"/>
  <c r="E29" i="52089"/>
  <c r="E23" i="52093"/>
  <c r="E72" i="91"/>
  <c r="E68" i="52072"/>
  <c r="I68" i="52072" s="1"/>
  <c r="E114" i="91"/>
  <c r="E88" i="52066"/>
  <c r="E42" i="21"/>
  <c r="E26" i="52092"/>
  <c r="E41" i="32"/>
  <c r="E85" i="52072"/>
  <c r="I85" i="52072" s="1"/>
  <c r="E63" i="93"/>
  <c r="H63" i="93" s="1"/>
  <c r="E198" i="105"/>
  <c r="E164" i="115"/>
  <c r="E93" i="20"/>
  <c r="E16" i="77"/>
  <c r="I16" i="77" s="1"/>
  <c r="E92" i="52091"/>
  <c r="I92" i="52091" s="1"/>
  <c r="E12" i="114"/>
  <c r="I12" i="114" s="1"/>
  <c r="E37" i="114"/>
  <c r="E136" i="12"/>
  <c r="E8" i="148"/>
  <c r="E197" i="105"/>
  <c r="E144" i="52067"/>
  <c r="I144" i="52067" s="1"/>
  <c r="E173" i="52067"/>
  <c r="I173" i="52067" s="1"/>
  <c r="E10" i="52071"/>
  <c r="I10" i="52071" s="1"/>
  <c r="E164" i="114"/>
  <c r="E10" i="115"/>
  <c r="E72" i="115"/>
  <c r="E19" i="12"/>
  <c r="E133" i="52071"/>
  <c r="I133" i="52071" s="1"/>
  <c r="E94" i="115"/>
  <c r="E92" i="12"/>
  <c r="E189" i="52089"/>
  <c r="E17" i="52090"/>
  <c r="I17" i="52090" s="1"/>
  <c r="E198" i="52094"/>
  <c r="E98" i="32"/>
  <c r="E99" i="93"/>
  <c r="H99" i="93" s="1"/>
  <c r="E11" i="52095"/>
  <c r="E157" i="52072"/>
  <c r="I157" i="52072" s="1"/>
  <c r="E175" i="52064"/>
  <c r="E98" i="101"/>
  <c r="I98" i="101" s="1"/>
  <c r="E135" i="101"/>
  <c r="I135" i="101" s="1"/>
  <c r="E171" i="101"/>
  <c r="I171" i="101" s="1"/>
  <c r="E175" i="101"/>
  <c r="I175" i="101" s="1"/>
  <c r="E178" i="101"/>
  <c r="I178" i="101" s="1"/>
  <c r="E65" i="52067"/>
  <c r="E175" i="20"/>
  <c r="E29" i="52090"/>
  <c r="E78" i="20"/>
  <c r="I78" i="20" s="1"/>
  <c r="E133" i="21"/>
  <c r="E178" i="52064"/>
  <c r="E37" i="108"/>
  <c r="E137" i="52088"/>
  <c r="I137" i="52088" s="1"/>
  <c r="E140" i="52088"/>
  <c r="I140" i="52088" s="1"/>
  <c r="E182" i="52088"/>
  <c r="I182" i="52088" s="1"/>
  <c r="E49" i="52092"/>
  <c r="E12" i="148"/>
  <c r="E187" i="52087"/>
  <c r="I187" i="52087" s="1"/>
  <c r="E181" i="52071"/>
  <c r="I181" i="52071" s="1"/>
  <c r="E93" i="114"/>
  <c r="I93" i="114" s="1"/>
  <c r="E16" i="20"/>
  <c r="E64" i="52089"/>
  <c r="E126" i="12"/>
  <c r="E92" i="52071"/>
  <c r="I92" i="52071" s="1"/>
  <c r="E163" i="21"/>
  <c r="E72" i="148"/>
  <c r="I72" i="148" s="1"/>
  <c r="E135" i="108"/>
  <c r="I135" i="108" s="1"/>
  <c r="E191" i="108"/>
  <c r="I191" i="108" s="1"/>
  <c r="E198" i="108"/>
  <c r="I198" i="108" s="1"/>
  <c r="E14" i="20"/>
  <c r="E136" i="77"/>
  <c r="I136" i="77" s="1"/>
  <c r="E83" i="52091"/>
  <c r="I83" i="52091" s="1"/>
  <c r="E183" i="52091"/>
  <c r="I183" i="52091" s="1"/>
  <c r="E193" i="52091"/>
  <c r="I193" i="52091" s="1"/>
  <c r="E189" i="52093"/>
  <c r="I189" i="52093" s="1"/>
  <c r="E172" i="114"/>
  <c r="I172" i="114" s="1"/>
  <c r="E192" i="114"/>
  <c r="I192" i="114" s="1"/>
  <c r="E8" i="115"/>
  <c r="E98" i="52091"/>
  <c r="I98" i="52091" s="1"/>
  <c r="E163" i="52092"/>
  <c r="I163" i="52092" s="1"/>
  <c r="E189" i="32"/>
  <c r="E137" i="52094"/>
  <c r="E94" i="32"/>
  <c r="E14" i="93"/>
  <c r="H14" i="93" s="1"/>
  <c r="E16" i="93"/>
  <c r="H16" i="93" s="1"/>
  <c r="E65" i="93"/>
  <c r="H65" i="93" s="1"/>
  <c r="E8" i="52071"/>
  <c r="E192" i="105"/>
  <c r="I192" i="105" s="1"/>
  <c r="E137" i="108"/>
  <c r="I137" i="108" s="1"/>
  <c r="E140" i="108"/>
  <c r="I140" i="108" s="1"/>
  <c r="E193" i="108"/>
  <c r="I193" i="108" s="1"/>
  <c r="E15" i="52087"/>
  <c r="I15" i="52087" s="1"/>
  <c r="E183" i="52088"/>
  <c r="I183" i="52088" s="1"/>
  <c r="E197" i="52088"/>
  <c r="I197" i="52088" s="1"/>
  <c r="E14" i="101"/>
  <c r="I14" i="101" s="1"/>
  <c r="E87" i="20"/>
  <c r="E19" i="52092"/>
  <c r="I19" i="52092" s="1"/>
  <c r="E126" i="52092"/>
  <c r="I126" i="52092" s="1"/>
  <c r="E18" i="52094"/>
  <c r="E124" i="12"/>
  <c r="E198" i="52064"/>
  <c r="E174" i="20"/>
  <c r="E196" i="52091"/>
  <c r="I196" i="52091" s="1"/>
  <c r="E37" i="52092"/>
  <c r="E75" i="12"/>
  <c r="E190" i="52089"/>
  <c r="E19" i="52090"/>
  <c r="I19" i="52090" s="1"/>
  <c r="E92" i="52090"/>
  <c r="I92" i="52090" s="1"/>
  <c r="E133" i="52090"/>
  <c r="I133" i="52090" s="1"/>
  <c r="L133" i="52090" s="1"/>
  <c r="E196" i="52092"/>
  <c r="I196" i="52092" s="1"/>
  <c r="E198" i="52092"/>
  <c r="I198" i="52092" s="1"/>
  <c r="E93" i="52094"/>
  <c r="E40" i="32"/>
  <c r="E16" i="52066"/>
  <c r="I16" i="52066" s="1"/>
  <c r="E23" i="52066"/>
  <c r="E72" i="52066"/>
  <c r="I72" i="52066" s="1"/>
  <c r="E165" i="52066"/>
  <c r="E78" i="21"/>
  <c r="E12" i="77"/>
  <c r="I12" i="77" s="1"/>
  <c r="E19" i="77"/>
  <c r="I19" i="77" s="1"/>
  <c r="E107" i="77"/>
  <c r="I107" i="77" s="1"/>
  <c r="E125" i="52091"/>
  <c r="I125" i="52091" s="1"/>
  <c r="E133" i="52091"/>
  <c r="I133" i="52091" s="1"/>
  <c r="E149" i="52095"/>
  <c r="E94" i="48"/>
  <c r="E171" i="52094"/>
  <c r="E197" i="32"/>
  <c r="E126" i="52066"/>
  <c r="I126" i="52066" s="1"/>
  <c r="E146" i="52066"/>
  <c r="I146" i="52066" s="1"/>
  <c r="E187" i="52066"/>
  <c r="E18" i="21"/>
  <c r="E137" i="52067"/>
  <c r="I137" i="52067" s="1"/>
  <c r="E188" i="101"/>
  <c r="I188" i="101" s="1"/>
  <c r="E92" i="101"/>
  <c r="I92" i="101" s="1"/>
  <c r="E125" i="52088"/>
  <c r="I125" i="52088" s="1"/>
  <c r="E140" i="52087"/>
  <c r="I140" i="52087" s="1"/>
  <c r="E76" i="52087"/>
  <c r="I76" i="52087" s="1"/>
  <c r="E19" i="52066"/>
  <c r="I19" i="52066" s="1"/>
  <c r="E140" i="52066"/>
  <c r="I140" i="52066" s="1"/>
  <c r="E193" i="52066"/>
  <c r="I193" i="52066" s="1"/>
  <c r="E129" i="93"/>
  <c r="H129" i="93" s="1"/>
  <c r="E159" i="115"/>
  <c r="E75" i="20"/>
  <c r="E136" i="52093"/>
  <c r="I136" i="52093" s="1"/>
  <c r="E157" i="52093"/>
  <c r="E144" i="52094"/>
  <c r="E197" i="52095"/>
  <c r="E157" i="48"/>
  <c r="I157" i="48" s="1"/>
  <c r="E175" i="52066"/>
  <c r="I175" i="52066" s="1"/>
  <c r="E196" i="52066"/>
  <c r="I196" i="52066" s="1"/>
  <c r="E19" i="52072"/>
  <c r="I19" i="52072" s="1"/>
  <c r="E158" i="93"/>
  <c r="H158" i="93" s="1"/>
  <c r="E181" i="93"/>
  <c r="H181" i="93" s="1"/>
  <c r="E159" i="52094"/>
  <c r="E178" i="32"/>
  <c r="E195" i="52072"/>
  <c r="I195" i="52072" s="1"/>
  <c r="L195" i="52072" s="1"/>
  <c r="E197" i="52072"/>
  <c r="I197" i="52072" s="1"/>
  <c r="L197" i="52072" s="1"/>
  <c r="E199" i="52072"/>
  <c r="I199" i="52072" s="1"/>
  <c r="E23" i="21"/>
  <c r="E195" i="52067"/>
  <c r="I195" i="52067" s="1"/>
  <c r="E191" i="52067"/>
  <c r="I191" i="52067" s="1"/>
  <c r="E13" i="52067"/>
  <c r="I13" i="52067" s="1"/>
  <c r="E94" i="101"/>
  <c r="I94" i="101" s="1"/>
  <c r="E177" i="52088"/>
  <c r="I177" i="52088" s="1"/>
  <c r="E23" i="52088"/>
  <c r="E166" i="52067"/>
  <c r="I166" i="52067" s="1"/>
  <c r="E19" i="101"/>
  <c r="I19" i="101" s="1"/>
  <c r="E15" i="52088"/>
  <c r="I15" i="52088" s="1"/>
  <c r="E181" i="52087"/>
  <c r="I181" i="52087" s="1"/>
  <c r="E162" i="52087"/>
  <c r="I162" i="52087" s="1"/>
  <c r="E16" i="52087"/>
  <c r="I16" i="52087" s="1"/>
  <c r="E164" i="108"/>
  <c r="I164" i="108" s="1"/>
  <c r="E196" i="52067"/>
  <c r="I196" i="52067" s="1"/>
  <c r="E192" i="52067"/>
  <c r="I192" i="52067" s="1"/>
  <c r="E188" i="52067"/>
  <c r="I188" i="52067" s="1"/>
  <c r="E136" i="52067"/>
  <c r="I136" i="52067" s="1"/>
  <c r="E14" i="52067"/>
  <c r="I14" i="52067" s="1"/>
  <c r="E191" i="101"/>
  <c r="I191" i="101" s="1"/>
  <c r="E164" i="101"/>
  <c r="I164" i="101" s="1"/>
  <c r="E87" i="101"/>
  <c r="I87" i="101" s="1"/>
  <c r="E10" i="101"/>
  <c r="I10" i="101" s="1"/>
  <c r="E178" i="52088"/>
  <c r="I178" i="52088" s="1"/>
  <c r="E174" i="52088"/>
  <c r="I174" i="52088" s="1"/>
  <c r="E126" i="52088"/>
  <c r="I126" i="52088" s="1"/>
  <c r="E81" i="52088"/>
  <c r="I81" i="52088" s="1"/>
  <c r="E19" i="52088"/>
  <c r="I19" i="52088" s="1"/>
  <c r="E199" i="52087"/>
  <c r="I199" i="52087" s="1"/>
  <c r="E166" i="52087"/>
  <c r="I166" i="52087" s="1"/>
  <c r="E137" i="52087"/>
  <c r="I137" i="52087" s="1"/>
  <c r="E166" i="108"/>
  <c r="I166" i="108" s="1"/>
  <c r="E16" i="52067"/>
  <c r="I16" i="52067" s="1"/>
  <c r="E107" i="101"/>
  <c r="I107" i="101" s="1"/>
  <c r="E18" i="52067"/>
  <c r="I18" i="52067" s="1"/>
  <c r="E189" i="52087"/>
  <c r="I189" i="52087" s="1"/>
  <c r="E178" i="108"/>
  <c r="I178" i="108" s="1"/>
  <c r="E198" i="148"/>
  <c r="E187" i="52064"/>
  <c r="E126" i="105"/>
  <c r="E136" i="105"/>
  <c r="E107" i="52071"/>
  <c r="I107" i="52071" s="1"/>
  <c r="E137" i="115"/>
  <c r="E133" i="77"/>
  <c r="I133" i="77" s="1"/>
  <c r="E172" i="20"/>
  <c r="E10" i="52092"/>
  <c r="I10" i="52092" s="1"/>
  <c r="E87" i="52092"/>
  <c r="I87" i="52092" s="1"/>
  <c r="E107" i="52092"/>
  <c r="I107" i="52092" s="1"/>
  <c r="E166" i="52092"/>
  <c r="I166" i="52092" s="1"/>
  <c r="E194" i="52092"/>
  <c r="I194" i="52092" s="1"/>
  <c r="E192" i="52094"/>
  <c r="E172" i="32"/>
  <c r="E189" i="52066"/>
  <c r="I189" i="52066" s="1"/>
  <c r="E76" i="52072"/>
  <c r="I76" i="52072" s="1"/>
  <c r="E136" i="52072"/>
  <c r="I136" i="52072" s="1"/>
  <c r="E146" i="52072"/>
  <c r="I146" i="52072" s="1"/>
  <c r="E17" i="32"/>
  <c r="E124" i="93"/>
  <c r="H124" i="93" s="1"/>
  <c r="E189" i="93"/>
  <c r="H189" i="93" s="1"/>
  <c r="E17" i="21"/>
  <c r="E196" i="12"/>
  <c r="E13" i="52091"/>
  <c r="I13" i="52091" s="1"/>
  <c r="E18" i="52091"/>
  <c r="I18" i="52091" s="1"/>
  <c r="E139" i="52092"/>
  <c r="I139" i="52092" s="1"/>
  <c r="L139" i="52092" s="1"/>
  <c r="E14" i="52093"/>
  <c r="I14" i="52093" s="1"/>
  <c r="E87" i="52093"/>
  <c r="I87" i="52093" s="1"/>
  <c r="E97" i="52094"/>
  <c r="E199" i="52095"/>
  <c r="E198" i="52066"/>
  <c r="I198" i="52066" s="1"/>
  <c r="E17" i="52072"/>
  <c r="I17" i="52072" s="1"/>
  <c r="E175" i="52094"/>
  <c r="E19" i="91"/>
  <c r="E107" i="91"/>
  <c r="E136" i="91"/>
  <c r="E139" i="91"/>
  <c r="E146" i="91"/>
  <c r="E29" i="52066"/>
  <c r="E163" i="108"/>
  <c r="I163" i="108" s="1"/>
  <c r="E81" i="91"/>
  <c r="E11" i="52072"/>
  <c r="I11" i="52072" s="1"/>
  <c r="E124" i="20"/>
  <c r="E17" i="77"/>
  <c r="I17" i="77" s="1"/>
  <c r="E101" i="77"/>
  <c r="I101" i="77" s="1"/>
  <c r="E126" i="77"/>
  <c r="I126" i="77" s="1"/>
  <c r="E13" i="52089"/>
  <c r="E81" i="52092"/>
  <c r="I81" i="52092" s="1"/>
  <c r="E140" i="52092"/>
  <c r="I140" i="52092" s="1"/>
  <c r="E140" i="52095"/>
  <c r="E11" i="52066"/>
  <c r="I11" i="52066" s="1"/>
  <c r="E125" i="52066"/>
  <c r="I125" i="52066" s="1"/>
  <c r="E187" i="52095"/>
  <c r="E198" i="48"/>
  <c r="I198" i="48" s="1"/>
  <c r="E187" i="108"/>
  <c r="E81" i="105"/>
  <c r="E37" i="105"/>
  <c r="E75" i="52064"/>
  <c r="E140" i="52064"/>
  <c r="E107" i="52087"/>
  <c r="I107" i="52087" s="1"/>
  <c r="E87" i="105"/>
  <c r="E176" i="52088"/>
  <c r="I176" i="52088" s="1"/>
  <c r="E14" i="105"/>
  <c r="E84" i="21"/>
  <c r="I84" i="21" s="1"/>
  <c r="E42" i="52092"/>
  <c r="F42" i="52092" s="1"/>
  <c r="E86" i="52092"/>
  <c r="I86" i="52092" s="1"/>
  <c r="E25" i="32"/>
  <c r="E84" i="91"/>
  <c r="E84" i="48"/>
  <c r="E46" i="93"/>
  <c r="H46" i="93" s="1"/>
  <c r="E60" i="93"/>
  <c r="H60" i="93" s="1"/>
  <c r="E85" i="32"/>
  <c r="E76" i="52071"/>
  <c r="I76" i="52071" s="1"/>
  <c r="E42" i="52064"/>
  <c r="D42" i="9" s="1"/>
  <c r="E68" i="108"/>
  <c r="I68" i="108" s="1"/>
  <c r="E27" i="52089"/>
  <c r="F27" i="52102" s="1"/>
  <c r="M27" i="52102" s="1"/>
  <c r="E161" i="52091"/>
  <c r="I161" i="52091" s="1"/>
  <c r="L161" i="52091" s="1"/>
  <c r="E108" i="52071"/>
  <c r="I108" i="52071" s="1"/>
  <c r="E73" i="52064"/>
  <c r="E35" i="108"/>
  <c r="E114" i="108"/>
  <c r="I114" i="108" s="1"/>
  <c r="E114" i="52092"/>
  <c r="I114" i="52092" s="1"/>
  <c r="E35" i="52089"/>
  <c r="E28" i="52093"/>
  <c r="E36" i="91"/>
  <c r="E95" i="52072"/>
  <c r="E88" i="91"/>
  <c r="E136" i="52066"/>
  <c r="I136" i="52066" s="1"/>
  <c r="E67" i="52072"/>
  <c r="E36" i="21"/>
  <c r="E67" i="52091"/>
  <c r="E161" i="52092"/>
  <c r="I161" i="52092" s="1"/>
  <c r="E74" i="32"/>
  <c r="E73" i="48"/>
  <c r="E91" i="52066"/>
  <c r="I91" i="52066" s="1"/>
  <c r="E107" i="105"/>
  <c r="E182" i="108"/>
  <c r="I182" i="108" s="1"/>
  <c r="E175" i="115"/>
  <c r="E195" i="115"/>
  <c r="E199" i="115"/>
  <c r="E172" i="12"/>
  <c r="I172" i="12" s="1"/>
  <c r="E37" i="52090"/>
  <c r="E93" i="52093"/>
  <c r="I93" i="52093" s="1"/>
  <c r="E187" i="52093"/>
  <c r="E101" i="115"/>
  <c r="E157" i="115"/>
  <c r="E163" i="12"/>
  <c r="E19" i="148"/>
  <c r="E189" i="105"/>
  <c r="E136" i="115"/>
  <c r="E146" i="115"/>
  <c r="E190" i="115"/>
  <c r="E192" i="115"/>
  <c r="E10" i="20"/>
  <c r="E76" i="52092"/>
  <c r="E157" i="52092"/>
  <c r="E173" i="52071"/>
  <c r="I173" i="52071" s="1"/>
  <c r="E189" i="52071"/>
  <c r="I189" i="52071" s="1"/>
  <c r="E139" i="12"/>
  <c r="E29" i="52095"/>
  <c r="E75" i="48"/>
  <c r="E92" i="52095"/>
  <c r="E17" i="52066"/>
  <c r="I17" i="52066" s="1"/>
  <c r="E190" i="21"/>
  <c r="E49" i="101"/>
  <c r="E94" i="114"/>
  <c r="I94" i="114" s="1"/>
  <c r="E101" i="20"/>
  <c r="E146" i="52090"/>
  <c r="I146" i="52090" s="1"/>
  <c r="E190" i="52090"/>
  <c r="I190" i="52090" s="1"/>
  <c r="E15" i="52091"/>
  <c r="I15" i="52091" s="1"/>
  <c r="E13" i="114"/>
  <c r="I13" i="114" s="1"/>
  <c r="E49" i="115"/>
  <c r="E107" i="12"/>
  <c r="E16" i="52064"/>
  <c r="E174" i="148"/>
  <c r="E136" i="20"/>
  <c r="E188" i="21"/>
  <c r="E80" i="20"/>
  <c r="E81" i="52089"/>
  <c r="E126" i="52089"/>
  <c r="E174" i="52089"/>
  <c r="E194" i="52089"/>
  <c r="E25" i="52094"/>
  <c r="E174" i="114"/>
  <c r="I174" i="114" s="1"/>
  <c r="E178" i="114"/>
  <c r="I178" i="114" s="1"/>
  <c r="E196" i="114"/>
  <c r="I196" i="114" s="1"/>
  <c r="E14" i="115"/>
  <c r="E17" i="20"/>
  <c r="E195" i="12"/>
  <c r="E159" i="52064"/>
  <c r="E40" i="105"/>
  <c r="F40" i="52083" s="1"/>
  <c r="E17" i="52087"/>
  <c r="I17" i="52087" s="1"/>
  <c r="E81" i="20"/>
  <c r="E13" i="52090"/>
  <c r="I13" i="52090" s="1"/>
  <c r="E126" i="52090"/>
  <c r="I126" i="52090" s="1"/>
  <c r="E139" i="52090"/>
  <c r="I139" i="52090" s="1"/>
  <c r="L139" i="52090" s="1"/>
  <c r="E198" i="52090"/>
  <c r="I198" i="52090" s="1"/>
  <c r="E87" i="114"/>
  <c r="I87" i="114" s="1"/>
  <c r="E133" i="114"/>
  <c r="I133" i="114" s="1"/>
  <c r="E181" i="12"/>
  <c r="E14" i="52095"/>
  <c r="E123" i="32"/>
  <c r="E123" i="52094"/>
  <c r="E87" i="32"/>
  <c r="E140" i="48"/>
  <c r="E146" i="105"/>
  <c r="E183" i="52087"/>
  <c r="I183" i="52087" s="1"/>
  <c r="E40" i="52088"/>
  <c r="E17" i="12"/>
  <c r="E83" i="77"/>
  <c r="I83" i="77" s="1"/>
  <c r="E137" i="52089"/>
  <c r="E49" i="52091"/>
  <c r="E92" i="52093"/>
  <c r="I92" i="52093" s="1"/>
  <c r="E101" i="52093"/>
  <c r="I101" i="52093" s="1"/>
  <c r="E171" i="52093"/>
  <c r="I171" i="52093" s="1"/>
  <c r="E170" i="114"/>
  <c r="E139" i="21"/>
  <c r="E17" i="105"/>
  <c r="E172" i="52067"/>
  <c r="I172" i="52067" s="1"/>
  <c r="E11" i="52071"/>
  <c r="I11" i="52071" s="1"/>
  <c r="E49" i="20"/>
  <c r="E94" i="52092"/>
  <c r="I94" i="52092" s="1"/>
  <c r="E191" i="52092"/>
  <c r="I191" i="52092" s="1"/>
  <c r="E193" i="114"/>
  <c r="I193" i="114" s="1"/>
  <c r="E92" i="115"/>
  <c r="E159" i="12"/>
  <c r="E163" i="52089"/>
  <c r="E175" i="52090"/>
  <c r="I175" i="52090" s="1"/>
  <c r="E25" i="52091"/>
  <c r="E101" i="32"/>
  <c r="E92" i="91"/>
  <c r="E125" i="91"/>
  <c r="E175" i="48"/>
  <c r="E87" i="52094"/>
  <c r="E133" i="91"/>
  <c r="E187" i="48"/>
  <c r="E49" i="12"/>
  <c r="E137" i="52091"/>
  <c r="I137" i="52091" s="1"/>
  <c r="E140" i="52091"/>
  <c r="E16" i="32"/>
  <c r="E140" i="52094"/>
  <c r="E183" i="32"/>
  <c r="E89" i="93"/>
  <c r="H89" i="93" s="1"/>
  <c r="E156" i="93"/>
  <c r="H156" i="93" s="1"/>
  <c r="E8" i="52064"/>
  <c r="E171" i="52088"/>
  <c r="I171" i="52088" s="1"/>
  <c r="E37" i="52087"/>
  <c r="E178" i="91"/>
  <c r="E10" i="48"/>
  <c r="E199" i="12"/>
  <c r="E178" i="52093"/>
  <c r="I178" i="52093" s="1"/>
  <c r="E17" i="52094"/>
  <c r="E183" i="52095"/>
  <c r="E49" i="48"/>
  <c r="E124" i="52094"/>
  <c r="E139" i="32"/>
  <c r="E92" i="52072"/>
  <c r="I92" i="52072" s="1"/>
  <c r="E98" i="52072"/>
  <c r="I98" i="52072" s="1"/>
  <c r="E17" i="93"/>
  <c r="H17" i="93" s="1"/>
  <c r="E49" i="21"/>
  <c r="E199" i="148"/>
  <c r="E124" i="52064"/>
  <c r="E98" i="52087"/>
  <c r="I98" i="52087" s="1"/>
  <c r="E18" i="52087"/>
  <c r="I18" i="52087" s="1"/>
  <c r="E175" i="108"/>
  <c r="I175" i="108" s="1"/>
  <c r="E159" i="148"/>
  <c r="E37" i="148"/>
  <c r="E74" i="52087"/>
  <c r="I74" i="52087" s="1"/>
  <c r="E107" i="52067"/>
  <c r="I107" i="52067" s="1"/>
  <c r="E195" i="21"/>
  <c r="E191" i="105"/>
  <c r="E199" i="101"/>
  <c r="I199" i="101" s="1"/>
  <c r="E123" i="52067"/>
  <c r="I123" i="52067" s="1"/>
  <c r="E171" i="115"/>
  <c r="E107" i="52094"/>
  <c r="E15" i="77"/>
  <c r="I15" i="77" s="1"/>
  <c r="E81" i="77"/>
  <c r="I81" i="77" s="1"/>
  <c r="E19" i="52089"/>
  <c r="E12" i="52095"/>
  <c r="E199" i="32"/>
  <c r="E135" i="52094"/>
  <c r="E16" i="21"/>
  <c r="E199" i="20"/>
  <c r="E76" i="52090"/>
  <c r="I76" i="52090" s="1"/>
  <c r="E101" i="52090"/>
  <c r="I101" i="52090" s="1"/>
  <c r="E163" i="52090"/>
  <c r="E189" i="52090"/>
  <c r="I189" i="52090" s="1"/>
  <c r="E135" i="52093"/>
  <c r="I135" i="52093" s="1"/>
  <c r="E139" i="52093"/>
  <c r="I139" i="52093" s="1"/>
  <c r="E197" i="52093"/>
  <c r="I197" i="52093" s="1"/>
  <c r="E14" i="52094"/>
  <c r="E191" i="52095"/>
  <c r="E18" i="91"/>
  <c r="E10" i="52066"/>
  <c r="I10" i="52066" s="1"/>
  <c r="E40" i="52066"/>
  <c r="E136" i="52094"/>
  <c r="E193" i="32"/>
  <c r="E163" i="93"/>
  <c r="H163" i="93" s="1"/>
  <c r="E74" i="21"/>
  <c r="E87" i="21"/>
  <c r="E192" i="12"/>
  <c r="I192" i="12" s="1"/>
  <c r="E175" i="77"/>
  <c r="I175" i="77" s="1"/>
  <c r="E177" i="77"/>
  <c r="I177" i="77" s="1"/>
  <c r="E183" i="77"/>
  <c r="I183" i="77" s="1"/>
  <c r="E92" i="52089"/>
  <c r="E98" i="52089"/>
  <c r="E159" i="52089"/>
  <c r="E164" i="52092"/>
  <c r="I164" i="52092" s="1"/>
  <c r="E12" i="52094"/>
  <c r="E98" i="52095"/>
  <c r="E172" i="48"/>
  <c r="E81" i="52066"/>
  <c r="I81" i="52066" s="1"/>
  <c r="E107" i="52066"/>
  <c r="I107" i="52066" s="1"/>
  <c r="E98" i="52094"/>
  <c r="E19" i="32"/>
  <c r="E23" i="91"/>
  <c r="E29" i="52072"/>
  <c r="E181" i="21"/>
  <c r="E183" i="52064"/>
  <c r="E17" i="101"/>
  <c r="I17" i="101" s="1"/>
  <c r="E101" i="108"/>
  <c r="I101" i="108" s="1"/>
  <c r="E124" i="105"/>
  <c r="E75" i="148"/>
  <c r="E163" i="148"/>
  <c r="E29" i="52088"/>
  <c r="E174" i="108"/>
  <c r="I174" i="108" s="1"/>
  <c r="E49" i="52088"/>
  <c r="I49" i="52088" s="1"/>
  <c r="E164" i="105"/>
  <c r="E166" i="52064"/>
  <c r="E197" i="52064"/>
  <c r="E177" i="52064"/>
  <c r="E49" i="148"/>
  <c r="E173" i="21"/>
  <c r="E194" i="12"/>
  <c r="E165" i="93"/>
  <c r="H165" i="93" s="1"/>
  <c r="E197" i="48"/>
  <c r="E175" i="21"/>
  <c r="E14" i="148"/>
  <c r="E78" i="48"/>
  <c r="E10" i="148"/>
  <c r="E123" i="148"/>
  <c r="E175" i="52087"/>
  <c r="I175" i="52087" s="1"/>
  <c r="E194" i="52072"/>
  <c r="I194" i="52072" s="1"/>
  <c r="E194" i="115"/>
  <c r="E48" i="93"/>
  <c r="H48" i="93" s="1"/>
  <c r="E94" i="52072"/>
  <c r="I94" i="52072" s="1"/>
  <c r="E91" i="48"/>
  <c r="E9" i="105"/>
  <c r="E49" i="52079"/>
  <c r="I49" i="52079" s="1"/>
  <c r="E75" i="52079"/>
  <c r="I75" i="52079" s="1"/>
  <c r="E83" i="52079"/>
  <c r="I83" i="52079" s="1"/>
  <c r="E92" i="52079"/>
  <c r="I92" i="52079" s="1"/>
  <c r="E100" i="52079"/>
  <c r="I100" i="52079" s="1"/>
  <c r="E111" i="52079"/>
  <c r="I111" i="52079" s="1"/>
  <c r="E191" i="52079"/>
  <c r="I191" i="52079" s="1"/>
  <c r="E199" i="52079"/>
  <c r="I199" i="52079" s="1"/>
  <c r="E78" i="77"/>
  <c r="I78" i="77" s="1"/>
  <c r="E43" i="93"/>
  <c r="H43" i="93" s="1"/>
  <c r="E64" i="52072"/>
  <c r="E85" i="91"/>
  <c r="E9" i="52090"/>
  <c r="I9" i="52090" s="1"/>
  <c r="E35" i="52079"/>
  <c r="E124" i="52089"/>
  <c r="E146" i="52089"/>
  <c r="I146" i="52089" s="1"/>
  <c r="E125" i="52092"/>
  <c r="I125" i="52092" s="1"/>
  <c r="E49" i="114"/>
  <c r="E140" i="12"/>
  <c r="E187" i="21"/>
  <c r="E176" i="148"/>
  <c r="E11" i="108"/>
  <c r="I11" i="108" s="1"/>
  <c r="E124" i="108"/>
  <c r="I124" i="108" s="1"/>
  <c r="E133" i="108"/>
  <c r="E40" i="114"/>
  <c r="E191" i="77"/>
  <c r="I191" i="77" s="1"/>
  <c r="E198" i="77"/>
  <c r="I198" i="77" s="1"/>
  <c r="E161" i="52089"/>
  <c r="E113" i="52094"/>
  <c r="E29" i="115"/>
  <c r="F29" i="52104" s="1"/>
  <c r="E16" i="52089"/>
  <c r="E80" i="52090"/>
  <c r="I80" i="52090" s="1"/>
  <c r="E93" i="52090"/>
  <c r="I93" i="52090" s="1"/>
  <c r="E174" i="52090"/>
  <c r="I174" i="52090" s="1"/>
  <c r="E178" i="52090"/>
  <c r="I178" i="52090" s="1"/>
  <c r="E164" i="52094"/>
  <c r="E198" i="52095"/>
  <c r="E14" i="91"/>
  <c r="E126" i="91"/>
  <c r="E170" i="91"/>
  <c r="E137" i="52072"/>
  <c r="I137" i="52072" s="1"/>
  <c r="E163" i="52072"/>
  <c r="I163" i="52072" s="1"/>
  <c r="E187" i="52072"/>
  <c r="I187" i="52072" s="1"/>
  <c r="E188" i="52095"/>
  <c r="E80" i="48"/>
  <c r="E164" i="21"/>
  <c r="E8" i="108"/>
  <c r="E125" i="52067"/>
  <c r="I125" i="52067" s="1"/>
  <c r="E135" i="52071"/>
  <c r="I135" i="52071" s="1"/>
  <c r="E182" i="52071"/>
  <c r="E174" i="12"/>
  <c r="E157" i="52091"/>
  <c r="E195" i="114"/>
  <c r="I195" i="114" s="1"/>
  <c r="E13" i="115"/>
  <c r="E196" i="20"/>
  <c r="E199" i="21"/>
  <c r="E199" i="105"/>
  <c r="I199" i="105" s="1"/>
  <c r="E136" i="101"/>
  <c r="I136" i="101" s="1"/>
  <c r="E170" i="101"/>
  <c r="I170" i="101" s="1"/>
  <c r="E199" i="52090"/>
  <c r="I199" i="52090" s="1"/>
  <c r="E111" i="52091"/>
  <c r="E193" i="20"/>
  <c r="E183" i="52090"/>
  <c r="I183" i="52090" s="1"/>
  <c r="E14" i="52091"/>
  <c r="I14" i="52091" s="1"/>
  <c r="E183" i="52093"/>
  <c r="E192" i="52093"/>
  <c r="I192" i="52093" s="1"/>
  <c r="E13" i="52094"/>
  <c r="E12" i="32"/>
  <c r="E183" i="52072"/>
  <c r="I183" i="52072" s="1"/>
  <c r="E139" i="52094"/>
  <c r="E191" i="52066"/>
  <c r="I191" i="52066" s="1"/>
  <c r="E199" i="52066"/>
  <c r="I199" i="52066" s="1"/>
  <c r="E14" i="52072"/>
  <c r="I14" i="52072" s="1"/>
  <c r="E159" i="52072"/>
  <c r="E37" i="21"/>
  <c r="E37" i="52098" s="1"/>
  <c r="E15" i="21"/>
  <c r="E188" i="12"/>
  <c r="E75" i="52089"/>
  <c r="E97" i="52089"/>
  <c r="E123" i="52091"/>
  <c r="I123" i="52091" s="1"/>
  <c r="E136" i="52091"/>
  <c r="E166" i="52093"/>
  <c r="I166" i="52093" s="1"/>
  <c r="E177" i="52093"/>
  <c r="I177" i="52093" s="1"/>
  <c r="E107" i="52095"/>
  <c r="E124" i="48"/>
  <c r="E87" i="52066"/>
  <c r="I87" i="52066" s="1"/>
  <c r="E139" i="52066"/>
  <c r="I139" i="52066" s="1"/>
  <c r="E177" i="52066"/>
  <c r="I177" i="52066" s="1"/>
  <c r="E155" i="93"/>
  <c r="H155" i="93" s="1"/>
  <c r="E92" i="52094"/>
  <c r="E137" i="32"/>
  <c r="E172" i="91"/>
  <c r="E197" i="91"/>
  <c r="E12" i="52066"/>
  <c r="I12" i="52066" s="1"/>
  <c r="E25" i="52066"/>
  <c r="E92" i="52066"/>
  <c r="I92" i="52066" s="1"/>
  <c r="E101" i="52066"/>
  <c r="I101" i="52066" s="1"/>
  <c r="E159" i="52066"/>
  <c r="I159" i="52066" s="1"/>
  <c r="E176" i="52066"/>
  <c r="I176" i="52066" s="1"/>
  <c r="E8" i="52072"/>
  <c r="E157" i="52067"/>
  <c r="E198" i="52087"/>
  <c r="I198" i="52087" s="1"/>
  <c r="E8" i="32"/>
  <c r="E40" i="21"/>
  <c r="E18" i="52092"/>
  <c r="I18" i="52092" s="1"/>
  <c r="E187" i="52094"/>
  <c r="E126" i="32"/>
  <c r="E193" i="48"/>
  <c r="E72" i="32"/>
  <c r="E181" i="48"/>
  <c r="E145" i="93"/>
  <c r="H145" i="93" s="1"/>
  <c r="E124" i="21"/>
  <c r="E183" i="105"/>
  <c r="E139" i="148"/>
  <c r="I139" i="148" s="1"/>
  <c r="E80" i="101"/>
  <c r="I80" i="101" s="1"/>
  <c r="E92" i="105"/>
  <c r="E18" i="105"/>
  <c r="E187" i="52067"/>
  <c r="E187" i="52088"/>
  <c r="E170" i="148"/>
  <c r="E123" i="101"/>
  <c r="I123" i="101" s="1"/>
  <c r="E181" i="77"/>
  <c r="I181" i="77" s="1"/>
  <c r="E197" i="77"/>
  <c r="I197" i="77" s="1"/>
  <c r="E172" i="52089"/>
  <c r="E123" i="52090"/>
  <c r="I123" i="52090" s="1"/>
  <c r="E10" i="114"/>
  <c r="I10" i="114" s="1"/>
  <c r="E81" i="114"/>
  <c r="I81" i="114" s="1"/>
  <c r="E171" i="114"/>
  <c r="I171" i="114" s="1"/>
  <c r="E16" i="12"/>
  <c r="E159" i="52095"/>
  <c r="E125" i="48"/>
  <c r="E163" i="52066"/>
  <c r="E94" i="52095"/>
  <c r="E98" i="21"/>
  <c r="E19" i="20"/>
  <c r="E181" i="52091"/>
  <c r="I181" i="52091" s="1"/>
  <c r="E193" i="52094"/>
  <c r="E108" i="32"/>
  <c r="E83" i="93"/>
  <c r="E166" i="32"/>
  <c r="E144" i="52072"/>
  <c r="I144" i="52072" s="1"/>
  <c r="E170" i="52072"/>
  <c r="E8" i="52095"/>
  <c r="E195" i="48"/>
  <c r="E81" i="12"/>
  <c r="E8" i="52089"/>
  <c r="E189" i="52092"/>
  <c r="I189" i="52092" s="1"/>
  <c r="E191" i="52094"/>
  <c r="E126" i="52095"/>
  <c r="E183" i="48"/>
  <c r="E137" i="48"/>
  <c r="E172" i="52072"/>
  <c r="I172" i="52072" s="1"/>
  <c r="E189" i="52072"/>
  <c r="I189" i="52072" s="1"/>
  <c r="E126" i="21"/>
  <c r="E98" i="108"/>
  <c r="I98" i="108" s="1"/>
  <c r="E144" i="105"/>
  <c r="E197" i="148"/>
  <c r="E29" i="52067"/>
  <c r="E37" i="52088"/>
  <c r="E126" i="52064"/>
  <c r="E181" i="52067"/>
  <c r="I181" i="52067" s="1"/>
  <c r="E199" i="52067"/>
  <c r="E75" i="52088"/>
  <c r="I75" i="52088" s="1"/>
  <c r="E170" i="105"/>
  <c r="E194" i="52067"/>
  <c r="I194" i="52067" s="1"/>
  <c r="E144" i="101"/>
  <c r="I144" i="101" s="1"/>
  <c r="E139" i="52087"/>
  <c r="E157" i="105"/>
  <c r="E78" i="52064"/>
  <c r="E123" i="52064"/>
  <c r="E40" i="52064"/>
  <c r="E159" i="108"/>
  <c r="I159" i="108" s="1"/>
  <c r="E101" i="148"/>
  <c r="E40" i="52067"/>
  <c r="E194" i="52087"/>
  <c r="E194" i="91"/>
  <c r="E75" i="105"/>
  <c r="E10" i="105"/>
  <c r="E94" i="52087"/>
  <c r="E124" i="52088"/>
  <c r="E193" i="52064"/>
  <c r="E107" i="52064"/>
  <c r="E194" i="77"/>
  <c r="I194" i="77" s="1"/>
  <c r="E49" i="52064"/>
  <c r="E189" i="52064"/>
  <c r="E23" i="148"/>
  <c r="E191" i="21"/>
  <c r="E194" i="52094"/>
  <c r="E77" i="52066"/>
  <c r="I77" i="52066" s="1"/>
  <c r="E77" i="48"/>
  <c r="E42" i="91"/>
  <c r="E9" i="115"/>
  <c r="E9" i="52093"/>
  <c r="E9" i="52072"/>
  <c r="I9" i="52072" s="1"/>
  <c r="E10" i="52079"/>
  <c r="I10" i="52079" s="1"/>
  <c r="E15" i="52079"/>
  <c r="I15" i="52079" s="1"/>
  <c r="E25" i="52079"/>
  <c r="E122" i="52079"/>
  <c r="I122" i="52079" s="1"/>
  <c r="E133" i="52079"/>
  <c r="I133" i="52079" s="1"/>
  <c r="E141" i="52079"/>
  <c r="I141" i="52079" s="1"/>
  <c r="E149" i="52079"/>
  <c r="I149" i="52079" s="1"/>
  <c r="E161" i="52079"/>
  <c r="I161" i="52079" s="1"/>
  <c r="E172" i="52079"/>
  <c r="I172" i="52079" s="1"/>
  <c r="E180" i="52079"/>
  <c r="I180" i="52079" s="1"/>
  <c r="E86" i="52066"/>
  <c r="E81" i="48"/>
  <c r="E9" i="52067"/>
  <c r="I9" i="52067" s="1"/>
  <c r="E9" i="52066"/>
  <c r="I9" i="52066" s="1"/>
  <c r="E14" i="52079"/>
  <c r="I14" i="52079" s="1"/>
  <c r="E26" i="52079"/>
  <c r="E72" i="52079"/>
  <c r="I72" i="52079" s="1"/>
  <c r="E84" i="52079"/>
  <c r="I84" i="52079" s="1"/>
  <c r="E101" i="52079"/>
  <c r="I101" i="52079" s="1"/>
  <c r="E123" i="52079"/>
  <c r="I123" i="52079" s="1"/>
  <c r="E142" i="52079"/>
  <c r="E162" i="52079"/>
  <c r="I162" i="52079" s="1"/>
  <c r="E181" i="52079"/>
  <c r="I181" i="52079" s="1"/>
  <c r="E80" i="52079"/>
  <c r="I80" i="52079" s="1"/>
  <c r="E97" i="52079"/>
  <c r="I97" i="52079" s="1"/>
  <c r="E119" i="52079"/>
  <c r="I119" i="52079" s="1"/>
  <c r="E138" i="52079"/>
  <c r="E158" i="52079"/>
  <c r="I158" i="52079" s="1"/>
  <c r="E177" i="52079"/>
  <c r="I177" i="52079" s="1"/>
  <c r="E196" i="52079"/>
  <c r="E134" i="52079"/>
  <c r="E173" i="52079"/>
  <c r="I173" i="52079" s="1"/>
  <c r="E88" i="52079"/>
  <c r="I88" i="52079" s="1"/>
  <c r="E127" i="52079"/>
  <c r="I127" i="52079" s="1"/>
  <c r="E166" i="52079"/>
  <c r="I166" i="52079" s="1"/>
  <c r="E64" i="148"/>
  <c r="E27" i="148"/>
  <c r="E88" i="148"/>
  <c r="I88" i="148" s="1"/>
  <c r="E25" i="52067"/>
  <c r="E111" i="21"/>
  <c r="E148" i="52079"/>
  <c r="I148" i="52079" s="1"/>
  <c r="E140" i="52079"/>
  <c r="I140" i="52079" s="1"/>
  <c r="E132" i="52079"/>
  <c r="I132" i="52079" s="1"/>
  <c r="E121" i="52079"/>
  <c r="I121" i="52079" s="1"/>
  <c r="E67" i="52079"/>
  <c r="I67" i="52079" s="1"/>
  <c r="I249" i="52079" s="1"/>
  <c r="E9" i="52092"/>
  <c r="I9" i="52092" s="1"/>
  <c r="E9" i="114"/>
  <c r="I9" i="114" s="1"/>
  <c r="E88" i="48"/>
  <c r="E105" i="52079"/>
  <c r="E94" i="52079"/>
  <c r="I94" i="52079" s="1"/>
  <c r="E85" i="52079"/>
  <c r="I85" i="52079" s="1"/>
  <c r="E77" i="52079"/>
  <c r="I77" i="52079" s="1"/>
  <c r="E66" i="52079"/>
  <c r="I66" i="52079" s="1"/>
  <c r="E16" i="52079"/>
  <c r="I16" i="52079" s="1"/>
  <c r="E9" i="52079"/>
  <c r="I9" i="52079" s="1"/>
  <c r="E9" i="52071"/>
  <c r="I9" i="52071" s="1"/>
  <c r="E47" i="93"/>
  <c r="H47" i="93" s="1"/>
  <c r="E140" i="105"/>
  <c r="I140" i="105" s="1"/>
  <c r="E136" i="93"/>
  <c r="H136" i="93" s="1"/>
  <c r="E110" i="52071"/>
  <c r="I110" i="52071" s="1"/>
  <c r="E110" i="52088"/>
  <c r="I110" i="52088" s="1"/>
  <c r="E182" i="52087"/>
  <c r="I182" i="52087" s="1"/>
  <c r="E173" i="52088"/>
  <c r="I173" i="52088" s="1"/>
  <c r="E110" i="77"/>
  <c r="I110" i="77" s="1"/>
  <c r="E110" i="115"/>
  <c r="E173" i="52089"/>
  <c r="E199" i="52080"/>
  <c r="I199" i="52080" s="1"/>
  <c r="E195" i="52080"/>
  <c r="I195" i="52080" s="1"/>
  <c r="E191" i="52080"/>
  <c r="I191" i="52080" s="1"/>
  <c r="E187" i="52080"/>
  <c r="E179" i="52080"/>
  <c r="I179" i="52080" s="1"/>
  <c r="E175" i="52080"/>
  <c r="I175" i="52080" s="1"/>
  <c r="E171" i="52080"/>
  <c r="I171" i="52080" s="1"/>
  <c r="E164" i="52080"/>
  <c r="I164" i="52080" s="1"/>
  <c r="E160" i="52080"/>
  <c r="E156" i="52080"/>
  <c r="E148" i="52080"/>
  <c r="I148" i="52080" s="1"/>
  <c r="E144" i="52080"/>
  <c r="I144" i="52080" s="1"/>
  <c r="E140" i="52080"/>
  <c r="E136" i="52080"/>
  <c r="I136" i="52080" s="1"/>
  <c r="E132" i="52080"/>
  <c r="I132" i="52080" s="1"/>
  <c r="E125" i="52080"/>
  <c r="I125" i="52080" s="1"/>
  <c r="E121" i="52080"/>
  <c r="I121" i="52080" s="1"/>
  <c r="E114" i="52080"/>
  <c r="E110" i="52080"/>
  <c r="E106" i="52080"/>
  <c r="E99" i="52080"/>
  <c r="I99" i="52080" s="1"/>
  <c r="E95" i="52080"/>
  <c r="E91" i="52080"/>
  <c r="E86" i="52080"/>
  <c r="E82" i="52080"/>
  <c r="I82" i="52080" s="1"/>
  <c r="E78" i="52080"/>
  <c r="I78" i="52080" s="1"/>
  <c r="E74" i="52080"/>
  <c r="I74" i="52080" s="1"/>
  <c r="E67" i="52080"/>
  <c r="E42" i="52080"/>
  <c r="E37" i="52080"/>
  <c r="E28" i="52080"/>
  <c r="E253" i="52080" s="1"/>
  <c r="E24" i="52080"/>
  <c r="E17" i="52080"/>
  <c r="I17" i="52080" s="1"/>
  <c r="E13" i="52080"/>
  <c r="I13" i="52080" s="1"/>
  <c r="E9" i="52080"/>
  <c r="I9" i="52080" s="1"/>
  <c r="E131" i="52095"/>
  <c r="E173" i="52094"/>
  <c r="E174" i="52072"/>
  <c r="I174" i="52072" s="1"/>
  <c r="E190" i="52066"/>
  <c r="I190" i="52066" s="1"/>
  <c r="E110" i="52066"/>
  <c r="I110" i="52066" s="1"/>
  <c r="E131" i="48"/>
  <c r="E173" i="91"/>
  <c r="E190" i="32"/>
  <c r="E110" i="32"/>
  <c r="E110" i="148"/>
  <c r="E198" i="52081"/>
  <c r="E194" i="52081"/>
  <c r="I194" i="52081" s="1"/>
  <c r="E192" i="52081"/>
  <c r="I192" i="52081" s="1"/>
  <c r="E188" i="52081"/>
  <c r="I188" i="52081" s="1"/>
  <c r="E181" i="52081"/>
  <c r="I181" i="52081" s="1"/>
  <c r="E179" i="52081"/>
  <c r="I179" i="52081" s="1"/>
  <c r="E175" i="52081"/>
  <c r="I175" i="52081" s="1"/>
  <c r="E171" i="52081"/>
  <c r="E164" i="52081"/>
  <c r="E160" i="52081"/>
  <c r="E156" i="52081"/>
  <c r="E150" i="52081"/>
  <c r="I150" i="52081" s="1"/>
  <c r="E146" i="52081"/>
  <c r="I146" i="52081" s="1"/>
  <c r="E142" i="52081"/>
  <c r="E138" i="52081"/>
  <c r="I138" i="52081" s="1"/>
  <c r="E134" i="52081"/>
  <c r="I134" i="52081" s="1"/>
  <c r="E127" i="52081"/>
  <c r="I127" i="52081" s="1"/>
  <c r="E123" i="52081"/>
  <c r="I123" i="52081" s="1"/>
  <c r="E119" i="52081"/>
  <c r="E112" i="52081"/>
  <c r="E108" i="52081"/>
  <c r="I108" i="52081" s="1"/>
  <c r="E101" i="52081"/>
  <c r="E96" i="52081"/>
  <c r="E92" i="52081"/>
  <c r="I92" i="52081" s="1"/>
  <c r="E87" i="52081"/>
  <c r="E83" i="52081"/>
  <c r="I83" i="52081" s="1"/>
  <c r="E79" i="52081"/>
  <c r="I79" i="52081" s="1"/>
  <c r="E75" i="52081"/>
  <c r="I75" i="52081" s="1"/>
  <c r="E68" i="52081"/>
  <c r="E49" i="52081"/>
  <c r="E39" i="52081"/>
  <c r="E39" i="52084" s="1"/>
  <c r="E28" i="52081"/>
  <c r="E24" i="52081"/>
  <c r="E17" i="52081"/>
  <c r="I17" i="52081" s="1"/>
  <c r="E13" i="52081"/>
  <c r="I13" i="52081" s="1"/>
  <c r="E9" i="52081"/>
  <c r="I9" i="52081" s="1"/>
  <c r="E190" i="52093"/>
  <c r="I190" i="52093" s="1"/>
  <c r="E110" i="52092"/>
  <c r="E110" i="52091"/>
  <c r="I110" i="52091" s="1"/>
  <c r="L110" i="52091" s="1"/>
  <c r="E110" i="52079"/>
  <c r="I110" i="52079" s="1"/>
  <c r="E110" i="52087"/>
  <c r="I110" i="52087" s="1"/>
  <c r="E110" i="114"/>
  <c r="E196" i="52080"/>
  <c r="I196" i="52080" s="1"/>
  <c r="E188" i="52080"/>
  <c r="I188" i="52080" s="1"/>
  <c r="E176" i="52080"/>
  <c r="I176" i="52080" s="1"/>
  <c r="E165" i="52080"/>
  <c r="I165" i="52080" s="1"/>
  <c r="E157" i="52080"/>
  <c r="I157" i="52080" s="1"/>
  <c r="E145" i="52080"/>
  <c r="E137" i="52080"/>
  <c r="I137" i="52080" s="1"/>
  <c r="E126" i="52080"/>
  <c r="I126" i="52080" s="1"/>
  <c r="E113" i="52080"/>
  <c r="I113" i="52080" s="1"/>
  <c r="L113" i="52080" s="1"/>
  <c r="E105" i="52080"/>
  <c r="E94" i="52080"/>
  <c r="E85" i="52080"/>
  <c r="I85" i="52080" s="1"/>
  <c r="E77" i="52080"/>
  <c r="I77" i="52080" s="1"/>
  <c r="E66" i="52080"/>
  <c r="I66" i="52080" s="1"/>
  <c r="E36" i="52080"/>
  <c r="E23" i="52080"/>
  <c r="E12" i="52080"/>
  <c r="I12" i="52080" s="1"/>
  <c r="E173" i="52095"/>
  <c r="E190" i="52072"/>
  <c r="E131" i="52066"/>
  <c r="E174" i="91"/>
  <c r="E131" i="32"/>
  <c r="E199" i="52081"/>
  <c r="I199" i="52081" s="1"/>
  <c r="E191" i="52081"/>
  <c r="I191" i="52081" s="1"/>
  <c r="E180" i="52081"/>
  <c r="E172" i="52081"/>
  <c r="I172" i="52081" s="1"/>
  <c r="E165" i="52081"/>
  <c r="E157" i="52081"/>
  <c r="E145" i="52081"/>
  <c r="E137" i="52081"/>
  <c r="I137" i="52081" s="1"/>
  <c r="E126" i="52081"/>
  <c r="E118" i="52081"/>
  <c r="E107" i="52081"/>
  <c r="I107" i="52081" s="1"/>
  <c r="E95" i="52081"/>
  <c r="E86" i="52081"/>
  <c r="E78" i="52081"/>
  <c r="E67" i="52081"/>
  <c r="E37" i="52081"/>
  <c r="E37" i="52084" s="1"/>
  <c r="E23" i="52081"/>
  <c r="E12" i="52081"/>
  <c r="I12" i="52081" s="1"/>
  <c r="E173" i="52093"/>
  <c r="I173" i="52093" s="1"/>
  <c r="E65" i="52079"/>
  <c r="E173" i="101"/>
  <c r="I173" i="101" s="1"/>
  <c r="E163" i="20"/>
  <c r="E198" i="52080"/>
  <c r="I198" i="52080" s="1"/>
  <c r="E190" i="52080"/>
  <c r="I190" i="52080" s="1"/>
  <c r="E178" i="52080"/>
  <c r="I178" i="52080" s="1"/>
  <c r="E170" i="52080"/>
  <c r="E159" i="52080"/>
  <c r="E147" i="52080"/>
  <c r="E139" i="52080"/>
  <c r="I139" i="52080" s="1"/>
  <c r="E131" i="52080"/>
  <c r="E122" i="52080"/>
  <c r="I122" i="52080" s="1"/>
  <c r="E111" i="52080"/>
  <c r="I111" i="52080" s="1"/>
  <c r="E100" i="52080"/>
  <c r="E92" i="52080"/>
  <c r="I92" i="52080" s="1"/>
  <c r="E83" i="52080"/>
  <c r="E75" i="52080"/>
  <c r="I75" i="52080" s="1"/>
  <c r="E49" i="52080"/>
  <c r="I49" i="52080" s="1"/>
  <c r="E29" i="52080"/>
  <c r="O29" i="111" s="1"/>
  <c r="E18" i="52080"/>
  <c r="I18" i="52080" s="1"/>
  <c r="E10" i="52080"/>
  <c r="I10" i="52080" s="1"/>
  <c r="E110" i="52095"/>
  <c r="E173" i="52072"/>
  <c r="I173" i="52072" s="1"/>
  <c r="E190" i="48"/>
  <c r="E131" i="91"/>
  <c r="E194" i="105"/>
  <c r="E193" i="52081"/>
  <c r="I193" i="52081" s="1"/>
  <c r="E182" i="52081"/>
  <c r="E174" i="52081"/>
  <c r="I174" i="52081" s="1"/>
  <c r="E163" i="52081"/>
  <c r="E152" i="52081"/>
  <c r="E143" i="52081"/>
  <c r="E135" i="52081"/>
  <c r="I135" i="52081" s="1"/>
  <c r="E124" i="52081"/>
  <c r="E113" i="52081"/>
  <c r="I113" i="52081" s="1"/>
  <c r="E105" i="52081"/>
  <c r="E97" i="52081"/>
  <c r="E93" i="52081"/>
  <c r="I93" i="52081" s="1"/>
  <c r="E84" i="52081"/>
  <c r="I84" i="52081" s="1"/>
  <c r="E76" i="52081"/>
  <c r="E64" i="52081"/>
  <c r="E35" i="52081"/>
  <c r="E35" i="52084" s="1"/>
  <c r="E18" i="52081"/>
  <c r="E10" i="52081"/>
  <c r="I10" i="52081" s="1"/>
  <c r="E131" i="52093"/>
  <c r="E173" i="52091"/>
  <c r="E112" i="52079"/>
  <c r="I112" i="52079" s="1"/>
  <c r="E150" i="52079"/>
  <c r="I150" i="52079" s="1"/>
  <c r="E192" i="52079"/>
  <c r="E108" i="52079"/>
  <c r="I108" i="52079" s="1"/>
  <c r="E146" i="52079"/>
  <c r="I146" i="52079" s="1"/>
  <c r="E188" i="52079"/>
  <c r="I188" i="52079" s="1"/>
  <c r="E179" i="52064"/>
  <c r="E85" i="148"/>
  <c r="I85" i="148" s="1"/>
  <c r="E36" i="52064"/>
  <c r="E25" i="148"/>
  <c r="E23" i="114"/>
  <c r="E156" i="52079"/>
  <c r="E144" i="52079"/>
  <c r="I144" i="52079" s="1"/>
  <c r="E136" i="52079"/>
  <c r="I136" i="52079" s="1"/>
  <c r="E125" i="52079"/>
  <c r="I125" i="52079" s="1"/>
  <c r="E114" i="52079"/>
  <c r="I114" i="52079" s="1"/>
  <c r="E8" i="52079"/>
  <c r="E9" i="77"/>
  <c r="I9" i="77" s="1"/>
  <c r="E9" i="52088"/>
  <c r="I9" i="52088" s="1"/>
  <c r="E86" i="21"/>
  <c r="I86" i="21" s="1"/>
  <c r="E98" i="52079"/>
  <c r="I98" i="52079" s="1"/>
  <c r="E90" i="52079"/>
  <c r="I90" i="52079" s="1"/>
  <c r="E81" i="52079"/>
  <c r="I81" i="52079" s="1"/>
  <c r="E73" i="52079"/>
  <c r="I73" i="52079" s="1"/>
  <c r="E23" i="52079"/>
  <c r="E30" i="52079" s="1"/>
  <c r="E44" i="52079" s="1"/>
  <c r="E13" i="52079"/>
  <c r="I13" i="52079" s="1"/>
  <c r="E9" i="12"/>
  <c r="E9" i="52087"/>
  <c r="I9" i="52087" s="1"/>
  <c r="E164" i="93"/>
  <c r="H164" i="93" s="1"/>
  <c r="E23" i="93"/>
  <c r="H23" i="93" s="1"/>
  <c r="E159" i="93"/>
  <c r="H159" i="93" s="1"/>
  <c r="E110" i="52067"/>
  <c r="I110" i="52067" s="1"/>
  <c r="E110" i="108"/>
  <c r="E173" i="105"/>
  <c r="E110" i="52090"/>
  <c r="E173" i="12"/>
  <c r="E179" i="52090"/>
  <c r="I179" i="52090" s="1"/>
  <c r="E197" i="52080"/>
  <c r="I197" i="52080" s="1"/>
  <c r="E193" i="52080"/>
  <c r="I193" i="52080" s="1"/>
  <c r="E189" i="52080"/>
  <c r="I189" i="52080" s="1"/>
  <c r="E181" i="52080"/>
  <c r="I181" i="52080" s="1"/>
  <c r="E177" i="52080"/>
  <c r="I177" i="52080" s="1"/>
  <c r="E173" i="52080"/>
  <c r="E166" i="52080"/>
  <c r="I166" i="52080" s="1"/>
  <c r="E162" i="52080"/>
  <c r="E158" i="52080"/>
  <c r="I158" i="52080" s="1"/>
  <c r="E150" i="52080"/>
  <c r="I150" i="52080" s="1"/>
  <c r="E146" i="52080"/>
  <c r="I146" i="52080" s="1"/>
  <c r="E142" i="52080"/>
  <c r="E138" i="52080"/>
  <c r="I138" i="52080" s="1"/>
  <c r="E134" i="52080"/>
  <c r="I134" i="52080" s="1"/>
  <c r="E127" i="52080"/>
  <c r="I127" i="52080" s="1"/>
  <c r="E123" i="52080"/>
  <c r="F123" i="52080" s="1"/>
  <c r="E119" i="52080"/>
  <c r="I119" i="52080" s="1"/>
  <c r="E112" i="52080"/>
  <c r="E108" i="52080"/>
  <c r="I108" i="52080" s="1"/>
  <c r="E101" i="52080"/>
  <c r="I101" i="52080" s="1"/>
  <c r="E97" i="52080"/>
  <c r="I97" i="52080" s="1"/>
  <c r="E93" i="52080"/>
  <c r="I93" i="52080" s="1"/>
  <c r="E88" i="52080"/>
  <c r="E84" i="52080"/>
  <c r="E80" i="52080"/>
  <c r="I80" i="52080" s="1"/>
  <c r="E76" i="52080"/>
  <c r="E72" i="52080"/>
  <c r="I72" i="52080" s="1"/>
  <c r="E64" i="52080"/>
  <c r="E40" i="52080"/>
  <c r="E35" i="52080"/>
  <c r="E26" i="52080"/>
  <c r="E19" i="52080"/>
  <c r="I19" i="52080" s="1"/>
  <c r="E15" i="52080"/>
  <c r="I15" i="52080" s="1"/>
  <c r="E11" i="52080"/>
  <c r="I11" i="52080" s="1"/>
  <c r="E174" i="52095"/>
  <c r="E190" i="52094"/>
  <c r="E110" i="52094"/>
  <c r="E131" i="52072"/>
  <c r="E173" i="52066"/>
  <c r="E174" i="48"/>
  <c r="E190" i="91"/>
  <c r="E110" i="91"/>
  <c r="E173" i="32"/>
  <c r="E194" i="148"/>
  <c r="E99" i="52081"/>
  <c r="E196" i="52081"/>
  <c r="I196" i="52081" s="1"/>
  <c r="E190" i="52081"/>
  <c r="I190" i="52081" s="1"/>
  <c r="E183" i="52081"/>
  <c r="I183" i="52081" s="1"/>
  <c r="E177" i="52081"/>
  <c r="E173" i="52081"/>
  <c r="E166" i="52081"/>
  <c r="I166" i="52081" s="1"/>
  <c r="E162" i="52081"/>
  <c r="E158" i="52081"/>
  <c r="I158" i="52081" s="1"/>
  <c r="E148" i="52081"/>
  <c r="I148" i="52081" s="1"/>
  <c r="E144" i="52081"/>
  <c r="I144" i="52081" s="1"/>
  <c r="E140" i="52081"/>
  <c r="I140" i="52081" s="1"/>
  <c r="E136" i="52081"/>
  <c r="E132" i="52081"/>
  <c r="E125" i="52081"/>
  <c r="E121" i="52081"/>
  <c r="E114" i="52081"/>
  <c r="I114" i="52081" s="1"/>
  <c r="E110" i="52081"/>
  <c r="E106" i="52081"/>
  <c r="I106" i="52081" s="1"/>
  <c r="E98" i="52081"/>
  <c r="I98" i="52081" s="1"/>
  <c r="E94" i="52081"/>
  <c r="E90" i="52081"/>
  <c r="E85" i="52081"/>
  <c r="I85" i="52081" s="1"/>
  <c r="E81" i="52081"/>
  <c r="I81" i="52081" s="1"/>
  <c r="E77" i="52081"/>
  <c r="I77" i="52081" s="1"/>
  <c r="E73" i="52081"/>
  <c r="E66" i="52081"/>
  <c r="E41" i="52081"/>
  <c r="F41" i="52081" s="1"/>
  <c r="E36" i="52081"/>
  <c r="E26" i="52081"/>
  <c r="E19" i="52081"/>
  <c r="I19" i="52081" s="1"/>
  <c r="E15" i="52081"/>
  <c r="I15" i="52081" s="1"/>
  <c r="E11" i="52081"/>
  <c r="I11" i="52081" s="1"/>
  <c r="E174" i="52093"/>
  <c r="I174" i="52093" s="1"/>
  <c r="E149" i="52092"/>
  <c r="I149" i="52092" s="1"/>
  <c r="E110" i="21"/>
  <c r="E173" i="108"/>
  <c r="I173" i="108" s="1"/>
  <c r="E110" i="12"/>
  <c r="I110" i="12" s="1"/>
  <c r="E173" i="52090"/>
  <c r="E192" i="52080"/>
  <c r="I192" i="52080" s="1"/>
  <c r="E180" i="52080"/>
  <c r="E172" i="52080"/>
  <c r="I172" i="52080" s="1"/>
  <c r="E161" i="52080"/>
  <c r="I161" i="52080" s="1"/>
  <c r="E149" i="52080"/>
  <c r="E141" i="52080"/>
  <c r="E133" i="52080"/>
  <c r="I133" i="52080" s="1"/>
  <c r="E120" i="52080"/>
  <c r="E109" i="52080"/>
  <c r="E98" i="52080"/>
  <c r="I98" i="52080" s="1"/>
  <c r="E90" i="52080"/>
  <c r="E81" i="52080"/>
  <c r="I81" i="52080" s="1"/>
  <c r="E73" i="52080"/>
  <c r="I73" i="52080" s="1"/>
  <c r="E41" i="52080"/>
  <c r="E27" i="52080"/>
  <c r="E16" i="52080"/>
  <c r="I16" i="52080" s="1"/>
  <c r="E8" i="52080"/>
  <c r="E174" i="52094"/>
  <c r="E110" i="52072"/>
  <c r="E173" i="48"/>
  <c r="E194" i="32"/>
  <c r="E195" i="52081"/>
  <c r="I195" i="52081" s="1"/>
  <c r="E187" i="52081"/>
  <c r="E176" i="52081"/>
  <c r="E161" i="52081"/>
  <c r="E149" i="52081"/>
  <c r="E141" i="52081"/>
  <c r="E133" i="52081"/>
  <c r="E122" i="52081"/>
  <c r="I122" i="52081" s="1"/>
  <c r="E111" i="52081"/>
  <c r="I111" i="52081" s="1"/>
  <c r="E100" i="52081"/>
  <c r="I100" i="52081" s="1"/>
  <c r="E91" i="52081"/>
  <c r="E82" i="52081"/>
  <c r="E74" i="52081"/>
  <c r="E42" i="52081"/>
  <c r="E27" i="52081"/>
  <c r="I27" i="110" s="1"/>
  <c r="E16" i="52081"/>
  <c r="I16" i="52081" s="1"/>
  <c r="E8" i="52081"/>
  <c r="E173" i="52092"/>
  <c r="I173" i="52092" s="1"/>
  <c r="E110" i="101"/>
  <c r="I110" i="101" s="1"/>
  <c r="E110" i="52089"/>
  <c r="E173" i="77"/>
  <c r="I173" i="77" s="1"/>
  <c r="E194" i="52080"/>
  <c r="I194" i="52080" s="1"/>
  <c r="E183" i="52080"/>
  <c r="E174" i="52080"/>
  <c r="I174" i="52080" s="1"/>
  <c r="E163" i="52080"/>
  <c r="I163" i="52080" s="1"/>
  <c r="E152" i="52080"/>
  <c r="I152" i="52080" s="1"/>
  <c r="E143" i="52080"/>
  <c r="E135" i="52080"/>
  <c r="I135" i="52080" s="1"/>
  <c r="E124" i="52080"/>
  <c r="E118" i="52080"/>
  <c r="O118" i="111" s="1"/>
  <c r="E107" i="52080"/>
  <c r="E96" i="52080"/>
  <c r="E87" i="52080"/>
  <c r="E79" i="52080"/>
  <c r="I79" i="52080" s="1"/>
  <c r="E68" i="52080"/>
  <c r="E39" i="52080"/>
  <c r="E25" i="52080"/>
  <c r="E14" i="52080"/>
  <c r="E190" i="52095"/>
  <c r="E131" i="52094"/>
  <c r="E174" i="52066"/>
  <c r="I174" i="52066" s="1"/>
  <c r="E110" i="48"/>
  <c r="E174" i="32"/>
  <c r="E197" i="52081"/>
  <c r="I197" i="52081" s="1"/>
  <c r="E189" i="52081"/>
  <c r="I189" i="52081" s="1"/>
  <c r="E178" i="52081"/>
  <c r="E170" i="52081"/>
  <c r="E159" i="52081"/>
  <c r="E147" i="52081"/>
  <c r="E139" i="52081"/>
  <c r="I139" i="52081" s="1"/>
  <c r="E131" i="52081"/>
  <c r="E120" i="52081"/>
  <c r="E109" i="52081"/>
  <c r="I109" i="52081" s="1"/>
  <c r="E88" i="52081"/>
  <c r="E80" i="52081"/>
  <c r="E72" i="52081"/>
  <c r="I72" i="52081" s="1"/>
  <c r="E25" i="52081"/>
  <c r="E29" i="52081"/>
  <c r="I29" i="110" s="1"/>
  <c r="E110" i="52064"/>
  <c r="E149" i="114"/>
  <c r="I149" i="114" s="1"/>
  <c r="E109" i="148"/>
  <c r="I109" i="148" s="1"/>
  <c r="E94" i="108"/>
  <c r="I94" i="108" s="1"/>
  <c r="E91" i="52064"/>
  <c r="E73" i="52094"/>
  <c r="E28" i="52079"/>
  <c r="E36" i="52079"/>
  <c r="L36" i="52097" s="1"/>
  <c r="E82" i="52094"/>
  <c r="E91" i="101"/>
  <c r="I91" i="101" s="1"/>
  <c r="E88" i="114"/>
  <c r="E35" i="12"/>
  <c r="E35" i="52076" s="1"/>
  <c r="E109" i="12"/>
  <c r="E86" i="77"/>
  <c r="I86" i="77" s="1"/>
  <c r="E108" i="52090"/>
  <c r="I108" i="52090" s="1"/>
  <c r="L108" i="52090" s="1"/>
  <c r="E67" i="101"/>
  <c r="I67" i="101" s="1"/>
  <c r="I249" i="101" s="1"/>
  <c r="E114" i="101"/>
  <c r="I114" i="101" s="1"/>
  <c r="E80" i="114"/>
  <c r="E161" i="12"/>
  <c r="E42" i="77"/>
  <c r="F42" i="77" s="1"/>
  <c r="E105" i="77"/>
  <c r="E77" i="52094"/>
  <c r="E105" i="52095"/>
  <c r="E68" i="114"/>
  <c r="E84" i="12"/>
  <c r="E73" i="52090"/>
  <c r="E91" i="52090"/>
  <c r="I91" i="52090" s="1"/>
  <c r="E88" i="52095"/>
  <c r="E106" i="52095"/>
  <c r="E24" i="52095"/>
  <c r="F24" i="52075" s="1"/>
  <c r="E120" i="12"/>
  <c r="E150" i="52090"/>
  <c r="I150" i="52090" s="1"/>
  <c r="E138" i="77"/>
  <c r="I138" i="77" s="1"/>
  <c r="E138" i="12"/>
  <c r="E119" i="12"/>
  <c r="E134" i="52095"/>
  <c r="E127" i="114"/>
  <c r="E122" i="12"/>
  <c r="E99" i="101"/>
  <c r="I99" i="101" s="1"/>
  <c r="E142" i="12"/>
  <c r="E160" i="52094"/>
  <c r="E112" i="12"/>
  <c r="F112" i="52104" s="1"/>
  <c r="E112" i="52094"/>
  <c r="E145" i="12"/>
  <c r="E145" i="52094"/>
  <c r="E165" i="52095"/>
  <c r="E165" i="52094"/>
  <c r="E156" i="101"/>
  <c r="E165" i="77"/>
  <c r="E113" i="52095"/>
  <c r="O113" i="111" s="1"/>
  <c r="E118" i="114"/>
  <c r="E165" i="12"/>
  <c r="E112" i="101"/>
  <c r="I112" i="101" s="1"/>
  <c r="E182" i="101"/>
  <c r="E118" i="77"/>
  <c r="E112" i="52095"/>
  <c r="E39" i="105"/>
  <c r="E182" i="105"/>
  <c r="E179" i="105"/>
  <c r="E135" i="77"/>
  <c r="E111" i="52095"/>
  <c r="E41" i="52095"/>
  <c r="O41" i="111" s="1"/>
  <c r="E27" i="52095"/>
  <c r="E84" i="52095"/>
  <c r="E177" i="101"/>
  <c r="E113" i="77"/>
  <c r="I113" i="77" s="1"/>
  <c r="L113" i="77" s="1"/>
  <c r="E81" i="101"/>
  <c r="E134" i="52066"/>
  <c r="I134" i="52066" s="1"/>
  <c r="E144" i="93"/>
  <c r="H144" i="93" s="1"/>
  <c r="E107" i="93"/>
  <c r="H107" i="93" s="1"/>
  <c r="E120" i="52072"/>
  <c r="E180" i="91"/>
  <c r="E127" i="91"/>
  <c r="E113" i="52089"/>
  <c r="E162" i="52071"/>
  <c r="I162" i="52071" s="1"/>
  <c r="E97" i="52091"/>
  <c r="I97" i="52091" s="1"/>
  <c r="L97" i="52091" s="1"/>
  <c r="E119" i="148"/>
  <c r="E147" i="52089"/>
  <c r="E118" i="52072"/>
  <c r="E152" i="32"/>
  <c r="E165" i="52089"/>
  <c r="E148" i="52089"/>
  <c r="E100" i="148"/>
  <c r="E165" i="52093"/>
  <c r="E134" i="52092"/>
  <c r="I134" i="52092" s="1"/>
  <c r="E179" i="148"/>
  <c r="I179" i="148" s="1"/>
  <c r="E74" i="108"/>
  <c r="E67" i="91"/>
  <c r="E9" i="52095"/>
  <c r="E109" i="101"/>
  <c r="I109" i="101" s="1"/>
  <c r="E82" i="114"/>
  <c r="I82" i="114" s="1"/>
  <c r="E86" i="12"/>
  <c r="E84" i="77"/>
  <c r="E105" i="52094"/>
  <c r="E73" i="114"/>
  <c r="I73" i="114" s="1"/>
  <c r="E82" i="77"/>
  <c r="E36" i="52094"/>
  <c r="E36" i="52077" s="1"/>
  <c r="E78" i="101"/>
  <c r="I78" i="101" s="1"/>
  <c r="E114" i="77"/>
  <c r="I114" i="77" s="1"/>
  <c r="E105" i="52090"/>
  <c r="E82" i="52095"/>
  <c r="E26" i="52095"/>
  <c r="E152" i="52090"/>
  <c r="I152" i="52090" s="1"/>
  <c r="E39" i="114"/>
  <c r="F39" i="52075" s="1"/>
  <c r="E162" i="52094"/>
  <c r="E131" i="101"/>
  <c r="E179" i="101"/>
  <c r="E179" i="114"/>
  <c r="I179" i="114" s="1"/>
  <c r="L179" i="114" s="1"/>
  <c r="E160" i="77"/>
  <c r="E150" i="12"/>
  <c r="E145" i="114"/>
  <c r="I145" i="114" s="1"/>
  <c r="E134" i="52094"/>
  <c r="E160" i="52095"/>
  <c r="E148" i="52090"/>
  <c r="E142" i="114"/>
  <c r="I142" i="114" s="1"/>
  <c r="E156" i="52094"/>
  <c r="E23" i="12"/>
  <c r="E76" i="52094"/>
  <c r="E125" i="77"/>
  <c r="I125" i="77" s="1"/>
  <c r="E97" i="77"/>
  <c r="E84" i="101"/>
  <c r="I84" i="101" s="1"/>
  <c r="E64" i="12"/>
  <c r="E91" i="77"/>
  <c r="E77" i="101"/>
  <c r="I77" i="101" s="1"/>
  <c r="E36" i="77"/>
  <c r="E84" i="52094"/>
  <c r="E26" i="12"/>
  <c r="E26" i="52076" s="1"/>
  <c r="E82" i="52090"/>
  <c r="E77" i="52095"/>
  <c r="E119" i="101"/>
  <c r="I119" i="101" s="1"/>
  <c r="E120" i="52094"/>
  <c r="E150" i="52095"/>
  <c r="E165" i="101"/>
  <c r="I165" i="101" s="1"/>
  <c r="E100" i="52095"/>
  <c r="E132" i="114"/>
  <c r="I132" i="114" s="1"/>
  <c r="E112" i="114"/>
  <c r="E100" i="52090"/>
  <c r="E35" i="52095"/>
  <c r="E111" i="114"/>
  <c r="E83" i="114"/>
  <c r="E90" i="52094"/>
  <c r="E42" i="101"/>
  <c r="G42" i="52082" s="1"/>
  <c r="E42" i="114"/>
  <c r="E96" i="12"/>
  <c r="E28" i="52090"/>
  <c r="E253" i="52090" s="1"/>
  <c r="E67" i="52090"/>
  <c r="I67" i="52090" s="1"/>
  <c r="E67" i="52094"/>
  <c r="E35" i="101"/>
  <c r="L35" i="52097" s="1"/>
  <c r="E26" i="114"/>
  <c r="E108" i="114"/>
  <c r="E105" i="12"/>
  <c r="E25" i="52090"/>
  <c r="E86" i="52090"/>
  <c r="E27" i="52094"/>
  <c r="E27" i="52077" s="1"/>
  <c r="L27" i="52077" s="1"/>
  <c r="E67" i="108"/>
  <c r="E170" i="52079"/>
  <c r="E159" i="52079"/>
  <c r="I159" i="52079" s="1"/>
  <c r="E147" i="52079"/>
  <c r="I147" i="52079" s="1"/>
  <c r="E139" i="52079"/>
  <c r="E25" i="114"/>
  <c r="F25" i="52075" s="1"/>
  <c r="E114" i="12"/>
  <c r="E35" i="52094"/>
  <c r="E35" i="52077" s="1"/>
  <c r="E28" i="114"/>
  <c r="E66" i="77"/>
  <c r="E74" i="52090"/>
  <c r="I74" i="52090" s="1"/>
  <c r="E41" i="52094"/>
  <c r="E36" i="114"/>
  <c r="E26" i="52090"/>
  <c r="E95" i="52090"/>
  <c r="E108" i="101"/>
  <c r="I108" i="101" s="1"/>
  <c r="E41" i="114"/>
  <c r="E88" i="12"/>
  <c r="E42" i="52090"/>
  <c r="F42" i="52090" s="1"/>
  <c r="E40" i="52081"/>
  <c r="E40" i="52084" s="1"/>
  <c r="E14" i="52081"/>
  <c r="I14" i="52081" s="1"/>
  <c r="E110" i="52093"/>
  <c r="E180" i="108"/>
  <c r="I180" i="108" s="1"/>
  <c r="E77" i="108"/>
  <c r="I77" i="108" s="1"/>
  <c r="E108" i="52067"/>
  <c r="I108" i="52067" s="1"/>
  <c r="E90" i="108"/>
  <c r="E37" i="52079"/>
  <c r="F37" i="52083" s="1"/>
  <c r="E67" i="52066"/>
  <c r="I67" i="52066" s="1"/>
  <c r="I249" i="52066" s="1"/>
  <c r="E24" i="48"/>
  <c r="E24" i="52084" s="1"/>
  <c r="E108" i="52095"/>
  <c r="E76" i="114"/>
  <c r="E106" i="114"/>
  <c r="E73" i="12"/>
  <c r="E77" i="77"/>
  <c r="E106" i="77"/>
  <c r="I106" i="77" s="1"/>
  <c r="E83" i="52094"/>
  <c r="O83" i="111" s="1"/>
  <c r="E85" i="101"/>
  <c r="I85" i="101" s="1"/>
  <c r="E161" i="101"/>
  <c r="I161" i="101" s="1"/>
  <c r="E77" i="12"/>
  <c r="E27" i="77"/>
  <c r="E30" i="77" s="1"/>
  <c r="E88" i="77"/>
  <c r="E26" i="52094"/>
  <c r="E26" i="52077" s="1"/>
  <c r="E106" i="52094"/>
  <c r="E72" i="101"/>
  <c r="I72" i="101" s="1"/>
  <c r="E36" i="12"/>
  <c r="E111" i="12"/>
  <c r="E88" i="52090"/>
  <c r="E135" i="52090"/>
  <c r="E86" i="52095"/>
  <c r="E68" i="52095"/>
  <c r="E120" i="101"/>
  <c r="I120" i="101" s="1"/>
  <c r="E39" i="52094"/>
  <c r="E39" i="52077" s="1"/>
  <c r="E177" i="114"/>
  <c r="E138" i="52090"/>
  <c r="E150" i="52094"/>
  <c r="E152" i="52095"/>
  <c r="E141" i="114"/>
  <c r="E147" i="52094"/>
  <c r="E132" i="101"/>
  <c r="I132" i="101" s="1"/>
  <c r="E142" i="77"/>
  <c r="E141" i="101"/>
  <c r="I141" i="101" s="1"/>
  <c r="E141" i="77"/>
  <c r="E158" i="52094"/>
  <c r="E100" i="52094"/>
  <c r="E99" i="52095"/>
  <c r="E150" i="77"/>
  <c r="I150" i="77" s="1"/>
  <c r="E127" i="101"/>
  <c r="I127" i="101" s="1"/>
  <c r="E158" i="114"/>
  <c r="I158" i="114" s="1"/>
  <c r="E141" i="52094"/>
  <c r="E148" i="101"/>
  <c r="I148" i="101" s="1"/>
  <c r="E127" i="12"/>
  <c r="E113" i="52090"/>
  <c r="I113" i="52090" s="1"/>
  <c r="L113" i="52090" s="1"/>
  <c r="E162" i="101"/>
  <c r="I162" i="101" s="1"/>
  <c r="E143" i="52094"/>
  <c r="E122" i="52090"/>
  <c r="E180" i="101"/>
  <c r="I180" i="101" s="1"/>
  <c r="E162" i="105"/>
  <c r="I162" i="105" s="1"/>
  <c r="E156" i="105"/>
  <c r="E97" i="52090"/>
  <c r="E90" i="52090"/>
  <c r="E78" i="114"/>
  <c r="E90" i="101"/>
  <c r="I90" i="101" s="1"/>
  <c r="E125" i="101"/>
  <c r="I125" i="101" s="1"/>
  <c r="E80" i="52094"/>
  <c r="E99" i="52066"/>
  <c r="E113" i="93"/>
  <c r="H113" i="93" s="1"/>
  <c r="E158" i="52072"/>
  <c r="E120" i="48"/>
  <c r="E148" i="91"/>
  <c r="E100" i="52093"/>
  <c r="E11" i="52089"/>
  <c r="E162" i="52092"/>
  <c r="I162" i="52092" s="1"/>
  <c r="E163" i="52088"/>
  <c r="E158" i="52092"/>
  <c r="E162" i="108"/>
  <c r="I162" i="108" s="1"/>
  <c r="E118" i="91"/>
  <c r="E39" i="52093"/>
  <c r="E39" i="52076" s="1"/>
  <c r="E138" i="21"/>
  <c r="E118" i="52091"/>
  <c r="E106" i="148"/>
  <c r="E114" i="21"/>
  <c r="I114" i="21" s="1"/>
  <c r="E109" i="91"/>
  <c r="E91" i="52095"/>
  <c r="E79" i="114"/>
  <c r="I79" i="114" s="1"/>
  <c r="E114" i="114"/>
  <c r="E79" i="77"/>
  <c r="E111" i="77"/>
  <c r="E105" i="101"/>
  <c r="E91" i="12"/>
  <c r="E95" i="77"/>
  <c r="E67" i="52095"/>
  <c r="E67" i="12"/>
  <c r="E66" i="52090"/>
  <c r="E109" i="52095"/>
  <c r="E73" i="52095"/>
  <c r="E119" i="77"/>
  <c r="E180" i="52090"/>
  <c r="E138" i="101"/>
  <c r="I138" i="101" s="1"/>
  <c r="E122" i="101"/>
  <c r="I122" i="101" s="1"/>
  <c r="E179" i="12"/>
  <c r="I179" i="12" s="1"/>
  <c r="E100" i="114"/>
  <c r="E100" i="12"/>
  <c r="E158" i="52090"/>
  <c r="I158" i="52090" s="1"/>
  <c r="L158" i="52090" s="1"/>
  <c r="E156" i="52095"/>
  <c r="E179" i="52095"/>
  <c r="E156" i="12"/>
  <c r="E142" i="52090"/>
  <c r="E160" i="52090"/>
  <c r="E132" i="12"/>
  <c r="E158" i="105"/>
  <c r="I158" i="105" s="1"/>
  <c r="E74" i="52095"/>
  <c r="E78" i="52090"/>
  <c r="E177" i="52095"/>
  <c r="E149" i="52094"/>
  <c r="E95" i="114"/>
  <c r="E67" i="77"/>
  <c r="E66" i="52094"/>
  <c r="E105" i="114"/>
  <c r="E24" i="52090"/>
  <c r="E161" i="52095"/>
  <c r="E97" i="12"/>
  <c r="E24" i="52094"/>
  <c r="E24" i="52077" s="1"/>
  <c r="E183" i="12"/>
  <c r="E119" i="52095"/>
  <c r="E160" i="114"/>
  <c r="I160" i="114" s="1"/>
  <c r="E100" i="77"/>
  <c r="I100" i="77" s="1"/>
  <c r="E149" i="77"/>
  <c r="I149" i="77" s="1"/>
  <c r="E121" i="114"/>
  <c r="I121" i="114" s="1"/>
  <c r="L121" i="114" s="1"/>
  <c r="E141" i="52090"/>
  <c r="I141" i="52090" s="1"/>
  <c r="E143" i="12"/>
  <c r="E142" i="52095"/>
  <c r="E42" i="52095"/>
  <c r="E78" i="12"/>
  <c r="E123" i="114"/>
  <c r="E27" i="101"/>
  <c r="E27" i="114"/>
  <c r="F27" i="52075" s="1"/>
  <c r="E68" i="12"/>
  <c r="I68" i="12" s="1"/>
  <c r="E73" i="77"/>
  <c r="I73" i="77" s="1"/>
  <c r="E35" i="52090"/>
  <c r="E109" i="52090"/>
  <c r="I109" i="52090" s="1"/>
  <c r="E28" i="101"/>
  <c r="E253" i="101" s="1"/>
  <c r="E64" i="101"/>
  <c r="E35" i="114"/>
  <c r="E74" i="12"/>
  <c r="E68" i="77"/>
  <c r="E36" i="52090"/>
  <c r="E106" i="52090"/>
  <c r="I106" i="52090" s="1"/>
  <c r="E137" i="20"/>
  <c r="E108" i="52088"/>
  <c r="I108" i="52088" s="1"/>
  <c r="E163" i="52079"/>
  <c r="I163" i="52079" s="1"/>
  <c r="E152" i="52079"/>
  <c r="I152" i="52079" s="1"/>
  <c r="E143" i="52079"/>
  <c r="I143" i="52079" s="1"/>
  <c r="E135" i="52079"/>
  <c r="I135" i="52079" s="1"/>
  <c r="E24" i="101"/>
  <c r="L24" i="52097" s="1"/>
  <c r="E84" i="114"/>
  <c r="E41" i="52090"/>
  <c r="F41" i="52090" s="1"/>
  <c r="E41" i="101"/>
  <c r="E24" i="12"/>
  <c r="E24" i="52076" s="1"/>
  <c r="E27" i="52090"/>
  <c r="E79" i="52090"/>
  <c r="I79" i="52090" s="1"/>
  <c r="E36" i="101"/>
  <c r="E82" i="12"/>
  <c r="F82" i="52104" s="1"/>
  <c r="E84" i="52090"/>
  <c r="E26" i="101"/>
  <c r="L26" i="52097" s="1"/>
  <c r="E24" i="114"/>
  <c r="E64" i="114"/>
  <c r="E108" i="77"/>
  <c r="E114" i="52090"/>
  <c r="I114" i="52090" s="1"/>
  <c r="C35" i="233"/>
  <c r="N35" i="52097"/>
  <c r="C24" i="233"/>
  <c r="N24" i="52097"/>
  <c r="B191" i="233"/>
  <c r="F191" i="9"/>
  <c r="L129" i="233"/>
  <c r="U240" i="111"/>
  <c r="L240" i="233" s="1"/>
  <c r="K2424" i="52069"/>
  <c r="H30" i="52098"/>
  <c r="H44" i="52098" s="1"/>
  <c r="C155" i="52075"/>
  <c r="B156" i="111"/>
  <c r="D209" i="52080"/>
  <c r="D247" i="52080"/>
  <c r="D247" i="48"/>
  <c r="D209" i="48"/>
  <c r="D217" i="48" s="1"/>
  <c r="D251" i="48" s="1"/>
  <c r="D251" i="52079"/>
  <c r="L125" i="20"/>
  <c r="L121" i="52092"/>
  <c r="I93" i="52067"/>
  <c r="E30" i="52088"/>
  <c r="E41" i="52098"/>
  <c r="I66" i="52088"/>
  <c r="I119" i="52088"/>
  <c r="I152" i="52088"/>
  <c r="I127" i="52088"/>
  <c r="I127" i="52067"/>
  <c r="I77" i="52087"/>
  <c r="I91" i="52088"/>
  <c r="I88" i="52088"/>
  <c r="I150" i="52067"/>
  <c r="I38" i="110"/>
  <c r="F38" i="233" s="1"/>
  <c r="E38" i="52084"/>
  <c r="N41" i="52097"/>
  <c r="C41" i="233"/>
  <c r="N26" i="52097"/>
  <c r="C26" i="233"/>
  <c r="F193" i="9"/>
  <c r="B193" i="233"/>
  <c r="B187" i="233"/>
  <c r="F187" i="9"/>
  <c r="F38" i="52103"/>
  <c r="F8" i="9"/>
  <c r="H8" i="233" s="1"/>
  <c r="B8" i="233"/>
  <c r="I8" i="9"/>
  <c r="B131" i="233"/>
  <c r="F131" i="9"/>
  <c r="H131" i="233" s="1"/>
  <c r="D247" i="32"/>
  <c r="D209" i="32"/>
  <c r="D217" i="32" s="1"/>
  <c r="J62" i="52099"/>
  <c r="N118" i="52097"/>
  <c r="U205" i="111"/>
  <c r="U247" i="111" s="1"/>
  <c r="Q89" i="111"/>
  <c r="V89" i="111" s="1"/>
  <c r="D89" i="233"/>
  <c r="Q179" i="52097"/>
  <c r="N179" i="52097"/>
  <c r="C179" i="233"/>
  <c r="C25" i="233"/>
  <c r="N25" i="52097"/>
  <c r="J73" i="52088"/>
  <c r="F73" i="52097"/>
  <c r="E73" i="52082"/>
  <c r="E77" i="52083"/>
  <c r="J77" i="108"/>
  <c r="D77" i="52097"/>
  <c r="J148" i="52088"/>
  <c r="F148" i="52097"/>
  <c r="E148" i="52082"/>
  <c r="N109" i="52097"/>
  <c r="C109" i="233"/>
  <c r="F53" i="52082"/>
  <c r="F54" i="52082" s="1"/>
  <c r="F233" i="52082"/>
  <c r="B213" i="233"/>
  <c r="I213" i="9"/>
  <c r="C42" i="233"/>
  <c r="N42" i="52097"/>
  <c r="C27" i="233"/>
  <c r="N27" i="52097"/>
  <c r="F197" i="9"/>
  <c r="B197" i="233"/>
  <c r="C150" i="52083"/>
  <c r="J150" i="52079"/>
  <c r="J150" i="52097"/>
  <c r="E89" i="233"/>
  <c r="K89" i="110"/>
  <c r="H89" i="233" s="1"/>
  <c r="I89" i="233"/>
  <c r="B122" i="233"/>
  <c r="F122" i="9"/>
  <c r="I122" i="9"/>
  <c r="C56" i="233"/>
  <c r="N56" i="52097"/>
  <c r="B196" i="233"/>
  <c r="F196" i="9"/>
  <c r="B44" i="52098"/>
  <c r="E30" i="52098"/>
  <c r="C73" i="52077"/>
  <c r="J73" i="52092"/>
  <c r="L73" i="52092" s="1"/>
  <c r="J73" i="111"/>
  <c r="G83" i="93"/>
  <c r="N79" i="110"/>
  <c r="K216" i="52074"/>
  <c r="K249" i="52074" s="1"/>
  <c r="C38" i="233"/>
  <c r="N38" i="52097"/>
  <c r="B159" i="233"/>
  <c r="F159" i="9"/>
  <c r="B25" i="233"/>
  <c r="B30" i="233" s="1"/>
  <c r="B44" i="233" s="1"/>
  <c r="G30" i="9"/>
  <c r="G44" i="9" s="1"/>
  <c r="N113" i="110"/>
  <c r="K113" i="110"/>
  <c r="E113" i="233"/>
  <c r="I11" i="93"/>
  <c r="H11" i="93"/>
  <c r="I249" i="52090"/>
  <c r="L120" i="52097"/>
  <c r="I113" i="233"/>
  <c r="K221" i="52074"/>
  <c r="N213" i="52097"/>
  <c r="Q213" i="52097"/>
  <c r="C213" i="233"/>
  <c r="I85" i="52087"/>
  <c r="G85" i="52082"/>
  <c r="L85" i="52097"/>
  <c r="I68" i="52067"/>
  <c r="F68" i="52083"/>
  <c r="G66" i="52082"/>
  <c r="I66" i="52087"/>
  <c r="L66" i="52097"/>
  <c r="G97" i="52082"/>
  <c r="I97" i="52087"/>
  <c r="L97" i="52097"/>
  <c r="E86" i="52074"/>
  <c r="O86" i="111"/>
  <c r="I86" i="115"/>
  <c r="I109" i="52071"/>
  <c r="E109" i="52098"/>
  <c r="L231" i="52104"/>
  <c r="L60" i="52104"/>
  <c r="L221" i="52104" s="1"/>
  <c r="N37" i="52097"/>
  <c r="C37" i="233"/>
  <c r="C23" i="233"/>
  <c r="N23" i="52097"/>
  <c r="F157" i="9"/>
  <c r="B157" i="233"/>
  <c r="B123" i="233"/>
  <c r="F123" i="9"/>
  <c r="F179" i="9"/>
  <c r="I179" i="9"/>
  <c r="B179" i="233"/>
  <c r="F111" i="9"/>
  <c r="B111" i="233"/>
  <c r="K237" i="52076"/>
  <c r="K202" i="52076"/>
  <c r="G26" i="52082"/>
  <c r="I95" i="52087"/>
  <c r="G95" i="52082"/>
  <c r="G35" i="52082"/>
  <c r="I135" i="52087"/>
  <c r="G135" i="52082"/>
  <c r="L135" i="52097"/>
  <c r="I90" i="52087"/>
  <c r="G90" i="52082"/>
  <c r="I106" i="52087"/>
  <c r="L106" i="52097"/>
  <c r="I114" i="52067"/>
  <c r="L114" i="52097"/>
  <c r="F114" i="52083"/>
  <c r="J114" i="52083" s="1"/>
  <c r="E83" i="52074"/>
  <c r="F83" i="52104"/>
  <c r="I83" i="115"/>
  <c r="I161" i="52071"/>
  <c r="E160" i="52098"/>
  <c r="E168" i="52071"/>
  <c r="I82" i="115"/>
  <c r="E82" i="52074"/>
  <c r="O82" i="111"/>
  <c r="E44" i="52088"/>
  <c r="E77" i="52074"/>
  <c r="O77" i="111"/>
  <c r="I77" i="115"/>
  <c r="F77" i="52104"/>
  <c r="I94" i="52067"/>
  <c r="L94" i="52097"/>
  <c r="I140" i="52067"/>
  <c r="L140" i="52097"/>
  <c r="F140" i="52083"/>
  <c r="I133" i="52088"/>
  <c r="G133" i="52082"/>
  <c r="L133" i="52097"/>
  <c r="I177" i="52067"/>
  <c r="F176" i="52083"/>
  <c r="L177" i="52097"/>
  <c r="E185" i="52067"/>
  <c r="E84" i="52098"/>
  <c r="I84" i="52071"/>
  <c r="I66" i="52067"/>
  <c r="E70" i="52067"/>
  <c r="F66" i="52083"/>
  <c r="I82" i="52071"/>
  <c r="E82" i="52098"/>
  <c r="E24" i="52074"/>
  <c r="E30" i="115"/>
  <c r="F24" i="52104"/>
  <c r="E66" i="52098"/>
  <c r="I66" i="52071"/>
  <c r="E116" i="52088"/>
  <c r="I74" i="52088"/>
  <c r="G74" i="52082"/>
  <c r="L74" i="52097"/>
  <c r="I84" i="115"/>
  <c r="E84" i="52074"/>
  <c r="O84" i="111"/>
  <c r="F84" i="52104"/>
  <c r="E106" i="52074"/>
  <c r="E116" i="115"/>
  <c r="F106" i="52104"/>
  <c r="I106" i="115"/>
  <c r="I82" i="52067"/>
  <c r="L82" i="52097"/>
  <c r="F82" i="52083"/>
  <c r="I120" i="52071"/>
  <c r="E120" i="52098"/>
  <c r="I145" i="52088"/>
  <c r="G145" i="52082"/>
  <c r="L145" i="52097"/>
  <c r="I179" i="52087"/>
  <c r="E185" i="52087"/>
  <c r="L179" i="52097"/>
  <c r="I162" i="77"/>
  <c r="E161" i="52076"/>
  <c r="O162" i="111"/>
  <c r="E168" i="77"/>
  <c r="F161" i="52104"/>
  <c r="L156" i="52097"/>
  <c r="E168" i="52088"/>
  <c r="E129" i="52088"/>
  <c r="I146" i="52071"/>
  <c r="E146" i="52098"/>
  <c r="I112" i="52088"/>
  <c r="G112" i="52082"/>
  <c r="E122" i="52074"/>
  <c r="I122" i="52074" s="1"/>
  <c r="F122" i="52104"/>
  <c r="I122" i="115"/>
  <c r="L122" i="115" s="1"/>
  <c r="E134" i="52074"/>
  <c r="I134" i="115"/>
  <c r="F134" i="52104"/>
  <c r="I162" i="52067"/>
  <c r="F161" i="52083"/>
  <c r="E154" i="52088"/>
  <c r="I142" i="115"/>
  <c r="E142" i="52074"/>
  <c r="F142" i="52104"/>
  <c r="I138" i="52071"/>
  <c r="E138" i="52098"/>
  <c r="I121" i="52067"/>
  <c r="F121" i="52083"/>
  <c r="J121" i="52083" s="1"/>
  <c r="I67" i="52067"/>
  <c r="I249" i="52067" s="1"/>
  <c r="F67" i="52083"/>
  <c r="I80" i="52087"/>
  <c r="G80" i="52082"/>
  <c r="L80" i="52097"/>
  <c r="I95" i="52067"/>
  <c r="F95" i="52083"/>
  <c r="I77" i="52067"/>
  <c r="I88" i="52087"/>
  <c r="L88" i="52097"/>
  <c r="G88" i="52082"/>
  <c r="E253" i="52087"/>
  <c r="L28" i="52097"/>
  <c r="G28" i="52082"/>
  <c r="G253" i="52082" s="1"/>
  <c r="I86" i="52087"/>
  <c r="G86" i="52082"/>
  <c r="I64" i="52087"/>
  <c r="E70" i="52087"/>
  <c r="L64" i="52097"/>
  <c r="I88" i="52071"/>
  <c r="E88" i="52098"/>
  <c r="E41" i="52074"/>
  <c r="F41" i="115"/>
  <c r="F41" i="52104"/>
  <c r="I78" i="52071"/>
  <c r="L78" i="52097"/>
  <c r="E85" i="52074"/>
  <c r="I85" i="115"/>
  <c r="O85" i="111"/>
  <c r="F85" i="52104"/>
  <c r="I85" i="52071"/>
  <c r="E85" i="52098"/>
  <c r="I158" i="52067"/>
  <c r="F118" i="52083"/>
  <c r="E129" i="52067"/>
  <c r="I143" i="52087"/>
  <c r="G143" i="52082"/>
  <c r="I158" i="52087"/>
  <c r="E168" i="52087"/>
  <c r="G158" i="52082"/>
  <c r="L158" i="52097"/>
  <c r="I148" i="115"/>
  <c r="E148" i="52074"/>
  <c r="F148" i="52104"/>
  <c r="I134" i="52071"/>
  <c r="E134" i="52098"/>
  <c r="L134" i="52097"/>
  <c r="I165" i="52071"/>
  <c r="E164" i="52098"/>
  <c r="I165" i="52067"/>
  <c r="L165" i="52097"/>
  <c r="I138" i="52088"/>
  <c r="G138" i="52082"/>
  <c r="I141" i="52071"/>
  <c r="E141" i="52098"/>
  <c r="I132" i="115"/>
  <c r="E154" i="115"/>
  <c r="F132" i="52104"/>
  <c r="I112" i="52071"/>
  <c r="E112" i="52098"/>
  <c r="I99" i="52088"/>
  <c r="L99" i="52097"/>
  <c r="I165" i="115"/>
  <c r="E164" i="52074"/>
  <c r="O165" i="111"/>
  <c r="O39" i="111"/>
  <c r="E39" i="52074"/>
  <c r="F39" i="52104"/>
  <c r="I127" i="115"/>
  <c r="E127" i="52074"/>
  <c r="O127" i="111"/>
  <c r="F127" i="52104"/>
  <c r="F155" i="52083"/>
  <c r="E64" i="52098"/>
  <c r="I64" i="52071"/>
  <c r="E70" i="52071"/>
  <c r="F41" i="52083"/>
  <c r="L41" i="52097"/>
  <c r="E116" i="52087"/>
  <c r="G105" i="52082"/>
  <c r="I67" i="52087"/>
  <c r="I249" i="52087" s="1"/>
  <c r="I84" i="52087"/>
  <c r="L84" i="52097"/>
  <c r="G84" i="52082"/>
  <c r="D91" i="52076"/>
  <c r="K91" i="111"/>
  <c r="J91" i="52093"/>
  <c r="L91" i="52093"/>
  <c r="D91" i="52077"/>
  <c r="G78" i="52067"/>
  <c r="J78" i="52067" s="1"/>
  <c r="M78" i="52097"/>
  <c r="I78" i="52067"/>
  <c r="G78" i="52083"/>
  <c r="G215" i="52091"/>
  <c r="J213" i="52091"/>
  <c r="L213" i="52091" s="1"/>
  <c r="D209" i="52081"/>
  <c r="O205" i="110"/>
  <c r="O247" i="110" s="1"/>
  <c r="D247" i="52081"/>
  <c r="J203" i="52099"/>
  <c r="G205" i="52099"/>
  <c r="H203" i="52099"/>
  <c r="G245" i="52099"/>
  <c r="G240" i="52081"/>
  <c r="H129" i="52081"/>
  <c r="F24" i="52083"/>
  <c r="L95" i="52097"/>
  <c r="F164" i="52083"/>
  <c r="O142" i="111"/>
  <c r="G72" i="52082"/>
  <c r="O122" i="111"/>
  <c r="O30" i="52097"/>
  <c r="O44" i="52097" s="1"/>
  <c r="N179" i="111"/>
  <c r="R179" i="111" s="1"/>
  <c r="E178" i="52075"/>
  <c r="I178" i="52075"/>
  <c r="K178" i="52075" s="1"/>
  <c r="J179" i="52080"/>
  <c r="L179" i="52080" s="1"/>
  <c r="R241" i="52097"/>
  <c r="L241" i="233" s="1"/>
  <c r="L154" i="233"/>
  <c r="R203" i="52097"/>
  <c r="C39" i="233"/>
  <c r="N39" i="52097"/>
  <c r="N29" i="52097"/>
  <c r="C29" i="233"/>
  <c r="B189" i="233"/>
  <c r="F189" i="9"/>
  <c r="G51" i="110"/>
  <c r="G32" i="110"/>
  <c r="G33" i="110" s="1"/>
  <c r="F15" i="9"/>
  <c r="H15" i="233" s="1"/>
  <c r="B15" i="233"/>
  <c r="I15" i="233"/>
  <c r="L240" i="52083"/>
  <c r="L202" i="52083"/>
  <c r="K239" i="52077"/>
  <c r="K202" i="52077"/>
  <c r="K221" i="52077" s="1"/>
  <c r="J242" i="9"/>
  <c r="L242" i="233" s="1"/>
  <c r="J203" i="9"/>
  <c r="L168" i="233"/>
  <c r="E225" i="52100"/>
  <c r="I51" i="52100"/>
  <c r="I233" i="52100" s="1"/>
  <c r="E62" i="52100"/>
  <c r="E233" i="52100"/>
  <c r="E53" i="52100"/>
  <c r="I73" i="52067"/>
  <c r="F73" i="52083"/>
  <c r="E30" i="52087"/>
  <c r="G24" i="52082"/>
  <c r="I114" i="52071"/>
  <c r="I125" i="52087"/>
  <c r="L125" i="52097"/>
  <c r="G125" i="52082"/>
  <c r="K125" i="52082" s="1"/>
  <c r="I161" i="115"/>
  <c r="E160" i="52074"/>
  <c r="F160" i="52104"/>
  <c r="I67" i="52071"/>
  <c r="I249" i="52071" s="1"/>
  <c r="E67" i="52098"/>
  <c r="I68" i="52071"/>
  <c r="E68" i="52098"/>
  <c r="G25" i="52082"/>
  <c r="L25" i="52097"/>
  <c r="I93" i="52087"/>
  <c r="G93" i="52082"/>
  <c r="L93" i="52097"/>
  <c r="I135" i="52067"/>
  <c r="E154" i="52067"/>
  <c r="F135" i="52083"/>
  <c r="E90" i="52074"/>
  <c r="F90" i="52104"/>
  <c r="I90" i="115"/>
  <c r="O95" i="111"/>
  <c r="I114" i="115"/>
  <c r="E114" i="52074"/>
  <c r="F114" i="52104"/>
  <c r="I84" i="52067"/>
  <c r="F84" i="52083"/>
  <c r="I64" i="52088"/>
  <c r="E70" i="52088"/>
  <c r="E88" i="52074"/>
  <c r="G88" i="115"/>
  <c r="I88" i="115"/>
  <c r="O88" i="111"/>
  <c r="I73" i="115"/>
  <c r="O73" i="111"/>
  <c r="O25" i="111"/>
  <c r="E25" i="52074"/>
  <c r="F25" i="52104"/>
  <c r="I78" i="115"/>
  <c r="E78" i="52074"/>
  <c r="I78" i="52074" s="1"/>
  <c r="F78" i="52104"/>
  <c r="E105" i="52098"/>
  <c r="E116" i="52071"/>
  <c r="I86" i="52071"/>
  <c r="I91" i="52071"/>
  <c r="E91" i="52098"/>
  <c r="I106" i="52071"/>
  <c r="E106" i="52098"/>
  <c r="I121" i="52088"/>
  <c r="G121" i="52082"/>
  <c r="K121" i="52082" s="1"/>
  <c r="I122" i="52067"/>
  <c r="F122" i="52083"/>
  <c r="L122" i="52097"/>
  <c r="I113" i="52067"/>
  <c r="F113" i="52083"/>
  <c r="E116" i="52067"/>
  <c r="E154" i="52087"/>
  <c r="G131" i="52082"/>
  <c r="I127" i="52087"/>
  <c r="G127" i="52082"/>
  <c r="L127" i="52097"/>
  <c r="I113" i="52087"/>
  <c r="G113" i="52082"/>
  <c r="K113" i="52082" s="1"/>
  <c r="L113" i="52097"/>
  <c r="I141" i="52088"/>
  <c r="G141" i="52082"/>
  <c r="E113" i="52074"/>
  <c r="I113" i="52074" s="1"/>
  <c r="I113" i="115"/>
  <c r="L113" i="115" s="1"/>
  <c r="I160" i="52067"/>
  <c r="F159" i="52083"/>
  <c r="L160" i="52097"/>
  <c r="I120" i="52087"/>
  <c r="G120" i="52082"/>
  <c r="E168" i="115"/>
  <c r="O156" i="111"/>
  <c r="I120" i="115"/>
  <c r="E120" i="52074"/>
  <c r="O120" i="111"/>
  <c r="F120" i="52104"/>
  <c r="I162" i="52088"/>
  <c r="G162" i="52082"/>
  <c r="K162" i="52082" s="1"/>
  <c r="L162" i="52097"/>
  <c r="I119" i="52087"/>
  <c r="L119" i="52097"/>
  <c r="E112" i="52074"/>
  <c r="I112" i="115"/>
  <c r="I127" i="52071"/>
  <c r="E127" i="52098"/>
  <c r="I127" i="52098" s="1"/>
  <c r="I161" i="52067"/>
  <c r="F160" i="52083"/>
  <c r="I111" i="52088"/>
  <c r="G111" i="52082"/>
  <c r="I96" i="52088"/>
  <c r="G96" i="52082"/>
  <c r="L96" i="52097"/>
  <c r="I85" i="52067"/>
  <c r="F85" i="52083"/>
  <c r="I79" i="52087"/>
  <c r="G79" i="52082"/>
  <c r="K79" i="52082" s="1"/>
  <c r="L79" i="52097"/>
  <c r="I91" i="52087"/>
  <c r="G91" i="52082"/>
  <c r="O109" i="111"/>
  <c r="I109" i="115"/>
  <c r="E109" i="52074"/>
  <c r="F109" i="52104"/>
  <c r="I73" i="52071"/>
  <c r="E73" i="52098"/>
  <c r="I67" i="115"/>
  <c r="I249" i="115" s="1"/>
  <c r="E70" i="115"/>
  <c r="E253" i="52071"/>
  <c r="E28" i="52098"/>
  <c r="E252" i="52098" s="1"/>
  <c r="E30" i="52071"/>
  <c r="I86" i="52067"/>
  <c r="F86" i="52083"/>
  <c r="I100" i="52071"/>
  <c r="E100" i="52098"/>
  <c r="L100" i="52097"/>
  <c r="I152" i="52087"/>
  <c r="G152" i="52082"/>
  <c r="L152" i="52097"/>
  <c r="E129" i="52087"/>
  <c r="G118" i="52082"/>
  <c r="L118" i="52097"/>
  <c r="I179" i="77"/>
  <c r="E185" i="77"/>
  <c r="O179" i="111"/>
  <c r="S179" i="111" s="1"/>
  <c r="L179" i="77"/>
  <c r="I180" i="115"/>
  <c r="E179" i="52074"/>
  <c r="O180" i="111"/>
  <c r="F179" i="52104"/>
  <c r="E148" i="52098"/>
  <c r="I148" i="52071"/>
  <c r="I132" i="52071"/>
  <c r="E132" i="52098"/>
  <c r="L132" i="52097"/>
  <c r="E118" i="52098"/>
  <c r="E129" i="52071"/>
  <c r="I180" i="52088"/>
  <c r="L180" i="52097"/>
  <c r="E185" i="52088"/>
  <c r="G180" i="52082"/>
  <c r="I145" i="115"/>
  <c r="E145" i="52074"/>
  <c r="F145" i="52104"/>
  <c r="I113" i="52071"/>
  <c r="E113" i="52098"/>
  <c r="I113" i="52098" s="1"/>
  <c r="E129" i="115"/>
  <c r="E118" i="52074"/>
  <c r="F118" i="52104"/>
  <c r="F120" i="52083"/>
  <c r="I120" i="52067"/>
  <c r="E143" i="52098"/>
  <c r="I143" i="52071"/>
  <c r="E131" i="52098"/>
  <c r="E154" i="52071"/>
  <c r="I99" i="52067"/>
  <c r="F99" i="52083"/>
  <c r="I179" i="115"/>
  <c r="E178" i="52074"/>
  <c r="E185" i="115"/>
  <c r="L179" i="115"/>
  <c r="I145" i="52071"/>
  <c r="E145" i="52098"/>
  <c r="I119" i="52071"/>
  <c r="E119" i="52098"/>
  <c r="I109" i="52088"/>
  <c r="G109" i="52082"/>
  <c r="I161" i="52088"/>
  <c r="L161" i="52097"/>
  <c r="L42" i="52097"/>
  <c r="I68" i="52087"/>
  <c r="G68" i="52082"/>
  <c r="L68" i="52097"/>
  <c r="I73" i="52087"/>
  <c r="G73" i="52082"/>
  <c r="L73" i="52097"/>
  <c r="K154" i="52097"/>
  <c r="L27" i="52097"/>
  <c r="L86" i="52097"/>
  <c r="F93" i="52083"/>
  <c r="F150" i="52083"/>
  <c r="E67" i="52074"/>
  <c r="G99" i="52082"/>
  <c r="G106" i="52082"/>
  <c r="G27" i="52082"/>
  <c r="E73" i="52074"/>
  <c r="L148" i="52097"/>
  <c r="E132" i="52074"/>
  <c r="O114" i="111"/>
  <c r="F129" i="52082"/>
  <c r="J213" i="233"/>
  <c r="F215" i="233"/>
  <c r="O254" i="110"/>
  <c r="O224" i="110"/>
  <c r="L202" i="52102"/>
  <c r="C66" i="52103"/>
  <c r="J66" i="52066"/>
  <c r="C66" i="52084"/>
  <c r="E66" i="110"/>
  <c r="L66" i="52066"/>
  <c r="L249" i="52097"/>
  <c r="K204" i="52084"/>
  <c r="K243" i="52084"/>
  <c r="K221" i="52084"/>
  <c r="N231" i="52104"/>
  <c r="K233" i="52077"/>
  <c r="L236" i="52103"/>
  <c r="L202" i="52103"/>
  <c r="H113" i="233"/>
  <c r="L204" i="52104"/>
  <c r="L243" i="52104"/>
  <c r="O8" i="233"/>
  <c r="D209" i="21" l="1"/>
  <c r="D217" i="21" s="1"/>
  <c r="D251" i="21" s="1"/>
  <c r="D247" i="21"/>
  <c r="E86" i="52098"/>
  <c r="D36" i="9"/>
  <c r="J236" i="9"/>
  <c r="J60" i="9"/>
  <c r="J235" i="9" s="1"/>
  <c r="E114" i="52098"/>
  <c r="I114" i="52098" s="1"/>
  <c r="D40" i="9"/>
  <c r="D247" i="52099"/>
  <c r="D209" i="52099"/>
  <c r="D217" i="52099" s="1"/>
  <c r="D251" i="52099" s="1"/>
  <c r="D209" i="108"/>
  <c r="D217" i="108" s="1"/>
  <c r="D247" i="108"/>
  <c r="L235" i="52083"/>
  <c r="L60" i="52083"/>
  <c r="U245" i="111"/>
  <c r="U223" i="111"/>
  <c r="D209" i="52088"/>
  <c r="D217" i="52088" s="1"/>
  <c r="D251" i="52088" s="1"/>
  <c r="D247" i="52088"/>
  <c r="R236" i="52097"/>
  <c r="L236" i="233" s="1"/>
  <c r="R60" i="52097"/>
  <c r="R235" i="52097" s="1"/>
  <c r="L62" i="233"/>
  <c r="L60" i="233" s="1"/>
  <c r="L235" i="233" s="1"/>
  <c r="D209" i="52093"/>
  <c r="D217" i="52093" s="1"/>
  <c r="D247" i="52093"/>
  <c r="D209" i="52064"/>
  <c r="D217" i="52064" s="1"/>
  <c r="D251" i="52064" s="1"/>
  <c r="D247" i="52064"/>
  <c r="D217" i="52080"/>
  <c r="U209" i="111"/>
  <c r="E70" i="114"/>
  <c r="I64" i="101"/>
  <c r="E70" i="101"/>
  <c r="F123" i="52075"/>
  <c r="F123" i="114"/>
  <c r="F42" i="52095"/>
  <c r="F42" i="52075"/>
  <c r="O42" i="111"/>
  <c r="E143" i="52076"/>
  <c r="F119" i="52075"/>
  <c r="I119" i="52095"/>
  <c r="O119" i="111"/>
  <c r="F160" i="52075"/>
  <c r="I161" i="52095"/>
  <c r="E116" i="114"/>
  <c r="E149" i="52077"/>
  <c r="E168" i="12"/>
  <c r="E155" i="52076"/>
  <c r="F155" i="52075"/>
  <c r="E168" i="52095"/>
  <c r="E100" i="52076"/>
  <c r="F109" i="52075"/>
  <c r="I109" i="52095"/>
  <c r="E67" i="52076"/>
  <c r="E116" i="101"/>
  <c r="E79" i="52076"/>
  <c r="I79" i="77"/>
  <c r="E154" i="21"/>
  <c r="I138" i="21"/>
  <c r="I100" i="52093"/>
  <c r="F90" i="52075"/>
  <c r="I100" i="52094"/>
  <c r="E100" i="52077"/>
  <c r="I152" i="52095"/>
  <c r="F151" i="52075"/>
  <c r="O152" i="111"/>
  <c r="O68" i="111"/>
  <c r="F68" i="52075"/>
  <c r="E44" i="77"/>
  <c r="I108" i="52095"/>
  <c r="O108" i="111"/>
  <c r="F108" i="52075"/>
  <c r="I90" i="108"/>
  <c r="F90" i="52083"/>
  <c r="E110" i="52076"/>
  <c r="I88" i="12"/>
  <c r="E88" i="52076"/>
  <c r="G88" i="12"/>
  <c r="E41" i="52077"/>
  <c r="F41" i="52094"/>
  <c r="I170" i="52079"/>
  <c r="E185" i="52079"/>
  <c r="O100" i="111"/>
  <c r="F100" i="52075"/>
  <c r="I100" i="52095"/>
  <c r="I84" i="52094"/>
  <c r="E84" i="52077"/>
  <c r="E150" i="52076"/>
  <c r="E154" i="101"/>
  <c r="E116" i="52090"/>
  <c r="E86" i="52076"/>
  <c r="I152" i="32"/>
  <c r="I152" i="110"/>
  <c r="F147" i="52102"/>
  <c r="I147" i="52089"/>
  <c r="I180" i="91"/>
  <c r="F179" i="52103"/>
  <c r="E135" i="52076"/>
  <c r="I135" i="77"/>
  <c r="F112" i="52075"/>
  <c r="O112" i="111"/>
  <c r="E164" i="52076"/>
  <c r="E168" i="101"/>
  <c r="E145" i="52076"/>
  <c r="E142" i="52076"/>
  <c r="I134" i="52095"/>
  <c r="F134" i="52075"/>
  <c r="O134" i="111"/>
  <c r="F88" i="52075"/>
  <c r="G88" i="52095"/>
  <c r="I88" i="52095"/>
  <c r="E77" i="52077"/>
  <c r="F80" i="52075"/>
  <c r="I73" i="52094"/>
  <c r="E73" i="52077"/>
  <c r="E131" i="52077"/>
  <c r="E154" i="52094"/>
  <c r="E82" i="52084"/>
  <c r="I82" i="52081"/>
  <c r="I187" i="52081"/>
  <c r="E201" i="52081"/>
  <c r="I121" i="110"/>
  <c r="I121" i="52081"/>
  <c r="I132" i="110"/>
  <c r="I132" i="52081"/>
  <c r="F110" i="52103"/>
  <c r="E154" i="52072"/>
  <c r="I110" i="108"/>
  <c r="F110" i="52083"/>
  <c r="E30" i="114"/>
  <c r="I179" i="52064"/>
  <c r="D179" i="9"/>
  <c r="F191" i="52083"/>
  <c r="J191" i="52083" s="1"/>
  <c r="I192" i="52079"/>
  <c r="E154" i="52093"/>
  <c r="E70" i="52081"/>
  <c r="G67" i="52082"/>
  <c r="G161" i="52082"/>
  <c r="L109" i="52097"/>
  <c r="F178" i="52104"/>
  <c r="O145" i="111"/>
  <c r="E178" i="52076"/>
  <c r="F67" i="52104"/>
  <c r="L91" i="52097"/>
  <c r="G119" i="52082"/>
  <c r="F155" i="52104"/>
  <c r="F113" i="52104"/>
  <c r="J113" i="52104" s="1"/>
  <c r="M113" i="52104" s="1"/>
  <c r="L131" i="52097"/>
  <c r="O78" i="111"/>
  <c r="F73" i="52104"/>
  <c r="F88" i="52104"/>
  <c r="F95" i="52104"/>
  <c r="B201" i="233"/>
  <c r="L72" i="52097"/>
  <c r="O106" i="111"/>
  <c r="L67" i="52097"/>
  <c r="L105" i="52097"/>
  <c r="F164" i="52104"/>
  <c r="L138" i="52097"/>
  <c r="O148" i="111"/>
  <c r="F157" i="52083"/>
  <c r="J157" i="52083" s="1"/>
  <c r="G64" i="52082"/>
  <c r="F77" i="52083"/>
  <c r="L112" i="52097"/>
  <c r="L146" i="52097"/>
  <c r="G156" i="52082"/>
  <c r="G179" i="52082"/>
  <c r="O24" i="111"/>
  <c r="F94" i="52083"/>
  <c r="L90" i="52097"/>
  <c r="F86" i="52104"/>
  <c r="D251" i="32"/>
  <c r="L217" i="52103"/>
  <c r="L217" i="52102"/>
  <c r="L217" i="52104"/>
  <c r="E36" i="52098"/>
  <c r="E68" i="52076"/>
  <c r="I68" i="77"/>
  <c r="F35" i="52075"/>
  <c r="F35" i="114"/>
  <c r="G35" i="114" s="1"/>
  <c r="L35" i="114" s="1"/>
  <c r="E78" i="52076"/>
  <c r="F142" i="52075"/>
  <c r="E182" i="52076"/>
  <c r="I97" i="12"/>
  <c r="E97" i="52076"/>
  <c r="I66" i="52094"/>
  <c r="E66" i="52077"/>
  <c r="O177" i="111"/>
  <c r="F176" i="52075"/>
  <c r="F74" i="52075"/>
  <c r="O74" i="111"/>
  <c r="E132" i="52076"/>
  <c r="J132" i="52076" s="1"/>
  <c r="I132" i="12"/>
  <c r="I179" i="52095"/>
  <c r="L179" i="52095" s="1"/>
  <c r="F178" i="52075"/>
  <c r="J178" i="52075" s="1"/>
  <c r="F179" i="52075"/>
  <c r="I180" i="52090"/>
  <c r="I73" i="52095"/>
  <c r="F73" i="52075"/>
  <c r="F67" i="52075"/>
  <c r="O67" i="111"/>
  <c r="E91" i="52076"/>
  <c r="I91" i="52076" s="1"/>
  <c r="E111" i="52076"/>
  <c r="I111" i="77"/>
  <c r="I91" i="52095"/>
  <c r="F91" i="52075"/>
  <c r="E129" i="52091"/>
  <c r="G163" i="52082"/>
  <c r="I163" i="52088"/>
  <c r="I11" i="52089"/>
  <c r="F11" i="52102"/>
  <c r="J11" i="52102" s="1"/>
  <c r="F148" i="52103"/>
  <c r="I99" i="110"/>
  <c r="I99" i="52066"/>
  <c r="I127" i="12"/>
  <c r="E127" i="52076"/>
  <c r="E141" i="52077"/>
  <c r="I141" i="52094"/>
  <c r="F99" i="52075"/>
  <c r="O99" i="111"/>
  <c r="I99" i="52095"/>
  <c r="I158" i="52094"/>
  <c r="E157" i="52077"/>
  <c r="I150" i="52094"/>
  <c r="E150" i="52077"/>
  <c r="I86" i="52095"/>
  <c r="F86" i="52075"/>
  <c r="G88" i="52090"/>
  <c r="E106" i="52077"/>
  <c r="I106" i="52094"/>
  <c r="G88" i="77"/>
  <c r="I88" i="77"/>
  <c r="I77" i="12"/>
  <c r="E77" i="52076"/>
  <c r="E73" i="52076"/>
  <c r="F76" i="52075"/>
  <c r="F41" i="114"/>
  <c r="F36" i="114"/>
  <c r="G36" i="114" s="1"/>
  <c r="L36" i="114" s="1"/>
  <c r="F42" i="114"/>
  <c r="L42" i="114" s="1"/>
  <c r="F28" i="114"/>
  <c r="E253" i="114"/>
  <c r="E114" i="52076"/>
  <c r="J114" i="52076" s="1"/>
  <c r="I114" i="12"/>
  <c r="L139" i="52097"/>
  <c r="P139" i="52097" s="1"/>
  <c r="I139" i="52079"/>
  <c r="E70" i="108"/>
  <c r="I67" i="108"/>
  <c r="I249" i="108" s="1"/>
  <c r="E116" i="12"/>
  <c r="E105" i="52076"/>
  <c r="E67" i="52077"/>
  <c r="E90" i="52077"/>
  <c r="E120" i="52077"/>
  <c r="F77" i="52075"/>
  <c r="E36" i="52076"/>
  <c r="F36" i="77"/>
  <c r="O91" i="111"/>
  <c r="E23" i="52076"/>
  <c r="E30" i="12"/>
  <c r="F35" i="12" s="1"/>
  <c r="O160" i="111"/>
  <c r="F159" i="52075"/>
  <c r="I160" i="52095"/>
  <c r="E159" i="52076"/>
  <c r="J159" i="52076" s="1"/>
  <c r="I160" i="77"/>
  <c r="L160" i="77" s="1"/>
  <c r="E185" i="101"/>
  <c r="I179" i="101"/>
  <c r="I162" i="52094"/>
  <c r="E161" i="52077"/>
  <c r="F82" i="52075"/>
  <c r="O9" i="111"/>
  <c r="I9" i="52095"/>
  <c r="F9" i="52075"/>
  <c r="J9" i="52075" s="1"/>
  <c r="I74" i="108"/>
  <c r="F74" i="52083"/>
  <c r="G100" i="52082"/>
  <c r="I100" i="148"/>
  <c r="F164" i="52102"/>
  <c r="I165" i="52089"/>
  <c r="E129" i="52072"/>
  <c r="E129" i="148"/>
  <c r="I119" i="148"/>
  <c r="F127" i="52103"/>
  <c r="I127" i="91"/>
  <c r="G81" i="52082"/>
  <c r="I81" i="101"/>
  <c r="G177" i="52082"/>
  <c r="I177" i="101"/>
  <c r="O27" i="111"/>
  <c r="V27" i="111" s="1"/>
  <c r="F111" i="52075"/>
  <c r="O111" i="111"/>
  <c r="F178" i="52083"/>
  <c r="J178" i="52083" s="1"/>
  <c r="I179" i="105"/>
  <c r="L39" i="52097"/>
  <c r="F39" i="233" s="1"/>
  <c r="F39" i="52083"/>
  <c r="E129" i="77"/>
  <c r="F118" i="52075"/>
  <c r="E129" i="114"/>
  <c r="E240" i="114" s="1"/>
  <c r="E164" i="52077"/>
  <c r="E145" i="52077"/>
  <c r="E112" i="52077"/>
  <c r="I112" i="52094"/>
  <c r="E159" i="52077"/>
  <c r="F127" i="52075"/>
  <c r="I127" i="114"/>
  <c r="E119" i="52076"/>
  <c r="I120" i="12"/>
  <c r="E120" i="52076"/>
  <c r="I106" i="52095"/>
  <c r="F106" i="52075"/>
  <c r="I84" i="12"/>
  <c r="E84" i="52076"/>
  <c r="O105" i="111"/>
  <c r="E116" i="52095"/>
  <c r="F105" i="52075"/>
  <c r="E116" i="77"/>
  <c r="I161" i="12"/>
  <c r="E160" i="52076"/>
  <c r="I109" i="12"/>
  <c r="E109" i="52076"/>
  <c r="G88" i="114"/>
  <c r="I88" i="114"/>
  <c r="E82" i="52077"/>
  <c r="I82" i="52094"/>
  <c r="F28" i="52083"/>
  <c r="F252" i="52083" s="1"/>
  <c r="E253" i="52079"/>
  <c r="D91" i="9"/>
  <c r="I91" i="52064"/>
  <c r="E116" i="52064"/>
  <c r="I110" i="52064"/>
  <c r="D110" i="9"/>
  <c r="I80" i="110"/>
  <c r="I80" i="52081"/>
  <c r="E154" i="52081"/>
  <c r="E147" i="52084"/>
  <c r="I170" i="52081"/>
  <c r="E185" i="52081"/>
  <c r="I174" i="32"/>
  <c r="I174" i="110"/>
  <c r="M174" i="110" s="1"/>
  <c r="E201" i="52095"/>
  <c r="O190" i="111"/>
  <c r="F189" i="52075"/>
  <c r="J189" i="52075" s="1"/>
  <c r="I190" i="52095"/>
  <c r="O87" i="111"/>
  <c r="S87" i="111" s="1"/>
  <c r="I87" i="52080"/>
  <c r="O107" i="111"/>
  <c r="S107" i="111" s="1"/>
  <c r="I107" i="52080"/>
  <c r="F182" i="52075"/>
  <c r="I183" i="52080"/>
  <c r="I8" i="52081"/>
  <c r="E21" i="52081"/>
  <c r="I91" i="110"/>
  <c r="I91" i="52081"/>
  <c r="I149" i="110"/>
  <c r="E175" i="52084"/>
  <c r="I176" i="52081"/>
  <c r="E172" i="52084"/>
  <c r="I173" i="48"/>
  <c r="E173" i="52077"/>
  <c r="J173" i="52077" s="1"/>
  <c r="I174" i="52094"/>
  <c r="F41" i="52080"/>
  <c r="E136" i="52084"/>
  <c r="I136" i="52084" s="1"/>
  <c r="I136" i="52081"/>
  <c r="I177" i="110"/>
  <c r="I177" i="52081"/>
  <c r="I173" i="32"/>
  <c r="I173" i="110"/>
  <c r="I190" i="91"/>
  <c r="F189" i="52103"/>
  <c r="E110" i="52077"/>
  <c r="F173" i="52075"/>
  <c r="J173" i="52075" s="1"/>
  <c r="I174" i="52095"/>
  <c r="O174" i="111"/>
  <c r="I173" i="12"/>
  <c r="E172" i="52076"/>
  <c r="I173" i="105"/>
  <c r="F172" i="52083"/>
  <c r="E168" i="52079"/>
  <c r="E116" i="52081"/>
  <c r="I143" i="110"/>
  <c r="I143" i="52081"/>
  <c r="I163" i="110"/>
  <c r="I163" i="52081"/>
  <c r="I182" i="110"/>
  <c r="M182" i="110" s="1"/>
  <c r="E181" i="52084"/>
  <c r="I181" i="52084" s="1"/>
  <c r="I182" i="52081"/>
  <c r="E201" i="105"/>
  <c r="I194" i="105"/>
  <c r="F193" i="52083"/>
  <c r="I190" i="48"/>
  <c r="E189" i="52084"/>
  <c r="I189" i="52084" s="1"/>
  <c r="O110" i="111"/>
  <c r="F110" i="52075"/>
  <c r="F158" i="52075"/>
  <c r="I159" i="52080"/>
  <c r="I23" i="110"/>
  <c r="E30" i="52081"/>
  <c r="E179" i="52084"/>
  <c r="I180" i="52081"/>
  <c r="I174" i="91"/>
  <c r="F173" i="52103"/>
  <c r="J173" i="52103" s="1"/>
  <c r="E201" i="52072"/>
  <c r="I190" i="52072"/>
  <c r="E87" i="52084"/>
  <c r="E96" i="52084"/>
  <c r="I96" i="52081"/>
  <c r="E168" i="52081"/>
  <c r="E163" i="52084"/>
  <c r="E197" i="52084"/>
  <c r="I197" i="52084" s="1"/>
  <c r="I198" i="52081"/>
  <c r="I110" i="110"/>
  <c r="I173" i="91"/>
  <c r="F172" i="52103"/>
  <c r="E154" i="52095"/>
  <c r="O131" i="111"/>
  <c r="F131" i="52075"/>
  <c r="E168" i="52080"/>
  <c r="I187" i="52080"/>
  <c r="E201" i="52080"/>
  <c r="F172" i="52102"/>
  <c r="G88" i="48"/>
  <c r="E88" i="52084"/>
  <c r="I88" i="48"/>
  <c r="I111" i="21"/>
  <c r="E111" i="52098"/>
  <c r="E70" i="148"/>
  <c r="E103" i="148" s="1"/>
  <c r="F195" i="52083"/>
  <c r="J195" i="52083" s="1"/>
  <c r="I196" i="52079"/>
  <c r="I81" i="48"/>
  <c r="E81" i="52084"/>
  <c r="I81" i="52084" s="1"/>
  <c r="E21" i="115"/>
  <c r="I9" i="115"/>
  <c r="F9" i="52104"/>
  <c r="E77" i="52084"/>
  <c r="I194" i="52094"/>
  <c r="E193" i="52077"/>
  <c r="J193" i="52077" s="1"/>
  <c r="G23" i="52082"/>
  <c r="L23" i="52097"/>
  <c r="E30" i="148"/>
  <c r="E44" i="148" s="1"/>
  <c r="I49" i="52064"/>
  <c r="D49" i="9"/>
  <c r="D107" i="9"/>
  <c r="I107" i="52064"/>
  <c r="L124" i="52097"/>
  <c r="I124" i="52088"/>
  <c r="I10" i="105"/>
  <c r="F10" i="52083"/>
  <c r="J10" i="52083" s="1"/>
  <c r="I194" i="91"/>
  <c r="F193" i="52103"/>
  <c r="I123" i="52064"/>
  <c r="D123" i="9"/>
  <c r="I157" i="105"/>
  <c r="F156" i="52083"/>
  <c r="I170" i="105"/>
  <c r="F169" i="52083"/>
  <c r="E185" i="105"/>
  <c r="F198" i="52083"/>
  <c r="I199" i="52067"/>
  <c r="I126" i="52064"/>
  <c r="D126" i="9"/>
  <c r="I144" i="105"/>
  <c r="F144" i="52083"/>
  <c r="I126" i="21"/>
  <c r="E126" i="52098"/>
  <c r="I126" i="52098" s="1"/>
  <c r="E182" i="52084"/>
  <c r="E190" i="52077"/>
  <c r="I191" i="52094"/>
  <c r="F8" i="52102"/>
  <c r="I8" i="52089"/>
  <c r="L8" i="52089" s="1"/>
  <c r="E21" i="52089"/>
  <c r="I195" i="48"/>
  <c r="E194" i="52084"/>
  <c r="I194" i="52084" s="1"/>
  <c r="I170" i="52072"/>
  <c r="E185" i="52072"/>
  <c r="E168" i="32"/>
  <c r="I166" i="32"/>
  <c r="I166" i="110"/>
  <c r="M166" i="110" s="1"/>
  <c r="I108" i="110"/>
  <c r="M108" i="110" s="1"/>
  <c r="I108" i="32"/>
  <c r="E98" i="52098"/>
  <c r="I98" i="52098" s="1"/>
  <c r="I98" i="21"/>
  <c r="I159" i="52095"/>
  <c r="O159" i="111"/>
  <c r="I172" i="52089"/>
  <c r="F171" i="52102"/>
  <c r="J171" i="52102" s="1"/>
  <c r="I170" i="148"/>
  <c r="G170" i="52082"/>
  <c r="K170" i="52082" s="1"/>
  <c r="L170" i="52097"/>
  <c r="P170" i="52097" s="1"/>
  <c r="E185" i="148"/>
  <c r="E201" i="52067"/>
  <c r="I92" i="105"/>
  <c r="F92" i="52083"/>
  <c r="J92" i="52083" s="1"/>
  <c r="I124" i="21"/>
  <c r="E124" i="52098"/>
  <c r="I124" i="52098" s="1"/>
  <c r="I181" i="48"/>
  <c r="E180" i="52084"/>
  <c r="I180" i="52084" s="1"/>
  <c r="I193" i="48"/>
  <c r="E192" i="52084"/>
  <c r="E201" i="52094"/>
  <c r="I187" i="52094"/>
  <c r="E186" i="52077"/>
  <c r="E40" i="52098"/>
  <c r="I8" i="52072"/>
  <c r="L8" i="52072" s="1"/>
  <c r="E21" i="52072"/>
  <c r="F171" i="52103"/>
  <c r="J171" i="52103" s="1"/>
  <c r="I172" i="91"/>
  <c r="I92" i="52094"/>
  <c r="E92" i="52077"/>
  <c r="J92" i="52077" s="1"/>
  <c r="I107" i="52095"/>
  <c r="F107" i="52075"/>
  <c r="J107" i="52075" s="1"/>
  <c r="F75" i="52102"/>
  <c r="I75" i="52089"/>
  <c r="I15" i="21"/>
  <c r="E15" i="52098"/>
  <c r="E139" i="52077"/>
  <c r="J139" i="52077" s="1"/>
  <c r="I139" i="52094"/>
  <c r="I12" i="110"/>
  <c r="M12" i="110" s="1"/>
  <c r="I12" i="32"/>
  <c r="I193" i="20"/>
  <c r="E192" i="52074"/>
  <c r="D199" i="9"/>
  <c r="E198" i="52098"/>
  <c r="I199" i="21"/>
  <c r="F13" i="52104"/>
  <c r="I13" i="115"/>
  <c r="E181" i="52098"/>
  <c r="I181" i="52098" s="1"/>
  <c r="I182" i="52071"/>
  <c r="E163" i="52098"/>
  <c r="I164" i="21"/>
  <c r="I188" i="52095"/>
  <c r="O188" i="111"/>
  <c r="F187" i="52075"/>
  <c r="J187" i="52075" s="1"/>
  <c r="I170" i="91"/>
  <c r="E185" i="91"/>
  <c r="F169" i="52103"/>
  <c r="I14" i="91"/>
  <c r="F14" i="52103"/>
  <c r="J14" i="52103" s="1"/>
  <c r="E163" i="52077"/>
  <c r="F160" i="52102"/>
  <c r="I161" i="52089"/>
  <c r="I133" i="108"/>
  <c r="F133" i="52083"/>
  <c r="I187" i="21"/>
  <c r="E201" i="21"/>
  <c r="E186" i="52098"/>
  <c r="I186" i="52098" s="1"/>
  <c r="F85" i="52103"/>
  <c r="I9" i="105"/>
  <c r="F9" i="52083"/>
  <c r="I194" i="115"/>
  <c r="F193" i="52104"/>
  <c r="G10" i="52082"/>
  <c r="K10" i="52082" s="1"/>
  <c r="L10" i="52097"/>
  <c r="P10" i="52097" s="1"/>
  <c r="I10" i="148"/>
  <c r="G14" i="52082"/>
  <c r="I14" i="148"/>
  <c r="L14" i="52097"/>
  <c r="E196" i="52084"/>
  <c r="I194" i="12"/>
  <c r="E193" i="52076"/>
  <c r="J193" i="52076" s="1"/>
  <c r="G49" i="52082"/>
  <c r="L49" i="52097"/>
  <c r="D197" i="9"/>
  <c r="I197" i="52064"/>
  <c r="F163" i="52083"/>
  <c r="I164" i="105"/>
  <c r="I163" i="148"/>
  <c r="L163" i="52097"/>
  <c r="F124" i="52083"/>
  <c r="I124" i="105"/>
  <c r="I181" i="21"/>
  <c r="E180" i="52098"/>
  <c r="I180" i="52098" s="1"/>
  <c r="E30" i="91"/>
  <c r="F23" i="52103"/>
  <c r="I98" i="52094"/>
  <c r="E98" i="52077"/>
  <c r="J98" i="52077" s="1"/>
  <c r="O98" i="111"/>
  <c r="S98" i="111" s="1"/>
  <c r="I98" i="52095"/>
  <c r="F98" i="52075"/>
  <c r="J98" i="52075" s="1"/>
  <c r="F98" i="52102"/>
  <c r="J98" i="52102" s="1"/>
  <c r="I98" i="52089"/>
  <c r="I87" i="21"/>
  <c r="E87" i="52098"/>
  <c r="I87" i="52098" s="1"/>
  <c r="I136" i="52094"/>
  <c r="E136" i="52077"/>
  <c r="I191" i="52095"/>
  <c r="O191" i="111"/>
  <c r="S191" i="111" s="1"/>
  <c r="F190" i="52075"/>
  <c r="J190" i="52075" s="1"/>
  <c r="I16" i="21"/>
  <c r="E16" i="52098"/>
  <c r="I16" i="52098" s="1"/>
  <c r="I199" i="32"/>
  <c r="I199" i="110"/>
  <c r="F19" i="52102"/>
  <c r="J19" i="52102" s="1"/>
  <c r="I19" i="52089"/>
  <c r="I171" i="115"/>
  <c r="E170" i="52074"/>
  <c r="F170" i="52104"/>
  <c r="E194" i="52098"/>
  <c r="I194" i="52098" s="1"/>
  <c r="I195" i="21"/>
  <c r="I159" i="148"/>
  <c r="G159" i="52082"/>
  <c r="L159" i="52097"/>
  <c r="D124" i="9"/>
  <c r="I124" i="52064"/>
  <c r="E49" i="52098"/>
  <c r="I139" i="32"/>
  <c r="I139" i="110"/>
  <c r="M139" i="110" s="1"/>
  <c r="I49" i="48"/>
  <c r="E49" i="52084"/>
  <c r="E17" i="52077"/>
  <c r="J17" i="52077" s="1"/>
  <c r="I17" i="52094"/>
  <c r="E198" i="52076"/>
  <c r="J198" i="52076" s="1"/>
  <c r="I199" i="12"/>
  <c r="F177" i="52103"/>
  <c r="I178" i="91"/>
  <c r="I183" i="32"/>
  <c r="I183" i="110"/>
  <c r="I16" i="32"/>
  <c r="I16" i="110"/>
  <c r="I187" i="48"/>
  <c r="E201" i="48"/>
  <c r="E186" i="52084"/>
  <c r="E87" i="52077"/>
  <c r="J87" i="52077" s="1"/>
  <c r="I87" i="52094"/>
  <c r="I125" i="91"/>
  <c r="F125" i="52103"/>
  <c r="I101" i="32"/>
  <c r="I101" i="110"/>
  <c r="M101" i="110" s="1"/>
  <c r="I159" i="12"/>
  <c r="E158" i="52076"/>
  <c r="J158" i="52076" s="1"/>
  <c r="I17" i="105"/>
  <c r="F17" i="52083"/>
  <c r="J17" i="52083" s="1"/>
  <c r="I170" i="114"/>
  <c r="E185" i="114"/>
  <c r="I146" i="105"/>
  <c r="F146" i="52083"/>
  <c r="J146" i="52083" s="1"/>
  <c r="I87" i="32"/>
  <c r="I87" i="110"/>
  <c r="I123" i="32"/>
  <c r="I123" i="110"/>
  <c r="I181" i="12"/>
  <c r="E180" i="52076"/>
  <c r="J180" i="52076" s="1"/>
  <c r="I159" i="52064"/>
  <c r="D159" i="9"/>
  <c r="E17" i="52074"/>
  <c r="I17" i="52074" s="1"/>
  <c r="I17" i="20"/>
  <c r="I194" i="52089"/>
  <c r="F193" i="52102"/>
  <c r="I126" i="52089"/>
  <c r="F126" i="52102"/>
  <c r="J126" i="52102" s="1"/>
  <c r="I80" i="20"/>
  <c r="E80" i="52074"/>
  <c r="I80" i="52074" s="1"/>
  <c r="I136" i="20"/>
  <c r="E136" i="52074"/>
  <c r="I136" i="52074" s="1"/>
  <c r="D16" i="9"/>
  <c r="H16" i="9" s="1"/>
  <c r="I16" i="52064"/>
  <c r="F49" i="52104"/>
  <c r="E189" i="52098"/>
  <c r="I189" i="52098" s="1"/>
  <c r="I190" i="21"/>
  <c r="I92" i="52095"/>
  <c r="F92" i="52075"/>
  <c r="J92" i="52075" s="1"/>
  <c r="O92" i="111"/>
  <c r="S92" i="111" s="1"/>
  <c r="F29" i="52075"/>
  <c r="I10" i="20"/>
  <c r="E10" i="52074"/>
  <c r="I10" i="52074" s="1"/>
  <c r="I190" i="115"/>
  <c r="F189" i="52104"/>
  <c r="I136" i="115"/>
  <c r="F136" i="52104"/>
  <c r="I19" i="148"/>
  <c r="G19" i="52082"/>
  <c r="K19" i="52082" s="1"/>
  <c r="L19" i="52097"/>
  <c r="P19" i="52097" s="1"/>
  <c r="F156" i="52104"/>
  <c r="I187" i="52093"/>
  <c r="E201" i="52093"/>
  <c r="I199" i="115"/>
  <c r="F198" i="52104"/>
  <c r="F174" i="52104"/>
  <c r="J174" i="52104" s="1"/>
  <c r="I175" i="115"/>
  <c r="F107" i="52083"/>
  <c r="J107" i="52083" s="1"/>
  <c r="I107" i="105"/>
  <c r="E116" i="105"/>
  <c r="E73" i="52084"/>
  <c r="E253" i="52093"/>
  <c r="F35" i="52083"/>
  <c r="I85" i="110"/>
  <c r="I84" i="91"/>
  <c r="F84" i="52103"/>
  <c r="I75" i="52064"/>
  <c r="D75" i="9"/>
  <c r="I81" i="105"/>
  <c r="F81" i="52083"/>
  <c r="J81" i="52083" s="1"/>
  <c r="I140" i="52095"/>
  <c r="F140" i="52075"/>
  <c r="O140" i="111"/>
  <c r="F146" i="52103"/>
  <c r="J146" i="52103" s="1"/>
  <c r="I146" i="91"/>
  <c r="F136" i="52103"/>
  <c r="J136" i="52103" s="1"/>
  <c r="I136" i="91"/>
  <c r="F19" i="52103"/>
  <c r="J19" i="52103" s="1"/>
  <c r="I19" i="91"/>
  <c r="I199" i="52095"/>
  <c r="O199" i="111"/>
  <c r="F198" i="52075"/>
  <c r="I17" i="21"/>
  <c r="E17" i="52098"/>
  <c r="I17" i="52098" s="1"/>
  <c r="I172" i="32"/>
  <c r="I172" i="110"/>
  <c r="M172" i="110" s="1"/>
  <c r="I126" i="105"/>
  <c r="F126" i="52083"/>
  <c r="J126" i="52083" s="1"/>
  <c r="I198" i="148"/>
  <c r="L198" i="52097"/>
  <c r="G198" i="52082"/>
  <c r="E158" i="52077"/>
  <c r="J158" i="52077" s="1"/>
  <c r="I159" i="52094"/>
  <c r="E144" i="52077"/>
  <c r="J144" i="52077" s="1"/>
  <c r="I144" i="52094"/>
  <c r="F158" i="52104"/>
  <c r="I159" i="115"/>
  <c r="I187" i="52066"/>
  <c r="E201" i="52066"/>
  <c r="I171" i="52094"/>
  <c r="E170" i="52077"/>
  <c r="J170" i="52077" s="1"/>
  <c r="I149" i="52095"/>
  <c r="F149" i="52075"/>
  <c r="O149" i="111"/>
  <c r="I78" i="21"/>
  <c r="E78" i="52098"/>
  <c r="I93" i="52094"/>
  <c r="E93" i="52077"/>
  <c r="F189" i="52102"/>
  <c r="J189" i="52102" s="1"/>
  <c r="I190" i="52089"/>
  <c r="L190" i="52089" s="1"/>
  <c r="I174" i="20"/>
  <c r="E173" i="52074"/>
  <c r="I173" i="52074" s="1"/>
  <c r="I124" i="12"/>
  <c r="E124" i="52076"/>
  <c r="J124" i="52076" s="1"/>
  <c r="E87" i="52074"/>
  <c r="I87" i="52074" s="1"/>
  <c r="I87" i="20"/>
  <c r="E137" i="52077"/>
  <c r="I137" i="52094"/>
  <c r="F8" i="52104"/>
  <c r="I8" i="115"/>
  <c r="I14" i="20"/>
  <c r="E14" i="52074"/>
  <c r="I64" i="52089"/>
  <c r="E70" i="52089"/>
  <c r="F64" i="52102"/>
  <c r="I133" i="21"/>
  <c r="E133" i="52098"/>
  <c r="I133" i="52098" s="1"/>
  <c r="I65" i="52067"/>
  <c r="L65" i="52097"/>
  <c r="D175" i="9"/>
  <c r="H175" i="9" s="1"/>
  <c r="I175" i="52064"/>
  <c r="I11" i="52095"/>
  <c r="F11" i="52075"/>
  <c r="J11" i="52075" s="1"/>
  <c r="O11" i="111"/>
  <c r="I98" i="110"/>
  <c r="I98" i="32"/>
  <c r="E92" i="52076"/>
  <c r="J92" i="52076" s="1"/>
  <c r="I92" i="12"/>
  <c r="I72" i="115"/>
  <c r="F72" i="52104"/>
  <c r="E72" i="52074"/>
  <c r="F196" i="52083"/>
  <c r="J196" i="52083" s="1"/>
  <c r="I197" i="105"/>
  <c r="I136" i="12"/>
  <c r="E136" i="52076"/>
  <c r="J136" i="52076" s="1"/>
  <c r="I164" i="115"/>
  <c r="F163" i="52104"/>
  <c r="I41" i="110"/>
  <c r="F41" i="32"/>
  <c r="E42" i="52098"/>
  <c r="F114" i="52103"/>
  <c r="F72" i="52103"/>
  <c r="I72" i="91"/>
  <c r="F29" i="52102"/>
  <c r="I177" i="20"/>
  <c r="E176" i="52074"/>
  <c r="I176" i="52074" s="1"/>
  <c r="I81" i="52064"/>
  <c r="D81" i="9"/>
  <c r="E196" i="52076"/>
  <c r="J196" i="52076" s="1"/>
  <c r="F162" i="52104"/>
  <c r="F198" i="52102"/>
  <c r="I199" i="52089"/>
  <c r="I12" i="12"/>
  <c r="E12" i="52076"/>
  <c r="J12" i="52076" s="1"/>
  <c r="F177" i="52104"/>
  <c r="J177" i="52104" s="1"/>
  <c r="I178" i="115"/>
  <c r="I15" i="48"/>
  <c r="E15" i="52084"/>
  <c r="F65" i="52102"/>
  <c r="J65" i="52102" s="1"/>
  <c r="I65" i="52072"/>
  <c r="I65" i="110"/>
  <c r="M65" i="110" s="1"/>
  <c r="I8" i="52067"/>
  <c r="E21" i="52067"/>
  <c r="I170" i="52071"/>
  <c r="E185" i="52071"/>
  <c r="F40" i="52102"/>
  <c r="M40" i="52102" s="1"/>
  <c r="I66" i="32"/>
  <c r="I66" i="110"/>
  <c r="I106" i="48"/>
  <c r="E106" i="52084"/>
  <c r="F88" i="52102"/>
  <c r="G88" i="52089"/>
  <c r="E70" i="91"/>
  <c r="F64" i="52103"/>
  <c r="E66" i="52084"/>
  <c r="E70" i="52091"/>
  <c r="F79" i="52083"/>
  <c r="J79" i="52083" s="1"/>
  <c r="I79" i="108"/>
  <c r="E116" i="52072"/>
  <c r="F160" i="52103"/>
  <c r="L29" i="52097"/>
  <c r="G29" i="52082"/>
  <c r="I170" i="108"/>
  <c r="E185" i="108"/>
  <c r="I191" i="32"/>
  <c r="I191" i="110"/>
  <c r="M191" i="110" s="1"/>
  <c r="E81" i="52098"/>
  <c r="I81" i="52098" s="1"/>
  <c r="I81" i="21"/>
  <c r="F156" i="52075"/>
  <c r="O157" i="111"/>
  <c r="I146" i="48"/>
  <c r="E146" i="52084"/>
  <c r="I146" i="52084" s="1"/>
  <c r="I178" i="48"/>
  <c r="E177" i="52084"/>
  <c r="F75" i="52103"/>
  <c r="J75" i="52103" s="1"/>
  <c r="I75" i="91"/>
  <c r="E196" i="52077"/>
  <c r="J196" i="52077" s="1"/>
  <c r="I197" i="52094"/>
  <c r="I94" i="12"/>
  <c r="E94" i="52076"/>
  <c r="J94" i="52076" s="1"/>
  <c r="I15" i="91"/>
  <c r="F15" i="52103"/>
  <c r="J15" i="52103" s="1"/>
  <c r="I18" i="32"/>
  <c r="I18" i="110"/>
  <c r="M18" i="110" s="1"/>
  <c r="F23" i="52104"/>
  <c r="E23" i="52074"/>
  <c r="I189" i="148"/>
  <c r="G189" i="52082"/>
  <c r="L189" i="52097"/>
  <c r="D37" i="9"/>
  <c r="E30" i="52072"/>
  <c r="E44" i="52072" s="1"/>
  <c r="I198" i="91"/>
  <c r="F197" i="52103"/>
  <c r="J197" i="52103" s="1"/>
  <c r="E81" i="52077"/>
  <c r="J81" i="52077" s="1"/>
  <c r="I81" i="52094"/>
  <c r="I163" i="52095"/>
  <c r="F162" i="52075"/>
  <c r="O163" i="111"/>
  <c r="I198" i="32"/>
  <c r="I198" i="110"/>
  <c r="M198" i="110" s="1"/>
  <c r="F180" i="52102"/>
  <c r="J180" i="52102" s="1"/>
  <c r="I181" i="52089"/>
  <c r="I19" i="48"/>
  <c r="E19" i="52084"/>
  <c r="I19" i="52084" s="1"/>
  <c r="I181" i="52095"/>
  <c r="F180" i="52075"/>
  <c r="J180" i="52075" s="1"/>
  <c r="O181" i="111"/>
  <c r="S181" i="111" s="1"/>
  <c r="I193" i="91"/>
  <c r="F192" i="52103"/>
  <c r="I125" i="32"/>
  <c r="I125" i="110"/>
  <c r="E197" i="52076"/>
  <c r="J197" i="52076" s="1"/>
  <c r="I198" i="12"/>
  <c r="I183" i="52089"/>
  <c r="F182" i="52102"/>
  <c r="J182" i="52102" s="1"/>
  <c r="F135" i="52104"/>
  <c r="I135" i="115"/>
  <c r="F29" i="233"/>
  <c r="E29" i="52076"/>
  <c r="I123" i="52089"/>
  <c r="L123" i="52089" s="1"/>
  <c r="F123" i="52102"/>
  <c r="I19" i="115"/>
  <c r="F19" i="52104"/>
  <c r="I75" i="52094"/>
  <c r="E75" i="52077"/>
  <c r="J75" i="52077" s="1"/>
  <c r="I137" i="52095"/>
  <c r="F137" i="52075"/>
  <c r="J137" i="52075" s="1"/>
  <c r="O137" i="111"/>
  <c r="E175" i="52074"/>
  <c r="I175" i="52074" s="1"/>
  <c r="I176" i="20"/>
  <c r="I140" i="21"/>
  <c r="E140" i="52098"/>
  <c r="I140" i="52098" s="1"/>
  <c r="I157" i="21"/>
  <c r="E156" i="52098"/>
  <c r="E92" i="52074"/>
  <c r="I92" i="52074" s="1"/>
  <c r="I92" i="20"/>
  <c r="I187" i="105"/>
  <c r="F186" i="52083"/>
  <c r="I189" i="12"/>
  <c r="E188" i="52076"/>
  <c r="J188" i="52076" s="1"/>
  <c r="G175" i="52082"/>
  <c r="K175" i="52082" s="1"/>
  <c r="I175" i="148"/>
  <c r="L175" i="52097"/>
  <c r="P175" i="52097" s="1"/>
  <c r="F171" i="52075"/>
  <c r="J171" i="52075" s="1"/>
  <c r="I172" i="52095"/>
  <c r="O172" i="111"/>
  <c r="S172" i="111" s="1"/>
  <c r="I101" i="52095"/>
  <c r="F101" i="52075"/>
  <c r="J101" i="52075" s="1"/>
  <c r="O101" i="111"/>
  <c r="S101" i="111" s="1"/>
  <c r="E181" i="52076"/>
  <c r="J181" i="52076" s="1"/>
  <c r="I182" i="52093"/>
  <c r="O182" i="111"/>
  <c r="S182" i="111" s="1"/>
  <c r="I159" i="105"/>
  <c r="F158" i="52083"/>
  <c r="E18" i="52076"/>
  <c r="J18" i="52076" s="1"/>
  <c r="I18" i="12"/>
  <c r="E125" i="52074"/>
  <c r="I125" i="52074" s="1"/>
  <c r="I125" i="115"/>
  <c r="F125" i="52104"/>
  <c r="J125" i="52104" s="1"/>
  <c r="E25" i="52084"/>
  <c r="F41" i="52066"/>
  <c r="G88" i="32"/>
  <c r="I88" i="32"/>
  <c r="I88" i="110"/>
  <c r="I76" i="91"/>
  <c r="F76" i="52103"/>
  <c r="I88" i="21"/>
  <c r="G88" i="21"/>
  <c r="I35" i="110"/>
  <c r="E116" i="52066"/>
  <c r="E70" i="52093"/>
  <c r="E103" i="52093" s="1"/>
  <c r="D82" i="9"/>
  <c r="I82" i="52064"/>
  <c r="I182" i="91"/>
  <c r="F181" i="52103"/>
  <c r="J181" i="52103" s="1"/>
  <c r="F35" i="52072"/>
  <c r="I68" i="110"/>
  <c r="F41" i="52091"/>
  <c r="E41" i="52076"/>
  <c r="F41" i="52093"/>
  <c r="I108" i="148"/>
  <c r="L108" i="52097"/>
  <c r="G108" i="52082"/>
  <c r="D148" i="9"/>
  <c r="I148" i="52064"/>
  <c r="I97" i="108"/>
  <c r="F97" i="52083"/>
  <c r="I150" i="110"/>
  <c r="I132" i="52095"/>
  <c r="F132" i="52075"/>
  <c r="O132" i="111"/>
  <c r="I141" i="110"/>
  <c r="I119" i="110"/>
  <c r="F134" i="52102"/>
  <c r="I134" i="52089"/>
  <c r="I134" i="48"/>
  <c r="E134" i="52084"/>
  <c r="I160" i="110"/>
  <c r="E168" i="52091"/>
  <c r="I143" i="108"/>
  <c r="F143" i="52083"/>
  <c r="I149" i="12"/>
  <c r="E149" i="52076"/>
  <c r="I152" i="108"/>
  <c r="F151" i="52083"/>
  <c r="E129" i="32"/>
  <c r="I118" i="110"/>
  <c r="I113" i="32"/>
  <c r="I113" i="110"/>
  <c r="M113" i="110" s="1"/>
  <c r="I78" i="148"/>
  <c r="G78" i="52082"/>
  <c r="I87" i="91"/>
  <c r="F87" i="52103"/>
  <c r="I109" i="110"/>
  <c r="I76" i="52095"/>
  <c r="O76" i="111"/>
  <c r="I143" i="52064"/>
  <c r="D143" i="9"/>
  <c r="I138" i="52064"/>
  <c r="D138" i="9"/>
  <c r="G150" i="52082"/>
  <c r="I150" i="148"/>
  <c r="L150" i="52097"/>
  <c r="E144" i="52098"/>
  <c r="I144" i="21"/>
  <c r="I160" i="48"/>
  <c r="E159" i="52084"/>
  <c r="I162" i="52095"/>
  <c r="F161" i="52075"/>
  <c r="I11" i="48"/>
  <c r="E11" i="52084"/>
  <c r="I148" i="48"/>
  <c r="E148" i="52084"/>
  <c r="I138" i="48"/>
  <c r="E138" i="52084"/>
  <c r="E168" i="52092"/>
  <c r="I143" i="52089"/>
  <c r="F143" i="52102"/>
  <c r="E168" i="91"/>
  <c r="F155" i="52103"/>
  <c r="I180" i="32"/>
  <c r="I180" i="110"/>
  <c r="I142" i="52064"/>
  <c r="D142" i="9"/>
  <c r="I145" i="108"/>
  <c r="F145" i="52083"/>
  <c r="D66" i="9"/>
  <c r="I66" i="52064"/>
  <c r="I84" i="52064"/>
  <c r="D84" i="9"/>
  <c r="E116" i="108"/>
  <c r="F105" i="52083"/>
  <c r="E72" i="52076"/>
  <c r="J72" i="52076" s="1"/>
  <c r="I72" i="12"/>
  <c r="I9" i="148"/>
  <c r="G9" i="52082"/>
  <c r="L9" i="52097"/>
  <c r="F77" i="52103"/>
  <c r="F84" i="52102"/>
  <c r="D105" i="9"/>
  <c r="F74" i="52102"/>
  <c r="I109" i="52064"/>
  <c r="D109" i="9"/>
  <c r="G88" i="52093"/>
  <c r="E35" i="52098"/>
  <c r="I82" i="110"/>
  <c r="I79" i="91"/>
  <c r="F79" i="52103"/>
  <c r="F114" i="52102"/>
  <c r="F27" i="52083"/>
  <c r="G41" i="52082"/>
  <c r="I122" i="148"/>
  <c r="G122" i="52082"/>
  <c r="I119" i="52064"/>
  <c r="D119" i="9"/>
  <c r="I180" i="21"/>
  <c r="E179" i="52098"/>
  <c r="F170" i="52103"/>
  <c r="I171" i="91"/>
  <c r="I112" i="110"/>
  <c r="I112" i="32"/>
  <c r="F150" i="52103"/>
  <c r="I150" i="91"/>
  <c r="F120" i="52103"/>
  <c r="I122" i="32"/>
  <c r="I122" i="110"/>
  <c r="I133" i="32"/>
  <c r="I133" i="110"/>
  <c r="F178" i="52103"/>
  <c r="I179" i="91"/>
  <c r="L179" i="91" s="1"/>
  <c r="I152" i="48"/>
  <c r="E151" i="52084"/>
  <c r="I142" i="52089"/>
  <c r="F142" i="52102"/>
  <c r="F119" i="52102"/>
  <c r="I122" i="52064"/>
  <c r="D122" i="9"/>
  <c r="H122" i="9" s="1"/>
  <c r="E200" i="93"/>
  <c r="I127" i="48"/>
  <c r="E127" i="52084"/>
  <c r="I97" i="91"/>
  <c r="F97" i="52103"/>
  <c r="I150" i="52089"/>
  <c r="F150" i="52102"/>
  <c r="F36" i="52072"/>
  <c r="D79" i="9"/>
  <c r="H79" i="9" s="1"/>
  <c r="I79" i="52064"/>
  <c r="I160" i="21"/>
  <c r="E159" i="52098"/>
  <c r="G124" i="52082"/>
  <c r="I124" i="148"/>
  <c r="E169" i="52077"/>
  <c r="I170" i="52094"/>
  <c r="E185" i="52094"/>
  <c r="I100" i="110"/>
  <c r="I147" i="32"/>
  <c r="I147" i="110"/>
  <c r="I121" i="21"/>
  <c r="E121" i="52098"/>
  <c r="I121" i="52098" s="1"/>
  <c r="E178" i="52084"/>
  <c r="I178" i="52084" s="1"/>
  <c r="I179" i="48"/>
  <c r="F170" i="52102"/>
  <c r="I171" i="52089"/>
  <c r="I11" i="32"/>
  <c r="I11" i="110"/>
  <c r="E85" i="52084"/>
  <c r="I158" i="52095"/>
  <c r="F157" i="52075"/>
  <c r="O158" i="111"/>
  <c r="E157" i="52076"/>
  <c r="J157" i="52076" s="1"/>
  <c r="I158" i="12"/>
  <c r="L158" i="12" s="1"/>
  <c r="I121" i="52094"/>
  <c r="E121" i="52077"/>
  <c r="E148" i="52077"/>
  <c r="E138" i="52077"/>
  <c r="I138" i="52094"/>
  <c r="I121" i="12"/>
  <c r="E121" i="52076"/>
  <c r="E99" i="52076"/>
  <c r="I99" i="12"/>
  <c r="E142" i="52077"/>
  <c r="I141" i="52095"/>
  <c r="F141" i="52075"/>
  <c r="O141" i="111"/>
  <c r="E179" i="52077"/>
  <c r="I180" i="52094"/>
  <c r="I152" i="12"/>
  <c r="E151" i="52076"/>
  <c r="O36" i="111"/>
  <c r="F36" i="233" s="1"/>
  <c r="F36" i="52075"/>
  <c r="F96" i="52075"/>
  <c r="O96" i="111"/>
  <c r="E108" i="52077"/>
  <c r="E68" i="52077"/>
  <c r="I68" i="52094"/>
  <c r="E76" i="52076"/>
  <c r="I95" i="52095"/>
  <c r="F95" i="52075"/>
  <c r="G88" i="52094"/>
  <c r="E88" i="52077"/>
  <c r="F41" i="12"/>
  <c r="G41" i="52104" s="1"/>
  <c r="I86" i="52094"/>
  <c r="E86" i="52077"/>
  <c r="L76" i="52097"/>
  <c r="I76" i="52079"/>
  <c r="E21" i="20"/>
  <c r="E9" i="52074"/>
  <c r="I9" i="20"/>
  <c r="I187" i="52079"/>
  <c r="E201" i="52079"/>
  <c r="I9" i="52089"/>
  <c r="F9" i="52102"/>
  <c r="J9" i="52102" s="1"/>
  <c r="I91" i="91"/>
  <c r="F91" i="52103"/>
  <c r="I189" i="21"/>
  <c r="E188" i="52098"/>
  <c r="I194" i="20"/>
  <c r="E193" i="52074"/>
  <c r="L87" i="52097"/>
  <c r="P87" i="52097" s="1"/>
  <c r="I87" i="52067"/>
  <c r="G87" i="52082"/>
  <c r="K87" i="52082" s="1"/>
  <c r="I87" i="148"/>
  <c r="G166" i="52082"/>
  <c r="K166" i="52082" s="1"/>
  <c r="L166" i="52097"/>
  <c r="P166" i="52097" s="1"/>
  <c r="I166" i="148"/>
  <c r="I137" i="52064"/>
  <c r="D137" i="9"/>
  <c r="G172" i="52082"/>
  <c r="K172" i="52082" s="1"/>
  <c r="I172" i="52088"/>
  <c r="I125" i="52064"/>
  <c r="D125" i="9"/>
  <c r="G107" i="52082"/>
  <c r="K107" i="52082" s="1"/>
  <c r="I107" i="52088"/>
  <c r="I94" i="52064"/>
  <c r="D94" i="9"/>
  <c r="H94" i="9" s="1"/>
  <c r="D19" i="9"/>
  <c r="I19" i="52064"/>
  <c r="F87" i="52075"/>
  <c r="J87" i="52075" s="1"/>
  <c r="I87" i="52095"/>
  <c r="O37" i="111"/>
  <c r="V37" i="111" s="1"/>
  <c r="F37" i="52075"/>
  <c r="E11" i="52098"/>
  <c r="I11" i="52098" s="1"/>
  <c r="I11" i="21"/>
  <c r="I139" i="48"/>
  <c r="E139" i="52084"/>
  <c r="I139" i="52084" s="1"/>
  <c r="E12" i="52084"/>
  <c r="I12" i="52084" s="1"/>
  <c r="I12" i="48"/>
  <c r="I187" i="52091"/>
  <c r="E201" i="52091"/>
  <c r="F165" i="52104"/>
  <c r="J165" i="52104" s="1"/>
  <c r="I166" i="115"/>
  <c r="I170" i="52066"/>
  <c r="E185" i="52066"/>
  <c r="I83" i="32"/>
  <c r="I83" i="110"/>
  <c r="E21" i="52090"/>
  <c r="I12" i="52090"/>
  <c r="E191" i="52076"/>
  <c r="J191" i="52076" s="1"/>
  <c r="I192" i="77"/>
  <c r="L195" i="52097"/>
  <c r="P195" i="52097" s="1"/>
  <c r="G195" i="52082"/>
  <c r="K195" i="52082" s="1"/>
  <c r="I195" i="148"/>
  <c r="D76" i="9"/>
  <c r="E76" i="52098"/>
  <c r="I76" i="52098" s="1"/>
  <c r="I76" i="21"/>
  <c r="I195" i="32"/>
  <c r="I195" i="110"/>
  <c r="M195" i="110" s="1"/>
  <c r="I126" i="48"/>
  <c r="E126" i="52084"/>
  <c r="I199" i="91"/>
  <c r="F198" i="52103"/>
  <c r="F165" i="52103"/>
  <c r="J165" i="52103" s="1"/>
  <c r="I166" i="91"/>
  <c r="I74" i="52094"/>
  <c r="E74" i="52077"/>
  <c r="F12" i="52102"/>
  <c r="I12" i="52089"/>
  <c r="E29" i="52098"/>
  <c r="H22" i="93"/>
  <c r="E32" i="93"/>
  <c r="I17" i="52095"/>
  <c r="O17" i="111"/>
  <c r="S17" i="111" s="1"/>
  <c r="F17" i="52075"/>
  <c r="J17" i="52075" s="1"/>
  <c r="E64" i="52077"/>
  <c r="E70" i="52077" s="1"/>
  <c r="I64" i="52094"/>
  <c r="E70" i="52094"/>
  <c r="E40" i="52076"/>
  <c r="E192" i="52076"/>
  <c r="J192" i="52076" s="1"/>
  <c r="I193" i="12"/>
  <c r="I157" i="52094"/>
  <c r="E156" i="52077"/>
  <c r="I159" i="91"/>
  <c r="F158" i="52103"/>
  <c r="I12" i="91"/>
  <c r="F12" i="52103"/>
  <c r="J12" i="52103" s="1"/>
  <c r="E201" i="52090"/>
  <c r="I170" i="52089"/>
  <c r="E185" i="52089"/>
  <c r="F169" i="52102"/>
  <c r="D188" i="9"/>
  <c r="H188" i="9" s="1"/>
  <c r="I188" i="52064"/>
  <c r="E156" i="52074"/>
  <c r="E168" i="20"/>
  <c r="F175" i="52102"/>
  <c r="J175" i="52102" s="1"/>
  <c r="I176" i="52089"/>
  <c r="I64" i="52079"/>
  <c r="E70" i="52079"/>
  <c r="E9" i="52098"/>
  <c r="I9" i="21"/>
  <c r="E193" i="52098"/>
  <c r="I193" i="52098" s="1"/>
  <c r="I194" i="21"/>
  <c r="I194" i="48"/>
  <c r="E193" i="52084"/>
  <c r="I193" i="52084" s="1"/>
  <c r="E176" i="52098"/>
  <c r="I176" i="52098" s="1"/>
  <c r="I177" i="21"/>
  <c r="D18" i="9"/>
  <c r="I18" i="52064"/>
  <c r="D87" i="9"/>
  <c r="I87" i="52064"/>
  <c r="D139" i="9"/>
  <c r="I139" i="52064"/>
  <c r="D15" i="9"/>
  <c r="I15" i="52064"/>
  <c r="I17" i="91"/>
  <c r="F17" i="52103"/>
  <c r="J17" i="52103" s="1"/>
  <c r="I199" i="52094"/>
  <c r="E198" i="52077"/>
  <c r="J198" i="52077" s="1"/>
  <c r="I187" i="52089"/>
  <c r="E201" i="52089"/>
  <c r="F186" i="52102"/>
  <c r="I94" i="52089"/>
  <c r="F94" i="52102"/>
  <c r="I170" i="32"/>
  <c r="E185" i="32"/>
  <c r="I170" i="110"/>
  <c r="I196" i="48"/>
  <c r="E195" i="52084"/>
  <c r="I195" i="52084" s="1"/>
  <c r="F37" i="52103"/>
  <c r="M37" i="52103" s="1"/>
  <c r="I19" i="52095"/>
  <c r="F19" i="52075"/>
  <c r="J19" i="52075" s="1"/>
  <c r="O19" i="111"/>
  <c r="S19" i="111" s="1"/>
  <c r="I92" i="32"/>
  <c r="I92" i="110"/>
  <c r="M92" i="110" s="1"/>
  <c r="I196" i="52095"/>
  <c r="O196" i="111"/>
  <c r="F195" i="52075"/>
  <c r="J195" i="52075" s="1"/>
  <c r="I133" i="115"/>
  <c r="F133" i="52104"/>
  <c r="E201" i="101"/>
  <c r="I171" i="108"/>
  <c r="F170" i="52083"/>
  <c r="I16" i="105"/>
  <c r="F16" i="52083"/>
  <c r="J16" i="52083" s="1"/>
  <c r="E81" i="93"/>
  <c r="I171" i="52095"/>
  <c r="F170" i="52075"/>
  <c r="J170" i="52075" s="1"/>
  <c r="O171" i="111"/>
  <c r="F144" i="52103"/>
  <c r="J144" i="52103" s="1"/>
  <c r="I144" i="91"/>
  <c r="I159" i="20"/>
  <c r="E158" i="52074"/>
  <c r="I176" i="91"/>
  <c r="F175" i="52103"/>
  <c r="O189" i="111"/>
  <c r="I189" i="52095"/>
  <c r="F188" i="52075"/>
  <c r="I13" i="52095"/>
  <c r="O13" i="111"/>
  <c r="F13" i="52075"/>
  <c r="J13" i="52075" s="1"/>
  <c r="I189" i="91"/>
  <c r="F188" i="52103"/>
  <c r="E37" i="52077"/>
  <c r="L37" i="52077" s="1"/>
  <c r="F94" i="52103"/>
  <c r="I94" i="91"/>
  <c r="E187" i="52077"/>
  <c r="J187" i="52077" s="1"/>
  <c r="I188" i="52094"/>
  <c r="I15" i="20"/>
  <c r="E15" i="52074"/>
  <c r="I174" i="52064"/>
  <c r="D174" i="9"/>
  <c r="H174" i="9" s="1"/>
  <c r="F139" i="52102"/>
  <c r="J139" i="52102" s="1"/>
  <c r="I139" i="52089"/>
  <c r="L139" i="52089" s="1"/>
  <c r="I163" i="52064"/>
  <c r="D163" i="9"/>
  <c r="F40" i="52075"/>
  <c r="O40" i="111"/>
  <c r="V40" i="111" s="1"/>
  <c r="I164" i="52095"/>
  <c r="O164" i="111"/>
  <c r="F163" i="52075"/>
  <c r="E37" i="52076"/>
  <c r="E21" i="52091"/>
  <c r="I171" i="12"/>
  <c r="E170" i="52076"/>
  <c r="J170" i="52076" s="1"/>
  <c r="E158" i="52098"/>
  <c r="I159" i="21"/>
  <c r="I188" i="115"/>
  <c r="F187" i="52104"/>
  <c r="I178" i="52089"/>
  <c r="F177" i="52102"/>
  <c r="J177" i="52102" s="1"/>
  <c r="I107" i="52089"/>
  <c r="F107" i="52102"/>
  <c r="J107" i="52102" s="1"/>
  <c r="L107" i="52097"/>
  <c r="P107" i="52097" s="1"/>
  <c r="I107" i="148"/>
  <c r="F194" i="52083"/>
  <c r="J194" i="52083" s="1"/>
  <c r="I195" i="105"/>
  <c r="I137" i="21"/>
  <c r="E137" i="52098"/>
  <c r="I170" i="12"/>
  <c r="E169" i="52076"/>
  <c r="J169" i="52076" s="1"/>
  <c r="E185" i="12"/>
  <c r="I64" i="52066"/>
  <c r="E70" i="52066"/>
  <c r="E133" i="52077"/>
  <c r="J133" i="52077" s="1"/>
  <c r="I133" i="52094"/>
  <c r="E15" i="52077"/>
  <c r="J15" i="52077" s="1"/>
  <c r="I15" i="52094"/>
  <c r="F192" i="52104"/>
  <c r="I193" i="115"/>
  <c r="F171" i="52104"/>
  <c r="J171" i="52104" s="1"/>
  <c r="I172" i="115"/>
  <c r="I164" i="52064"/>
  <c r="D164" i="9"/>
  <c r="I107" i="115"/>
  <c r="F107" i="52104"/>
  <c r="J107" i="52104" s="1"/>
  <c r="I197" i="115"/>
  <c r="F196" i="52104"/>
  <c r="I123" i="115"/>
  <c r="F123" i="52104"/>
  <c r="F35" i="52103"/>
  <c r="F35" i="91"/>
  <c r="E70" i="21"/>
  <c r="E95" i="52084"/>
  <c r="D24" i="9"/>
  <c r="I90" i="110"/>
  <c r="I90" i="32"/>
  <c r="I8" i="105"/>
  <c r="E21" i="105"/>
  <c r="F8" i="52083"/>
  <c r="I187" i="148"/>
  <c r="G187" i="52082"/>
  <c r="E201" i="148"/>
  <c r="L187" i="52097"/>
  <c r="E10" i="52098"/>
  <c r="I10" i="52098" s="1"/>
  <c r="I10" i="21"/>
  <c r="I13" i="32"/>
  <c r="I13" i="110"/>
  <c r="F10" i="52103"/>
  <c r="J10" i="52103" s="1"/>
  <c r="I10" i="91"/>
  <c r="F137" i="52103"/>
  <c r="J137" i="52103" s="1"/>
  <c r="I137" i="91"/>
  <c r="F98" i="52103"/>
  <c r="I98" i="91"/>
  <c r="I49" i="91"/>
  <c r="F49" i="52103"/>
  <c r="E169" i="52074"/>
  <c r="I169" i="52074" s="1"/>
  <c r="E185" i="20"/>
  <c r="I170" i="20"/>
  <c r="E168" i="93"/>
  <c r="I163" i="48"/>
  <c r="E162" i="52084"/>
  <c r="E23" i="52077"/>
  <c r="E30" i="52094"/>
  <c r="D157" i="9"/>
  <c r="I157" i="52064"/>
  <c r="I101" i="105"/>
  <c r="F101" i="52083"/>
  <c r="J101" i="52083" s="1"/>
  <c r="G181" i="52082"/>
  <c r="K181" i="52082" s="1"/>
  <c r="I181" i="148"/>
  <c r="L181" i="52097"/>
  <c r="P181" i="52097" s="1"/>
  <c r="E20" i="93"/>
  <c r="I10" i="32"/>
  <c r="I10" i="110"/>
  <c r="M10" i="110" s="1"/>
  <c r="I75" i="52095"/>
  <c r="F75" i="52075"/>
  <c r="J75" i="52075" s="1"/>
  <c r="O75" i="111"/>
  <c r="S75" i="111" s="1"/>
  <c r="I181" i="115"/>
  <c r="F180" i="52104"/>
  <c r="J180" i="52104" s="1"/>
  <c r="I75" i="32"/>
  <c r="I75" i="110"/>
  <c r="I124" i="32"/>
  <c r="I124" i="110"/>
  <c r="I191" i="20"/>
  <c r="E190" i="52074"/>
  <c r="I190" i="52074" s="1"/>
  <c r="I139" i="52095"/>
  <c r="O139" i="111"/>
  <c r="S139" i="111" s="1"/>
  <c r="F139" i="52075"/>
  <c r="J139" i="52075" s="1"/>
  <c r="F191" i="52102"/>
  <c r="I192" i="52089"/>
  <c r="L192" i="52089" s="1"/>
  <c r="E182" i="52098"/>
  <c r="I182" i="52098" s="1"/>
  <c r="I183" i="21"/>
  <c r="E144" i="52076"/>
  <c r="J144" i="52076" s="1"/>
  <c r="I144" i="12"/>
  <c r="I146" i="52095"/>
  <c r="O146" i="111"/>
  <c r="F146" i="52075"/>
  <c r="J146" i="52075" s="1"/>
  <c r="I78" i="52095"/>
  <c r="F78" i="52075"/>
  <c r="I125" i="12"/>
  <c r="E125" i="52076"/>
  <c r="J125" i="52076" s="1"/>
  <c r="I83" i="12"/>
  <c r="E83" i="52076"/>
  <c r="J83" i="52076" s="1"/>
  <c r="F192" i="52083"/>
  <c r="I193" i="105"/>
  <c r="I107" i="21"/>
  <c r="E107" i="52098"/>
  <c r="I107" i="52098" s="1"/>
  <c r="I98" i="20"/>
  <c r="E98" i="52074"/>
  <c r="I98" i="52074" s="1"/>
  <c r="E175" i="52098"/>
  <c r="I175" i="52098" s="1"/>
  <c r="I176" i="21"/>
  <c r="I198" i="21"/>
  <c r="E197" i="52098"/>
  <c r="I197" i="52098" s="1"/>
  <c r="E8" i="52077"/>
  <c r="I8" i="52094"/>
  <c r="L8" i="52094" s="1"/>
  <c r="E21" i="52094"/>
  <c r="I8" i="114"/>
  <c r="L8" i="114" s="1"/>
  <c r="E21" i="114"/>
  <c r="I188" i="105"/>
  <c r="F187" i="52083"/>
  <c r="J187" i="52083" s="1"/>
  <c r="I164" i="110"/>
  <c r="E30" i="52090"/>
  <c r="I101" i="52089"/>
  <c r="F101" i="52102"/>
  <c r="J101" i="52102" s="1"/>
  <c r="I75" i="115"/>
  <c r="F75" i="52104"/>
  <c r="J75" i="52104" s="1"/>
  <c r="E37" i="52074"/>
  <c r="I92" i="52064"/>
  <c r="D92" i="9"/>
  <c r="I170" i="115"/>
  <c r="F169" i="52104"/>
  <c r="J169" i="52104" s="1"/>
  <c r="F25" i="52103"/>
  <c r="E160" i="52084"/>
  <c r="F36" i="52102"/>
  <c r="E116" i="91"/>
  <c r="F105" i="52103"/>
  <c r="I19" i="105"/>
  <c r="F19" i="52083"/>
  <c r="J19" i="52083" s="1"/>
  <c r="I18" i="20"/>
  <c r="E18" i="52074"/>
  <c r="I18" i="52074" s="1"/>
  <c r="E195" i="52098"/>
  <c r="I195" i="52098" s="1"/>
  <c r="I196" i="21"/>
  <c r="I189" i="115"/>
  <c r="F188" i="52104"/>
  <c r="F174" i="52102"/>
  <c r="J174" i="52102" s="1"/>
  <c r="I175" i="52089"/>
  <c r="I196" i="115"/>
  <c r="F195" i="52104"/>
  <c r="E173" i="52098"/>
  <c r="I173" i="52098" s="1"/>
  <c r="I174" i="21"/>
  <c r="I157" i="110"/>
  <c r="E180" i="52077"/>
  <c r="J180" i="52077" s="1"/>
  <c r="I181" i="52094"/>
  <c r="E94" i="52074"/>
  <c r="I94" i="52074" s="1"/>
  <c r="I94" i="20"/>
  <c r="I123" i="20"/>
  <c r="E123" i="52074"/>
  <c r="I123" i="52074" s="1"/>
  <c r="E129" i="20"/>
  <c r="I80" i="115"/>
  <c r="F80" i="52104"/>
  <c r="J80" i="52104" s="1"/>
  <c r="F29" i="52103"/>
  <c r="E95" i="52098"/>
  <c r="E29" i="52084"/>
  <c r="F83" i="52083"/>
  <c r="I83" i="108"/>
  <c r="E25" i="52076"/>
  <c r="I114" i="110"/>
  <c r="E68" i="52084"/>
  <c r="I96" i="21"/>
  <c r="E96" i="52098"/>
  <c r="I146" i="52064"/>
  <c r="D146" i="9"/>
  <c r="H146" i="9" s="1"/>
  <c r="I193" i="148"/>
  <c r="L193" i="52097"/>
  <c r="G193" i="52082"/>
  <c r="I191" i="148"/>
  <c r="L191" i="52097"/>
  <c r="P191" i="52097" s="1"/>
  <c r="G191" i="52082"/>
  <c r="K191" i="52082" s="1"/>
  <c r="I94" i="21"/>
  <c r="E94" i="52098"/>
  <c r="I94" i="52098" s="1"/>
  <c r="I107" i="48"/>
  <c r="E107" i="52084"/>
  <c r="I107" i="52084" s="1"/>
  <c r="I137" i="12"/>
  <c r="E137" i="52076"/>
  <c r="J137" i="52076" s="1"/>
  <c r="I92" i="21"/>
  <c r="E92" i="52098"/>
  <c r="I92" i="52098" s="1"/>
  <c r="F83" i="52103"/>
  <c r="I83" i="91"/>
  <c r="I166" i="52095"/>
  <c r="F165" i="52075"/>
  <c r="J165" i="52075" s="1"/>
  <c r="O166" i="111"/>
  <c r="S166" i="111" s="1"/>
  <c r="F40" i="52103"/>
  <c r="M40" i="52103" s="1"/>
  <c r="E23" i="52084"/>
  <c r="E30" i="48"/>
  <c r="I190" i="12"/>
  <c r="E189" i="52076"/>
  <c r="J189" i="52076" s="1"/>
  <c r="I197" i="21"/>
  <c r="E196" i="52098"/>
  <c r="I196" i="52098" s="1"/>
  <c r="I175" i="105"/>
  <c r="F174" i="52083"/>
  <c r="J174" i="52083" s="1"/>
  <c r="I176" i="105"/>
  <c r="F175" i="52083"/>
  <c r="J175" i="52083" s="1"/>
  <c r="E75" i="52098"/>
  <c r="I75" i="52098" s="1"/>
  <c r="I75" i="21"/>
  <c r="E8" i="52084"/>
  <c r="I8" i="48"/>
  <c r="E21" i="48"/>
  <c r="O23" i="111"/>
  <c r="I8" i="91"/>
  <c r="L8" i="91" s="1"/>
  <c r="E21" i="91"/>
  <c r="F8" i="52103"/>
  <c r="I159" i="32"/>
  <c r="I159" i="110"/>
  <c r="I170" i="48"/>
  <c r="E169" i="52084"/>
  <c r="E185" i="48"/>
  <c r="I19" i="21"/>
  <c r="E19" i="52098"/>
  <c r="I19" i="52098" s="1"/>
  <c r="F163" i="52103"/>
  <c r="I13" i="48"/>
  <c r="E13" i="52084"/>
  <c r="I13" i="52084" s="1"/>
  <c r="I181" i="91"/>
  <c r="F180" i="52103"/>
  <c r="J180" i="52103" s="1"/>
  <c r="F139" i="52104"/>
  <c r="I139" i="115"/>
  <c r="I178" i="148"/>
  <c r="L178" i="52097"/>
  <c r="G178" i="52082"/>
  <c r="K178" i="52082" s="1"/>
  <c r="I188" i="20"/>
  <c r="E187" i="52074"/>
  <c r="I187" i="52074" s="1"/>
  <c r="D72" i="9"/>
  <c r="I72" i="52064"/>
  <c r="E177" i="52077"/>
  <c r="J177" i="52077" s="1"/>
  <c r="I178" i="52094"/>
  <c r="I107" i="32"/>
  <c r="I107" i="110"/>
  <c r="M107" i="110" s="1"/>
  <c r="D12" i="9"/>
  <c r="I12" i="52064"/>
  <c r="I111" i="52094"/>
  <c r="E111" i="52077"/>
  <c r="I8" i="101"/>
  <c r="E21" i="101"/>
  <c r="E191" i="52098"/>
  <c r="I191" i="52098" s="1"/>
  <c r="I192" i="21"/>
  <c r="I166" i="12"/>
  <c r="E165" i="52076"/>
  <c r="J165" i="52076" s="1"/>
  <c r="I193" i="21"/>
  <c r="E192" i="52098"/>
  <c r="I11" i="91"/>
  <c r="F11" i="52103"/>
  <c r="J11" i="52103" s="1"/>
  <c r="F193" i="52075"/>
  <c r="J193" i="52075" s="1"/>
  <c r="I194" i="52095"/>
  <c r="O194" i="111"/>
  <c r="E163" i="52074"/>
  <c r="E190" i="52076"/>
  <c r="J190" i="52076" s="1"/>
  <c r="I191" i="12"/>
  <c r="I198" i="52089"/>
  <c r="F197" i="52102"/>
  <c r="J197" i="52102" s="1"/>
  <c r="I11" i="20"/>
  <c r="E11" i="52074"/>
  <c r="G88" i="52072"/>
  <c r="D101" i="9"/>
  <c r="H101" i="9" s="1"/>
  <c r="I101" i="52064"/>
  <c r="I90" i="91"/>
  <c r="F90" i="52103"/>
  <c r="I83" i="21"/>
  <c r="E83" i="52098"/>
  <c r="F24" i="52103"/>
  <c r="I24" i="110"/>
  <c r="I79" i="52089"/>
  <c r="F79" i="52102"/>
  <c r="F26" i="52102"/>
  <c r="I77" i="148"/>
  <c r="G77" i="52082"/>
  <c r="L77" i="52097"/>
  <c r="F26" i="52103"/>
  <c r="I161" i="52094"/>
  <c r="E160" i="52077"/>
  <c r="E253" i="52089"/>
  <c r="F28" i="52102"/>
  <c r="F252" i="52102" s="1"/>
  <c r="D28" i="9"/>
  <c r="D253" i="9" s="1"/>
  <c r="H253" i="9" s="1"/>
  <c r="E253" i="52064"/>
  <c r="D131" i="9"/>
  <c r="E154" i="52064"/>
  <c r="G134" i="52082"/>
  <c r="I134" i="148"/>
  <c r="E129" i="108"/>
  <c r="I156" i="32"/>
  <c r="I156" i="110"/>
  <c r="I162" i="48"/>
  <c r="E161" i="52084"/>
  <c r="E168" i="48"/>
  <c r="E155" i="52084"/>
  <c r="I144" i="110"/>
  <c r="I152" i="52089"/>
  <c r="F151" i="52102"/>
  <c r="I11" i="12"/>
  <c r="E11" i="52076"/>
  <c r="J11" i="52076" s="1"/>
  <c r="E150" i="52098"/>
  <c r="I150" i="21"/>
  <c r="E154" i="148"/>
  <c r="I124" i="91"/>
  <c r="F124" i="52103"/>
  <c r="I165" i="32"/>
  <c r="I165" i="110"/>
  <c r="I148" i="108"/>
  <c r="F148" i="52083"/>
  <c r="E129" i="21"/>
  <c r="F73" i="52103"/>
  <c r="I135" i="52095"/>
  <c r="O135" i="111"/>
  <c r="F95" i="52102"/>
  <c r="I11" i="52064"/>
  <c r="D11" i="9"/>
  <c r="D97" i="9"/>
  <c r="I97" i="52064"/>
  <c r="E168" i="148"/>
  <c r="I170" i="52095"/>
  <c r="O170" i="111"/>
  <c r="F169" i="52075"/>
  <c r="E185" i="52095"/>
  <c r="E141" i="52084"/>
  <c r="I162" i="110"/>
  <c r="E118" i="52084"/>
  <c r="E129" i="48"/>
  <c r="E39" i="52098"/>
  <c r="F161" i="52103"/>
  <c r="I162" i="91"/>
  <c r="F164" i="52103"/>
  <c r="I165" i="91"/>
  <c r="E168" i="52066"/>
  <c r="I170" i="52093"/>
  <c r="E185" i="52093"/>
  <c r="I121" i="52089"/>
  <c r="F121" i="52102"/>
  <c r="D145" i="9"/>
  <c r="I145" i="52064"/>
  <c r="I141" i="108"/>
  <c r="F141" i="52083"/>
  <c r="F143" i="52103"/>
  <c r="I143" i="91"/>
  <c r="I142" i="110"/>
  <c r="I148" i="148"/>
  <c r="G148" i="52082"/>
  <c r="D88" i="9"/>
  <c r="I88" i="52064"/>
  <c r="G88" i="52064"/>
  <c r="I77" i="52064"/>
  <c r="D77" i="9"/>
  <c r="D80" i="9"/>
  <c r="I80" i="52064"/>
  <c r="I9" i="32"/>
  <c r="I9" i="110"/>
  <c r="I93" i="21"/>
  <c r="E93" i="52098"/>
  <c r="D9" i="9"/>
  <c r="I9" i="52064"/>
  <c r="I111" i="108"/>
  <c r="F111" i="52083"/>
  <c r="F27" i="52103"/>
  <c r="M27" i="52103" s="1"/>
  <c r="I90" i="21"/>
  <c r="E90" i="52098"/>
  <c r="F96" i="52103"/>
  <c r="F93" i="52103"/>
  <c r="J93" i="52103" s="1"/>
  <c r="I93" i="91"/>
  <c r="E116" i="52089"/>
  <c r="F105" i="52102"/>
  <c r="F72" i="52102"/>
  <c r="I72" i="52089"/>
  <c r="D25" i="9"/>
  <c r="F68" i="52102"/>
  <c r="I68" i="52089"/>
  <c r="I180" i="52064"/>
  <c r="D180" i="9"/>
  <c r="D147" i="9"/>
  <c r="I147" i="52064"/>
  <c r="I147" i="21"/>
  <c r="E147" i="52098"/>
  <c r="I39" i="110"/>
  <c r="E97" i="52084"/>
  <c r="F159" i="52103"/>
  <c r="I160" i="91"/>
  <c r="E155" i="52098"/>
  <c r="I156" i="21"/>
  <c r="E168" i="21"/>
  <c r="I158" i="91"/>
  <c r="F157" i="52103"/>
  <c r="I138" i="91"/>
  <c r="F138" i="52103"/>
  <c r="I99" i="91"/>
  <c r="F99" i="52103"/>
  <c r="F39" i="52103"/>
  <c r="E99" i="52084"/>
  <c r="I146" i="148"/>
  <c r="G146" i="52082"/>
  <c r="I177" i="48"/>
  <c r="E176" i="52084"/>
  <c r="I176" i="52084" s="1"/>
  <c r="I113" i="91"/>
  <c r="L113" i="91" s="1"/>
  <c r="F113" i="52103"/>
  <c r="I162" i="52089"/>
  <c r="F161" i="52102"/>
  <c r="D156" i="9"/>
  <c r="E168" i="52064"/>
  <c r="G76" i="52082"/>
  <c r="I76" i="148"/>
  <c r="D67" i="9"/>
  <c r="I67" i="52064"/>
  <c r="I249" i="52064" s="1"/>
  <c r="I106" i="108"/>
  <c r="F106" i="52083"/>
  <c r="I161" i="32"/>
  <c r="I161" i="110"/>
  <c r="D93" i="9"/>
  <c r="I93" i="52064"/>
  <c r="I179" i="21"/>
  <c r="E178" i="52098"/>
  <c r="I178" i="52098" s="1"/>
  <c r="D121" i="9"/>
  <c r="I121" i="52064"/>
  <c r="I141" i="148"/>
  <c r="L141" i="52097"/>
  <c r="D120" i="9"/>
  <c r="I120" i="52064"/>
  <c r="E151" i="52098"/>
  <c r="I152" i="21"/>
  <c r="F151" i="52103"/>
  <c r="I152" i="91"/>
  <c r="F179" i="52102"/>
  <c r="I158" i="110"/>
  <c r="E129" i="52093"/>
  <c r="E129" i="52092"/>
  <c r="I141" i="52089"/>
  <c r="F141" i="52102"/>
  <c r="I170" i="52091"/>
  <c r="E185" i="52091"/>
  <c r="I99" i="52064"/>
  <c r="D99" i="9"/>
  <c r="F148" i="52075"/>
  <c r="E118" i="52076"/>
  <c r="E129" i="12"/>
  <c r="E122" i="52077"/>
  <c r="I122" i="52077" s="1"/>
  <c r="I122" i="52094"/>
  <c r="F145" i="52075"/>
  <c r="F120" i="52075"/>
  <c r="I120" i="52095"/>
  <c r="E162" i="52077"/>
  <c r="I163" i="52094"/>
  <c r="E168" i="114"/>
  <c r="I113" i="12"/>
  <c r="E113" i="52076"/>
  <c r="E127" i="52077"/>
  <c r="I127" i="52094"/>
  <c r="E147" i="52076"/>
  <c r="O90" i="111"/>
  <c r="I85" i="52095"/>
  <c r="F85" i="52075"/>
  <c r="E91" i="52077"/>
  <c r="F42" i="12"/>
  <c r="E42" i="52076"/>
  <c r="E95" i="52077"/>
  <c r="F41" i="77"/>
  <c r="I108" i="12"/>
  <c r="E108" i="52076"/>
  <c r="E70" i="52090"/>
  <c r="E27" i="52076"/>
  <c r="I97" i="52095"/>
  <c r="F97" i="52075"/>
  <c r="O97" i="111"/>
  <c r="F182" i="52104"/>
  <c r="I183" i="115"/>
  <c r="E105" i="52074"/>
  <c r="F105" i="52104"/>
  <c r="F124" i="52104"/>
  <c r="F35" i="52104"/>
  <c r="E35" i="52074"/>
  <c r="I152" i="115"/>
  <c r="E151" i="52074"/>
  <c r="F131" i="52104"/>
  <c r="E131" i="52074"/>
  <c r="F111" i="52104"/>
  <c r="I111" i="115"/>
  <c r="E111" i="52074"/>
  <c r="I66" i="115"/>
  <c r="E66" i="52074"/>
  <c r="F66" i="52104"/>
  <c r="E108" i="52074"/>
  <c r="F108" i="52104"/>
  <c r="F64" i="52104"/>
  <c r="F91" i="52104"/>
  <c r="I91" i="115"/>
  <c r="E91" i="52074"/>
  <c r="E26" i="52074"/>
  <c r="F26" i="52104"/>
  <c r="E141" i="52074"/>
  <c r="F141" i="52104"/>
  <c r="E161" i="52074"/>
  <c r="I160" i="115"/>
  <c r="E159" i="52074"/>
  <c r="F159" i="52104"/>
  <c r="I96" i="115"/>
  <c r="E96" i="52074"/>
  <c r="F96" i="52104"/>
  <c r="I138" i="115"/>
  <c r="E138" i="52074"/>
  <c r="F138" i="52104"/>
  <c r="J140" i="105"/>
  <c r="G140" i="52083"/>
  <c r="C168" i="32"/>
  <c r="F164" i="32"/>
  <c r="I164" i="32" s="1"/>
  <c r="F149" i="52072"/>
  <c r="H147" i="52082"/>
  <c r="M147" i="52097"/>
  <c r="G147" i="148"/>
  <c r="J147" i="148"/>
  <c r="E88" i="9"/>
  <c r="J88" i="52064"/>
  <c r="G144" i="108"/>
  <c r="G145" i="108"/>
  <c r="G142" i="108"/>
  <c r="G141" i="108"/>
  <c r="G146" i="108"/>
  <c r="F131" i="108"/>
  <c r="C154" i="108"/>
  <c r="G143" i="108"/>
  <c r="G178" i="105"/>
  <c r="G177" i="52083"/>
  <c r="K177" i="52083" s="1"/>
  <c r="J178" i="105"/>
  <c r="J196" i="148"/>
  <c r="M196" i="52097"/>
  <c r="Q196" i="52097" s="1"/>
  <c r="H196" i="52082"/>
  <c r="L196" i="52082" s="1"/>
  <c r="G173" i="52064"/>
  <c r="E173" i="9"/>
  <c r="J173" i="52064"/>
  <c r="C30" i="148"/>
  <c r="C44" i="148" s="1"/>
  <c r="J98" i="21"/>
  <c r="F98" i="52098"/>
  <c r="J98" i="52098" s="1"/>
  <c r="G98" i="21"/>
  <c r="G133" i="101"/>
  <c r="J133" i="101"/>
  <c r="G176" i="52087"/>
  <c r="J176" i="52087"/>
  <c r="E157" i="9"/>
  <c r="J157" i="52064"/>
  <c r="G78" i="52087"/>
  <c r="J78" i="52087"/>
  <c r="G141" i="52083"/>
  <c r="J141" i="108"/>
  <c r="G165" i="21"/>
  <c r="F164" i="52098"/>
  <c r="I164" i="52098" s="1"/>
  <c r="J165" i="21"/>
  <c r="E18" i="9"/>
  <c r="J18" i="52064"/>
  <c r="G18" i="52064"/>
  <c r="G87" i="101"/>
  <c r="J87" i="101"/>
  <c r="J159" i="52064"/>
  <c r="E159" i="9"/>
  <c r="I159" i="9" s="1"/>
  <c r="G163" i="108"/>
  <c r="J163" i="108" s="1"/>
  <c r="F170" i="105"/>
  <c r="C185" i="105"/>
  <c r="J107" i="101"/>
  <c r="G107" i="101"/>
  <c r="G80" i="52083"/>
  <c r="G80" i="105"/>
  <c r="J80" i="105"/>
  <c r="G82" i="21"/>
  <c r="J82" i="21"/>
  <c r="F82" i="52098"/>
  <c r="I82" i="52098" s="1"/>
  <c r="M76" i="52097"/>
  <c r="H76" i="52082"/>
  <c r="G76" i="148"/>
  <c r="J76" i="148" s="1"/>
  <c r="E152" i="9"/>
  <c r="G152" i="52064"/>
  <c r="J152" i="52064"/>
  <c r="J111" i="52064"/>
  <c r="E111" i="9"/>
  <c r="G125" i="52088"/>
  <c r="J125" i="52088"/>
  <c r="G78" i="108"/>
  <c r="J78" i="108"/>
  <c r="G176" i="105"/>
  <c r="J176" i="105"/>
  <c r="G175" i="52083"/>
  <c r="K175" i="52083" s="1"/>
  <c r="G99" i="148"/>
  <c r="M99" i="52097"/>
  <c r="H99" i="52082"/>
  <c r="K99" i="52082" s="1"/>
  <c r="J99" i="148"/>
  <c r="F131" i="21"/>
  <c r="G142" i="21"/>
  <c r="G141" i="21"/>
  <c r="G146" i="21"/>
  <c r="G145" i="21"/>
  <c r="G143" i="21"/>
  <c r="C154" i="21"/>
  <c r="G144" i="21"/>
  <c r="H82" i="52082"/>
  <c r="G82" i="148"/>
  <c r="M82" i="52097"/>
  <c r="P82" i="52097" s="1"/>
  <c r="J82" i="148"/>
  <c r="G161" i="52064"/>
  <c r="E161" i="9"/>
  <c r="E109" i="9"/>
  <c r="J109" i="52064"/>
  <c r="J19" i="21"/>
  <c r="G19" i="21"/>
  <c r="F19" i="52098"/>
  <c r="J19" i="52098" s="1"/>
  <c r="G9" i="21"/>
  <c r="J9" i="21"/>
  <c r="F9" i="52098"/>
  <c r="J9" i="52098" s="1"/>
  <c r="F21" i="21"/>
  <c r="F198" i="52098"/>
  <c r="J198" i="52098" s="1"/>
  <c r="E199" i="9"/>
  <c r="J199" i="52064"/>
  <c r="J198" i="148"/>
  <c r="H198" i="52082"/>
  <c r="L198" i="52082" s="1"/>
  <c r="M198" i="52097"/>
  <c r="Q198" i="52097" s="1"/>
  <c r="F88" i="52098"/>
  <c r="I88" i="52098" s="1"/>
  <c r="J88" i="21"/>
  <c r="G152" i="21"/>
  <c r="J152" i="21"/>
  <c r="F151" i="52098"/>
  <c r="J151" i="52098" s="1"/>
  <c r="F107" i="52098"/>
  <c r="J107" i="52098" s="1"/>
  <c r="J107" i="21"/>
  <c r="G107" i="21"/>
  <c r="F187" i="52087"/>
  <c r="C201" i="52087"/>
  <c r="G133" i="148"/>
  <c r="M133" i="52097"/>
  <c r="H133" i="52082"/>
  <c r="K133" i="52082" s="1"/>
  <c r="J133" i="148"/>
  <c r="G82" i="52064"/>
  <c r="J82" i="52064"/>
  <c r="E82" i="9"/>
  <c r="H194" i="52082"/>
  <c r="L194" i="52082" s="1"/>
  <c r="M194" i="52097"/>
  <c r="Q194" i="52097" s="1"/>
  <c r="J194" i="148"/>
  <c r="M15" i="52097"/>
  <c r="Q15" i="52097" s="1"/>
  <c r="H15" i="52082"/>
  <c r="L15" i="52082" s="1"/>
  <c r="J15" i="148"/>
  <c r="G173" i="21"/>
  <c r="F172" i="52098"/>
  <c r="J173" i="21"/>
  <c r="G100" i="148"/>
  <c r="M100" i="52097"/>
  <c r="J100" i="148"/>
  <c r="H100" i="52082"/>
  <c r="C21" i="148"/>
  <c r="J111" i="21"/>
  <c r="F111" i="52098"/>
  <c r="J111" i="52098" s="1"/>
  <c r="F172" i="52072"/>
  <c r="F125" i="52072"/>
  <c r="F98" i="52072"/>
  <c r="J195" i="52081"/>
  <c r="G147" i="52072"/>
  <c r="J147" i="52072"/>
  <c r="L147" i="52072" s="1"/>
  <c r="B215" i="52066"/>
  <c r="B211" i="52066"/>
  <c r="C51" i="52066"/>
  <c r="C220" i="52066"/>
  <c r="B207" i="52066"/>
  <c r="B212" i="52066"/>
  <c r="F144" i="91"/>
  <c r="J108" i="91"/>
  <c r="G108" i="91"/>
  <c r="J199" i="32"/>
  <c r="J199" i="110"/>
  <c r="N199" i="110" s="1"/>
  <c r="F174" i="32"/>
  <c r="F68" i="32"/>
  <c r="I68" i="32" s="1"/>
  <c r="F157" i="52081"/>
  <c r="J157" i="52081" s="1"/>
  <c r="G162" i="52072"/>
  <c r="J162" i="52072"/>
  <c r="L162" i="52072" s="1"/>
  <c r="F196" i="52066"/>
  <c r="J196" i="52066" s="1"/>
  <c r="L196" i="52066"/>
  <c r="F150" i="48"/>
  <c r="F138" i="52084"/>
  <c r="J138" i="52084" s="1"/>
  <c r="J138" i="48"/>
  <c r="F157" i="32"/>
  <c r="I157" i="32" s="1"/>
  <c r="F84" i="32"/>
  <c r="J17" i="110"/>
  <c r="N17" i="110" s="1"/>
  <c r="G17" i="32"/>
  <c r="J17" i="32"/>
  <c r="F180" i="52080"/>
  <c r="J139" i="52095"/>
  <c r="L139" i="52095" s="1"/>
  <c r="G183" i="52094"/>
  <c r="J183" i="52094"/>
  <c r="G19" i="52094"/>
  <c r="J19" i="52094"/>
  <c r="F19" i="52077"/>
  <c r="L173" i="52093"/>
  <c r="F74" i="52093"/>
  <c r="F195" i="52092"/>
  <c r="J195" i="52092" s="1"/>
  <c r="F147" i="52092"/>
  <c r="F160" i="52066"/>
  <c r="J160" i="52066" s="1"/>
  <c r="J94" i="52066"/>
  <c r="G94" i="52066"/>
  <c r="G73" i="52066"/>
  <c r="J73" i="52066" s="1"/>
  <c r="L73" i="52066" s="1"/>
  <c r="J193" i="48"/>
  <c r="F192" i="52084"/>
  <c r="J192" i="52084" s="1"/>
  <c r="G172" i="48"/>
  <c r="J172" i="48"/>
  <c r="G91" i="48"/>
  <c r="J91" i="48"/>
  <c r="F91" i="52084"/>
  <c r="G74" i="48"/>
  <c r="J74" i="48"/>
  <c r="G177" i="91"/>
  <c r="J177" i="91"/>
  <c r="G97" i="91"/>
  <c r="J97" i="91"/>
  <c r="L97" i="91" s="1"/>
  <c r="L113" i="32"/>
  <c r="G150" i="52080"/>
  <c r="J150" i="52080" s="1"/>
  <c r="L150" i="52080" s="1"/>
  <c r="F106" i="52080"/>
  <c r="J106" i="52080" s="1"/>
  <c r="F190" i="52094"/>
  <c r="F164" i="52094"/>
  <c r="J14" i="52094"/>
  <c r="F14" i="52077"/>
  <c r="F137" i="52093"/>
  <c r="F126" i="52092"/>
  <c r="F118" i="52092"/>
  <c r="I118" i="52092" s="1"/>
  <c r="C129" i="52092"/>
  <c r="F195" i="52091"/>
  <c r="J195" i="52091" s="1"/>
  <c r="F80" i="52091"/>
  <c r="J80" i="52091" s="1"/>
  <c r="F114" i="52089"/>
  <c r="I114" i="52089" s="1"/>
  <c r="F126" i="77"/>
  <c r="F158" i="52076"/>
  <c r="J159" i="12"/>
  <c r="L159" i="12" s="1"/>
  <c r="F125" i="12"/>
  <c r="F65" i="12"/>
  <c r="F75" i="20"/>
  <c r="F80" i="115"/>
  <c r="J75" i="114"/>
  <c r="G75" i="114"/>
  <c r="F140" i="52091"/>
  <c r="J140" i="52091" s="1"/>
  <c r="J18" i="52090"/>
  <c r="G18" i="52090"/>
  <c r="J10" i="12"/>
  <c r="F10" i="52076"/>
  <c r="G10" i="12"/>
  <c r="F11" i="52074"/>
  <c r="G11" i="20"/>
  <c r="J11" i="20" s="1"/>
  <c r="F187" i="52080"/>
  <c r="C201" i="52080"/>
  <c r="G99" i="52080"/>
  <c r="J99" i="52080"/>
  <c r="L99" i="52080" s="1"/>
  <c r="F81" i="52080"/>
  <c r="C30" i="52080"/>
  <c r="C44" i="52080" s="1"/>
  <c r="L23" i="52080"/>
  <c r="F183" i="52095"/>
  <c r="F94" i="52095"/>
  <c r="C30" i="52095"/>
  <c r="C44" i="52095" s="1"/>
  <c r="L23" i="52095"/>
  <c r="F139" i="52094"/>
  <c r="F133" i="52094"/>
  <c r="L121" i="52093"/>
  <c r="F68" i="52093"/>
  <c r="I68" i="52093" s="1"/>
  <c r="F175" i="52092"/>
  <c r="F150" i="52092"/>
  <c r="F178" i="52066"/>
  <c r="G111" i="52066"/>
  <c r="J111" i="52066"/>
  <c r="F190" i="48"/>
  <c r="F87" i="48"/>
  <c r="C30" i="48"/>
  <c r="L23" i="48"/>
  <c r="J178" i="91"/>
  <c r="G178" i="91"/>
  <c r="G100" i="91"/>
  <c r="J100" i="91"/>
  <c r="F136" i="32"/>
  <c r="F157" i="52080"/>
  <c r="J157" i="52080" s="1"/>
  <c r="J199" i="52095"/>
  <c r="P199" i="111"/>
  <c r="T199" i="111" s="1"/>
  <c r="G198" i="52075"/>
  <c r="K198" i="52075" s="1"/>
  <c r="F101" i="52095"/>
  <c r="J191" i="52094"/>
  <c r="F49" i="52094"/>
  <c r="F91" i="52092"/>
  <c r="F181" i="52091"/>
  <c r="J181" i="52091" s="1"/>
  <c r="F68" i="52091"/>
  <c r="J68" i="52091" s="1"/>
  <c r="J87" i="52090"/>
  <c r="G87" i="52090"/>
  <c r="F149" i="52089"/>
  <c r="F188" i="12"/>
  <c r="F171" i="114"/>
  <c r="G111" i="77"/>
  <c r="J111" i="77" s="1"/>
  <c r="F135" i="52076"/>
  <c r="J135" i="12"/>
  <c r="J94" i="52088"/>
  <c r="G94" i="52088"/>
  <c r="F95" i="52079"/>
  <c r="J95" i="52079" s="1"/>
  <c r="F170" i="52081"/>
  <c r="C185" i="52081"/>
  <c r="F174" i="52072"/>
  <c r="F183" i="52072"/>
  <c r="G85" i="52072"/>
  <c r="J85" i="52072"/>
  <c r="L85" i="52072" s="1"/>
  <c r="F119" i="52066"/>
  <c r="J119" i="52066" s="1"/>
  <c r="J15" i="48"/>
  <c r="F15" i="52084"/>
  <c r="J15" i="52084" s="1"/>
  <c r="J134" i="91"/>
  <c r="G134" i="52103"/>
  <c r="K134" i="52103" s="1"/>
  <c r="F67" i="91"/>
  <c r="F176" i="32"/>
  <c r="G90" i="32"/>
  <c r="F190" i="52072"/>
  <c r="J190" i="52072" s="1"/>
  <c r="L190" i="52072"/>
  <c r="F99" i="52072"/>
  <c r="F160" i="52072"/>
  <c r="J160" i="52072" s="1"/>
  <c r="F88" i="52072"/>
  <c r="J160" i="48"/>
  <c r="L160" i="48" s="1"/>
  <c r="F147" i="91"/>
  <c r="F111" i="91"/>
  <c r="F82" i="32"/>
  <c r="I82" i="32" s="1"/>
  <c r="J11" i="32"/>
  <c r="J11" i="110"/>
  <c r="G172" i="52080"/>
  <c r="L172" i="52080" s="1"/>
  <c r="J172" i="52080"/>
  <c r="F196" i="52093"/>
  <c r="J196" i="52093" s="1"/>
  <c r="L196" i="52093"/>
  <c r="F95" i="52093"/>
  <c r="I95" i="52093" s="1"/>
  <c r="F187" i="52092"/>
  <c r="C201" i="52092"/>
  <c r="K201" i="52092" s="1"/>
  <c r="F83" i="52092"/>
  <c r="L110" i="52066"/>
  <c r="G176" i="48"/>
  <c r="J176" i="48"/>
  <c r="L176" i="48" s="1"/>
  <c r="F175" i="52084"/>
  <c r="J175" i="52084" s="1"/>
  <c r="J80" i="48"/>
  <c r="G80" i="48"/>
  <c r="G164" i="108"/>
  <c r="J164" i="108"/>
  <c r="E97" i="9"/>
  <c r="J97" i="52064"/>
  <c r="E13" i="9"/>
  <c r="J13" i="52064"/>
  <c r="G13" i="52064"/>
  <c r="G143" i="52083"/>
  <c r="J143" i="108"/>
  <c r="J80" i="108"/>
  <c r="G80" i="108"/>
  <c r="J189" i="105"/>
  <c r="G188" i="52083"/>
  <c r="K188" i="52083" s="1"/>
  <c r="H158" i="52082"/>
  <c r="L158" i="52082" s="1"/>
  <c r="J158" i="148"/>
  <c r="M158" i="52097"/>
  <c r="Q158" i="52097" s="1"/>
  <c r="J126" i="148"/>
  <c r="G126" i="148"/>
  <c r="M126" i="52097"/>
  <c r="H126" i="52082"/>
  <c r="J97" i="21"/>
  <c r="F97" i="52098"/>
  <c r="F139" i="52098"/>
  <c r="J139" i="52098" s="1"/>
  <c r="J139" i="21"/>
  <c r="G139" i="21"/>
  <c r="G92" i="52087"/>
  <c r="J92" i="52087"/>
  <c r="H91" i="52082"/>
  <c r="K91" i="52082" s="1"/>
  <c r="G91" i="148"/>
  <c r="M91" i="52097"/>
  <c r="J91" i="148"/>
  <c r="J76" i="52064"/>
  <c r="E76" i="9"/>
  <c r="J149" i="108"/>
  <c r="G149" i="108"/>
  <c r="J74" i="21"/>
  <c r="G74" i="21"/>
  <c r="F74" i="52098"/>
  <c r="J74" i="52098" s="1"/>
  <c r="F156" i="108"/>
  <c r="C168" i="108"/>
  <c r="G198" i="52083"/>
  <c r="K198" i="52083" s="1"/>
  <c r="J199" i="105"/>
  <c r="F170" i="52088"/>
  <c r="C185" i="52088"/>
  <c r="E177" i="9"/>
  <c r="J177" i="52064"/>
  <c r="G177" i="52064"/>
  <c r="F118" i="148"/>
  <c r="C129" i="148"/>
  <c r="F64" i="148"/>
  <c r="C70" i="148"/>
  <c r="C103" i="148" s="1"/>
  <c r="E143" i="9"/>
  <c r="J107" i="52064"/>
  <c r="G107" i="52064"/>
  <c r="E107" i="9"/>
  <c r="J13" i="21"/>
  <c r="F13" i="52098"/>
  <c r="J13" i="52098" s="1"/>
  <c r="G17" i="101"/>
  <c r="J17" i="101"/>
  <c r="G101" i="52088"/>
  <c r="J101" i="52088"/>
  <c r="J72" i="108"/>
  <c r="D72" i="52097"/>
  <c r="E72" i="52083"/>
  <c r="H190" i="52082"/>
  <c r="L190" i="52082" s="1"/>
  <c r="J190" i="148"/>
  <c r="M190" i="52097"/>
  <c r="J193" i="52064"/>
  <c r="E193" i="9"/>
  <c r="G91" i="21"/>
  <c r="F91" i="52098"/>
  <c r="M74" i="52097"/>
  <c r="H74" i="52082"/>
  <c r="K74" i="52082" s="1"/>
  <c r="J74" i="148"/>
  <c r="G74" i="148"/>
  <c r="E145" i="9"/>
  <c r="J14" i="52064"/>
  <c r="E14" i="9"/>
  <c r="G163" i="21"/>
  <c r="F162" i="52098"/>
  <c r="F196" i="52098"/>
  <c r="J196" i="52098" s="1"/>
  <c r="J197" i="21"/>
  <c r="J101" i="52064"/>
  <c r="E101" i="9"/>
  <c r="G101" i="52064"/>
  <c r="J191" i="105"/>
  <c r="G190" i="52083"/>
  <c r="K190" i="52083" s="1"/>
  <c r="M192" i="52097"/>
  <c r="Q192" i="52097" s="1"/>
  <c r="H192" i="52082"/>
  <c r="L192" i="52082" s="1"/>
  <c r="J192" i="148"/>
  <c r="F131" i="52064"/>
  <c r="I131" i="52064" s="1"/>
  <c r="G145" i="52064"/>
  <c r="G146" i="52064"/>
  <c r="G141" i="52064"/>
  <c r="G144" i="52064"/>
  <c r="G142" i="52064"/>
  <c r="C154" i="52064"/>
  <c r="G143" i="52064"/>
  <c r="F187" i="52098"/>
  <c r="J187" i="52098" s="1"/>
  <c r="J188" i="21"/>
  <c r="G9" i="52088"/>
  <c r="J9" i="52088"/>
  <c r="F21" i="52088"/>
  <c r="M149" i="52097"/>
  <c r="Q149" i="52097" s="1"/>
  <c r="J149" i="148"/>
  <c r="G149" i="148"/>
  <c r="H149" i="52082"/>
  <c r="L149" i="52082" s="1"/>
  <c r="E164" i="9"/>
  <c r="G164" i="52064"/>
  <c r="J164" i="52064"/>
  <c r="J67" i="52064"/>
  <c r="J249" i="52064" s="1"/>
  <c r="E67" i="9"/>
  <c r="J11" i="105"/>
  <c r="G11" i="52083"/>
  <c r="F156" i="148"/>
  <c r="I156" i="148" s="1"/>
  <c r="C168" i="148"/>
  <c r="G177" i="21"/>
  <c r="J177" i="21"/>
  <c r="F176" i="52098"/>
  <c r="J176" i="52098" s="1"/>
  <c r="F106" i="52098"/>
  <c r="J106" i="52098" s="1"/>
  <c r="J106" i="21"/>
  <c r="H86" i="52082"/>
  <c r="K86" i="52082" s="1"/>
  <c r="G86" i="148"/>
  <c r="J86" i="148"/>
  <c r="M86" i="52097"/>
  <c r="J159" i="21"/>
  <c r="F158" i="52098"/>
  <c r="J158" i="52098" s="1"/>
  <c r="F15" i="52098"/>
  <c r="J15" i="52098" s="1"/>
  <c r="J15" i="21"/>
  <c r="G101" i="93"/>
  <c r="I101" i="93"/>
  <c r="I49" i="93"/>
  <c r="G49" i="93"/>
  <c r="F170" i="52072"/>
  <c r="C185" i="52072"/>
  <c r="F124" i="52072"/>
  <c r="J124" i="52072" s="1"/>
  <c r="F94" i="52072"/>
  <c r="F143" i="52072"/>
  <c r="G163" i="48"/>
  <c r="J163" i="48" s="1"/>
  <c r="L163" i="48" s="1"/>
  <c r="F135" i="52084"/>
  <c r="J135" i="48"/>
  <c r="G165" i="91"/>
  <c r="J165" i="91"/>
  <c r="J140" i="91"/>
  <c r="F112" i="91"/>
  <c r="G84" i="91"/>
  <c r="G76" i="91"/>
  <c r="J76" i="91"/>
  <c r="J19" i="91"/>
  <c r="G19" i="91"/>
  <c r="F178" i="32"/>
  <c r="F75" i="32"/>
  <c r="G18" i="32"/>
  <c r="J18" i="110"/>
  <c r="N18" i="110" s="1"/>
  <c r="J18" i="32"/>
  <c r="F136" i="52081"/>
  <c r="J136" i="52081" s="1"/>
  <c r="F75" i="52081"/>
  <c r="F177" i="52072"/>
  <c r="G66" i="93"/>
  <c r="I66" i="93" s="1"/>
  <c r="F164" i="52081"/>
  <c r="F187" i="52072"/>
  <c r="C201" i="52072"/>
  <c r="K201" i="52072" s="1"/>
  <c r="L122" i="52066"/>
  <c r="G162" i="48"/>
  <c r="J162" i="48"/>
  <c r="J134" i="48"/>
  <c r="F134" i="52084"/>
  <c r="J134" i="52084" s="1"/>
  <c r="C30" i="91"/>
  <c r="C44" i="91" s="1"/>
  <c r="L23" i="91"/>
  <c r="G125" i="32"/>
  <c r="J125" i="32"/>
  <c r="L125" i="32" s="1"/>
  <c r="G76" i="32"/>
  <c r="J76" i="32"/>
  <c r="L196" i="52080"/>
  <c r="F176" i="52080"/>
  <c r="F137" i="52095"/>
  <c r="F144" i="52094"/>
  <c r="J12" i="52094"/>
  <c r="F12" i="52077"/>
  <c r="G12" i="52094"/>
  <c r="F67" i="52093"/>
  <c r="F143" i="52092"/>
  <c r="G164" i="52066"/>
  <c r="J164" i="52066"/>
  <c r="J108" i="52066"/>
  <c r="G108" i="52066"/>
  <c r="G77" i="52066"/>
  <c r="J77" i="52066" s="1"/>
  <c r="L77" i="52066" s="1"/>
  <c r="G16" i="52066"/>
  <c r="J16" i="52066"/>
  <c r="G174" i="48"/>
  <c r="J174" i="48"/>
  <c r="F95" i="48"/>
  <c r="F78" i="48"/>
  <c r="F13" i="52084"/>
  <c r="J13" i="48"/>
  <c r="J157" i="91"/>
  <c r="G156" i="52103"/>
  <c r="K156" i="52103" s="1"/>
  <c r="J93" i="91"/>
  <c r="G93" i="91"/>
  <c r="F166" i="32"/>
  <c r="F109" i="32"/>
  <c r="J16" i="52095"/>
  <c r="G16" i="52095"/>
  <c r="P16" i="111"/>
  <c r="T16" i="111" s="1"/>
  <c r="F181" i="52094"/>
  <c r="F124" i="52094"/>
  <c r="F188" i="52093"/>
  <c r="J188" i="52093" s="1"/>
  <c r="L188" i="52093"/>
  <c r="F111" i="52093"/>
  <c r="F98" i="52092"/>
  <c r="F93" i="52091"/>
  <c r="J93" i="52091" s="1"/>
  <c r="L93" i="52091"/>
  <c r="F76" i="52091"/>
  <c r="J76" i="52091" s="1"/>
  <c r="F171" i="77"/>
  <c r="F176" i="12"/>
  <c r="F192" i="115"/>
  <c r="J76" i="115"/>
  <c r="G76" i="115"/>
  <c r="G17" i="52092"/>
  <c r="J17" i="52092"/>
  <c r="L133" i="77"/>
  <c r="F188" i="20"/>
  <c r="F94" i="115"/>
  <c r="F171" i="52080"/>
  <c r="F81" i="52095"/>
  <c r="F172" i="52093"/>
  <c r="F75" i="52093"/>
  <c r="F158" i="52092"/>
  <c r="J158" i="52092" s="1"/>
  <c r="F108" i="52092"/>
  <c r="J108" i="52092" s="1"/>
  <c r="G135" i="52066"/>
  <c r="J135" i="52066"/>
  <c r="F84" i="52066"/>
  <c r="I84" i="52066" s="1"/>
  <c r="F193" i="52084"/>
  <c r="J193" i="52084" s="1"/>
  <c r="J194" i="48"/>
  <c r="F118" i="48"/>
  <c r="I118" i="48" s="1"/>
  <c r="C129" i="48"/>
  <c r="F182" i="91"/>
  <c r="F120" i="91"/>
  <c r="F144" i="32"/>
  <c r="F165" i="52080"/>
  <c r="G165" i="52080" s="1"/>
  <c r="F107" i="52080"/>
  <c r="F157" i="52095"/>
  <c r="J13" i="52095"/>
  <c r="P13" i="111"/>
  <c r="G13" i="52095"/>
  <c r="F125" i="52094"/>
  <c r="F110" i="52093"/>
  <c r="I110" i="52093" s="1"/>
  <c r="F95" i="52092"/>
  <c r="I95" i="52092" s="1"/>
  <c r="F75" i="52091"/>
  <c r="J75" i="52091" s="1"/>
  <c r="F190" i="52090"/>
  <c r="J190" i="52090" s="1"/>
  <c r="F107" i="52090"/>
  <c r="J13" i="52090"/>
  <c r="G13" i="52090"/>
  <c r="G111" i="52089"/>
  <c r="J111" i="52089" s="1"/>
  <c r="L111" i="52089" s="1"/>
  <c r="F196" i="12"/>
  <c r="F107" i="115"/>
  <c r="C51" i="52089"/>
  <c r="B207" i="52089"/>
  <c r="B215" i="52089"/>
  <c r="B212" i="52089"/>
  <c r="C220" i="52089"/>
  <c r="B211" i="52089"/>
  <c r="F139" i="12"/>
  <c r="G99" i="52079"/>
  <c r="J99" i="52079" s="1"/>
  <c r="F83" i="93"/>
  <c r="F94" i="93" s="1"/>
  <c r="C94" i="93"/>
  <c r="F180" i="52072"/>
  <c r="F95" i="52072"/>
  <c r="I95" i="52072" s="1"/>
  <c r="F122" i="93"/>
  <c r="C131" i="93"/>
  <c r="G41" i="93"/>
  <c r="I41" i="93" s="1"/>
  <c r="J138" i="91"/>
  <c r="G138" i="52103"/>
  <c r="G74" i="91"/>
  <c r="J74" i="91"/>
  <c r="J191" i="32"/>
  <c r="L191" i="32" s="1"/>
  <c r="F118" i="32"/>
  <c r="I118" i="32" s="1"/>
  <c r="C129" i="32"/>
  <c r="F73" i="32"/>
  <c r="F175" i="52072"/>
  <c r="F91" i="52072"/>
  <c r="F8" i="93"/>
  <c r="C20" i="93"/>
  <c r="F159" i="52081"/>
  <c r="J159" i="52081" s="1"/>
  <c r="G84" i="52072"/>
  <c r="J84" i="52072"/>
  <c r="L84" i="52072" s="1"/>
  <c r="F124" i="52066"/>
  <c r="G96" i="52066"/>
  <c r="J96" i="52066"/>
  <c r="L96" i="52066" s="1"/>
  <c r="G165" i="48"/>
  <c r="J165" i="48"/>
  <c r="F112" i="48"/>
  <c r="J166" i="91"/>
  <c r="G166" i="91"/>
  <c r="J135" i="91"/>
  <c r="G135" i="52103"/>
  <c r="G68" i="91"/>
  <c r="J68" i="91" s="1"/>
  <c r="L68" i="91" s="1"/>
  <c r="G171" i="32"/>
  <c r="J171" i="32"/>
  <c r="F91" i="32"/>
  <c r="J19" i="110"/>
  <c r="J19" i="32"/>
  <c r="G19" i="32"/>
  <c r="F178" i="52080"/>
  <c r="F76" i="52080"/>
  <c r="F111" i="52095"/>
  <c r="I111" i="52095" s="1"/>
  <c r="F118" i="52093"/>
  <c r="C129" i="52093"/>
  <c r="F107" i="52092"/>
  <c r="J107" i="52092" s="1"/>
  <c r="G171" i="52066"/>
  <c r="J171" i="52066"/>
  <c r="G87" i="52066"/>
  <c r="J87" i="52066"/>
  <c r="F156" i="52084"/>
  <c r="J156" i="52084" s="1"/>
  <c r="J157" i="48"/>
  <c r="L157" i="48" s="1"/>
  <c r="F64" i="48"/>
  <c r="C70" i="48"/>
  <c r="C103" i="48" s="1"/>
  <c r="G19" i="52080"/>
  <c r="J19" i="52080"/>
  <c r="F107" i="52095"/>
  <c r="F80" i="52095"/>
  <c r="F146" i="52094"/>
  <c r="F64" i="52094"/>
  <c r="C70" i="52094"/>
  <c r="C103" i="52094" s="1"/>
  <c r="F164" i="52093"/>
  <c r="G99" i="52093"/>
  <c r="F82" i="52093"/>
  <c r="F157" i="52092"/>
  <c r="J157" i="52092" s="1"/>
  <c r="F87" i="52092"/>
  <c r="F162" i="52066"/>
  <c r="G114" i="52066"/>
  <c r="J114" i="52066"/>
  <c r="F180" i="48"/>
  <c r="F125" i="48"/>
  <c r="F84" i="52084"/>
  <c r="G84" i="48"/>
  <c r="J198" i="91"/>
  <c r="G197" i="52103"/>
  <c r="K197" i="52103" s="1"/>
  <c r="F175" i="91"/>
  <c r="G152" i="32"/>
  <c r="J152" i="32"/>
  <c r="F156" i="52080"/>
  <c r="C168" i="52080"/>
  <c r="F112" i="52080"/>
  <c r="I112" i="52080" s="1"/>
  <c r="F74" i="52094"/>
  <c r="J135" i="52093"/>
  <c r="G135" i="52093"/>
  <c r="F120" i="52092"/>
  <c r="J120" i="52092" s="1"/>
  <c r="L123" i="52091"/>
  <c r="F74" i="52091"/>
  <c r="J74" i="52091" s="1"/>
  <c r="F187" i="52090"/>
  <c r="C201" i="52090"/>
  <c r="G72" i="52090"/>
  <c r="J72" i="52090"/>
  <c r="F181" i="77"/>
  <c r="F197" i="12"/>
  <c r="G19" i="12"/>
  <c r="J19" i="12"/>
  <c r="F19" i="52076"/>
  <c r="F94" i="20"/>
  <c r="J164" i="115"/>
  <c r="G164" i="115"/>
  <c r="F87" i="114"/>
  <c r="F156" i="52089"/>
  <c r="C168" i="52089"/>
  <c r="G166" i="115"/>
  <c r="J166" i="115"/>
  <c r="F101" i="52080"/>
  <c r="F165" i="52098"/>
  <c r="J165" i="52098" s="1"/>
  <c r="J166" i="21"/>
  <c r="G166" i="21"/>
  <c r="E93" i="9"/>
  <c r="G93" i="52064"/>
  <c r="G76" i="108"/>
  <c r="E127" i="9"/>
  <c r="J161" i="21"/>
  <c r="F160" i="52098"/>
  <c r="I160" i="52098" s="1"/>
  <c r="G161" i="21"/>
  <c r="M80" i="52097"/>
  <c r="J80" i="148"/>
  <c r="G80" i="148"/>
  <c r="H80" i="52082"/>
  <c r="G147" i="52064"/>
  <c r="E147" i="9"/>
  <c r="J16" i="21"/>
  <c r="F16" i="52098"/>
  <c r="J16" i="52098" s="1"/>
  <c r="G16" i="21"/>
  <c r="F64" i="108"/>
  <c r="C70" i="108"/>
  <c r="C103" i="108" s="1"/>
  <c r="E175" i="9"/>
  <c r="G175" i="52064"/>
  <c r="J175" i="52064"/>
  <c r="H17" i="52082"/>
  <c r="L17" i="52082" s="1"/>
  <c r="J17" i="148"/>
  <c r="M17" i="52097"/>
  <c r="Q17" i="52097" s="1"/>
  <c r="G17" i="148"/>
  <c r="F107" i="52072"/>
  <c r="G149" i="48"/>
  <c r="J149" i="48"/>
  <c r="F96" i="32"/>
  <c r="G97" i="52072"/>
  <c r="J97" i="52072" s="1"/>
  <c r="L97" i="52072" s="1"/>
  <c r="J134" i="52072"/>
  <c r="G134" i="52072"/>
  <c r="C253" i="52066"/>
  <c r="G149" i="91"/>
  <c r="J149" i="91"/>
  <c r="F81" i="91"/>
  <c r="F181" i="32"/>
  <c r="C21" i="32"/>
  <c r="F78" i="52080"/>
  <c r="F49" i="52095"/>
  <c r="F157" i="52093"/>
  <c r="J157" i="52093" s="1"/>
  <c r="L37" i="52093"/>
  <c r="G109" i="52092"/>
  <c r="J109" i="52092"/>
  <c r="G9" i="52092"/>
  <c r="J9" i="52092"/>
  <c r="F21" i="52092"/>
  <c r="J188" i="91"/>
  <c r="F124" i="52095"/>
  <c r="L37" i="52091"/>
  <c r="F76" i="52090"/>
  <c r="J189" i="12"/>
  <c r="F188" i="52076"/>
  <c r="J159" i="20"/>
  <c r="L159" i="20" s="1"/>
  <c r="G72" i="115"/>
  <c r="J72" i="115" s="1"/>
  <c r="L72" i="115" s="1"/>
  <c r="F92" i="114"/>
  <c r="F75" i="52089"/>
  <c r="L119" i="52080"/>
  <c r="F170" i="52093"/>
  <c r="C185" i="52093"/>
  <c r="G90" i="52093"/>
  <c r="F142" i="52092"/>
  <c r="F76" i="52066"/>
  <c r="F92" i="48"/>
  <c r="J124" i="91"/>
  <c r="L124" i="91" s="1"/>
  <c r="J132" i="32"/>
  <c r="J132" i="110"/>
  <c r="N132" i="110" s="1"/>
  <c r="F195" i="52094"/>
  <c r="F158" i="52093"/>
  <c r="F100" i="52091"/>
  <c r="J100" i="52091" s="1"/>
  <c r="F111" i="52090"/>
  <c r="G80" i="20"/>
  <c r="F80" i="52074"/>
  <c r="J80" i="52074" s="1"/>
  <c r="J80" i="20"/>
  <c r="L80" i="20" s="1"/>
  <c r="L191" i="114"/>
  <c r="F126" i="52089"/>
  <c r="J19" i="52071"/>
  <c r="G19" i="52071"/>
  <c r="J136" i="52088"/>
  <c r="G136" i="52088"/>
  <c r="F174" i="52081"/>
  <c r="F123" i="52066"/>
  <c r="J123" i="52066" s="1"/>
  <c r="F147" i="48"/>
  <c r="C21" i="48"/>
  <c r="F85" i="32"/>
  <c r="F172" i="52081"/>
  <c r="F171" i="52084" s="1"/>
  <c r="J171" i="52084" s="1"/>
  <c r="F80" i="52072"/>
  <c r="F156" i="52066"/>
  <c r="C168" i="52066"/>
  <c r="L123" i="32"/>
  <c r="F174" i="52080"/>
  <c r="F64" i="52080"/>
  <c r="C70" i="52080"/>
  <c r="C103" i="52080" s="1"/>
  <c r="J10" i="52094"/>
  <c r="G10" i="52094"/>
  <c r="F10" i="52077"/>
  <c r="F142" i="52066"/>
  <c r="F145" i="32"/>
  <c r="F136" i="52080"/>
  <c r="J136" i="52080" s="1"/>
  <c r="F171" i="52095"/>
  <c r="G171" i="52094"/>
  <c r="J171" i="52094"/>
  <c r="F105" i="52093"/>
  <c r="C116" i="52093"/>
  <c r="J197" i="52091"/>
  <c r="L197" i="52091" s="1"/>
  <c r="F72" i="52091"/>
  <c r="J72" i="52091" s="1"/>
  <c r="L72" i="52091"/>
  <c r="G19" i="52090"/>
  <c r="J19" i="52090"/>
  <c r="F174" i="20"/>
  <c r="L144" i="52091"/>
  <c r="F111" i="20"/>
  <c r="F136" i="52095"/>
  <c r="F136" i="52091"/>
  <c r="J136" i="52091" s="1"/>
  <c r="F166" i="77"/>
  <c r="F140" i="20"/>
  <c r="J97" i="52080"/>
  <c r="G97" i="52080"/>
  <c r="F140" i="52095"/>
  <c r="J135" i="52094"/>
  <c r="F135" i="52077"/>
  <c r="F86" i="52092"/>
  <c r="F109" i="52066"/>
  <c r="I109" i="52066" s="1"/>
  <c r="G173" i="48"/>
  <c r="J173" i="48"/>
  <c r="F118" i="91"/>
  <c r="C129" i="91"/>
  <c r="F106" i="32"/>
  <c r="F187" i="52095"/>
  <c r="C201" i="52095"/>
  <c r="F170" i="52094"/>
  <c r="C185" i="52094"/>
  <c r="F49" i="52093"/>
  <c r="J49" i="52093" s="1"/>
  <c r="F188" i="52091"/>
  <c r="J188" i="52091" s="1"/>
  <c r="L188" i="52091"/>
  <c r="F66" i="52091"/>
  <c r="J66" i="52091" s="1"/>
  <c r="J152" i="52089"/>
  <c r="G152" i="52089"/>
  <c r="F49" i="20"/>
  <c r="J49" i="20" s="1"/>
  <c r="G94" i="52071"/>
  <c r="J94" i="52071"/>
  <c r="G13" i="52067"/>
  <c r="J13" i="52067"/>
  <c r="J189" i="148"/>
  <c r="M189" i="52097"/>
  <c r="Q189" i="52097" s="1"/>
  <c r="H189" i="52082"/>
  <c r="G93" i="21"/>
  <c r="J93" i="21" s="1"/>
  <c r="F93" i="52098"/>
  <c r="J10" i="52090"/>
  <c r="G10" i="52090"/>
  <c r="F183" i="77"/>
  <c r="F105" i="52079"/>
  <c r="C116" i="52079"/>
  <c r="J175" i="52087"/>
  <c r="G175" i="52087"/>
  <c r="J81" i="52087"/>
  <c r="G81" i="52087"/>
  <c r="F159" i="52098"/>
  <c r="J159" i="52098" s="1"/>
  <c r="J160" i="21"/>
  <c r="G148" i="52079"/>
  <c r="J148" i="52079"/>
  <c r="J11" i="101"/>
  <c r="G11" i="101"/>
  <c r="J9" i="52089"/>
  <c r="F21" i="52089"/>
  <c r="F164" i="12"/>
  <c r="F177" i="20"/>
  <c r="F107" i="12"/>
  <c r="G172" i="52079"/>
  <c r="J172" i="52079"/>
  <c r="G171" i="52071"/>
  <c r="J171" i="52071"/>
  <c r="G180" i="148"/>
  <c r="J180" i="148"/>
  <c r="H180" i="52082"/>
  <c r="L180" i="52082" s="1"/>
  <c r="M180" i="52097"/>
  <c r="Q180" i="52097" s="1"/>
  <c r="G9" i="148"/>
  <c r="J9" i="148"/>
  <c r="H9" i="52082"/>
  <c r="F21" i="148"/>
  <c r="M9" i="52097"/>
  <c r="Q9" i="52097" s="1"/>
  <c r="L192" i="114"/>
  <c r="F105" i="52091"/>
  <c r="C116" i="52091"/>
  <c r="F187" i="52089"/>
  <c r="J187" i="52089" s="1"/>
  <c r="L187" i="52089"/>
  <c r="C201" i="52089"/>
  <c r="K201" i="52089" s="1"/>
  <c r="G10" i="52067"/>
  <c r="J10" i="52067"/>
  <c r="J199" i="148"/>
  <c r="H199" i="52082"/>
  <c r="L199" i="52082" s="1"/>
  <c r="M199" i="52097"/>
  <c r="Q199" i="52097" s="1"/>
  <c r="G17" i="52064"/>
  <c r="J17" i="52064"/>
  <c r="E17" i="9"/>
  <c r="F174" i="52089"/>
  <c r="G16" i="52089"/>
  <c r="J16" i="52089"/>
  <c r="F144" i="12"/>
  <c r="F111" i="52094"/>
  <c r="F140" i="52092"/>
  <c r="J140" i="52092" s="1"/>
  <c r="G91" i="52066"/>
  <c r="F156" i="48"/>
  <c r="C168" i="48"/>
  <c r="F73" i="48"/>
  <c r="G92" i="91"/>
  <c r="J92" i="91"/>
  <c r="G92" i="52103"/>
  <c r="K92" i="52103" s="1"/>
  <c r="G151" i="52075"/>
  <c r="K151" i="52075" s="1"/>
  <c r="G152" i="52080"/>
  <c r="J152" i="52080"/>
  <c r="F178" i="52095"/>
  <c r="G138" i="52093"/>
  <c r="J138" i="52093"/>
  <c r="F94" i="52091"/>
  <c r="G175" i="20"/>
  <c r="J175" i="20"/>
  <c r="F174" i="52074"/>
  <c r="J174" i="52074" s="1"/>
  <c r="G171" i="52089"/>
  <c r="J171" i="52089"/>
  <c r="C21" i="52067"/>
  <c r="G98" i="52088"/>
  <c r="J98" i="52088"/>
  <c r="G166" i="105"/>
  <c r="J166" i="105"/>
  <c r="G165" i="52083"/>
  <c r="K165" i="52083" s="1"/>
  <c r="F156" i="52064"/>
  <c r="C168" i="52064"/>
  <c r="J150" i="108"/>
  <c r="D150" i="52097"/>
  <c r="E150" i="52083"/>
  <c r="G172" i="148"/>
  <c r="J172" i="148"/>
  <c r="H172" i="52082"/>
  <c r="M172" i="52097"/>
  <c r="G85" i="148"/>
  <c r="J85" i="148"/>
  <c r="H85" i="52082"/>
  <c r="M85" i="52097"/>
  <c r="F145" i="52098"/>
  <c r="I145" i="52098" s="1"/>
  <c r="J145" i="21"/>
  <c r="C21" i="52092"/>
  <c r="B95" i="52092" s="1"/>
  <c r="F88" i="52089"/>
  <c r="J88" i="52089" s="1"/>
  <c r="G17" i="105"/>
  <c r="J17" i="105"/>
  <c r="G17" i="52083"/>
  <c r="K17" i="52083" s="1"/>
  <c r="J198" i="21"/>
  <c r="F197" i="52098"/>
  <c r="J197" i="52098" s="1"/>
  <c r="G98" i="101"/>
  <c r="J98" i="101"/>
  <c r="G162" i="52087"/>
  <c r="J162" i="52087"/>
  <c r="G161" i="52089"/>
  <c r="F166" i="20"/>
  <c r="F162" i="52091"/>
  <c r="J162" i="52091" s="1"/>
  <c r="G77" i="52089"/>
  <c r="J15" i="20"/>
  <c r="F15" i="52074"/>
  <c r="J15" i="52074" s="1"/>
  <c r="G147" i="52079"/>
  <c r="J147" i="52079"/>
  <c r="J17" i="52079"/>
  <c r="G17" i="52079"/>
  <c r="G11" i="52079"/>
  <c r="J11" i="52079"/>
  <c r="G163" i="52067"/>
  <c r="J163" i="52067"/>
  <c r="G174" i="52087"/>
  <c r="J174" i="52087"/>
  <c r="G162" i="108"/>
  <c r="J75" i="105"/>
  <c r="G75" i="105"/>
  <c r="G75" i="52083"/>
  <c r="K75" i="52083" s="1"/>
  <c r="J114" i="21"/>
  <c r="G114" i="21"/>
  <c r="F114" i="52098"/>
  <c r="G19" i="52064"/>
  <c r="J19" i="52064"/>
  <c r="E19" i="9"/>
  <c r="I19" i="9" s="1"/>
  <c r="J176" i="114"/>
  <c r="G176" i="114"/>
  <c r="F147" i="52091"/>
  <c r="J147" i="52091" s="1"/>
  <c r="C21" i="52090"/>
  <c r="J178" i="52079"/>
  <c r="G178" i="52079"/>
  <c r="F118" i="21"/>
  <c r="C129" i="21"/>
  <c r="J78" i="52088"/>
  <c r="G78" i="52088"/>
  <c r="J181" i="108"/>
  <c r="G181" i="108"/>
  <c r="F119" i="52089"/>
  <c r="J119" i="52089" s="1"/>
  <c r="F144" i="77"/>
  <c r="J144" i="77" s="1"/>
  <c r="F49" i="52071"/>
  <c r="J49" i="52071" s="1"/>
  <c r="J92" i="52071"/>
  <c r="G92" i="52071"/>
  <c r="G125" i="52071"/>
  <c r="J125" i="52071"/>
  <c r="J14" i="105"/>
  <c r="G14" i="52083"/>
  <c r="G19" i="52088"/>
  <c r="J19" i="52088"/>
  <c r="J85" i="108"/>
  <c r="G85" i="108"/>
  <c r="F187" i="148"/>
  <c r="C201" i="148"/>
  <c r="G75" i="21"/>
  <c r="F75" i="52098"/>
  <c r="J75" i="52098" s="1"/>
  <c r="J75" i="21"/>
  <c r="J75" i="52067"/>
  <c r="G75" i="52067"/>
  <c r="J178" i="52071"/>
  <c r="G178" i="52071"/>
  <c r="G136" i="52067"/>
  <c r="J136" i="52067"/>
  <c r="C253" i="52100"/>
  <c r="F73" i="52100"/>
  <c r="G90" i="52100"/>
  <c r="J90" i="52100"/>
  <c r="L90" i="52100" s="1"/>
  <c r="F109" i="52100"/>
  <c r="F131" i="52100"/>
  <c r="C154" i="52100"/>
  <c r="G141" i="52100"/>
  <c r="G145" i="52100"/>
  <c r="G146" i="52100"/>
  <c r="G143" i="52100"/>
  <c r="G142" i="52100"/>
  <c r="G144" i="52100"/>
  <c r="F147" i="52100"/>
  <c r="F170" i="52100"/>
  <c r="C185" i="52100"/>
  <c r="F190" i="52100"/>
  <c r="J10" i="52079"/>
  <c r="G10" i="52079"/>
  <c r="G87" i="52071"/>
  <c r="J87" i="52071"/>
  <c r="J137" i="52067"/>
  <c r="G137" i="52067"/>
  <c r="G49" i="52064"/>
  <c r="G11" i="52104"/>
  <c r="K11" i="52104" s="1"/>
  <c r="J11" i="115"/>
  <c r="F187" i="52079"/>
  <c r="C201" i="52079"/>
  <c r="G176" i="52067"/>
  <c r="J176" i="52067"/>
  <c r="G9" i="52067"/>
  <c r="J9" i="52067"/>
  <c r="F21" i="52067"/>
  <c r="G180" i="52071"/>
  <c r="J180" i="52071"/>
  <c r="G176" i="101"/>
  <c r="J176" i="101"/>
  <c r="G137" i="105"/>
  <c r="J137" i="105"/>
  <c r="G137" i="52083"/>
  <c r="F197" i="48"/>
  <c r="G18" i="52100"/>
  <c r="J18" i="52100"/>
  <c r="F49" i="52100"/>
  <c r="G82" i="52100"/>
  <c r="F99" i="52100"/>
  <c r="F121" i="52100"/>
  <c r="F140" i="52100"/>
  <c r="F160" i="52100"/>
  <c r="G199" i="52100"/>
  <c r="J199" i="52100"/>
  <c r="G198" i="52102"/>
  <c r="K198" i="52102" s="1"/>
  <c r="F183" i="91"/>
  <c r="G91" i="91"/>
  <c r="J91" i="91"/>
  <c r="L91" i="91" s="1"/>
  <c r="G91" i="52103"/>
  <c r="J161" i="52080"/>
  <c r="L161" i="52080" s="1"/>
  <c r="G161" i="52080"/>
  <c r="F98" i="52094"/>
  <c r="F161" i="52093"/>
  <c r="F160" i="52092"/>
  <c r="J160" i="52092" s="1"/>
  <c r="F172" i="52091"/>
  <c r="J172" i="52091" s="1"/>
  <c r="L172" i="52091"/>
  <c r="L191" i="52090"/>
  <c r="J149" i="52090"/>
  <c r="G149" i="52090"/>
  <c r="G148" i="52089"/>
  <c r="J148" i="52089"/>
  <c r="F112" i="52089"/>
  <c r="C21" i="77"/>
  <c r="F170" i="12"/>
  <c r="C185" i="12"/>
  <c r="F98" i="52074"/>
  <c r="G98" i="20"/>
  <c r="J98" i="20"/>
  <c r="L98" i="20" s="1"/>
  <c r="F173" i="115"/>
  <c r="C21" i="115"/>
  <c r="L8" i="115"/>
  <c r="F181" i="52089"/>
  <c r="F83" i="20"/>
  <c r="F173" i="52080"/>
  <c r="G92" i="21"/>
  <c r="F92" i="52098"/>
  <c r="J92" i="52098" s="1"/>
  <c r="J92" i="21"/>
  <c r="G75" i="101"/>
  <c r="J75" i="101"/>
  <c r="G174" i="52088"/>
  <c r="J174" i="52088"/>
  <c r="J135" i="148"/>
  <c r="H135" i="52082"/>
  <c r="M135" i="52097"/>
  <c r="J74" i="52064"/>
  <c r="E74" i="9"/>
  <c r="G74" i="52064"/>
  <c r="G84" i="108"/>
  <c r="J84" i="108" s="1"/>
  <c r="J119" i="52064"/>
  <c r="E119" i="9"/>
  <c r="J72" i="148"/>
  <c r="M72" i="52097"/>
  <c r="H72" i="52082"/>
  <c r="G72" i="148"/>
  <c r="J193" i="21"/>
  <c r="F192" i="52098"/>
  <c r="J192" i="52098" s="1"/>
  <c r="E16" i="9"/>
  <c r="J16" i="52064"/>
  <c r="G16" i="52064"/>
  <c r="G161" i="108"/>
  <c r="J161" i="108"/>
  <c r="G91" i="108"/>
  <c r="J91" i="108"/>
  <c r="J10" i="108"/>
  <c r="G10" i="108"/>
  <c r="J166" i="52064"/>
  <c r="G166" i="52064"/>
  <c r="E166" i="9"/>
  <c r="F187" i="52081"/>
  <c r="C201" i="52081"/>
  <c r="K201" i="52081" s="1"/>
  <c r="J152" i="52072"/>
  <c r="G152" i="52072"/>
  <c r="J81" i="52072"/>
  <c r="G81" i="52072"/>
  <c r="L81" i="52072" s="1"/>
  <c r="F125" i="52066"/>
  <c r="F111" i="48"/>
  <c r="F172" i="32"/>
  <c r="G171" i="52072"/>
  <c r="F101" i="52081"/>
  <c r="F110" i="52072"/>
  <c r="J110" i="52072" s="1"/>
  <c r="F98" i="52066"/>
  <c r="F163" i="91"/>
  <c r="F105" i="91"/>
  <c r="C116" i="91"/>
  <c r="J194" i="32"/>
  <c r="J194" i="110"/>
  <c r="N194" i="110" s="1"/>
  <c r="F80" i="32"/>
  <c r="I80" i="32" s="1"/>
  <c r="F86" i="52080"/>
  <c r="G10" i="52080"/>
  <c r="J10" i="52080"/>
  <c r="F166" i="52093"/>
  <c r="F88" i="52093"/>
  <c r="F66" i="52092"/>
  <c r="I66" i="52092" s="1"/>
  <c r="F140" i="52066"/>
  <c r="G140" i="52103" s="1"/>
  <c r="K140" i="52103" s="1"/>
  <c r="G161" i="32"/>
  <c r="J161" i="32"/>
  <c r="L161" i="32" s="1"/>
  <c r="F181" i="52095"/>
  <c r="F162" i="52092"/>
  <c r="P121" i="111"/>
  <c r="J121" i="52091"/>
  <c r="L137" i="52090"/>
  <c r="F106" i="52089"/>
  <c r="F195" i="12"/>
  <c r="F198" i="52074"/>
  <c r="J198" i="52074" s="1"/>
  <c r="J199" i="20"/>
  <c r="F144" i="115"/>
  <c r="J124" i="52089"/>
  <c r="G124" i="52089"/>
  <c r="F175" i="52080"/>
  <c r="F146" i="52095"/>
  <c r="F178" i="52093"/>
  <c r="J98" i="52093"/>
  <c r="L98" i="52093" s="1"/>
  <c r="G98" i="52093"/>
  <c r="F192" i="52092"/>
  <c r="J192" i="52092" s="1"/>
  <c r="G112" i="52092"/>
  <c r="F170" i="52066"/>
  <c r="C185" i="52066"/>
  <c r="F64" i="52066"/>
  <c r="C70" i="52066"/>
  <c r="C103" i="52066" s="1"/>
  <c r="F68" i="48"/>
  <c r="G68" i="52103" s="1"/>
  <c r="G94" i="91"/>
  <c r="L37" i="32"/>
  <c r="J16" i="52080"/>
  <c r="G16" i="52080"/>
  <c r="F157" i="52094"/>
  <c r="C30" i="52093"/>
  <c r="C44" i="52093" s="1"/>
  <c r="L23" i="52093"/>
  <c r="F177" i="52091"/>
  <c r="J87" i="52091"/>
  <c r="L87" i="52091" s="1"/>
  <c r="G181" i="52090"/>
  <c r="J181" i="52090"/>
  <c r="F191" i="77"/>
  <c r="J191" i="77" s="1"/>
  <c r="G192" i="52104"/>
  <c r="K192" i="52104" s="1"/>
  <c r="J193" i="115"/>
  <c r="F150" i="52091"/>
  <c r="J150" i="52091" s="1"/>
  <c r="F163" i="20"/>
  <c r="G171" i="52067"/>
  <c r="J171" i="52067"/>
  <c r="G171" i="52087"/>
  <c r="J171" i="52087"/>
  <c r="F95" i="52066"/>
  <c r="B95" i="52066"/>
  <c r="F139" i="48"/>
  <c r="G150" i="91"/>
  <c r="G150" i="52103"/>
  <c r="J150" i="91"/>
  <c r="L150" i="91" s="1"/>
  <c r="F197" i="32"/>
  <c r="C253" i="32"/>
  <c r="L179" i="52072"/>
  <c r="F65" i="52072"/>
  <c r="L37" i="52066"/>
  <c r="F84" i="52080"/>
  <c r="F83" i="52066"/>
  <c r="F163" i="32"/>
  <c r="I163" i="32" s="1"/>
  <c r="F166" i="52080"/>
  <c r="F188" i="52095"/>
  <c r="F188" i="52094"/>
  <c r="F141" i="52093"/>
  <c r="G174" i="52090"/>
  <c r="J174" i="52090"/>
  <c r="F164" i="77"/>
  <c r="F187" i="20"/>
  <c r="C201" i="20"/>
  <c r="K201" i="20" s="1"/>
  <c r="G11" i="52092"/>
  <c r="J11" i="52092"/>
  <c r="F120" i="52089"/>
  <c r="J120" i="52089" s="1"/>
  <c r="G16" i="12"/>
  <c r="F16" i="52076"/>
  <c r="J16" i="12"/>
  <c r="F125" i="52080"/>
  <c r="J11" i="52080"/>
  <c r="G11" i="52080"/>
  <c r="J15" i="52095"/>
  <c r="P15" i="111"/>
  <c r="T15" i="111" s="1"/>
  <c r="L159" i="52093"/>
  <c r="F77" i="52093"/>
  <c r="F110" i="52092"/>
  <c r="J110" i="52092" s="1"/>
  <c r="F141" i="52066"/>
  <c r="F192" i="48"/>
  <c r="G176" i="91"/>
  <c r="J176" i="91"/>
  <c r="G175" i="52103"/>
  <c r="K175" i="52103" s="1"/>
  <c r="J138" i="32"/>
  <c r="J138" i="110"/>
  <c r="N138" i="110" s="1"/>
  <c r="F147" i="52080"/>
  <c r="F123" i="52095"/>
  <c r="L37" i="52094"/>
  <c r="J11" i="52093"/>
  <c r="G11" i="52093"/>
  <c r="F126" i="52091"/>
  <c r="J126" i="52091" s="1"/>
  <c r="G9" i="77"/>
  <c r="J9" i="77"/>
  <c r="F21" i="77"/>
  <c r="J87" i="115"/>
  <c r="G87" i="115"/>
  <c r="G90" i="52089"/>
  <c r="J90" i="52089"/>
  <c r="G172" i="108"/>
  <c r="J172" i="108"/>
  <c r="F187" i="52088"/>
  <c r="C201" i="52088"/>
  <c r="G134" i="108"/>
  <c r="J134" i="108"/>
  <c r="H112" i="52082"/>
  <c r="L112" i="52082" s="1"/>
  <c r="M112" i="52097"/>
  <c r="Q112" i="52097" s="1"/>
  <c r="J112" i="148"/>
  <c r="G162" i="52064"/>
  <c r="E162" i="9"/>
  <c r="G126" i="21"/>
  <c r="F126" i="52098"/>
  <c r="J126" i="52098" s="1"/>
  <c r="J126" i="21"/>
  <c r="F152" i="52091"/>
  <c r="J152" i="52091" s="1"/>
  <c r="J198" i="20"/>
  <c r="F197" i="52074"/>
  <c r="J197" i="52074" s="1"/>
  <c r="G181" i="52067"/>
  <c r="J181" i="52067"/>
  <c r="J146" i="105"/>
  <c r="G146" i="52083"/>
  <c r="K146" i="52083" s="1"/>
  <c r="G136" i="108"/>
  <c r="J136" i="108"/>
  <c r="G75" i="148"/>
  <c r="J75" i="148"/>
  <c r="M75" i="52097"/>
  <c r="Q75" i="52097" s="1"/>
  <c r="H75" i="52082"/>
  <c r="L75" i="52082" s="1"/>
  <c r="C30" i="52079"/>
  <c r="C44" i="52079" s="1"/>
  <c r="J178" i="101"/>
  <c r="G178" i="101"/>
  <c r="M165" i="52097"/>
  <c r="H165" i="52082"/>
  <c r="G165" i="148"/>
  <c r="F105" i="52089"/>
  <c r="C116" i="52089"/>
  <c r="F190" i="12"/>
  <c r="J190" i="12" s="1"/>
  <c r="L190" i="12"/>
  <c r="J15" i="12"/>
  <c r="F15" i="52076"/>
  <c r="F139" i="115"/>
  <c r="G18" i="101"/>
  <c r="J18" i="101"/>
  <c r="J107" i="52067"/>
  <c r="G107" i="52067"/>
  <c r="J183" i="148"/>
  <c r="G183" i="148"/>
  <c r="H183" i="52082"/>
  <c r="L183" i="52082" s="1"/>
  <c r="M183" i="52097"/>
  <c r="Q183" i="52097" s="1"/>
  <c r="G92" i="105"/>
  <c r="G92" i="52083"/>
  <c r="K92" i="52083" s="1"/>
  <c r="J92" i="105"/>
  <c r="G90" i="21"/>
  <c r="F90" i="52098"/>
  <c r="G134" i="52064"/>
  <c r="J134" i="52064"/>
  <c r="E134" i="9"/>
  <c r="I134" i="9" s="1"/>
  <c r="F93" i="114"/>
  <c r="G183" i="52090"/>
  <c r="J183" i="52090"/>
  <c r="F101" i="52089"/>
  <c r="F170" i="52079"/>
  <c r="C185" i="52079"/>
  <c r="C243" i="52079" s="1"/>
  <c r="J138" i="148"/>
  <c r="M138" i="52097"/>
  <c r="G138" i="148"/>
  <c r="H138" i="52082"/>
  <c r="J13" i="115"/>
  <c r="G13" i="52104"/>
  <c r="K13" i="52104" s="1"/>
  <c r="G114" i="52079"/>
  <c r="J114" i="52079"/>
  <c r="J12" i="52079"/>
  <c r="G12" i="52079"/>
  <c r="G172" i="101"/>
  <c r="J172" i="101"/>
  <c r="J19" i="77"/>
  <c r="G19" i="77"/>
  <c r="G92" i="52093"/>
  <c r="J92" i="52093"/>
  <c r="L92" i="52093" s="1"/>
  <c r="F156" i="52092"/>
  <c r="C168" i="52092"/>
  <c r="L113" i="52066"/>
  <c r="F175" i="48"/>
  <c r="F90" i="48"/>
  <c r="J90" i="110" s="1"/>
  <c r="F126" i="91"/>
  <c r="C21" i="52080"/>
  <c r="J13" i="52094"/>
  <c r="F13" i="52077"/>
  <c r="G13" i="52094"/>
  <c r="F101" i="52092"/>
  <c r="L179" i="52091"/>
  <c r="J135" i="115"/>
  <c r="G135" i="52104"/>
  <c r="K135" i="52104" s="1"/>
  <c r="J144" i="105"/>
  <c r="G144" i="52083"/>
  <c r="G175" i="52088"/>
  <c r="J175" i="52088"/>
  <c r="J137" i="52087"/>
  <c r="G137" i="52087"/>
  <c r="J132" i="148"/>
  <c r="H132" i="52082"/>
  <c r="L132" i="52082" s="1"/>
  <c r="M132" i="52097"/>
  <c r="Q132" i="52097" s="1"/>
  <c r="G75" i="52087"/>
  <c r="J75" i="52087"/>
  <c r="J19" i="105"/>
  <c r="G19" i="105"/>
  <c r="G19" i="52083"/>
  <c r="K19" i="52083" s="1"/>
  <c r="G83" i="21"/>
  <c r="F83" i="52098"/>
  <c r="J12" i="52064"/>
  <c r="G12" i="52064"/>
  <c r="E12" i="9"/>
  <c r="G178" i="114"/>
  <c r="J178" i="114"/>
  <c r="F107" i="52091"/>
  <c r="J107" i="52091" s="1"/>
  <c r="L121" i="52089"/>
  <c r="F146" i="12"/>
  <c r="J146" i="12" s="1"/>
  <c r="G173" i="52067"/>
  <c r="J173" i="52067"/>
  <c r="G182" i="108"/>
  <c r="J182" i="108"/>
  <c r="J181" i="52088"/>
  <c r="G181" i="52088"/>
  <c r="J144" i="52064"/>
  <c r="E144" i="9"/>
  <c r="G93" i="52071"/>
  <c r="J93" i="52071"/>
  <c r="G77" i="52079"/>
  <c r="J77" i="52079"/>
  <c r="G17" i="52090"/>
  <c r="J17" i="52090"/>
  <c r="F187" i="77"/>
  <c r="C201" i="77"/>
  <c r="K201" i="77" s="1"/>
  <c r="F177" i="12"/>
  <c r="J137" i="115"/>
  <c r="F81" i="114"/>
  <c r="G94" i="52089"/>
  <c r="J94" i="52089"/>
  <c r="F87" i="20"/>
  <c r="G87" i="52104" s="1"/>
  <c r="K87" i="52104" s="1"/>
  <c r="J176" i="52079"/>
  <c r="G176" i="52079"/>
  <c r="G13" i="52071"/>
  <c r="J13" i="52071"/>
  <c r="G161" i="148"/>
  <c r="J161" i="148" s="1"/>
  <c r="H161" i="52082"/>
  <c r="M161" i="52097"/>
  <c r="P161" i="52097" s="1"/>
  <c r="G73" i="52064"/>
  <c r="E73" i="9"/>
  <c r="J192" i="105"/>
  <c r="G191" i="52083"/>
  <c r="K191" i="52083" s="1"/>
  <c r="E142" i="9"/>
  <c r="J142" i="52064"/>
  <c r="G19" i="52092"/>
  <c r="J19" i="52092"/>
  <c r="F64" i="52089"/>
  <c r="C70" i="52089"/>
  <c r="F146" i="114"/>
  <c r="J146" i="114" s="1"/>
  <c r="G133" i="52087"/>
  <c r="J133" i="52087"/>
  <c r="F49" i="148"/>
  <c r="B49" i="148"/>
  <c r="C44" i="52071"/>
  <c r="J126" i="52087"/>
  <c r="G126" i="52087"/>
  <c r="F172" i="52089"/>
  <c r="F67" i="52089"/>
  <c r="G92" i="115"/>
  <c r="J92" i="115"/>
  <c r="J10" i="20"/>
  <c r="G10" i="20"/>
  <c r="F10" i="52074"/>
  <c r="J10" i="52074" s="1"/>
  <c r="G18" i="52088"/>
  <c r="J18" i="52088"/>
  <c r="G140" i="108"/>
  <c r="J140" i="108"/>
  <c r="J132" i="21"/>
  <c r="F132" i="52098"/>
  <c r="J132" i="52098" s="1"/>
  <c r="J141" i="21"/>
  <c r="F141" i="52098"/>
  <c r="I141" i="52098" s="1"/>
  <c r="L137" i="114"/>
  <c r="J174" i="52067"/>
  <c r="G174" i="52067"/>
  <c r="F118" i="52079"/>
  <c r="C129" i="52079"/>
  <c r="J124" i="52087"/>
  <c r="G124" i="52087"/>
  <c r="J11" i="148"/>
  <c r="H11" i="52082"/>
  <c r="M11" i="52097"/>
  <c r="F131" i="52093"/>
  <c r="C154" i="52093"/>
  <c r="G146" i="52093"/>
  <c r="L146" i="52093" s="1"/>
  <c r="G143" i="52093"/>
  <c r="G141" i="52093"/>
  <c r="G145" i="52093"/>
  <c r="G142" i="52093"/>
  <c r="G144" i="52093"/>
  <c r="G66" i="52100"/>
  <c r="J66" i="52100"/>
  <c r="L66" i="52100" s="1"/>
  <c r="F85" i="52100"/>
  <c r="F105" i="52100"/>
  <c r="C116" i="52100"/>
  <c r="F124" i="52100"/>
  <c r="F143" i="52100"/>
  <c r="F163" i="52100"/>
  <c r="F183" i="52100"/>
  <c r="J75" i="52088"/>
  <c r="G75" i="52088"/>
  <c r="G101" i="52079"/>
  <c r="J101" i="52079"/>
  <c r="G100" i="108"/>
  <c r="E158" i="9"/>
  <c r="J158" i="52064"/>
  <c r="G94" i="108"/>
  <c r="J94" i="108"/>
  <c r="G165" i="52064"/>
  <c r="E165" i="9"/>
  <c r="J165" i="52064"/>
  <c r="G93" i="115"/>
  <c r="J93" i="115"/>
  <c r="F170" i="52067"/>
  <c r="C185" i="52067"/>
  <c r="G93" i="52088"/>
  <c r="J93" i="52088"/>
  <c r="G172" i="52071"/>
  <c r="J172" i="52071"/>
  <c r="G137" i="52088"/>
  <c r="J137" i="52088"/>
  <c r="G171" i="108"/>
  <c r="J171" i="108"/>
  <c r="G162" i="148"/>
  <c r="M162" i="52097"/>
  <c r="H162" i="52082"/>
  <c r="C21" i="52100"/>
  <c r="F8" i="52100"/>
  <c r="G67" i="52100"/>
  <c r="J67" i="52100"/>
  <c r="J249" i="52100" s="1"/>
  <c r="G86" i="52100"/>
  <c r="J86" i="52100"/>
  <c r="L86" i="52100" s="1"/>
  <c r="F106" i="52100"/>
  <c r="F125" i="52100"/>
  <c r="F144" i="52100"/>
  <c r="F164" i="52100"/>
  <c r="F187" i="52100"/>
  <c r="C201" i="52100"/>
  <c r="E192" i="9"/>
  <c r="J192" i="52064"/>
  <c r="F105" i="52064"/>
  <c r="C116" i="52064"/>
  <c r="J192" i="21"/>
  <c r="F191" i="52098"/>
  <c r="J191" i="52098" s="1"/>
  <c r="G100" i="93"/>
  <c r="I100" i="93"/>
  <c r="G163" i="52072"/>
  <c r="J163" i="52072"/>
  <c r="L163" i="52072" s="1"/>
  <c r="J135" i="52072"/>
  <c r="G135" i="52072"/>
  <c r="G87" i="52072"/>
  <c r="J87" i="52072"/>
  <c r="F66" i="52072"/>
  <c r="F166" i="52066"/>
  <c r="F97" i="52066"/>
  <c r="F131" i="48"/>
  <c r="G144" i="48"/>
  <c r="G145" i="48"/>
  <c r="G142" i="48"/>
  <c r="C154" i="48"/>
  <c r="G141" i="48"/>
  <c r="G146" i="48"/>
  <c r="G143" i="48"/>
  <c r="J18" i="48"/>
  <c r="F18" i="52084"/>
  <c r="J18" i="52084" s="1"/>
  <c r="F195" i="32"/>
  <c r="J124" i="32"/>
  <c r="L124" i="32" s="1"/>
  <c r="G124" i="32"/>
  <c r="F83" i="32"/>
  <c r="F72" i="93"/>
  <c r="C81" i="93"/>
  <c r="F144" i="52081"/>
  <c r="J144" i="52081" s="1"/>
  <c r="F181" i="52072"/>
  <c r="G123" i="52102"/>
  <c r="K123" i="52102" s="1"/>
  <c r="J123" i="52072"/>
  <c r="L123" i="52072" s="1"/>
  <c r="F93" i="52072"/>
  <c r="F146" i="52072"/>
  <c r="J146" i="52072" s="1"/>
  <c r="F114" i="52072"/>
  <c r="G86" i="52072"/>
  <c r="J86" i="52072" s="1"/>
  <c r="L86" i="52072" s="1"/>
  <c r="F78" i="52072"/>
  <c r="I78" i="52072" s="1"/>
  <c r="F67" i="52072"/>
  <c r="G67" i="52102" s="1"/>
  <c r="J67" i="52102" s="1"/>
  <c r="F118" i="52066"/>
  <c r="C129" i="52066"/>
  <c r="F110" i="48"/>
  <c r="G10" i="48"/>
  <c r="J10" i="48"/>
  <c r="F10" i="52084"/>
  <c r="J10" i="52084" s="1"/>
  <c r="G109" i="91"/>
  <c r="J109" i="91"/>
  <c r="F77" i="91"/>
  <c r="J198" i="32"/>
  <c r="J198" i="110"/>
  <c r="F177" i="32"/>
  <c r="J88" i="32"/>
  <c r="L88" i="32" s="1"/>
  <c r="L159" i="52080"/>
  <c r="F96" i="52080"/>
  <c r="G74" i="52080"/>
  <c r="J74" i="52080" s="1"/>
  <c r="L74" i="52080" s="1"/>
  <c r="J17" i="52080"/>
  <c r="G17" i="52080"/>
  <c r="P18" i="111"/>
  <c r="T18" i="111" s="1"/>
  <c r="J18" i="52095"/>
  <c r="G18" i="52095"/>
  <c r="F189" i="52076"/>
  <c r="J190" i="52093"/>
  <c r="L190" i="52093" s="1"/>
  <c r="F149" i="52093"/>
  <c r="J93" i="52093"/>
  <c r="G93" i="52093"/>
  <c r="C253" i="52093"/>
  <c r="D28" i="52093"/>
  <c r="J152" i="52092"/>
  <c r="G152" i="52092"/>
  <c r="F105" i="52092"/>
  <c r="C116" i="52092"/>
  <c r="C30" i="52072"/>
  <c r="C44" i="52072" s="1"/>
  <c r="L23" i="52072"/>
  <c r="G85" i="52066"/>
  <c r="J85" i="52066"/>
  <c r="L85" i="52066" s="1"/>
  <c r="F123" i="48"/>
  <c r="F181" i="91"/>
  <c r="F137" i="32"/>
  <c r="J158" i="52080"/>
  <c r="L158" i="52080" s="1"/>
  <c r="F92" i="52080"/>
  <c r="G189" i="52075"/>
  <c r="K189" i="52075" s="1"/>
  <c r="J190" i="52095"/>
  <c r="F180" i="52093"/>
  <c r="G12" i="52093"/>
  <c r="J12" i="52093"/>
  <c r="L125" i="52091"/>
  <c r="F157" i="52090"/>
  <c r="J157" i="52090" s="1"/>
  <c r="G16" i="52090"/>
  <c r="J16" i="52090"/>
  <c r="F196" i="77"/>
  <c r="J196" i="77" s="1"/>
  <c r="F94" i="77"/>
  <c r="F101" i="12"/>
  <c r="J17" i="12"/>
  <c r="G17" i="12"/>
  <c r="F17" i="52076"/>
  <c r="F126" i="20"/>
  <c r="G175" i="115"/>
  <c r="J175" i="115"/>
  <c r="F49" i="115"/>
  <c r="I49" i="115" s="1"/>
  <c r="B49" i="115"/>
  <c r="F197" i="114"/>
  <c r="J197" i="114" s="1"/>
  <c r="G164" i="52089"/>
  <c r="J164" i="52089" s="1"/>
  <c r="L164" i="52089" s="1"/>
  <c r="G85" i="52080"/>
  <c r="J85" i="52080"/>
  <c r="L85" i="52080" s="1"/>
  <c r="F81" i="52094"/>
  <c r="L195" i="52093"/>
  <c r="J162" i="52093"/>
  <c r="G162" i="52093"/>
  <c r="G13" i="52093"/>
  <c r="J13" i="52093"/>
  <c r="F76" i="52092"/>
  <c r="F174" i="52066"/>
  <c r="F131" i="52066"/>
  <c r="G145" i="52066"/>
  <c r="G141" i="52066"/>
  <c r="G146" i="52066"/>
  <c r="C154" i="52066"/>
  <c r="G144" i="52066"/>
  <c r="G143" i="52066"/>
  <c r="G142" i="52066"/>
  <c r="F72" i="52066"/>
  <c r="J158" i="48"/>
  <c r="G83" i="48"/>
  <c r="F83" i="52084"/>
  <c r="J83" i="48"/>
  <c r="G192" i="52103"/>
  <c r="K192" i="52103" s="1"/>
  <c r="J193" i="91"/>
  <c r="F96" i="91"/>
  <c r="G165" i="32"/>
  <c r="F108" i="32"/>
  <c r="F149" i="52080"/>
  <c r="F93" i="52080"/>
  <c r="G158" i="52075"/>
  <c r="K158" i="52075" s="1"/>
  <c r="J159" i="52095"/>
  <c r="L159" i="52095" s="1"/>
  <c r="F159" i="52094"/>
  <c r="P159" i="111" s="1"/>
  <c r="T159" i="111" s="1"/>
  <c r="F93" i="52094"/>
  <c r="J136" i="52093"/>
  <c r="G136" i="52093"/>
  <c r="F119" i="52092"/>
  <c r="J119" i="52092" s="1"/>
  <c r="F190" i="52091"/>
  <c r="J190" i="52091" s="1"/>
  <c r="F120" i="52091"/>
  <c r="J120" i="52091" s="1"/>
  <c r="F79" i="52091"/>
  <c r="F176" i="77"/>
  <c r="F93" i="20"/>
  <c r="F187" i="115"/>
  <c r="C201" i="115"/>
  <c r="G17" i="115"/>
  <c r="J17" i="115"/>
  <c r="G17" i="52104"/>
  <c r="K17" i="52104" s="1"/>
  <c r="G135" i="52079"/>
  <c r="J135" i="52079"/>
  <c r="G62" i="93"/>
  <c r="I62" i="93"/>
  <c r="F192" i="52081"/>
  <c r="J192" i="52081" s="1"/>
  <c r="F178" i="52072"/>
  <c r="F90" i="52072"/>
  <c r="G65" i="93"/>
  <c r="I65" i="93"/>
  <c r="F146" i="52081"/>
  <c r="J146" i="52081" s="1"/>
  <c r="F75" i="52072"/>
  <c r="F187" i="52066"/>
  <c r="C201" i="52066"/>
  <c r="C30" i="52066"/>
  <c r="L23" i="52066"/>
  <c r="F161" i="48"/>
  <c r="F137" i="48"/>
  <c r="F110" i="91"/>
  <c r="J189" i="32"/>
  <c r="J189" i="110"/>
  <c r="F92" i="32"/>
  <c r="F133" i="93"/>
  <c r="C152" i="93"/>
  <c r="F166" i="52072"/>
  <c r="F108" i="52072"/>
  <c r="F165" i="52066"/>
  <c r="J148" i="48"/>
  <c r="G148" i="48"/>
  <c r="F108" i="48"/>
  <c r="G108" i="52103" s="1"/>
  <c r="F161" i="91"/>
  <c r="F131" i="91"/>
  <c r="G143" i="91"/>
  <c r="G145" i="91"/>
  <c r="C154" i="91"/>
  <c r="G141" i="91"/>
  <c r="G142" i="91"/>
  <c r="G146" i="91"/>
  <c r="G144" i="91"/>
  <c r="F87" i="91"/>
  <c r="J9" i="91"/>
  <c r="F21" i="91"/>
  <c r="F175" i="32"/>
  <c r="F78" i="32"/>
  <c r="L190" i="52080"/>
  <c r="F118" i="52080"/>
  <c r="C129" i="52080"/>
  <c r="F80" i="52080"/>
  <c r="F149" i="52095"/>
  <c r="J17" i="52094"/>
  <c r="G17" i="52094"/>
  <c r="F17" i="52077"/>
  <c r="L122" i="52093"/>
  <c r="F72" i="52093"/>
  <c r="G18" i="52093"/>
  <c r="J18" i="52093"/>
  <c r="F170" i="52092"/>
  <c r="C185" i="52092"/>
  <c r="F145" i="52092"/>
  <c r="I145" i="52092" s="1"/>
  <c r="F111" i="52092"/>
  <c r="I111" i="52092" s="1"/>
  <c r="L146" i="52066"/>
  <c r="G75" i="52066"/>
  <c r="J75" i="52066"/>
  <c r="G18" i="52066"/>
  <c r="J18" i="52066"/>
  <c r="J189" i="48"/>
  <c r="F188" i="52084"/>
  <c r="J188" i="52084" s="1"/>
  <c r="L37" i="48"/>
  <c r="F119" i="91"/>
  <c r="F95" i="91"/>
  <c r="F149" i="32"/>
  <c r="F107" i="32"/>
  <c r="F144" i="52080"/>
  <c r="J144" i="52080" s="1"/>
  <c r="F90" i="52080"/>
  <c r="I90" i="52080" s="1"/>
  <c r="F175" i="52095"/>
  <c r="P12" i="111"/>
  <c r="T12" i="111" s="1"/>
  <c r="J12" i="52095"/>
  <c r="G12" i="52095"/>
  <c r="F175" i="52094"/>
  <c r="C30" i="52094"/>
  <c r="C44" i="52094" s="1"/>
  <c r="L23" i="52094"/>
  <c r="G114" i="52093"/>
  <c r="J114" i="52093"/>
  <c r="F124" i="52092"/>
  <c r="J124" i="52092" s="1"/>
  <c r="L124" i="52092"/>
  <c r="F127" i="52091"/>
  <c r="F78" i="52091"/>
  <c r="J78" i="52091" s="1"/>
  <c r="F197" i="52090"/>
  <c r="J197" i="52090" s="1"/>
  <c r="L197" i="52090"/>
  <c r="F49" i="52090"/>
  <c r="J49" i="52090" s="1"/>
  <c r="B49" i="52090"/>
  <c r="L37" i="77"/>
  <c r="F178" i="12"/>
  <c r="F178" i="20"/>
  <c r="F16" i="52074"/>
  <c r="J16" i="52074" s="1"/>
  <c r="J16" i="20"/>
  <c r="F181" i="114"/>
  <c r="C30" i="52089"/>
  <c r="C44" i="52089" s="1"/>
  <c r="C46" i="52089" s="1"/>
  <c r="C47" i="52089" s="1"/>
  <c r="L23" i="52089"/>
  <c r="F181" i="52080"/>
  <c r="L195" i="114"/>
  <c r="F160" i="52091"/>
  <c r="J160" i="52091" s="1"/>
  <c r="F196" i="20"/>
  <c r="L121" i="52080"/>
  <c r="F144" i="52095"/>
  <c r="F83" i="52095"/>
  <c r="F161" i="52094"/>
  <c r="F197" i="52093"/>
  <c r="J197" i="52093" s="1"/>
  <c r="F147" i="52093"/>
  <c r="F96" i="52093"/>
  <c r="I96" i="52093" s="1"/>
  <c r="G73" i="52093"/>
  <c r="J73" i="52093" s="1"/>
  <c r="L73" i="52093" s="1"/>
  <c r="F106" i="52092"/>
  <c r="J106" i="52092" s="1"/>
  <c r="G180" i="52066"/>
  <c r="L180" i="52066" s="1"/>
  <c r="J180" i="52066"/>
  <c r="J137" i="52066"/>
  <c r="G137" i="52066"/>
  <c r="F78" i="52066"/>
  <c r="L179" i="48"/>
  <c r="F66" i="48"/>
  <c r="J158" i="91"/>
  <c r="L158" i="91" s="1"/>
  <c r="F114" i="32"/>
  <c r="F143" i="52080"/>
  <c r="I143" i="52080" s="1"/>
  <c r="J197" i="52095"/>
  <c r="J11" i="52095"/>
  <c r="G11" i="52095"/>
  <c r="P11" i="111"/>
  <c r="F174" i="52094"/>
  <c r="G16" i="52094"/>
  <c r="F16" i="52077"/>
  <c r="J16" i="52094"/>
  <c r="G134" i="52093"/>
  <c r="J134" i="52093"/>
  <c r="F166" i="52092"/>
  <c r="F196" i="52091"/>
  <c r="J196" i="52091" s="1"/>
  <c r="F118" i="52091"/>
  <c r="C129" i="52091"/>
  <c r="F73" i="52091"/>
  <c r="J73" i="52091" s="1"/>
  <c r="L196" i="52090"/>
  <c r="C30" i="52090"/>
  <c r="C44" i="52090" s="1"/>
  <c r="L23" i="52090"/>
  <c r="F192" i="12"/>
  <c r="F164" i="20"/>
  <c r="I164" i="20" s="1"/>
  <c r="L196" i="114"/>
  <c r="J142" i="52091"/>
  <c r="L142" i="52091" s="1"/>
  <c r="F73" i="52089"/>
  <c r="F49" i="114"/>
  <c r="J49" i="114" s="1"/>
  <c r="J98" i="108"/>
  <c r="G98" i="108"/>
  <c r="J97" i="148"/>
  <c r="H97" i="52082"/>
  <c r="L97" i="52082" s="1"/>
  <c r="M97" i="52097"/>
  <c r="G163" i="52087"/>
  <c r="J163" i="52087"/>
  <c r="G83" i="52087"/>
  <c r="J83" i="52087"/>
  <c r="J83" i="108"/>
  <c r="G83" i="108"/>
  <c r="C21" i="105"/>
  <c r="H66" i="52082"/>
  <c r="K66" i="52082" s="1"/>
  <c r="M66" i="52097"/>
  <c r="G66" i="148"/>
  <c r="J66" i="148" s="1"/>
  <c r="G138" i="52064"/>
  <c r="J138" i="52064"/>
  <c r="E138" i="9"/>
  <c r="G78" i="21"/>
  <c r="J78" i="21"/>
  <c r="F78" i="52098"/>
  <c r="J78" i="52098" s="1"/>
  <c r="J10" i="21"/>
  <c r="G10" i="21"/>
  <c r="F10" i="52098"/>
  <c r="J10" i="52098" s="1"/>
  <c r="F149" i="52091"/>
  <c r="J149" i="52091" s="1"/>
  <c r="F180" i="52089"/>
  <c r="L37" i="52089"/>
  <c r="J19" i="20"/>
  <c r="G19" i="20"/>
  <c r="F19" i="52074"/>
  <c r="J19" i="52074" s="1"/>
  <c r="G65" i="52067"/>
  <c r="J65" i="52067"/>
  <c r="G65" i="52083"/>
  <c r="M65" i="52097"/>
  <c r="G183" i="52088"/>
  <c r="J183" i="52088"/>
  <c r="E83" i="9"/>
  <c r="J83" i="52064"/>
  <c r="J81" i="108"/>
  <c r="G81" i="108"/>
  <c r="G176" i="52064"/>
  <c r="E176" i="9"/>
  <c r="J176" i="52064"/>
  <c r="J190" i="52064"/>
  <c r="E190" i="9"/>
  <c r="I190" i="9" s="1"/>
  <c r="C21" i="21"/>
  <c r="J163" i="52071"/>
  <c r="G163" i="52071"/>
  <c r="G17" i="52071"/>
  <c r="J17" i="52071"/>
  <c r="G90" i="52079"/>
  <c r="J90" i="52079"/>
  <c r="G14" i="52079"/>
  <c r="J14" i="52079"/>
  <c r="G9" i="52071"/>
  <c r="J9" i="52071"/>
  <c r="F21" i="52071"/>
  <c r="F170" i="101"/>
  <c r="C185" i="101"/>
  <c r="F95" i="148"/>
  <c r="B95" i="148"/>
  <c r="G147" i="52089"/>
  <c r="J147" i="52089" s="1"/>
  <c r="J18" i="52089"/>
  <c r="G18" i="52089"/>
  <c r="J172" i="77"/>
  <c r="G172" i="77"/>
  <c r="F171" i="12"/>
  <c r="F87" i="12"/>
  <c r="F181" i="20"/>
  <c r="F195" i="115"/>
  <c r="F133" i="115"/>
  <c r="G13" i="52092"/>
  <c r="J13" i="52092"/>
  <c r="F66" i="52089"/>
  <c r="G66" i="52102" s="1"/>
  <c r="G11" i="77"/>
  <c r="J11" i="77"/>
  <c r="F123" i="115"/>
  <c r="G180" i="52079"/>
  <c r="J180" i="52079"/>
  <c r="G88" i="52079"/>
  <c r="J88" i="52079" s="1"/>
  <c r="G163" i="52088"/>
  <c r="J163" i="52088" s="1"/>
  <c r="C21" i="52071"/>
  <c r="J140" i="52088"/>
  <c r="G140" i="52088"/>
  <c r="F118" i="108"/>
  <c r="C129" i="108"/>
  <c r="J126" i="52088"/>
  <c r="G126" i="52088"/>
  <c r="G87" i="52087"/>
  <c r="J87" i="52087"/>
  <c r="J87" i="108"/>
  <c r="G87" i="108"/>
  <c r="J197" i="148"/>
  <c r="H197" i="52082"/>
  <c r="L197" i="52082" s="1"/>
  <c r="M197" i="52097"/>
  <c r="Q197" i="52097" s="1"/>
  <c r="J120" i="52064"/>
  <c r="E120" i="9"/>
  <c r="F190" i="52098"/>
  <c r="J190" i="52098" s="1"/>
  <c r="J191" i="21"/>
  <c r="L37" i="114"/>
  <c r="F133" i="52091"/>
  <c r="J133" i="52091" s="1"/>
  <c r="L133" i="52091"/>
  <c r="G126" i="52090"/>
  <c r="J126" i="52090"/>
  <c r="F93" i="52089"/>
  <c r="F183" i="114"/>
  <c r="J137" i="52079"/>
  <c r="G137" i="52079"/>
  <c r="G19" i="52079"/>
  <c r="J19" i="52079"/>
  <c r="J12" i="52088"/>
  <c r="G12" i="52088"/>
  <c r="F170" i="52087"/>
  <c r="C185" i="52087"/>
  <c r="C243" i="52087" s="1"/>
  <c r="J75" i="52064"/>
  <c r="G75" i="52064"/>
  <c r="E75" i="9"/>
  <c r="C44" i="105"/>
  <c r="J112" i="21"/>
  <c r="F112" i="52098"/>
  <c r="J112" i="52098" s="1"/>
  <c r="G136" i="52064"/>
  <c r="J136" i="52064"/>
  <c r="E136" i="9"/>
  <c r="F111" i="114"/>
  <c r="F70" i="52079"/>
  <c r="J66" i="52079"/>
  <c r="G17" i="52067"/>
  <c r="J17" i="52067"/>
  <c r="G72" i="52071"/>
  <c r="J72" i="52071"/>
  <c r="C21" i="52087"/>
  <c r="J135" i="105"/>
  <c r="G135" i="52083"/>
  <c r="J135" i="52083" s="1"/>
  <c r="G135" i="105"/>
  <c r="J183" i="52067"/>
  <c r="G183" i="52067"/>
  <c r="L136" i="77"/>
  <c r="G12" i="77"/>
  <c r="J12" i="77"/>
  <c r="F137" i="52074"/>
  <c r="J137" i="52074" s="1"/>
  <c r="J137" i="20"/>
  <c r="C21" i="52095"/>
  <c r="F66" i="52093"/>
  <c r="G66" i="52093" s="1"/>
  <c r="F181" i="52092"/>
  <c r="F148" i="52092"/>
  <c r="F78" i="52092"/>
  <c r="G19" i="52072"/>
  <c r="J19" i="52072"/>
  <c r="F149" i="52066"/>
  <c r="F105" i="52066"/>
  <c r="C116" i="52066"/>
  <c r="F164" i="48"/>
  <c r="F100" i="48"/>
  <c r="F81" i="48"/>
  <c r="F195" i="91"/>
  <c r="J195" i="91" s="1"/>
  <c r="G122" i="91"/>
  <c r="J122" i="110"/>
  <c r="J122" i="91"/>
  <c r="G122" i="52103"/>
  <c r="F142" i="32"/>
  <c r="I142" i="32" s="1"/>
  <c r="F162" i="52080"/>
  <c r="J193" i="52095"/>
  <c r="G192" i="52075"/>
  <c r="K192" i="52075" s="1"/>
  <c r="P193" i="111"/>
  <c r="T193" i="111" s="1"/>
  <c r="F178" i="52094"/>
  <c r="F150" i="52093"/>
  <c r="G161" i="52092"/>
  <c r="J161" i="52092"/>
  <c r="F93" i="52092"/>
  <c r="F173" i="52091"/>
  <c r="J173" i="52091" s="1"/>
  <c r="L98" i="52091"/>
  <c r="L192" i="52090"/>
  <c r="F166" i="52089"/>
  <c r="J189" i="20"/>
  <c r="F188" i="52074"/>
  <c r="J188" i="52074" s="1"/>
  <c r="G111" i="115"/>
  <c r="J111" i="115"/>
  <c r="F87" i="77"/>
  <c r="J176" i="108"/>
  <c r="G176" i="108"/>
  <c r="G136" i="105"/>
  <c r="G136" i="52083"/>
  <c r="K136" i="52083" s="1"/>
  <c r="J136" i="105"/>
  <c r="G183" i="108"/>
  <c r="J183" i="108"/>
  <c r="J75" i="108"/>
  <c r="G75" i="108"/>
  <c r="J193" i="148"/>
  <c r="H193" i="52082"/>
  <c r="M193" i="52097"/>
  <c r="Q193" i="52097" s="1"/>
  <c r="G180" i="21"/>
  <c r="F179" i="52098"/>
  <c r="J179" i="52098" s="1"/>
  <c r="J180" i="21"/>
  <c r="J98" i="148"/>
  <c r="G98" i="148"/>
  <c r="H98" i="52082"/>
  <c r="L98" i="52082" s="1"/>
  <c r="M98" i="52097"/>
  <c r="Q98" i="52097" s="1"/>
  <c r="G114" i="52064"/>
  <c r="E114" i="9"/>
  <c r="J114" i="52064"/>
  <c r="L190" i="114"/>
  <c r="G92" i="52090"/>
  <c r="J92" i="52090"/>
  <c r="J146" i="148"/>
  <c r="H146" i="52082"/>
  <c r="L146" i="52082" s="1"/>
  <c r="M146" i="52097"/>
  <c r="F49" i="21"/>
  <c r="B49" i="21"/>
  <c r="G85" i="52079"/>
  <c r="J85" i="52079"/>
  <c r="F187" i="52071"/>
  <c r="C201" i="52071"/>
  <c r="G126" i="52079"/>
  <c r="J126" i="52079"/>
  <c r="G136" i="52087"/>
  <c r="J136" i="52087"/>
  <c r="L197" i="77"/>
  <c r="G93" i="77"/>
  <c r="J93" i="77"/>
  <c r="F181" i="12"/>
  <c r="L123" i="20"/>
  <c r="G176" i="115"/>
  <c r="J176" i="115"/>
  <c r="C30" i="115"/>
  <c r="L23" i="115"/>
  <c r="F98" i="114"/>
  <c r="J98" i="52089"/>
  <c r="G98" i="52089"/>
  <c r="F192" i="20"/>
  <c r="F163" i="115"/>
  <c r="G76" i="52079"/>
  <c r="J76" i="52079"/>
  <c r="G13" i="52079"/>
  <c r="J13" i="52079"/>
  <c r="J123" i="52087"/>
  <c r="H123" i="52082"/>
  <c r="L123" i="52082" s="1"/>
  <c r="M123" i="52097"/>
  <c r="Q123" i="52097" s="1"/>
  <c r="G13" i="108"/>
  <c r="J13" i="108"/>
  <c r="J19" i="101"/>
  <c r="G19" i="101"/>
  <c r="J12" i="52087"/>
  <c r="G12" i="52087"/>
  <c r="G90" i="52064"/>
  <c r="E90" i="9"/>
  <c r="J90" i="52064"/>
  <c r="G138" i="108"/>
  <c r="J138" i="108"/>
  <c r="G17" i="108"/>
  <c r="J17" i="108"/>
  <c r="J12" i="105"/>
  <c r="G12" i="105"/>
  <c r="G12" i="52083"/>
  <c r="K12" i="52083" s="1"/>
  <c r="J174" i="52064"/>
  <c r="G174" i="52064"/>
  <c r="E174" i="9"/>
  <c r="F64" i="21"/>
  <c r="C70" i="21"/>
  <c r="C103" i="21" s="1"/>
  <c r="J183" i="52064"/>
  <c r="G183" i="52064"/>
  <c r="E183" i="9"/>
  <c r="J157" i="21"/>
  <c r="F156" i="52098"/>
  <c r="J156" i="52098" s="1"/>
  <c r="G76" i="21"/>
  <c r="J76" i="21" s="1"/>
  <c r="F76" i="52098"/>
  <c r="L159" i="114"/>
  <c r="F74" i="114"/>
  <c r="J143" i="52091"/>
  <c r="L24" i="52091"/>
  <c r="G76" i="52089"/>
  <c r="J76" i="52089"/>
  <c r="F146" i="77"/>
  <c r="J146" i="77" s="1"/>
  <c r="G12" i="20"/>
  <c r="F12" i="52074"/>
  <c r="J12" i="52074" s="1"/>
  <c r="J12" i="20"/>
  <c r="J149" i="52079"/>
  <c r="G149" i="52079"/>
  <c r="J174" i="108"/>
  <c r="G174" i="108"/>
  <c r="G10" i="52088"/>
  <c r="J10" i="52088"/>
  <c r="G73" i="108"/>
  <c r="G172" i="52064"/>
  <c r="J172" i="52064"/>
  <c r="E172" i="9"/>
  <c r="I172" i="9" s="1"/>
  <c r="G17" i="21"/>
  <c r="J17" i="21"/>
  <c r="F17" i="52098"/>
  <c r="J17" i="52098" s="1"/>
  <c r="J139" i="52071"/>
  <c r="G139" i="52071"/>
  <c r="G164" i="52067"/>
  <c r="J164" i="52067"/>
  <c r="G173" i="52087"/>
  <c r="J173" i="52087"/>
  <c r="F99" i="52089"/>
  <c r="F74" i="52089"/>
  <c r="F49" i="12"/>
  <c r="F81" i="20"/>
  <c r="F140" i="12"/>
  <c r="J17" i="20"/>
  <c r="G17" i="20"/>
  <c r="F17" i="52074"/>
  <c r="J17" i="52074" s="1"/>
  <c r="J101" i="52071"/>
  <c r="G101" i="52071"/>
  <c r="F187" i="52067"/>
  <c r="C201" i="52067"/>
  <c r="G178" i="108"/>
  <c r="J178" i="108"/>
  <c r="J114" i="148"/>
  <c r="G114" i="148"/>
  <c r="H114" i="52082"/>
  <c r="L114" i="52082" s="1"/>
  <c r="M114" i="52097"/>
  <c r="Q114" i="52097" s="1"/>
  <c r="C21" i="101"/>
  <c r="G68" i="52064"/>
  <c r="J68" i="52064"/>
  <c r="E68" i="9"/>
  <c r="G81" i="52083"/>
  <c r="K81" i="52083" s="1"/>
  <c r="G81" i="105"/>
  <c r="J81" i="105"/>
  <c r="J157" i="148"/>
  <c r="H157" i="52082"/>
  <c r="L157" i="52082" s="1"/>
  <c r="M157" i="52097"/>
  <c r="Q157" i="52097" s="1"/>
  <c r="F173" i="52098"/>
  <c r="J173" i="52098" s="1"/>
  <c r="G174" i="21"/>
  <c r="J174" i="21"/>
  <c r="H87" i="52082"/>
  <c r="L87" i="52082" s="1"/>
  <c r="M87" i="52097"/>
  <c r="Q87" i="52097" s="1"/>
  <c r="G87" i="148"/>
  <c r="J87" i="148"/>
  <c r="J132" i="52064"/>
  <c r="E132" i="9"/>
  <c r="J138" i="21"/>
  <c r="G138" i="21"/>
  <c r="F138" i="52098"/>
  <c r="J138" i="52098" s="1"/>
  <c r="G163" i="114"/>
  <c r="G107" i="52071"/>
  <c r="J107" i="52071"/>
  <c r="J173" i="52079"/>
  <c r="G173" i="52079"/>
  <c r="J9" i="114"/>
  <c r="F21" i="114"/>
  <c r="G174" i="52071"/>
  <c r="J174" i="52071"/>
  <c r="G139" i="52088"/>
  <c r="J139" i="52088"/>
  <c r="G140" i="52087"/>
  <c r="J140" i="52087"/>
  <c r="J175" i="108"/>
  <c r="G175" i="108"/>
  <c r="J106" i="148"/>
  <c r="M106" i="52097"/>
  <c r="Q106" i="52097" s="1"/>
  <c r="H106" i="52082"/>
  <c r="L106" i="52082" s="1"/>
  <c r="B49" i="52067"/>
  <c r="G19" i="52100"/>
  <c r="J19" i="52100"/>
  <c r="F64" i="52100"/>
  <c r="C70" i="52100"/>
  <c r="C103" i="52100" s="1"/>
  <c r="F75" i="52100"/>
  <c r="F83" i="52100"/>
  <c r="F92" i="52100"/>
  <c r="F100" i="52100"/>
  <c r="F111" i="52100"/>
  <c r="F133" i="52100"/>
  <c r="F141" i="52100"/>
  <c r="F149" i="52100"/>
  <c r="F161" i="52100"/>
  <c r="F172" i="52100"/>
  <c r="F180" i="52100"/>
  <c r="F192" i="52100"/>
  <c r="J101" i="52067"/>
  <c r="G101" i="52067"/>
  <c r="G12" i="101"/>
  <c r="J12" i="101"/>
  <c r="J75" i="52071"/>
  <c r="G75" i="52071"/>
  <c r="G125" i="52079"/>
  <c r="J125" i="52079"/>
  <c r="G124" i="108"/>
  <c r="J124" i="108"/>
  <c r="J133" i="52067"/>
  <c r="G133" i="52067"/>
  <c r="J177" i="52088"/>
  <c r="G177" i="52088"/>
  <c r="J101" i="52087"/>
  <c r="G101" i="52087"/>
  <c r="E191" i="9"/>
  <c r="J191" i="52064"/>
  <c r="F157" i="52098"/>
  <c r="J157" i="52098" s="1"/>
  <c r="J158" i="21"/>
  <c r="G175" i="105"/>
  <c r="G174" i="52083"/>
  <c r="K174" i="52083" s="1"/>
  <c r="J175" i="105"/>
  <c r="E180" i="9"/>
  <c r="G180" i="52064"/>
  <c r="J180" i="52064"/>
  <c r="G19" i="148"/>
  <c r="J19" i="148"/>
  <c r="H19" i="52082"/>
  <c r="L19" i="52082" s="1"/>
  <c r="M19" i="52097"/>
  <c r="G10" i="52064"/>
  <c r="J10" i="52064"/>
  <c r="E10" i="9"/>
  <c r="I10" i="9" s="1"/>
  <c r="F120" i="52098"/>
  <c r="J120" i="52098" s="1"/>
  <c r="J120" i="21"/>
  <c r="J135" i="52071"/>
  <c r="G135" i="52071"/>
  <c r="J175" i="52079"/>
  <c r="G175" i="52079"/>
  <c r="J172" i="52067"/>
  <c r="G172" i="52067"/>
  <c r="J87" i="52067"/>
  <c r="G87" i="52067"/>
  <c r="J92" i="101"/>
  <c r="G92" i="101"/>
  <c r="G176" i="52071"/>
  <c r="J176" i="52071"/>
  <c r="C30" i="108"/>
  <c r="C44" i="108" s="1"/>
  <c r="J13" i="105"/>
  <c r="G13" i="105"/>
  <c r="G13" i="52083"/>
  <c r="K13" i="52083" s="1"/>
  <c r="F22" i="93"/>
  <c r="C32" i="93"/>
  <c r="F72" i="52100"/>
  <c r="F80" i="52100"/>
  <c r="F88" i="52100"/>
  <c r="F97" i="52100"/>
  <c r="F108" i="52100"/>
  <c r="F119" i="52100"/>
  <c r="J138" i="52100"/>
  <c r="G138" i="52100"/>
  <c r="G138" i="52102"/>
  <c r="K138" i="52102" s="1"/>
  <c r="F146" i="52100"/>
  <c r="F158" i="52100"/>
  <c r="F166" i="52100"/>
  <c r="F177" i="52100"/>
  <c r="G189" i="52100"/>
  <c r="J189" i="52100"/>
  <c r="G188" i="52102"/>
  <c r="F197" i="52100"/>
  <c r="I88" i="105"/>
  <c r="G88" i="52083"/>
  <c r="J88" i="105"/>
  <c r="G88" i="52087"/>
  <c r="J88" i="52087" s="1"/>
  <c r="G164" i="52083"/>
  <c r="J164" i="52083" s="1"/>
  <c r="I165" i="105"/>
  <c r="G165" i="105"/>
  <c r="J165" i="105" s="1"/>
  <c r="J162" i="52067"/>
  <c r="D161" i="52083"/>
  <c r="H162" i="52097"/>
  <c r="F105" i="101"/>
  <c r="C116" i="101"/>
  <c r="G72" i="105"/>
  <c r="J72" i="105"/>
  <c r="G72" i="52083"/>
  <c r="I72" i="105"/>
  <c r="F86" i="52081"/>
  <c r="G176" i="52081"/>
  <c r="J176" i="52081"/>
  <c r="G109" i="52095"/>
  <c r="J109" i="52095"/>
  <c r="F68" i="52077"/>
  <c r="G68" i="52094"/>
  <c r="J68" i="52094"/>
  <c r="L68" i="52094" s="1"/>
  <c r="G67" i="52090"/>
  <c r="J67" i="52090"/>
  <c r="J249" i="52090" s="1"/>
  <c r="L121" i="12"/>
  <c r="F147" i="52074"/>
  <c r="I147" i="20"/>
  <c r="G147" i="20"/>
  <c r="J158" i="115"/>
  <c r="G161" i="77"/>
  <c r="F141" i="12"/>
  <c r="G73" i="52095"/>
  <c r="J73" i="52095"/>
  <c r="F68" i="52090"/>
  <c r="G68" i="52090" s="1"/>
  <c r="G83" i="115"/>
  <c r="J83" i="115"/>
  <c r="F112" i="114"/>
  <c r="J112" i="114" s="1"/>
  <c r="F173" i="52081"/>
  <c r="J100" i="52081"/>
  <c r="G100" i="52081"/>
  <c r="F142" i="52081"/>
  <c r="G83" i="52081"/>
  <c r="F114" i="52094"/>
  <c r="J160" i="105"/>
  <c r="G159" i="52083"/>
  <c r="K159" i="52083" s="1"/>
  <c r="J77" i="101"/>
  <c r="D77" i="52082"/>
  <c r="G77" i="52097"/>
  <c r="G127" i="52083"/>
  <c r="I127" i="105"/>
  <c r="F105" i="52087"/>
  <c r="C116" i="52087"/>
  <c r="J67" i="105"/>
  <c r="J249" i="105" s="1"/>
  <c r="I67" i="105"/>
  <c r="I249" i="105" s="1"/>
  <c r="G67" i="52083"/>
  <c r="K67" i="52083" s="1"/>
  <c r="G91" i="105"/>
  <c r="I91" i="105"/>
  <c r="J91" i="105"/>
  <c r="G91" i="52083"/>
  <c r="F178" i="52081"/>
  <c r="F76" i="52081"/>
  <c r="F165" i="52081"/>
  <c r="F145" i="52081"/>
  <c r="F64" i="52081"/>
  <c r="C70" i="52081"/>
  <c r="C103" i="52081" s="1"/>
  <c r="G91" i="52095"/>
  <c r="J91" i="52095"/>
  <c r="L91" i="52095" s="1"/>
  <c r="G162" i="52094"/>
  <c r="J162" i="52094"/>
  <c r="F161" i="52077"/>
  <c r="F177" i="52095"/>
  <c r="F120" i="52094"/>
  <c r="F147" i="52090"/>
  <c r="F180" i="20"/>
  <c r="G82" i="115"/>
  <c r="G161" i="52090"/>
  <c r="J161" i="52090"/>
  <c r="L161" i="52090" s="1"/>
  <c r="F114" i="52095"/>
  <c r="F180" i="52095"/>
  <c r="F173" i="52090"/>
  <c r="G173" i="52090" s="1"/>
  <c r="F91" i="77"/>
  <c r="G91" i="77" s="1"/>
  <c r="F134" i="52074"/>
  <c r="J134" i="52074" s="1"/>
  <c r="J134" i="20"/>
  <c r="I134" i="20"/>
  <c r="F119" i="52081"/>
  <c r="J119" i="52081" s="1"/>
  <c r="G171" i="52081"/>
  <c r="J171" i="52081"/>
  <c r="F73" i="52081"/>
  <c r="F145" i="52095"/>
  <c r="J106" i="52094"/>
  <c r="F106" i="52077"/>
  <c r="G83" i="101"/>
  <c r="J83" i="101"/>
  <c r="G180" i="52087"/>
  <c r="J180" i="52087"/>
  <c r="G72" i="52087"/>
  <c r="J72" i="52087" s="1"/>
  <c r="G74" i="105"/>
  <c r="J74" i="105" s="1"/>
  <c r="G74" i="52083"/>
  <c r="I74" i="105"/>
  <c r="J134" i="52067"/>
  <c r="G134" i="52067"/>
  <c r="G85" i="101"/>
  <c r="J85" i="101" s="1"/>
  <c r="G147" i="52087"/>
  <c r="J147" i="52087" s="1"/>
  <c r="G86" i="105"/>
  <c r="J86" i="105" s="1"/>
  <c r="G86" i="52083"/>
  <c r="I86" i="105"/>
  <c r="F131" i="101"/>
  <c r="I131" i="101" s="1"/>
  <c r="G146" i="101"/>
  <c r="G144" i="101"/>
  <c r="G143" i="101"/>
  <c r="G145" i="101"/>
  <c r="C154" i="101"/>
  <c r="G141" i="101"/>
  <c r="G142" i="101"/>
  <c r="G82" i="52087"/>
  <c r="J82" i="52087"/>
  <c r="G78" i="105"/>
  <c r="J78" i="105"/>
  <c r="G138" i="52067"/>
  <c r="J138" i="52067"/>
  <c r="J81" i="101"/>
  <c r="G81" i="101"/>
  <c r="J162" i="105"/>
  <c r="G161" i="52083"/>
  <c r="G99" i="105"/>
  <c r="G99" i="52083"/>
  <c r="J99" i="52083" s="1"/>
  <c r="J99" i="105"/>
  <c r="I99" i="105"/>
  <c r="G80" i="52081"/>
  <c r="F133" i="52081"/>
  <c r="J133" i="52081" s="1"/>
  <c r="F68" i="52081"/>
  <c r="F149" i="52081"/>
  <c r="F120" i="52081"/>
  <c r="J120" i="52081" s="1"/>
  <c r="G85" i="52081"/>
  <c r="F147" i="52095"/>
  <c r="F105" i="52095"/>
  <c r="C116" i="52095"/>
  <c r="F74" i="52095"/>
  <c r="F165" i="52094"/>
  <c r="I165" i="52094" s="1"/>
  <c r="G112" i="52094"/>
  <c r="J112" i="52094"/>
  <c r="L112" i="52094" s="1"/>
  <c r="J120" i="52095"/>
  <c r="F156" i="52094"/>
  <c r="C168" i="52094"/>
  <c r="F86" i="52094"/>
  <c r="G180" i="52090"/>
  <c r="J180" i="52090"/>
  <c r="F90" i="77"/>
  <c r="G90" i="77" s="1"/>
  <c r="G97" i="12"/>
  <c r="J97" i="12"/>
  <c r="F74" i="12"/>
  <c r="G86" i="20"/>
  <c r="I86" i="20"/>
  <c r="J86" i="20"/>
  <c r="L86" i="20" s="1"/>
  <c r="J148" i="115"/>
  <c r="G148" i="115"/>
  <c r="L148" i="115" s="1"/>
  <c r="G86" i="115"/>
  <c r="J86" i="115"/>
  <c r="F177" i="114"/>
  <c r="F145" i="77"/>
  <c r="G66" i="77"/>
  <c r="L113" i="12"/>
  <c r="G150" i="52095"/>
  <c r="G150" i="52075"/>
  <c r="J150" i="52095"/>
  <c r="J134" i="52095"/>
  <c r="P134" i="111"/>
  <c r="T134" i="111" s="1"/>
  <c r="G134" i="52075"/>
  <c r="K134" i="52075" s="1"/>
  <c r="F90" i="52095"/>
  <c r="J66" i="52095"/>
  <c r="G66" i="52095"/>
  <c r="F143" i="52077"/>
  <c r="G180" i="52094"/>
  <c r="F179" i="52077"/>
  <c r="J180" i="52094"/>
  <c r="F142" i="52090"/>
  <c r="I142" i="52090" s="1"/>
  <c r="L121" i="77"/>
  <c r="F122" i="12"/>
  <c r="G66" i="114"/>
  <c r="G90" i="52071"/>
  <c r="J90" i="52071"/>
  <c r="G165" i="52088"/>
  <c r="G180" i="52081"/>
  <c r="J180" i="52081"/>
  <c r="F74" i="52081"/>
  <c r="G163" i="52081"/>
  <c r="F125" i="52081"/>
  <c r="J125" i="52081" s="1"/>
  <c r="F97" i="52081"/>
  <c r="G77" i="52081"/>
  <c r="J77" i="52081"/>
  <c r="F152" i="52081"/>
  <c r="J152" i="110" s="1"/>
  <c r="N152" i="110" s="1"/>
  <c r="F118" i="52081"/>
  <c r="C129" i="52081"/>
  <c r="J161" i="52095"/>
  <c r="G161" i="52095"/>
  <c r="G160" i="52075"/>
  <c r="C253" i="52095"/>
  <c r="D28" i="52095"/>
  <c r="F142" i="52094"/>
  <c r="F110" i="52094"/>
  <c r="F64" i="52095"/>
  <c r="C70" i="52095"/>
  <c r="C103" i="52095" s="1"/>
  <c r="F118" i="52094"/>
  <c r="C129" i="52094"/>
  <c r="G152" i="52090"/>
  <c r="J152" i="52090"/>
  <c r="G106" i="52090"/>
  <c r="G74" i="52090"/>
  <c r="J74" i="52090" s="1"/>
  <c r="L74" i="52090" s="1"/>
  <c r="F156" i="77"/>
  <c r="C168" i="77"/>
  <c r="F127" i="52076"/>
  <c r="F91" i="12"/>
  <c r="F67" i="12"/>
  <c r="F162" i="20"/>
  <c r="F110" i="20"/>
  <c r="F156" i="115"/>
  <c r="C168" i="115"/>
  <c r="J134" i="115"/>
  <c r="G134" i="52104"/>
  <c r="K134" i="52104" s="1"/>
  <c r="F88" i="52074"/>
  <c r="I88" i="52074" s="1"/>
  <c r="G88" i="52104"/>
  <c r="L79" i="114"/>
  <c r="F64" i="52090"/>
  <c r="I64" i="52090" s="1"/>
  <c r="C70" i="52090"/>
  <c r="C103" i="52090" s="1"/>
  <c r="C30" i="77"/>
  <c r="L23" i="77"/>
  <c r="J132" i="20"/>
  <c r="F132" i="52074"/>
  <c r="J132" i="52074" s="1"/>
  <c r="I132" i="20"/>
  <c r="J160" i="52095"/>
  <c r="F149" i="52094"/>
  <c r="G85" i="52094"/>
  <c r="J119" i="52095"/>
  <c r="F127" i="52077"/>
  <c r="F91" i="52094"/>
  <c r="I91" i="52094" s="1"/>
  <c r="F95" i="77"/>
  <c r="I95" i="77" s="1"/>
  <c r="B95" i="77"/>
  <c r="G85" i="12"/>
  <c r="J85" i="12"/>
  <c r="F145" i="52074"/>
  <c r="I145" i="20"/>
  <c r="F68" i="115"/>
  <c r="G152" i="77"/>
  <c r="J152" i="77"/>
  <c r="F142" i="20"/>
  <c r="J90" i="115"/>
  <c r="G90" i="115"/>
  <c r="L90" i="115" s="1"/>
  <c r="G148" i="52071"/>
  <c r="J148" i="52071"/>
  <c r="G99" i="52067"/>
  <c r="J99" i="52067"/>
  <c r="G85" i="52088"/>
  <c r="J85" i="52088"/>
  <c r="G165" i="101"/>
  <c r="J165" i="101"/>
  <c r="L127" i="114"/>
  <c r="F95" i="114"/>
  <c r="F76" i="114"/>
  <c r="L120" i="52090"/>
  <c r="G110" i="77"/>
  <c r="J110" i="77"/>
  <c r="L110" i="77" s="1"/>
  <c r="F138" i="52076"/>
  <c r="J138" i="12"/>
  <c r="F141" i="20"/>
  <c r="F106" i="114"/>
  <c r="G134" i="52087"/>
  <c r="J134" i="52087"/>
  <c r="I118" i="105"/>
  <c r="J118" i="105"/>
  <c r="F129" i="105"/>
  <c r="C70" i="52071"/>
  <c r="C103" i="52071" s="1"/>
  <c r="G74" i="52088"/>
  <c r="J74" i="52088"/>
  <c r="J125" i="101"/>
  <c r="G125" i="101"/>
  <c r="I141" i="105"/>
  <c r="F73" i="52090"/>
  <c r="G73" i="52075" s="1"/>
  <c r="F119" i="77"/>
  <c r="J119" i="77" s="1"/>
  <c r="F156" i="12"/>
  <c r="C168" i="12"/>
  <c r="F127" i="52074"/>
  <c r="I127" i="20"/>
  <c r="G91" i="20"/>
  <c r="J91" i="20"/>
  <c r="I91" i="20"/>
  <c r="G149" i="115"/>
  <c r="J149" i="115"/>
  <c r="G109" i="115"/>
  <c r="J109" i="115"/>
  <c r="G73" i="115"/>
  <c r="J73" i="115"/>
  <c r="L122" i="114"/>
  <c r="J163" i="77"/>
  <c r="L163" i="77" s="1"/>
  <c r="C162" i="52104"/>
  <c r="C162" i="52076"/>
  <c r="F163" i="111"/>
  <c r="G152" i="12"/>
  <c r="J152" i="12"/>
  <c r="F151" i="52076"/>
  <c r="F138" i="52074"/>
  <c r="J138" i="52074" s="1"/>
  <c r="I138" i="20"/>
  <c r="J138" i="20"/>
  <c r="G165" i="114"/>
  <c r="J165" i="114"/>
  <c r="G95" i="52071"/>
  <c r="J95" i="52071"/>
  <c r="J173" i="101"/>
  <c r="D173" i="52082"/>
  <c r="G173" i="52097"/>
  <c r="G148" i="105"/>
  <c r="J148" i="105" s="1"/>
  <c r="G148" i="52083"/>
  <c r="I148" i="105"/>
  <c r="G147" i="52067"/>
  <c r="J147" i="52067" s="1"/>
  <c r="G114" i="52087"/>
  <c r="J114" i="52087"/>
  <c r="F78" i="114"/>
  <c r="I78" i="114" s="1"/>
  <c r="F162" i="52090"/>
  <c r="G162" i="52090" s="1"/>
  <c r="G74" i="77"/>
  <c r="J74" i="77" s="1"/>
  <c r="L74" i="77" s="1"/>
  <c r="F142" i="12"/>
  <c r="G96" i="115"/>
  <c r="I252" i="52083"/>
  <c r="G114" i="52088"/>
  <c r="J114" i="52088"/>
  <c r="J106" i="105"/>
  <c r="I106" i="105"/>
  <c r="G106" i="52083"/>
  <c r="G86" i="101"/>
  <c r="J86" i="101" s="1"/>
  <c r="G93" i="52087"/>
  <c r="J93" i="52087"/>
  <c r="G77" i="105"/>
  <c r="J77" i="105" s="1"/>
  <c r="I77" i="105"/>
  <c r="G77" i="52083"/>
  <c r="J152" i="52071"/>
  <c r="G152" i="52071"/>
  <c r="G86" i="52088"/>
  <c r="J86" i="52088"/>
  <c r="G88" i="52071"/>
  <c r="J88" i="52071"/>
  <c r="G78" i="52071"/>
  <c r="J78" i="52071"/>
  <c r="I145" i="105"/>
  <c r="F148" i="77"/>
  <c r="C253" i="77"/>
  <c r="D28" i="77"/>
  <c r="J148" i="12"/>
  <c r="G148" i="12"/>
  <c r="C30" i="12"/>
  <c r="C44" i="12" s="1"/>
  <c r="L23" i="12"/>
  <c r="F109" i="20"/>
  <c r="J120" i="115"/>
  <c r="L120" i="115" s="1"/>
  <c r="G150" i="52071"/>
  <c r="J150" i="52071"/>
  <c r="G134" i="52071"/>
  <c r="J134" i="52071"/>
  <c r="F118" i="101"/>
  <c r="C129" i="101"/>
  <c r="G125" i="52087"/>
  <c r="J125" i="52087"/>
  <c r="I142" i="105"/>
  <c r="G142" i="52083"/>
  <c r="G149" i="52067"/>
  <c r="J149" i="52067"/>
  <c r="G66" i="52087"/>
  <c r="J66" i="52087" s="1"/>
  <c r="F70" i="52087"/>
  <c r="G147" i="114"/>
  <c r="J147" i="114"/>
  <c r="F105" i="114"/>
  <c r="C116" i="114"/>
  <c r="G180" i="52067"/>
  <c r="J180" i="52067"/>
  <c r="G100" i="52067"/>
  <c r="J100" i="52067"/>
  <c r="G85" i="52067"/>
  <c r="J85" i="52067"/>
  <c r="G77" i="52067"/>
  <c r="J77" i="52067"/>
  <c r="F64" i="52067"/>
  <c r="C70" i="52067"/>
  <c r="C103" i="52067" s="1"/>
  <c r="F131" i="52088"/>
  <c r="G141" i="52088"/>
  <c r="G145" i="52088"/>
  <c r="G142" i="52088"/>
  <c r="G143" i="52088"/>
  <c r="G144" i="52088"/>
  <c r="C154" i="52088"/>
  <c r="G146" i="52088"/>
  <c r="G147" i="105"/>
  <c r="I147" i="105"/>
  <c r="G147" i="52083"/>
  <c r="J147" i="105"/>
  <c r="J109" i="105"/>
  <c r="G109" i="52083"/>
  <c r="K109" i="52083" s="1"/>
  <c r="I109" i="105"/>
  <c r="G140" i="52067"/>
  <c r="J140" i="52067"/>
  <c r="L122" i="52094"/>
  <c r="F110" i="52090"/>
  <c r="J110" i="52090" s="1"/>
  <c r="F78" i="52090"/>
  <c r="L173" i="77"/>
  <c r="F96" i="77"/>
  <c r="F95" i="52076"/>
  <c r="F76" i="12"/>
  <c r="F120" i="20"/>
  <c r="F67" i="52074"/>
  <c r="J67" i="20"/>
  <c r="J249" i="20" s="1"/>
  <c r="G67" i="20"/>
  <c r="I67" i="20"/>
  <c r="I249" i="20" s="1"/>
  <c r="J138" i="115"/>
  <c r="G138" i="52104"/>
  <c r="K138" i="52104" s="1"/>
  <c r="F108" i="115"/>
  <c r="L120" i="114"/>
  <c r="F68" i="114"/>
  <c r="I68" i="114" s="1"/>
  <c r="G149" i="77"/>
  <c r="L149" i="77" s="1"/>
  <c r="J149" i="77"/>
  <c r="F105" i="77"/>
  <c r="I105" i="77" s="1"/>
  <c r="C116" i="77"/>
  <c r="F145" i="12"/>
  <c r="F68" i="20"/>
  <c r="F148" i="52095"/>
  <c r="F68" i="52095"/>
  <c r="I68" i="52095" s="1"/>
  <c r="F145" i="52094"/>
  <c r="I145" i="52094" s="1"/>
  <c r="F77" i="52094"/>
  <c r="G99" i="52095"/>
  <c r="J99" i="52095" s="1"/>
  <c r="F119" i="52094"/>
  <c r="F84" i="52077"/>
  <c r="G84" i="52094"/>
  <c r="J84" i="52094"/>
  <c r="L84" i="52094" s="1"/>
  <c r="C253" i="52094"/>
  <c r="D28" i="52094"/>
  <c r="F148" i="52090"/>
  <c r="J109" i="52090"/>
  <c r="H109" i="111"/>
  <c r="D109" i="52075"/>
  <c r="G77" i="12"/>
  <c r="J77" i="12"/>
  <c r="L77" i="12" s="1"/>
  <c r="G152" i="115"/>
  <c r="J152" i="115"/>
  <c r="I108" i="20"/>
  <c r="F108" i="52074"/>
  <c r="J108" i="52074" s="1"/>
  <c r="J108" i="20"/>
  <c r="L108" i="20" s="1"/>
  <c r="L160" i="114"/>
  <c r="G86" i="52067"/>
  <c r="J86" i="52067"/>
  <c r="J66" i="52088"/>
  <c r="F70" i="52088"/>
  <c r="G148" i="101"/>
  <c r="J148" i="101"/>
  <c r="G84" i="101"/>
  <c r="J84" i="101"/>
  <c r="G95" i="52087"/>
  <c r="J95" i="52087"/>
  <c r="F156" i="105"/>
  <c r="C168" i="105"/>
  <c r="G68" i="105"/>
  <c r="G68" i="52083"/>
  <c r="J68" i="105"/>
  <c r="I68" i="105"/>
  <c r="G99" i="114"/>
  <c r="J99" i="114"/>
  <c r="G82" i="114"/>
  <c r="J82" i="114"/>
  <c r="L82" i="114" s="1"/>
  <c r="L41" i="114"/>
  <c r="F160" i="52090"/>
  <c r="J160" i="52090" s="1"/>
  <c r="F90" i="52090"/>
  <c r="F162" i="12"/>
  <c r="F161" i="20"/>
  <c r="P161" i="111" s="1"/>
  <c r="F72" i="20"/>
  <c r="G114" i="52083"/>
  <c r="K114" i="52083" s="1"/>
  <c r="G114" i="105"/>
  <c r="J114" i="105"/>
  <c r="G78" i="101"/>
  <c r="J78" i="101"/>
  <c r="G170" i="52083"/>
  <c r="G171" i="105"/>
  <c r="I171" i="105"/>
  <c r="J171" i="105"/>
  <c r="F95" i="115"/>
  <c r="B95" i="115"/>
  <c r="G149" i="52071"/>
  <c r="J149" i="52071"/>
  <c r="G90" i="101"/>
  <c r="J90" i="101"/>
  <c r="J141" i="52088"/>
  <c r="J149" i="105"/>
  <c r="G149" i="52083"/>
  <c r="K149" i="52083" s="1"/>
  <c r="G149" i="105"/>
  <c r="I149" i="105"/>
  <c r="G77" i="52090"/>
  <c r="J77" i="52090" s="1"/>
  <c r="L77" i="52090" s="1"/>
  <c r="F64" i="77"/>
  <c r="C70" i="77"/>
  <c r="G96" i="12"/>
  <c r="J96" i="12" s="1"/>
  <c r="F96" i="52076"/>
  <c r="C253" i="12"/>
  <c r="F149" i="20"/>
  <c r="F95" i="20"/>
  <c r="J180" i="115"/>
  <c r="G180" i="115"/>
  <c r="G77" i="115"/>
  <c r="L158" i="114"/>
  <c r="F150" i="20"/>
  <c r="F108" i="114"/>
  <c r="J108" i="114" s="1"/>
  <c r="J90" i="52088"/>
  <c r="G90" i="52088"/>
  <c r="G99" i="52071"/>
  <c r="J99" i="52071" s="1"/>
  <c r="F70" i="52071"/>
  <c r="F103" i="52071" s="1"/>
  <c r="G66" i="52071"/>
  <c r="J66" i="52071"/>
  <c r="C70" i="52087"/>
  <c r="C103" i="52087" s="1"/>
  <c r="G152" i="52067"/>
  <c r="J152" i="52067"/>
  <c r="F156" i="52087"/>
  <c r="F168" i="52087" s="1"/>
  <c r="F242" i="52087" s="1"/>
  <c r="C168" i="52087"/>
  <c r="G83" i="52083"/>
  <c r="G83" i="105"/>
  <c r="I83" i="105"/>
  <c r="F84" i="114"/>
  <c r="G84" i="114" s="1"/>
  <c r="F67" i="114"/>
  <c r="F122" i="52090"/>
  <c r="F114" i="77"/>
  <c r="J134" i="12"/>
  <c r="F134" i="52076"/>
  <c r="F114" i="114"/>
  <c r="C70" i="101"/>
  <c r="C103" i="101" s="1"/>
  <c r="G150" i="52087"/>
  <c r="J150" i="52087" s="1"/>
  <c r="G162" i="101"/>
  <c r="J162" i="101" s="1"/>
  <c r="G99" i="115"/>
  <c r="J99" i="115"/>
  <c r="G147" i="52071"/>
  <c r="J147" i="52071"/>
  <c r="G100" i="52071"/>
  <c r="J100" i="52071"/>
  <c r="G80" i="52071"/>
  <c r="J80" i="52071"/>
  <c r="G152" i="105"/>
  <c r="J152" i="105"/>
  <c r="G151" i="52083"/>
  <c r="K151" i="52083" s="1"/>
  <c r="I152" i="105"/>
  <c r="F108" i="77"/>
  <c r="J108" i="77" s="1"/>
  <c r="F160" i="12"/>
  <c r="F108" i="52076"/>
  <c r="J108" i="12"/>
  <c r="L108" i="12" s="1"/>
  <c r="F131" i="20"/>
  <c r="G143" i="20"/>
  <c r="G142" i="20"/>
  <c r="G141" i="20"/>
  <c r="G145" i="20"/>
  <c r="G144" i="20"/>
  <c r="C154" i="20"/>
  <c r="G146" i="20"/>
  <c r="F124" i="115"/>
  <c r="G150" i="114"/>
  <c r="G162" i="52071"/>
  <c r="J162" i="52071"/>
  <c r="G138" i="52071"/>
  <c r="J138" i="52071"/>
  <c r="G88" i="52067"/>
  <c r="J88" i="52067"/>
  <c r="G76" i="52067"/>
  <c r="J76" i="52067"/>
  <c r="G150" i="52088"/>
  <c r="J150" i="52088"/>
  <c r="G100" i="52087"/>
  <c r="J100" i="52087"/>
  <c r="I134" i="105"/>
  <c r="G134" i="105"/>
  <c r="J134" i="105"/>
  <c r="G134" i="52083"/>
  <c r="K134" i="52083" s="1"/>
  <c r="F105" i="52067"/>
  <c r="C116" i="52067"/>
  <c r="G82" i="101"/>
  <c r="J82" i="101" s="1"/>
  <c r="G100" i="52088"/>
  <c r="J100" i="52088" s="1"/>
  <c r="G163" i="105"/>
  <c r="J163" i="105"/>
  <c r="G162" i="52083"/>
  <c r="J158" i="105"/>
  <c r="G157" i="52083"/>
  <c r="K157" i="52083" s="1"/>
  <c r="G73" i="105"/>
  <c r="G73" i="52083"/>
  <c r="J73" i="52083" s="1"/>
  <c r="J73" i="105"/>
  <c r="I73" i="105"/>
  <c r="M73" i="52097"/>
  <c r="G152" i="114"/>
  <c r="J152" i="114"/>
  <c r="G109" i="114"/>
  <c r="J109" i="114"/>
  <c r="L109" i="114" s="1"/>
  <c r="F156" i="52067"/>
  <c r="C168" i="52067"/>
  <c r="J90" i="52067"/>
  <c r="G90" i="52067"/>
  <c r="G162" i="52088"/>
  <c r="J162" i="52088"/>
  <c r="G72" i="52088"/>
  <c r="J72" i="52088"/>
  <c r="F118" i="52067"/>
  <c r="G118" i="52083" s="1"/>
  <c r="C129" i="52067"/>
  <c r="J143" i="52088"/>
  <c r="I143" i="105"/>
  <c r="F105" i="105"/>
  <c r="C116" i="105"/>
  <c r="G148" i="52067"/>
  <c r="J148" i="52067"/>
  <c r="I80" i="52088"/>
  <c r="I72" i="52087"/>
  <c r="I73" i="52088"/>
  <c r="I85" i="52088"/>
  <c r="I143" i="52088"/>
  <c r="I158" i="52088"/>
  <c r="I86" i="52088"/>
  <c r="O161" i="111"/>
  <c r="P86" i="52097"/>
  <c r="J159" i="52083"/>
  <c r="I91" i="52098"/>
  <c r="K72" i="52082"/>
  <c r="I127" i="52074"/>
  <c r="K138" i="52082"/>
  <c r="P158" i="52097"/>
  <c r="K80" i="52082"/>
  <c r="J161" i="52083"/>
  <c r="I134" i="52074"/>
  <c r="J140" i="52083"/>
  <c r="K135" i="52082"/>
  <c r="K97" i="52082"/>
  <c r="J68" i="52083"/>
  <c r="I82" i="12"/>
  <c r="E82" i="52076"/>
  <c r="E137" i="52074"/>
  <c r="I137" i="52074" s="1"/>
  <c r="I137" i="20"/>
  <c r="L137" i="20" s="1"/>
  <c r="E74" i="52076"/>
  <c r="I74" i="12"/>
  <c r="L109" i="52090"/>
  <c r="I109" i="91"/>
  <c r="F109" i="52103"/>
  <c r="E116" i="148"/>
  <c r="I106" i="148"/>
  <c r="I118" i="91"/>
  <c r="E129" i="91"/>
  <c r="F118" i="52103"/>
  <c r="E120" i="52084"/>
  <c r="O80" i="111"/>
  <c r="I80" i="52094"/>
  <c r="L80" i="52094" s="1"/>
  <c r="E80" i="52077"/>
  <c r="I156" i="105"/>
  <c r="E168" i="105"/>
  <c r="E143" i="52077"/>
  <c r="I143" i="52094"/>
  <c r="E141" i="52076"/>
  <c r="I141" i="77"/>
  <c r="E147" i="52077"/>
  <c r="I147" i="52094"/>
  <c r="F138" i="52075"/>
  <c r="I138" i="52090"/>
  <c r="F135" i="52075"/>
  <c r="I135" i="52090"/>
  <c r="E83" i="52077"/>
  <c r="E70" i="77"/>
  <c r="I66" i="77"/>
  <c r="I96" i="12"/>
  <c r="E96" i="52076"/>
  <c r="O35" i="111"/>
  <c r="F35" i="233" s="1"/>
  <c r="I150" i="52095"/>
  <c r="O150" i="111"/>
  <c r="F150" i="52075"/>
  <c r="J150" i="52075" s="1"/>
  <c r="E64" i="52076"/>
  <c r="E70" i="12"/>
  <c r="E76" i="52077"/>
  <c r="I76" i="52094"/>
  <c r="E155" i="52077"/>
  <c r="I156" i="52094"/>
  <c r="E168" i="52094"/>
  <c r="I134" i="52094"/>
  <c r="E134" i="52077"/>
  <c r="E30" i="52095"/>
  <c r="F35" i="52095" s="1"/>
  <c r="F26" i="52075"/>
  <c r="O26" i="111"/>
  <c r="E105" i="52077"/>
  <c r="E116" i="52094"/>
  <c r="I67" i="91"/>
  <c r="I249" i="91" s="1"/>
  <c r="F67" i="52103"/>
  <c r="I148" i="52089"/>
  <c r="L148" i="52089" s="1"/>
  <c r="F148" i="52102"/>
  <c r="F113" i="52102"/>
  <c r="I113" i="52089"/>
  <c r="L113" i="52089" s="1"/>
  <c r="F84" i="52075"/>
  <c r="F41" i="52095"/>
  <c r="F41" i="52075"/>
  <c r="L182" i="52097"/>
  <c r="F181" i="52083"/>
  <c r="I182" i="105"/>
  <c r="G182" i="52082"/>
  <c r="I182" i="101"/>
  <c r="I113" i="52095"/>
  <c r="L113" i="52095" s="1"/>
  <c r="F113" i="52075"/>
  <c r="J113" i="52075" s="1"/>
  <c r="I165" i="52095"/>
  <c r="F164" i="52075"/>
  <c r="E112" i="52076"/>
  <c r="I112" i="12"/>
  <c r="E122" i="52076"/>
  <c r="I122" i="12"/>
  <c r="I138" i="12"/>
  <c r="E138" i="52076"/>
  <c r="I73" i="52090"/>
  <c r="I159" i="52081"/>
  <c r="I110" i="48"/>
  <c r="E110" i="52084"/>
  <c r="O14" i="111"/>
  <c r="I14" i="52080"/>
  <c r="I118" i="52080"/>
  <c r="E129" i="52080"/>
  <c r="E240" i="52080" s="1"/>
  <c r="F110" i="52102"/>
  <c r="I110" i="52089"/>
  <c r="E42" i="52084"/>
  <c r="F42" i="52081"/>
  <c r="I194" i="110"/>
  <c r="M194" i="110" s="1"/>
  <c r="I194" i="32"/>
  <c r="I8" i="52080"/>
  <c r="L8" i="52080" s="1"/>
  <c r="E21" i="52080"/>
  <c r="I110" i="21"/>
  <c r="E110" i="52098"/>
  <c r="I73" i="52081"/>
  <c r="G194" i="52082"/>
  <c r="K194" i="52082" s="1"/>
  <c r="L194" i="52097"/>
  <c r="P194" i="52097" s="1"/>
  <c r="I194" i="148"/>
  <c r="I174" i="48"/>
  <c r="E173" i="52084"/>
  <c r="I173" i="52084" s="1"/>
  <c r="E189" i="52077"/>
  <c r="I190" i="52094"/>
  <c r="I64" i="52080"/>
  <c r="E70" i="52080"/>
  <c r="I84" i="52080"/>
  <c r="I123" i="52080"/>
  <c r="G123" i="52080"/>
  <c r="I173" i="52080"/>
  <c r="I110" i="52090"/>
  <c r="L110" i="52090" s="1"/>
  <c r="E9" i="52076"/>
  <c r="I9" i="12"/>
  <c r="L8" i="52097"/>
  <c r="I8" i="52079"/>
  <c r="E21" i="52079"/>
  <c r="E18" i="52084"/>
  <c r="I18" i="52084" s="1"/>
  <c r="I18" i="52081"/>
  <c r="I97" i="52081"/>
  <c r="I131" i="91"/>
  <c r="F131" i="52103"/>
  <c r="E154" i="91"/>
  <c r="E154" i="52080"/>
  <c r="F147" i="52075"/>
  <c r="I147" i="52080"/>
  <c r="E185" i="52080"/>
  <c r="I170" i="52080"/>
  <c r="I163" i="20"/>
  <c r="E162" i="52074"/>
  <c r="F65" i="52083"/>
  <c r="J65" i="52083" s="1"/>
  <c r="I65" i="52079"/>
  <c r="E78" i="52084"/>
  <c r="I95" i="110"/>
  <c r="I118" i="52081"/>
  <c r="E129" i="52081"/>
  <c r="E156" i="52084"/>
  <c r="I156" i="52084" s="1"/>
  <c r="I157" i="52081"/>
  <c r="E154" i="32"/>
  <c r="I131" i="110"/>
  <c r="I131" i="52066"/>
  <c r="E154" i="52066"/>
  <c r="O173" i="111"/>
  <c r="F172" i="52075"/>
  <c r="F23" i="52075"/>
  <c r="E30" i="52080"/>
  <c r="I105" i="52080"/>
  <c r="E116" i="52080"/>
  <c r="I110" i="52092"/>
  <c r="E28" i="52084"/>
  <c r="E251" i="52084" s="1"/>
  <c r="K251" i="52084" s="1"/>
  <c r="E253" i="52081"/>
  <c r="E101" i="52084"/>
  <c r="I101" i="52084" s="1"/>
  <c r="I101" i="52081"/>
  <c r="I142" i="52081"/>
  <c r="I171" i="110"/>
  <c r="I171" i="52081"/>
  <c r="G110" i="52082"/>
  <c r="I110" i="148"/>
  <c r="L110" i="52097"/>
  <c r="I190" i="32"/>
  <c r="I190" i="110"/>
  <c r="M190" i="110" s="1"/>
  <c r="E154" i="48"/>
  <c r="I131" i="48"/>
  <c r="E131" i="52084"/>
  <c r="I173" i="52094"/>
  <c r="E172" i="52077"/>
  <c r="F42" i="52080"/>
  <c r="E110" i="52074"/>
  <c r="I110" i="115"/>
  <c r="F110" i="52104"/>
  <c r="I105" i="52079"/>
  <c r="E116" i="52079"/>
  <c r="F134" i="52083"/>
  <c r="J134" i="52083" s="1"/>
  <c r="I134" i="52079"/>
  <c r="F138" i="52083"/>
  <c r="I138" i="52079"/>
  <c r="F142" i="52083"/>
  <c r="J142" i="52083" s="1"/>
  <c r="I142" i="52079"/>
  <c r="E21" i="52093"/>
  <c r="I9" i="52093"/>
  <c r="F42" i="91"/>
  <c r="F42" i="52103"/>
  <c r="D191" i="9"/>
  <c r="I191" i="21"/>
  <c r="E190" i="52098"/>
  <c r="I190" i="52098" s="1"/>
  <c r="I189" i="52064"/>
  <c r="D189" i="9"/>
  <c r="I193" i="52064"/>
  <c r="D193" i="9"/>
  <c r="G94" i="52082"/>
  <c r="I94" i="52087"/>
  <c r="F75" i="52083"/>
  <c r="J75" i="52083" s="1"/>
  <c r="I75" i="105"/>
  <c r="E103" i="105"/>
  <c r="E201" i="52087"/>
  <c r="I194" i="52087"/>
  <c r="I101" i="148"/>
  <c r="G101" i="52082"/>
  <c r="K101" i="52082" s="1"/>
  <c r="L101" i="52097"/>
  <c r="D78" i="9"/>
  <c r="I78" i="52064"/>
  <c r="G139" i="52082"/>
  <c r="K139" i="52082" s="1"/>
  <c r="I139" i="52087"/>
  <c r="I197" i="148"/>
  <c r="L197" i="52097"/>
  <c r="P197" i="52097" s="1"/>
  <c r="G197" i="52082"/>
  <c r="K197" i="52082" s="1"/>
  <c r="I137" i="48"/>
  <c r="E137" i="52084"/>
  <c r="I137" i="52084" s="1"/>
  <c r="I126" i="52095"/>
  <c r="O126" i="111"/>
  <c r="S126" i="111" s="1"/>
  <c r="F126" i="52075"/>
  <c r="J126" i="52075" s="1"/>
  <c r="I81" i="12"/>
  <c r="E81" i="52076"/>
  <c r="J81" i="52076" s="1"/>
  <c r="I8" i="52095"/>
  <c r="L8" i="52095" s="1"/>
  <c r="F8" i="52075"/>
  <c r="O8" i="111"/>
  <c r="E21" i="52095"/>
  <c r="H83" i="93"/>
  <c r="E94" i="93"/>
  <c r="H94" i="93" s="1"/>
  <c r="E192" i="52077"/>
  <c r="J192" i="52077" s="1"/>
  <c r="I193" i="52094"/>
  <c r="I19" i="20"/>
  <c r="E19" i="52074"/>
  <c r="I19" i="52074" s="1"/>
  <c r="I94" i="52095"/>
  <c r="F94" i="52075"/>
  <c r="O94" i="111"/>
  <c r="I125" i="48"/>
  <c r="E125" i="52084"/>
  <c r="E16" i="52076"/>
  <c r="J16" i="52076" s="1"/>
  <c r="I16" i="12"/>
  <c r="I187" i="52088"/>
  <c r="E201" i="52088"/>
  <c r="I18" i="105"/>
  <c r="F18" i="52083"/>
  <c r="J18" i="52083" s="1"/>
  <c r="F182" i="52083"/>
  <c r="J182" i="52083" s="1"/>
  <c r="I183" i="105"/>
  <c r="I72" i="110"/>
  <c r="I126" i="110"/>
  <c r="I126" i="32"/>
  <c r="I8" i="32"/>
  <c r="L8" i="32" s="1"/>
  <c r="E21" i="32"/>
  <c r="I8" i="110"/>
  <c r="I157" i="52067"/>
  <c r="E168" i="52067"/>
  <c r="F196" i="52103"/>
  <c r="I197" i="91"/>
  <c r="I137" i="32"/>
  <c r="I137" i="110"/>
  <c r="M137" i="110" s="1"/>
  <c r="I124" i="48"/>
  <c r="E124" i="52084"/>
  <c r="I136" i="52091"/>
  <c r="F97" i="52102"/>
  <c r="E187" i="52076"/>
  <c r="J187" i="52076" s="1"/>
  <c r="I188" i="12"/>
  <c r="I13" i="52094"/>
  <c r="E13" i="52077"/>
  <c r="J13" i="52077" s="1"/>
  <c r="L183" i="52090"/>
  <c r="E195" i="52074"/>
  <c r="I195" i="52074" s="1"/>
  <c r="I196" i="20"/>
  <c r="I174" i="12"/>
  <c r="E173" i="52076"/>
  <c r="J173" i="52076" s="1"/>
  <c r="I8" i="108"/>
  <c r="E21" i="108"/>
  <c r="I80" i="48"/>
  <c r="E80" i="52084"/>
  <c r="I126" i="91"/>
  <c r="F126" i="52103"/>
  <c r="I198" i="52095"/>
  <c r="O198" i="111"/>
  <c r="F197" i="52075"/>
  <c r="J197" i="52075" s="1"/>
  <c r="F16" i="52102"/>
  <c r="J16" i="52102" s="1"/>
  <c r="I16" i="52089"/>
  <c r="I113" i="52094"/>
  <c r="L113" i="52094" s="1"/>
  <c r="E113" i="52077"/>
  <c r="G176" i="52082"/>
  <c r="K176" i="52082" s="1"/>
  <c r="I176" i="148"/>
  <c r="L176" i="52097"/>
  <c r="P176" i="52097" s="1"/>
  <c r="E140" i="52076"/>
  <c r="J140" i="52076" s="1"/>
  <c r="I140" i="12"/>
  <c r="F124" i="52102"/>
  <c r="J124" i="52102" s="1"/>
  <c r="I124" i="52089"/>
  <c r="L124" i="52089" s="1"/>
  <c r="E70" i="52072"/>
  <c r="I91" i="48"/>
  <c r="E91" i="52084"/>
  <c r="I91" i="52084" s="1"/>
  <c r="G123" i="52082"/>
  <c r="K123" i="52082" s="1"/>
  <c r="I123" i="148"/>
  <c r="L123" i="52097"/>
  <c r="P123" i="52097" s="1"/>
  <c r="I78" i="48"/>
  <c r="E174" i="52098"/>
  <c r="I174" i="52098" s="1"/>
  <c r="I175" i="21"/>
  <c r="I173" i="21"/>
  <c r="E172" i="52098"/>
  <c r="I172" i="52098" s="1"/>
  <c r="D177" i="9"/>
  <c r="I177" i="52064"/>
  <c r="D166" i="9"/>
  <c r="I166" i="52064"/>
  <c r="I75" i="148"/>
  <c r="G75" i="52082"/>
  <c r="K75" i="52082" s="1"/>
  <c r="L75" i="52097"/>
  <c r="P75" i="52097" s="1"/>
  <c r="D183" i="9"/>
  <c r="H183" i="9" s="1"/>
  <c r="I183" i="52064"/>
  <c r="I19" i="110"/>
  <c r="M19" i="110" s="1"/>
  <c r="I19" i="32"/>
  <c r="I172" i="48"/>
  <c r="E171" i="52084"/>
  <c r="I171" i="52084" s="1"/>
  <c r="I12" i="52094"/>
  <c r="E12" i="52077"/>
  <c r="J12" i="52077" s="1"/>
  <c r="F158" i="52102"/>
  <c r="I159" i="52089"/>
  <c r="L159" i="52089" s="1"/>
  <c r="F92" i="52102"/>
  <c r="J92" i="52102" s="1"/>
  <c r="I92" i="52089"/>
  <c r="I74" i="21"/>
  <c r="E74" i="52098"/>
  <c r="I74" i="52098" s="1"/>
  <c r="I193" i="32"/>
  <c r="I193" i="110"/>
  <c r="F18" i="52103"/>
  <c r="J18" i="52103" s="1"/>
  <c r="I18" i="91"/>
  <c r="I14" i="52094"/>
  <c r="E14" i="52077"/>
  <c r="I199" i="20"/>
  <c r="E198" i="52074"/>
  <c r="I198" i="52074" s="1"/>
  <c r="I135" i="52094"/>
  <c r="E135" i="52077"/>
  <c r="J135" i="52077" s="1"/>
  <c r="I12" i="52095"/>
  <c r="O12" i="111"/>
  <c r="S12" i="111" s="1"/>
  <c r="F12" i="52075"/>
  <c r="J12" i="52075" s="1"/>
  <c r="I107" i="52094"/>
  <c r="E107" i="52077"/>
  <c r="J107" i="52077" s="1"/>
  <c r="I191" i="105"/>
  <c r="F190" i="52083"/>
  <c r="J190" i="52083" s="1"/>
  <c r="G37" i="52082"/>
  <c r="L37" i="52097"/>
  <c r="I199" i="148"/>
  <c r="G199" i="52082"/>
  <c r="K199" i="52082" s="1"/>
  <c r="L199" i="52097"/>
  <c r="P199" i="52097" s="1"/>
  <c r="E124" i="52077"/>
  <c r="I124" i="52094"/>
  <c r="I183" i="52095"/>
  <c r="O183" i="111"/>
  <c r="I10" i="48"/>
  <c r="E10" i="52084"/>
  <c r="I10" i="52084" s="1"/>
  <c r="I8" i="52064"/>
  <c r="D8" i="9"/>
  <c r="E21" i="52064"/>
  <c r="E140" i="52077"/>
  <c r="I140" i="52094"/>
  <c r="I140" i="52091"/>
  <c r="E49" i="52076"/>
  <c r="I49" i="12"/>
  <c r="I133" i="91"/>
  <c r="F133" i="52103"/>
  <c r="I175" i="48"/>
  <c r="E174" i="52084"/>
  <c r="I174" i="52084" s="1"/>
  <c r="I92" i="91"/>
  <c r="L92" i="91" s="1"/>
  <c r="F92" i="52103"/>
  <c r="J92" i="52103" s="1"/>
  <c r="F162" i="52102"/>
  <c r="I163" i="52089"/>
  <c r="F92" i="52104"/>
  <c r="J92" i="52104" s="1"/>
  <c r="I92" i="115"/>
  <c r="L92" i="115" s="1"/>
  <c r="I49" i="20"/>
  <c r="E49" i="52074"/>
  <c r="I49" i="52074" s="1"/>
  <c r="I139" i="21"/>
  <c r="E139" i="52098"/>
  <c r="I139" i="52098" s="1"/>
  <c r="F137" i="52102"/>
  <c r="J137" i="52102" s="1"/>
  <c r="I137" i="52089"/>
  <c r="L137" i="52089" s="1"/>
  <c r="E17" i="52076"/>
  <c r="J17" i="52076" s="1"/>
  <c r="I17" i="12"/>
  <c r="E140" i="52084"/>
  <c r="I140" i="48"/>
  <c r="I123" i="52094"/>
  <c r="E123" i="52077"/>
  <c r="I14" i="52095"/>
  <c r="F14" i="52075"/>
  <c r="J14" i="52075" s="1"/>
  <c r="L126" i="52090"/>
  <c r="I81" i="20"/>
  <c r="E81" i="52074"/>
  <c r="I81" i="52074" s="1"/>
  <c r="I195" i="12"/>
  <c r="E194" i="52076"/>
  <c r="J194" i="52076" s="1"/>
  <c r="F14" i="52104"/>
  <c r="I14" i="115"/>
  <c r="L178" i="114"/>
  <c r="E25" i="52077"/>
  <c r="I174" i="52089"/>
  <c r="F173" i="52102"/>
  <c r="J173" i="52102" s="1"/>
  <c r="F81" i="52102"/>
  <c r="I81" i="52089"/>
  <c r="I188" i="21"/>
  <c r="E187" i="52098"/>
  <c r="I187" i="52098" s="1"/>
  <c r="G174" i="52082"/>
  <c r="K174" i="52082" s="1"/>
  <c r="L174" i="52097"/>
  <c r="P174" i="52097" s="1"/>
  <c r="I174" i="148"/>
  <c r="E107" i="52076"/>
  <c r="J107" i="52076" s="1"/>
  <c r="I107" i="12"/>
  <c r="E101" i="52074"/>
  <c r="I101" i="52074" s="1"/>
  <c r="I101" i="20"/>
  <c r="I75" i="48"/>
  <c r="E75" i="52084"/>
  <c r="I75" i="52084" s="1"/>
  <c r="I139" i="12"/>
  <c r="E139" i="52076"/>
  <c r="J139" i="52076" s="1"/>
  <c r="I76" i="52092"/>
  <c r="F191" i="52104"/>
  <c r="I192" i="115"/>
  <c r="F146" i="52104"/>
  <c r="J146" i="52104" s="1"/>
  <c r="I146" i="115"/>
  <c r="F188" i="52083"/>
  <c r="J188" i="52083" s="1"/>
  <c r="I189" i="105"/>
  <c r="E162" i="52076"/>
  <c r="I163" i="12"/>
  <c r="I101" i="115"/>
  <c r="F101" i="52104"/>
  <c r="J101" i="52104" s="1"/>
  <c r="I195" i="115"/>
  <c r="F194" i="52104"/>
  <c r="I74" i="110"/>
  <c r="I67" i="52072"/>
  <c r="I249" i="52072" s="1"/>
  <c r="G88" i="91"/>
  <c r="F88" i="52103"/>
  <c r="F36" i="91"/>
  <c r="F36" i="52103"/>
  <c r="F35" i="52102"/>
  <c r="I73" i="52064"/>
  <c r="D73" i="9"/>
  <c r="H73" i="9" s="1"/>
  <c r="I84" i="48"/>
  <c r="E84" i="52084"/>
  <c r="I84" i="52084" s="1"/>
  <c r="I25" i="110"/>
  <c r="I14" i="105"/>
  <c r="F14" i="52083"/>
  <c r="J14" i="52083" s="1"/>
  <c r="I87" i="105"/>
  <c r="F87" i="52083"/>
  <c r="J87" i="52083" s="1"/>
  <c r="I140" i="52064"/>
  <c r="D140" i="9"/>
  <c r="H140" i="9" s="1"/>
  <c r="E201" i="108"/>
  <c r="I187" i="108"/>
  <c r="F186" i="52075"/>
  <c r="I187" i="52095"/>
  <c r="O187" i="111"/>
  <c r="I13" i="52089"/>
  <c r="F13" i="52102"/>
  <c r="J13" i="52102" s="1"/>
  <c r="M13" i="52102" s="1"/>
  <c r="I124" i="20"/>
  <c r="E124" i="52074"/>
  <c r="F81" i="52103"/>
  <c r="J81" i="52103" s="1"/>
  <c r="I81" i="91"/>
  <c r="F139" i="52103"/>
  <c r="J139" i="52103" s="1"/>
  <c r="I139" i="91"/>
  <c r="F107" i="52103"/>
  <c r="J107" i="52103" s="1"/>
  <c r="I107" i="91"/>
  <c r="E174" i="52077"/>
  <c r="J174" i="52077" s="1"/>
  <c r="I175" i="52094"/>
  <c r="I97" i="52094"/>
  <c r="E97" i="52077"/>
  <c r="I196" i="12"/>
  <c r="E195" i="52076"/>
  <c r="J195" i="52076" s="1"/>
  <c r="I17" i="110"/>
  <c r="M17" i="110" s="1"/>
  <c r="I17" i="32"/>
  <c r="I192" i="52094"/>
  <c r="E191" i="52077"/>
  <c r="J191" i="52077" s="1"/>
  <c r="I172" i="20"/>
  <c r="E171" i="52074"/>
  <c r="I171" i="52074" s="1"/>
  <c r="F137" i="52104"/>
  <c r="I137" i="115"/>
  <c r="L137" i="115" s="1"/>
  <c r="I136" i="105"/>
  <c r="F136" i="52083"/>
  <c r="J136" i="52083" s="1"/>
  <c r="I187" i="52064"/>
  <c r="D187" i="9"/>
  <c r="E201" i="52064"/>
  <c r="E30" i="21"/>
  <c r="E44" i="21" s="1"/>
  <c r="E23" i="52098"/>
  <c r="I178" i="32"/>
  <c r="I178" i="110"/>
  <c r="I197" i="52095"/>
  <c r="L197" i="52095" s="1"/>
  <c r="F196" i="52075"/>
  <c r="J196" i="52075" s="1"/>
  <c r="O197" i="111"/>
  <c r="I157" i="52093"/>
  <c r="E75" i="52074"/>
  <c r="I75" i="52074" s="1"/>
  <c r="I75" i="20"/>
  <c r="I18" i="21"/>
  <c r="E18" i="52098"/>
  <c r="I18" i="52098" s="1"/>
  <c r="I197" i="32"/>
  <c r="I197" i="110"/>
  <c r="E94" i="52084"/>
  <c r="I165" i="52066"/>
  <c r="E30" i="52066"/>
  <c r="I40" i="110"/>
  <c r="I75" i="12"/>
  <c r="E75" i="52076"/>
  <c r="J75" i="52076" s="1"/>
  <c r="D198" i="9"/>
  <c r="I198" i="52064"/>
  <c r="I18" i="52094"/>
  <c r="E18" i="52077"/>
  <c r="J18" i="52077" s="1"/>
  <c r="I8" i="52071"/>
  <c r="E21" i="52071"/>
  <c r="I94" i="110"/>
  <c r="I189" i="32"/>
  <c r="I189" i="110"/>
  <c r="M189" i="110" s="1"/>
  <c r="E162" i="52098"/>
  <c r="I163" i="21"/>
  <c r="I126" i="12"/>
  <c r="E126" i="52076"/>
  <c r="J126" i="52076" s="1"/>
  <c r="I16" i="20"/>
  <c r="E16" i="52074"/>
  <c r="I16" i="52074" s="1"/>
  <c r="I12" i="148"/>
  <c r="L12" i="52097"/>
  <c r="P12" i="52097" s="1"/>
  <c r="G12" i="52082"/>
  <c r="K12" i="52082" s="1"/>
  <c r="D178" i="9"/>
  <c r="I178" i="52064"/>
  <c r="E174" i="52074"/>
  <c r="I174" i="52074" s="1"/>
  <c r="I175" i="20"/>
  <c r="E197" i="52077"/>
  <c r="J197" i="52077" s="1"/>
  <c r="I198" i="52094"/>
  <c r="I189" i="52089"/>
  <c r="F188" i="52102"/>
  <c r="J188" i="52102" s="1"/>
  <c r="I94" i="115"/>
  <c r="F94" i="52104"/>
  <c r="J94" i="52104" s="1"/>
  <c r="I19" i="12"/>
  <c r="E19" i="52076"/>
  <c r="J19" i="52076" s="1"/>
  <c r="I10" i="115"/>
  <c r="F10" i="52104"/>
  <c r="I8" i="148"/>
  <c r="E21" i="148"/>
  <c r="G8" i="52082"/>
  <c r="I93" i="20"/>
  <c r="E93" i="52074"/>
  <c r="I93" i="52074" s="1"/>
  <c r="I198" i="105"/>
  <c r="F197" i="52083"/>
  <c r="J197" i="52083" s="1"/>
  <c r="G88" i="52066"/>
  <c r="I17" i="115"/>
  <c r="F17" i="52104"/>
  <c r="J17" i="52104" s="1"/>
  <c r="M17" i="52104" s="1"/>
  <c r="E15" i="52076"/>
  <c r="J15" i="52076" s="1"/>
  <c r="I15" i="12"/>
  <c r="D170" i="9"/>
  <c r="I170" i="52064"/>
  <c r="E185" i="52064"/>
  <c r="F194" i="52102"/>
  <c r="J194" i="52102" s="1"/>
  <c r="I195" i="52089"/>
  <c r="L195" i="52089" s="1"/>
  <c r="F197" i="52104"/>
  <c r="I198" i="115"/>
  <c r="F173" i="52104"/>
  <c r="J173" i="52104" s="1"/>
  <c r="I174" i="115"/>
  <c r="I144" i="52064"/>
  <c r="D144" i="9"/>
  <c r="H144" i="9" s="1"/>
  <c r="I80" i="91"/>
  <c r="F80" i="52103"/>
  <c r="I133" i="52095"/>
  <c r="F133" i="52075"/>
  <c r="J133" i="52075" s="1"/>
  <c r="O133" i="111"/>
  <c r="S133" i="111" s="1"/>
  <c r="I78" i="52094"/>
  <c r="E78" i="52077"/>
  <c r="I175" i="12"/>
  <c r="E174" i="52076"/>
  <c r="J174" i="52076" s="1"/>
  <c r="I192" i="52064"/>
  <c r="D192" i="9"/>
  <c r="I80" i="12"/>
  <c r="E80" i="52076"/>
  <c r="J80" i="52076" s="1"/>
  <c r="I98" i="115"/>
  <c r="F98" i="52104"/>
  <c r="J98" i="52104" s="1"/>
  <c r="D171" i="9"/>
  <c r="I171" i="52064"/>
  <c r="I96" i="32"/>
  <c r="I96" i="110"/>
  <c r="I76" i="52089"/>
  <c r="L76" i="52089" s="1"/>
  <c r="F76" i="52102"/>
  <c r="E83" i="52084"/>
  <c r="I83" i="48"/>
  <c r="I73" i="32"/>
  <c r="I73" i="110"/>
  <c r="F85" i="52102"/>
  <c r="F109" i="52083"/>
  <c r="J109" i="52083" s="1"/>
  <c r="I109" i="108"/>
  <c r="I68" i="52091"/>
  <c r="L68" i="52091" s="1"/>
  <c r="E120" i="93"/>
  <c r="E70" i="32"/>
  <c r="I64" i="110"/>
  <c r="I90" i="52072"/>
  <c r="D135" i="9"/>
  <c r="H135" i="9" s="1"/>
  <c r="I135" i="52064"/>
  <c r="G196" i="52082"/>
  <c r="K196" i="52082" s="1"/>
  <c r="I196" i="148"/>
  <c r="L196" i="52097"/>
  <c r="P196" i="52097" s="1"/>
  <c r="D136" i="9"/>
  <c r="I136" i="52064"/>
  <c r="I193" i="52095"/>
  <c r="F192" i="52075"/>
  <c r="J192" i="52075" s="1"/>
  <c r="O193" i="111"/>
  <c r="S193" i="111" s="1"/>
  <c r="I93" i="52095"/>
  <c r="F93" i="52075"/>
  <c r="J93" i="52075" s="1"/>
  <c r="O93" i="111"/>
  <c r="F156" i="52103"/>
  <c r="I157" i="91"/>
  <c r="L157" i="91" s="1"/>
  <c r="I181" i="32"/>
  <c r="I181" i="110"/>
  <c r="M181" i="110" s="1"/>
  <c r="I157" i="52090"/>
  <c r="E101" i="52098"/>
  <c r="I101" i="52098" s="1"/>
  <c r="I101" i="21"/>
  <c r="I192" i="48"/>
  <c r="E191" i="52084"/>
  <c r="I191" i="52084" s="1"/>
  <c r="E19" i="52077"/>
  <c r="J19" i="52077" s="1"/>
  <c r="I19" i="52094"/>
  <c r="E101" i="52076"/>
  <c r="J101" i="52076" s="1"/>
  <c r="I101" i="12"/>
  <c r="I140" i="148"/>
  <c r="G140" i="52082"/>
  <c r="K140" i="52082" s="1"/>
  <c r="F173" i="52083"/>
  <c r="J173" i="52083" s="1"/>
  <c r="I174" i="105"/>
  <c r="E169" i="52098"/>
  <c r="I169" i="52098" s="1"/>
  <c r="E185" i="21"/>
  <c r="I170" i="21"/>
  <c r="I93" i="32"/>
  <c r="I93" i="110"/>
  <c r="M93" i="110" s="1"/>
  <c r="I92" i="48"/>
  <c r="E92" i="52084"/>
  <c r="I92" i="52084" s="1"/>
  <c r="I8" i="52092"/>
  <c r="L8" i="52092" s="1"/>
  <c r="E21" i="52092"/>
  <c r="I123" i="21"/>
  <c r="E123" i="52098"/>
  <c r="I123" i="52098" s="1"/>
  <c r="F182" i="52103"/>
  <c r="I183" i="91"/>
  <c r="I143" i="52072"/>
  <c r="I49" i="52095"/>
  <c r="F49" i="52075"/>
  <c r="O49" i="111"/>
  <c r="F144" i="52102"/>
  <c r="I144" i="52089"/>
  <c r="I13" i="21"/>
  <c r="E13" i="52098"/>
  <c r="I13" i="52098" s="1"/>
  <c r="F174" i="52103"/>
  <c r="J174" i="52103" s="1"/>
  <c r="I175" i="91"/>
  <c r="I191" i="91"/>
  <c r="F190" i="52103"/>
  <c r="I196" i="52094"/>
  <c r="E195" i="52077"/>
  <c r="J195" i="52077" s="1"/>
  <c r="I10" i="52094"/>
  <c r="E10" i="52077"/>
  <c r="J10" i="52077" s="1"/>
  <c r="I170" i="52090"/>
  <c r="E185" i="52090"/>
  <c r="I173" i="115"/>
  <c r="E172" i="52074"/>
  <c r="F172" i="52104"/>
  <c r="F17" i="52102"/>
  <c r="J17" i="52102" s="1"/>
  <c r="I17" i="52089"/>
  <c r="I12" i="105"/>
  <c r="F12" i="52083"/>
  <c r="J12" i="52083" s="1"/>
  <c r="I49" i="110"/>
  <c r="I16" i="48"/>
  <c r="E16" i="52084"/>
  <c r="I16" i="52084" s="1"/>
  <c r="I193" i="52089"/>
  <c r="F192" i="52102"/>
  <c r="D196" i="9"/>
  <c r="I196" i="52064"/>
  <c r="E197" i="52074"/>
  <c r="I197" i="52074" s="1"/>
  <c r="I198" i="20"/>
  <c r="L181" i="52090"/>
  <c r="E133" i="52074"/>
  <c r="I133" i="52074" s="1"/>
  <c r="I133" i="20"/>
  <c r="E154" i="20"/>
  <c r="G171" i="52082"/>
  <c r="K171" i="52082" s="1"/>
  <c r="I171" i="148"/>
  <c r="L171" i="52097"/>
  <c r="I111" i="52064"/>
  <c r="D111" i="9"/>
  <c r="I182" i="114"/>
  <c r="F181" i="52075"/>
  <c r="J181" i="52075" s="1"/>
  <c r="I189" i="48"/>
  <c r="E188" i="52084"/>
  <c r="I188" i="52084" s="1"/>
  <c r="I8" i="52066"/>
  <c r="L8" i="52066" s="1"/>
  <c r="E21" i="52066"/>
  <c r="I8" i="77"/>
  <c r="L8" i="77" s="1"/>
  <c r="E21" i="77"/>
  <c r="F81" i="52104"/>
  <c r="J81" i="52104" s="1"/>
  <c r="I81" i="115"/>
  <c r="I176" i="52064"/>
  <c r="D176" i="9"/>
  <c r="E72" i="52077"/>
  <c r="I72" i="52094"/>
  <c r="E98" i="52076"/>
  <c r="J98" i="52076" s="1"/>
  <c r="I98" i="12"/>
  <c r="I36" i="110"/>
  <c r="I111" i="110"/>
  <c r="I79" i="32"/>
  <c r="I79" i="110"/>
  <c r="M79" i="110" s="1"/>
  <c r="F42" i="32"/>
  <c r="I42" i="110"/>
  <c r="F42" i="233" s="1"/>
  <c r="I137" i="105"/>
  <c r="F137" i="52083"/>
  <c r="J137" i="52083" s="1"/>
  <c r="I79" i="48"/>
  <c r="E79" i="52084"/>
  <c r="I79" i="52084" s="1"/>
  <c r="E30" i="32"/>
  <c r="F36" i="32" s="1"/>
  <c r="I106" i="52089"/>
  <c r="F106" i="52102"/>
  <c r="I64" i="48"/>
  <c r="E70" i="48"/>
  <c r="E64" i="52084"/>
  <c r="I91" i="32"/>
  <c r="I108" i="52092"/>
  <c r="F109" i="52102"/>
  <c r="F25" i="52083"/>
  <c r="I161" i="52093"/>
  <c r="F91" i="52083"/>
  <c r="I91" i="108"/>
  <c r="I68" i="91"/>
  <c r="F68" i="52103"/>
  <c r="I105" i="52091"/>
  <c r="E116" i="52091"/>
  <c r="I108" i="48"/>
  <c r="E108" i="52084"/>
  <c r="I108" i="52084" s="1"/>
  <c r="E105" i="52084"/>
  <c r="E116" i="48"/>
  <c r="L111" i="52066"/>
  <c r="I86" i="110"/>
  <c r="F41" i="52102"/>
  <c r="F41" i="52089"/>
  <c r="D68" i="9"/>
  <c r="H68" i="9" s="1"/>
  <c r="I68" i="52064"/>
  <c r="F26" i="52083"/>
  <c r="G147" i="52082"/>
  <c r="K147" i="52082" s="1"/>
  <c r="I147" i="148"/>
  <c r="L147" i="52097"/>
  <c r="P147" i="52097" s="1"/>
  <c r="I152" i="52064"/>
  <c r="D152" i="9"/>
  <c r="H152" i="9" s="1"/>
  <c r="I141" i="52066"/>
  <c r="F145" i="52102"/>
  <c r="I145" i="52089"/>
  <c r="I97" i="52066"/>
  <c r="I122" i="91"/>
  <c r="L122" i="91" s="1"/>
  <c r="F122" i="52103"/>
  <c r="J122" i="52103" s="1"/>
  <c r="I143" i="52092"/>
  <c r="I158" i="52089"/>
  <c r="F157" i="52102"/>
  <c r="F99" i="52102"/>
  <c r="I99" i="52089"/>
  <c r="H133" i="93"/>
  <c r="E152" i="93"/>
  <c r="I120" i="52092"/>
  <c r="L120" i="52092" s="1"/>
  <c r="I11" i="148"/>
  <c r="G11" i="52082"/>
  <c r="K11" i="52082" s="1"/>
  <c r="L11" i="52097"/>
  <c r="P11" i="52097" s="1"/>
  <c r="I119" i="108"/>
  <c r="F119" i="52083"/>
  <c r="I112" i="48"/>
  <c r="E112" i="52084"/>
  <c r="I113" i="48"/>
  <c r="E113" i="52084"/>
  <c r="I113" i="52084" s="1"/>
  <c r="I180" i="52093"/>
  <c r="E11" i="52077"/>
  <c r="I11" i="52094"/>
  <c r="I152" i="52091"/>
  <c r="D86" i="9"/>
  <c r="I86" i="52064"/>
  <c r="D106" i="9"/>
  <c r="I106" i="52064"/>
  <c r="E27" i="52084"/>
  <c r="I76" i="110"/>
  <c r="I76" i="32"/>
  <c r="L76" i="32" s="1"/>
  <c r="I73" i="52089"/>
  <c r="F73" i="52102"/>
  <c r="I108" i="52064"/>
  <c r="D108" i="9"/>
  <c r="F86" i="52102"/>
  <c r="I158" i="52064"/>
  <c r="D158" i="9"/>
  <c r="I149" i="148"/>
  <c r="G149" i="52082"/>
  <c r="K149" i="52082" s="1"/>
  <c r="L149" i="52097"/>
  <c r="P149" i="52097" s="1"/>
  <c r="I134" i="52064"/>
  <c r="D134" i="9"/>
  <c r="I127" i="52064"/>
  <c r="D127" i="9"/>
  <c r="H127" i="9" s="1"/>
  <c r="I141" i="52064"/>
  <c r="D141" i="9"/>
  <c r="E149" i="52098"/>
  <c r="I149" i="21"/>
  <c r="I145" i="32"/>
  <c r="I145" i="110"/>
  <c r="I97" i="32"/>
  <c r="I97" i="110"/>
  <c r="I118" i="52066"/>
  <c r="E129" i="52066"/>
  <c r="I132" i="91"/>
  <c r="F132" i="52103"/>
  <c r="F145" i="52103"/>
  <c r="I145" i="91"/>
  <c r="I150" i="52091"/>
  <c r="I149" i="91"/>
  <c r="F149" i="52103"/>
  <c r="I120" i="32"/>
  <c r="I120" i="110"/>
  <c r="I142" i="52092"/>
  <c r="I134" i="91"/>
  <c r="F134" i="52103"/>
  <c r="J134" i="52103" s="1"/>
  <c r="D118" i="9"/>
  <c r="E129" i="52064"/>
  <c r="I75" i="52072"/>
  <c r="I135" i="48"/>
  <c r="E135" i="52084"/>
  <c r="I135" i="52084" s="1"/>
  <c r="E154" i="52079"/>
  <c r="I114" i="48"/>
  <c r="E114" i="52084"/>
  <c r="I114" i="52084" s="1"/>
  <c r="I72" i="108"/>
  <c r="F72" i="52083"/>
  <c r="J72" i="52083" s="1"/>
  <c r="I105" i="52093"/>
  <c r="E116" i="52093"/>
  <c r="F82" i="52102"/>
  <c r="I78" i="32"/>
  <c r="I78" i="110"/>
  <c r="I105" i="110"/>
  <c r="E116" i="32"/>
  <c r="E253" i="52092"/>
  <c r="I77" i="21"/>
  <c r="E77" i="52098"/>
  <c r="I74" i="48"/>
  <c r="E74" i="52084"/>
  <c r="E36" i="52084"/>
  <c r="I26" i="110"/>
  <c r="F77" i="52102"/>
  <c r="I77" i="52089"/>
  <c r="I96" i="52064"/>
  <c r="D96" i="9"/>
  <c r="F108" i="52102"/>
  <c r="I108" i="52089"/>
  <c r="L108" i="52089" s="1"/>
  <c r="D112" i="9"/>
  <c r="I112" i="52064"/>
  <c r="I143" i="148"/>
  <c r="L143" i="52097"/>
  <c r="E129" i="52089"/>
  <c r="F118" i="52102"/>
  <c r="E143" i="52084"/>
  <c r="E157" i="52098"/>
  <c r="I157" i="52098" s="1"/>
  <c r="I158" i="21"/>
  <c r="I122" i="48"/>
  <c r="E122" i="52084"/>
  <c r="I122" i="52084" s="1"/>
  <c r="F141" i="52103"/>
  <c r="I141" i="91"/>
  <c r="I112" i="91"/>
  <c r="F112" i="52103"/>
  <c r="I119" i="48"/>
  <c r="E119" i="52084"/>
  <c r="I141" i="52093"/>
  <c r="I150" i="48"/>
  <c r="E150" i="52084"/>
  <c r="I134" i="32"/>
  <c r="I134" i="110"/>
  <c r="I149" i="52091"/>
  <c r="L149" i="52091" s="1"/>
  <c r="E154" i="52092"/>
  <c r="I127" i="52089"/>
  <c r="F127" i="52102"/>
  <c r="I100" i="108"/>
  <c r="F100" i="52083"/>
  <c r="I148" i="110"/>
  <c r="F142" i="52103"/>
  <c r="I142" i="91"/>
  <c r="F39" i="52102"/>
  <c r="I170" i="52092"/>
  <c r="E185" i="52092"/>
  <c r="F11" i="52104"/>
  <c r="J11" i="52104" s="1"/>
  <c r="I11" i="115"/>
  <c r="I112" i="52089"/>
  <c r="F112" i="52102"/>
  <c r="F131" i="52083"/>
  <c r="I131" i="108"/>
  <c r="D95" i="9"/>
  <c r="E30" i="108"/>
  <c r="E44" i="108" s="1"/>
  <c r="F23" i="52083"/>
  <c r="F30" i="52083" s="1"/>
  <c r="F44" i="52083" s="1"/>
  <c r="G83" i="52082"/>
  <c r="I83" i="148"/>
  <c r="L83" i="52097"/>
  <c r="E41" i="52084"/>
  <c r="F41" i="48"/>
  <c r="I67" i="110"/>
  <c r="I114" i="148"/>
  <c r="G114" i="52082"/>
  <c r="K114" i="52082" s="1"/>
  <c r="F42" i="52093"/>
  <c r="D173" i="9"/>
  <c r="I173" i="52064"/>
  <c r="I162" i="52064"/>
  <c r="D162" i="9"/>
  <c r="H162" i="9" s="1"/>
  <c r="D149" i="9"/>
  <c r="I149" i="52064"/>
  <c r="I100" i="52064"/>
  <c r="D100" i="9"/>
  <c r="E97" i="52098"/>
  <c r="I97" i="21"/>
  <c r="I160" i="52072"/>
  <c r="L160" i="52072" s="1"/>
  <c r="I149" i="48"/>
  <c r="E149" i="52084"/>
  <c r="I121" i="48"/>
  <c r="L121" i="48" s="1"/>
  <c r="E121" i="52084"/>
  <c r="I121" i="52084" s="1"/>
  <c r="I160" i="52091"/>
  <c r="L160" i="52091" s="1"/>
  <c r="I142" i="52066"/>
  <c r="I147" i="52092"/>
  <c r="I127" i="108"/>
  <c r="F127" i="52083"/>
  <c r="J127" i="52083" s="1"/>
  <c r="F178" i="52102"/>
  <c r="I179" i="52089"/>
  <c r="L179" i="52089" s="1"/>
  <c r="I160" i="148"/>
  <c r="G160" i="52082"/>
  <c r="I120" i="52091"/>
  <c r="I120" i="52089"/>
  <c r="F120" i="52102"/>
  <c r="E122" i="52098"/>
  <c r="I122" i="52098" s="1"/>
  <c r="I122" i="21"/>
  <c r="I108" i="105"/>
  <c r="F108" i="52083"/>
  <c r="I122" i="52095"/>
  <c r="L122" i="52095" s="1"/>
  <c r="F122" i="52075"/>
  <c r="I147" i="52095"/>
  <c r="O147" i="111"/>
  <c r="E148" i="52076"/>
  <c r="I148" i="12"/>
  <c r="E178" i="52077"/>
  <c r="I179" i="52094"/>
  <c r="I118" i="52094"/>
  <c r="E118" i="52077"/>
  <c r="E129" i="52094"/>
  <c r="E154" i="114"/>
  <c r="I143" i="52095"/>
  <c r="F143" i="52075"/>
  <c r="O143" i="111"/>
  <c r="E168" i="52090"/>
  <c r="L165" i="114"/>
  <c r="I152" i="52094"/>
  <c r="E151" i="52077"/>
  <c r="E119" i="52077"/>
  <c r="I119" i="52094"/>
  <c r="E179" i="52076"/>
  <c r="I163" i="105"/>
  <c r="F162" i="52083"/>
  <c r="J162" i="52083" s="1"/>
  <c r="I180" i="105"/>
  <c r="F179" i="52083"/>
  <c r="E253" i="52095"/>
  <c r="O28" i="111"/>
  <c r="O253" i="111" s="1"/>
  <c r="F28" i="52075"/>
  <c r="F251" i="52075" s="1"/>
  <c r="F28" i="52095"/>
  <c r="I72" i="52095"/>
  <c r="F72" i="52075"/>
  <c r="O72" i="111"/>
  <c r="I64" i="52095"/>
  <c r="O64" i="111"/>
  <c r="E70" i="52095"/>
  <c r="F64" i="52075"/>
  <c r="I79" i="52095"/>
  <c r="F79" i="52075"/>
  <c r="J79" i="52075" s="1"/>
  <c r="O79" i="111"/>
  <c r="E85" i="52077"/>
  <c r="I85" i="52094"/>
  <c r="E106" i="52076"/>
  <c r="E28" i="52076"/>
  <c r="E252" i="52076" s="1"/>
  <c r="E253" i="12"/>
  <c r="E42" i="52077"/>
  <c r="F42" i="52094"/>
  <c r="I90" i="77"/>
  <c r="F35" i="77"/>
  <c r="E85" i="52076"/>
  <c r="I85" i="12"/>
  <c r="I95" i="12"/>
  <c r="E95" i="52076"/>
  <c r="I114" i="52094"/>
  <c r="E114" i="52077"/>
  <c r="J114" i="52077" s="1"/>
  <c r="F11" i="52083"/>
  <c r="J11" i="52083" s="1"/>
  <c r="I11" i="52079"/>
  <c r="D85" i="9"/>
  <c r="I85" i="21"/>
  <c r="I9" i="91"/>
  <c r="F9" i="52103"/>
  <c r="J9" i="52103" s="1"/>
  <c r="E201" i="114"/>
  <c r="I194" i="114"/>
  <c r="E154" i="108"/>
  <c r="E241" i="108" s="1"/>
  <c r="I146" i="108"/>
  <c r="I181" i="105"/>
  <c r="F180" i="52083"/>
  <c r="J180" i="52083" s="1"/>
  <c r="I98" i="52064"/>
  <c r="D98" i="9"/>
  <c r="I157" i="148"/>
  <c r="L157" i="52097"/>
  <c r="P157" i="52097" s="1"/>
  <c r="G157" i="52082"/>
  <c r="K157" i="52082" s="1"/>
  <c r="I173" i="148"/>
  <c r="G173" i="52082"/>
  <c r="L173" i="52097"/>
  <c r="I188" i="148"/>
  <c r="G188" i="52082"/>
  <c r="K188" i="52082" s="1"/>
  <c r="L188" i="52097"/>
  <c r="I144" i="48"/>
  <c r="E144" i="52084"/>
  <c r="I144" i="52084" s="1"/>
  <c r="E30" i="52093"/>
  <c r="E171" i="52076"/>
  <c r="J171" i="52076" s="1"/>
  <c r="I172" i="77"/>
  <c r="L172" i="77" s="1"/>
  <c r="I135" i="91"/>
  <c r="F135" i="52103"/>
  <c r="I16" i="52095"/>
  <c r="F16" i="52075"/>
  <c r="J16" i="52075" s="1"/>
  <c r="O16" i="111"/>
  <c r="I124" i="52095"/>
  <c r="O124" i="111"/>
  <c r="F124" i="52075"/>
  <c r="I146" i="12"/>
  <c r="E146" i="52076"/>
  <c r="I199" i="48"/>
  <c r="E198" i="52084"/>
  <c r="E165" i="52077"/>
  <c r="J165" i="52077" s="1"/>
  <c r="I166" i="52094"/>
  <c r="E201" i="52071"/>
  <c r="I198" i="52071"/>
  <c r="F15" i="52102"/>
  <c r="J15" i="52102" s="1"/>
  <c r="I15" i="52089"/>
  <c r="E107" i="52074"/>
  <c r="I107" i="52074" s="1"/>
  <c r="I107" i="20"/>
  <c r="E116" i="20"/>
  <c r="D10" i="9"/>
  <c r="I10" i="52064"/>
  <c r="I178" i="105"/>
  <c r="F177" i="52083"/>
  <c r="J177" i="52083" s="1"/>
  <c r="G40" i="52082"/>
  <c r="G136" i="52082"/>
  <c r="K136" i="52082" s="1"/>
  <c r="L136" i="52097"/>
  <c r="P136" i="52097" s="1"/>
  <c r="I136" i="148"/>
  <c r="E176" i="52077"/>
  <c r="I177" i="52094"/>
  <c r="I136" i="52095"/>
  <c r="F136" i="52075"/>
  <c r="J136" i="52075" s="1"/>
  <c r="O136" i="111"/>
  <c r="E123" i="52076"/>
  <c r="I123" i="12"/>
  <c r="I8" i="21"/>
  <c r="E8" i="52098"/>
  <c r="I8" i="52098" s="1"/>
  <c r="E21" i="21"/>
  <c r="L94" i="52066"/>
  <c r="F194" i="52103"/>
  <c r="I195" i="91"/>
  <c r="I183" i="52094"/>
  <c r="E182" i="52077"/>
  <c r="J182" i="52077" s="1"/>
  <c r="L171" i="32"/>
  <c r="F93" i="52102"/>
  <c r="J93" i="52102" s="1"/>
  <c r="I93" i="52089"/>
  <c r="E139" i="52074"/>
  <c r="I139" i="52074" s="1"/>
  <c r="I139" i="20"/>
  <c r="F10" i="52102"/>
  <c r="I10" i="52072"/>
  <c r="I37" i="110"/>
  <c r="F146" i="52102"/>
  <c r="J146" i="52102" s="1"/>
  <c r="I146" i="110"/>
  <c r="M146" i="110" s="1"/>
  <c r="I146" i="32"/>
  <c r="F49" i="52102"/>
  <c r="I15" i="148"/>
  <c r="G15" i="52082"/>
  <c r="K15" i="52082" s="1"/>
  <c r="L15" i="52097"/>
  <c r="F37" i="52104"/>
  <c r="M37" i="52104" s="1"/>
  <c r="E135" i="52074"/>
  <c r="I135" i="52074" s="1"/>
  <c r="I135" i="20"/>
  <c r="I17" i="148"/>
  <c r="G17" i="52082"/>
  <c r="K17" i="52082" s="1"/>
  <c r="L17" i="52097"/>
  <c r="P17" i="52097" s="1"/>
  <c r="I136" i="32"/>
  <c r="I136" i="110"/>
  <c r="M136" i="110" s="1"/>
  <c r="E158" i="52084"/>
  <c r="F78" i="52103"/>
  <c r="I123" i="52095"/>
  <c r="O123" i="111"/>
  <c r="L87" i="52090"/>
  <c r="F18" i="52104"/>
  <c r="I18" i="115"/>
  <c r="I14" i="52089"/>
  <c r="F14" i="52102"/>
  <c r="J14" i="52102" s="1"/>
  <c r="E13" i="52076"/>
  <c r="J13" i="52076" s="1"/>
  <c r="I13" i="12"/>
  <c r="E136" i="52098"/>
  <c r="I136" i="52098" s="1"/>
  <c r="I136" i="21"/>
  <c r="I136" i="52089"/>
  <c r="F136" i="52102"/>
  <c r="J136" i="52102" s="1"/>
  <c r="I9" i="52094"/>
  <c r="E9" i="52077"/>
  <c r="E26" i="52084"/>
  <c r="I118" i="52079"/>
  <c r="E129" i="52079"/>
  <c r="I135" i="105"/>
  <c r="E154" i="105"/>
  <c r="L190" i="52097"/>
  <c r="P190" i="52097" s="1"/>
  <c r="I190" i="148"/>
  <c r="G190" i="52082"/>
  <c r="K190" i="52082" s="1"/>
  <c r="E165" i="52098"/>
  <c r="I165" i="52098" s="1"/>
  <c r="I166" i="21"/>
  <c r="G92" i="52082"/>
  <c r="K92" i="52082" s="1"/>
  <c r="I92" i="148"/>
  <c r="L92" i="52097"/>
  <c r="P92" i="52097" s="1"/>
  <c r="I139" i="105"/>
  <c r="F139" i="52083"/>
  <c r="J139" i="52083" s="1"/>
  <c r="G192" i="52082"/>
  <c r="K192" i="52082" s="1"/>
  <c r="I192" i="148"/>
  <c r="L192" i="52097"/>
  <c r="P192" i="52097" s="1"/>
  <c r="I15" i="105"/>
  <c r="F15" i="52083"/>
  <c r="I144" i="148"/>
  <c r="L144" i="52097"/>
  <c r="G144" i="52082"/>
  <c r="K144" i="52082" s="1"/>
  <c r="G16" i="52082"/>
  <c r="K16" i="52082" s="1"/>
  <c r="I16" i="148"/>
  <c r="L16" i="52097"/>
  <c r="P16" i="52097" s="1"/>
  <c r="D133" i="9"/>
  <c r="H133" i="9" s="1"/>
  <c r="I133" i="52064"/>
  <c r="I133" i="48"/>
  <c r="E133" i="52084"/>
  <c r="I10" i="52095"/>
  <c r="F10" i="52075"/>
  <c r="J10" i="52075" s="1"/>
  <c r="O10" i="111"/>
  <c r="S10" i="111" s="1"/>
  <c r="I175" i="52095"/>
  <c r="O175" i="111"/>
  <c r="F174" i="52075"/>
  <c r="J174" i="52075" s="1"/>
  <c r="F133" i="52102"/>
  <c r="J133" i="52102" s="1"/>
  <c r="I133" i="52089"/>
  <c r="L133" i="52089" s="1"/>
  <c r="F87" i="52102"/>
  <c r="I87" i="52089"/>
  <c r="I181" i="20"/>
  <c r="E180" i="52074"/>
  <c r="I180" i="52074" s="1"/>
  <c r="I15" i="110"/>
  <c r="I15" i="32"/>
  <c r="F16" i="52103"/>
  <c r="J16" i="52103" s="1"/>
  <c r="I16" i="91"/>
  <c r="I76" i="115"/>
  <c r="E76" i="52074"/>
  <c r="F76" i="52104"/>
  <c r="I171" i="48"/>
  <c r="E170" i="52084"/>
  <c r="F37" i="52102"/>
  <c r="M37" i="52102" s="1"/>
  <c r="D190" i="9"/>
  <c r="I190" i="52064"/>
  <c r="I137" i="148"/>
  <c r="G137" i="52082"/>
  <c r="K137" i="52082" s="1"/>
  <c r="L137" i="52097"/>
  <c r="I74" i="52064"/>
  <c r="D74" i="9"/>
  <c r="I14" i="52064"/>
  <c r="D14" i="9"/>
  <c r="I17" i="48"/>
  <c r="E17" i="52084"/>
  <c r="I17" i="52084" s="1"/>
  <c r="I164" i="48"/>
  <c r="I15" i="52095"/>
  <c r="F15" i="52075"/>
  <c r="J15" i="52075" s="1"/>
  <c r="O15" i="111"/>
  <c r="S15" i="111" s="1"/>
  <c r="I188" i="91"/>
  <c r="L188" i="91" s="1"/>
  <c r="F187" i="52103"/>
  <c r="E14" i="52098"/>
  <c r="I14" i="21"/>
  <c r="E72" i="52098"/>
  <c r="I72" i="52098" s="1"/>
  <c r="I72" i="21"/>
  <c r="I18" i="52095"/>
  <c r="F18" i="52075"/>
  <c r="J18" i="52075" s="1"/>
  <c r="O18" i="111"/>
  <c r="S18" i="111" s="1"/>
  <c r="F162" i="52103"/>
  <c r="I163" i="91"/>
  <c r="F13" i="52103"/>
  <c r="J13" i="52103" s="1"/>
  <c r="I13" i="91"/>
  <c r="F78" i="52102"/>
  <c r="I78" i="52089"/>
  <c r="F74" i="52104"/>
  <c r="I74" i="115"/>
  <c r="I125" i="108"/>
  <c r="F125" i="52083"/>
  <c r="I87" i="12"/>
  <c r="E87" i="52076"/>
  <c r="J87" i="52076" s="1"/>
  <c r="F125" i="52102"/>
  <c r="J125" i="52102" s="1"/>
  <c r="I125" i="52089"/>
  <c r="I13" i="20"/>
  <c r="E13" i="52074"/>
  <c r="I175" i="32"/>
  <c r="I175" i="110"/>
  <c r="M175" i="110" s="1"/>
  <c r="I93" i="48"/>
  <c r="E93" i="52084"/>
  <c r="I93" i="52084" s="1"/>
  <c r="I187" i="52092"/>
  <c r="E201" i="52092"/>
  <c r="I13" i="148"/>
  <c r="G13" i="52082"/>
  <c r="K13" i="52082" s="1"/>
  <c r="L13" i="52097"/>
  <c r="P13" i="52097" s="1"/>
  <c r="I93" i="12"/>
  <c r="E93" i="52076"/>
  <c r="J93" i="52076" s="1"/>
  <c r="F12" i="52104"/>
  <c r="I12" i="115"/>
  <c r="L176" i="114"/>
  <c r="I49" i="52090"/>
  <c r="F140" i="52102"/>
  <c r="I140" i="52089"/>
  <c r="L140" i="52089" s="1"/>
  <c r="E156" i="52076"/>
  <c r="J156" i="52076" s="1"/>
  <c r="I157" i="12"/>
  <c r="E176" i="52076"/>
  <c r="J176" i="52076" s="1"/>
  <c r="I177" i="12"/>
  <c r="D194" i="9"/>
  <c r="I194" i="52064"/>
  <c r="E140" i="52074"/>
  <c r="I140" i="20"/>
  <c r="I192" i="110"/>
  <c r="I176" i="52095"/>
  <c r="O176" i="111"/>
  <c r="S176" i="111" s="1"/>
  <c r="F175" i="52075"/>
  <c r="J175" i="52075" s="1"/>
  <c r="I64" i="20"/>
  <c r="E64" i="52074"/>
  <c r="E70" i="20"/>
  <c r="I189" i="20"/>
  <c r="E188" i="52074"/>
  <c r="I188" i="52074" s="1"/>
  <c r="F190" i="52104"/>
  <c r="I191" i="115"/>
  <c r="F140" i="52104"/>
  <c r="I140" i="115"/>
  <c r="E44" i="105"/>
  <c r="I190" i="20"/>
  <c r="E189" i="52074"/>
  <c r="I189" i="52074" s="1"/>
  <c r="I87" i="115"/>
  <c r="F87" i="52104"/>
  <c r="J87" i="52104" s="1"/>
  <c r="E29" i="52074"/>
  <c r="E30" i="20"/>
  <c r="F176" i="52104"/>
  <c r="J176" i="52104" s="1"/>
  <c r="I177" i="115"/>
  <c r="L177" i="115" s="1"/>
  <c r="I76" i="52066"/>
  <c r="I106" i="32"/>
  <c r="I106" i="110"/>
  <c r="E253" i="32"/>
  <c r="I28" i="110"/>
  <c r="F28" i="32"/>
  <c r="I96" i="108"/>
  <c r="F96" i="52083"/>
  <c r="D27" i="9"/>
  <c r="F27" i="233" s="1"/>
  <c r="I73" i="52091"/>
  <c r="L73" i="52091" s="1"/>
  <c r="F41" i="52103"/>
  <c r="F41" i="91"/>
  <c r="I95" i="91"/>
  <c r="F95" i="52103"/>
  <c r="I90" i="48"/>
  <c r="E90" i="52084"/>
  <c r="D181" i="9"/>
  <c r="I181" i="52064"/>
  <c r="D90" i="9"/>
  <c r="H90" i="9" s="1"/>
  <c r="I90" i="52064"/>
  <c r="F49" i="52083"/>
  <c r="F156" i="52102"/>
  <c r="I157" i="52089"/>
  <c r="L157" i="52089" s="1"/>
  <c r="F123" i="52103"/>
  <c r="I123" i="91"/>
  <c r="L123" i="91" s="1"/>
  <c r="I125" i="21"/>
  <c r="E125" i="52098"/>
  <c r="I125" i="52098" s="1"/>
  <c r="F140" i="52103"/>
  <c r="I140" i="91"/>
  <c r="L140" i="91" s="1"/>
  <c r="F108" i="52103"/>
  <c r="J108" i="52103" s="1"/>
  <c r="I108" i="91"/>
  <c r="L108" i="91" s="1"/>
  <c r="I81" i="32"/>
  <c r="I81" i="110"/>
  <c r="I83" i="52095"/>
  <c r="F83" i="52075"/>
  <c r="E30" i="52091"/>
  <c r="E12" i="52098"/>
  <c r="I12" i="52098" s="1"/>
  <c r="I12" i="21"/>
  <c r="I178" i="52095"/>
  <c r="F177" i="52075"/>
  <c r="J177" i="52075" s="1"/>
  <c r="O178" i="111"/>
  <c r="S178" i="111" s="1"/>
  <c r="E12" i="52074"/>
  <c r="I12" i="52074" s="1"/>
  <c r="I12" i="20"/>
  <c r="I164" i="148"/>
  <c r="G164" i="52082"/>
  <c r="L164" i="52097"/>
  <c r="I98" i="48"/>
  <c r="E98" i="52084"/>
  <c r="I98" i="52084" s="1"/>
  <c r="I14" i="48"/>
  <c r="E14" i="52084"/>
  <c r="I164" i="12"/>
  <c r="E163" i="52076"/>
  <c r="F93" i="52104"/>
  <c r="J93" i="52104" s="1"/>
  <c r="I93" i="115"/>
  <c r="L93" i="115" s="1"/>
  <c r="I81" i="52095"/>
  <c r="F81" i="52075"/>
  <c r="J81" i="52075" s="1"/>
  <c r="O81" i="111"/>
  <c r="S81" i="111" s="1"/>
  <c r="I188" i="48"/>
  <c r="E187" i="52084"/>
  <c r="I187" i="52084" s="1"/>
  <c r="I191" i="48"/>
  <c r="E190" i="52084"/>
  <c r="I190" i="52084" s="1"/>
  <c r="I189" i="52094"/>
  <c r="E188" i="52077"/>
  <c r="J188" i="52077" s="1"/>
  <c r="E80" i="52098"/>
  <c r="I80" i="21"/>
  <c r="I172" i="52094"/>
  <c r="E171" i="52077"/>
  <c r="J171" i="52077" s="1"/>
  <c r="I187" i="32"/>
  <c r="I187" i="110"/>
  <c r="E201" i="32"/>
  <c r="F187" i="52102"/>
  <c r="J187" i="52102" s="1"/>
  <c r="I188" i="52089"/>
  <c r="L188" i="52089" s="1"/>
  <c r="I166" i="105"/>
  <c r="F165" i="52083"/>
  <c r="J165" i="52083" s="1"/>
  <c r="E182" i="52074"/>
  <c r="I183" i="20"/>
  <c r="I196" i="110"/>
  <c r="M196" i="110" s="1"/>
  <c r="I196" i="32"/>
  <c r="I123" i="48"/>
  <c r="E123" i="52084"/>
  <c r="I123" i="52084" s="1"/>
  <c r="E16" i="52077"/>
  <c r="I16" i="52094"/>
  <c r="I187" i="77"/>
  <c r="E201" i="77"/>
  <c r="I8" i="52087"/>
  <c r="E21" i="52087"/>
  <c r="I172" i="52064"/>
  <c r="D172" i="9"/>
  <c r="I14" i="12"/>
  <c r="E14" i="52076"/>
  <c r="I172" i="105"/>
  <c r="F171" i="52083"/>
  <c r="J171" i="52083" s="1"/>
  <c r="I178" i="20"/>
  <c r="E177" i="52074"/>
  <c r="I177" i="52074" s="1"/>
  <c r="I126" i="148"/>
  <c r="G126" i="52082"/>
  <c r="K126" i="52082" s="1"/>
  <c r="L126" i="52097"/>
  <c r="P126" i="52097" s="1"/>
  <c r="I65" i="12"/>
  <c r="O65" i="111"/>
  <c r="S65" i="111" s="1"/>
  <c r="E65" i="52076"/>
  <c r="J65" i="52076" s="1"/>
  <c r="F65" i="52104"/>
  <c r="J65" i="52104" s="1"/>
  <c r="E177" i="52098"/>
  <c r="I177" i="52098" s="1"/>
  <c r="I178" i="21"/>
  <c r="I94" i="52094"/>
  <c r="E94" i="52077"/>
  <c r="I144" i="52095"/>
  <c r="F144" i="52075"/>
  <c r="J144" i="52075" s="1"/>
  <c r="O144" i="111"/>
  <c r="F190" i="52102"/>
  <c r="J190" i="52102" s="1"/>
  <c r="I191" i="52089"/>
  <c r="I187" i="115"/>
  <c r="E201" i="115"/>
  <c r="F186" i="52104"/>
  <c r="I15" i="115"/>
  <c r="F15" i="52104"/>
  <c r="G183" i="52082"/>
  <c r="K183" i="52082" s="1"/>
  <c r="L183" i="52097"/>
  <c r="P183" i="52097" s="1"/>
  <c r="I183" i="148"/>
  <c r="E165" i="52074"/>
  <c r="I165" i="52074" s="1"/>
  <c r="I166" i="20"/>
  <c r="I94" i="52091"/>
  <c r="I126" i="115"/>
  <c r="F126" i="52104"/>
  <c r="J126" i="52104" s="1"/>
  <c r="F82" i="52103"/>
  <c r="I82" i="91"/>
  <c r="F18" i="52102"/>
  <c r="J18" i="52102" s="1"/>
  <c r="I18" i="52089"/>
  <c r="F40" i="52104"/>
  <c r="M40" i="52104" s="1"/>
  <c r="E171" i="52098"/>
  <c r="I171" i="52098" s="1"/>
  <c r="I172" i="21"/>
  <c r="I98" i="148"/>
  <c r="G98" i="52082"/>
  <c r="K98" i="52082" s="1"/>
  <c r="L98" i="52097"/>
  <c r="P98" i="52097" s="1"/>
  <c r="I8" i="12"/>
  <c r="L8" i="12" s="1"/>
  <c r="E8" i="52076"/>
  <c r="E21" i="12"/>
  <c r="E49" i="52077"/>
  <c r="I49" i="52077" s="1"/>
  <c r="I49" i="52094"/>
  <c r="F196" i="52102"/>
  <c r="I197" i="52089"/>
  <c r="L197" i="52089" s="1"/>
  <c r="I8" i="20"/>
  <c r="L8" i="20" s="1"/>
  <c r="E8" i="52074"/>
  <c r="F175" i="52104"/>
  <c r="J175" i="52104" s="1"/>
  <c r="I176" i="115"/>
  <c r="L176" i="115" s="1"/>
  <c r="I101" i="91"/>
  <c r="F101" i="52103"/>
  <c r="J101" i="52103" s="1"/>
  <c r="I14" i="32"/>
  <c r="I14" i="110"/>
  <c r="E196" i="52074"/>
  <c r="I196" i="52074" s="1"/>
  <c r="I197" i="20"/>
  <c r="I93" i="52092"/>
  <c r="I172" i="148"/>
  <c r="L172" i="52097"/>
  <c r="P172" i="52097" s="1"/>
  <c r="I10" i="12"/>
  <c r="E10" i="52076"/>
  <c r="J10" i="52076" s="1"/>
  <c r="F189" i="52083"/>
  <c r="J189" i="52083" s="1"/>
  <c r="I190" i="105"/>
  <c r="F83" i="52102"/>
  <c r="I83" i="52089"/>
  <c r="E116" i="21"/>
  <c r="I95" i="52066"/>
  <c r="E253" i="91"/>
  <c r="F28" i="52103"/>
  <c r="F251" i="52103" s="1"/>
  <c r="I77" i="110"/>
  <c r="F90" i="52102"/>
  <c r="I90" i="52089"/>
  <c r="L90" i="52089" s="1"/>
  <c r="F42" i="52089"/>
  <c r="F42" i="52102"/>
  <c r="I66" i="52072"/>
  <c r="I135" i="32"/>
  <c r="I135" i="110"/>
  <c r="F135" i="52102"/>
  <c r="J135" i="52102" s="1"/>
  <c r="I135" i="52089"/>
  <c r="I83" i="52064"/>
  <c r="D83" i="9"/>
  <c r="H83" i="9" s="1"/>
  <c r="I123" i="105"/>
  <c r="F123" i="52083"/>
  <c r="J123" i="52083" s="1"/>
  <c r="E129" i="105"/>
  <c r="I18" i="148"/>
  <c r="G18" i="52082"/>
  <c r="K18" i="52082" s="1"/>
  <c r="L18" i="52097"/>
  <c r="P18" i="52097" s="1"/>
  <c r="I188" i="32"/>
  <c r="I188" i="110"/>
  <c r="M188" i="110" s="1"/>
  <c r="I17" i="52064"/>
  <c r="D17" i="9"/>
  <c r="I176" i="32"/>
  <c r="I176" i="110"/>
  <c r="F74" i="52103"/>
  <c r="I74" i="91"/>
  <c r="L74" i="91" s="1"/>
  <c r="I144" i="115"/>
  <c r="E144" i="52074"/>
  <c r="F144" i="52104"/>
  <c r="E175" i="52077"/>
  <c r="J175" i="52077" s="1"/>
  <c r="I176" i="52094"/>
  <c r="I125" i="52095"/>
  <c r="F125" i="52075"/>
  <c r="J125" i="52075" s="1"/>
  <c r="O125" i="111"/>
  <c r="S125" i="111" s="1"/>
  <c r="I16" i="115"/>
  <c r="F16" i="52104"/>
  <c r="I98" i="105"/>
  <c r="F98" i="52083"/>
  <c r="J98" i="52083" s="1"/>
  <c r="F195" i="52103"/>
  <c r="I196" i="91"/>
  <c r="I195" i="52094"/>
  <c r="E194" i="52077"/>
  <c r="E194" i="52074"/>
  <c r="I194" i="52074" s="1"/>
  <c r="I195" i="20"/>
  <c r="I187" i="91"/>
  <c r="E201" i="91"/>
  <c r="F186" i="52103"/>
  <c r="E126" i="52077"/>
  <c r="J126" i="52077" s="1"/>
  <c r="I126" i="52094"/>
  <c r="I195" i="52095"/>
  <c r="O195" i="111"/>
  <c r="F194" i="52075"/>
  <c r="J194" i="52075" s="1"/>
  <c r="I164" i="52089"/>
  <c r="F163" i="52102"/>
  <c r="I133" i="12"/>
  <c r="E133" i="52076"/>
  <c r="J133" i="52076" s="1"/>
  <c r="I177" i="91"/>
  <c r="L177" i="91" s="1"/>
  <c r="F176" i="52103"/>
  <c r="I125" i="52094"/>
  <c r="E125" i="52077"/>
  <c r="J125" i="52077" s="1"/>
  <c r="I192" i="91"/>
  <c r="F191" i="52103"/>
  <c r="I192" i="52095"/>
  <c r="O192" i="111"/>
  <c r="S192" i="111" s="1"/>
  <c r="F191" i="52075"/>
  <c r="J191" i="52075" s="1"/>
  <c r="I126" i="20"/>
  <c r="E126" i="52074"/>
  <c r="I126" i="52074" s="1"/>
  <c r="I166" i="52089"/>
  <c r="F165" i="52102"/>
  <c r="J165" i="52102" s="1"/>
  <c r="I135" i="21"/>
  <c r="E135" i="52098"/>
  <c r="I135" i="52098" s="1"/>
  <c r="F80" i="52102"/>
  <c r="I80" i="52089"/>
  <c r="I78" i="108"/>
  <c r="F78" i="52083"/>
  <c r="I140" i="32"/>
  <c r="I140" i="110"/>
  <c r="I166" i="48"/>
  <c r="E165" i="52084"/>
  <c r="I165" i="52084" s="1"/>
  <c r="E186" i="52074"/>
  <c r="I187" i="20"/>
  <c r="E201" i="20"/>
  <c r="E30" i="101"/>
  <c r="E44" i="101" s="1"/>
  <c r="E46" i="101" s="1"/>
  <c r="E47" i="101" s="1"/>
  <c r="I13" i="105"/>
  <c r="F13" i="52083"/>
  <c r="J13" i="52083" s="1"/>
  <c r="E186" i="52076"/>
  <c r="I187" i="12"/>
  <c r="E201" i="12"/>
  <c r="I176" i="12"/>
  <c r="E175" i="52076"/>
  <c r="J175" i="52076" s="1"/>
  <c r="I8" i="52088"/>
  <c r="E21" i="52088"/>
  <c r="L40" i="52097"/>
  <c r="F40" i="233" s="1"/>
  <c r="I192" i="20"/>
  <c r="E191" i="52074"/>
  <c r="I191" i="52074" s="1"/>
  <c r="E177" i="52076"/>
  <c r="J177" i="52076" s="1"/>
  <c r="I178" i="12"/>
  <c r="I13" i="52064"/>
  <c r="D13" i="9"/>
  <c r="E146" i="52077"/>
  <c r="J146" i="52077" s="1"/>
  <c r="I146" i="52094"/>
  <c r="I101" i="52094"/>
  <c r="E101" i="52077"/>
  <c r="J101" i="52077" s="1"/>
  <c r="I146" i="20"/>
  <c r="E146" i="52074"/>
  <c r="I146" i="52074" s="1"/>
  <c r="I81" i="148"/>
  <c r="L81" i="52097"/>
  <c r="I74" i="20"/>
  <c r="E74" i="52074"/>
  <c r="I196" i="52089"/>
  <c r="F195" i="52102"/>
  <c r="J195" i="52102" s="1"/>
  <c r="I195" i="52064"/>
  <c r="D195" i="9"/>
  <c r="F106" i="52103"/>
  <c r="I106" i="91"/>
  <c r="F86" i="52103"/>
  <c r="I84" i="32"/>
  <c r="I84" i="110"/>
  <c r="I111" i="52089"/>
  <c r="F111" i="52102"/>
  <c r="E70" i="93"/>
  <c r="F35" i="52093"/>
  <c r="I105" i="52092"/>
  <c r="E116" i="52092"/>
  <c r="I76" i="108"/>
  <c r="F76" i="52083"/>
  <c r="E30" i="52064"/>
  <c r="E44" i="52064" s="1"/>
  <c r="D23" i="9"/>
  <c r="E30" i="52089"/>
  <c r="F23" i="52102"/>
  <c r="I76" i="48"/>
  <c r="E76" i="52084"/>
  <c r="I67" i="52093"/>
  <c r="I249" i="52093" s="1"/>
  <c r="I79" i="21"/>
  <c r="E79" i="52098"/>
  <c r="I79" i="52098" s="1"/>
  <c r="E253" i="52066"/>
  <c r="F28" i="52066"/>
  <c r="I86" i="48"/>
  <c r="E86" i="52084"/>
  <c r="I88" i="52092"/>
  <c r="G88" i="52092"/>
  <c r="I161" i="52064"/>
  <c r="D161" i="9"/>
  <c r="H161" i="9" s="1"/>
  <c r="E70" i="52092"/>
  <c r="G142" i="52082"/>
  <c r="I142" i="148"/>
  <c r="L142" i="52097"/>
  <c r="I147" i="108"/>
  <c r="F147" i="52083"/>
  <c r="J147" i="52083" s="1"/>
  <c r="I171" i="21"/>
  <c r="E170" i="52098"/>
  <c r="E154" i="52090"/>
  <c r="I149" i="52066"/>
  <c r="I132" i="48"/>
  <c r="E132" i="52084"/>
  <c r="I158" i="52093"/>
  <c r="F132" i="52102"/>
  <c r="I132" i="52089"/>
  <c r="I177" i="32"/>
  <c r="I180" i="48"/>
  <c r="E145" i="52084"/>
  <c r="E154" i="52089"/>
  <c r="F131" i="52102"/>
  <c r="D150" i="9"/>
  <c r="I150" i="52064"/>
  <c r="I80" i="105"/>
  <c r="F80" i="52083"/>
  <c r="J80" i="52083" s="1"/>
  <c r="I114" i="52064"/>
  <c r="D114" i="9"/>
  <c r="H114" i="9" s="1"/>
  <c r="I111" i="91"/>
  <c r="F111" i="52103"/>
  <c r="E109" i="52084"/>
  <c r="F41" i="52092"/>
  <c r="I82" i="52093"/>
  <c r="I66" i="52089"/>
  <c r="F66" i="52102"/>
  <c r="E108" i="52098"/>
  <c r="I108" i="52098" s="1"/>
  <c r="I108" i="21"/>
  <c r="E30" i="52092"/>
  <c r="F35" i="52092" s="1"/>
  <c r="I132" i="108"/>
  <c r="F132" i="52083"/>
  <c r="I149" i="108"/>
  <c r="F149" i="52083"/>
  <c r="J149" i="52083" s="1"/>
  <c r="E168" i="52072"/>
  <c r="I160" i="52066"/>
  <c r="I121" i="91"/>
  <c r="L121" i="91" s="1"/>
  <c r="F121" i="52103"/>
  <c r="I100" i="91"/>
  <c r="F100" i="52103"/>
  <c r="I142" i="48"/>
  <c r="E142" i="52084"/>
  <c r="L143" i="52091"/>
  <c r="I156" i="52089"/>
  <c r="E168" i="52089"/>
  <c r="F155" i="52102"/>
  <c r="I158" i="48"/>
  <c r="E157" i="52084"/>
  <c r="I179" i="32"/>
  <c r="L179" i="32" s="1"/>
  <c r="I179" i="110"/>
  <c r="M179" i="110" s="1"/>
  <c r="E154" i="52091"/>
  <c r="I132" i="148"/>
  <c r="G132" i="52082"/>
  <c r="K132" i="52082" s="1"/>
  <c r="E168" i="52093"/>
  <c r="I100" i="52091"/>
  <c r="G82" i="52082"/>
  <c r="K82" i="52082" s="1"/>
  <c r="I82" i="148"/>
  <c r="I64" i="108"/>
  <c r="F64" i="52083"/>
  <c r="I95" i="52079"/>
  <c r="E67" i="52084"/>
  <c r="I9" i="48"/>
  <c r="E9" i="52084"/>
  <c r="F42" i="48"/>
  <c r="I88" i="108"/>
  <c r="G88" i="108"/>
  <c r="F88" i="52083"/>
  <c r="J88" i="52083" s="1"/>
  <c r="E70" i="52064"/>
  <c r="D64" i="9"/>
  <c r="F96" i="52102"/>
  <c r="I111" i="48"/>
  <c r="E111" i="52084"/>
  <c r="I67" i="52089"/>
  <c r="I249" i="52089" s="1"/>
  <c r="F67" i="52102"/>
  <c r="F36" i="52066"/>
  <c r="F42" i="52066"/>
  <c r="F66" i="52103"/>
  <c r="L109" i="52092"/>
  <c r="F91" i="52102"/>
  <c r="F35" i="52091"/>
  <c r="G35" i="52091" s="1"/>
  <c r="I131" i="21"/>
  <c r="I160" i="52064"/>
  <c r="D160" i="9"/>
  <c r="D165" i="9"/>
  <c r="H165" i="9" s="1"/>
  <c r="I165" i="52064"/>
  <c r="I99" i="21"/>
  <c r="E99" i="52098"/>
  <c r="I165" i="48"/>
  <c r="E164" i="52084"/>
  <c r="I147" i="91"/>
  <c r="F147" i="52103"/>
  <c r="F119" i="52103"/>
  <c r="I119" i="91"/>
  <c r="I147" i="52091"/>
  <c r="L147" i="52091" s="1"/>
  <c r="F159" i="52102"/>
  <c r="I100" i="48"/>
  <c r="E100" i="52084"/>
  <c r="I127" i="32"/>
  <c r="I127" i="110"/>
  <c r="F149" i="52102"/>
  <c r="I149" i="52089"/>
  <c r="I113" i="52064"/>
  <c r="D113" i="9"/>
  <c r="H113" i="9" s="1"/>
  <c r="I138" i="52089"/>
  <c r="F138" i="52102"/>
  <c r="J138" i="52102" s="1"/>
  <c r="D26" i="9"/>
  <c r="F26" i="233" s="1"/>
  <c r="G36" i="52082"/>
  <c r="E72" i="52084"/>
  <c r="I74" i="52091"/>
  <c r="F24" i="52102"/>
  <c r="D41" i="9"/>
  <c r="F25" i="52102"/>
  <c r="I132" i="52064"/>
  <c r="D132" i="9"/>
  <c r="I165" i="148"/>
  <c r="G165" i="52082"/>
  <c r="I112" i="108"/>
  <c r="F112" i="52083"/>
  <c r="I156" i="108"/>
  <c r="E168" i="108"/>
  <c r="E142" i="52098"/>
  <c r="I142" i="21"/>
  <c r="I99" i="52072"/>
  <c r="I138" i="32"/>
  <c r="I138" i="110"/>
  <c r="M138" i="110" s="1"/>
  <c r="H122" i="93"/>
  <c r="E131" i="93"/>
  <c r="I149" i="32"/>
  <c r="L121" i="52091"/>
  <c r="I162" i="21"/>
  <c r="E161" i="52098"/>
  <c r="I177" i="52089"/>
  <c r="F176" i="52102"/>
  <c r="I147" i="48"/>
  <c r="I122" i="52089"/>
  <c r="F122" i="52102"/>
  <c r="I119" i="52092"/>
  <c r="I100" i="52089"/>
  <c r="F100" i="52102"/>
  <c r="I160" i="52092"/>
  <c r="I132" i="52094"/>
  <c r="E132" i="52077"/>
  <c r="E129" i="52095"/>
  <c r="I118" i="101"/>
  <c r="E129" i="101"/>
  <c r="E99" i="52077"/>
  <c r="E154" i="77"/>
  <c r="I121" i="52095"/>
  <c r="F121" i="52075"/>
  <c r="J121" i="52075" s="1"/>
  <c r="O121" i="111"/>
  <c r="S121" i="111" s="1"/>
  <c r="I162" i="12"/>
  <c r="E131" i="52076"/>
  <c r="E154" i="12"/>
  <c r="E129" i="52090"/>
  <c r="L147" i="114"/>
  <c r="I138" i="52095"/>
  <c r="O138" i="111"/>
  <c r="I134" i="12"/>
  <c r="E134" i="52076"/>
  <c r="I114" i="52095"/>
  <c r="F114" i="52075"/>
  <c r="I66" i="52095"/>
  <c r="F66" i="52075"/>
  <c r="O66" i="111"/>
  <c r="I79" i="52094"/>
  <c r="E79" i="52077"/>
  <c r="E90" i="52076"/>
  <c r="E253" i="52094"/>
  <c r="E28" i="52077"/>
  <c r="E251" i="52077" s="1"/>
  <c r="K251" i="52077" s="1"/>
  <c r="F28" i="77"/>
  <c r="E253" i="77"/>
  <c r="I66" i="12"/>
  <c r="E66" i="52076"/>
  <c r="I67" i="114"/>
  <c r="I249" i="114" s="1"/>
  <c r="I96" i="52094"/>
  <c r="E96" i="52077"/>
  <c r="I96" i="77"/>
  <c r="E109" i="52077"/>
  <c r="F27" i="52104"/>
  <c r="M27" i="52104" s="1"/>
  <c r="E27" i="52074"/>
  <c r="E253" i="115"/>
  <c r="E28" i="52074"/>
  <c r="E251" i="52074" s="1"/>
  <c r="K251" i="52074" s="1"/>
  <c r="F28" i="52104"/>
  <c r="F251" i="52104" s="1"/>
  <c r="E149" i="52074"/>
  <c r="F149" i="52104"/>
  <c r="I149" i="115"/>
  <c r="L149" i="115" s="1"/>
  <c r="I79" i="115"/>
  <c r="F79" i="52104"/>
  <c r="E79" i="52074"/>
  <c r="I79" i="52074" s="1"/>
  <c r="I121" i="115"/>
  <c r="L121" i="115" s="1"/>
  <c r="E121" i="52074"/>
  <c r="I121" i="52074" s="1"/>
  <c r="F121" i="52104"/>
  <c r="F97" i="52104"/>
  <c r="E97" i="52074"/>
  <c r="I143" i="115"/>
  <c r="E143" i="52074"/>
  <c r="F143" i="52104"/>
  <c r="I105" i="52067"/>
  <c r="I150" i="115"/>
  <c r="E150" i="52074"/>
  <c r="F150" i="52104"/>
  <c r="F42" i="52104"/>
  <c r="F42" i="115"/>
  <c r="E42" i="52074"/>
  <c r="E68" i="52074"/>
  <c r="F68" i="52104"/>
  <c r="I68" i="115"/>
  <c r="I100" i="115"/>
  <c r="E100" i="52074"/>
  <c r="F100" i="52104"/>
  <c r="E119" i="52074"/>
  <c r="F119" i="52104"/>
  <c r="I119" i="115"/>
  <c r="I147" i="115"/>
  <c r="E147" i="52074"/>
  <c r="I147" i="52074" s="1"/>
  <c r="F147" i="52104"/>
  <c r="E36" i="52074"/>
  <c r="F36" i="52104"/>
  <c r="I156" i="77"/>
  <c r="I158" i="115"/>
  <c r="E157" i="52074"/>
  <c r="F157" i="52104"/>
  <c r="I99" i="115"/>
  <c r="E99" i="52074"/>
  <c r="F99" i="52104"/>
  <c r="F131" i="52089"/>
  <c r="G145" i="52089"/>
  <c r="G146" i="52089"/>
  <c r="G142" i="52089"/>
  <c r="G141" i="52089"/>
  <c r="G143" i="52089"/>
  <c r="G144" i="52089"/>
  <c r="C154" i="52089"/>
  <c r="G78" i="115"/>
  <c r="M137" i="52097"/>
  <c r="G137" i="108"/>
  <c r="J191" i="52089"/>
  <c r="F131" i="148"/>
  <c r="G141" i="148"/>
  <c r="G144" i="148"/>
  <c r="G143" i="148"/>
  <c r="C154" i="148"/>
  <c r="G145" i="148"/>
  <c r="G146" i="148"/>
  <c r="G142" i="148"/>
  <c r="J72" i="52064"/>
  <c r="E72" i="9"/>
  <c r="G152" i="108"/>
  <c r="J152" i="108"/>
  <c r="J88" i="108"/>
  <c r="G194" i="52083"/>
  <c r="K194" i="52083" s="1"/>
  <c r="J195" i="105"/>
  <c r="G156" i="52083"/>
  <c r="K156" i="52083" s="1"/>
  <c r="J157" i="105"/>
  <c r="M175" i="52097"/>
  <c r="Q175" i="52097" s="1"/>
  <c r="J175" i="148"/>
  <c r="G175" i="148"/>
  <c r="H175" i="52082"/>
  <c r="L175" i="52082" s="1"/>
  <c r="J144" i="21"/>
  <c r="F144" i="52098"/>
  <c r="F163" i="52098"/>
  <c r="J163" i="52098" s="1"/>
  <c r="J164" i="21"/>
  <c r="G164" i="21"/>
  <c r="J11" i="21"/>
  <c r="G11" i="21"/>
  <c r="F11" i="52098"/>
  <c r="J149" i="101"/>
  <c r="G149" i="101"/>
  <c r="J176" i="52088"/>
  <c r="G176" i="52088"/>
  <c r="G107" i="52087"/>
  <c r="J107" i="52087"/>
  <c r="J137" i="148"/>
  <c r="G137" i="148"/>
  <c r="H137" i="52082"/>
  <c r="L137" i="52082" s="1"/>
  <c r="E86" i="9"/>
  <c r="G86" i="52064"/>
  <c r="J86" i="52064"/>
  <c r="J166" i="108"/>
  <c r="G166" i="108"/>
  <c r="G18" i="52083"/>
  <c r="K18" i="52083" s="1"/>
  <c r="G18" i="105"/>
  <c r="J18" i="105"/>
  <c r="J124" i="148"/>
  <c r="H124" i="52082"/>
  <c r="M124" i="52097"/>
  <c r="J135" i="21"/>
  <c r="G135" i="21"/>
  <c r="F135" i="52098"/>
  <c r="J135" i="52098" s="1"/>
  <c r="J164" i="52087"/>
  <c r="G164" i="52087"/>
  <c r="G76" i="52087"/>
  <c r="J76" i="52087"/>
  <c r="G135" i="108"/>
  <c r="J135" i="108"/>
  <c r="G137" i="101"/>
  <c r="J137" i="101"/>
  <c r="G178" i="52088"/>
  <c r="J178" i="52088"/>
  <c r="J94" i="52087"/>
  <c r="G94" i="52087"/>
  <c r="G100" i="21"/>
  <c r="F100" i="52098"/>
  <c r="I100" i="52098" s="1"/>
  <c r="H96" i="52082"/>
  <c r="L96" i="52082" s="1"/>
  <c r="J96" i="148"/>
  <c r="M96" i="52097"/>
  <c r="Q96" i="52097" s="1"/>
  <c r="E196" i="9"/>
  <c r="J196" i="52064"/>
  <c r="G139" i="52064"/>
  <c r="J139" i="52064"/>
  <c r="E139" i="9"/>
  <c r="J11" i="52064"/>
  <c r="E11" i="9"/>
  <c r="G11" i="52064"/>
  <c r="F125" i="52098"/>
  <c r="J125" i="52098" s="1"/>
  <c r="G125" i="21"/>
  <c r="J125" i="21"/>
  <c r="G17" i="52088"/>
  <c r="J17" i="52088"/>
  <c r="F105" i="108"/>
  <c r="C116" i="108"/>
  <c r="G19" i="108"/>
  <c r="J19" i="108"/>
  <c r="G177" i="148"/>
  <c r="M177" i="52097"/>
  <c r="Q177" i="52097" s="1"/>
  <c r="J177" i="148"/>
  <c r="H177" i="52082"/>
  <c r="L177" i="52082" s="1"/>
  <c r="G171" i="52064"/>
  <c r="E171" i="9"/>
  <c r="J171" i="52064"/>
  <c r="J111" i="148"/>
  <c r="M111" i="52097"/>
  <c r="Q111" i="52097" s="1"/>
  <c r="H111" i="52082"/>
  <c r="L111" i="52082" s="1"/>
  <c r="G137" i="52064"/>
  <c r="E137" i="9"/>
  <c r="I137" i="9" s="1"/>
  <c r="J137" i="52064"/>
  <c r="F147" i="52098"/>
  <c r="G147" i="21"/>
  <c r="F14" i="52098"/>
  <c r="J14" i="52098" s="1"/>
  <c r="J14" i="21"/>
  <c r="F64" i="52064"/>
  <c r="C70" i="52064"/>
  <c r="C103" i="52064" s="1"/>
  <c r="J174" i="105"/>
  <c r="G173" i="52083"/>
  <c r="K173" i="52083" s="1"/>
  <c r="G174" i="105"/>
  <c r="M108" i="52097"/>
  <c r="Q108" i="52097" s="1"/>
  <c r="J108" i="148"/>
  <c r="H108" i="52082"/>
  <c r="L108" i="52082" s="1"/>
  <c r="F68" i="52098"/>
  <c r="I68" i="52098" s="1"/>
  <c r="G68" i="21"/>
  <c r="J68" i="21"/>
  <c r="G80" i="21"/>
  <c r="J80" i="21"/>
  <c r="F80" i="52098"/>
  <c r="J139" i="52087"/>
  <c r="G139" i="52087"/>
  <c r="G99" i="52064"/>
  <c r="E99" i="9"/>
  <c r="H99" i="9" s="1"/>
  <c r="J99" i="52064"/>
  <c r="J193" i="105"/>
  <c r="G192" i="52083"/>
  <c r="K192" i="52083" s="1"/>
  <c r="M173" i="52097"/>
  <c r="G173" i="148"/>
  <c r="J173" i="148"/>
  <c r="H173" i="52082"/>
  <c r="G181" i="21"/>
  <c r="F180" i="52098"/>
  <c r="J180" i="52098" s="1"/>
  <c r="J181" i="21"/>
  <c r="G84" i="21"/>
  <c r="F84" i="52098"/>
  <c r="I84" i="52098" s="1"/>
  <c r="J84" i="21"/>
  <c r="G78" i="148"/>
  <c r="H78" i="52082"/>
  <c r="L78" i="52082" s="1"/>
  <c r="J78" i="148"/>
  <c r="F188" i="52072"/>
  <c r="J188" i="52072" s="1"/>
  <c r="F159" i="52072"/>
  <c r="J159" i="52072" s="1"/>
  <c r="J9" i="52081"/>
  <c r="F21" i="52081"/>
  <c r="F145" i="48"/>
  <c r="J160" i="91"/>
  <c r="L160" i="91" s="1"/>
  <c r="J136" i="91"/>
  <c r="G72" i="91"/>
  <c r="F187" i="32"/>
  <c r="C201" i="32"/>
  <c r="K201" i="32" s="1"/>
  <c r="F87" i="32"/>
  <c r="G175" i="52081"/>
  <c r="J175" i="52081"/>
  <c r="C21" i="52081"/>
  <c r="L37" i="52072"/>
  <c r="G126" i="52066"/>
  <c r="J126" i="52066"/>
  <c r="F183" i="48"/>
  <c r="J142" i="48"/>
  <c r="F142" i="52084"/>
  <c r="F114" i="48"/>
  <c r="F101" i="32"/>
  <c r="F67" i="32"/>
  <c r="F192" i="52080"/>
  <c r="J192" i="52080" s="1"/>
  <c r="F133" i="52095"/>
  <c r="F140" i="52094"/>
  <c r="F101" i="52093"/>
  <c r="G180" i="52092"/>
  <c r="J180" i="52092"/>
  <c r="F137" i="52092"/>
  <c r="J137" i="52092" s="1"/>
  <c r="F181" i="52066"/>
  <c r="F112" i="52066"/>
  <c r="J81" i="52066"/>
  <c r="G81" i="52066"/>
  <c r="F178" i="48"/>
  <c r="F99" i="48"/>
  <c r="G82" i="48"/>
  <c r="J82" i="48"/>
  <c r="L82" i="48" s="1"/>
  <c r="J125" i="91"/>
  <c r="G125" i="91"/>
  <c r="G125" i="52103"/>
  <c r="K125" i="52103" s="1"/>
  <c r="F64" i="91"/>
  <c r="C70" i="91"/>
  <c r="F139" i="32"/>
  <c r="F114" i="52080"/>
  <c r="G114" i="52080" s="1"/>
  <c r="J198" i="52094"/>
  <c r="F197" i="52077"/>
  <c r="F177" i="52094"/>
  <c r="F92" i="52094"/>
  <c r="L144" i="52093"/>
  <c r="F107" i="52093"/>
  <c r="F122" i="52077"/>
  <c r="G122" i="52092"/>
  <c r="J122" i="52092"/>
  <c r="L122" i="52092" s="1"/>
  <c r="F49" i="52092"/>
  <c r="J49" i="52092" s="1"/>
  <c r="B49" i="52092"/>
  <c r="F176" i="52091"/>
  <c r="J176" i="52091" s="1"/>
  <c r="L176" i="52091"/>
  <c r="F88" i="52091"/>
  <c r="J88" i="52091" s="1"/>
  <c r="F67" i="52091"/>
  <c r="J67" i="52091" s="1"/>
  <c r="J249" i="52091" s="1"/>
  <c r="F192" i="77"/>
  <c r="J192" i="77" s="1"/>
  <c r="L192" i="77"/>
  <c r="F198" i="52076"/>
  <c r="J199" i="12"/>
  <c r="J157" i="12"/>
  <c r="L157" i="12" s="1"/>
  <c r="F80" i="12"/>
  <c r="F191" i="20"/>
  <c r="F171" i="115"/>
  <c r="F164" i="114"/>
  <c r="I164" i="114" s="1"/>
  <c r="F165" i="52091"/>
  <c r="J165" i="52091" s="1"/>
  <c r="F108" i="52091"/>
  <c r="J108" i="52091" s="1"/>
  <c r="G92" i="52089"/>
  <c r="J92" i="52089"/>
  <c r="F149" i="12"/>
  <c r="F146" i="20"/>
  <c r="J10" i="32"/>
  <c r="J10" i="110"/>
  <c r="N10" i="110" s="1"/>
  <c r="F95" i="52080"/>
  <c r="B95" i="52080"/>
  <c r="G66" i="52080"/>
  <c r="G162" i="52095"/>
  <c r="J162" i="52095"/>
  <c r="L162" i="52095" s="1"/>
  <c r="P10" i="111"/>
  <c r="T10" i="111" s="1"/>
  <c r="G10" i="52095"/>
  <c r="J10" i="52095"/>
  <c r="F137" i="52094"/>
  <c r="F191" i="52093"/>
  <c r="J191" i="52093" s="1"/>
  <c r="L191" i="52093"/>
  <c r="F83" i="52093"/>
  <c r="F196" i="52092"/>
  <c r="J196" i="52092" s="1"/>
  <c r="L196" i="52092"/>
  <c r="G164" i="52092"/>
  <c r="J164" i="52092"/>
  <c r="L164" i="52092" s="1"/>
  <c r="F143" i="52066"/>
  <c r="F88" i="52066"/>
  <c r="J88" i="52066" s="1"/>
  <c r="J198" i="48"/>
  <c r="F197" i="52084"/>
  <c r="J197" i="52084" s="1"/>
  <c r="L122" i="48"/>
  <c r="F75" i="48"/>
  <c r="F187" i="91"/>
  <c r="C201" i="91"/>
  <c r="K201" i="91" s="1"/>
  <c r="F156" i="91"/>
  <c r="I156" i="91" s="1"/>
  <c r="C168" i="91"/>
  <c r="F160" i="32"/>
  <c r="I160" i="32" s="1"/>
  <c r="F64" i="32"/>
  <c r="I64" i="32" s="1"/>
  <c r="C70" i="32"/>
  <c r="G111" i="52080"/>
  <c r="J111" i="52080"/>
  <c r="L111" i="52080" s="1"/>
  <c r="P189" i="111"/>
  <c r="T189" i="111" s="1"/>
  <c r="J189" i="52095"/>
  <c r="G188" i="52075"/>
  <c r="K188" i="52075" s="1"/>
  <c r="P17" i="111"/>
  <c r="T17" i="111" s="1"/>
  <c r="G17" i="52095"/>
  <c r="J17" i="52095"/>
  <c r="F176" i="52094"/>
  <c r="J140" i="52093"/>
  <c r="G140" i="52093"/>
  <c r="F83" i="52091"/>
  <c r="J83" i="52091" s="1"/>
  <c r="L83" i="52091"/>
  <c r="L136" i="52090"/>
  <c r="F157" i="77"/>
  <c r="J157" i="77" s="1"/>
  <c r="J172" i="115"/>
  <c r="G172" i="115"/>
  <c r="J81" i="52089"/>
  <c r="G81" i="52089"/>
  <c r="G163" i="12"/>
  <c r="J163" i="12"/>
  <c r="L163" i="12" s="1"/>
  <c r="F162" i="52076"/>
  <c r="G12" i="52104"/>
  <c r="K12" i="52104" s="1"/>
  <c r="G12" i="115"/>
  <c r="J12" i="115"/>
  <c r="G123" i="52083"/>
  <c r="K123" i="52083" s="1"/>
  <c r="J123" i="52079"/>
  <c r="L192" i="52072"/>
  <c r="L122" i="52072"/>
  <c r="F166" i="52081"/>
  <c r="L159" i="52066"/>
  <c r="L113" i="48"/>
  <c r="J142" i="91"/>
  <c r="G142" i="52103"/>
  <c r="F86" i="91"/>
  <c r="G16" i="91"/>
  <c r="J16" i="91"/>
  <c r="L122" i="32"/>
  <c r="F77" i="32"/>
  <c r="F188" i="52081"/>
  <c r="J188" i="52081" s="1"/>
  <c r="G173" i="52072"/>
  <c r="J173" i="52072"/>
  <c r="L173" i="52072" s="1"/>
  <c r="F191" i="52072"/>
  <c r="J191" i="52072" s="1"/>
  <c r="L191" i="52072"/>
  <c r="G136" i="52072"/>
  <c r="J136" i="52072"/>
  <c r="L136" i="52072" s="1"/>
  <c r="G76" i="52072"/>
  <c r="J76" i="52072"/>
  <c r="L76" i="52072" s="1"/>
  <c r="F21" i="52066"/>
  <c r="G9" i="52066"/>
  <c r="J9" i="52066"/>
  <c r="F132" i="52084"/>
  <c r="J132" i="52084" s="1"/>
  <c r="J132" i="48"/>
  <c r="J12" i="48"/>
  <c r="F12" i="52084"/>
  <c r="J12" i="52084" s="1"/>
  <c r="J139" i="91"/>
  <c r="J75" i="91"/>
  <c r="G75" i="91"/>
  <c r="G75" i="52103"/>
  <c r="K75" i="52103" s="1"/>
  <c r="F188" i="32"/>
  <c r="F95" i="32"/>
  <c r="B95" i="32"/>
  <c r="G183" i="52080"/>
  <c r="J183" i="52080"/>
  <c r="L183" i="52080" s="1"/>
  <c r="J145" i="52093"/>
  <c r="L145" i="52093" s="1"/>
  <c r="G76" i="52093"/>
  <c r="F141" i="52092"/>
  <c r="G150" i="52066"/>
  <c r="F101" i="48"/>
  <c r="G139" i="148"/>
  <c r="M139" i="52097"/>
  <c r="Q139" i="52097" s="1"/>
  <c r="H139" i="52082"/>
  <c r="L139" i="52082" s="1"/>
  <c r="J139" i="148"/>
  <c r="G80" i="52064"/>
  <c r="E80" i="9"/>
  <c r="J80" i="52064"/>
  <c r="J107" i="108"/>
  <c r="G107" i="108"/>
  <c r="J16" i="108"/>
  <c r="G16" i="108"/>
  <c r="J172" i="105"/>
  <c r="G171" i="52083"/>
  <c r="K171" i="52083" s="1"/>
  <c r="G172" i="105"/>
  <c r="J188" i="148"/>
  <c r="M188" i="52097"/>
  <c r="Q188" i="52097" s="1"/>
  <c r="H188" i="52082"/>
  <c r="L188" i="52082" s="1"/>
  <c r="G171" i="21"/>
  <c r="F170" i="52098"/>
  <c r="J171" i="21"/>
  <c r="J10" i="148"/>
  <c r="G10" i="148"/>
  <c r="M10" i="52097"/>
  <c r="H10" i="52082"/>
  <c r="L10" i="52082" s="1"/>
  <c r="J136" i="21"/>
  <c r="F136" i="52098"/>
  <c r="J136" i="52098" s="1"/>
  <c r="G136" i="21"/>
  <c r="G161" i="52087"/>
  <c r="J161" i="52087"/>
  <c r="H145" i="52082"/>
  <c r="K145" i="52082" s="1"/>
  <c r="M145" i="52097"/>
  <c r="J145" i="148"/>
  <c r="F95" i="52064"/>
  <c r="F187" i="105"/>
  <c r="C201" i="105"/>
  <c r="F73" i="52098"/>
  <c r="G73" i="21"/>
  <c r="E110" i="9"/>
  <c r="F110" i="52098"/>
  <c r="J110" i="52098" s="1"/>
  <c r="J110" i="21"/>
  <c r="C44" i="101"/>
  <c r="J98" i="52087"/>
  <c r="G98" i="52087"/>
  <c r="G147" i="108"/>
  <c r="J147" i="108"/>
  <c r="G101" i="52083"/>
  <c r="K101" i="52083" s="1"/>
  <c r="G101" i="105"/>
  <c r="J101" i="105"/>
  <c r="C219" i="52088"/>
  <c r="G9" i="52083"/>
  <c r="G9" i="105"/>
  <c r="F21" i="105"/>
  <c r="J9" i="105"/>
  <c r="C219" i="52064"/>
  <c r="M84" i="52097"/>
  <c r="G84" i="148"/>
  <c r="H84" i="52082"/>
  <c r="K84" i="52082" s="1"/>
  <c r="J84" i="148"/>
  <c r="E163" i="9"/>
  <c r="G163" i="52064"/>
  <c r="E135" i="9"/>
  <c r="G135" i="52064"/>
  <c r="J135" i="52064"/>
  <c r="F143" i="52098"/>
  <c r="I143" i="52098" s="1"/>
  <c r="J143" i="21"/>
  <c r="F188" i="52098"/>
  <c r="J188" i="52098" s="1"/>
  <c r="J189" i="21"/>
  <c r="J13" i="52087"/>
  <c r="G13" i="52087"/>
  <c r="G86" i="108"/>
  <c r="J197" i="105"/>
  <c r="G196" i="52083"/>
  <c r="K196" i="52083" s="1"/>
  <c r="G164" i="148"/>
  <c r="M164" i="52097"/>
  <c r="H164" i="52082"/>
  <c r="J125" i="52064"/>
  <c r="G125" i="52064"/>
  <c r="E125" i="9"/>
  <c r="J92" i="148"/>
  <c r="G92" i="148"/>
  <c r="M92" i="52097"/>
  <c r="Q92" i="52097" s="1"/>
  <c r="H92" i="52082"/>
  <c r="L92" i="52082" s="1"/>
  <c r="G13" i="148"/>
  <c r="J13" i="148"/>
  <c r="H13" i="52082"/>
  <c r="L13" i="52082" s="1"/>
  <c r="M13" i="52097"/>
  <c r="Q13" i="52097" s="1"/>
  <c r="G133" i="52064"/>
  <c r="J133" i="52064"/>
  <c r="E133" i="9"/>
  <c r="J81" i="21"/>
  <c r="F81" i="52098"/>
  <c r="J81" i="52098" s="1"/>
  <c r="G81" i="21"/>
  <c r="J139" i="108"/>
  <c r="G139" i="108"/>
  <c r="J93" i="105"/>
  <c r="G93" i="105"/>
  <c r="G93" i="52083"/>
  <c r="J93" i="52083" s="1"/>
  <c r="J108" i="21"/>
  <c r="F108" i="52098"/>
  <c r="J108" i="52098" s="1"/>
  <c r="F21" i="101"/>
  <c r="J9" i="101"/>
  <c r="G9" i="101"/>
  <c r="J172" i="52087"/>
  <c r="G172" i="52087"/>
  <c r="J141" i="148"/>
  <c r="M141" i="52097"/>
  <c r="H141" i="52082"/>
  <c r="K141" i="52082" s="1"/>
  <c r="J91" i="52064"/>
  <c r="E91" i="9"/>
  <c r="C240" i="105"/>
  <c r="B129" i="105"/>
  <c r="M181" i="52097"/>
  <c r="Q181" i="52097" s="1"/>
  <c r="G181" i="148"/>
  <c r="J181" i="148"/>
  <c r="H181" i="52082"/>
  <c r="L181" i="52082" s="1"/>
  <c r="F156" i="21"/>
  <c r="C168" i="21"/>
  <c r="M120" i="52097"/>
  <c r="J120" i="148"/>
  <c r="H120" i="52082"/>
  <c r="L120" i="52082" s="1"/>
  <c r="J67" i="148"/>
  <c r="J249" i="148" s="1"/>
  <c r="H67" i="52082"/>
  <c r="L67" i="52082" s="1"/>
  <c r="M67" i="52097"/>
  <c r="Q67" i="52097" s="1"/>
  <c r="F95" i="21"/>
  <c r="B95" i="21"/>
  <c r="F176" i="52072"/>
  <c r="G100" i="52072"/>
  <c r="F93" i="52081"/>
  <c r="J12" i="52066"/>
  <c r="G12" i="52066"/>
  <c r="F141" i="48"/>
  <c r="J11" i="48"/>
  <c r="F11" i="52084"/>
  <c r="F148" i="91"/>
  <c r="G132" i="52103"/>
  <c r="K132" i="52103" s="1"/>
  <c r="J132" i="91"/>
  <c r="F88" i="91"/>
  <c r="F80" i="91"/>
  <c r="J193" i="32"/>
  <c r="J193" i="110"/>
  <c r="F94" i="32"/>
  <c r="J140" i="21"/>
  <c r="F140" i="52098"/>
  <c r="J140" i="52098" s="1"/>
  <c r="G140" i="21"/>
  <c r="F96" i="93"/>
  <c r="G107" i="93"/>
  <c r="I107" i="93" s="1"/>
  <c r="G108" i="93"/>
  <c r="I108" i="93" s="1"/>
  <c r="C120" i="93"/>
  <c r="G109" i="93"/>
  <c r="I109" i="93" s="1"/>
  <c r="G106" i="93"/>
  <c r="I106" i="93" s="1"/>
  <c r="G105" i="93"/>
  <c r="I105" i="93" s="1"/>
  <c r="F183" i="52081"/>
  <c r="G92" i="52081"/>
  <c r="J92" i="52081"/>
  <c r="F49" i="52072"/>
  <c r="J49" i="52072" s="1"/>
  <c r="F154" i="93"/>
  <c r="C168" i="93"/>
  <c r="F150" i="52072"/>
  <c r="L158" i="52066"/>
  <c r="J11" i="52066"/>
  <c r="G11" i="52066"/>
  <c r="F146" i="48"/>
  <c r="G173" i="32"/>
  <c r="J173" i="32"/>
  <c r="L173" i="32" s="1"/>
  <c r="G97" i="32"/>
  <c r="J97" i="32"/>
  <c r="L97" i="32" s="1"/>
  <c r="L188" i="52080"/>
  <c r="F78" i="52095"/>
  <c r="F136" i="52094"/>
  <c r="F177" i="52093"/>
  <c r="G84" i="52093"/>
  <c r="J84" i="52093"/>
  <c r="L84" i="52093" s="1"/>
  <c r="F148" i="52066"/>
  <c r="I148" i="52066" s="1"/>
  <c r="F90" i="52066"/>
  <c r="F187" i="48"/>
  <c r="C201" i="48"/>
  <c r="F119" i="52084"/>
  <c r="J119" i="52084" s="1"/>
  <c r="J119" i="48"/>
  <c r="L119" i="48" s="1"/>
  <c r="G86" i="48"/>
  <c r="J86" i="48"/>
  <c r="L86" i="48" s="1"/>
  <c r="F67" i="48"/>
  <c r="I67" i="48" s="1"/>
  <c r="I249" i="48" s="1"/>
  <c r="J192" i="91"/>
  <c r="L192" i="91" s="1"/>
  <c r="F101" i="91"/>
  <c r="G18" i="91"/>
  <c r="J18" i="91"/>
  <c r="F133" i="32"/>
  <c r="F163" i="52080"/>
  <c r="G163" i="52080" s="1"/>
  <c r="F110" i="52080"/>
  <c r="J194" i="52094"/>
  <c r="F193" i="52077"/>
  <c r="F173" i="52094"/>
  <c r="F78" i="52094"/>
  <c r="F139" i="52093"/>
  <c r="F183" i="52092"/>
  <c r="F157" i="52091"/>
  <c r="J157" i="52091" s="1"/>
  <c r="F84" i="52091"/>
  <c r="J84" i="52091" s="1"/>
  <c r="F183" i="52089"/>
  <c r="G110" i="52089"/>
  <c r="J110" i="52089" s="1"/>
  <c r="L110" i="52089" s="1"/>
  <c r="J10" i="77"/>
  <c r="G10" i="77"/>
  <c r="G72" i="12"/>
  <c r="J72" i="12" s="1"/>
  <c r="L72" i="12" s="1"/>
  <c r="F92" i="20"/>
  <c r="J140" i="115"/>
  <c r="F124" i="114"/>
  <c r="J124" i="114" s="1"/>
  <c r="L124" i="114"/>
  <c r="F148" i="52091"/>
  <c r="J148" i="52091" s="1"/>
  <c r="G93" i="52090"/>
  <c r="J93" i="52090"/>
  <c r="G83" i="52089"/>
  <c r="J83" i="52089"/>
  <c r="L83" i="52089" s="1"/>
  <c r="F137" i="12"/>
  <c r="F136" i="20"/>
  <c r="F85" i="52093"/>
  <c r="F171" i="52092"/>
  <c r="L37" i="52092"/>
  <c r="F161" i="52066"/>
  <c r="F93" i="52066"/>
  <c r="J19" i="52066"/>
  <c r="G19" i="52066"/>
  <c r="F177" i="48"/>
  <c r="G176" i="52103" s="1"/>
  <c r="K176" i="52103" s="1"/>
  <c r="J9" i="48"/>
  <c r="G9" i="48"/>
  <c r="F21" i="48"/>
  <c r="F9" i="52084"/>
  <c r="F170" i="91"/>
  <c r="C185" i="91"/>
  <c r="G90" i="91"/>
  <c r="G112" i="32"/>
  <c r="J112" i="32" s="1"/>
  <c r="L112" i="32" s="1"/>
  <c r="F131" i="52080"/>
  <c r="G145" i="52080"/>
  <c r="G141" i="52080"/>
  <c r="G146" i="52080"/>
  <c r="C154" i="52080"/>
  <c r="G144" i="52080"/>
  <c r="G143" i="52080"/>
  <c r="G142" i="52080"/>
  <c r="F195" i="52095"/>
  <c r="L37" i="52095"/>
  <c r="J189" i="52094"/>
  <c r="F188" i="52077"/>
  <c r="F146" i="52076"/>
  <c r="J146" i="52093"/>
  <c r="C21" i="52093"/>
  <c r="F92" i="52091"/>
  <c r="J92" i="52091" s="1"/>
  <c r="F140" i="52090"/>
  <c r="J140" i="52090" s="1"/>
  <c r="J83" i="52090"/>
  <c r="G83" i="52090"/>
  <c r="F175" i="12"/>
  <c r="L37" i="20"/>
  <c r="F137" i="52081"/>
  <c r="J137" i="52081" s="1"/>
  <c r="F164" i="52072"/>
  <c r="F161" i="52072"/>
  <c r="G83" i="52072"/>
  <c r="F191" i="52066"/>
  <c r="J191" i="52066" s="1"/>
  <c r="F146" i="91"/>
  <c r="F114" i="91"/>
  <c r="I114" i="91" s="1"/>
  <c r="F158" i="32"/>
  <c r="I158" i="32" s="1"/>
  <c r="F81" i="32"/>
  <c r="J15" i="32"/>
  <c r="J15" i="110"/>
  <c r="N15" i="110" s="1"/>
  <c r="F126" i="52072"/>
  <c r="I102" i="93"/>
  <c r="G102" i="93"/>
  <c r="F181" i="52081"/>
  <c r="F107" i="52081"/>
  <c r="F165" i="52072"/>
  <c r="J165" i="110" s="1"/>
  <c r="F183" i="52066"/>
  <c r="G100" i="52066"/>
  <c r="J100" i="52066" s="1"/>
  <c r="L100" i="52066" s="1"/>
  <c r="J13" i="52066"/>
  <c r="G13" i="52066"/>
  <c r="J140" i="48"/>
  <c r="L140" i="48" s="1"/>
  <c r="F140" i="52084"/>
  <c r="J140" i="52084" s="1"/>
  <c r="J19" i="48"/>
  <c r="F19" i="52084"/>
  <c r="J143" i="91"/>
  <c r="F196" i="32"/>
  <c r="G99" i="32"/>
  <c r="J99" i="32"/>
  <c r="L99" i="32" s="1"/>
  <c r="F74" i="32"/>
  <c r="L122" i="52080"/>
  <c r="G72" i="52080"/>
  <c r="J72" i="52080" s="1"/>
  <c r="L72" i="52080" s="1"/>
  <c r="J171" i="52093"/>
  <c r="L171" i="52093" s="1"/>
  <c r="G171" i="52093"/>
  <c r="G86" i="52093"/>
  <c r="J86" i="52093" s="1"/>
  <c r="L86" i="52093" s="1"/>
  <c r="F172" i="52092"/>
  <c r="G68" i="52092"/>
  <c r="J68" i="52092" s="1"/>
  <c r="G134" i="52066"/>
  <c r="J134" i="52066"/>
  <c r="F190" i="52084"/>
  <c r="J190" i="52084" s="1"/>
  <c r="J191" i="48"/>
  <c r="L191" i="48" s="1"/>
  <c r="J88" i="48"/>
  <c r="L88" i="48" s="1"/>
  <c r="F93" i="52095"/>
  <c r="G76" i="52075"/>
  <c r="P76" i="111"/>
  <c r="G76" i="52095"/>
  <c r="J76" i="52095" s="1"/>
  <c r="L76" i="52095" s="1"/>
  <c r="F75" i="52094"/>
  <c r="L192" i="52093"/>
  <c r="G126" i="52093"/>
  <c r="J126" i="52093"/>
  <c r="F64" i="52093"/>
  <c r="C70" i="52093"/>
  <c r="C103" i="52093" s="1"/>
  <c r="G174" i="52092"/>
  <c r="J174" i="52092"/>
  <c r="F75" i="52092"/>
  <c r="L179" i="52066"/>
  <c r="J138" i="52066"/>
  <c r="G138" i="52066"/>
  <c r="G106" i="52066"/>
  <c r="J106" i="52066" s="1"/>
  <c r="L106" i="52066" s="1"/>
  <c r="F198" i="52084"/>
  <c r="J198" i="52084" s="1"/>
  <c r="J199" i="48"/>
  <c r="F159" i="48"/>
  <c r="I159" i="48" s="1"/>
  <c r="F93" i="48"/>
  <c r="G93" i="52103" s="1"/>
  <c r="K93" i="52103" s="1"/>
  <c r="F76" i="52084"/>
  <c r="G76" i="48"/>
  <c r="J76" i="48"/>
  <c r="L76" i="48" s="1"/>
  <c r="J190" i="91"/>
  <c r="L190" i="91" s="1"/>
  <c r="G127" i="52103"/>
  <c r="F140" i="52080"/>
  <c r="J140" i="52080" s="1"/>
  <c r="F126" i="52095"/>
  <c r="F183" i="52093"/>
  <c r="I183" i="52093" s="1"/>
  <c r="F165" i="52092"/>
  <c r="I165" i="52092" s="1"/>
  <c r="G90" i="52092"/>
  <c r="J90" i="52092" s="1"/>
  <c r="L90" i="52092" s="1"/>
  <c r="F174" i="52091"/>
  <c r="J174" i="52091" s="1"/>
  <c r="F91" i="52091"/>
  <c r="J91" i="52091" s="1"/>
  <c r="F8" i="52091"/>
  <c r="I8" i="52091" s="1"/>
  <c r="C21" i="52091"/>
  <c r="F170" i="52090"/>
  <c r="C185" i="52090"/>
  <c r="F160" i="52089"/>
  <c r="J160" i="52089" s="1"/>
  <c r="J17" i="52089"/>
  <c r="G17" i="52089"/>
  <c r="F92" i="77"/>
  <c r="F172" i="12"/>
  <c r="F124" i="52074"/>
  <c r="J124" i="20"/>
  <c r="L124" i="20" s="1"/>
  <c r="J190" i="115"/>
  <c r="G74" i="115"/>
  <c r="J74" i="115"/>
  <c r="G125" i="52090"/>
  <c r="J125" i="52090"/>
  <c r="G68" i="52089"/>
  <c r="J68" i="52089" s="1"/>
  <c r="L68" i="52089" s="1"/>
  <c r="F49" i="52080"/>
  <c r="B49" i="52080"/>
  <c r="J139" i="101"/>
  <c r="G139" i="101"/>
  <c r="J182" i="52088"/>
  <c r="G182" i="52088"/>
  <c r="M143" i="52097"/>
  <c r="J143" i="148"/>
  <c r="H143" i="52082"/>
  <c r="K143" i="52082" s="1"/>
  <c r="E78" i="9"/>
  <c r="I78" i="9" s="1"/>
  <c r="J78" i="52064"/>
  <c r="J93" i="108"/>
  <c r="G93" i="108"/>
  <c r="H171" i="52082"/>
  <c r="L171" i="52082" s="1"/>
  <c r="J171" i="148"/>
  <c r="G171" i="148"/>
  <c r="M171" i="52097"/>
  <c r="M107" i="52097"/>
  <c r="Q107" i="52097" s="1"/>
  <c r="G107" i="148"/>
  <c r="H107" i="52082"/>
  <c r="L107" i="52082" s="1"/>
  <c r="J107" i="148"/>
  <c r="J196" i="21"/>
  <c r="F195" i="52098"/>
  <c r="J195" i="52098" s="1"/>
  <c r="F124" i="52098"/>
  <c r="J124" i="52098" s="1"/>
  <c r="G124" i="21"/>
  <c r="J124" i="21"/>
  <c r="J172" i="52088"/>
  <c r="G172" i="52088"/>
  <c r="J146" i="21"/>
  <c r="F146" i="52098"/>
  <c r="G145" i="52083"/>
  <c r="J145" i="108"/>
  <c r="G82" i="108"/>
  <c r="J82" i="108" s="1"/>
  <c r="G158" i="52083"/>
  <c r="K158" i="52083" s="1"/>
  <c r="J159" i="105"/>
  <c r="J141" i="52064"/>
  <c r="E141" i="9"/>
  <c r="J119" i="21"/>
  <c r="F119" i="52098"/>
  <c r="J119" i="52098" s="1"/>
  <c r="F98" i="52081"/>
  <c r="F137" i="52072"/>
  <c r="F73" i="52072"/>
  <c r="J101" i="52066"/>
  <c r="G101" i="52066"/>
  <c r="L188" i="52066"/>
  <c r="J17" i="48"/>
  <c r="F17" i="52084"/>
  <c r="J17" i="52084" s="1"/>
  <c r="F93" i="32"/>
  <c r="F100" i="52080"/>
  <c r="C253" i="52080"/>
  <c r="D28" i="52080"/>
  <c r="G97" i="52093"/>
  <c r="J97" i="52093"/>
  <c r="J176" i="52092"/>
  <c r="G176" i="52092"/>
  <c r="L176" i="52092" s="1"/>
  <c r="F77" i="52092"/>
  <c r="F173" i="52066"/>
  <c r="F127" i="52084"/>
  <c r="J159" i="91"/>
  <c r="L159" i="91" s="1"/>
  <c r="J9" i="32"/>
  <c r="J9" i="110"/>
  <c r="N9" i="110" s="1"/>
  <c r="F21" i="32"/>
  <c r="P194" i="111"/>
  <c r="T194" i="111" s="1"/>
  <c r="G193" i="52075"/>
  <c r="K193" i="52075" s="1"/>
  <c r="J194" i="52095"/>
  <c r="F159" i="52091"/>
  <c r="J159" i="52091" s="1"/>
  <c r="F176" i="52090"/>
  <c r="J98" i="77"/>
  <c r="G98" i="77"/>
  <c r="F188" i="115"/>
  <c r="G177" i="52089"/>
  <c r="J177" i="52089"/>
  <c r="F197" i="52080"/>
  <c r="J197" i="52080" s="1"/>
  <c r="J11" i="52094"/>
  <c r="F11" i="52077"/>
  <c r="G125" i="52093"/>
  <c r="J125" i="52093"/>
  <c r="J19" i="52093"/>
  <c r="G19" i="52093"/>
  <c r="F80" i="52077"/>
  <c r="G80" i="52092"/>
  <c r="J80" i="52092"/>
  <c r="L80" i="52092" s="1"/>
  <c r="F139" i="52066"/>
  <c r="F171" i="48"/>
  <c r="J197" i="91"/>
  <c r="G196" i="52103"/>
  <c r="K196" i="52103" s="1"/>
  <c r="F160" i="52080"/>
  <c r="J160" i="52080" s="1"/>
  <c r="F176" i="52095"/>
  <c r="F97" i="52094"/>
  <c r="C168" i="52091"/>
  <c r="F156" i="52091"/>
  <c r="L42" i="52091"/>
  <c r="F177" i="52090"/>
  <c r="F98" i="12"/>
  <c r="F174" i="115"/>
  <c r="F163" i="52090"/>
  <c r="I163" i="52090" s="1"/>
  <c r="F144" i="114"/>
  <c r="J144" i="114" s="1"/>
  <c r="G59" i="93"/>
  <c r="I59" i="93" s="1"/>
  <c r="L157" i="52072"/>
  <c r="F49" i="52081"/>
  <c r="J49" i="52081" s="1"/>
  <c r="B49" i="52081"/>
  <c r="G68" i="52072"/>
  <c r="J68" i="52072" s="1"/>
  <c r="L68" i="52072" s="1"/>
  <c r="G14" i="52066"/>
  <c r="J14" i="52066"/>
  <c r="F133" i="48"/>
  <c r="G106" i="91"/>
  <c r="J106" i="91" s="1"/>
  <c r="G106" i="52103"/>
  <c r="J180" i="110"/>
  <c r="N180" i="110" s="1"/>
  <c r="J180" i="32"/>
  <c r="G180" i="32"/>
  <c r="F158" i="52072"/>
  <c r="J158" i="52072" s="1"/>
  <c r="G148" i="52072"/>
  <c r="J148" i="52072"/>
  <c r="F144" i="48"/>
  <c r="F72" i="32"/>
  <c r="F98" i="52080"/>
  <c r="J135" i="52095"/>
  <c r="G135" i="52075"/>
  <c r="K135" i="52075" s="1"/>
  <c r="P135" i="111"/>
  <c r="J17" i="52072"/>
  <c r="G17" i="52072"/>
  <c r="G68" i="52066"/>
  <c r="J68" i="52066"/>
  <c r="L68" i="52066" s="1"/>
  <c r="J16" i="48"/>
  <c r="F16" i="52084"/>
  <c r="J16" i="52084" s="1"/>
  <c r="J9" i="52080"/>
  <c r="G9" i="52080"/>
  <c r="F21" i="52080"/>
  <c r="F196" i="52094"/>
  <c r="F21" i="52094"/>
  <c r="F51" i="52094" s="1"/>
  <c r="J9" i="52094"/>
  <c r="F9" i="52077"/>
  <c r="F100" i="52092"/>
  <c r="L190" i="77"/>
  <c r="F123" i="12"/>
  <c r="F193" i="52074"/>
  <c r="J193" i="52074" s="1"/>
  <c r="J194" i="115"/>
  <c r="G193" i="52104"/>
  <c r="K193" i="52104" s="1"/>
  <c r="F173" i="52089"/>
  <c r="F164" i="52080"/>
  <c r="F173" i="114"/>
  <c r="J9" i="52090"/>
  <c r="G9" i="52090"/>
  <c r="F21" i="52090"/>
  <c r="F51" i="52090" s="1"/>
  <c r="F166" i="12"/>
  <c r="L191" i="52080"/>
  <c r="J75" i="52095"/>
  <c r="G75" i="52095"/>
  <c r="F176" i="52093"/>
  <c r="F87" i="52093"/>
  <c r="F144" i="52092"/>
  <c r="J144" i="52092" s="1"/>
  <c r="F163" i="52066"/>
  <c r="J199" i="91"/>
  <c r="G198" i="52103"/>
  <c r="K198" i="52103" s="1"/>
  <c r="F183" i="32"/>
  <c r="F139" i="52080"/>
  <c r="J139" i="52080" s="1"/>
  <c r="L139" i="52080"/>
  <c r="F197" i="52094"/>
  <c r="J197" i="52094" s="1"/>
  <c r="L197" i="52094"/>
  <c r="G97" i="52092"/>
  <c r="J97" i="52092" s="1"/>
  <c r="F188" i="52090"/>
  <c r="J188" i="52090" s="1"/>
  <c r="L188" i="52090"/>
  <c r="F94" i="12"/>
  <c r="G126" i="114"/>
  <c r="J126" i="114"/>
  <c r="J17" i="77"/>
  <c r="G17" i="77"/>
  <c r="C21" i="108"/>
  <c r="F187" i="108"/>
  <c r="C201" i="108"/>
  <c r="H127" i="52082"/>
  <c r="K127" i="52082" s="1"/>
  <c r="M127" i="52097"/>
  <c r="J109" i="21"/>
  <c r="F109" i="52098"/>
  <c r="J109" i="52098" s="1"/>
  <c r="G181" i="52075"/>
  <c r="K181" i="52075" s="1"/>
  <c r="J182" i="114"/>
  <c r="G182" i="114"/>
  <c r="F145" i="52091"/>
  <c r="J145" i="52091" s="1"/>
  <c r="F126" i="115"/>
  <c r="G18" i="52067"/>
  <c r="J18" i="52067"/>
  <c r="J149" i="52087"/>
  <c r="G149" i="52087"/>
  <c r="J190" i="105"/>
  <c r="G189" i="52083"/>
  <c r="K189" i="52083" s="1"/>
  <c r="J112" i="52064"/>
  <c r="E112" i="9"/>
  <c r="I112" i="9" s="1"/>
  <c r="G83" i="52079"/>
  <c r="J83" i="52079"/>
  <c r="G165" i="52079"/>
  <c r="J165" i="52079"/>
  <c r="F170" i="77"/>
  <c r="C185" i="77"/>
  <c r="F83" i="12"/>
  <c r="F159" i="115"/>
  <c r="L146" i="52091"/>
  <c r="F107" i="77"/>
  <c r="G84" i="52079"/>
  <c r="J84" i="52079" s="1"/>
  <c r="G181" i="101"/>
  <c r="J181" i="101"/>
  <c r="E195" i="9"/>
  <c r="J195" i="52064"/>
  <c r="J164" i="105"/>
  <c r="G163" i="52083"/>
  <c r="G176" i="21"/>
  <c r="F175" i="52098"/>
  <c r="J175" i="52098" s="1"/>
  <c r="J176" i="21"/>
  <c r="F166" i="52091"/>
  <c r="J166" i="52091" s="1"/>
  <c r="L166" i="52091"/>
  <c r="J98" i="52090"/>
  <c r="G98" i="52090"/>
  <c r="F72" i="77"/>
  <c r="J16" i="52087"/>
  <c r="G16" i="52087"/>
  <c r="J144" i="108"/>
  <c r="J166" i="52071"/>
  <c r="G166" i="52071"/>
  <c r="J81" i="52079"/>
  <c r="G81" i="52079"/>
  <c r="G164" i="101"/>
  <c r="J164" i="101"/>
  <c r="G166" i="52088"/>
  <c r="J166" i="52088"/>
  <c r="J111" i="105"/>
  <c r="G111" i="52083"/>
  <c r="K111" i="52083" s="1"/>
  <c r="I111" i="105"/>
  <c r="F95" i="52089"/>
  <c r="I95" i="52089" s="1"/>
  <c r="B95" i="52089"/>
  <c r="F80" i="77"/>
  <c r="C44" i="20"/>
  <c r="F181" i="52093"/>
  <c r="F177" i="52092"/>
  <c r="F145" i="52066"/>
  <c r="J145" i="52066" s="1"/>
  <c r="G17" i="52066"/>
  <c r="J17" i="52066"/>
  <c r="F96" i="48"/>
  <c r="I96" i="48" s="1"/>
  <c r="J189" i="91"/>
  <c r="G188" i="52103"/>
  <c r="K188" i="52103" s="1"/>
  <c r="J134" i="32"/>
  <c r="J134" i="110"/>
  <c r="N134" i="110" s="1"/>
  <c r="F109" i="52080"/>
  <c r="G109" i="52075" s="1"/>
  <c r="F172" i="52094"/>
  <c r="F125" i="52092"/>
  <c r="P164" i="111"/>
  <c r="S164" i="111" s="1"/>
  <c r="J164" i="52091"/>
  <c r="L164" i="52091" s="1"/>
  <c r="J175" i="52090"/>
  <c r="G175" i="52090"/>
  <c r="J101" i="77"/>
  <c r="G101" i="77"/>
  <c r="G9" i="115"/>
  <c r="J9" i="115"/>
  <c r="F21" i="115"/>
  <c r="G9" i="52104"/>
  <c r="C21" i="12"/>
  <c r="J175" i="52071"/>
  <c r="G175" i="52071"/>
  <c r="G183" i="52087"/>
  <c r="J183" i="52087"/>
  <c r="G140" i="148"/>
  <c r="J140" i="148"/>
  <c r="H140" i="52082"/>
  <c r="L140" i="52082" s="1"/>
  <c r="M140" i="52097"/>
  <c r="J77" i="52064"/>
  <c r="E77" i="9"/>
  <c r="J188" i="105"/>
  <c r="G187" i="52083"/>
  <c r="K187" i="52083" s="1"/>
  <c r="J162" i="21"/>
  <c r="F161" i="52098"/>
  <c r="I161" i="52098" s="1"/>
  <c r="G162" i="21"/>
  <c r="J106" i="52064"/>
  <c r="E106" i="9"/>
  <c r="F111" i="52091"/>
  <c r="J111" i="52091" s="1"/>
  <c r="F78" i="77"/>
  <c r="G78" i="52079"/>
  <c r="J78" i="52079"/>
  <c r="G183" i="101"/>
  <c r="J183" i="101"/>
  <c r="E9" i="9"/>
  <c r="G9" i="52064"/>
  <c r="F21" i="52064"/>
  <c r="F51" i="52064" s="1"/>
  <c r="J9" i="52064"/>
  <c r="G94" i="148"/>
  <c r="H94" i="52082"/>
  <c r="L94" i="52082" s="1"/>
  <c r="J94" i="148"/>
  <c r="M94" i="52097"/>
  <c r="Q94" i="52097" s="1"/>
  <c r="F107" i="114"/>
  <c r="G92" i="52079"/>
  <c r="J92" i="52079"/>
  <c r="G162" i="52079"/>
  <c r="J162" i="52079"/>
  <c r="J107" i="105"/>
  <c r="G107" i="105"/>
  <c r="G107" i="52083"/>
  <c r="F109" i="52089"/>
  <c r="J198" i="12"/>
  <c r="F197" i="52076"/>
  <c r="J189" i="115"/>
  <c r="G188" i="52104"/>
  <c r="K188" i="52104" s="1"/>
  <c r="F175" i="114"/>
  <c r="F158" i="52089"/>
  <c r="J158" i="52089" s="1"/>
  <c r="L158" i="52089"/>
  <c r="G83" i="77"/>
  <c r="J83" i="77"/>
  <c r="G80" i="52079"/>
  <c r="J80" i="52079"/>
  <c r="B49" i="108"/>
  <c r="J136" i="101"/>
  <c r="G136" i="101"/>
  <c r="J98" i="52064"/>
  <c r="E98" i="9"/>
  <c r="I98" i="9" s="1"/>
  <c r="G68" i="108"/>
  <c r="J68" i="108" s="1"/>
  <c r="J14" i="148"/>
  <c r="H14" i="52082"/>
  <c r="L14" i="52082" s="1"/>
  <c r="M14" i="52097"/>
  <c r="J137" i="21"/>
  <c r="G137" i="21"/>
  <c r="F137" i="52098"/>
  <c r="J137" i="52098" s="1"/>
  <c r="F97" i="114"/>
  <c r="F109" i="52091"/>
  <c r="J109" i="52091" s="1"/>
  <c r="F84" i="52089"/>
  <c r="F78" i="20"/>
  <c r="J133" i="52079"/>
  <c r="G133" i="52079"/>
  <c r="J178" i="148"/>
  <c r="G178" i="148"/>
  <c r="H178" i="52082"/>
  <c r="L178" i="52082" s="1"/>
  <c r="M178" i="52097"/>
  <c r="Q178" i="52097" s="1"/>
  <c r="J87" i="52079"/>
  <c r="G87" i="52079"/>
  <c r="G76" i="52071"/>
  <c r="J76" i="52071" s="1"/>
  <c r="G78" i="52089"/>
  <c r="J78" i="52089" s="1"/>
  <c r="J135" i="20"/>
  <c r="F135" i="52074"/>
  <c r="J135" i="52074" s="1"/>
  <c r="J83" i="52088"/>
  <c r="G83" i="52088"/>
  <c r="E87" i="9"/>
  <c r="J87" i="52064"/>
  <c r="G87" i="52064"/>
  <c r="G98" i="52083"/>
  <c r="K98" i="52083" s="1"/>
  <c r="J98" i="105"/>
  <c r="G98" i="105"/>
  <c r="F118" i="52064"/>
  <c r="C129" i="52064"/>
  <c r="E140" i="9"/>
  <c r="I140" i="9" s="1"/>
  <c r="G140" i="52064"/>
  <c r="J140" i="52064"/>
  <c r="F131" i="52090"/>
  <c r="G142" i="52090"/>
  <c r="G145" i="52090"/>
  <c r="G144" i="52090"/>
  <c r="G143" i="52090"/>
  <c r="G146" i="52090"/>
  <c r="G141" i="52090"/>
  <c r="C154" i="52090"/>
  <c r="J177" i="52079"/>
  <c r="G177" i="52079"/>
  <c r="J166" i="52087"/>
  <c r="G166" i="52087"/>
  <c r="G163" i="101"/>
  <c r="J163" i="101"/>
  <c r="G17" i="52100"/>
  <c r="J17" i="52100"/>
  <c r="F81" i="52100"/>
  <c r="F98" i="52100"/>
  <c r="F120" i="52100"/>
  <c r="F139" i="52100"/>
  <c r="F159" i="52100"/>
  <c r="F178" i="52100"/>
  <c r="J198" i="52100"/>
  <c r="G198" i="52100"/>
  <c r="G197" i="52102"/>
  <c r="K197" i="52102" s="1"/>
  <c r="G93" i="101"/>
  <c r="J93" i="101"/>
  <c r="G161" i="52079"/>
  <c r="J161" i="52079"/>
  <c r="H142" i="52082"/>
  <c r="M142" i="52097"/>
  <c r="J148" i="108"/>
  <c r="G148" i="108"/>
  <c r="F170" i="148"/>
  <c r="C185" i="148"/>
  <c r="C243" i="148" s="1"/>
  <c r="J195" i="21"/>
  <c r="F194" i="52098"/>
  <c r="J194" i="52098" s="1"/>
  <c r="J92" i="52067"/>
  <c r="G92" i="52067"/>
  <c r="F156" i="52071"/>
  <c r="I156" i="52071" s="1"/>
  <c r="C168" i="52071"/>
  <c r="G13" i="52088"/>
  <c r="J13" i="52088"/>
  <c r="G95" i="108"/>
  <c r="J95" i="108" s="1"/>
  <c r="F150" i="52098"/>
  <c r="G150" i="21"/>
  <c r="J150" i="21"/>
  <c r="F74" i="52100"/>
  <c r="F91" i="52100"/>
  <c r="F110" i="52100"/>
  <c r="J132" i="52100"/>
  <c r="G132" i="52102"/>
  <c r="K132" i="52102" s="1"/>
  <c r="F148" i="52100"/>
  <c r="F171" i="52100"/>
  <c r="F191" i="52100"/>
  <c r="J194" i="91"/>
  <c r="G193" i="52103"/>
  <c r="K193" i="52103" s="1"/>
  <c r="G171" i="91"/>
  <c r="G170" i="52103"/>
  <c r="J171" i="91"/>
  <c r="L171" i="91" s="1"/>
  <c r="F111" i="32"/>
  <c r="J148" i="52080"/>
  <c r="L148" i="52080" s="1"/>
  <c r="G148" i="52080"/>
  <c r="F192" i="52095"/>
  <c r="G109" i="52093"/>
  <c r="J109" i="52093"/>
  <c r="F94" i="52092"/>
  <c r="F187" i="52091"/>
  <c r="C201" i="52091"/>
  <c r="K201" i="52091" s="1"/>
  <c r="B95" i="52091"/>
  <c r="G95" i="52091" s="1"/>
  <c r="F95" i="52091"/>
  <c r="L41" i="52091"/>
  <c r="J172" i="52090"/>
  <c r="G172" i="52090"/>
  <c r="L172" i="52090" s="1"/>
  <c r="G165" i="52089"/>
  <c r="J165" i="52089"/>
  <c r="L165" i="52089" s="1"/>
  <c r="F136" i="52089"/>
  <c r="J136" i="52089" s="1"/>
  <c r="L136" i="52089"/>
  <c r="F49" i="52089"/>
  <c r="J49" i="52089" s="1"/>
  <c r="B49" i="52089"/>
  <c r="L124" i="77"/>
  <c r="F174" i="12"/>
  <c r="F11" i="52076"/>
  <c r="J11" i="12"/>
  <c r="G11" i="12"/>
  <c r="J198" i="115"/>
  <c r="G197" i="52104"/>
  <c r="K197" i="52104" s="1"/>
  <c r="J146" i="115"/>
  <c r="G146" i="52104"/>
  <c r="K146" i="52104" s="1"/>
  <c r="J87" i="52089"/>
  <c r="G87" i="52089"/>
  <c r="F101" i="115"/>
  <c r="F75" i="52080"/>
  <c r="G101" i="21"/>
  <c r="F101" i="52098"/>
  <c r="J101" i="52098" s="1"/>
  <c r="J101" i="21"/>
  <c r="G152" i="148"/>
  <c r="J152" i="148"/>
  <c r="M152" i="52097"/>
  <c r="Q152" i="52097" s="1"/>
  <c r="H152" i="52082"/>
  <c r="E84" i="9"/>
  <c r="J84" i="52064"/>
  <c r="J15" i="105"/>
  <c r="G15" i="52083"/>
  <c r="K15" i="52083" s="1"/>
  <c r="J181" i="52064"/>
  <c r="G181" i="52064"/>
  <c r="E181" i="9"/>
  <c r="F174" i="52098"/>
  <c r="J174" i="52098" s="1"/>
  <c r="J175" i="21"/>
  <c r="G175" i="21"/>
  <c r="J88" i="148"/>
  <c r="M88" i="52097"/>
  <c r="H88" i="52082"/>
  <c r="K88" i="52082" s="1"/>
  <c r="J188" i="52064"/>
  <c r="E188" i="9"/>
  <c r="F72" i="52098"/>
  <c r="J72" i="52098" s="1"/>
  <c r="J72" i="21"/>
  <c r="G72" i="21"/>
  <c r="C30" i="52067"/>
  <c r="C44" i="52067" s="1"/>
  <c r="J74" i="52087"/>
  <c r="G74" i="52087"/>
  <c r="J133" i="108"/>
  <c r="G133" i="108"/>
  <c r="C21" i="52064"/>
  <c r="F177" i="52081"/>
  <c r="F133" i="52072"/>
  <c r="J18" i="52072"/>
  <c r="G18" i="52072"/>
  <c r="J49" i="91"/>
  <c r="J120" i="32"/>
  <c r="L120" i="32" s="1"/>
  <c r="F120" i="52072"/>
  <c r="J120" i="52072" s="1"/>
  <c r="I40" i="93"/>
  <c r="G40" i="93"/>
  <c r="C21" i="52072"/>
  <c r="G106" i="48"/>
  <c r="J106" i="48" s="1"/>
  <c r="L106" i="48" s="1"/>
  <c r="F106" i="52084"/>
  <c r="J141" i="91"/>
  <c r="F73" i="91"/>
  <c r="F159" i="32"/>
  <c r="F124" i="52080"/>
  <c r="J124" i="52080" s="1"/>
  <c r="F67" i="52080"/>
  <c r="G14" i="52095"/>
  <c r="J14" i="52095"/>
  <c r="P14" i="111"/>
  <c r="F133" i="52093"/>
  <c r="G85" i="52092"/>
  <c r="G173" i="91"/>
  <c r="G172" i="52103"/>
  <c r="F105" i="32"/>
  <c r="C116" i="32"/>
  <c r="G14" i="52080"/>
  <c r="J14" i="52080"/>
  <c r="F156" i="52093"/>
  <c r="I156" i="52093" s="1"/>
  <c r="C168" i="52093"/>
  <c r="F191" i="52091"/>
  <c r="J191" i="52091" s="1"/>
  <c r="L191" i="52091"/>
  <c r="G162" i="52089"/>
  <c r="J162" i="52089"/>
  <c r="L162" i="52089" s="1"/>
  <c r="L188" i="77"/>
  <c r="F93" i="12"/>
  <c r="G13" i="20"/>
  <c r="J13" i="20"/>
  <c r="F13" i="52074"/>
  <c r="J19" i="115"/>
  <c r="G19" i="52104"/>
  <c r="K19" i="52104" s="1"/>
  <c r="G19" i="115"/>
  <c r="G77" i="52080"/>
  <c r="F73" i="52094"/>
  <c r="G152" i="52093"/>
  <c r="J152" i="52093"/>
  <c r="F72" i="52092"/>
  <c r="J107" i="52066"/>
  <c r="G107" i="52066"/>
  <c r="L107" i="52066" s="1"/>
  <c r="F126" i="48"/>
  <c r="F174" i="91"/>
  <c r="F148" i="32"/>
  <c r="F145" i="52080"/>
  <c r="J145" i="52080" s="1"/>
  <c r="F125" i="52095"/>
  <c r="F187" i="52093"/>
  <c r="C201" i="52093"/>
  <c r="G99" i="52092"/>
  <c r="J99" i="52092"/>
  <c r="L99" i="52092" s="1"/>
  <c r="F124" i="52091"/>
  <c r="J124" i="52091" s="1"/>
  <c r="L124" i="52091"/>
  <c r="G164" i="52090"/>
  <c r="L164" i="52090" s="1"/>
  <c r="J164" i="52090"/>
  <c r="F101" i="20"/>
  <c r="G75" i="115"/>
  <c r="J75" i="115"/>
  <c r="L75" i="115" s="1"/>
  <c r="G140" i="52071"/>
  <c r="J140" i="52071"/>
  <c r="G92" i="52072"/>
  <c r="J92" i="52072"/>
  <c r="L195" i="52066"/>
  <c r="F166" i="48"/>
  <c r="F105" i="48"/>
  <c r="C116" i="48"/>
  <c r="F78" i="91"/>
  <c r="F98" i="32"/>
  <c r="I42" i="93"/>
  <c r="G42" i="93"/>
  <c r="G96" i="52072"/>
  <c r="F112" i="52072"/>
  <c r="F190" i="52066"/>
  <c r="J190" i="52066" s="1"/>
  <c r="F86" i="32"/>
  <c r="F126" i="52080"/>
  <c r="F166" i="52095"/>
  <c r="F175" i="52093"/>
  <c r="F175" i="52066"/>
  <c r="F72" i="48"/>
  <c r="J135" i="32"/>
  <c r="J135" i="110"/>
  <c r="F94" i="52080"/>
  <c r="G19" i="52095"/>
  <c r="J19" i="52095"/>
  <c r="P19" i="111"/>
  <c r="T19" i="111" s="1"/>
  <c r="G94" i="52094"/>
  <c r="J94" i="52094"/>
  <c r="J10" i="52093"/>
  <c r="G10" i="52093"/>
  <c r="C185" i="52091"/>
  <c r="F170" i="52091"/>
  <c r="L35" i="52091"/>
  <c r="F187" i="12"/>
  <c r="C201" i="12"/>
  <c r="F170" i="20"/>
  <c r="C185" i="20"/>
  <c r="J101" i="52090"/>
  <c r="G101" i="52090"/>
  <c r="L195" i="52080"/>
  <c r="G16" i="115"/>
  <c r="J16" i="115"/>
  <c r="G16" i="52104"/>
  <c r="K16" i="52104" s="1"/>
  <c r="G166" i="52090"/>
  <c r="J166" i="52090"/>
  <c r="J81" i="77"/>
  <c r="G81" i="77"/>
  <c r="F125" i="115"/>
  <c r="F68" i="52080"/>
  <c r="I68" i="52080" s="1"/>
  <c r="G87" i="52095"/>
  <c r="J87" i="52095"/>
  <c r="G18" i="52094"/>
  <c r="F18" i="52077"/>
  <c r="J18" i="52094"/>
  <c r="F119" i="52093"/>
  <c r="J119" i="52093" s="1"/>
  <c r="G17" i="52093"/>
  <c r="J17" i="52093"/>
  <c r="F67" i="52092"/>
  <c r="F82" i="52066"/>
  <c r="F77" i="48"/>
  <c r="L37" i="91"/>
  <c r="J13" i="32"/>
  <c r="J13" i="110"/>
  <c r="J12" i="52080"/>
  <c r="G12" i="52080"/>
  <c r="F187" i="52094"/>
  <c r="C201" i="52094"/>
  <c r="F142" i="52093"/>
  <c r="I142" i="52093" s="1"/>
  <c r="F77" i="52091"/>
  <c r="J77" i="52091" s="1"/>
  <c r="G81" i="52090"/>
  <c r="J81" i="52090"/>
  <c r="J193" i="20"/>
  <c r="F192" i="52074"/>
  <c r="J192" i="52074" s="1"/>
  <c r="F183" i="52091"/>
  <c r="G166" i="148"/>
  <c r="J166" i="148"/>
  <c r="M166" i="52097"/>
  <c r="Q166" i="52097" s="1"/>
  <c r="H166" i="52082"/>
  <c r="L166" i="52082" s="1"/>
  <c r="E66" i="9"/>
  <c r="F66" i="52098"/>
  <c r="I66" i="52098" s="1"/>
  <c r="G66" i="52064"/>
  <c r="J66" i="52064"/>
  <c r="G87" i="105"/>
  <c r="J87" i="105"/>
  <c r="G87" i="52083"/>
  <c r="K87" i="52083" s="1"/>
  <c r="G77" i="148"/>
  <c r="H77" i="52082"/>
  <c r="M77" i="52097"/>
  <c r="J194" i="21"/>
  <c r="F193" i="52098"/>
  <c r="J193" i="52098" s="1"/>
  <c r="F170" i="114"/>
  <c r="C185" i="114"/>
  <c r="G80" i="52089"/>
  <c r="J80" i="52089"/>
  <c r="G16" i="52071"/>
  <c r="J16" i="52071"/>
  <c r="J177" i="52071"/>
  <c r="G177" i="52071"/>
  <c r="J18" i="108"/>
  <c r="G18" i="108"/>
  <c r="J101" i="148"/>
  <c r="H101" i="52082"/>
  <c r="L101" i="52082" s="1"/>
  <c r="M101" i="52097"/>
  <c r="Q101" i="52097" s="1"/>
  <c r="G67" i="21"/>
  <c r="J67" i="21" s="1"/>
  <c r="J249" i="21" s="1"/>
  <c r="F67" i="52098"/>
  <c r="I67" i="52098" s="1"/>
  <c r="G94" i="52079"/>
  <c r="J94" i="52079"/>
  <c r="G17" i="52087"/>
  <c r="J17" i="52087"/>
  <c r="G163" i="52089"/>
  <c r="F178" i="77"/>
  <c r="F92" i="12"/>
  <c r="J14" i="20"/>
  <c r="F14" i="52074"/>
  <c r="F187" i="114"/>
  <c r="C201" i="114"/>
  <c r="K201" i="114" s="1"/>
  <c r="L122" i="52089"/>
  <c r="F74" i="20"/>
  <c r="J107" i="52079"/>
  <c r="G107" i="52079"/>
  <c r="J81" i="52071"/>
  <c r="G81" i="52071"/>
  <c r="J126" i="108"/>
  <c r="G126" i="108"/>
  <c r="G114" i="108"/>
  <c r="J114" i="108"/>
  <c r="F170" i="52064"/>
  <c r="C185" i="52064"/>
  <c r="G134" i="21"/>
  <c r="F134" i="52098"/>
  <c r="J134" i="52098" s="1"/>
  <c r="J134" i="21"/>
  <c r="F139" i="52091"/>
  <c r="J139" i="52091" s="1"/>
  <c r="F107" i="20"/>
  <c r="G86" i="52079"/>
  <c r="J86" i="52079" s="1"/>
  <c r="J16" i="101"/>
  <c r="G16" i="101"/>
  <c r="J198" i="105"/>
  <c r="G197" i="52083"/>
  <c r="K197" i="52083" s="1"/>
  <c r="E160" i="9"/>
  <c r="J160" i="52064"/>
  <c r="F187" i="52064"/>
  <c r="C201" i="52064"/>
  <c r="F140" i="77"/>
  <c r="J140" i="77" s="1"/>
  <c r="F183" i="20"/>
  <c r="C21" i="52094"/>
  <c r="B49" i="52094" s="1"/>
  <c r="F190" i="52092"/>
  <c r="J190" i="52092" s="1"/>
  <c r="L190" i="52092"/>
  <c r="F82" i="52092"/>
  <c r="G172" i="52066"/>
  <c r="J172" i="52066"/>
  <c r="G67" i="52066"/>
  <c r="J67" i="52066"/>
  <c r="J249" i="52066" s="1"/>
  <c r="F120" i="48"/>
  <c r="J14" i="48"/>
  <c r="F14" i="52084"/>
  <c r="J146" i="32"/>
  <c r="J146" i="110"/>
  <c r="N146" i="110" s="1"/>
  <c r="F133" i="52080"/>
  <c r="J133" i="52080" s="1"/>
  <c r="L133" i="52080"/>
  <c r="F170" i="52095"/>
  <c r="C185" i="52095"/>
  <c r="F192" i="52091"/>
  <c r="J192" i="52091" s="1"/>
  <c r="F122" i="52091"/>
  <c r="J122" i="52091" s="1"/>
  <c r="J75" i="52090"/>
  <c r="G75" i="52090"/>
  <c r="F18" i="52076"/>
  <c r="G18" i="12"/>
  <c r="J18" i="12"/>
  <c r="F123" i="52090"/>
  <c r="J123" i="52090" s="1"/>
  <c r="L123" i="52090"/>
  <c r="F131" i="52079"/>
  <c r="G143" i="52079"/>
  <c r="J143" i="52079" s="1"/>
  <c r="G146" i="52079"/>
  <c r="G144" i="52079"/>
  <c r="G141" i="52079"/>
  <c r="G142" i="52079"/>
  <c r="C154" i="52079"/>
  <c r="G145" i="52079"/>
  <c r="G9" i="52087"/>
  <c r="J9" i="52087"/>
  <c r="F21" i="52087"/>
  <c r="F51" i="52087" s="1"/>
  <c r="F49" i="101"/>
  <c r="J49" i="101" s="1"/>
  <c r="B49" i="101"/>
  <c r="J16" i="52088"/>
  <c r="G16" i="52088"/>
  <c r="G148" i="148"/>
  <c r="J148" i="148"/>
  <c r="H148" i="52082"/>
  <c r="M148" i="52097"/>
  <c r="G94" i="52064"/>
  <c r="E94" i="9"/>
  <c r="J94" i="52064"/>
  <c r="J92" i="108"/>
  <c r="G92" i="108"/>
  <c r="G124" i="52064"/>
  <c r="J124" i="52064"/>
  <c r="E124" i="9"/>
  <c r="J146" i="52064"/>
  <c r="E146" i="9"/>
  <c r="G77" i="21"/>
  <c r="J77" i="21"/>
  <c r="F131" i="52091"/>
  <c r="C154" i="52091"/>
  <c r="L124" i="52090"/>
  <c r="G72" i="52089"/>
  <c r="J174" i="52079"/>
  <c r="G174" i="52079"/>
  <c r="G173" i="52071"/>
  <c r="J173" i="52071"/>
  <c r="G163" i="148"/>
  <c r="H163" i="52082"/>
  <c r="J163" i="148"/>
  <c r="M163" i="52097"/>
  <c r="H110" i="52082"/>
  <c r="L110" i="52082" s="1"/>
  <c r="M110" i="52097"/>
  <c r="Q110" i="52097" s="1"/>
  <c r="J110" i="148"/>
  <c r="J178" i="21"/>
  <c r="F177" i="52098"/>
  <c r="J177" i="52098" s="1"/>
  <c r="G178" i="21"/>
  <c r="J18" i="21"/>
  <c r="G18" i="21"/>
  <c r="F18" i="52098"/>
  <c r="J18" i="52098" s="1"/>
  <c r="G74" i="52071"/>
  <c r="J74" i="52071"/>
  <c r="J177" i="108"/>
  <c r="G177" i="108"/>
  <c r="J18" i="77"/>
  <c r="G18" i="77"/>
  <c r="J199" i="115"/>
  <c r="G198" i="52104"/>
  <c r="K198" i="52104" s="1"/>
  <c r="G14" i="115"/>
  <c r="J14" i="115"/>
  <c r="G14" i="52104"/>
  <c r="K14" i="52104" s="1"/>
  <c r="F106" i="52091"/>
  <c r="J106" i="52091" s="1"/>
  <c r="J98" i="115"/>
  <c r="L98" i="115" s="1"/>
  <c r="G98" i="52104"/>
  <c r="G81" i="52088"/>
  <c r="J81" i="52088"/>
  <c r="G19" i="52087"/>
  <c r="J19" i="52087"/>
  <c r="J144" i="148"/>
  <c r="H144" i="52082"/>
  <c r="L144" i="52082" s="1"/>
  <c r="M144" i="52097"/>
  <c r="J159" i="148"/>
  <c r="H159" i="52082"/>
  <c r="L159" i="52082" s="1"/>
  <c r="M159" i="52097"/>
  <c r="H90" i="52082"/>
  <c r="K90" i="52082" s="1"/>
  <c r="G90" i="148"/>
  <c r="J90" i="148"/>
  <c r="M90" i="52097"/>
  <c r="J125" i="114"/>
  <c r="G125" i="114"/>
  <c r="L125" i="114" s="1"/>
  <c r="L137" i="52091"/>
  <c r="F178" i="52089"/>
  <c r="J12" i="12"/>
  <c r="G12" i="12"/>
  <c r="F12" i="52076"/>
  <c r="J145" i="52079"/>
  <c r="F170" i="108"/>
  <c r="C185" i="108"/>
  <c r="C243" i="108" s="1"/>
  <c r="G126" i="105"/>
  <c r="J126" i="105"/>
  <c r="G126" i="52083"/>
  <c r="K126" i="52083" s="1"/>
  <c r="J87" i="21"/>
  <c r="G87" i="21"/>
  <c r="F87" i="52098"/>
  <c r="J87" i="52098" s="1"/>
  <c r="J136" i="52079"/>
  <c r="G136" i="52079"/>
  <c r="G126" i="52067"/>
  <c r="J126" i="52067"/>
  <c r="J97" i="108"/>
  <c r="G97" i="108"/>
  <c r="F86" i="52089"/>
  <c r="G86" i="52102" s="1"/>
  <c r="G14" i="12"/>
  <c r="J14" i="12" s="1"/>
  <c r="F14" i="52076"/>
  <c r="G166" i="52067"/>
  <c r="J166" i="52067"/>
  <c r="G193" i="52083"/>
  <c r="K193" i="52083" s="1"/>
  <c r="J194" i="105"/>
  <c r="H18" i="52082"/>
  <c r="L18" i="52082" s="1"/>
  <c r="M18" i="52097"/>
  <c r="Q18" i="52097" s="1"/>
  <c r="J18" i="148"/>
  <c r="G18" i="148"/>
  <c r="G68" i="148"/>
  <c r="M68" i="52097"/>
  <c r="H68" i="52082"/>
  <c r="K68" i="52082" s="1"/>
  <c r="J68" i="148"/>
  <c r="J12" i="21"/>
  <c r="F12" i="52098"/>
  <c r="J12" i="52098" s="1"/>
  <c r="G13" i="101"/>
  <c r="J13" i="101"/>
  <c r="F170" i="52071"/>
  <c r="C185" i="52071"/>
  <c r="C243" i="52071" s="1"/>
  <c r="G9" i="52079"/>
  <c r="J9" i="52079"/>
  <c r="F21" i="52079"/>
  <c r="F51" i="52079" s="1"/>
  <c r="G107" i="52088"/>
  <c r="J107" i="52088"/>
  <c r="F77" i="52100"/>
  <c r="F94" i="52100"/>
  <c r="G135" i="52100"/>
  <c r="J135" i="52100"/>
  <c r="G135" i="52102"/>
  <c r="K135" i="52102" s="1"/>
  <c r="F152" i="52100"/>
  <c r="F174" i="52100"/>
  <c r="J194" i="52100"/>
  <c r="G194" i="52100"/>
  <c r="G193" i="52102"/>
  <c r="K193" i="52102" s="1"/>
  <c r="G80" i="52067"/>
  <c r="J80" i="52067"/>
  <c r="G18" i="52071"/>
  <c r="J18" i="52071"/>
  <c r="J16" i="52067"/>
  <c r="G16" i="52067"/>
  <c r="G10" i="105"/>
  <c r="J10" i="105"/>
  <c r="G10" i="52083"/>
  <c r="K10" i="52083" s="1"/>
  <c r="F105" i="148"/>
  <c r="C116" i="148"/>
  <c r="F133" i="114"/>
  <c r="J133" i="114" s="1"/>
  <c r="L133" i="114" s="1"/>
  <c r="J171" i="52079"/>
  <c r="G171" i="52079"/>
  <c r="G19" i="52067"/>
  <c r="J19" i="52067"/>
  <c r="G98" i="52079"/>
  <c r="J98" i="52079"/>
  <c r="G9" i="108"/>
  <c r="J9" i="108"/>
  <c r="F21" i="108"/>
  <c r="F78" i="52100"/>
  <c r="F95" i="52100"/>
  <c r="B95" i="52100"/>
  <c r="F114" i="52100"/>
  <c r="F136" i="52100"/>
  <c r="F156" i="52100"/>
  <c r="C168" i="52100"/>
  <c r="F175" i="52100"/>
  <c r="F195" i="52100"/>
  <c r="G149" i="52064"/>
  <c r="E149" i="9"/>
  <c r="J149" i="52064"/>
  <c r="F178" i="93"/>
  <c r="H178" i="93" s="1"/>
  <c r="C200" i="93"/>
  <c r="F139" i="52081"/>
  <c r="J139" i="52081" s="1"/>
  <c r="F108" i="52081"/>
  <c r="F139" i="52072"/>
  <c r="F111" i="52072"/>
  <c r="I111" i="52072" s="1"/>
  <c r="G77" i="52072"/>
  <c r="L121" i="52066"/>
  <c r="J152" i="48"/>
  <c r="F151" i="52084"/>
  <c r="J151" i="52084" s="1"/>
  <c r="G152" i="48"/>
  <c r="F107" i="48"/>
  <c r="F170" i="32"/>
  <c r="C185" i="32"/>
  <c r="F100" i="32"/>
  <c r="F156" i="52072"/>
  <c r="I156" i="52072" s="1"/>
  <c r="C168" i="52072"/>
  <c r="F101" i="52072"/>
  <c r="F36" i="93"/>
  <c r="C70" i="93"/>
  <c r="C170" i="93" s="1"/>
  <c r="G138" i="52072"/>
  <c r="J138" i="52072"/>
  <c r="F106" i="52072"/>
  <c r="J106" i="52072" s="1"/>
  <c r="F82" i="52072"/>
  <c r="I82" i="52072" s="1"/>
  <c r="G74" i="52072"/>
  <c r="J74" i="52072"/>
  <c r="L74" i="52072" s="1"/>
  <c r="F192" i="52066"/>
  <c r="J192" i="52066" s="1"/>
  <c r="L192" i="52066"/>
  <c r="F49" i="52066"/>
  <c r="J49" i="52066" s="1"/>
  <c r="B49" i="52066"/>
  <c r="J152" i="91"/>
  <c r="G151" i="52103"/>
  <c r="K151" i="52103" s="1"/>
  <c r="G152" i="91"/>
  <c r="F133" i="91"/>
  <c r="F85" i="91"/>
  <c r="F66" i="91"/>
  <c r="F190" i="32"/>
  <c r="L121" i="32"/>
  <c r="F120" i="52080"/>
  <c r="J120" i="52080" s="1"/>
  <c r="G82" i="52080"/>
  <c r="L37" i="52080"/>
  <c r="G162" i="52075"/>
  <c r="G163" i="52095"/>
  <c r="F87" i="52094"/>
  <c r="L160" i="52093"/>
  <c r="G80" i="52093"/>
  <c r="J80" i="52093"/>
  <c r="F191" i="52092"/>
  <c r="J191" i="52092" s="1"/>
  <c r="L191" i="52092"/>
  <c r="L113" i="52092"/>
  <c r="F81" i="52092"/>
  <c r="J18" i="52092"/>
  <c r="G18" i="52092"/>
  <c r="J177" i="52066"/>
  <c r="G177" i="52066"/>
  <c r="G136" i="52066"/>
  <c r="J136" i="52066"/>
  <c r="F170" i="48"/>
  <c r="C185" i="48"/>
  <c r="J196" i="91"/>
  <c r="F164" i="91"/>
  <c r="I164" i="91" s="1"/>
  <c r="G147" i="32"/>
  <c r="J147" i="32"/>
  <c r="L147" i="32" s="1"/>
  <c r="C30" i="32"/>
  <c r="C44" i="32" s="1"/>
  <c r="L23" i="32"/>
  <c r="F142" i="52080"/>
  <c r="J142" i="52080" s="1"/>
  <c r="J198" i="52095"/>
  <c r="P198" i="111"/>
  <c r="T198" i="111" s="1"/>
  <c r="G197" i="52075"/>
  <c r="K197" i="52075" s="1"/>
  <c r="G163" i="52075"/>
  <c r="J163" i="52075" s="1"/>
  <c r="G164" i="52095"/>
  <c r="J164" i="52095"/>
  <c r="L164" i="52095" s="1"/>
  <c r="F92" i="52092"/>
  <c r="L180" i="52091"/>
  <c r="L101" i="52091"/>
  <c r="L195" i="52090"/>
  <c r="G80" i="52090"/>
  <c r="L80" i="52090" s="1"/>
  <c r="J80" i="52090"/>
  <c r="G150" i="52089"/>
  <c r="J150" i="52089" s="1"/>
  <c r="L150" i="52089" s="1"/>
  <c r="G19" i="52089"/>
  <c r="J19" i="52089"/>
  <c r="F175" i="77"/>
  <c r="F191" i="12"/>
  <c r="F176" i="20"/>
  <c r="J196" i="115"/>
  <c r="G195" i="52104"/>
  <c r="K195" i="52104" s="1"/>
  <c r="J136" i="115"/>
  <c r="J10" i="115"/>
  <c r="G10" i="52104"/>
  <c r="K10" i="52104" s="1"/>
  <c r="G10" i="115"/>
  <c r="G100" i="52089"/>
  <c r="G13" i="77"/>
  <c r="J13" i="77"/>
  <c r="G73" i="52080"/>
  <c r="F166" i="52094"/>
  <c r="J15" i="52094"/>
  <c r="F15" i="52077"/>
  <c r="J174" i="52093"/>
  <c r="G174" i="52093"/>
  <c r="J143" i="52093"/>
  <c r="F94" i="52093"/>
  <c r="G84" i="52092"/>
  <c r="J84" i="52092"/>
  <c r="L84" i="52092" s="1"/>
  <c r="F147" i="52066"/>
  <c r="F80" i="52066"/>
  <c r="F80" i="52084" s="1"/>
  <c r="F181" i="48"/>
  <c r="F98" i="48"/>
  <c r="F172" i="91"/>
  <c r="F140" i="32"/>
  <c r="J16" i="32"/>
  <c r="G16" i="32"/>
  <c r="J16" i="110"/>
  <c r="N16" i="110" s="1"/>
  <c r="F141" i="52080"/>
  <c r="J141" i="52080" s="1"/>
  <c r="F191" i="52095"/>
  <c r="J199" i="52094"/>
  <c r="F198" i="52077"/>
  <c r="F101" i="52094"/>
  <c r="F182" i="52093"/>
  <c r="G163" i="52092"/>
  <c r="J163" i="52092"/>
  <c r="L163" i="52092" s="1"/>
  <c r="F171" i="52091"/>
  <c r="F96" i="52091"/>
  <c r="J96" i="52091" s="1"/>
  <c r="F81" i="12"/>
  <c r="G9" i="20"/>
  <c r="F21" i="20"/>
  <c r="J9" i="20"/>
  <c r="F9" i="52074"/>
  <c r="F170" i="115"/>
  <c r="C185" i="115"/>
  <c r="J14" i="52090"/>
  <c r="G14" i="52090"/>
  <c r="C21" i="20"/>
  <c r="G136" i="52071"/>
  <c r="J136" i="52071"/>
  <c r="G183" i="52071"/>
  <c r="J183" i="52071"/>
  <c r="F118" i="52072"/>
  <c r="C129" i="52072"/>
  <c r="F131" i="52072"/>
  <c r="J131" i="52072" s="1"/>
  <c r="G143" i="52072"/>
  <c r="G145" i="52072"/>
  <c r="G141" i="52072"/>
  <c r="G142" i="52072"/>
  <c r="G146" i="52072"/>
  <c r="G144" i="52072"/>
  <c r="C154" i="52072"/>
  <c r="F105" i="52072"/>
  <c r="I105" i="52072" s="1"/>
  <c r="C116" i="52072"/>
  <c r="F64" i="52072"/>
  <c r="C70" i="52072"/>
  <c r="C103" i="52072" s="1"/>
  <c r="G99" i="52066"/>
  <c r="J99" i="52066"/>
  <c r="L99" i="52066" s="1"/>
  <c r="J10" i="52066"/>
  <c r="G10" i="52066"/>
  <c r="F143" i="48"/>
  <c r="J143" i="48" s="1"/>
  <c r="F109" i="48"/>
  <c r="G162" i="91"/>
  <c r="J162" i="91"/>
  <c r="G82" i="91"/>
  <c r="J82" i="91" s="1"/>
  <c r="G82" i="52103"/>
  <c r="C21" i="91"/>
  <c r="F126" i="32"/>
  <c r="G66" i="32"/>
  <c r="J66" i="32" s="1"/>
  <c r="L66" i="32" s="1"/>
  <c r="L121" i="52072"/>
  <c r="F140" i="52072"/>
  <c r="F72" i="52072"/>
  <c r="I72" i="52072" s="1"/>
  <c r="L120" i="52066"/>
  <c r="F136" i="48"/>
  <c r="J49" i="48"/>
  <c r="F49" i="52084"/>
  <c r="J49" i="52084" s="1"/>
  <c r="J137" i="91"/>
  <c r="G137" i="52103"/>
  <c r="K137" i="52103" s="1"/>
  <c r="G107" i="91"/>
  <c r="J107" i="91"/>
  <c r="G107" i="52103"/>
  <c r="K107" i="52103" s="1"/>
  <c r="G83" i="91"/>
  <c r="J83" i="91"/>
  <c r="G83" i="52103"/>
  <c r="G17" i="91"/>
  <c r="J17" i="91"/>
  <c r="F192" i="32"/>
  <c r="F119" i="32"/>
  <c r="F49" i="32"/>
  <c r="B49" i="32"/>
  <c r="F170" i="52080"/>
  <c r="C185" i="52080"/>
  <c r="F88" i="52080"/>
  <c r="J88" i="52080" s="1"/>
  <c r="G9" i="52095"/>
  <c r="J9" i="52095"/>
  <c r="P9" i="111"/>
  <c r="T9" i="111" s="1"/>
  <c r="F21" i="52095"/>
  <c r="F51" i="52095" s="1"/>
  <c r="L179" i="52093"/>
  <c r="G78" i="52093"/>
  <c r="J78" i="52093" s="1"/>
  <c r="G9" i="52093"/>
  <c r="J9" i="52093"/>
  <c r="F21" i="52093"/>
  <c r="F51" i="52093" s="1"/>
  <c r="J178" i="52092"/>
  <c r="G178" i="52092"/>
  <c r="G149" i="52092"/>
  <c r="J149" i="52092" s="1"/>
  <c r="L149" i="52092" s="1"/>
  <c r="F131" i="52092"/>
  <c r="I131" i="52092" s="1"/>
  <c r="G143" i="52092"/>
  <c r="G141" i="52092"/>
  <c r="G145" i="52092"/>
  <c r="G142" i="52092"/>
  <c r="G144" i="52092"/>
  <c r="C154" i="52092"/>
  <c r="G146" i="52092"/>
  <c r="J9" i="52072"/>
  <c r="F21" i="52072"/>
  <c r="G92" i="52066"/>
  <c r="L92" i="52066" s="1"/>
  <c r="J92" i="52066"/>
  <c r="F195" i="48"/>
  <c r="F97" i="48"/>
  <c r="J97" i="110" s="1"/>
  <c r="G99" i="91"/>
  <c r="J99" i="91"/>
  <c r="L99" i="91" s="1"/>
  <c r="F141" i="32"/>
  <c r="J14" i="32"/>
  <c r="J14" i="110"/>
  <c r="F108" i="52080"/>
  <c r="J108" i="52080" s="1"/>
  <c r="L108" i="52080"/>
  <c r="F196" i="52095"/>
  <c r="G98" i="52075"/>
  <c r="K98" i="52075" s="1"/>
  <c r="P98" i="111"/>
  <c r="J98" i="52095"/>
  <c r="G98" i="52095"/>
  <c r="F192" i="52094"/>
  <c r="F126" i="52094"/>
  <c r="G148" i="52093"/>
  <c r="J148" i="52093"/>
  <c r="J16" i="52093"/>
  <c r="G16" i="52093"/>
  <c r="J96" i="52092"/>
  <c r="L96" i="52092" s="1"/>
  <c r="J96" i="111"/>
  <c r="C96" i="52077"/>
  <c r="L178" i="52091"/>
  <c r="F99" i="52091"/>
  <c r="J99" i="52091" s="1"/>
  <c r="C70" i="52091"/>
  <c r="F64" i="52091"/>
  <c r="G178" i="52090"/>
  <c r="J178" i="52090"/>
  <c r="G12" i="52090"/>
  <c r="J12" i="52090"/>
  <c r="F177" i="77"/>
  <c r="F192" i="52076"/>
  <c r="J193" i="12"/>
  <c r="F195" i="20"/>
  <c r="F172" i="20"/>
  <c r="G180" i="52104"/>
  <c r="K180" i="52104" s="1"/>
  <c r="G181" i="115"/>
  <c r="J181" i="115"/>
  <c r="B49" i="52091"/>
  <c r="F49" i="52091"/>
  <c r="J49" i="52091" s="1"/>
  <c r="L49" i="52091"/>
  <c r="F96" i="52089"/>
  <c r="J12" i="32"/>
  <c r="J12" i="110"/>
  <c r="N12" i="110" s="1"/>
  <c r="F87" i="52080"/>
  <c r="J132" i="52095"/>
  <c r="G132" i="52075"/>
  <c r="K132" i="52075" s="1"/>
  <c r="P132" i="111"/>
  <c r="T132" i="111" s="1"/>
  <c r="L23" i="114"/>
  <c r="C30" i="114"/>
  <c r="F112" i="52091"/>
  <c r="J112" i="52091" s="1"/>
  <c r="F137" i="77"/>
  <c r="J137" i="77" s="1"/>
  <c r="F133" i="12"/>
  <c r="G18" i="20"/>
  <c r="J18" i="20"/>
  <c r="F18" i="52074"/>
  <c r="J18" i="52074" s="1"/>
  <c r="F177" i="52080"/>
  <c r="F83" i="52080"/>
  <c r="J18" i="52080"/>
  <c r="G18" i="52080"/>
  <c r="F92" i="52095"/>
  <c r="F165" i="52093"/>
  <c r="F123" i="52093"/>
  <c r="J123" i="52093" s="1"/>
  <c r="L123" i="52093"/>
  <c r="F81" i="52093"/>
  <c r="F114" i="52092"/>
  <c r="F74" i="52092"/>
  <c r="G152" i="52066"/>
  <c r="J152" i="52066"/>
  <c r="F86" i="52066"/>
  <c r="F196" i="48"/>
  <c r="F85" i="48"/>
  <c r="J191" i="91"/>
  <c r="L191" i="91" s="1"/>
  <c r="G190" i="52103"/>
  <c r="K190" i="52103" s="1"/>
  <c r="G98" i="91"/>
  <c r="J98" i="91"/>
  <c r="G98" i="52103"/>
  <c r="K98" i="52103" s="1"/>
  <c r="F150" i="32"/>
  <c r="I150" i="32" s="1"/>
  <c r="F91" i="52080"/>
  <c r="I91" i="52080" s="1"/>
  <c r="F174" i="52095"/>
  <c r="J193" i="52094"/>
  <c r="F192" i="52077"/>
  <c r="F123" i="52094"/>
  <c r="G163" i="52093"/>
  <c r="J163" i="52093"/>
  <c r="G14" i="52093"/>
  <c r="J14" i="52093"/>
  <c r="F64" i="52092"/>
  <c r="C70" i="52092"/>
  <c r="C103" i="52092" s="1"/>
  <c r="F175" i="52091"/>
  <c r="J175" i="52091" s="1"/>
  <c r="F81" i="52091"/>
  <c r="J81" i="52091" s="1"/>
  <c r="C30" i="52091"/>
  <c r="L23" i="52091"/>
  <c r="L144" i="52090"/>
  <c r="F195" i="77"/>
  <c r="J195" i="77" s="1"/>
  <c r="L195" i="77"/>
  <c r="J197" i="20"/>
  <c r="L197" i="20" s="1"/>
  <c r="F196" i="52074"/>
  <c r="J196" i="52074" s="1"/>
  <c r="J197" i="115"/>
  <c r="L197" i="115" s="1"/>
  <c r="G196" i="52104"/>
  <c r="K196" i="52104" s="1"/>
  <c r="F111" i="12"/>
  <c r="G111" i="52104" s="1"/>
  <c r="J175" i="52067"/>
  <c r="G175" i="52067"/>
  <c r="J108" i="105"/>
  <c r="G108" i="52083"/>
  <c r="K108" i="52083" s="1"/>
  <c r="J10" i="101"/>
  <c r="G10" i="101"/>
  <c r="G85" i="52064"/>
  <c r="E85" i="9"/>
  <c r="J85" i="52064"/>
  <c r="J142" i="108"/>
  <c r="J196" i="105"/>
  <c r="G195" i="52083"/>
  <c r="K195" i="52083" s="1"/>
  <c r="G176" i="148"/>
  <c r="J176" i="148"/>
  <c r="H176" i="52082"/>
  <c r="L176" i="52082" s="1"/>
  <c r="M176" i="52097"/>
  <c r="Q176" i="52097" s="1"/>
  <c r="M119" i="52097"/>
  <c r="Q119" i="52097" s="1"/>
  <c r="J119" i="148"/>
  <c r="H119" i="52082"/>
  <c r="H16" i="52082"/>
  <c r="L16" i="52082" s="1"/>
  <c r="M16" i="52097"/>
  <c r="Q16" i="52097" s="1"/>
  <c r="G16" i="148"/>
  <c r="J16" i="148"/>
  <c r="J94" i="21"/>
  <c r="F94" i="52098"/>
  <c r="J94" i="52098" s="1"/>
  <c r="G94" i="21"/>
  <c r="G174" i="114"/>
  <c r="J174" i="114"/>
  <c r="F163" i="52091"/>
  <c r="J163" i="52091" s="1"/>
  <c r="F141" i="52091"/>
  <c r="J141" i="52091" s="1"/>
  <c r="F97" i="52089"/>
  <c r="J16" i="77"/>
  <c r="G16" i="77"/>
  <c r="L37" i="115"/>
  <c r="G82" i="52079"/>
  <c r="J82" i="52079"/>
  <c r="G181" i="52071"/>
  <c r="J181" i="52071"/>
  <c r="C44" i="52087"/>
  <c r="G18" i="52087"/>
  <c r="J18" i="52087"/>
  <c r="J191" i="148"/>
  <c r="H191" i="52082"/>
  <c r="L191" i="52082" s="1"/>
  <c r="M191" i="52097"/>
  <c r="Q191" i="52097" s="1"/>
  <c r="G85" i="21"/>
  <c r="J85" i="21" s="1"/>
  <c r="G149" i="21"/>
  <c r="J149" i="21" s="1"/>
  <c r="F149" i="52098"/>
  <c r="I149" i="52098" s="1"/>
  <c r="F166" i="114"/>
  <c r="G137" i="52071"/>
  <c r="J137" i="52071"/>
  <c r="G134" i="52079"/>
  <c r="J134" i="52079"/>
  <c r="C70" i="52079"/>
  <c r="C103" i="52079" s="1"/>
  <c r="F156" i="52079"/>
  <c r="F168" i="52079" s="1"/>
  <c r="F242" i="52079" s="1"/>
  <c r="C168" i="52079"/>
  <c r="J12" i="108"/>
  <c r="G12" i="108"/>
  <c r="J194" i="12"/>
  <c r="F193" i="52076"/>
  <c r="F124" i="12"/>
  <c r="F75" i="12"/>
  <c r="F157" i="20"/>
  <c r="F157" i="115"/>
  <c r="F114" i="52091"/>
  <c r="J114" i="52091" s="1"/>
  <c r="J175" i="52089"/>
  <c r="G175" i="52089"/>
  <c r="J75" i="77"/>
  <c r="G75" i="77"/>
  <c r="G13" i="12"/>
  <c r="F13" i="52076"/>
  <c r="J13" i="12"/>
  <c r="G10" i="52071"/>
  <c r="J10" i="52071"/>
  <c r="J139" i="52079"/>
  <c r="G139" i="52079"/>
  <c r="G72" i="52079"/>
  <c r="J72" i="52079" s="1"/>
  <c r="G181" i="52087"/>
  <c r="J181" i="52087"/>
  <c r="G139" i="52067"/>
  <c r="J139" i="52067"/>
  <c r="G80" i="101"/>
  <c r="J80" i="101"/>
  <c r="J81" i="52064"/>
  <c r="G81" i="52064"/>
  <c r="E81" i="9"/>
  <c r="J124" i="105"/>
  <c r="G124" i="52083"/>
  <c r="K124" i="52083" s="1"/>
  <c r="G124" i="105"/>
  <c r="J189" i="52064"/>
  <c r="E189" i="9"/>
  <c r="F148" i="52098"/>
  <c r="J148" i="52098" s="1"/>
  <c r="G148" i="21"/>
  <c r="J148" i="21"/>
  <c r="H109" i="52082"/>
  <c r="L109" i="52082" s="1"/>
  <c r="J109" i="148"/>
  <c r="M109" i="52097"/>
  <c r="Q109" i="52097" s="1"/>
  <c r="G150" i="52064"/>
  <c r="E150" i="9"/>
  <c r="J150" i="52064"/>
  <c r="C253" i="52091"/>
  <c r="L28" i="52091"/>
  <c r="L37" i="52090"/>
  <c r="F133" i="20"/>
  <c r="J183" i="52079"/>
  <c r="G183" i="52079"/>
  <c r="J87" i="52088"/>
  <c r="G87" i="52088"/>
  <c r="F49" i="105"/>
  <c r="I49" i="105" s="1"/>
  <c r="B49" i="105"/>
  <c r="G90" i="108"/>
  <c r="J90" i="108"/>
  <c r="J197" i="52064"/>
  <c r="E197" i="9"/>
  <c r="M83" i="52097"/>
  <c r="G83" i="148"/>
  <c r="J83" i="148"/>
  <c r="H83" i="52082"/>
  <c r="J133" i="21"/>
  <c r="F133" i="52098"/>
  <c r="J133" i="52098" s="1"/>
  <c r="G138" i="52079"/>
  <c r="J138" i="52079"/>
  <c r="J75" i="52079"/>
  <c r="G75" i="52079"/>
  <c r="J16" i="52079"/>
  <c r="G16" i="52079"/>
  <c r="G94" i="101"/>
  <c r="J94" i="101"/>
  <c r="G174" i="101"/>
  <c r="J174" i="101"/>
  <c r="C21" i="52088"/>
  <c r="G99" i="108"/>
  <c r="J99" i="108"/>
  <c r="G16" i="105"/>
  <c r="J16" i="105"/>
  <c r="G16" i="52083"/>
  <c r="K16" i="52083" s="1"/>
  <c r="F170" i="52089"/>
  <c r="C185" i="52089"/>
  <c r="F91" i="52089"/>
  <c r="G76" i="77"/>
  <c r="F136" i="12"/>
  <c r="G15" i="52104"/>
  <c r="K15" i="52104" s="1"/>
  <c r="J15" i="115"/>
  <c r="F107" i="52094"/>
  <c r="G100" i="52093"/>
  <c r="G173" i="52092"/>
  <c r="J10" i="52092"/>
  <c r="G10" i="52092"/>
  <c r="G176" i="52066"/>
  <c r="J176" i="52066"/>
  <c r="F133" i="52066"/>
  <c r="F74" i="52066"/>
  <c r="F188" i="48"/>
  <c r="F124" i="48"/>
  <c r="F94" i="48"/>
  <c r="J180" i="91"/>
  <c r="G179" i="52103"/>
  <c r="K179" i="52103" s="1"/>
  <c r="G180" i="91"/>
  <c r="F162" i="32"/>
  <c r="I162" i="32" s="1"/>
  <c r="F110" i="32"/>
  <c r="I110" i="32" s="1"/>
  <c r="F137" i="52080"/>
  <c r="J137" i="52080" s="1"/>
  <c r="F105" i="52080"/>
  <c r="C116" i="52080"/>
  <c r="F172" i="52095"/>
  <c r="F72" i="52094"/>
  <c r="F112" i="52093"/>
  <c r="C30" i="52092"/>
  <c r="L23" i="52092"/>
  <c r="J158" i="52091"/>
  <c r="L158" i="52091" s="1"/>
  <c r="I85" i="52091"/>
  <c r="J85" i="52091"/>
  <c r="L85" i="52091" s="1"/>
  <c r="F171" i="52090"/>
  <c r="F107" i="52089"/>
  <c r="F126" i="52076"/>
  <c r="J126" i="12"/>
  <c r="G126" i="12"/>
  <c r="G177" i="52104"/>
  <c r="K177" i="52104" s="1"/>
  <c r="G178" i="115"/>
  <c r="J178" i="115"/>
  <c r="F94" i="114"/>
  <c r="F118" i="52089"/>
  <c r="C129" i="52089"/>
  <c r="G140" i="101"/>
  <c r="J140" i="101"/>
  <c r="G177" i="105"/>
  <c r="J177" i="105"/>
  <c r="G176" i="52083"/>
  <c r="K176" i="52083" s="1"/>
  <c r="J178" i="52064"/>
  <c r="G178" i="52064"/>
  <c r="E178" i="9"/>
  <c r="I178" i="9" s="1"/>
  <c r="F105" i="21"/>
  <c r="I105" i="21" s="1"/>
  <c r="C116" i="21"/>
  <c r="J194" i="52064"/>
  <c r="E194" i="9"/>
  <c r="F172" i="114"/>
  <c r="J176" i="52089"/>
  <c r="G176" i="52089"/>
  <c r="F49" i="77"/>
  <c r="J49" i="77" s="1"/>
  <c r="B49" i="77"/>
  <c r="G74" i="52079"/>
  <c r="J74" i="52079"/>
  <c r="G178" i="52087"/>
  <c r="J178" i="52087"/>
  <c r="G100" i="52064"/>
  <c r="E100" i="9"/>
  <c r="J100" i="52064"/>
  <c r="J125" i="148"/>
  <c r="G125" i="148"/>
  <c r="H125" i="52082"/>
  <c r="L125" i="52082" s="1"/>
  <c r="M125" i="52097"/>
  <c r="Q125" i="52097" s="1"/>
  <c r="J108" i="52064"/>
  <c r="E108" i="9"/>
  <c r="F149" i="114"/>
  <c r="J164" i="52079"/>
  <c r="G164" i="52079"/>
  <c r="J135" i="52088"/>
  <c r="G135" i="52088"/>
  <c r="J11" i="52090"/>
  <c r="G11" i="52090"/>
  <c r="F174" i="77"/>
  <c r="L37" i="12"/>
  <c r="J191" i="115"/>
  <c r="G190" i="52104"/>
  <c r="K190" i="52104" s="1"/>
  <c r="G81" i="115"/>
  <c r="J81" i="115"/>
  <c r="G81" i="52104"/>
  <c r="K81" i="52104" s="1"/>
  <c r="F196" i="52089"/>
  <c r="J196" i="52089" s="1"/>
  <c r="F85" i="52089"/>
  <c r="F139" i="77"/>
  <c r="J139" i="77" s="1"/>
  <c r="F64" i="20"/>
  <c r="C70" i="20"/>
  <c r="C103" i="20" s="1"/>
  <c r="J152" i="52079"/>
  <c r="G152" i="52079"/>
  <c r="J93" i="52079"/>
  <c r="G93" i="52079"/>
  <c r="G163" i="52079"/>
  <c r="J163" i="52079"/>
  <c r="J180" i="108"/>
  <c r="G180" i="108"/>
  <c r="F142" i="52098"/>
  <c r="J171" i="52088"/>
  <c r="G171" i="52088"/>
  <c r="G136" i="148"/>
  <c r="M136" i="52097"/>
  <c r="Q136" i="52097" s="1"/>
  <c r="J136" i="148"/>
  <c r="H136" i="52082"/>
  <c r="L136" i="52082" s="1"/>
  <c r="J15" i="52064"/>
  <c r="E15" i="9"/>
  <c r="J181" i="105"/>
  <c r="G181" i="105"/>
  <c r="G180" i="52083"/>
  <c r="K180" i="52083" s="1"/>
  <c r="G93" i="148"/>
  <c r="J93" i="148"/>
  <c r="M93" i="52097"/>
  <c r="H93" i="52082"/>
  <c r="J172" i="21"/>
  <c r="F171" i="52098"/>
  <c r="J171" i="52098" s="1"/>
  <c r="G172" i="21"/>
  <c r="G81" i="148"/>
  <c r="J81" i="148"/>
  <c r="H81" i="52082"/>
  <c r="L81" i="52082" s="1"/>
  <c r="M81" i="52097"/>
  <c r="Q81" i="52097" s="1"/>
  <c r="J183" i="21"/>
  <c r="G183" i="21"/>
  <c r="F182" i="52098"/>
  <c r="J182" i="52098" s="1"/>
  <c r="F188" i="114"/>
  <c r="J188" i="114" s="1"/>
  <c r="F101" i="114"/>
  <c r="G12" i="52092"/>
  <c r="J12" i="52092"/>
  <c r="F113" i="52091"/>
  <c r="G94" i="52090"/>
  <c r="L94" i="52090" s="1"/>
  <c r="J94" i="52090"/>
  <c r="G125" i="52089"/>
  <c r="J125" i="52089"/>
  <c r="F190" i="20"/>
  <c r="G189" i="52104" s="1"/>
  <c r="K189" i="52104" s="1"/>
  <c r="J141" i="52079"/>
  <c r="J175" i="101"/>
  <c r="G175" i="101"/>
  <c r="J92" i="52064"/>
  <c r="G92" i="52064"/>
  <c r="E92" i="9"/>
  <c r="J94" i="105"/>
  <c r="G94" i="52083"/>
  <c r="K94" i="52083" s="1"/>
  <c r="G94" i="105"/>
  <c r="G12" i="148"/>
  <c r="J12" i="148"/>
  <c r="H12" i="52082"/>
  <c r="L12" i="52082" s="1"/>
  <c r="M12" i="52097"/>
  <c r="Q12" i="52097" s="1"/>
  <c r="F187" i="21"/>
  <c r="C201" i="21"/>
  <c r="J98" i="52071"/>
  <c r="G98" i="52071"/>
  <c r="G12" i="52071"/>
  <c r="J12" i="52071"/>
  <c r="M160" i="52097"/>
  <c r="Q160" i="52097" s="1"/>
  <c r="J160" i="148"/>
  <c r="H160" i="52082"/>
  <c r="L160" i="52082" s="1"/>
  <c r="F82" i="52089"/>
  <c r="G82" i="52102" s="1"/>
  <c r="F139" i="20"/>
  <c r="J9" i="12"/>
  <c r="F9" i="52076"/>
  <c r="F21" i="52076" s="1"/>
  <c r="G9" i="12"/>
  <c r="F21" i="12"/>
  <c r="F51" i="12" s="1"/>
  <c r="C21" i="114"/>
  <c r="B49" i="114" s="1"/>
  <c r="G92" i="52088"/>
  <c r="J92" i="52088"/>
  <c r="G166" i="52079"/>
  <c r="J166" i="52079"/>
  <c r="C21" i="52079"/>
  <c r="G171" i="101"/>
  <c r="J171" i="101"/>
  <c r="G164" i="52088"/>
  <c r="J164" i="52088"/>
  <c r="M134" i="52097"/>
  <c r="G134" i="233" s="1"/>
  <c r="H134" i="52082"/>
  <c r="K134" i="52082" s="1"/>
  <c r="G134" i="148"/>
  <c r="J134" i="148"/>
  <c r="G182" i="52083"/>
  <c r="K182" i="52083" s="1"/>
  <c r="G183" i="105"/>
  <c r="J183" i="105"/>
  <c r="J195" i="148"/>
  <c r="M195" i="52097"/>
  <c r="Q195" i="52097" s="1"/>
  <c r="H195" i="52082"/>
  <c r="L195" i="52082" s="1"/>
  <c r="J126" i="52064"/>
  <c r="G126" i="52064"/>
  <c r="E126" i="9"/>
  <c r="G99" i="21"/>
  <c r="J99" i="21"/>
  <c r="F99" i="52098"/>
  <c r="J198" i="52064"/>
  <c r="E198" i="9"/>
  <c r="J96" i="21"/>
  <c r="F96" i="52098"/>
  <c r="G86" i="21"/>
  <c r="J86" i="21" s="1"/>
  <c r="F86" i="52098"/>
  <c r="I86" i="52098" s="1"/>
  <c r="J133" i="52071"/>
  <c r="G133" i="52071"/>
  <c r="J181" i="52079"/>
  <c r="G181" i="52079"/>
  <c r="J81" i="52067"/>
  <c r="G81" i="52067"/>
  <c r="G126" i="52071"/>
  <c r="J126" i="52071"/>
  <c r="G100" i="52079"/>
  <c r="J100" i="52079"/>
  <c r="J12" i="52067"/>
  <c r="G12" i="52067"/>
  <c r="G10" i="52087"/>
  <c r="J10" i="52087"/>
  <c r="G101" i="108"/>
  <c r="J101" i="108"/>
  <c r="G166" i="101"/>
  <c r="J166" i="101"/>
  <c r="G98" i="93"/>
  <c r="G120" i="93" s="1"/>
  <c r="I98" i="93"/>
  <c r="F68" i="52100"/>
  <c r="F87" i="52100"/>
  <c r="F96" i="52100"/>
  <c r="F107" i="52100"/>
  <c r="F118" i="52100"/>
  <c r="C129" i="52100"/>
  <c r="F126" i="52100"/>
  <c r="F137" i="52100"/>
  <c r="F145" i="52100"/>
  <c r="F157" i="52100"/>
  <c r="F165" i="52100"/>
  <c r="F176" i="52100"/>
  <c r="F188" i="52100"/>
  <c r="F196" i="52100"/>
  <c r="G101" i="101"/>
  <c r="J101" i="101"/>
  <c r="J164" i="52071"/>
  <c r="G164" i="52071"/>
  <c r="J11" i="52071"/>
  <c r="G11" i="52071"/>
  <c r="J125" i="52067"/>
  <c r="G125" i="52067"/>
  <c r="F187" i="101"/>
  <c r="C201" i="101"/>
  <c r="H150" i="52082"/>
  <c r="G150" i="148"/>
  <c r="J150" i="148"/>
  <c r="M150" i="52097"/>
  <c r="J96" i="52064"/>
  <c r="E96" i="9"/>
  <c r="G165" i="108"/>
  <c r="J165" i="108"/>
  <c r="G66" i="108"/>
  <c r="J66" i="108"/>
  <c r="G174" i="148"/>
  <c r="J174" i="148"/>
  <c r="H174" i="52082"/>
  <c r="L174" i="52082" s="1"/>
  <c r="M174" i="52097"/>
  <c r="Q174" i="52097" s="1"/>
  <c r="F170" i="21"/>
  <c r="C185" i="21"/>
  <c r="C243" i="21" s="1"/>
  <c r="G148" i="52064"/>
  <c r="E148" i="9"/>
  <c r="J148" i="52064"/>
  <c r="J190" i="21"/>
  <c r="F189" i="52098"/>
  <c r="J189" i="52098" s="1"/>
  <c r="J18" i="115"/>
  <c r="G18" i="115"/>
  <c r="G18" i="52104"/>
  <c r="K18" i="52104" s="1"/>
  <c r="J18" i="52079"/>
  <c r="G18" i="52079"/>
  <c r="J98" i="52067"/>
  <c r="G98" i="52067"/>
  <c r="G76" i="52088"/>
  <c r="J76" i="52088"/>
  <c r="F181" i="52098"/>
  <c r="J181" i="52098" s="1"/>
  <c r="G182" i="52071"/>
  <c r="J182" i="52071"/>
  <c r="G177" i="52087"/>
  <c r="J177" i="52087"/>
  <c r="G139" i="105"/>
  <c r="J139" i="105"/>
  <c r="G139" i="52083"/>
  <c r="K139" i="52083" s="1"/>
  <c r="F131" i="32"/>
  <c r="G142" i="32"/>
  <c r="G141" i="32"/>
  <c r="G144" i="32"/>
  <c r="C154" i="32"/>
  <c r="G146" i="32"/>
  <c r="G145" i="32"/>
  <c r="G143" i="32"/>
  <c r="L23" i="52100"/>
  <c r="C30" i="52100"/>
  <c r="F65" i="52100"/>
  <c r="F76" i="52100"/>
  <c r="F84" i="52100"/>
  <c r="F93" i="52100"/>
  <c r="F101" i="52100"/>
  <c r="F112" i="52100"/>
  <c r="G134" i="52100"/>
  <c r="J134" i="52100"/>
  <c r="G134" i="52102"/>
  <c r="K134" i="52102" s="1"/>
  <c r="F142" i="52100"/>
  <c r="F150" i="52100"/>
  <c r="F162" i="52100"/>
  <c r="F173" i="52100"/>
  <c r="F181" i="52100"/>
  <c r="G193" i="52100"/>
  <c r="J193" i="52100"/>
  <c r="G192" i="52102"/>
  <c r="G80" i="52087"/>
  <c r="J80" i="52087"/>
  <c r="F95" i="105"/>
  <c r="B95" i="105"/>
  <c r="G84" i="105"/>
  <c r="J84" i="105" s="1"/>
  <c r="I84" i="105"/>
  <c r="G84" i="52083"/>
  <c r="J84" i="52083" s="1"/>
  <c r="G161" i="101"/>
  <c r="J161" i="101" s="1"/>
  <c r="J180" i="52088"/>
  <c r="G180" i="52088"/>
  <c r="G179" i="52083"/>
  <c r="K179" i="52083" s="1"/>
  <c r="G180" i="105"/>
  <c r="J180" i="105"/>
  <c r="F160" i="52081"/>
  <c r="J160" i="52081" s="1"/>
  <c r="F67" i="52081"/>
  <c r="J67" i="52081" s="1"/>
  <c r="J249" i="52081" s="1"/>
  <c r="F110" i="52081"/>
  <c r="J110" i="52081" s="1"/>
  <c r="F124" i="52081"/>
  <c r="J124" i="52081" s="1"/>
  <c r="P152" i="111"/>
  <c r="T152" i="111" s="1"/>
  <c r="G152" i="52095"/>
  <c r="J152" i="52095"/>
  <c r="F82" i="52095"/>
  <c r="J132" i="52094"/>
  <c r="F132" i="52077"/>
  <c r="F156" i="52095"/>
  <c r="C168" i="52095"/>
  <c r="F96" i="52077"/>
  <c r="J96" i="52094"/>
  <c r="L96" i="52094" s="1"/>
  <c r="G112" i="52090"/>
  <c r="J112" i="52090"/>
  <c r="F118" i="77"/>
  <c r="C129" i="77"/>
  <c r="F78" i="12"/>
  <c r="F96" i="20"/>
  <c r="G106" i="115"/>
  <c r="F77" i="77"/>
  <c r="I77" i="77" s="1"/>
  <c r="G77" i="20"/>
  <c r="J77" i="20" s="1"/>
  <c r="L77" i="20" s="1"/>
  <c r="F77" i="52074"/>
  <c r="I77" i="52074" s="1"/>
  <c r="I77" i="20"/>
  <c r="G106" i="52075"/>
  <c r="G106" i="52095"/>
  <c r="J106" i="52095" s="1"/>
  <c r="L106" i="52095" s="1"/>
  <c r="G147" i="52094"/>
  <c r="F147" i="52077"/>
  <c r="J147" i="52094"/>
  <c r="J97" i="52095"/>
  <c r="G97" i="52095"/>
  <c r="J150" i="52090"/>
  <c r="L150" i="52090" s="1"/>
  <c r="D150" i="52075"/>
  <c r="H150" i="111"/>
  <c r="G85" i="114"/>
  <c r="L85" i="114" s="1"/>
  <c r="J85" i="114"/>
  <c r="J119" i="115"/>
  <c r="G91" i="52067"/>
  <c r="J91" i="52067"/>
  <c r="F156" i="101"/>
  <c r="F168" i="101" s="1"/>
  <c r="F242" i="101" s="1"/>
  <c r="C168" i="101"/>
  <c r="F78" i="52081"/>
  <c r="F131" i="52081"/>
  <c r="G145" i="52081"/>
  <c r="G142" i="52081"/>
  <c r="G143" i="52081"/>
  <c r="G141" i="52081"/>
  <c r="G146" i="52081"/>
  <c r="G144" i="52081"/>
  <c r="C154" i="52081"/>
  <c r="G81" i="52081"/>
  <c r="J81" i="52081"/>
  <c r="F131" i="52095"/>
  <c r="I131" i="52095" s="1"/>
  <c r="G142" i="52095"/>
  <c r="G141" i="52095"/>
  <c r="G145" i="52095"/>
  <c r="C154" i="52095"/>
  <c r="G146" i="52095"/>
  <c r="G144" i="52095"/>
  <c r="G143" i="52095"/>
  <c r="G150" i="52094"/>
  <c r="J150" i="52094" s="1"/>
  <c r="F150" i="52077"/>
  <c r="F118" i="52095"/>
  <c r="C129" i="52095"/>
  <c r="G152" i="52087"/>
  <c r="J152" i="52087"/>
  <c r="F131" i="52087"/>
  <c r="G146" i="52087"/>
  <c r="G144" i="52087"/>
  <c r="C154" i="52087"/>
  <c r="G143" i="52087"/>
  <c r="G141" i="52087"/>
  <c r="G145" i="52087"/>
  <c r="G142" i="52087"/>
  <c r="G76" i="105"/>
  <c r="J76" i="105"/>
  <c r="G76" i="52083"/>
  <c r="I76" i="105"/>
  <c r="F95" i="52088"/>
  <c r="B95" i="52088"/>
  <c r="G181" i="52083"/>
  <c r="K181" i="52083" s="1"/>
  <c r="G182" i="105"/>
  <c r="J182" i="105"/>
  <c r="M182" i="52097"/>
  <c r="G114" i="52067"/>
  <c r="J114" i="52067"/>
  <c r="G84" i="52087"/>
  <c r="J84" i="52087"/>
  <c r="G91" i="52081"/>
  <c r="J91" i="52081"/>
  <c r="F158" i="52081"/>
  <c r="J158" i="52081" s="1"/>
  <c r="F95" i="52081"/>
  <c r="B95" i="52081"/>
  <c r="G95" i="52081" s="1"/>
  <c r="G72" i="52095"/>
  <c r="J72" i="52095"/>
  <c r="L72" i="52095" s="1"/>
  <c r="F108" i="52094"/>
  <c r="G100" i="52095"/>
  <c r="F67" i="52094"/>
  <c r="F88" i="52090"/>
  <c r="J88" i="52090" s="1"/>
  <c r="L158" i="77"/>
  <c r="F118" i="20"/>
  <c r="C129" i="20"/>
  <c r="G114" i="115"/>
  <c r="L114" i="115" s="1"/>
  <c r="J114" i="115"/>
  <c r="F100" i="114"/>
  <c r="F109" i="77"/>
  <c r="F105" i="12"/>
  <c r="C116" i="12"/>
  <c r="F142" i="52095"/>
  <c r="P142" i="111" s="1"/>
  <c r="G85" i="52095"/>
  <c r="J85" i="52095"/>
  <c r="L85" i="52095" s="1"/>
  <c r="F109" i="52094"/>
  <c r="L121" i="52094"/>
  <c r="F90" i="12"/>
  <c r="F141" i="115"/>
  <c r="I141" i="115" s="1"/>
  <c r="F99" i="52090"/>
  <c r="J143" i="52081"/>
  <c r="F156" i="52081"/>
  <c r="C168" i="52081"/>
  <c r="G84" i="52081"/>
  <c r="J84" i="52081"/>
  <c r="F105" i="52081"/>
  <c r="C116" i="52081"/>
  <c r="F147" i="52081"/>
  <c r="F99" i="52081"/>
  <c r="I99" i="52081" s="1"/>
  <c r="F84" i="52095"/>
  <c r="J138" i="52094"/>
  <c r="F138" i="52077"/>
  <c r="F158" i="52095"/>
  <c r="J158" i="52095" s="1"/>
  <c r="G86" i="52087"/>
  <c r="J86" i="52087" s="1"/>
  <c r="I97" i="105"/>
  <c r="J97" i="105"/>
  <c r="G97" i="52083"/>
  <c r="J97" i="52083" s="1"/>
  <c r="G150" i="52067"/>
  <c r="J150" i="52067"/>
  <c r="J141" i="101"/>
  <c r="F70" i="101"/>
  <c r="G66" i="101"/>
  <c r="J66" i="101"/>
  <c r="J119" i="105"/>
  <c r="G119" i="52083"/>
  <c r="K119" i="52083" s="1"/>
  <c r="I119" i="105"/>
  <c r="F64" i="105"/>
  <c r="C70" i="105"/>
  <c r="C103" i="105" s="1"/>
  <c r="J143" i="52087"/>
  <c r="G90" i="52087"/>
  <c r="J90" i="52087"/>
  <c r="G125" i="105"/>
  <c r="I125" i="105"/>
  <c r="G125" i="52083"/>
  <c r="K125" i="52083" s="1"/>
  <c r="J125" i="105"/>
  <c r="G99" i="52087"/>
  <c r="J99" i="52087"/>
  <c r="G82" i="105"/>
  <c r="G82" i="52083"/>
  <c r="J82" i="52083" s="1"/>
  <c r="J82" i="105"/>
  <c r="I82" i="105"/>
  <c r="F162" i="52081"/>
  <c r="F88" i="52081"/>
  <c r="J88" i="52081" s="1"/>
  <c r="G72" i="52081"/>
  <c r="J72" i="52081"/>
  <c r="G150" i="52081"/>
  <c r="J150" i="52081"/>
  <c r="F112" i="52081"/>
  <c r="J112" i="52081" s="1"/>
  <c r="G82" i="52081"/>
  <c r="J82" i="52081"/>
  <c r="F87" i="52081"/>
  <c r="C30" i="52081"/>
  <c r="G86" i="52095"/>
  <c r="J86" i="52095"/>
  <c r="L86" i="52095" s="1"/>
  <c r="F148" i="52094"/>
  <c r="I148" i="52094" s="1"/>
  <c r="F173" i="52095"/>
  <c r="I173" i="52095" s="1"/>
  <c r="F96" i="52095"/>
  <c r="F100" i="52077"/>
  <c r="G100" i="52094"/>
  <c r="J100" i="52094"/>
  <c r="L100" i="52094" s="1"/>
  <c r="F143" i="52090"/>
  <c r="J143" i="52090" s="1"/>
  <c r="F84" i="52090"/>
  <c r="L122" i="77"/>
  <c r="F180" i="12"/>
  <c r="G179" i="52104" s="1"/>
  <c r="G84" i="12"/>
  <c r="J84" i="12"/>
  <c r="G165" i="20"/>
  <c r="F164" i="52074"/>
  <c r="I164" i="52074" s="1"/>
  <c r="I165" i="20"/>
  <c r="J165" i="20"/>
  <c r="G100" i="20"/>
  <c r="F100" i="52074"/>
  <c r="I100" i="52074" s="1"/>
  <c r="I100" i="20"/>
  <c r="J100" i="20"/>
  <c r="L100" i="20" s="1"/>
  <c r="J110" i="115"/>
  <c r="L110" i="115" s="1"/>
  <c r="G110" i="52104"/>
  <c r="F83" i="114"/>
  <c r="G83" i="114" s="1"/>
  <c r="L121" i="52090"/>
  <c r="G85" i="77"/>
  <c r="G161" i="12"/>
  <c r="F106" i="52074"/>
  <c r="G106" i="20"/>
  <c r="J106" i="20"/>
  <c r="L106" i="20" s="1"/>
  <c r="I106" i="20"/>
  <c r="G160" i="52104"/>
  <c r="G161" i="115"/>
  <c r="L161" i="115" s="1"/>
  <c r="J161" i="115"/>
  <c r="J138" i="52095"/>
  <c r="P138" i="111"/>
  <c r="T138" i="111" s="1"/>
  <c r="G138" i="52075"/>
  <c r="F110" i="52095"/>
  <c r="F77" i="52095"/>
  <c r="G152" i="52094"/>
  <c r="J152" i="52094"/>
  <c r="F151" i="52077"/>
  <c r="F105" i="52094"/>
  <c r="I105" i="52094" s="1"/>
  <c r="C116" i="52094"/>
  <c r="L121" i="52095"/>
  <c r="F88" i="52094"/>
  <c r="F88" i="52077" s="1"/>
  <c r="F156" i="52090"/>
  <c r="F168" i="52090" s="1"/>
  <c r="F242" i="52090" s="1"/>
  <c r="C168" i="52090"/>
  <c r="G173" i="12"/>
  <c r="J173" i="12"/>
  <c r="L173" i="12" s="1"/>
  <c r="F172" i="52076"/>
  <c r="F73" i="12"/>
  <c r="I171" i="20"/>
  <c r="F170" i="52074"/>
  <c r="G171" i="20"/>
  <c r="F131" i="115"/>
  <c r="G142" i="115"/>
  <c r="G143" i="115"/>
  <c r="G145" i="115"/>
  <c r="G141" i="115"/>
  <c r="G146" i="115"/>
  <c r="G144" i="115"/>
  <c r="C154" i="115"/>
  <c r="F118" i="114"/>
  <c r="C129" i="114"/>
  <c r="B95" i="52067"/>
  <c r="F95" i="101"/>
  <c r="B95" i="101"/>
  <c r="F141" i="52081"/>
  <c r="J141" i="52081" s="1"/>
  <c r="G148" i="52081"/>
  <c r="J148" i="52081" s="1"/>
  <c r="F161" i="52081"/>
  <c r="F90" i="52081"/>
  <c r="F66" i="52081"/>
  <c r="J66" i="52081" s="1"/>
  <c r="F126" i="52081"/>
  <c r="J126" i="52081" s="1"/>
  <c r="F94" i="52081"/>
  <c r="J141" i="52095"/>
  <c r="F67" i="52095"/>
  <c r="F160" i="52094"/>
  <c r="P160" i="111" s="1"/>
  <c r="T160" i="111" s="1"/>
  <c r="J134" i="52094"/>
  <c r="F134" i="52077"/>
  <c r="F83" i="52094"/>
  <c r="I83" i="52094" s="1"/>
  <c r="J158" i="52094"/>
  <c r="F157" i="52077"/>
  <c r="G82" i="52094"/>
  <c r="F82" i="52077"/>
  <c r="J82" i="52094"/>
  <c r="L82" i="52094" s="1"/>
  <c r="J141" i="52090"/>
  <c r="F82" i="52090"/>
  <c r="G100" i="77"/>
  <c r="J100" i="77" s="1"/>
  <c r="L100" i="77" s="1"/>
  <c r="F99" i="52076"/>
  <c r="G99" i="12"/>
  <c r="J99" i="12"/>
  <c r="L99" i="12" s="1"/>
  <c r="G82" i="12"/>
  <c r="J82" i="12" s="1"/>
  <c r="L82" i="12" s="1"/>
  <c r="F143" i="20"/>
  <c r="F143" i="52074" s="1"/>
  <c r="F82" i="20"/>
  <c r="G82" i="52104" s="1"/>
  <c r="J142" i="115"/>
  <c r="G112" i="115"/>
  <c r="L112" i="115" s="1"/>
  <c r="J112" i="115"/>
  <c r="G67" i="115"/>
  <c r="J67" i="115"/>
  <c r="J249" i="115" s="1"/>
  <c r="F156" i="114"/>
  <c r="I156" i="114" s="1"/>
  <c r="C168" i="114"/>
  <c r="G109" i="12"/>
  <c r="J109" i="12"/>
  <c r="L109" i="12" s="1"/>
  <c r="F112" i="52095"/>
  <c r="F141" i="52077"/>
  <c r="G66" i="52094"/>
  <c r="F66" i="52077"/>
  <c r="F99" i="52094"/>
  <c r="P99" i="111" s="1"/>
  <c r="G76" i="52094"/>
  <c r="J76" i="52094"/>
  <c r="F76" i="52077"/>
  <c r="F105" i="52090"/>
  <c r="C116" i="52090"/>
  <c r="F180" i="77"/>
  <c r="I180" i="77" s="1"/>
  <c r="L179" i="12"/>
  <c r="F66" i="52076"/>
  <c r="G66" i="12"/>
  <c r="J66" i="12"/>
  <c r="L66" i="12" s="1"/>
  <c r="J97" i="20"/>
  <c r="G97" i="20"/>
  <c r="I97" i="20"/>
  <c r="L97" i="20" s="1"/>
  <c r="J145" i="115"/>
  <c r="G145" i="52104"/>
  <c r="F77" i="114"/>
  <c r="I77" i="114" s="1"/>
  <c r="G68" i="77"/>
  <c r="J68" i="77"/>
  <c r="G165" i="52071"/>
  <c r="J165" i="52071"/>
  <c r="G82" i="52067"/>
  <c r="J82" i="52067"/>
  <c r="J112" i="105"/>
  <c r="G112" i="52083"/>
  <c r="K112" i="52083" s="1"/>
  <c r="I112" i="105"/>
  <c r="G122" i="52088"/>
  <c r="M122" i="52097"/>
  <c r="H122" i="52082"/>
  <c r="G120" i="52083"/>
  <c r="K120" i="52083" s="1"/>
  <c r="I120" i="105"/>
  <c r="J120" i="105"/>
  <c r="F119" i="114"/>
  <c r="G119" i="52075" s="1"/>
  <c r="K119" i="52075" s="1"/>
  <c r="F86" i="114"/>
  <c r="I86" i="114" s="1"/>
  <c r="F64" i="114"/>
  <c r="C70" i="114"/>
  <c r="G165" i="52090"/>
  <c r="F96" i="52090"/>
  <c r="F142" i="77"/>
  <c r="F106" i="12"/>
  <c r="I85" i="20"/>
  <c r="F85" i="52074"/>
  <c r="J85" i="20"/>
  <c r="L85" i="20" s="1"/>
  <c r="G85" i="20"/>
  <c r="F118" i="115"/>
  <c r="C129" i="115"/>
  <c r="G161" i="52088"/>
  <c r="J138" i="52088"/>
  <c r="G138" i="52088"/>
  <c r="G66" i="52083"/>
  <c r="J66" i="52083" s="1"/>
  <c r="J66" i="105"/>
  <c r="I66" i="105"/>
  <c r="F131" i="114"/>
  <c r="G143" i="114"/>
  <c r="G142" i="114"/>
  <c r="G145" i="114"/>
  <c r="G141" i="114"/>
  <c r="G144" i="114"/>
  <c r="C154" i="114"/>
  <c r="G146" i="114"/>
  <c r="G91" i="52088"/>
  <c r="G149" i="52088"/>
  <c r="J149" i="52088"/>
  <c r="J143" i="101"/>
  <c r="F97" i="77"/>
  <c r="I97" i="77" s="1"/>
  <c r="F100" i="12"/>
  <c r="F64" i="12"/>
  <c r="I64" i="12" s="1"/>
  <c r="C70" i="12"/>
  <c r="F160" i="20"/>
  <c r="F99" i="20"/>
  <c r="G99" i="52104" s="1"/>
  <c r="F73" i="20"/>
  <c r="J143" i="115"/>
  <c r="L143" i="115" s="1"/>
  <c r="G85" i="115"/>
  <c r="J85" i="115"/>
  <c r="G85" i="52104"/>
  <c r="J85" i="52104" s="1"/>
  <c r="G73" i="114"/>
  <c r="J73" i="114" s="1"/>
  <c r="L73" i="114" s="1"/>
  <c r="F95" i="52090"/>
  <c r="I95" i="52090" s="1"/>
  <c r="B95" i="52090"/>
  <c r="F131" i="77"/>
  <c r="G143" i="77"/>
  <c r="J143" i="77" s="1"/>
  <c r="L143" i="77" s="1"/>
  <c r="G142" i="77"/>
  <c r="G145" i="77"/>
  <c r="G141" i="77"/>
  <c r="G144" i="77"/>
  <c r="C154" i="77"/>
  <c r="G146" i="77"/>
  <c r="F131" i="12"/>
  <c r="G142" i="12"/>
  <c r="G143" i="12"/>
  <c r="G141" i="12"/>
  <c r="G145" i="12"/>
  <c r="C154" i="12"/>
  <c r="G144" i="12"/>
  <c r="G146" i="12"/>
  <c r="C253" i="20"/>
  <c r="D28" i="20"/>
  <c r="I29" i="20" s="1"/>
  <c r="G91" i="101"/>
  <c r="J91" i="101" s="1"/>
  <c r="F77" i="52098"/>
  <c r="G77" i="52071"/>
  <c r="J77" i="52071"/>
  <c r="G138" i="52087"/>
  <c r="J138" i="52087"/>
  <c r="G72" i="101"/>
  <c r="J72" i="101"/>
  <c r="G91" i="52087"/>
  <c r="J91" i="52087"/>
  <c r="G100" i="105"/>
  <c r="G100" i="52083"/>
  <c r="J100" i="105"/>
  <c r="I100" i="105"/>
  <c r="J180" i="114"/>
  <c r="G180" i="114"/>
  <c r="C253" i="114"/>
  <c r="D28" i="114"/>
  <c r="F118" i="52090"/>
  <c r="C129" i="52090"/>
  <c r="G106" i="77"/>
  <c r="J106" i="77"/>
  <c r="F183" i="12"/>
  <c r="G110" i="12"/>
  <c r="J110" i="12"/>
  <c r="L110" i="12" s="1"/>
  <c r="F162" i="115"/>
  <c r="G177" i="52067"/>
  <c r="J177" i="52067"/>
  <c r="G150" i="101"/>
  <c r="J150" i="101"/>
  <c r="G73" i="52087"/>
  <c r="J73" i="52087"/>
  <c r="H73" i="52082"/>
  <c r="K73" i="52082" s="1"/>
  <c r="G91" i="115"/>
  <c r="J91" i="115"/>
  <c r="G91" i="52104"/>
  <c r="F105" i="52071"/>
  <c r="C116" i="52071"/>
  <c r="F118" i="52071"/>
  <c r="C129" i="52071"/>
  <c r="G84" i="52071"/>
  <c r="J84" i="52071"/>
  <c r="G182" i="101"/>
  <c r="J182" i="101"/>
  <c r="F118" i="52087"/>
  <c r="C129" i="52087"/>
  <c r="F165" i="77"/>
  <c r="F112" i="77"/>
  <c r="F67" i="77"/>
  <c r="F165" i="12"/>
  <c r="F112" i="52076"/>
  <c r="G112" i="12"/>
  <c r="J112" i="12"/>
  <c r="L112" i="12" s="1"/>
  <c r="F144" i="52074"/>
  <c r="J144" i="20"/>
  <c r="I144" i="20"/>
  <c r="G76" i="20"/>
  <c r="J76" i="20"/>
  <c r="I76" i="20"/>
  <c r="L76" i="20" s="1"/>
  <c r="F76" i="52074"/>
  <c r="J160" i="115"/>
  <c r="L160" i="115" s="1"/>
  <c r="G159" i="52104"/>
  <c r="K159" i="52104" s="1"/>
  <c r="F162" i="114"/>
  <c r="F110" i="114"/>
  <c r="J110" i="114" s="1"/>
  <c r="G93" i="52067"/>
  <c r="J93" i="52067"/>
  <c r="G83" i="52071"/>
  <c r="J83" i="52071"/>
  <c r="J142" i="52088"/>
  <c r="G165" i="52087"/>
  <c r="J110" i="105"/>
  <c r="G110" i="52083"/>
  <c r="K110" i="52083" s="1"/>
  <c r="I110" i="105"/>
  <c r="G138" i="101"/>
  <c r="J138" i="101"/>
  <c r="G74" i="101"/>
  <c r="J74" i="101"/>
  <c r="G85" i="52087"/>
  <c r="J85" i="52087"/>
  <c r="F64" i="115"/>
  <c r="C70" i="115"/>
  <c r="C103" i="115" s="1"/>
  <c r="J94" i="52067"/>
  <c r="G94" i="52067"/>
  <c r="G88" i="52088"/>
  <c r="J88" i="52088"/>
  <c r="G180" i="101"/>
  <c r="J180" i="101"/>
  <c r="J147" i="52088"/>
  <c r="E147" i="52082"/>
  <c r="F147" i="52097"/>
  <c r="G148" i="52087"/>
  <c r="J148" i="52087"/>
  <c r="J133" i="105"/>
  <c r="G133" i="105"/>
  <c r="I133" i="105"/>
  <c r="G133" i="52083"/>
  <c r="K133" i="52083" s="1"/>
  <c r="G147" i="101"/>
  <c r="J147" i="101"/>
  <c r="L179" i="52094"/>
  <c r="F90" i="52094"/>
  <c r="F145" i="52090"/>
  <c r="J145" i="52090" s="1"/>
  <c r="F114" i="52090"/>
  <c r="F86" i="52090"/>
  <c r="G86" i="52090" s="1"/>
  <c r="F120" i="77"/>
  <c r="J120" i="77" s="1"/>
  <c r="F119" i="12"/>
  <c r="F86" i="12"/>
  <c r="G152" i="20"/>
  <c r="J152" i="20"/>
  <c r="F151" i="52074"/>
  <c r="J151" i="52074" s="1"/>
  <c r="I152" i="20"/>
  <c r="F90" i="20"/>
  <c r="G150" i="115"/>
  <c r="J150" i="115"/>
  <c r="L150" i="115" s="1"/>
  <c r="J132" i="115"/>
  <c r="G132" i="52104"/>
  <c r="K132" i="52104" s="1"/>
  <c r="G84" i="115"/>
  <c r="J84" i="115"/>
  <c r="G96" i="114"/>
  <c r="J96" i="114"/>
  <c r="F97" i="52090"/>
  <c r="P97" i="111" s="1"/>
  <c r="G73" i="77"/>
  <c r="J73" i="77"/>
  <c r="L73" i="77" s="1"/>
  <c r="F158" i="20"/>
  <c r="G164" i="52075"/>
  <c r="G165" i="52095"/>
  <c r="P165" i="111"/>
  <c r="J165" i="52095"/>
  <c r="L165" i="52095" s="1"/>
  <c r="P108" i="111"/>
  <c r="T108" i="111" s="1"/>
  <c r="J108" i="52095"/>
  <c r="L108" i="52095" s="1"/>
  <c r="G108" i="52075"/>
  <c r="K108" i="52075" s="1"/>
  <c r="G163" i="52094"/>
  <c r="F162" i="52077"/>
  <c r="J163" i="52094"/>
  <c r="L163" i="52094" s="1"/>
  <c r="F131" i="52094"/>
  <c r="G143" i="52094"/>
  <c r="G145" i="52094"/>
  <c r="G141" i="52094"/>
  <c r="G142" i="52094"/>
  <c r="C154" i="52094"/>
  <c r="G144" i="52094"/>
  <c r="G146" i="52094"/>
  <c r="G127" i="52075"/>
  <c r="P127" i="111"/>
  <c r="S127" i="111" s="1"/>
  <c r="F95" i="52094"/>
  <c r="F95" i="52077" s="1"/>
  <c r="B95" i="52094"/>
  <c r="L179" i="52090"/>
  <c r="F85" i="52090"/>
  <c r="J125" i="77"/>
  <c r="G125" i="77"/>
  <c r="F118" i="12"/>
  <c r="C129" i="12"/>
  <c r="G91" i="52090"/>
  <c r="J91" i="52090"/>
  <c r="L91" i="52090" s="1"/>
  <c r="F147" i="12"/>
  <c r="G127" i="52104"/>
  <c r="J127" i="52104" s="1"/>
  <c r="G177" i="101"/>
  <c r="J177" i="101"/>
  <c r="G143" i="52067"/>
  <c r="G141" i="52067"/>
  <c r="G145" i="52067"/>
  <c r="J145" i="52067" s="1"/>
  <c r="G146" i="52067"/>
  <c r="C154" i="52067"/>
  <c r="G144" i="52067"/>
  <c r="G142" i="52067"/>
  <c r="J142" i="52067" s="1"/>
  <c r="G76" i="101"/>
  <c r="J76" i="101"/>
  <c r="G161" i="105"/>
  <c r="J161" i="105"/>
  <c r="G160" i="52083"/>
  <c r="I161" i="105"/>
  <c r="G96" i="52083"/>
  <c r="K96" i="52083" s="1"/>
  <c r="J96" i="105"/>
  <c r="I96" i="105"/>
  <c r="F91" i="114"/>
  <c r="I91" i="114" s="1"/>
  <c r="F72" i="114"/>
  <c r="P72" i="111" s="1"/>
  <c r="F100" i="52090"/>
  <c r="I100" i="52090" s="1"/>
  <c r="G150" i="77"/>
  <c r="J150" i="77"/>
  <c r="L150" i="77" s="1"/>
  <c r="G86" i="77"/>
  <c r="J86" i="77"/>
  <c r="L86" i="77" s="1"/>
  <c r="G114" i="12"/>
  <c r="J114" i="12"/>
  <c r="F114" i="52076"/>
  <c r="F112" i="20"/>
  <c r="G183" i="115"/>
  <c r="J183" i="115"/>
  <c r="G182" i="52104"/>
  <c r="K182" i="52104" s="1"/>
  <c r="J142" i="101"/>
  <c r="F156" i="52088"/>
  <c r="C168" i="52088"/>
  <c r="G85" i="105"/>
  <c r="I85" i="105"/>
  <c r="G85" i="52083"/>
  <c r="J85" i="52083" s="1"/>
  <c r="F141" i="114"/>
  <c r="J141" i="114" s="1"/>
  <c r="G82" i="52088"/>
  <c r="J82" i="52088"/>
  <c r="G82" i="52071"/>
  <c r="J82" i="52071"/>
  <c r="H182" i="52082"/>
  <c r="L182" i="52082" s="1"/>
  <c r="G182" i="52087"/>
  <c r="J182" i="52087"/>
  <c r="F131" i="105"/>
  <c r="G143" i="105"/>
  <c r="J143" i="105" s="1"/>
  <c r="G142" i="105"/>
  <c r="G145" i="105"/>
  <c r="G141" i="105"/>
  <c r="G144" i="105"/>
  <c r="G146" i="105"/>
  <c r="C154" i="105"/>
  <c r="F66" i="52090"/>
  <c r="G99" i="77"/>
  <c r="F120" i="52076"/>
  <c r="J120" i="12"/>
  <c r="L120" i="12" s="1"/>
  <c r="F68" i="52076"/>
  <c r="G68" i="12"/>
  <c r="J68" i="12"/>
  <c r="L68" i="12" s="1"/>
  <c r="F173" i="20"/>
  <c r="F119" i="20"/>
  <c r="F84" i="52074"/>
  <c r="I84" i="52074" s="1"/>
  <c r="G84" i="20"/>
  <c r="J84" i="20"/>
  <c r="I84" i="20"/>
  <c r="G147" i="115"/>
  <c r="J147" i="115"/>
  <c r="L147" i="115" s="1"/>
  <c r="F105" i="115"/>
  <c r="C116" i="115"/>
  <c r="G66" i="52104"/>
  <c r="G66" i="115"/>
  <c r="J66" i="115"/>
  <c r="L66" i="115" s="1"/>
  <c r="G90" i="114"/>
  <c r="J90" i="114"/>
  <c r="L90" i="114" s="1"/>
  <c r="F119" i="52090"/>
  <c r="J119" i="52090" s="1"/>
  <c r="F147" i="77"/>
  <c r="F143" i="12"/>
  <c r="J143" i="12" s="1"/>
  <c r="F114" i="20"/>
  <c r="G148" i="114"/>
  <c r="J148" i="114"/>
  <c r="G99" i="101"/>
  <c r="J99" i="101"/>
  <c r="F129" i="52071"/>
  <c r="F85" i="52098"/>
  <c r="I85" i="52098" s="1"/>
  <c r="G85" i="52071"/>
  <c r="J85" i="52071" s="1"/>
  <c r="J132" i="105"/>
  <c r="I132" i="105"/>
  <c r="G132" i="52083"/>
  <c r="K132" i="52083" s="1"/>
  <c r="J143" i="52067"/>
  <c r="G88" i="101"/>
  <c r="J88" i="101" s="1"/>
  <c r="F118" i="52088"/>
  <c r="C129" i="52088"/>
  <c r="J173" i="105"/>
  <c r="G172" i="52083"/>
  <c r="J172" i="52083" s="1"/>
  <c r="J88" i="114"/>
  <c r="F80" i="114"/>
  <c r="L24" i="114"/>
  <c r="G162" i="77"/>
  <c r="L162" i="77" s="1"/>
  <c r="J162" i="77"/>
  <c r="F82" i="77"/>
  <c r="G82" i="77" s="1"/>
  <c r="F150" i="12"/>
  <c r="P150" i="111" s="1"/>
  <c r="F148" i="20"/>
  <c r="G148" i="52104" s="1"/>
  <c r="G72" i="52067"/>
  <c r="J72" i="52067"/>
  <c r="G138" i="52083"/>
  <c r="K138" i="52083" s="1"/>
  <c r="G138" i="105"/>
  <c r="J138" i="105"/>
  <c r="I138" i="105"/>
  <c r="G134" i="101"/>
  <c r="J134" i="101"/>
  <c r="G161" i="114"/>
  <c r="J161" i="114" s="1"/>
  <c r="L161" i="114" s="1"/>
  <c r="G161" i="52071"/>
  <c r="J161" i="52071" s="1"/>
  <c r="G86" i="52071"/>
  <c r="J86" i="52071" s="1"/>
  <c r="F105" i="52088"/>
  <c r="C116" i="52088"/>
  <c r="G152" i="101"/>
  <c r="J152" i="101"/>
  <c r="F84" i="77"/>
  <c r="I84" i="77" s="1"/>
  <c r="J132" i="12"/>
  <c r="F132" i="52076"/>
  <c r="F156" i="20"/>
  <c r="C168" i="20"/>
  <c r="F105" i="20"/>
  <c r="C116" i="20"/>
  <c r="G165" i="115"/>
  <c r="G164" i="52104"/>
  <c r="G100" i="115"/>
  <c r="G100" i="52104"/>
  <c r="J100" i="115"/>
  <c r="L100" i="115" s="1"/>
  <c r="G114" i="52071"/>
  <c r="J114" i="52071"/>
  <c r="G84" i="52067"/>
  <c r="J84" i="52067"/>
  <c r="G134" i="52088"/>
  <c r="J134" i="52088"/>
  <c r="J142" i="52087"/>
  <c r="G150" i="105"/>
  <c r="I150" i="105"/>
  <c r="G150" i="52083"/>
  <c r="J150" i="52083" s="1"/>
  <c r="G161" i="52067"/>
  <c r="J161" i="52067"/>
  <c r="J114" i="101"/>
  <c r="G114" i="101"/>
  <c r="G77" i="52087"/>
  <c r="J77" i="52087"/>
  <c r="I90" i="105"/>
  <c r="G90" i="105"/>
  <c r="G90" i="52083"/>
  <c r="J90" i="105"/>
  <c r="F97" i="115"/>
  <c r="F143" i="114"/>
  <c r="J143" i="114" s="1"/>
  <c r="F131" i="52071"/>
  <c r="G146" i="52071"/>
  <c r="J146" i="52071" s="1"/>
  <c r="G143" i="52071"/>
  <c r="G142" i="52071"/>
  <c r="J142" i="52071" s="1"/>
  <c r="G141" i="52071"/>
  <c r="G145" i="52071"/>
  <c r="G144" i="52071"/>
  <c r="C154" i="52071"/>
  <c r="G178" i="52067"/>
  <c r="J178" i="52067"/>
  <c r="G83" i="52067"/>
  <c r="G66" i="52067"/>
  <c r="G100" i="101"/>
  <c r="G84" i="52088"/>
  <c r="C70" i="52088"/>
  <c r="C103" i="52088" s="1"/>
  <c r="G122" i="52083"/>
  <c r="J122" i="52083" s="1"/>
  <c r="G122" i="52067"/>
  <c r="G152" i="52088"/>
  <c r="J152" i="52088"/>
  <c r="G165" i="52067"/>
  <c r="J132" i="52067"/>
  <c r="F154" i="52067"/>
  <c r="F241" i="52067" s="1"/>
  <c r="L111" i="52097"/>
  <c r="P111" i="52097" s="1"/>
  <c r="E155" i="52074"/>
  <c r="L121" i="52097"/>
  <c r="P121" i="52097" s="1"/>
  <c r="I84" i="52088"/>
  <c r="E95" i="52074"/>
  <c r="E46" i="52079"/>
  <c r="E47" i="52079" s="1"/>
  <c r="L168" i="52097"/>
  <c r="F153" i="52083"/>
  <c r="F167" i="52083"/>
  <c r="F161" i="233"/>
  <c r="F90" i="233"/>
  <c r="O116" i="111"/>
  <c r="F112" i="233"/>
  <c r="F129" i="52083"/>
  <c r="I83" i="93"/>
  <c r="G94" i="93"/>
  <c r="K222" i="52074"/>
  <c r="K252" i="52074"/>
  <c r="I67" i="52074"/>
  <c r="E70" i="52074"/>
  <c r="K241" i="52097"/>
  <c r="K203" i="52097"/>
  <c r="P68" i="52097"/>
  <c r="F68" i="233"/>
  <c r="P109" i="52097"/>
  <c r="F109" i="233"/>
  <c r="J178" i="52104"/>
  <c r="M178" i="52104" s="1"/>
  <c r="F184" i="52104"/>
  <c r="E184" i="52074"/>
  <c r="I178" i="52074"/>
  <c r="E241" i="52071"/>
  <c r="E153" i="52098"/>
  <c r="F118" i="233"/>
  <c r="E243" i="52088"/>
  <c r="G129" i="52082"/>
  <c r="P100" i="52097"/>
  <c r="F100" i="233"/>
  <c r="F70" i="52104"/>
  <c r="P91" i="52097"/>
  <c r="F91" i="233"/>
  <c r="F167" i="52104"/>
  <c r="P160" i="52097"/>
  <c r="F160" i="233"/>
  <c r="P127" i="52097"/>
  <c r="F127" i="233"/>
  <c r="F131" i="233"/>
  <c r="J113" i="52083"/>
  <c r="F116" i="52083"/>
  <c r="P122" i="52097"/>
  <c r="F122" i="233"/>
  <c r="F78" i="233"/>
  <c r="J114" i="52104"/>
  <c r="E241" i="52067"/>
  <c r="I241" i="52067" s="1"/>
  <c r="I154" i="52067"/>
  <c r="P93" i="52097"/>
  <c r="F93" i="233"/>
  <c r="J245" i="9"/>
  <c r="L203" i="233"/>
  <c r="L223" i="233" s="1"/>
  <c r="L224" i="233" s="1"/>
  <c r="J223" i="9"/>
  <c r="J205" i="9"/>
  <c r="K243" i="52077"/>
  <c r="K204" i="52077"/>
  <c r="L244" i="52083"/>
  <c r="L222" i="52083"/>
  <c r="L204" i="52083"/>
  <c r="G233" i="110"/>
  <c r="D179" i="233"/>
  <c r="Q179" i="111"/>
  <c r="T179" i="111"/>
  <c r="F142" i="233"/>
  <c r="G247" i="52099"/>
  <c r="J247" i="52099" s="1"/>
  <c r="H205" i="52099"/>
  <c r="J205" i="52099"/>
  <c r="D217" i="52081"/>
  <c r="O209" i="110"/>
  <c r="H215" i="52091"/>
  <c r="G249" i="52091"/>
  <c r="I91" i="52077"/>
  <c r="P84" i="52097"/>
  <c r="F84" i="233"/>
  <c r="F105" i="233"/>
  <c r="E239" i="52087"/>
  <c r="E103" i="52071"/>
  <c r="I70" i="52071"/>
  <c r="E70" i="52098"/>
  <c r="J164" i="52104"/>
  <c r="P99" i="52097"/>
  <c r="F99" i="233"/>
  <c r="J132" i="52104"/>
  <c r="F153" i="52104"/>
  <c r="M132" i="52104"/>
  <c r="P138" i="52097"/>
  <c r="F138" i="233"/>
  <c r="F165" i="233"/>
  <c r="P165" i="52097"/>
  <c r="G70" i="52082"/>
  <c r="I70" i="52087"/>
  <c r="E103" i="52087"/>
  <c r="P80" i="52097"/>
  <c r="F80" i="233"/>
  <c r="E240" i="52088"/>
  <c r="E242" i="52088"/>
  <c r="F156" i="233"/>
  <c r="F179" i="233"/>
  <c r="J179" i="233" s="1"/>
  <c r="P179" i="52097"/>
  <c r="F116" i="52104"/>
  <c r="I106" i="52074"/>
  <c r="E116" i="52074"/>
  <c r="E239" i="52088"/>
  <c r="F28" i="115"/>
  <c r="E44" i="115"/>
  <c r="E32" i="115"/>
  <c r="F35" i="115"/>
  <c r="F36" i="115"/>
  <c r="F30" i="115"/>
  <c r="F30" i="52104"/>
  <c r="F44" i="52104" s="1"/>
  <c r="P94" i="52097"/>
  <c r="F94" i="233"/>
  <c r="F82" i="233"/>
  <c r="E167" i="52098"/>
  <c r="E242" i="52071"/>
  <c r="F114" i="233"/>
  <c r="P114" i="52097"/>
  <c r="F106" i="233"/>
  <c r="P106" i="52097"/>
  <c r="K244" i="52076"/>
  <c r="K204" i="52076"/>
  <c r="K222" i="52076"/>
  <c r="K223" i="52076" s="1"/>
  <c r="P66" i="52097"/>
  <c r="F66" i="233"/>
  <c r="V179" i="111"/>
  <c r="L67" i="115"/>
  <c r="L30" i="52097"/>
  <c r="L44" i="52097" s="1"/>
  <c r="F41" i="233"/>
  <c r="I179" i="233"/>
  <c r="K179" i="233" s="1"/>
  <c r="C30" i="233"/>
  <c r="C44" i="233" s="1"/>
  <c r="F120" i="233"/>
  <c r="F240" i="52082"/>
  <c r="F203" i="52082"/>
  <c r="I132" i="52074"/>
  <c r="E153" i="52074"/>
  <c r="P148" i="52097"/>
  <c r="F148" i="233"/>
  <c r="P73" i="52097"/>
  <c r="F73" i="233"/>
  <c r="E243" i="115"/>
  <c r="F129" i="52104"/>
  <c r="E129" i="52074"/>
  <c r="E240" i="115"/>
  <c r="P180" i="52097"/>
  <c r="F180" i="233"/>
  <c r="E240" i="52071"/>
  <c r="E129" i="52098"/>
  <c r="I129" i="52071"/>
  <c r="E184" i="52076"/>
  <c r="J178" i="52076"/>
  <c r="I178" i="52076"/>
  <c r="E240" i="52087"/>
  <c r="P152" i="52097"/>
  <c r="F152" i="233"/>
  <c r="E44" i="52071"/>
  <c r="E32" i="52071"/>
  <c r="E33" i="52071" s="1"/>
  <c r="E103" i="115"/>
  <c r="P79" i="52097"/>
  <c r="F79" i="233"/>
  <c r="E46" i="52067"/>
  <c r="E47" i="52067" s="1"/>
  <c r="P119" i="52097"/>
  <c r="F119" i="233"/>
  <c r="P162" i="52097"/>
  <c r="F162" i="233"/>
  <c r="E242" i="115"/>
  <c r="P113" i="52097"/>
  <c r="F113" i="233"/>
  <c r="G154" i="52082"/>
  <c r="E241" i="52087"/>
  <c r="E239" i="52067"/>
  <c r="E239" i="52071"/>
  <c r="E116" i="52098"/>
  <c r="C88" i="52074"/>
  <c r="J88" i="115"/>
  <c r="L88" i="115" s="1"/>
  <c r="C88" i="111"/>
  <c r="H88" i="52074"/>
  <c r="J88" i="52074" s="1"/>
  <c r="E88" i="52104"/>
  <c r="I70" i="52088"/>
  <c r="E103" i="52088"/>
  <c r="E44" i="52087"/>
  <c r="E32" i="52087"/>
  <c r="E33" i="52087" s="1"/>
  <c r="E54" i="52100"/>
  <c r="E205" i="52100"/>
  <c r="I62" i="52100"/>
  <c r="E236" i="52100"/>
  <c r="I236" i="52100" s="1"/>
  <c r="F201" i="9"/>
  <c r="R245" i="52097"/>
  <c r="L245" i="233" s="1"/>
  <c r="R223" i="52097"/>
  <c r="R205" i="52097"/>
  <c r="F95" i="233"/>
  <c r="C36" i="52075"/>
  <c r="B36" i="111"/>
  <c r="J78" i="52083"/>
  <c r="D78" i="52083"/>
  <c r="H78" i="52097"/>
  <c r="G116" i="52082"/>
  <c r="E241" i="115"/>
  <c r="E242" i="52087"/>
  <c r="I242" i="52087" s="1"/>
  <c r="I168" i="52087"/>
  <c r="E240" i="52067"/>
  <c r="L253" i="52097"/>
  <c r="F28" i="233"/>
  <c r="E241" i="52088"/>
  <c r="F146" i="233"/>
  <c r="P146" i="52097"/>
  <c r="G168" i="52082"/>
  <c r="E242" i="77"/>
  <c r="G185" i="52082"/>
  <c r="K179" i="52082"/>
  <c r="E243" i="52087"/>
  <c r="P145" i="52097"/>
  <c r="F145" i="233"/>
  <c r="E239" i="115"/>
  <c r="P74" i="52097"/>
  <c r="F74" i="233"/>
  <c r="E103" i="52067"/>
  <c r="E243" i="52067"/>
  <c r="P133" i="52097"/>
  <c r="F133" i="233"/>
  <c r="F140" i="233"/>
  <c r="P140" i="52097"/>
  <c r="E46" i="52088"/>
  <c r="E47" i="52088" s="1"/>
  <c r="F83" i="233"/>
  <c r="P135" i="52097"/>
  <c r="F135" i="233"/>
  <c r="F86" i="233"/>
  <c r="P97" i="52097"/>
  <c r="F97" i="233"/>
  <c r="P85" i="52097"/>
  <c r="F85" i="233"/>
  <c r="G30" i="52082"/>
  <c r="E243" i="77"/>
  <c r="P78" i="52097"/>
  <c r="F24" i="233"/>
  <c r="E30" i="52074"/>
  <c r="E44" i="52074" s="1"/>
  <c r="H179" i="233"/>
  <c r="E167" i="52074"/>
  <c r="L245" i="52104"/>
  <c r="L208" i="52104"/>
  <c r="L216" i="52104" s="1"/>
  <c r="L249" i="52104" s="1"/>
  <c r="L204" i="52103"/>
  <c r="L243" i="52103"/>
  <c r="L222" i="52103"/>
  <c r="K222" i="52084"/>
  <c r="K252" i="52084"/>
  <c r="K208" i="52084"/>
  <c r="K216" i="52084" s="1"/>
  <c r="K249" i="52084" s="1"/>
  <c r="K245" i="52084"/>
  <c r="F240" i="52083"/>
  <c r="L204" i="52102"/>
  <c r="L222" i="52102"/>
  <c r="L223" i="52102" s="1"/>
  <c r="L253" i="52102" s="1"/>
  <c r="L244" i="52102"/>
  <c r="F241" i="52083"/>
  <c r="L222" i="52104"/>
  <c r="L252" i="52104"/>
  <c r="K222" i="52077"/>
  <c r="K252" i="52077"/>
  <c r="L242" i="52097"/>
  <c r="E103" i="52077"/>
  <c r="G44" i="114"/>
  <c r="B35" i="111"/>
  <c r="C35" i="52075"/>
  <c r="C44" i="52075" s="1"/>
  <c r="F249" i="233"/>
  <c r="O239" i="111"/>
  <c r="F239" i="52083"/>
  <c r="D251" i="52093" l="1"/>
  <c r="K217" i="52076"/>
  <c r="U254" i="111"/>
  <c r="U224" i="111"/>
  <c r="D251" i="108"/>
  <c r="L217" i="52083"/>
  <c r="K179" i="52104"/>
  <c r="J179" i="52104"/>
  <c r="E238" i="52093"/>
  <c r="E203" i="52093"/>
  <c r="K148" i="52104"/>
  <c r="J148" i="52104"/>
  <c r="J82" i="52104"/>
  <c r="S142" i="111"/>
  <c r="K118" i="52083"/>
  <c r="G129" i="52083"/>
  <c r="J118" i="52083"/>
  <c r="J68" i="52103"/>
  <c r="H165" i="52097"/>
  <c r="D164" i="52083"/>
  <c r="F152" i="52097"/>
  <c r="E152" i="52082"/>
  <c r="D122" i="52083"/>
  <c r="H122" i="52097"/>
  <c r="C238" i="52088"/>
  <c r="C203" i="52088"/>
  <c r="B103" i="52088"/>
  <c r="E84" i="52082"/>
  <c r="F84" i="52097"/>
  <c r="D100" i="52082"/>
  <c r="G100" i="52097"/>
  <c r="H66" i="52097"/>
  <c r="D66" i="52083"/>
  <c r="D83" i="52083"/>
  <c r="H83" i="52097"/>
  <c r="H178" i="52097"/>
  <c r="D177" i="52083"/>
  <c r="I144" i="52097"/>
  <c r="D144" i="52098"/>
  <c r="D141" i="52098"/>
  <c r="I141" i="52097"/>
  <c r="I143" i="52097"/>
  <c r="D143" i="52098"/>
  <c r="J131" i="52071"/>
  <c r="F154" i="52071"/>
  <c r="I131" i="52071"/>
  <c r="G97" i="52104"/>
  <c r="G97" i="115"/>
  <c r="E77" i="52097"/>
  <c r="C77" i="52082"/>
  <c r="D160" i="52083"/>
  <c r="H161" i="52097"/>
  <c r="C150" i="52097"/>
  <c r="B150" i="52083"/>
  <c r="F105" i="52074"/>
  <c r="F116" i="20"/>
  <c r="G105" i="20"/>
  <c r="J105" i="20"/>
  <c r="I105" i="20"/>
  <c r="K168" i="20"/>
  <c r="C242" i="20"/>
  <c r="B168" i="20"/>
  <c r="C239" i="52088"/>
  <c r="B116" i="52088"/>
  <c r="C138" i="52097"/>
  <c r="B138" i="52083"/>
  <c r="G80" i="114"/>
  <c r="C240" i="52088"/>
  <c r="B129" i="52088"/>
  <c r="F240" i="52071"/>
  <c r="I240" i="52071" s="1"/>
  <c r="G99" i="52097"/>
  <c r="D99" i="52082"/>
  <c r="B148" i="111"/>
  <c r="C148" i="52075"/>
  <c r="J114" i="20"/>
  <c r="G114" i="20"/>
  <c r="G147" i="77"/>
  <c r="B90" i="111"/>
  <c r="C90" i="52075"/>
  <c r="C66" i="111"/>
  <c r="C66" i="52074"/>
  <c r="E66" i="52104"/>
  <c r="I66" i="52104"/>
  <c r="F116" i="115"/>
  <c r="J105" i="115"/>
  <c r="G105" i="52104"/>
  <c r="G105" i="115"/>
  <c r="E147" i="52104"/>
  <c r="C147" i="111"/>
  <c r="C147" i="52074"/>
  <c r="L84" i="20"/>
  <c r="D84" i="52104"/>
  <c r="D84" i="111"/>
  <c r="B84" i="52074"/>
  <c r="C99" i="52104"/>
  <c r="F99" i="111"/>
  <c r="C99" i="52076"/>
  <c r="G66" i="52090"/>
  <c r="J66" i="52090"/>
  <c r="B146" i="52083"/>
  <c r="C146" i="52097"/>
  <c r="B141" i="52083"/>
  <c r="C141" i="52097"/>
  <c r="C142" i="52097"/>
  <c r="B142" i="52083"/>
  <c r="J131" i="105"/>
  <c r="I131" i="105"/>
  <c r="F154" i="105"/>
  <c r="G131" i="52083"/>
  <c r="E182" i="52097"/>
  <c r="C182" i="52082"/>
  <c r="J143" i="52071"/>
  <c r="C85" i="52097"/>
  <c r="B85" i="52083"/>
  <c r="F168" i="52088"/>
  <c r="I156" i="52088"/>
  <c r="C183" i="111"/>
  <c r="C182" i="52074"/>
  <c r="E182" i="52104"/>
  <c r="F112" i="52074"/>
  <c r="I112" i="52074" s="1"/>
  <c r="I112" i="20"/>
  <c r="G112" i="20"/>
  <c r="B160" i="52083"/>
  <c r="C161" i="52097"/>
  <c r="G76" i="52097"/>
  <c r="D76" i="52082"/>
  <c r="D144" i="52083"/>
  <c r="H144" i="52097"/>
  <c r="D146" i="52083"/>
  <c r="H146" i="52097"/>
  <c r="D141" i="52083"/>
  <c r="H141" i="52097"/>
  <c r="F147" i="52076"/>
  <c r="G147" i="12"/>
  <c r="J147" i="12"/>
  <c r="H91" i="111"/>
  <c r="D91" i="52075"/>
  <c r="F129" i="12"/>
  <c r="F240" i="12" s="1"/>
  <c r="F118" i="52076"/>
  <c r="J118" i="12"/>
  <c r="G85" i="52090"/>
  <c r="J85" i="52090"/>
  <c r="B146" i="52077"/>
  <c r="H146" i="52077"/>
  <c r="L146" i="111"/>
  <c r="C241" i="52094"/>
  <c r="K154" i="52094"/>
  <c r="B154" i="52094"/>
  <c r="B141" i="52077"/>
  <c r="L141" i="111"/>
  <c r="H141" i="52077"/>
  <c r="B143" i="52077"/>
  <c r="L143" i="111"/>
  <c r="H143" i="52077"/>
  <c r="B162" i="52077"/>
  <c r="H162" i="52077"/>
  <c r="J162" i="52077" s="1"/>
  <c r="L163" i="111"/>
  <c r="M165" i="111"/>
  <c r="I164" i="52075"/>
  <c r="K164" i="52075" s="1"/>
  <c r="B164" i="52075"/>
  <c r="G150" i="52104"/>
  <c r="F90" i="52074"/>
  <c r="I90" i="52074" s="1"/>
  <c r="I90" i="20"/>
  <c r="G90" i="20"/>
  <c r="J90" i="20" s="1"/>
  <c r="L90" i="20" s="1"/>
  <c r="D151" i="52104"/>
  <c r="B151" i="52074"/>
  <c r="D152" i="111"/>
  <c r="H151" i="52074"/>
  <c r="F86" i="52076"/>
  <c r="G86" i="12"/>
  <c r="F119" i="52076"/>
  <c r="J119" i="12"/>
  <c r="J86" i="52090"/>
  <c r="H86" i="111"/>
  <c r="D86" i="52075"/>
  <c r="J114" i="52090"/>
  <c r="G114" i="52090"/>
  <c r="G90" i="52094"/>
  <c r="F90" i="52077"/>
  <c r="J90" i="52094"/>
  <c r="B133" i="52083"/>
  <c r="C133" i="52097"/>
  <c r="G154" i="105"/>
  <c r="D180" i="52082"/>
  <c r="G180" i="52097"/>
  <c r="F88" i="52097"/>
  <c r="E88" i="52082"/>
  <c r="G64" i="115"/>
  <c r="F70" i="115"/>
  <c r="J64" i="115"/>
  <c r="G64" i="52104"/>
  <c r="E85" i="52097"/>
  <c r="C85" i="52082"/>
  <c r="D74" i="52082"/>
  <c r="G74" i="52097"/>
  <c r="G138" i="52097"/>
  <c r="D138" i="52082"/>
  <c r="C165" i="52082"/>
  <c r="E165" i="52097"/>
  <c r="G162" i="114"/>
  <c r="J162" i="114" s="1"/>
  <c r="D76" i="52104"/>
  <c r="B76" i="52074"/>
  <c r="D76" i="111"/>
  <c r="H76" i="52074"/>
  <c r="J76" i="52074" s="1"/>
  <c r="F164" i="52076"/>
  <c r="J165" i="12"/>
  <c r="G165" i="12"/>
  <c r="G67" i="77"/>
  <c r="J67" i="77"/>
  <c r="J249" i="77" s="1"/>
  <c r="G112" i="77"/>
  <c r="J112" i="77"/>
  <c r="G165" i="77"/>
  <c r="J165" i="77"/>
  <c r="J118" i="52087"/>
  <c r="F129" i="52087"/>
  <c r="I118" i="52087"/>
  <c r="G182" i="52097"/>
  <c r="D182" i="52082"/>
  <c r="D84" i="52098"/>
  <c r="I84" i="52097"/>
  <c r="J118" i="52071"/>
  <c r="I118" i="52071"/>
  <c r="J105" i="52071"/>
  <c r="F116" i="52071"/>
  <c r="I105" i="52071"/>
  <c r="E73" i="52097"/>
  <c r="C73" i="52082"/>
  <c r="J73" i="52082" s="1"/>
  <c r="L73" i="52082" s="1"/>
  <c r="G150" i="52097"/>
  <c r="D150" i="52082"/>
  <c r="D176" i="52083"/>
  <c r="H177" i="52097"/>
  <c r="G162" i="115"/>
  <c r="J162" i="115"/>
  <c r="G161" i="52104"/>
  <c r="B110" i="52104"/>
  <c r="B110" i="52076"/>
  <c r="E110" i="111"/>
  <c r="F182" i="52076"/>
  <c r="J183" i="12"/>
  <c r="G183" i="12"/>
  <c r="C106" i="52104"/>
  <c r="H106" i="52076"/>
  <c r="F106" i="111"/>
  <c r="C106" i="52076"/>
  <c r="F129" i="52090"/>
  <c r="F240" i="52090" s="1"/>
  <c r="J118" i="52090"/>
  <c r="B100" i="52083"/>
  <c r="C100" i="52097"/>
  <c r="C91" i="52082"/>
  <c r="E91" i="52097"/>
  <c r="D72" i="52082"/>
  <c r="G72" i="52097"/>
  <c r="E138" i="52097"/>
  <c r="C138" i="52082"/>
  <c r="I77" i="52097"/>
  <c r="D77" i="52098"/>
  <c r="B144" i="52104"/>
  <c r="H144" i="52076"/>
  <c r="B144" i="52076"/>
  <c r="E144" i="111"/>
  <c r="B145" i="52104"/>
  <c r="H145" i="52076"/>
  <c r="B145" i="52076"/>
  <c r="E145" i="111"/>
  <c r="B143" i="52104"/>
  <c r="E143" i="111"/>
  <c r="H143" i="52076"/>
  <c r="B143" i="52076"/>
  <c r="J131" i="12"/>
  <c r="F131" i="52076"/>
  <c r="F154" i="12"/>
  <c r="K154" i="77"/>
  <c r="B154" i="77"/>
  <c r="C241" i="77"/>
  <c r="C141" i="52104"/>
  <c r="C141" i="52076"/>
  <c r="F141" i="111"/>
  <c r="C142" i="52104"/>
  <c r="F142" i="111"/>
  <c r="C142" i="52076"/>
  <c r="J131" i="77"/>
  <c r="F154" i="77"/>
  <c r="G143" i="52104"/>
  <c r="C103" i="12"/>
  <c r="F149" i="52097"/>
  <c r="E149" i="52082"/>
  <c r="E91" i="52082"/>
  <c r="F91" i="52097"/>
  <c r="C146" i="52075"/>
  <c r="B146" i="111"/>
  <c r="C144" i="52075"/>
  <c r="B144" i="111"/>
  <c r="C145" i="52075"/>
  <c r="B145" i="111"/>
  <c r="B143" i="111"/>
  <c r="C143" i="52075"/>
  <c r="F161" i="52097"/>
  <c r="E161" i="52082"/>
  <c r="F129" i="115"/>
  <c r="J118" i="115"/>
  <c r="G118" i="52104"/>
  <c r="I118" i="115"/>
  <c r="L118" i="115" s="1"/>
  <c r="J106" i="12"/>
  <c r="F106" i="52076"/>
  <c r="J142" i="77"/>
  <c r="G96" i="52090"/>
  <c r="J96" i="52090" s="1"/>
  <c r="L96" i="52090" s="1"/>
  <c r="D164" i="52075"/>
  <c r="H165" i="111"/>
  <c r="C103" i="114"/>
  <c r="F122" i="52097"/>
  <c r="E122" i="52082"/>
  <c r="J122" i="52082" s="1"/>
  <c r="G105" i="52090"/>
  <c r="J105" i="52090"/>
  <c r="F116" i="52090"/>
  <c r="G95" i="52075"/>
  <c r="J66" i="52094"/>
  <c r="B66" i="52077"/>
  <c r="L66" i="111"/>
  <c r="J141" i="52094"/>
  <c r="G112" i="52095"/>
  <c r="J112" i="52095"/>
  <c r="P112" i="111"/>
  <c r="J141" i="77"/>
  <c r="K168" i="114"/>
  <c r="B168" i="114"/>
  <c r="C242" i="114"/>
  <c r="C67" i="111"/>
  <c r="E67" i="52104"/>
  <c r="C67" i="52074"/>
  <c r="G112" i="52104"/>
  <c r="J112" i="52104" s="1"/>
  <c r="G142" i="52104"/>
  <c r="F82" i="52076"/>
  <c r="B99" i="52104"/>
  <c r="E99" i="111"/>
  <c r="B99" i="52076"/>
  <c r="H99" i="52076"/>
  <c r="J99" i="52076" s="1"/>
  <c r="G141" i="52075"/>
  <c r="G94" i="52081"/>
  <c r="J94" i="52081"/>
  <c r="G90" i="52081"/>
  <c r="J90" i="52081" s="1"/>
  <c r="G161" i="52081"/>
  <c r="J161" i="52081" s="1"/>
  <c r="J118" i="114"/>
  <c r="F129" i="114"/>
  <c r="C144" i="52074"/>
  <c r="I144" i="52104"/>
  <c r="E144" i="52104"/>
  <c r="C144" i="111"/>
  <c r="E141" i="52104"/>
  <c r="C141" i="52074"/>
  <c r="C141" i="111"/>
  <c r="I141" i="52104"/>
  <c r="H152" i="115"/>
  <c r="L152" i="115" s="1"/>
  <c r="G154" i="115"/>
  <c r="E143" i="52104"/>
  <c r="C143" i="52074"/>
  <c r="C143" i="111"/>
  <c r="I143" i="52104"/>
  <c r="F154" i="115"/>
  <c r="J131" i="115"/>
  <c r="G131" i="52104"/>
  <c r="D171" i="111"/>
  <c r="B170" i="52074"/>
  <c r="D170" i="52104"/>
  <c r="F73" i="52076"/>
  <c r="G73" i="12"/>
  <c r="J73" i="12"/>
  <c r="C242" i="52090"/>
  <c r="B168" i="52090"/>
  <c r="K168" i="52090"/>
  <c r="K116" i="52094"/>
  <c r="C239" i="52094"/>
  <c r="B116" i="52094"/>
  <c r="B151" i="52077"/>
  <c r="L152" i="111"/>
  <c r="H151" i="52077"/>
  <c r="J151" i="52077" s="1"/>
  <c r="P77" i="111"/>
  <c r="G77" i="52075"/>
  <c r="G77" i="52095"/>
  <c r="G110" i="52095"/>
  <c r="G110" i="52075"/>
  <c r="P110" i="111"/>
  <c r="J110" i="52095"/>
  <c r="B160" i="52104"/>
  <c r="E161" i="111"/>
  <c r="B160" i="52076"/>
  <c r="C85" i="52076"/>
  <c r="C85" i="52104"/>
  <c r="F85" i="111"/>
  <c r="F84" i="52076"/>
  <c r="B84" i="52104"/>
  <c r="B84" i="52076"/>
  <c r="E84" i="111"/>
  <c r="G84" i="52090"/>
  <c r="L100" i="111"/>
  <c r="B100" i="52077"/>
  <c r="P86" i="111"/>
  <c r="D28" i="52081"/>
  <c r="I29" i="52081" s="1"/>
  <c r="C44" i="52081"/>
  <c r="J87" i="52081"/>
  <c r="G87" i="52081"/>
  <c r="D82" i="52103"/>
  <c r="G82" i="110"/>
  <c r="D82" i="52084"/>
  <c r="D150" i="52103"/>
  <c r="G150" i="110"/>
  <c r="D150" i="52084"/>
  <c r="D72" i="52103"/>
  <c r="G72" i="110"/>
  <c r="D72" i="52084"/>
  <c r="J162" i="52081"/>
  <c r="G162" i="52081"/>
  <c r="C82" i="52097"/>
  <c r="B82" i="52083"/>
  <c r="C99" i="52082"/>
  <c r="E99" i="52097"/>
  <c r="B125" i="52083"/>
  <c r="C125" i="52097"/>
  <c r="C90" i="52082"/>
  <c r="E90" i="52097"/>
  <c r="B103" i="105"/>
  <c r="C238" i="105"/>
  <c r="C203" i="105"/>
  <c r="D66" i="52082"/>
  <c r="D70" i="52082" s="1"/>
  <c r="G70" i="101"/>
  <c r="G66" i="52097"/>
  <c r="G70" i="52097" s="1"/>
  <c r="D150" i="52083"/>
  <c r="H150" i="52097"/>
  <c r="L158" i="52095"/>
  <c r="J105" i="52081"/>
  <c r="F116" i="52081"/>
  <c r="G105" i="52081"/>
  <c r="D84" i="52103"/>
  <c r="D84" i="52084"/>
  <c r="G84" i="110"/>
  <c r="F168" i="52081"/>
  <c r="J156" i="52081"/>
  <c r="J109" i="52094"/>
  <c r="F109" i="52077"/>
  <c r="J105" i="12"/>
  <c r="G105" i="12"/>
  <c r="G109" i="77"/>
  <c r="J109" i="77"/>
  <c r="G100" i="114"/>
  <c r="J100" i="114"/>
  <c r="C240" i="20"/>
  <c r="B129" i="20"/>
  <c r="K129" i="20"/>
  <c r="G67" i="52094"/>
  <c r="F67" i="52077"/>
  <c r="J100" i="52095"/>
  <c r="M100" i="111"/>
  <c r="B100" i="52075"/>
  <c r="G143" i="52075"/>
  <c r="J95" i="52081"/>
  <c r="D91" i="52103"/>
  <c r="D91" i="52084"/>
  <c r="G91" i="110"/>
  <c r="E84" i="52097"/>
  <c r="C84" i="52082"/>
  <c r="H114" i="52097"/>
  <c r="D114" i="52083"/>
  <c r="J95" i="52088"/>
  <c r="I95" i="52088"/>
  <c r="B76" i="52083"/>
  <c r="C76" i="52097"/>
  <c r="J145" i="52087"/>
  <c r="C145" i="52082"/>
  <c r="E145" i="52097"/>
  <c r="C143" i="52082"/>
  <c r="E143" i="52097"/>
  <c r="E144" i="52097"/>
  <c r="C144" i="52082"/>
  <c r="J131" i="52087"/>
  <c r="F154" i="52087"/>
  <c r="I131" i="52087"/>
  <c r="C152" i="52082"/>
  <c r="E152" i="52097"/>
  <c r="F129" i="52095"/>
  <c r="F240" i="52095" s="1"/>
  <c r="P118" i="111"/>
  <c r="G118" i="52075"/>
  <c r="J118" i="52095"/>
  <c r="J143" i="52095"/>
  <c r="L143" i="52095" s="1"/>
  <c r="B143" i="52075"/>
  <c r="I143" i="52075"/>
  <c r="K143" i="52075" s="1"/>
  <c r="M143" i="111"/>
  <c r="B146" i="52075"/>
  <c r="I146" i="52075"/>
  <c r="M146" i="111"/>
  <c r="M145" i="111"/>
  <c r="I145" i="52075"/>
  <c r="B145" i="52075"/>
  <c r="B142" i="52075"/>
  <c r="I142" i="52075"/>
  <c r="M142" i="111"/>
  <c r="G81" i="110"/>
  <c r="D81" i="52103"/>
  <c r="D81" i="52084"/>
  <c r="D144" i="52084"/>
  <c r="D144" i="52103"/>
  <c r="G144" i="110"/>
  <c r="D141" i="52103"/>
  <c r="G141" i="110"/>
  <c r="D141" i="52084"/>
  <c r="D142" i="52084"/>
  <c r="G142" i="110"/>
  <c r="D142" i="52103"/>
  <c r="J131" i="52081"/>
  <c r="F154" i="52081"/>
  <c r="F241" i="52081" s="1"/>
  <c r="G78" i="52081"/>
  <c r="D91" i="52083"/>
  <c r="H91" i="52097"/>
  <c r="L97" i="52095"/>
  <c r="B97" i="52075"/>
  <c r="M97" i="111"/>
  <c r="P106" i="111"/>
  <c r="G106" i="52104"/>
  <c r="J118" i="77"/>
  <c r="F129" i="77"/>
  <c r="D112" i="52075"/>
  <c r="H112" i="111"/>
  <c r="F168" i="52095"/>
  <c r="F242" i="52095" s="1"/>
  <c r="G155" i="52075"/>
  <c r="P156" i="111"/>
  <c r="G82" i="52095"/>
  <c r="J82" i="52095"/>
  <c r="G82" i="52075"/>
  <c r="P82" i="111"/>
  <c r="M152" i="111"/>
  <c r="B151" i="52075"/>
  <c r="C180" i="52097"/>
  <c r="B179" i="52083"/>
  <c r="F180" i="52097"/>
  <c r="E180" i="52082"/>
  <c r="E80" i="52097"/>
  <c r="C80" i="52082"/>
  <c r="I134" i="52102"/>
  <c r="H134" i="110"/>
  <c r="B134" i="52102"/>
  <c r="G112" i="52100"/>
  <c r="J112" i="52100"/>
  <c r="G112" i="52102"/>
  <c r="G101" i="52100"/>
  <c r="J101" i="52100"/>
  <c r="G101" i="52102"/>
  <c r="K101" i="52102" s="1"/>
  <c r="G93" i="52100"/>
  <c r="J93" i="52100"/>
  <c r="G93" i="52102"/>
  <c r="K93" i="52102" s="1"/>
  <c r="G84" i="52100"/>
  <c r="J84" i="52100"/>
  <c r="G84" i="52102"/>
  <c r="G76" i="52100"/>
  <c r="J76" i="52100"/>
  <c r="G76" i="52102"/>
  <c r="G65" i="52100"/>
  <c r="J65" i="52100"/>
  <c r="G65" i="52102"/>
  <c r="K65" i="52102" s="1"/>
  <c r="B145" i="110"/>
  <c r="E145" i="52102"/>
  <c r="B154" i="32"/>
  <c r="C241" i="32"/>
  <c r="K154" i="32"/>
  <c r="B141" i="110"/>
  <c r="E141" i="52102"/>
  <c r="J131" i="110"/>
  <c r="J131" i="32"/>
  <c r="F154" i="32"/>
  <c r="E76" i="52082"/>
  <c r="F76" i="52097"/>
  <c r="C18" i="111"/>
  <c r="C18" i="52074"/>
  <c r="C148" i="9"/>
  <c r="C148" i="52098"/>
  <c r="F169" i="52098"/>
  <c r="J169" i="52098" s="1"/>
  <c r="J170" i="21"/>
  <c r="G170" i="21"/>
  <c r="F185" i="21"/>
  <c r="B174" i="52082"/>
  <c r="B174" i="52097"/>
  <c r="E66" i="52083"/>
  <c r="D66" i="52097"/>
  <c r="G70" i="108"/>
  <c r="G103" i="108" s="1"/>
  <c r="E164" i="52083"/>
  <c r="D165" i="52097"/>
  <c r="J187" i="101"/>
  <c r="F201" i="101"/>
  <c r="G101" i="52097"/>
  <c r="D101" i="52082"/>
  <c r="G196" i="52100"/>
  <c r="J196" i="52100"/>
  <c r="G195" i="52102"/>
  <c r="K195" i="52102" s="1"/>
  <c r="J188" i="52100"/>
  <c r="G188" i="52100"/>
  <c r="G187" i="52102"/>
  <c r="K187" i="52102" s="1"/>
  <c r="G176" i="52100"/>
  <c r="J176" i="52100"/>
  <c r="G175" i="52102"/>
  <c r="K175" i="52102" s="1"/>
  <c r="G165" i="52100"/>
  <c r="J165" i="52100"/>
  <c r="G164" i="52102"/>
  <c r="G157" i="52100"/>
  <c r="J157" i="52100"/>
  <c r="G156" i="52102"/>
  <c r="G118" i="52100"/>
  <c r="G118" i="52102"/>
  <c r="G107" i="52100"/>
  <c r="J107" i="52100"/>
  <c r="G107" i="52102"/>
  <c r="K107" i="52102" s="1"/>
  <c r="G96" i="52100"/>
  <c r="J96" i="52100"/>
  <c r="G96" i="52102"/>
  <c r="G87" i="52100"/>
  <c r="J87" i="52100"/>
  <c r="G87" i="52102"/>
  <c r="G68" i="52100"/>
  <c r="G68" i="52102"/>
  <c r="J68" i="52100"/>
  <c r="G166" i="52097"/>
  <c r="D166" i="52082"/>
  <c r="E101" i="52083"/>
  <c r="D101" i="52097"/>
  <c r="E10" i="52097"/>
  <c r="C10" i="52082"/>
  <c r="C100" i="52083"/>
  <c r="J100" i="52097"/>
  <c r="D126" i="52098"/>
  <c r="I126" i="52097"/>
  <c r="I96" i="52098"/>
  <c r="J96" i="52098"/>
  <c r="G198" i="233"/>
  <c r="I198" i="9"/>
  <c r="I99" i="52098"/>
  <c r="B99" i="52098"/>
  <c r="B99" i="9"/>
  <c r="K99" i="52098"/>
  <c r="G99" i="52098"/>
  <c r="C126" i="52098"/>
  <c r="C126" i="9"/>
  <c r="B182" i="52083"/>
  <c r="C183" i="52097"/>
  <c r="C51" i="52079"/>
  <c r="B207" i="52079"/>
  <c r="C32" i="52079"/>
  <c r="C33" i="52079" s="1"/>
  <c r="C46" i="52079"/>
  <c r="C47" i="52079" s="1"/>
  <c r="B215" i="52079"/>
  <c r="B211" i="52079"/>
  <c r="B212" i="52079"/>
  <c r="C220" i="52079"/>
  <c r="C165" i="52083"/>
  <c r="J166" i="52097"/>
  <c r="F92" i="52097"/>
  <c r="E92" i="52082"/>
  <c r="F62" i="12"/>
  <c r="F233" i="12"/>
  <c r="I12" i="52097"/>
  <c r="D12" i="52098"/>
  <c r="F186" i="52098"/>
  <c r="J186" i="52098" s="1"/>
  <c r="J187" i="21"/>
  <c r="F201" i="21"/>
  <c r="B12" i="52082"/>
  <c r="B12" i="52097"/>
  <c r="I92" i="9"/>
  <c r="L188" i="114"/>
  <c r="B81" i="52082"/>
  <c r="B81" i="52097"/>
  <c r="B136" i="52097"/>
  <c r="B136" i="52082"/>
  <c r="E179" i="52083"/>
  <c r="D180" i="52097"/>
  <c r="C93" i="52083"/>
  <c r="J93" i="52097"/>
  <c r="J152" i="52097"/>
  <c r="C151" i="52083"/>
  <c r="G64" i="20"/>
  <c r="F64" i="52074"/>
  <c r="F70" i="20"/>
  <c r="J64" i="20"/>
  <c r="G85" i="52089"/>
  <c r="J85" i="52089"/>
  <c r="G174" i="77"/>
  <c r="J174" i="77"/>
  <c r="G149" i="114"/>
  <c r="J149" i="114"/>
  <c r="D175" i="52074"/>
  <c r="G176" i="111"/>
  <c r="C175" i="52102"/>
  <c r="I194" i="9"/>
  <c r="G194" i="233"/>
  <c r="C239" i="21"/>
  <c r="B116" i="21"/>
  <c r="J118" i="52089"/>
  <c r="F129" i="52089"/>
  <c r="F240" i="52089" s="1"/>
  <c r="J94" i="114"/>
  <c r="G94" i="114"/>
  <c r="C178" i="111"/>
  <c r="E177" i="52104"/>
  <c r="C177" i="52074"/>
  <c r="L178" i="115"/>
  <c r="B126" i="52076"/>
  <c r="L126" i="12"/>
  <c r="B126" i="52104"/>
  <c r="E126" i="111"/>
  <c r="G107" i="52089"/>
  <c r="J107" i="52089"/>
  <c r="J171" i="52090"/>
  <c r="G171" i="52090"/>
  <c r="P158" i="111"/>
  <c r="T158" i="111" s="1"/>
  <c r="D28" i="52092"/>
  <c r="C44" i="52092"/>
  <c r="G112" i="52093"/>
  <c r="J112" i="52093" s="1"/>
  <c r="L112" i="52093" s="1"/>
  <c r="G72" i="52094"/>
  <c r="J72" i="52094"/>
  <c r="F72" i="52077"/>
  <c r="G172" i="52095"/>
  <c r="J172" i="52095"/>
  <c r="P172" i="111"/>
  <c r="T172" i="111" s="1"/>
  <c r="G171" i="52075"/>
  <c r="K171" i="52075" s="1"/>
  <c r="B116" i="52080"/>
  <c r="C239" i="52080"/>
  <c r="K116" i="52080"/>
  <c r="L137" i="52080"/>
  <c r="C180" i="110"/>
  <c r="E179" i="52103"/>
  <c r="G94" i="48"/>
  <c r="J94" i="48"/>
  <c r="F94" i="52084"/>
  <c r="J94" i="52084" s="1"/>
  <c r="J124" i="48"/>
  <c r="F124" i="52084"/>
  <c r="J124" i="52084" s="1"/>
  <c r="J188" i="48"/>
  <c r="F187" i="52084"/>
  <c r="J187" i="52084" s="1"/>
  <c r="G74" i="52066"/>
  <c r="J74" i="52066"/>
  <c r="G133" i="52066"/>
  <c r="J133" i="52066"/>
  <c r="C175" i="52103"/>
  <c r="C175" i="52084"/>
  <c r="E176" i="110"/>
  <c r="C172" i="52077"/>
  <c r="J173" i="111"/>
  <c r="K100" i="111"/>
  <c r="D100" i="52076"/>
  <c r="I100" i="52076" s="1"/>
  <c r="D100" i="52077"/>
  <c r="I100" i="52077" s="1"/>
  <c r="J107" i="52094"/>
  <c r="G107" i="52094"/>
  <c r="F107" i="52077"/>
  <c r="J136" i="12"/>
  <c r="F136" i="52076"/>
  <c r="C76" i="52104"/>
  <c r="F76" i="111"/>
  <c r="C76" i="52076"/>
  <c r="G91" i="52089"/>
  <c r="J91" i="52089"/>
  <c r="C243" i="52089"/>
  <c r="K185" i="52089"/>
  <c r="B16" i="52083"/>
  <c r="C16" i="52097"/>
  <c r="D99" i="52097"/>
  <c r="E99" i="52083"/>
  <c r="J16" i="52097"/>
  <c r="C16" i="52083"/>
  <c r="J75" i="52097"/>
  <c r="C75" i="52083"/>
  <c r="B83" i="52097"/>
  <c r="B83" i="52082"/>
  <c r="I197" i="9"/>
  <c r="F87" i="52097"/>
  <c r="E87" i="52082"/>
  <c r="J183" i="52097"/>
  <c r="C182" i="52083"/>
  <c r="K148" i="52098"/>
  <c r="B148" i="52098"/>
  <c r="G148" i="52098"/>
  <c r="B148" i="9"/>
  <c r="G148" i="9" s="1"/>
  <c r="G189" i="233"/>
  <c r="I189" i="9"/>
  <c r="B124" i="52083"/>
  <c r="C124" i="52097"/>
  <c r="C81" i="9"/>
  <c r="C81" i="52098"/>
  <c r="C139" i="52083"/>
  <c r="J139" i="52097"/>
  <c r="B13" i="52076"/>
  <c r="E13" i="111"/>
  <c r="H13" i="52076"/>
  <c r="J157" i="115"/>
  <c r="G156" i="52104"/>
  <c r="K156" i="52104" s="1"/>
  <c r="F156" i="52074"/>
  <c r="J156" i="52074" s="1"/>
  <c r="J157" i="20"/>
  <c r="G75" i="12"/>
  <c r="J75" i="12"/>
  <c r="F75" i="52076"/>
  <c r="G124" i="12"/>
  <c r="J124" i="12"/>
  <c r="F124" i="52076"/>
  <c r="B149" i="52098"/>
  <c r="B149" i="9"/>
  <c r="G149" i="52098"/>
  <c r="K149" i="52098"/>
  <c r="B85" i="9"/>
  <c r="B85" i="52098"/>
  <c r="G85" i="52098"/>
  <c r="C219" i="52087"/>
  <c r="C226" i="52087"/>
  <c r="I181" i="52097"/>
  <c r="D180" i="52098"/>
  <c r="C82" i="52083"/>
  <c r="J82" i="52097"/>
  <c r="F16" i="111"/>
  <c r="C16" i="52076"/>
  <c r="L174" i="114"/>
  <c r="B94" i="52098"/>
  <c r="B94" i="9"/>
  <c r="K94" i="52098"/>
  <c r="G94" i="52098"/>
  <c r="B16" i="52097"/>
  <c r="B16" i="52082"/>
  <c r="D10" i="52082"/>
  <c r="G10" i="52097"/>
  <c r="H175" i="52097"/>
  <c r="D174" i="52083"/>
  <c r="C44" i="52091"/>
  <c r="K103" i="52092"/>
  <c r="B103" i="52092"/>
  <c r="C238" i="52092"/>
  <c r="C203" i="52092"/>
  <c r="C98" i="110"/>
  <c r="E98" i="52103"/>
  <c r="G85" i="48"/>
  <c r="J85" i="48"/>
  <c r="F85" i="52084"/>
  <c r="J196" i="48"/>
  <c r="L196" i="48" s="1"/>
  <c r="F195" i="52084"/>
  <c r="J195" i="52084" s="1"/>
  <c r="G86" i="52066"/>
  <c r="J86" i="52066"/>
  <c r="C151" i="52103"/>
  <c r="E152" i="110"/>
  <c r="C151" i="52084"/>
  <c r="G74" i="52092"/>
  <c r="J114" i="52092"/>
  <c r="G114" i="52092"/>
  <c r="G81" i="52093"/>
  <c r="J81" i="52093"/>
  <c r="G165" i="52093"/>
  <c r="G92" i="52095"/>
  <c r="J92" i="52095"/>
  <c r="P92" i="111"/>
  <c r="T92" i="111" s="1"/>
  <c r="G92" i="52075"/>
  <c r="K92" i="52075" s="1"/>
  <c r="G83" i="52080"/>
  <c r="J177" i="52080"/>
  <c r="G177" i="52080"/>
  <c r="L137" i="77"/>
  <c r="C44" i="114"/>
  <c r="G87" i="52080"/>
  <c r="J87" i="52080"/>
  <c r="G96" i="52089"/>
  <c r="G172" i="20"/>
  <c r="J172" i="20"/>
  <c r="F171" i="52074"/>
  <c r="J171" i="52074" s="1"/>
  <c r="J195" i="20"/>
  <c r="L195" i="20" s="1"/>
  <c r="F194" i="52074"/>
  <c r="J194" i="52074" s="1"/>
  <c r="G177" i="77"/>
  <c r="J177" i="77"/>
  <c r="D12" i="52075"/>
  <c r="H12" i="111"/>
  <c r="H178" i="111"/>
  <c r="D177" i="52075"/>
  <c r="F70" i="52091"/>
  <c r="J64" i="52091"/>
  <c r="K148" i="111"/>
  <c r="D148" i="52077"/>
  <c r="I148" i="52077" s="1"/>
  <c r="D148" i="52076"/>
  <c r="I148" i="52076" s="1"/>
  <c r="G126" i="52094"/>
  <c r="F126" i="52077"/>
  <c r="J126" i="52094"/>
  <c r="J192" i="52094"/>
  <c r="L192" i="52094" s="1"/>
  <c r="F191" i="52077"/>
  <c r="L191" i="52077" s="1"/>
  <c r="J196" i="52095"/>
  <c r="L196" i="52095" s="1"/>
  <c r="G195" i="52075"/>
  <c r="K195" i="52075" s="1"/>
  <c r="P196" i="111"/>
  <c r="T196" i="111" s="1"/>
  <c r="J141" i="32"/>
  <c r="J141" i="110"/>
  <c r="C99" i="110"/>
  <c r="E99" i="52103"/>
  <c r="F51" i="52072"/>
  <c r="C146" i="52077"/>
  <c r="J146" i="111"/>
  <c r="C144" i="52077"/>
  <c r="J144" i="111"/>
  <c r="J145" i="111"/>
  <c r="C145" i="52077"/>
  <c r="J143" i="111"/>
  <c r="C143" i="52077"/>
  <c r="C177" i="52077"/>
  <c r="J178" i="111"/>
  <c r="F233" i="52093"/>
  <c r="F62" i="52093"/>
  <c r="D9" i="52076"/>
  <c r="D9" i="52077"/>
  <c r="K9" i="111"/>
  <c r="G21" i="52093"/>
  <c r="F233" i="52095"/>
  <c r="F62" i="52095"/>
  <c r="G170" i="52080"/>
  <c r="J170" i="52080"/>
  <c r="F185" i="52080"/>
  <c r="J49" i="32"/>
  <c r="J49" i="110"/>
  <c r="N49" i="110" s="1"/>
  <c r="J119" i="32"/>
  <c r="J119" i="110"/>
  <c r="N119" i="110" s="1"/>
  <c r="J192" i="32"/>
  <c r="J192" i="110"/>
  <c r="N192" i="110" s="1"/>
  <c r="C17" i="110"/>
  <c r="E17" i="52103"/>
  <c r="E107" i="52103"/>
  <c r="C107" i="110"/>
  <c r="J136" i="48"/>
  <c r="L136" i="48" s="1"/>
  <c r="F136" i="52084"/>
  <c r="J136" i="52084" s="1"/>
  <c r="B49" i="91"/>
  <c r="B207" i="91"/>
  <c r="C32" i="91"/>
  <c r="B212" i="91"/>
  <c r="B215" i="91"/>
  <c r="C51" i="91"/>
  <c r="C220" i="91"/>
  <c r="B211" i="91"/>
  <c r="C46" i="91"/>
  <c r="C47" i="91" s="1"/>
  <c r="G161" i="52103"/>
  <c r="C162" i="110"/>
  <c r="E161" i="52103"/>
  <c r="G109" i="48"/>
  <c r="F109" i="52084"/>
  <c r="C99" i="52103"/>
  <c r="E99" i="110"/>
  <c r="C99" i="52084"/>
  <c r="F70" i="52072"/>
  <c r="G64" i="52072"/>
  <c r="J64" i="52072"/>
  <c r="B116" i="52072"/>
  <c r="C239" i="52072"/>
  <c r="K116" i="52072"/>
  <c r="K154" i="52072"/>
  <c r="C241" i="52072"/>
  <c r="B154" i="52072"/>
  <c r="D146" i="52102"/>
  <c r="D146" i="110"/>
  <c r="D141" i="52102"/>
  <c r="D141" i="110"/>
  <c r="D143" i="52102"/>
  <c r="D143" i="110"/>
  <c r="J118" i="52072"/>
  <c r="F129" i="52072"/>
  <c r="F240" i="52072" s="1"/>
  <c r="D182" i="52098"/>
  <c r="I183" i="52097"/>
  <c r="D136" i="52098"/>
  <c r="I136" i="52097"/>
  <c r="H14" i="111"/>
  <c r="D14" i="52075"/>
  <c r="G170" i="115"/>
  <c r="F185" i="115"/>
  <c r="J170" i="115"/>
  <c r="G169" i="52104"/>
  <c r="B9" i="52074"/>
  <c r="D9" i="111"/>
  <c r="H9" i="52074"/>
  <c r="G21" i="20"/>
  <c r="F81" i="52076"/>
  <c r="J81" i="12"/>
  <c r="G81" i="12"/>
  <c r="F170" i="52077"/>
  <c r="J171" i="52091"/>
  <c r="L171" i="52091" s="1"/>
  <c r="C162" i="52077"/>
  <c r="J163" i="111"/>
  <c r="J182" i="52093"/>
  <c r="G182" i="52093"/>
  <c r="F181" i="52076"/>
  <c r="P182" i="111"/>
  <c r="T182" i="111" s="1"/>
  <c r="J101" i="52094"/>
  <c r="F101" i="52077"/>
  <c r="G101" i="52094"/>
  <c r="G190" i="52075"/>
  <c r="K190" i="52075" s="1"/>
  <c r="J191" i="52095"/>
  <c r="L191" i="52095" s="1"/>
  <c r="P191" i="111"/>
  <c r="T191" i="111" s="1"/>
  <c r="V191" i="111" s="1"/>
  <c r="E16" i="52102"/>
  <c r="B16" i="110"/>
  <c r="G21" i="32"/>
  <c r="L146" i="52092"/>
  <c r="J94" i="52093"/>
  <c r="G94" i="52093"/>
  <c r="F143" i="52076"/>
  <c r="G166" i="52094"/>
  <c r="F165" i="52077"/>
  <c r="J166" i="52094"/>
  <c r="E73" i="52075"/>
  <c r="N73" i="111"/>
  <c r="C13" i="52076"/>
  <c r="F13" i="111"/>
  <c r="G100" i="111"/>
  <c r="C100" i="52102"/>
  <c r="D100" i="52074"/>
  <c r="G136" i="52104"/>
  <c r="K136" i="52104" s="1"/>
  <c r="G92" i="52092"/>
  <c r="J92" i="52092"/>
  <c r="M164" i="111"/>
  <c r="B163" i="52075"/>
  <c r="C219" i="32"/>
  <c r="B147" i="110"/>
  <c r="E147" i="52102"/>
  <c r="G195" i="52103"/>
  <c r="K195" i="52103" s="1"/>
  <c r="G170" i="48"/>
  <c r="F185" i="48"/>
  <c r="J170" i="48"/>
  <c r="F169" i="52084"/>
  <c r="C136" i="52103"/>
  <c r="C136" i="52084"/>
  <c r="E136" i="110"/>
  <c r="L136" i="52066"/>
  <c r="H136" i="52084"/>
  <c r="I136" i="52103"/>
  <c r="G81" i="52092"/>
  <c r="J81" i="52092"/>
  <c r="G87" i="52094"/>
  <c r="J87" i="52094"/>
  <c r="F87" i="52077"/>
  <c r="B162" i="52075"/>
  <c r="M163" i="111"/>
  <c r="N82" i="111"/>
  <c r="E82" i="52075"/>
  <c r="J190" i="32"/>
  <c r="J190" i="110"/>
  <c r="N190" i="110" s="1"/>
  <c r="G66" i="91"/>
  <c r="G66" i="52103"/>
  <c r="G85" i="91"/>
  <c r="G85" i="52103"/>
  <c r="J133" i="91"/>
  <c r="G133" i="52103"/>
  <c r="K168" i="52072"/>
  <c r="C242" i="52072"/>
  <c r="B168" i="52072"/>
  <c r="G100" i="32"/>
  <c r="J100" i="110"/>
  <c r="J100" i="32"/>
  <c r="C243" i="32"/>
  <c r="K185" i="32"/>
  <c r="B151" i="52103"/>
  <c r="B151" i="52084"/>
  <c r="F152" i="110"/>
  <c r="J77" i="52072"/>
  <c r="L77" i="52072" s="1"/>
  <c r="C149" i="9"/>
  <c r="G149" i="9" s="1"/>
  <c r="C149" i="52098"/>
  <c r="J195" i="52100"/>
  <c r="G195" i="52100"/>
  <c r="G194" i="52102"/>
  <c r="K194" i="52102" s="1"/>
  <c r="J175" i="52100"/>
  <c r="G175" i="52100"/>
  <c r="G174" i="52102"/>
  <c r="K174" i="52102" s="1"/>
  <c r="B168" i="52100"/>
  <c r="C242" i="52100"/>
  <c r="K168" i="52100"/>
  <c r="G95" i="52102"/>
  <c r="G78" i="52100"/>
  <c r="G78" i="52102"/>
  <c r="J78" i="52100"/>
  <c r="J171" i="52097"/>
  <c r="C170" i="52083"/>
  <c r="C239" i="148"/>
  <c r="B116" i="148"/>
  <c r="B10" i="52083"/>
  <c r="C10" i="52097"/>
  <c r="D18" i="52098"/>
  <c r="I18" i="52097"/>
  <c r="D80" i="52083"/>
  <c r="H80" i="52097"/>
  <c r="B193" i="52102"/>
  <c r="I193" i="52102"/>
  <c r="H194" i="110"/>
  <c r="L194" i="110" s="1"/>
  <c r="I135" i="52102"/>
  <c r="H135" i="110"/>
  <c r="B135" i="52102"/>
  <c r="G94" i="52100"/>
  <c r="J94" i="52100"/>
  <c r="G94" i="52102"/>
  <c r="K94" i="52102" s="1"/>
  <c r="G77" i="52100"/>
  <c r="G77" i="52102"/>
  <c r="J77" i="52100"/>
  <c r="F107" i="52097"/>
  <c r="G116" i="52088"/>
  <c r="E107" i="52082"/>
  <c r="B68" i="52097"/>
  <c r="B68" i="52082"/>
  <c r="J68" i="52082" s="1"/>
  <c r="L68" i="52082" s="1"/>
  <c r="D165" i="52083"/>
  <c r="H166" i="52097"/>
  <c r="D97" i="52097"/>
  <c r="O97" i="52097" s="1"/>
  <c r="E97" i="52083"/>
  <c r="I97" i="52083" s="1"/>
  <c r="K97" i="52083" s="1"/>
  <c r="J136" i="52097"/>
  <c r="C136" i="52083"/>
  <c r="B12" i="52076"/>
  <c r="E12" i="111"/>
  <c r="H12" i="52076"/>
  <c r="E19" i="52097"/>
  <c r="C19" i="52082"/>
  <c r="E81" i="52082"/>
  <c r="F81" i="52097"/>
  <c r="C18" i="52076"/>
  <c r="F18" i="111"/>
  <c r="D177" i="52097"/>
  <c r="E176" i="52083"/>
  <c r="B163" i="52097"/>
  <c r="B163" i="52082"/>
  <c r="D172" i="52098"/>
  <c r="I173" i="52097"/>
  <c r="G72" i="111"/>
  <c r="D72" i="52074"/>
  <c r="C72" i="52102"/>
  <c r="K154" i="52091"/>
  <c r="C241" i="52091"/>
  <c r="B154" i="52091"/>
  <c r="I146" i="9"/>
  <c r="I124" i="9"/>
  <c r="C124" i="52098"/>
  <c r="C124" i="9"/>
  <c r="I94" i="9"/>
  <c r="E16" i="52082"/>
  <c r="F16" i="52097"/>
  <c r="F62" i="52087"/>
  <c r="F233" i="52087"/>
  <c r="E9" i="52097"/>
  <c r="C9" i="52082"/>
  <c r="G21" i="52087"/>
  <c r="C241" i="52079"/>
  <c r="B154" i="52079"/>
  <c r="C141" i="52083"/>
  <c r="J141" i="52097"/>
  <c r="J146" i="52097"/>
  <c r="C146" i="52083"/>
  <c r="J131" i="52079"/>
  <c r="F154" i="52079"/>
  <c r="E18" i="111"/>
  <c r="B18" i="52076"/>
  <c r="H18" i="52076"/>
  <c r="H75" i="111"/>
  <c r="D75" i="52075"/>
  <c r="L192" i="52091"/>
  <c r="G170" i="52095"/>
  <c r="G169" i="52075"/>
  <c r="J170" i="52095"/>
  <c r="F185" i="52095"/>
  <c r="P170" i="111"/>
  <c r="J120" i="48"/>
  <c r="F120" i="52084"/>
  <c r="J120" i="52084" s="1"/>
  <c r="E67" i="110"/>
  <c r="C67" i="52084"/>
  <c r="C67" i="52103"/>
  <c r="L67" i="52066"/>
  <c r="C171" i="52103"/>
  <c r="E172" i="110"/>
  <c r="C171" i="52084"/>
  <c r="G82" i="52092"/>
  <c r="J82" i="52092" s="1"/>
  <c r="L140" i="77"/>
  <c r="G16" i="52097"/>
  <c r="D16" i="52082"/>
  <c r="L139" i="52091"/>
  <c r="B134" i="52098"/>
  <c r="B134" i="9"/>
  <c r="G134" i="52098"/>
  <c r="G154" i="21"/>
  <c r="F185" i="52064"/>
  <c r="E170" i="9"/>
  <c r="G170" i="52064"/>
  <c r="J170" i="52064"/>
  <c r="D114" i="52097"/>
  <c r="E114" i="52083"/>
  <c r="J74" i="20"/>
  <c r="G74" i="20"/>
  <c r="F74" i="52074"/>
  <c r="I74" i="52074" s="1"/>
  <c r="J187" i="114"/>
  <c r="L187" i="114" s="1"/>
  <c r="F201" i="114"/>
  <c r="J201" i="114" s="1"/>
  <c r="G92" i="12"/>
  <c r="J92" i="12"/>
  <c r="F92" i="52076"/>
  <c r="G178" i="77"/>
  <c r="J178" i="77"/>
  <c r="G163" i="111"/>
  <c r="D162" i="52074"/>
  <c r="C162" i="52102"/>
  <c r="C17" i="52082"/>
  <c r="E17" i="52097"/>
  <c r="C94" i="52083"/>
  <c r="J94" i="52097"/>
  <c r="I16" i="52097"/>
  <c r="D16" i="52098"/>
  <c r="D80" i="52074"/>
  <c r="G80" i="111"/>
  <c r="C80" i="52102"/>
  <c r="K185" i="114"/>
  <c r="C243" i="114"/>
  <c r="B77" i="52082"/>
  <c r="J77" i="52082" s="1"/>
  <c r="B77" i="52097"/>
  <c r="J77" i="148"/>
  <c r="J187" i="52094"/>
  <c r="L187" i="52094" s="1"/>
  <c r="F201" i="52094"/>
  <c r="J201" i="52094" s="1"/>
  <c r="F186" i="52077"/>
  <c r="H18" i="52077"/>
  <c r="B18" i="52077"/>
  <c r="L18" i="111"/>
  <c r="C81" i="52104"/>
  <c r="F81" i="111"/>
  <c r="C81" i="52076"/>
  <c r="H16" i="52074"/>
  <c r="C16" i="111"/>
  <c r="C16" i="52074"/>
  <c r="D101" i="52075"/>
  <c r="H101" i="111"/>
  <c r="F185" i="20"/>
  <c r="J170" i="20"/>
  <c r="F169" i="52074"/>
  <c r="G170" i="20"/>
  <c r="K201" i="12"/>
  <c r="C243" i="52091"/>
  <c r="K185" i="52091"/>
  <c r="L94" i="52094"/>
  <c r="B94" i="52077"/>
  <c r="L94" i="111"/>
  <c r="B19" i="52075"/>
  <c r="M19" i="111"/>
  <c r="J94" i="52080"/>
  <c r="G94" i="52080"/>
  <c r="G72" i="48"/>
  <c r="J72" i="48"/>
  <c r="F72" i="52084"/>
  <c r="J175" i="52066"/>
  <c r="G175" i="52066"/>
  <c r="J175" i="52093"/>
  <c r="G175" i="52093"/>
  <c r="G166" i="52095"/>
  <c r="J166" i="52095"/>
  <c r="P166" i="111"/>
  <c r="T166" i="111" s="1"/>
  <c r="G165" i="52075"/>
  <c r="K165" i="52075" s="1"/>
  <c r="J126" i="52080"/>
  <c r="G126" i="52080"/>
  <c r="G86" i="32"/>
  <c r="J86" i="32" s="1"/>
  <c r="J86" i="110"/>
  <c r="G112" i="52072"/>
  <c r="J112" i="52072"/>
  <c r="D96" i="52102"/>
  <c r="D96" i="110"/>
  <c r="J98" i="32"/>
  <c r="G98" i="32"/>
  <c r="J98" i="110"/>
  <c r="N98" i="110" s="1"/>
  <c r="G78" i="91"/>
  <c r="J78" i="91" s="1"/>
  <c r="L78" i="91" s="1"/>
  <c r="G78" i="52103"/>
  <c r="K116" i="48"/>
  <c r="B116" i="48"/>
  <c r="C239" i="48"/>
  <c r="D92" i="52102"/>
  <c r="D92" i="110"/>
  <c r="D140" i="52098"/>
  <c r="I140" i="52097"/>
  <c r="J187" i="52093"/>
  <c r="L187" i="52093" s="1"/>
  <c r="F201" i="52093"/>
  <c r="J201" i="52093" s="1"/>
  <c r="G125" i="52075"/>
  <c r="K125" i="52075" s="1"/>
  <c r="J125" i="52095"/>
  <c r="G125" i="52095"/>
  <c r="P125" i="111"/>
  <c r="T125" i="111" s="1"/>
  <c r="G148" i="32"/>
  <c r="H152" i="32" s="1"/>
  <c r="L152" i="32" s="1"/>
  <c r="J148" i="110"/>
  <c r="J148" i="32"/>
  <c r="G174" i="91"/>
  <c r="J174" i="91"/>
  <c r="G173" i="52103"/>
  <c r="K173" i="52103" s="1"/>
  <c r="F126" i="52084"/>
  <c r="J126" i="52084" s="1"/>
  <c r="G126" i="48"/>
  <c r="J126" i="48"/>
  <c r="G72" i="52092"/>
  <c r="D151" i="52076"/>
  <c r="I151" i="52076" s="1"/>
  <c r="K152" i="111"/>
  <c r="D151" i="52077"/>
  <c r="I151" i="52077" s="1"/>
  <c r="G73" i="52094"/>
  <c r="J73" i="52094"/>
  <c r="F73" i="52077"/>
  <c r="E77" i="52075"/>
  <c r="N77" i="111"/>
  <c r="J13" i="52074"/>
  <c r="D13" i="111"/>
  <c r="B13" i="52074"/>
  <c r="H13" i="52074"/>
  <c r="G93" i="12"/>
  <c r="J93" i="12"/>
  <c r="F93" i="52076"/>
  <c r="B168" i="52093"/>
  <c r="K168" i="52093"/>
  <c r="C242" i="52093"/>
  <c r="C239" i="32"/>
  <c r="B116" i="32"/>
  <c r="K116" i="32"/>
  <c r="C85" i="52077"/>
  <c r="J85" i="111"/>
  <c r="B14" i="52075"/>
  <c r="M14" i="111"/>
  <c r="G67" i="52080"/>
  <c r="J67" i="52080" s="1"/>
  <c r="J159" i="32"/>
  <c r="L159" i="32" s="1"/>
  <c r="J159" i="110"/>
  <c r="G73" i="91"/>
  <c r="G73" i="52103"/>
  <c r="C51" i="52072"/>
  <c r="B207" i="52072"/>
  <c r="B211" i="52072"/>
  <c r="C32" i="52072"/>
  <c r="C33" i="52072" s="1"/>
  <c r="L33" i="52072" s="1"/>
  <c r="C220" i="52072"/>
  <c r="B215" i="52072"/>
  <c r="C46" i="52072"/>
  <c r="C47" i="52072" s="1"/>
  <c r="B212" i="52072"/>
  <c r="G49" i="52103"/>
  <c r="D18" i="110"/>
  <c r="D18" i="52102"/>
  <c r="B49" i="52064"/>
  <c r="C32" i="52064"/>
  <c r="C33" i="52064" s="1"/>
  <c r="B207" i="52064"/>
  <c r="C46" i="52064"/>
  <c r="C47" i="52064" s="1"/>
  <c r="C51" i="52064"/>
  <c r="B215" i="52064"/>
  <c r="C220" i="52064"/>
  <c r="B211" i="52064"/>
  <c r="B212" i="52064"/>
  <c r="B72" i="9"/>
  <c r="G72" i="9" s="1"/>
  <c r="G72" i="52098"/>
  <c r="B72" i="52098"/>
  <c r="K72" i="52098"/>
  <c r="B175" i="9"/>
  <c r="G174" i="52098"/>
  <c r="B174" i="52098"/>
  <c r="K174" i="52098"/>
  <c r="G180" i="52098"/>
  <c r="C180" i="52098"/>
  <c r="C181" i="9"/>
  <c r="K101" i="52098"/>
  <c r="B101" i="52098"/>
  <c r="G101" i="52098"/>
  <c r="B101" i="9"/>
  <c r="G75" i="52080"/>
  <c r="J75" i="52080"/>
  <c r="G101" i="115"/>
  <c r="J101" i="115"/>
  <c r="G101" i="52104"/>
  <c r="K101" i="52104" s="1"/>
  <c r="G165" i="111"/>
  <c r="C164" i="52102"/>
  <c r="D164" i="52074"/>
  <c r="P95" i="111"/>
  <c r="S95" i="111" s="1"/>
  <c r="J95" i="52091"/>
  <c r="J187" i="52091"/>
  <c r="L187" i="52091" s="1"/>
  <c r="F201" i="52091"/>
  <c r="J201" i="52091" s="1"/>
  <c r="G94" i="52092"/>
  <c r="J94" i="52092"/>
  <c r="D109" i="52076"/>
  <c r="I109" i="52076" s="1"/>
  <c r="D109" i="52077"/>
  <c r="I109" i="52077" s="1"/>
  <c r="K109" i="111"/>
  <c r="E148" i="52075"/>
  <c r="N148" i="111"/>
  <c r="C171" i="110"/>
  <c r="E170" i="52103"/>
  <c r="G191" i="52100"/>
  <c r="J191" i="52100"/>
  <c r="G190" i="52102"/>
  <c r="K190" i="52102" s="1"/>
  <c r="G171" i="52100"/>
  <c r="J171" i="52100"/>
  <c r="G170" i="52102"/>
  <c r="G148" i="52100"/>
  <c r="J148" i="52100"/>
  <c r="G148" i="52102"/>
  <c r="J110" i="52100"/>
  <c r="L110" i="52100" s="1"/>
  <c r="G110" i="52102"/>
  <c r="G91" i="52100"/>
  <c r="J91" i="52100"/>
  <c r="G91" i="52102"/>
  <c r="G74" i="52100"/>
  <c r="G74" i="52102"/>
  <c r="B150" i="52098"/>
  <c r="G150" i="52098"/>
  <c r="K150" i="52098"/>
  <c r="B150" i="9"/>
  <c r="B168" i="52071"/>
  <c r="C242" i="52071"/>
  <c r="D92" i="52083"/>
  <c r="H92" i="52097"/>
  <c r="E148" i="52083"/>
  <c r="D148" i="52097"/>
  <c r="J178" i="52100"/>
  <c r="G178" i="52100"/>
  <c r="G177" i="52102"/>
  <c r="K177" i="52102" s="1"/>
  <c r="J159" i="52100"/>
  <c r="G159" i="52100"/>
  <c r="G158" i="52102"/>
  <c r="G139" i="52100"/>
  <c r="J139" i="52100"/>
  <c r="G139" i="52102"/>
  <c r="K139" i="52102" s="1"/>
  <c r="J120" i="52100"/>
  <c r="G120" i="52100"/>
  <c r="G120" i="52102"/>
  <c r="K120" i="52102" s="1"/>
  <c r="J98" i="52100"/>
  <c r="G98" i="52100"/>
  <c r="G98" i="52102"/>
  <c r="K98" i="52102" s="1"/>
  <c r="G81" i="52100"/>
  <c r="J81" i="52100"/>
  <c r="G81" i="52102"/>
  <c r="K81" i="52102" s="1"/>
  <c r="B17" i="52102"/>
  <c r="G21" i="52100"/>
  <c r="H17" i="110"/>
  <c r="D163" i="52082"/>
  <c r="G163" i="52097"/>
  <c r="H141" i="111"/>
  <c r="D141" i="52075"/>
  <c r="D143" i="52075"/>
  <c r="H143" i="111"/>
  <c r="H145" i="111"/>
  <c r="D145" i="52075"/>
  <c r="J131" i="52090"/>
  <c r="F154" i="52090"/>
  <c r="C140" i="9"/>
  <c r="C140" i="52098"/>
  <c r="C240" i="52064"/>
  <c r="B129" i="52064"/>
  <c r="B98" i="52083"/>
  <c r="C98" i="52097"/>
  <c r="E83" i="52082"/>
  <c r="F83" i="52097"/>
  <c r="J87" i="52097"/>
  <c r="C87" i="52083"/>
  <c r="B178" i="52082"/>
  <c r="B178" i="52097"/>
  <c r="C133" i="52083"/>
  <c r="J133" i="52097"/>
  <c r="G154" i="52079"/>
  <c r="G136" i="52097"/>
  <c r="D136" i="52082"/>
  <c r="J80" i="52097"/>
  <c r="C80" i="52083"/>
  <c r="C83" i="52104"/>
  <c r="C83" i="52076"/>
  <c r="F83" i="111"/>
  <c r="G175" i="114"/>
  <c r="J175" i="114"/>
  <c r="G109" i="52089"/>
  <c r="J109" i="52089"/>
  <c r="C107" i="52097"/>
  <c r="G116" i="105"/>
  <c r="B107" i="52083"/>
  <c r="C9" i="52098"/>
  <c r="C9" i="9"/>
  <c r="G21" i="52064"/>
  <c r="I106" i="9"/>
  <c r="B162" i="9"/>
  <c r="K161" i="52098"/>
  <c r="B161" i="52098"/>
  <c r="G161" i="52098"/>
  <c r="B140" i="52097"/>
  <c r="B140" i="52082"/>
  <c r="E183" i="52097"/>
  <c r="C183" i="52082"/>
  <c r="K9" i="52104"/>
  <c r="G21" i="52104"/>
  <c r="F101" i="111"/>
  <c r="C101" i="52076"/>
  <c r="C101" i="52104"/>
  <c r="L101" i="77"/>
  <c r="D174" i="52075"/>
  <c r="H175" i="111"/>
  <c r="G177" i="52092"/>
  <c r="J177" i="52092"/>
  <c r="J181" i="52093"/>
  <c r="G181" i="52093"/>
  <c r="C46" i="20"/>
  <c r="C47" i="20" s="1"/>
  <c r="C226" i="20"/>
  <c r="C219" i="20"/>
  <c r="G80" i="77"/>
  <c r="J80" i="77"/>
  <c r="J81" i="52097"/>
  <c r="C81" i="52083"/>
  <c r="D165" i="52098"/>
  <c r="I166" i="52097"/>
  <c r="G72" i="77"/>
  <c r="J72" i="77"/>
  <c r="G158" i="52104"/>
  <c r="K158" i="52104" s="1"/>
  <c r="J159" i="115"/>
  <c r="L159" i="115" s="1"/>
  <c r="G83" i="12"/>
  <c r="J83" i="12"/>
  <c r="F83" i="52076"/>
  <c r="C243" i="77"/>
  <c r="K185" i="77"/>
  <c r="J165" i="52097"/>
  <c r="C164" i="52083"/>
  <c r="C83" i="52083"/>
  <c r="J83" i="52097"/>
  <c r="H18" i="52097"/>
  <c r="D18" i="52083"/>
  <c r="G126" i="115"/>
  <c r="J126" i="115"/>
  <c r="G126" i="52104"/>
  <c r="K126" i="52104" s="1"/>
  <c r="B95" i="108"/>
  <c r="B207" i="108"/>
  <c r="C32" i="108"/>
  <c r="C33" i="108" s="1"/>
  <c r="C46" i="108"/>
  <c r="C47" i="108" s="1"/>
  <c r="B215" i="108"/>
  <c r="C51" i="108"/>
  <c r="C220" i="108"/>
  <c r="B211" i="108"/>
  <c r="B212" i="108"/>
  <c r="C126" i="52075"/>
  <c r="B126" i="111"/>
  <c r="J94" i="12"/>
  <c r="G94" i="12"/>
  <c r="F94" i="52076"/>
  <c r="G183" i="32"/>
  <c r="J183" i="32"/>
  <c r="J183" i="110"/>
  <c r="N183" i="110" s="1"/>
  <c r="G163" i="52066"/>
  <c r="J163" i="52066"/>
  <c r="G87" i="52093"/>
  <c r="J87" i="52093"/>
  <c r="G176" i="52093"/>
  <c r="J176" i="52093"/>
  <c r="G75" i="52075"/>
  <c r="K75" i="52075" s="1"/>
  <c r="F233" i="52090"/>
  <c r="F62" i="52090"/>
  <c r="G173" i="114"/>
  <c r="J173" i="114"/>
  <c r="G164" i="52080"/>
  <c r="J164" i="52080"/>
  <c r="G173" i="52089"/>
  <c r="J173" i="52089"/>
  <c r="G100" i="52092"/>
  <c r="F51" i="52080"/>
  <c r="C68" i="52103"/>
  <c r="E68" i="110"/>
  <c r="C68" i="52084"/>
  <c r="E179" i="52102"/>
  <c r="L180" i="32"/>
  <c r="B180" i="110"/>
  <c r="L144" i="114"/>
  <c r="F168" i="52091"/>
  <c r="J156" i="52091"/>
  <c r="G97" i="52094"/>
  <c r="J97" i="52094"/>
  <c r="F97" i="52077"/>
  <c r="P176" i="111"/>
  <c r="T176" i="111" s="1"/>
  <c r="J176" i="52095"/>
  <c r="G175" i="52075"/>
  <c r="K175" i="52075" s="1"/>
  <c r="G176" i="52095"/>
  <c r="F170" i="52084"/>
  <c r="J170" i="52084" s="1"/>
  <c r="G171" i="48"/>
  <c r="J171" i="48"/>
  <c r="G139" i="52066"/>
  <c r="J139" i="52066"/>
  <c r="J80" i="111"/>
  <c r="H80" i="52077"/>
  <c r="C80" i="52077"/>
  <c r="D19" i="52076"/>
  <c r="I19" i="52076" s="1"/>
  <c r="D19" i="52077"/>
  <c r="I19" i="52077" s="1"/>
  <c r="K19" i="111"/>
  <c r="L197" i="52080"/>
  <c r="C98" i="52104"/>
  <c r="F98" i="111"/>
  <c r="C98" i="52076"/>
  <c r="L159" i="52091"/>
  <c r="G158" i="52103"/>
  <c r="K158" i="52103" s="1"/>
  <c r="G173" i="52066"/>
  <c r="J173" i="52066"/>
  <c r="G77" i="52092"/>
  <c r="D97" i="52076"/>
  <c r="I97" i="52076" s="1"/>
  <c r="K97" i="111"/>
  <c r="L97" i="52093"/>
  <c r="D97" i="52077"/>
  <c r="I97" i="52077" s="1"/>
  <c r="G100" i="52080"/>
  <c r="J100" i="52080"/>
  <c r="G93" i="32"/>
  <c r="J93" i="32"/>
  <c r="J93" i="110"/>
  <c r="N93" i="110" s="1"/>
  <c r="F168" i="32"/>
  <c r="F242" i="32" s="1"/>
  <c r="C101" i="52103"/>
  <c r="C101" i="52084"/>
  <c r="E101" i="110"/>
  <c r="I146" i="52098"/>
  <c r="E172" i="52082"/>
  <c r="F172" i="52097"/>
  <c r="B171" i="52097"/>
  <c r="B171" i="52082"/>
  <c r="E182" i="52082"/>
  <c r="J182" i="52082" s="1"/>
  <c r="F182" i="52097"/>
  <c r="D139" i="52082"/>
  <c r="G139" i="52097"/>
  <c r="L125" i="52090"/>
  <c r="G74" i="52104"/>
  <c r="C74" i="52074"/>
  <c r="C74" i="111"/>
  <c r="E74" i="52104"/>
  <c r="F171" i="52076"/>
  <c r="J172" i="12"/>
  <c r="G172" i="12"/>
  <c r="G92" i="77"/>
  <c r="J92" i="77"/>
  <c r="F185" i="52090"/>
  <c r="J170" i="52090"/>
  <c r="G170" i="52090"/>
  <c r="B212" i="52091"/>
  <c r="B207" i="52091"/>
  <c r="C32" i="52091"/>
  <c r="B215" i="52091"/>
  <c r="B211" i="52091"/>
  <c r="C46" i="52091"/>
  <c r="C47" i="52091" s="1"/>
  <c r="C51" i="52091"/>
  <c r="C220" i="52091"/>
  <c r="L174" i="52091"/>
  <c r="B76" i="52103"/>
  <c r="F76" i="110"/>
  <c r="B76" i="52084"/>
  <c r="E138" i="110"/>
  <c r="H138" i="52084"/>
  <c r="C138" i="52103"/>
  <c r="C138" i="52084"/>
  <c r="I138" i="52103"/>
  <c r="G75" i="52092"/>
  <c r="J75" i="52092"/>
  <c r="C173" i="52077"/>
  <c r="J174" i="111"/>
  <c r="F70" i="52093"/>
  <c r="G64" i="52093"/>
  <c r="J64" i="52093"/>
  <c r="D126" i="52076"/>
  <c r="I126" i="52076" s="1"/>
  <c r="K126" i="111"/>
  <c r="D126" i="52077"/>
  <c r="I126" i="52077" s="1"/>
  <c r="D170" i="52076"/>
  <c r="I170" i="52076" s="1"/>
  <c r="D170" i="52077"/>
  <c r="I170" i="52077" s="1"/>
  <c r="K171" i="111"/>
  <c r="J74" i="110"/>
  <c r="G74" i="32"/>
  <c r="J74" i="32"/>
  <c r="E99" i="52102"/>
  <c r="B99" i="110"/>
  <c r="G143" i="52103"/>
  <c r="C13" i="52103"/>
  <c r="M13" i="52103" s="1"/>
  <c r="H13" i="52084"/>
  <c r="E13" i="110"/>
  <c r="L13" i="110" s="1"/>
  <c r="C13" i="52084"/>
  <c r="L191" i="52066"/>
  <c r="J83" i="52072"/>
  <c r="L83" i="52072" s="1"/>
  <c r="F174" i="52076"/>
  <c r="J175" i="12"/>
  <c r="G175" i="12"/>
  <c r="D83" i="52075"/>
  <c r="H83" i="111"/>
  <c r="L140" i="52090"/>
  <c r="L92" i="52091"/>
  <c r="C51" i="52093"/>
  <c r="B212" i="52093"/>
  <c r="C46" i="52093"/>
  <c r="C47" i="52093" s="1"/>
  <c r="B215" i="52093"/>
  <c r="C32" i="52093"/>
  <c r="B207" i="52093"/>
  <c r="C220" i="52093"/>
  <c r="B211" i="52093"/>
  <c r="E142" i="52075"/>
  <c r="N142" i="111"/>
  <c r="E144" i="52075"/>
  <c r="N144" i="111"/>
  <c r="N146" i="111"/>
  <c r="E146" i="52075"/>
  <c r="E145" i="52075"/>
  <c r="N145" i="111"/>
  <c r="J112" i="110"/>
  <c r="J90" i="91"/>
  <c r="L90" i="91" s="1"/>
  <c r="C90" i="110"/>
  <c r="E90" i="52103"/>
  <c r="K185" i="91"/>
  <c r="C243" i="91"/>
  <c r="J9" i="52084"/>
  <c r="F21" i="52084"/>
  <c r="B9" i="52103"/>
  <c r="F9" i="110"/>
  <c r="B9" i="52084"/>
  <c r="H9" i="52084"/>
  <c r="G21" i="48"/>
  <c r="C19" i="52103"/>
  <c r="H19" i="52084"/>
  <c r="J19" i="52084" s="1"/>
  <c r="C19" i="52084"/>
  <c r="E19" i="110"/>
  <c r="G171" i="52092"/>
  <c r="J171" i="52092"/>
  <c r="F85" i="52076"/>
  <c r="G85" i="52093"/>
  <c r="J85" i="52093" s="1"/>
  <c r="F136" i="52074"/>
  <c r="J136" i="52074" s="1"/>
  <c r="J136" i="20"/>
  <c r="L136" i="20" s="1"/>
  <c r="J137" i="12"/>
  <c r="L137" i="12" s="1"/>
  <c r="F137" i="52076"/>
  <c r="G83" i="111"/>
  <c r="C83" i="52102"/>
  <c r="D83" i="52074"/>
  <c r="D93" i="52075"/>
  <c r="H93" i="111"/>
  <c r="J92" i="20"/>
  <c r="G92" i="20"/>
  <c r="F92" i="52074"/>
  <c r="J92" i="52074" s="1"/>
  <c r="C10" i="52076"/>
  <c r="F10" i="111"/>
  <c r="B86" i="52103"/>
  <c r="F86" i="110"/>
  <c r="B86" i="52084"/>
  <c r="K201" i="48"/>
  <c r="E172" i="52102"/>
  <c r="B173" i="110"/>
  <c r="J146" i="48"/>
  <c r="F146" i="52084"/>
  <c r="J146" i="52084" s="1"/>
  <c r="I154" i="93"/>
  <c r="F168" i="93"/>
  <c r="D92" i="52084"/>
  <c r="G92" i="110"/>
  <c r="D92" i="52103"/>
  <c r="J183" i="52081"/>
  <c r="G183" i="52081"/>
  <c r="B140" i="52098"/>
  <c r="G140" i="52098"/>
  <c r="B140" i="9"/>
  <c r="G140" i="9" s="1"/>
  <c r="K140" i="52098"/>
  <c r="J94" i="32"/>
  <c r="J94" i="110"/>
  <c r="G94" i="32"/>
  <c r="J80" i="91"/>
  <c r="G80" i="52103"/>
  <c r="G80" i="91"/>
  <c r="G88" i="52103"/>
  <c r="J88" i="91"/>
  <c r="J148" i="91"/>
  <c r="G148" i="91"/>
  <c r="G148" i="52103"/>
  <c r="J141" i="48"/>
  <c r="F141" i="52084"/>
  <c r="J93" i="52081"/>
  <c r="G93" i="52081"/>
  <c r="D100" i="110"/>
  <c r="D100" i="52102"/>
  <c r="G176" i="52072"/>
  <c r="J176" i="52072"/>
  <c r="F95" i="52098"/>
  <c r="I95" i="52098" s="1"/>
  <c r="G95" i="21"/>
  <c r="Q120" i="52097"/>
  <c r="P120" i="52097"/>
  <c r="F155" i="52098"/>
  <c r="I155" i="52098" s="1"/>
  <c r="F168" i="21"/>
  <c r="E172" i="52097"/>
  <c r="C172" i="52082"/>
  <c r="G9" i="52097"/>
  <c r="D9" i="52082"/>
  <c r="G21" i="101"/>
  <c r="F51" i="101"/>
  <c r="B93" i="52083"/>
  <c r="C93" i="52097"/>
  <c r="E139" i="52083"/>
  <c r="D139" i="52097"/>
  <c r="B81" i="52098"/>
  <c r="K81" i="52098"/>
  <c r="G81" i="52098"/>
  <c r="B81" i="9"/>
  <c r="G81" i="9" s="1"/>
  <c r="B92" i="52097"/>
  <c r="B92" i="52082"/>
  <c r="I125" i="9"/>
  <c r="B164" i="52097"/>
  <c r="B164" i="52082"/>
  <c r="E86" i="52083"/>
  <c r="D86" i="52097"/>
  <c r="C135" i="9"/>
  <c r="C135" i="52098"/>
  <c r="C163" i="9"/>
  <c r="C162" i="52098"/>
  <c r="F51" i="105"/>
  <c r="K9" i="52083"/>
  <c r="G21" i="52083"/>
  <c r="C101" i="52097"/>
  <c r="B101" i="52083"/>
  <c r="E98" i="52097"/>
  <c r="C98" i="52082"/>
  <c r="C226" i="101"/>
  <c r="C219" i="101"/>
  <c r="B73" i="52098"/>
  <c r="G73" i="52098"/>
  <c r="B73" i="9"/>
  <c r="K73" i="52098"/>
  <c r="J187" i="105"/>
  <c r="F201" i="105"/>
  <c r="J201" i="105" s="1"/>
  <c r="G186" i="52083"/>
  <c r="E95" i="9"/>
  <c r="G95" i="52064"/>
  <c r="J95" i="52064"/>
  <c r="B136" i="52098"/>
  <c r="B136" i="9"/>
  <c r="K136" i="52098"/>
  <c r="G136" i="52098"/>
  <c r="G10" i="233"/>
  <c r="K10" i="233" s="1"/>
  <c r="Q10" i="52097"/>
  <c r="D16" i="52097"/>
  <c r="E16" i="52083"/>
  <c r="G116" i="108"/>
  <c r="E107" i="52083"/>
  <c r="E116" i="52083" s="1"/>
  <c r="E238" i="52083" s="1"/>
  <c r="D107" i="52097"/>
  <c r="D116" i="52097" s="1"/>
  <c r="D239" i="52097" s="1"/>
  <c r="C80" i="52098"/>
  <c r="C80" i="9"/>
  <c r="B139" i="52097"/>
  <c r="B139" i="52082"/>
  <c r="G101" i="48"/>
  <c r="J101" i="48"/>
  <c r="F101" i="52084"/>
  <c r="J101" i="52084" s="1"/>
  <c r="C150" i="52103"/>
  <c r="E150" i="110"/>
  <c r="C150" i="52084"/>
  <c r="J141" i="52092"/>
  <c r="D76" i="52077"/>
  <c r="I76" i="52077" s="1"/>
  <c r="D76" i="52076"/>
  <c r="I76" i="52076" s="1"/>
  <c r="K76" i="111"/>
  <c r="G95" i="32"/>
  <c r="G139" i="52103"/>
  <c r="K139" i="52103" s="1"/>
  <c r="E9" i="110"/>
  <c r="G21" i="52066"/>
  <c r="C9" i="52084"/>
  <c r="C9" i="52103"/>
  <c r="E16" i="52103"/>
  <c r="C16" i="110"/>
  <c r="G21" i="91"/>
  <c r="J86" i="91"/>
  <c r="G86" i="91"/>
  <c r="G86" i="52103"/>
  <c r="G81" i="111"/>
  <c r="D81" i="52074"/>
  <c r="C81" i="52102"/>
  <c r="E171" i="52104"/>
  <c r="C171" i="52074"/>
  <c r="C172" i="111"/>
  <c r="I171" i="52104"/>
  <c r="G171" i="52104"/>
  <c r="K171" i="52104" s="1"/>
  <c r="K140" i="111"/>
  <c r="H140" i="52077"/>
  <c r="J140" i="52077" s="1"/>
  <c r="D140" i="52076"/>
  <c r="I140" i="52076" s="1"/>
  <c r="D140" i="52077"/>
  <c r="H140" i="52076"/>
  <c r="C103" i="32"/>
  <c r="C242" i="91"/>
  <c r="K168" i="91"/>
  <c r="B168" i="91"/>
  <c r="J187" i="91"/>
  <c r="L187" i="91" s="1"/>
  <c r="F201" i="91"/>
  <c r="J201" i="91" s="1"/>
  <c r="G186" i="52103"/>
  <c r="F75" i="52084"/>
  <c r="J75" i="52084" s="1"/>
  <c r="J75" i="48"/>
  <c r="G75" i="48"/>
  <c r="G161" i="52075"/>
  <c r="P162" i="111"/>
  <c r="E66" i="52075"/>
  <c r="N66" i="111"/>
  <c r="P122" i="111"/>
  <c r="F92" i="52077"/>
  <c r="G92" i="52094"/>
  <c r="J92" i="52094"/>
  <c r="J177" i="52094"/>
  <c r="G177" i="52094"/>
  <c r="F176" i="52077"/>
  <c r="J114" i="52080"/>
  <c r="N114" i="111"/>
  <c r="E114" i="52075"/>
  <c r="J139" i="110"/>
  <c r="N139" i="110" s="1"/>
  <c r="J139" i="32"/>
  <c r="F70" i="91"/>
  <c r="F103" i="91" s="1"/>
  <c r="G64" i="52103"/>
  <c r="G64" i="91"/>
  <c r="J64" i="91"/>
  <c r="C125" i="110"/>
  <c r="E125" i="52103"/>
  <c r="B82" i="52103"/>
  <c r="F82" i="110"/>
  <c r="B82" i="52084"/>
  <c r="G99" i="48"/>
  <c r="I99" i="52103" s="1"/>
  <c r="K99" i="52103" s="1"/>
  <c r="F99" i="52084"/>
  <c r="J99" i="48"/>
  <c r="F177" i="52084"/>
  <c r="J177" i="52084" s="1"/>
  <c r="J178" i="48"/>
  <c r="G178" i="48"/>
  <c r="G112" i="52066"/>
  <c r="J112" i="52066"/>
  <c r="G181" i="52066"/>
  <c r="J181" i="52066"/>
  <c r="C179" i="52077"/>
  <c r="J180" i="111"/>
  <c r="G101" i="52093"/>
  <c r="J101" i="52093"/>
  <c r="J140" i="52094"/>
  <c r="F140" i="52077"/>
  <c r="J133" i="52095"/>
  <c r="P133" i="111"/>
  <c r="G133" i="52075"/>
  <c r="K133" i="52075" s="1"/>
  <c r="J67" i="110"/>
  <c r="G67" i="32"/>
  <c r="J67" i="32"/>
  <c r="J249" i="32" s="1"/>
  <c r="J101" i="110"/>
  <c r="N101" i="110" s="1"/>
  <c r="G101" i="32"/>
  <c r="J101" i="32"/>
  <c r="J114" i="48"/>
  <c r="F114" i="52084"/>
  <c r="G114" i="48"/>
  <c r="F182" i="52084"/>
  <c r="J182" i="52084" s="1"/>
  <c r="G183" i="48"/>
  <c r="J183" i="48"/>
  <c r="C126" i="52103"/>
  <c r="E126" i="110"/>
  <c r="C126" i="52084"/>
  <c r="B207" i="52081"/>
  <c r="C32" i="52081"/>
  <c r="B211" i="52081"/>
  <c r="C51" i="52081"/>
  <c r="C220" i="52081"/>
  <c r="B215" i="52081"/>
  <c r="B212" i="52081"/>
  <c r="G72" i="52103"/>
  <c r="C72" i="110"/>
  <c r="E72" i="52103"/>
  <c r="G159" i="52103"/>
  <c r="K159" i="52103" s="1"/>
  <c r="F145" i="52084"/>
  <c r="J145" i="48"/>
  <c r="G84" i="52098"/>
  <c r="B84" i="9"/>
  <c r="G84" i="9" s="1"/>
  <c r="B84" i="52098"/>
  <c r="H84" i="52098" s="1"/>
  <c r="J84" i="52098" s="1"/>
  <c r="K84" i="52098"/>
  <c r="B173" i="52097"/>
  <c r="B173" i="52082"/>
  <c r="C99" i="52098"/>
  <c r="C99" i="9"/>
  <c r="C174" i="52097"/>
  <c r="B173" i="52083"/>
  <c r="F70" i="52064"/>
  <c r="E64" i="9"/>
  <c r="J64" i="52064"/>
  <c r="B147" i="9"/>
  <c r="B147" i="52098"/>
  <c r="K147" i="52098"/>
  <c r="G147" i="52098"/>
  <c r="C137" i="52098"/>
  <c r="C137" i="9"/>
  <c r="C171" i="9"/>
  <c r="C170" i="52098"/>
  <c r="B177" i="52097"/>
  <c r="B177" i="52082"/>
  <c r="E19" i="52083"/>
  <c r="D19" i="52097"/>
  <c r="F116" i="108"/>
  <c r="F239" i="108" s="1"/>
  <c r="J105" i="108"/>
  <c r="E17" i="52082"/>
  <c r="F17" i="52097"/>
  <c r="K125" i="52098"/>
  <c r="B125" i="9"/>
  <c r="B125" i="52098"/>
  <c r="G125" i="52098"/>
  <c r="C11" i="9"/>
  <c r="C11" i="52098"/>
  <c r="J100" i="21"/>
  <c r="B100" i="9"/>
  <c r="B100" i="52098"/>
  <c r="G100" i="52098"/>
  <c r="K100" i="52098"/>
  <c r="E178" i="52082"/>
  <c r="F178" i="52097"/>
  <c r="D137" i="52082"/>
  <c r="G137" i="52097"/>
  <c r="E135" i="52083"/>
  <c r="D135" i="52097"/>
  <c r="E76" i="52097"/>
  <c r="C76" i="52082"/>
  <c r="K135" i="52098"/>
  <c r="B135" i="52098"/>
  <c r="B135" i="9"/>
  <c r="G135" i="9" s="1"/>
  <c r="G135" i="52098"/>
  <c r="P124" i="52097"/>
  <c r="G21" i="105"/>
  <c r="B18" i="52083"/>
  <c r="C18" i="52097"/>
  <c r="D166" i="52097"/>
  <c r="E165" i="52083"/>
  <c r="G86" i="233"/>
  <c r="J86" i="233" s="1"/>
  <c r="B137" i="52082"/>
  <c r="B137" i="52097"/>
  <c r="E176" i="52082"/>
  <c r="F176" i="52097"/>
  <c r="G149" i="52097"/>
  <c r="D149" i="52082"/>
  <c r="F21" i="52098"/>
  <c r="J11" i="52098"/>
  <c r="I144" i="52098"/>
  <c r="E151" i="52083"/>
  <c r="D152" i="52097"/>
  <c r="B146" i="52097"/>
  <c r="B146" i="52082"/>
  <c r="C241" i="148"/>
  <c r="B154" i="148"/>
  <c r="B144" i="52082"/>
  <c r="B144" i="52097"/>
  <c r="J131" i="148"/>
  <c r="F154" i="148"/>
  <c r="H131" i="52082"/>
  <c r="M131" i="52097"/>
  <c r="F201" i="52089"/>
  <c r="J201" i="52089" s="1"/>
  <c r="E137" i="52083"/>
  <c r="D137" i="52097"/>
  <c r="J78" i="115"/>
  <c r="C78" i="111"/>
  <c r="L78" i="115"/>
  <c r="C78" i="52074"/>
  <c r="E78" i="52104"/>
  <c r="B154" i="52089"/>
  <c r="K154" i="52089"/>
  <c r="C241" i="52089"/>
  <c r="C143" i="52102"/>
  <c r="D143" i="52074"/>
  <c r="J143" i="52089"/>
  <c r="L143" i="52089" s="1"/>
  <c r="G143" i="111"/>
  <c r="D142" i="52074"/>
  <c r="J142" i="52089"/>
  <c r="L142" i="52089" s="1"/>
  <c r="C142" i="52102"/>
  <c r="G142" i="111"/>
  <c r="H145" i="52074"/>
  <c r="G145" i="111"/>
  <c r="D145" i="52074"/>
  <c r="C145" i="52102"/>
  <c r="J99" i="52104"/>
  <c r="L119" i="115"/>
  <c r="J150" i="52104"/>
  <c r="J143" i="52104"/>
  <c r="J97" i="52104"/>
  <c r="J121" i="52104"/>
  <c r="M121" i="52104" s="1"/>
  <c r="J79" i="52104"/>
  <c r="M79" i="52104" s="1"/>
  <c r="I79" i="52077"/>
  <c r="L79" i="52077"/>
  <c r="J79" i="52077"/>
  <c r="S138" i="111"/>
  <c r="I129" i="52090"/>
  <c r="E240" i="52090"/>
  <c r="I240" i="52090" s="1"/>
  <c r="E241" i="12"/>
  <c r="I154" i="12"/>
  <c r="I131" i="12"/>
  <c r="I154" i="77"/>
  <c r="E241" i="77"/>
  <c r="E240" i="101"/>
  <c r="E240" i="52095"/>
  <c r="I240" i="52095" s="1"/>
  <c r="I129" i="52095"/>
  <c r="J132" i="52077"/>
  <c r="L132" i="52077" s="1"/>
  <c r="J122" i="52102"/>
  <c r="M122" i="52102"/>
  <c r="L177" i="52089"/>
  <c r="I145" i="52066"/>
  <c r="L145" i="52066" s="1"/>
  <c r="I165" i="52072"/>
  <c r="E242" i="108"/>
  <c r="J112" i="52083"/>
  <c r="H132" i="9"/>
  <c r="F132" i="233"/>
  <c r="I91" i="52089"/>
  <c r="I66" i="91"/>
  <c r="J96" i="52102"/>
  <c r="I64" i="52064"/>
  <c r="I70" i="52064"/>
  <c r="E103" i="52064"/>
  <c r="D88" i="52097"/>
  <c r="E88" i="52083"/>
  <c r="I9" i="52084"/>
  <c r="I106" i="52072"/>
  <c r="L106" i="52072" s="1"/>
  <c r="F70" i="52083"/>
  <c r="E241" i="52091"/>
  <c r="E242" i="52089"/>
  <c r="L142" i="48"/>
  <c r="J121" i="52103"/>
  <c r="M121" i="52103" s="1"/>
  <c r="I112" i="52066"/>
  <c r="J66" i="52102"/>
  <c r="I109" i="52084"/>
  <c r="F153" i="52102"/>
  <c r="I163" i="52091"/>
  <c r="L163" i="52091" s="1"/>
  <c r="I145" i="52084"/>
  <c r="J132" i="52102"/>
  <c r="M132" i="52102" s="1"/>
  <c r="E241" i="52090"/>
  <c r="I154" i="52090"/>
  <c r="I170" i="52098"/>
  <c r="P142" i="52097"/>
  <c r="K142" i="52082"/>
  <c r="E103" i="52092"/>
  <c r="J88" i="111"/>
  <c r="C88" i="52077"/>
  <c r="E44" i="52089"/>
  <c r="F30" i="52089"/>
  <c r="E170" i="93"/>
  <c r="J86" i="52103"/>
  <c r="L106" i="91"/>
  <c r="H195" i="9"/>
  <c r="F195" i="233"/>
  <c r="J195" i="233" s="1"/>
  <c r="P81" i="52097"/>
  <c r="H13" i="9"/>
  <c r="F13" i="233"/>
  <c r="L178" i="52092"/>
  <c r="E51" i="52088"/>
  <c r="I21" i="52088"/>
  <c r="E32" i="52088"/>
  <c r="E33" i="52088" s="1"/>
  <c r="J186" i="52076"/>
  <c r="E200" i="52076"/>
  <c r="E200" i="52074"/>
  <c r="L80" i="52089"/>
  <c r="L126" i="52093"/>
  <c r="J191" i="52103"/>
  <c r="J176" i="52103"/>
  <c r="I201" i="91"/>
  <c r="L201" i="91" s="1"/>
  <c r="J194" i="52077"/>
  <c r="L196" i="91"/>
  <c r="J16" i="52104"/>
  <c r="M16" i="52104"/>
  <c r="I144" i="52074"/>
  <c r="H17" i="9"/>
  <c r="F17" i="233"/>
  <c r="J17" i="233" s="1"/>
  <c r="M135" i="110"/>
  <c r="M14" i="110"/>
  <c r="I8" i="52074"/>
  <c r="E21" i="52074"/>
  <c r="E51" i="12"/>
  <c r="I21" i="12"/>
  <c r="E32" i="12"/>
  <c r="E33" i="12" s="1"/>
  <c r="L82" i="91"/>
  <c r="J15" i="52104"/>
  <c r="F200" i="52104"/>
  <c r="I80" i="52098"/>
  <c r="I14" i="52084"/>
  <c r="P164" i="52097"/>
  <c r="F30" i="52091"/>
  <c r="L30" i="52091" s="1"/>
  <c r="E44" i="52091"/>
  <c r="J140" i="52103"/>
  <c r="J123" i="52103"/>
  <c r="J156" i="52102"/>
  <c r="J96" i="52083"/>
  <c r="I253" i="110"/>
  <c r="F28" i="20"/>
  <c r="F30" i="20"/>
  <c r="F36" i="20"/>
  <c r="E44" i="20"/>
  <c r="F35" i="20"/>
  <c r="J140" i="52104"/>
  <c r="J190" i="52104"/>
  <c r="M190" i="52104" s="1"/>
  <c r="I64" i="52074"/>
  <c r="I192" i="32"/>
  <c r="L192" i="32" s="1"/>
  <c r="H194" i="9"/>
  <c r="F194" i="233"/>
  <c r="J194" i="233" s="1"/>
  <c r="J12" i="52104"/>
  <c r="M12" i="52104" s="1"/>
  <c r="I13" i="52074"/>
  <c r="L125" i="52089"/>
  <c r="J125" i="52083"/>
  <c r="L74" i="115"/>
  <c r="L78" i="52089"/>
  <c r="J187" i="52103"/>
  <c r="H14" i="9"/>
  <c r="F14" i="233"/>
  <c r="P137" i="52097"/>
  <c r="H190" i="9"/>
  <c r="F190" i="233"/>
  <c r="I170" i="52084"/>
  <c r="L87" i="52089"/>
  <c r="P144" i="52097"/>
  <c r="J15" i="52083"/>
  <c r="I78" i="91"/>
  <c r="I49" i="52089"/>
  <c r="L146" i="32"/>
  <c r="J194" i="52103"/>
  <c r="L172" i="52066"/>
  <c r="H10" i="9"/>
  <c r="F10" i="233"/>
  <c r="J10" i="233" s="1"/>
  <c r="I198" i="52084"/>
  <c r="E44" i="52093"/>
  <c r="E46" i="52093" s="1"/>
  <c r="E47" i="52093" s="1"/>
  <c r="F30" i="52093"/>
  <c r="P173" i="52097"/>
  <c r="H98" i="9"/>
  <c r="F98" i="233"/>
  <c r="I201" i="114"/>
  <c r="L201" i="114" s="1"/>
  <c r="H85" i="9"/>
  <c r="I106" i="52076"/>
  <c r="J106" i="52076"/>
  <c r="I85" i="52090"/>
  <c r="F70" i="52075"/>
  <c r="O70" i="111"/>
  <c r="S72" i="111"/>
  <c r="J179" i="52083"/>
  <c r="E242" i="52090"/>
  <c r="I242" i="52090" s="1"/>
  <c r="I168" i="52090"/>
  <c r="I145" i="52090"/>
  <c r="J143" i="52075"/>
  <c r="E241" i="114"/>
  <c r="E240" i="52094"/>
  <c r="I162" i="114"/>
  <c r="J108" i="52083"/>
  <c r="J120" i="52102"/>
  <c r="I137" i="52092"/>
  <c r="J178" i="52102"/>
  <c r="M178" i="52102"/>
  <c r="F173" i="233"/>
  <c r="H173" i="9"/>
  <c r="M67" i="110"/>
  <c r="P83" i="52097"/>
  <c r="K83" i="52082"/>
  <c r="H95" i="9"/>
  <c r="J131" i="52083"/>
  <c r="E243" i="52092"/>
  <c r="J142" i="52103"/>
  <c r="I148" i="32"/>
  <c r="M134" i="110"/>
  <c r="I143" i="48"/>
  <c r="L143" i="48" s="1"/>
  <c r="E240" i="52089"/>
  <c r="I240" i="52089" s="1"/>
  <c r="I129" i="52089"/>
  <c r="P143" i="52097"/>
  <c r="H96" i="9"/>
  <c r="F96" i="233"/>
  <c r="F36" i="52091"/>
  <c r="G36" i="52091" s="1"/>
  <c r="L36" i="52091" s="1"/>
  <c r="I116" i="110"/>
  <c r="J82" i="52102"/>
  <c r="E239" i="52093"/>
  <c r="I154" i="52079"/>
  <c r="E241" i="52079"/>
  <c r="D129" i="9"/>
  <c r="I165" i="52091"/>
  <c r="L165" i="52091" s="1"/>
  <c r="H158" i="9"/>
  <c r="F158" i="233"/>
  <c r="J86" i="52102"/>
  <c r="H108" i="9"/>
  <c r="F108" i="233"/>
  <c r="J119" i="52083"/>
  <c r="I72" i="52092"/>
  <c r="M86" i="110"/>
  <c r="E116" i="52084"/>
  <c r="E239" i="52091"/>
  <c r="E70" i="52084"/>
  <c r="H176" i="9"/>
  <c r="F176" i="233"/>
  <c r="L81" i="115"/>
  <c r="E32" i="77"/>
  <c r="E33" i="77" s="1"/>
  <c r="E51" i="77"/>
  <c r="I21" i="77"/>
  <c r="E46" i="77"/>
  <c r="E47" i="77" s="1"/>
  <c r="I21" i="52066"/>
  <c r="E32" i="52066"/>
  <c r="E33" i="52066" s="1"/>
  <c r="E51" i="52066"/>
  <c r="H196" i="9"/>
  <c r="F196" i="233"/>
  <c r="J196" i="233" s="1"/>
  <c r="I49" i="32"/>
  <c r="E243" i="52090"/>
  <c r="I185" i="52090"/>
  <c r="J190" i="52103"/>
  <c r="M190" i="52103" s="1"/>
  <c r="E32" i="52092"/>
  <c r="E33" i="52092" s="1"/>
  <c r="I21" i="52092"/>
  <c r="E51" i="52092"/>
  <c r="I70" i="110"/>
  <c r="I85" i="52089"/>
  <c r="I177" i="52092"/>
  <c r="J80" i="52103"/>
  <c r="I185" i="52064"/>
  <c r="H170" i="9"/>
  <c r="F170" i="233"/>
  <c r="I88" i="52066"/>
  <c r="L88" i="52066" s="1"/>
  <c r="E51" i="148"/>
  <c r="E46" i="148"/>
  <c r="E47" i="148" s="1"/>
  <c r="E32" i="148"/>
  <c r="E33" i="148" s="1"/>
  <c r="I21" i="148"/>
  <c r="J10" i="52104"/>
  <c r="M10" i="52104" s="1"/>
  <c r="I94" i="32"/>
  <c r="H198" i="9"/>
  <c r="F198" i="233"/>
  <c r="J198" i="233" s="1"/>
  <c r="E44" i="52066"/>
  <c r="E46" i="52066" s="1"/>
  <c r="E47" i="52066" s="1"/>
  <c r="F30" i="52066"/>
  <c r="I94" i="48"/>
  <c r="E243" i="52064"/>
  <c r="I30" i="110"/>
  <c r="I44" i="110" s="1"/>
  <c r="J88" i="52103"/>
  <c r="M74" i="110"/>
  <c r="J191" i="52104"/>
  <c r="I49" i="101"/>
  <c r="L81" i="52089"/>
  <c r="I140" i="52084"/>
  <c r="J49" i="52076"/>
  <c r="I49" i="52076"/>
  <c r="E32" i="52064"/>
  <c r="E33" i="52064" s="1"/>
  <c r="E46" i="52064"/>
  <c r="E47" i="52064" s="1"/>
  <c r="E51" i="52064"/>
  <c r="I21" i="52064"/>
  <c r="J124" i="52077"/>
  <c r="M193" i="110"/>
  <c r="L92" i="52089"/>
  <c r="E103" i="52072"/>
  <c r="I70" i="52072"/>
  <c r="L178" i="52090"/>
  <c r="S198" i="111"/>
  <c r="I80" i="52084"/>
  <c r="I21" i="108"/>
  <c r="E46" i="108"/>
  <c r="E47" i="108" s="1"/>
  <c r="E32" i="108"/>
  <c r="E33" i="108" s="1"/>
  <c r="E51" i="108"/>
  <c r="I111" i="52091"/>
  <c r="L111" i="52091" s="1"/>
  <c r="I124" i="52084"/>
  <c r="L197" i="91"/>
  <c r="L101" i="52066"/>
  <c r="E51" i="32"/>
  <c r="I21" i="32"/>
  <c r="E32" i="32"/>
  <c r="E32" i="52095"/>
  <c r="E33" i="52095" s="1"/>
  <c r="E51" i="52095"/>
  <c r="I21" i="52095"/>
  <c r="J8" i="52075"/>
  <c r="F21" i="52075"/>
  <c r="F101" i="233"/>
  <c r="J101" i="233" s="1"/>
  <c r="P101" i="52097"/>
  <c r="H193" i="9"/>
  <c r="F193" i="233"/>
  <c r="H189" i="9"/>
  <c r="F189" i="233"/>
  <c r="J189" i="233" s="1"/>
  <c r="H191" i="9"/>
  <c r="F191" i="233"/>
  <c r="J191" i="233" s="1"/>
  <c r="E32" i="52093"/>
  <c r="E33" i="52093" s="1"/>
  <c r="E51" i="52093"/>
  <c r="I21" i="52093"/>
  <c r="E239" i="52079"/>
  <c r="J110" i="52104"/>
  <c r="I140" i="52080"/>
  <c r="L140" i="52080" s="1"/>
  <c r="E153" i="52084"/>
  <c r="E241" i="48"/>
  <c r="I160" i="52081"/>
  <c r="I112" i="52081"/>
  <c r="I49" i="52081"/>
  <c r="I110" i="114"/>
  <c r="E239" i="52080"/>
  <c r="E44" i="52080"/>
  <c r="E46" i="52080" s="1"/>
  <c r="E47" i="52080" s="1"/>
  <c r="F30" i="52080"/>
  <c r="F36" i="52080"/>
  <c r="F28" i="52080"/>
  <c r="F35" i="52080"/>
  <c r="E241" i="32"/>
  <c r="I154" i="32"/>
  <c r="E240" i="52081"/>
  <c r="I95" i="52081"/>
  <c r="I78" i="52081"/>
  <c r="E241" i="52080"/>
  <c r="E241" i="91"/>
  <c r="E51" i="52079"/>
  <c r="I21" i="52079"/>
  <c r="E32" i="52079"/>
  <c r="E33" i="52079" s="1"/>
  <c r="P8" i="52097"/>
  <c r="L21" i="52097"/>
  <c r="J123" i="52080"/>
  <c r="L123" i="52080" s="1"/>
  <c r="E123" i="52075"/>
  <c r="N123" i="111"/>
  <c r="J189" i="52077"/>
  <c r="I162" i="52081"/>
  <c r="I90" i="52081"/>
  <c r="I110" i="52098"/>
  <c r="I109" i="52080"/>
  <c r="I122" i="52076"/>
  <c r="K182" i="52082"/>
  <c r="J181" i="52083"/>
  <c r="J148" i="52102"/>
  <c r="I165" i="52093"/>
  <c r="I82" i="77"/>
  <c r="L82" i="77" s="1"/>
  <c r="E242" i="52094"/>
  <c r="E167" i="52077"/>
  <c r="E240" i="52077" s="1"/>
  <c r="L147" i="52094"/>
  <c r="L141" i="77"/>
  <c r="E242" i="105"/>
  <c r="J80" i="52077"/>
  <c r="I120" i="48"/>
  <c r="L120" i="48" s="1"/>
  <c r="E240" i="91"/>
  <c r="P177" i="52097"/>
  <c r="I134" i="52098"/>
  <c r="K96" i="52082"/>
  <c r="J145" i="52104"/>
  <c r="K109" i="52082"/>
  <c r="D148" i="52083"/>
  <c r="H148" i="52097"/>
  <c r="J105" i="105"/>
  <c r="I105" i="105"/>
  <c r="F116" i="105"/>
  <c r="G105" i="52083"/>
  <c r="K105" i="52083" s="1"/>
  <c r="C240" i="52067"/>
  <c r="B129" i="52067"/>
  <c r="D90" i="52083"/>
  <c r="H90" i="52097"/>
  <c r="B168" i="52067"/>
  <c r="C242" i="52067"/>
  <c r="C73" i="52097"/>
  <c r="B73" i="52083"/>
  <c r="H73" i="52083" s="1"/>
  <c r="B116" i="52067"/>
  <c r="C239" i="52067"/>
  <c r="C100" i="52082"/>
  <c r="E100" i="52097"/>
  <c r="E150" i="52082"/>
  <c r="F150" i="52097"/>
  <c r="D76" i="52083"/>
  <c r="H76" i="52097"/>
  <c r="D88" i="52083"/>
  <c r="H88" i="52097"/>
  <c r="I138" i="52097"/>
  <c r="D138" i="52098"/>
  <c r="D161" i="52098"/>
  <c r="I162" i="52097"/>
  <c r="C150" i="52075"/>
  <c r="B150" i="111"/>
  <c r="J124" i="115"/>
  <c r="G124" i="52104"/>
  <c r="B154" i="20"/>
  <c r="C241" i="20"/>
  <c r="K154" i="20"/>
  <c r="D145" i="52104"/>
  <c r="D145" i="111"/>
  <c r="B145" i="52074"/>
  <c r="D142" i="52104"/>
  <c r="B142" i="52074"/>
  <c r="D142" i="111"/>
  <c r="H142" i="52074"/>
  <c r="J131" i="20"/>
  <c r="F154" i="20"/>
  <c r="I131" i="20"/>
  <c r="F131" i="52074"/>
  <c r="J160" i="12"/>
  <c r="F159" i="52076"/>
  <c r="B151" i="52083"/>
  <c r="C152" i="52097"/>
  <c r="I80" i="52097"/>
  <c r="D80" i="52098"/>
  <c r="D100" i="52098"/>
  <c r="I100" i="52097"/>
  <c r="I147" i="52097"/>
  <c r="D147" i="52098"/>
  <c r="B103" i="101"/>
  <c r="C238" i="101"/>
  <c r="C203" i="101"/>
  <c r="G114" i="114"/>
  <c r="J114" i="114"/>
  <c r="G114" i="77"/>
  <c r="J114" i="77"/>
  <c r="G122" i="52075"/>
  <c r="J122" i="52075" s="1"/>
  <c r="G122" i="52090"/>
  <c r="J122" i="52090"/>
  <c r="G67" i="114"/>
  <c r="J67" i="114"/>
  <c r="J249" i="114" s="1"/>
  <c r="J84" i="114"/>
  <c r="C84" i="52075"/>
  <c r="B84" i="111"/>
  <c r="J83" i="105"/>
  <c r="C83" i="52097"/>
  <c r="B83" i="52083"/>
  <c r="H83" i="52083" s="1"/>
  <c r="C242" i="52087"/>
  <c r="B168" i="52087"/>
  <c r="C203" i="52087"/>
  <c r="C238" i="52087"/>
  <c r="B103" i="52087"/>
  <c r="G70" i="52071"/>
  <c r="D66" i="52098"/>
  <c r="D70" i="52098" s="1"/>
  <c r="I66" i="52097"/>
  <c r="I70" i="52097" s="1"/>
  <c r="F90" i="52097"/>
  <c r="E90" i="52082"/>
  <c r="J77" i="115"/>
  <c r="L77" i="115" s="1"/>
  <c r="F95" i="52074"/>
  <c r="I95" i="52074" s="1"/>
  <c r="I95" i="20"/>
  <c r="G149" i="20"/>
  <c r="J149" i="20"/>
  <c r="F149" i="52074"/>
  <c r="J149" i="52074" s="1"/>
  <c r="I149" i="20"/>
  <c r="C103" i="77"/>
  <c r="G90" i="52097"/>
  <c r="D90" i="52082"/>
  <c r="D149" i="52098"/>
  <c r="I149" i="52097"/>
  <c r="G95" i="52104"/>
  <c r="I95" i="115"/>
  <c r="G78" i="52097"/>
  <c r="D78" i="52082"/>
  <c r="B114" i="52083"/>
  <c r="C114" i="52097"/>
  <c r="C116" i="52097" s="1"/>
  <c r="C239" i="52097" s="1"/>
  <c r="B82" i="111"/>
  <c r="C82" i="52075"/>
  <c r="C99" i="52075"/>
  <c r="B99" i="111"/>
  <c r="C68" i="52097"/>
  <c r="C70" i="52097" s="1"/>
  <c r="G70" i="105"/>
  <c r="B68" i="52083"/>
  <c r="G155" i="52083"/>
  <c r="F168" i="105"/>
  <c r="C95" i="52082"/>
  <c r="E95" i="52097"/>
  <c r="G84" i="52097"/>
  <c r="D84" i="52082"/>
  <c r="G148" i="52097"/>
  <c r="D148" i="52082"/>
  <c r="D86" i="52083"/>
  <c r="H86" i="52097"/>
  <c r="C152" i="111"/>
  <c r="E151" i="52104"/>
  <c r="C151" i="52074"/>
  <c r="F77" i="52076"/>
  <c r="J148" i="52090"/>
  <c r="G148" i="52090"/>
  <c r="H84" i="52077"/>
  <c r="L84" i="111"/>
  <c r="B84" i="52077"/>
  <c r="B116" i="77"/>
  <c r="K116" i="77"/>
  <c r="C239" i="77"/>
  <c r="G108" i="52104"/>
  <c r="K108" i="52104" s="1"/>
  <c r="J108" i="115"/>
  <c r="D67" i="52104"/>
  <c r="B67" i="52074"/>
  <c r="D67" i="111"/>
  <c r="L67" i="20"/>
  <c r="J120" i="20"/>
  <c r="F120" i="52074"/>
  <c r="I120" i="20"/>
  <c r="L120" i="20" s="1"/>
  <c r="G76" i="12"/>
  <c r="J76" i="12" s="1"/>
  <c r="F76" i="52076"/>
  <c r="J78" i="52090"/>
  <c r="G78" i="52090"/>
  <c r="B147" i="52083"/>
  <c r="C147" i="52097"/>
  <c r="C241" i="52088"/>
  <c r="B154" i="52088"/>
  <c r="F143" i="52097"/>
  <c r="E143" i="52082"/>
  <c r="F145" i="52097"/>
  <c r="E145" i="52082"/>
  <c r="J131" i="52088"/>
  <c r="F154" i="52088"/>
  <c r="I131" i="52088"/>
  <c r="F70" i="52067"/>
  <c r="G64" i="52067"/>
  <c r="J64" i="52067"/>
  <c r="D77" i="52083"/>
  <c r="H77" i="52097"/>
  <c r="D85" i="52083"/>
  <c r="H85" i="52097"/>
  <c r="D100" i="52083"/>
  <c r="H100" i="52097"/>
  <c r="H180" i="52097"/>
  <c r="D179" i="52083"/>
  <c r="G105" i="114"/>
  <c r="F116" i="114"/>
  <c r="J105" i="114"/>
  <c r="B147" i="111"/>
  <c r="C147" i="52075"/>
  <c r="J142" i="105"/>
  <c r="E125" i="52097"/>
  <c r="C125" i="52082"/>
  <c r="J118" i="101"/>
  <c r="F129" i="101"/>
  <c r="F240" i="101" s="1"/>
  <c r="K134" i="52098"/>
  <c r="I134" i="52097"/>
  <c r="D134" i="52098"/>
  <c r="I150" i="52097"/>
  <c r="D150" i="52098"/>
  <c r="F148" i="52076"/>
  <c r="J145" i="52088"/>
  <c r="D78" i="52098"/>
  <c r="I78" i="52097"/>
  <c r="I88" i="52097"/>
  <c r="D88" i="52098"/>
  <c r="E86" i="52082"/>
  <c r="F86" i="52097"/>
  <c r="J106" i="52083"/>
  <c r="K106" i="52083"/>
  <c r="E114" i="52082"/>
  <c r="F114" i="52097"/>
  <c r="J96" i="115"/>
  <c r="L96" i="115" s="1"/>
  <c r="C96" i="111"/>
  <c r="E96" i="52104"/>
  <c r="C96" i="52074"/>
  <c r="D95" i="52098"/>
  <c r="I95" i="52097"/>
  <c r="C164" i="52075"/>
  <c r="B165" i="111"/>
  <c r="B151" i="52104"/>
  <c r="B151" i="52076"/>
  <c r="E152" i="111"/>
  <c r="H151" i="52076"/>
  <c r="J151" i="52076" s="1"/>
  <c r="C73" i="52074"/>
  <c r="C73" i="111"/>
  <c r="E73" i="52104"/>
  <c r="C109" i="111"/>
  <c r="E109" i="52104"/>
  <c r="C109" i="52074"/>
  <c r="G149" i="52104"/>
  <c r="K149" i="52104" s="1"/>
  <c r="C149" i="52074"/>
  <c r="C149" i="111"/>
  <c r="E149" i="52104"/>
  <c r="D91" i="52104"/>
  <c r="H91" i="52074"/>
  <c r="D91" i="111"/>
  <c r="B91" i="52074"/>
  <c r="K168" i="12"/>
  <c r="B168" i="12"/>
  <c r="C242" i="12"/>
  <c r="D125" i="52082"/>
  <c r="G125" i="52097"/>
  <c r="B103" i="52071"/>
  <c r="C238" i="52071"/>
  <c r="C203" i="52071"/>
  <c r="F240" i="105"/>
  <c r="G76" i="114"/>
  <c r="J76" i="114"/>
  <c r="G90" i="52104"/>
  <c r="J90" i="52104" s="1"/>
  <c r="J142" i="20"/>
  <c r="I142" i="20"/>
  <c r="C151" i="52076"/>
  <c r="C151" i="52104"/>
  <c r="F152" i="111"/>
  <c r="G68" i="115"/>
  <c r="G68" i="52104"/>
  <c r="J68" i="115"/>
  <c r="L85" i="12"/>
  <c r="J85" i="52094"/>
  <c r="L85" i="52094" s="1"/>
  <c r="B85" i="52077"/>
  <c r="L85" i="111"/>
  <c r="H85" i="52077"/>
  <c r="J85" i="52077" s="1"/>
  <c r="K103" i="52090"/>
  <c r="C238" i="52090"/>
  <c r="B103" i="52090"/>
  <c r="C203" i="52090"/>
  <c r="F168" i="115"/>
  <c r="G155" i="52104"/>
  <c r="I156" i="115"/>
  <c r="G110" i="20"/>
  <c r="J110" i="20" s="1"/>
  <c r="L110" i="20" s="1"/>
  <c r="I110" i="20"/>
  <c r="F110" i="52074"/>
  <c r="I110" i="52074" s="1"/>
  <c r="G162" i="20"/>
  <c r="J162" i="20" s="1"/>
  <c r="F161" i="52074"/>
  <c r="I161" i="52074" s="1"/>
  <c r="I162" i="20"/>
  <c r="F67" i="52076"/>
  <c r="G67" i="12"/>
  <c r="J67" i="12"/>
  <c r="J249" i="12" s="1"/>
  <c r="G91" i="12"/>
  <c r="J91" i="12"/>
  <c r="F91" i="52076"/>
  <c r="K168" i="77"/>
  <c r="C242" i="77"/>
  <c r="B168" i="77"/>
  <c r="J106" i="52090"/>
  <c r="L106" i="52090" s="1"/>
  <c r="K129" i="52094"/>
  <c r="B129" i="52094"/>
  <c r="C240" i="52094"/>
  <c r="F70" i="52095"/>
  <c r="F103" i="52095" s="1"/>
  <c r="F238" i="52095" s="1"/>
  <c r="G64" i="52075"/>
  <c r="J64" i="52095"/>
  <c r="P64" i="111"/>
  <c r="G64" i="52095"/>
  <c r="G110" i="52094"/>
  <c r="J110" i="52094" s="1"/>
  <c r="L110" i="52094" s="1"/>
  <c r="F110" i="52077"/>
  <c r="J142" i="52094"/>
  <c r="F142" i="52077"/>
  <c r="G88" i="52075"/>
  <c r="M161" i="111"/>
  <c r="B160" i="52075"/>
  <c r="I160" i="52075"/>
  <c r="B129" i="52081"/>
  <c r="C240" i="52081"/>
  <c r="K129" i="52081"/>
  <c r="G97" i="52081"/>
  <c r="J97" i="52081" s="1"/>
  <c r="D162" i="52103"/>
  <c r="G163" i="110"/>
  <c r="D162" i="52084"/>
  <c r="G74" i="52081"/>
  <c r="J74" i="52081"/>
  <c r="D179" i="52103"/>
  <c r="G180" i="110"/>
  <c r="D179" i="52084"/>
  <c r="E165" i="52082"/>
  <c r="F165" i="52097"/>
  <c r="D90" i="52098"/>
  <c r="I90" i="52097"/>
  <c r="B66" i="111"/>
  <c r="C66" i="52075"/>
  <c r="G122" i="12"/>
  <c r="G122" i="52104"/>
  <c r="F122" i="52076"/>
  <c r="L180" i="111"/>
  <c r="B179" i="52077"/>
  <c r="J143" i="52094"/>
  <c r="L143" i="52094" s="1"/>
  <c r="L66" i="52095"/>
  <c r="P66" i="111"/>
  <c r="P90" i="111"/>
  <c r="G90" i="52095"/>
  <c r="J90" i="52095" s="1"/>
  <c r="L90" i="52095" s="1"/>
  <c r="G90" i="52075"/>
  <c r="L150" i="52095"/>
  <c r="C66" i="52104"/>
  <c r="F66" i="111"/>
  <c r="C66" i="52076"/>
  <c r="J145" i="77"/>
  <c r="J177" i="114"/>
  <c r="G177" i="114"/>
  <c r="F86" i="52074"/>
  <c r="I86" i="52074" s="1"/>
  <c r="G74" i="12"/>
  <c r="J74" i="12"/>
  <c r="F74" i="52076"/>
  <c r="K168" i="52094"/>
  <c r="C242" i="52094"/>
  <c r="B168" i="52094"/>
  <c r="P120" i="111"/>
  <c r="F112" i="52077"/>
  <c r="G105" i="52075"/>
  <c r="P105" i="111"/>
  <c r="J105" i="52095"/>
  <c r="F116" i="52095"/>
  <c r="G105" i="52095"/>
  <c r="G147" i="52075"/>
  <c r="J147" i="52095"/>
  <c r="P147" i="111"/>
  <c r="S147" i="111" s="1"/>
  <c r="G147" i="52095"/>
  <c r="D85" i="52103"/>
  <c r="D85" i="52084"/>
  <c r="G85" i="110"/>
  <c r="J149" i="52081"/>
  <c r="G149" i="52081"/>
  <c r="G68" i="52081"/>
  <c r="J68" i="52081"/>
  <c r="G80" i="110"/>
  <c r="D80" i="52103"/>
  <c r="D80" i="52084"/>
  <c r="D81" i="52082"/>
  <c r="G81" i="52097"/>
  <c r="G142" i="52097"/>
  <c r="D142" i="52082"/>
  <c r="C241" i="101"/>
  <c r="B154" i="101"/>
  <c r="D143" i="52082"/>
  <c r="G143" i="52097"/>
  <c r="D146" i="52082"/>
  <c r="G146" i="52097"/>
  <c r="H134" i="52097"/>
  <c r="D134" i="52083"/>
  <c r="C82" i="111"/>
  <c r="E82" i="52104"/>
  <c r="C82" i="52074"/>
  <c r="G180" i="20"/>
  <c r="I180" i="20"/>
  <c r="J180" i="20"/>
  <c r="G147" i="52090"/>
  <c r="J147" i="52090"/>
  <c r="J120" i="52094"/>
  <c r="F120" i="52077"/>
  <c r="G176" i="52075"/>
  <c r="K176" i="52075" s="1"/>
  <c r="G177" i="52095"/>
  <c r="J177" i="52095"/>
  <c r="M91" i="111"/>
  <c r="B91" i="52075"/>
  <c r="F70" i="52081"/>
  <c r="J64" i="52081"/>
  <c r="J145" i="52081"/>
  <c r="G165" i="52081"/>
  <c r="J165" i="52081" s="1"/>
  <c r="J91" i="52083"/>
  <c r="J105" i="52087"/>
  <c r="F116" i="52087"/>
  <c r="I105" i="52087"/>
  <c r="J114" i="52094"/>
  <c r="G114" i="52094"/>
  <c r="F114" i="52077"/>
  <c r="D83" i="52084"/>
  <c r="G83" i="110"/>
  <c r="D83" i="52103"/>
  <c r="J142" i="52081"/>
  <c r="G173" i="52081"/>
  <c r="J173" i="52081" s="1"/>
  <c r="G83" i="52104"/>
  <c r="J83" i="52104" s="1"/>
  <c r="P73" i="111"/>
  <c r="J141" i="12"/>
  <c r="F161" i="111"/>
  <c r="C160" i="52104"/>
  <c r="C160" i="52076"/>
  <c r="L158" i="115"/>
  <c r="D147" i="52104"/>
  <c r="B147" i="52074"/>
  <c r="H147" i="52074"/>
  <c r="J147" i="52074" s="1"/>
  <c r="D147" i="111"/>
  <c r="B109" i="52075"/>
  <c r="M109" i="111"/>
  <c r="D175" i="52103"/>
  <c r="D175" i="52084"/>
  <c r="G176" i="110"/>
  <c r="G86" i="52081"/>
  <c r="B72" i="52083"/>
  <c r="C72" i="52097"/>
  <c r="J105" i="101"/>
  <c r="F116" i="101"/>
  <c r="G197" i="52100"/>
  <c r="J197" i="52100"/>
  <c r="G196" i="52102"/>
  <c r="J119" i="52100"/>
  <c r="G119" i="52100"/>
  <c r="G119" i="52102"/>
  <c r="K119" i="52102" s="1"/>
  <c r="J108" i="52100"/>
  <c r="G108" i="52102"/>
  <c r="G97" i="52100"/>
  <c r="J97" i="52100"/>
  <c r="G97" i="52102"/>
  <c r="G88" i="52100"/>
  <c r="J88" i="52100" s="1"/>
  <c r="G88" i="52102"/>
  <c r="G80" i="52100"/>
  <c r="J80" i="52100"/>
  <c r="G80" i="52102"/>
  <c r="G72" i="52100"/>
  <c r="J72" i="52100"/>
  <c r="G72" i="52102"/>
  <c r="I22" i="93"/>
  <c r="F32" i="93"/>
  <c r="B13" i="52083"/>
  <c r="C13" i="52097"/>
  <c r="C226" i="108"/>
  <c r="C219" i="108"/>
  <c r="D175" i="52098"/>
  <c r="I176" i="52097"/>
  <c r="G19" i="233"/>
  <c r="Q19" i="52097"/>
  <c r="I180" i="9"/>
  <c r="E101" i="52097"/>
  <c r="C101" i="52082"/>
  <c r="F177" i="52097"/>
  <c r="E177" i="52082"/>
  <c r="H133" i="52097"/>
  <c r="D133" i="52083"/>
  <c r="G154" i="52067"/>
  <c r="I75" i="52097"/>
  <c r="D75" i="52098"/>
  <c r="D101" i="52083"/>
  <c r="H101" i="52097"/>
  <c r="G64" i="52100"/>
  <c r="F70" i="52100"/>
  <c r="J64" i="52100"/>
  <c r="G64" i="52102"/>
  <c r="B19" i="52102"/>
  <c r="H19" i="110"/>
  <c r="C140" i="52082"/>
  <c r="E140" i="52097"/>
  <c r="E139" i="52082"/>
  <c r="F139" i="52097"/>
  <c r="I174" i="52097"/>
  <c r="D173" i="52098"/>
  <c r="G116" i="52071"/>
  <c r="I107" i="52097"/>
  <c r="D107" i="52098"/>
  <c r="C162" i="52075"/>
  <c r="B163" i="111"/>
  <c r="B138" i="9"/>
  <c r="K138" i="52098"/>
  <c r="G138" i="52098"/>
  <c r="B138" i="52098"/>
  <c r="G132" i="233"/>
  <c r="K132" i="233" s="1"/>
  <c r="I132" i="9"/>
  <c r="C51" i="101"/>
  <c r="C32" i="101"/>
  <c r="C33" i="101" s="1"/>
  <c r="B211" i="101"/>
  <c r="B207" i="101"/>
  <c r="C46" i="101"/>
  <c r="C47" i="101" s="1"/>
  <c r="B215" i="101"/>
  <c r="B212" i="101"/>
  <c r="C220" i="101"/>
  <c r="D178" i="52097"/>
  <c r="E177" i="52083"/>
  <c r="J187" i="52067"/>
  <c r="F201" i="52067"/>
  <c r="J201" i="52067" s="1"/>
  <c r="J140" i="12"/>
  <c r="F140" i="52076"/>
  <c r="J81" i="20"/>
  <c r="G81" i="20"/>
  <c r="F81" i="52074"/>
  <c r="J81" i="52074" s="1"/>
  <c r="F49" i="52076"/>
  <c r="F51" i="52076" s="1"/>
  <c r="F232" i="52076" s="1"/>
  <c r="J49" i="12"/>
  <c r="G74" i="52089"/>
  <c r="J74" i="52089" s="1"/>
  <c r="G99" i="52089"/>
  <c r="J99" i="52089" s="1"/>
  <c r="L99" i="52089" s="1"/>
  <c r="E173" i="52097"/>
  <c r="C173" i="52082"/>
  <c r="D163" i="52083"/>
  <c r="H164" i="52097"/>
  <c r="C172" i="9"/>
  <c r="C171" i="52098"/>
  <c r="D73" i="52097"/>
  <c r="E73" i="52083"/>
  <c r="I73" i="52083" s="1"/>
  <c r="K73" i="52083" s="1"/>
  <c r="E10" i="52082"/>
  <c r="F10" i="52097"/>
  <c r="L146" i="77"/>
  <c r="P143" i="111"/>
  <c r="G74" i="114"/>
  <c r="J74" i="114"/>
  <c r="B76" i="9"/>
  <c r="G76" i="9" s="1"/>
  <c r="G76" i="52098"/>
  <c r="B76" i="52098"/>
  <c r="K76" i="52098"/>
  <c r="C182" i="52098"/>
  <c r="C183" i="9"/>
  <c r="C203" i="21"/>
  <c r="C238" i="21"/>
  <c r="B103" i="21"/>
  <c r="C226" i="21"/>
  <c r="I174" i="9"/>
  <c r="B12" i="52083"/>
  <c r="C12" i="52097"/>
  <c r="C90" i="9"/>
  <c r="C90" i="52098"/>
  <c r="D13" i="52097"/>
  <c r="E13" i="52083"/>
  <c r="G163" i="115"/>
  <c r="J163" i="115"/>
  <c r="G162" i="52104"/>
  <c r="J192" i="20"/>
  <c r="F191" i="52074"/>
  <c r="J191" i="52074" s="1"/>
  <c r="J98" i="114"/>
  <c r="G98" i="114"/>
  <c r="D28" i="115"/>
  <c r="C44" i="115"/>
  <c r="G181" i="12"/>
  <c r="J181" i="12"/>
  <c r="F180" i="52076"/>
  <c r="C93" i="52104"/>
  <c r="C93" i="52076"/>
  <c r="F93" i="111"/>
  <c r="D92" i="52075"/>
  <c r="H92" i="111"/>
  <c r="C114" i="9"/>
  <c r="C114" i="52098"/>
  <c r="D183" i="52097"/>
  <c r="E182" i="52083"/>
  <c r="E175" i="52083"/>
  <c r="D176" i="52097"/>
  <c r="C111" i="111"/>
  <c r="C111" i="52074"/>
  <c r="E111" i="52104"/>
  <c r="J166" i="52089"/>
  <c r="G166" i="52089"/>
  <c r="G93" i="52092"/>
  <c r="J93" i="52092"/>
  <c r="C160" i="52077"/>
  <c r="J161" i="111"/>
  <c r="G150" i="52093"/>
  <c r="J150" i="52093"/>
  <c r="G178" i="52094"/>
  <c r="J178" i="52094"/>
  <c r="F177" i="52077"/>
  <c r="L195" i="91"/>
  <c r="G105" i="52066"/>
  <c r="F116" i="52066"/>
  <c r="J105" i="52066"/>
  <c r="G149" i="52066"/>
  <c r="J149" i="52066"/>
  <c r="D19" i="110"/>
  <c r="D19" i="52102"/>
  <c r="G78" i="52092"/>
  <c r="J78" i="52092"/>
  <c r="G148" i="52092"/>
  <c r="J148" i="52092"/>
  <c r="G181" i="52092"/>
  <c r="J181" i="52092"/>
  <c r="J66" i="52093"/>
  <c r="K66" i="111"/>
  <c r="D66" i="52076"/>
  <c r="I66" i="52076" s="1"/>
  <c r="D66" i="52077"/>
  <c r="I66" i="52077" s="1"/>
  <c r="B95" i="52095"/>
  <c r="B207" i="52095"/>
  <c r="C32" i="52095"/>
  <c r="C51" i="52095"/>
  <c r="B215" i="52095"/>
  <c r="C220" i="52095"/>
  <c r="B212" i="52095"/>
  <c r="B211" i="52095"/>
  <c r="C12" i="52076"/>
  <c r="F12" i="111"/>
  <c r="H183" i="52097"/>
  <c r="D182" i="52083"/>
  <c r="B135" i="52083"/>
  <c r="C135" i="52097"/>
  <c r="I136" i="9"/>
  <c r="C136" i="52098"/>
  <c r="C136" i="9"/>
  <c r="I75" i="9"/>
  <c r="G170" i="52087"/>
  <c r="J170" i="52087"/>
  <c r="F185" i="52087"/>
  <c r="C19" i="52083"/>
  <c r="J19" i="52097"/>
  <c r="G183" i="114"/>
  <c r="J183" i="114"/>
  <c r="G93" i="52089"/>
  <c r="J93" i="52089"/>
  <c r="H126" i="111"/>
  <c r="D126" i="52075"/>
  <c r="I120" i="9"/>
  <c r="E87" i="52097"/>
  <c r="C87" i="52082"/>
  <c r="J118" i="108"/>
  <c r="F129" i="108"/>
  <c r="F240" i="108" s="1"/>
  <c r="C171" i="52104"/>
  <c r="F172" i="111"/>
  <c r="C171" i="52076"/>
  <c r="C18" i="52102"/>
  <c r="G18" i="111"/>
  <c r="D18" i="52074"/>
  <c r="C243" i="101"/>
  <c r="F51" i="52071"/>
  <c r="G21" i="52071"/>
  <c r="D9" i="52098"/>
  <c r="I9" i="52097"/>
  <c r="J14" i="52097"/>
  <c r="O14" i="52097" s="1"/>
  <c r="C14" i="52083"/>
  <c r="J90" i="52097"/>
  <c r="C90" i="52083"/>
  <c r="I17" i="52097"/>
  <c r="D17" i="52098"/>
  <c r="C176" i="9"/>
  <c r="C175" i="52098"/>
  <c r="F183" i="52097"/>
  <c r="E183" i="52082"/>
  <c r="H65" i="52097"/>
  <c r="O65" i="52097" s="1"/>
  <c r="D65" i="52083"/>
  <c r="B19" i="52074"/>
  <c r="D19" i="111"/>
  <c r="H19" i="52074"/>
  <c r="F179" i="52074"/>
  <c r="G180" i="52089"/>
  <c r="J180" i="52089"/>
  <c r="K10" i="52098"/>
  <c r="B10" i="9"/>
  <c r="B10" i="52098"/>
  <c r="G10" i="52098"/>
  <c r="G78" i="52098"/>
  <c r="B78" i="52098"/>
  <c r="B78" i="9"/>
  <c r="G78" i="9" s="1"/>
  <c r="K78" i="52098"/>
  <c r="C32" i="105"/>
  <c r="C33" i="105" s="1"/>
  <c r="B211" i="105"/>
  <c r="C46" i="105"/>
  <c r="C47" i="105" s="1"/>
  <c r="B207" i="105"/>
  <c r="C51" i="105"/>
  <c r="B212" i="105"/>
  <c r="B215" i="105"/>
  <c r="C220" i="105"/>
  <c r="C83" i="52082"/>
  <c r="E83" i="52097"/>
  <c r="E163" i="52097"/>
  <c r="C163" i="52082"/>
  <c r="D98" i="52097"/>
  <c r="E98" i="52083"/>
  <c r="F73" i="52074"/>
  <c r="I73" i="52074" s="1"/>
  <c r="G73" i="52089"/>
  <c r="J73" i="52089"/>
  <c r="C240" i="52091"/>
  <c r="B129" i="52091"/>
  <c r="K129" i="52091"/>
  <c r="L196" i="52091"/>
  <c r="L16" i="111"/>
  <c r="B16" i="52077"/>
  <c r="H16" i="52077"/>
  <c r="J16" i="52077" s="1"/>
  <c r="J174" i="52094"/>
  <c r="G174" i="52094"/>
  <c r="F173" i="52077"/>
  <c r="M11" i="111"/>
  <c r="B11" i="52075"/>
  <c r="P197" i="111"/>
  <c r="G197" i="233" s="1"/>
  <c r="G114" i="32"/>
  <c r="J114" i="32"/>
  <c r="J114" i="110"/>
  <c r="G66" i="48"/>
  <c r="F66" i="52084"/>
  <c r="J66" i="48"/>
  <c r="C137" i="52084"/>
  <c r="E137" i="110"/>
  <c r="H137" i="52084"/>
  <c r="I137" i="52103"/>
  <c r="C137" i="52103"/>
  <c r="L197" i="52093"/>
  <c r="J196" i="20"/>
  <c r="L196" i="20" s="1"/>
  <c r="F195" i="52074"/>
  <c r="J195" i="52074" s="1"/>
  <c r="I127" i="52091"/>
  <c r="J127" i="52091"/>
  <c r="D114" i="52076"/>
  <c r="I114" i="52076" s="1"/>
  <c r="K114" i="111"/>
  <c r="L114" i="52093"/>
  <c r="D114" i="52077"/>
  <c r="I114" i="52077" s="1"/>
  <c r="C46" i="52094"/>
  <c r="C47" i="52094" s="1"/>
  <c r="C219" i="52094"/>
  <c r="C226" i="52094"/>
  <c r="J175" i="52094"/>
  <c r="F174" i="52077"/>
  <c r="G175" i="52094"/>
  <c r="L144" i="52080"/>
  <c r="B95" i="91"/>
  <c r="G95" i="91" s="1"/>
  <c r="C18" i="52103"/>
  <c r="H18" i="52084"/>
  <c r="C18" i="52084"/>
  <c r="E18" i="110"/>
  <c r="C75" i="52103"/>
  <c r="E75" i="110"/>
  <c r="C75" i="52084"/>
  <c r="C243" i="52092"/>
  <c r="K185" i="52092"/>
  <c r="B17" i="52077"/>
  <c r="L17" i="111"/>
  <c r="H17" i="52077"/>
  <c r="J118" i="52080"/>
  <c r="L118" i="52080" s="1"/>
  <c r="F129" i="52080"/>
  <c r="F51" i="91"/>
  <c r="J21" i="91"/>
  <c r="E144" i="52103"/>
  <c r="I144" i="52103"/>
  <c r="C144" i="110"/>
  <c r="E142" i="52103"/>
  <c r="I142" i="52103"/>
  <c r="C142" i="110"/>
  <c r="B154" i="91"/>
  <c r="C241" i="91"/>
  <c r="K154" i="91"/>
  <c r="C143" i="110"/>
  <c r="E143" i="52103"/>
  <c r="I143" i="52103"/>
  <c r="F148" i="110"/>
  <c r="B148" i="52103"/>
  <c r="B148" i="52084"/>
  <c r="L148" i="48"/>
  <c r="F148" i="52084"/>
  <c r="I148" i="52084" s="1"/>
  <c r="G165" i="52066"/>
  <c r="J165" i="52066"/>
  <c r="J108" i="52072"/>
  <c r="G108" i="52072"/>
  <c r="J166" i="52072"/>
  <c r="G166" i="52072"/>
  <c r="I133" i="93"/>
  <c r="F152" i="93"/>
  <c r="I152" i="93" s="1"/>
  <c r="J92" i="32"/>
  <c r="G92" i="32"/>
  <c r="J92" i="110"/>
  <c r="N92" i="110" s="1"/>
  <c r="J110" i="91"/>
  <c r="G110" i="52103"/>
  <c r="J137" i="48"/>
  <c r="L137" i="48" s="1"/>
  <c r="F137" i="52084"/>
  <c r="J137" i="52084" s="1"/>
  <c r="G161" i="48"/>
  <c r="J161" i="48"/>
  <c r="F160" i="52084"/>
  <c r="C44" i="52066"/>
  <c r="K201" i="52066"/>
  <c r="C17" i="111"/>
  <c r="C17" i="52074"/>
  <c r="K201" i="115"/>
  <c r="L120" i="52091"/>
  <c r="L190" i="52091"/>
  <c r="L119" i="52092"/>
  <c r="K136" i="111"/>
  <c r="R136" i="111" s="1"/>
  <c r="L136" i="52093"/>
  <c r="H136" i="52076"/>
  <c r="H136" i="52077"/>
  <c r="J136" i="52077" s="1"/>
  <c r="D136" i="52076"/>
  <c r="I136" i="52076" s="1"/>
  <c r="D136" i="52077"/>
  <c r="I136" i="52077" s="1"/>
  <c r="J93" i="52080"/>
  <c r="G93" i="52080"/>
  <c r="G149" i="52080"/>
  <c r="J149" i="52080"/>
  <c r="G108" i="32"/>
  <c r="J108" i="32" s="1"/>
  <c r="J108" i="110"/>
  <c r="J96" i="91"/>
  <c r="G96" i="52103"/>
  <c r="I83" i="52084"/>
  <c r="F157" i="52084"/>
  <c r="J157" i="52084" s="1"/>
  <c r="J142" i="52066"/>
  <c r="E142" i="110"/>
  <c r="C142" i="52103"/>
  <c r="C142" i="52084"/>
  <c r="C144" i="52084"/>
  <c r="E144" i="110"/>
  <c r="C144" i="52103"/>
  <c r="C146" i="52084"/>
  <c r="E146" i="110"/>
  <c r="C146" i="52103"/>
  <c r="C145" i="52103"/>
  <c r="C145" i="52084"/>
  <c r="E145" i="110"/>
  <c r="D161" i="52077"/>
  <c r="I161" i="52077" s="1"/>
  <c r="D161" i="52076"/>
  <c r="I161" i="52076" s="1"/>
  <c r="K162" i="111"/>
  <c r="J81" i="52094"/>
  <c r="G81" i="52094"/>
  <c r="F81" i="52077"/>
  <c r="E85" i="52075"/>
  <c r="N85" i="111"/>
  <c r="L197" i="114"/>
  <c r="G174" i="52104"/>
  <c r="K174" i="52104" s="1"/>
  <c r="C174" i="52074"/>
  <c r="C175" i="111"/>
  <c r="E174" i="52104"/>
  <c r="G126" i="20"/>
  <c r="F126" i="52074"/>
  <c r="J126" i="52074" s="1"/>
  <c r="J126" i="20"/>
  <c r="B17" i="52076"/>
  <c r="E17" i="111"/>
  <c r="H17" i="52076"/>
  <c r="L196" i="77"/>
  <c r="L157" i="52090"/>
  <c r="D12" i="52076"/>
  <c r="I12" i="52076" s="1"/>
  <c r="K12" i="111"/>
  <c r="D12" i="52077"/>
  <c r="I12" i="52077" s="1"/>
  <c r="G180" i="52093"/>
  <c r="H179" i="52077" s="1"/>
  <c r="J179" i="52077" s="1"/>
  <c r="J180" i="52093"/>
  <c r="G181" i="91"/>
  <c r="J181" i="91"/>
  <c r="G180" i="52103"/>
  <c r="K180" i="52103" s="1"/>
  <c r="J123" i="110"/>
  <c r="N123" i="110" s="1"/>
  <c r="F123" i="52084"/>
  <c r="J123" i="52084" s="1"/>
  <c r="J123" i="48"/>
  <c r="L123" i="48" s="1"/>
  <c r="G123" i="52103"/>
  <c r="K123" i="52103" s="1"/>
  <c r="E85" i="110"/>
  <c r="C85" i="52084"/>
  <c r="C85" i="52103"/>
  <c r="G105" i="52092"/>
  <c r="J105" i="52092"/>
  <c r="F116" i="52092"/>
  <c r="F239" i="52092" s="1"/>
  <c r="J149" i="52093"/>
  <c r="G149" i="52093"/>
  <c r="E17" i="52075"/>
  <c r="N17" i="111"/>
  <c r="J88" i="110"/>
  <c r="G177" i="32"/>
  <c r="J177" i="32"/>
  <c r="J177" i="110"/>
  <c r="N177" i="110" s="1"/>
  <c r="G77" i="91"/>
  <c r="G77" i="52103"/>
  <c r="J77" i="91"/>
  <c r="E109" i="52103"/>
  <c r="C109" i="110"/>
  <c r="G145" i="52103"/>
  <c r="B10" i="52103"/>
  <c r="F10" i="110"/>
  <c r="B10" i="52084"/>
  <c r="H10" i="52084"/>
  <c r="F110" i="52084"/>
  <c r="G110" i="48"/>
  <c r="J110" i="48" s="1"/>
  <c r="C240" i="52066"/>
  <c r="K129" i="52066"/>
  <c r="B129" i="52066"/>
  <c r="L146" i="52072"/>
  <c r="E124" i="52102"/>
  <c r="B124" i="110"/>
  <c r="J124" i="110"/>
  <c r="J195" i="32"/>
  <c r="L195" i="32" s="1"/>
  <c r="J195" i="110"/>
  <c r="N195" i="110" s="1"/>
  <c r="B146" i="52103"/>
  <c r="H146" i="52084"/>
  <c r="B146" i="52084"/>
  <c r="F146" i="110"/>
  <c r="C241" i="48"/>
  <c r="B154" i="48"/>
  <c r="K154" i="48"/>
  <c r="B145" i="52103"/>
  <c r="F145" i="110"/>
  <c r="H145" i="52084"/>
  <c r="B145" i="52084"/>
  <c r="F131" i="52084"/>
  <c r="I131" i="52084" s="1"/>
  <c r="F154" i="48"/>
  <c r="J131" i="48"/>
  <c r="G97" i="52066"/>
  <c r="J97" i="52066"/>
  <c r="J166" i="52066"/>
  <c r="G166" i="52066"/>
  <c r="G66" i="52072"/>
  <c r="J66" i="52072"/>
  <c r="D87" i="52102"/>
  <c r="D87" i="110"/>
  <c r="D162" i="52102"/>
  <c r="D163" i="110"/>
  <c r="J105" i="52064"/>
  <c r="E105" i="9"/>
  <c r="F116" i="52064"/>
  <c r="I192" i="9"/>
  <c r="K201" i="52100"/>
  <c r="B86" i="52102"/>
  <c r="H86" i="110"/>
  <c r="F21" i="52100"/>
  <c r="G8" i="52102"/>
  <c r="J8" i="110"/>
  <c r="J8" i="52100"/>
  <c r="L8" i="52100" s="1"/>
  <c r="J162" i="148"/>
  <c r="B162" i="52097"/>
  <c r="B162" i="52082"/>
  <c r="E170" i="52083"/>
  <c r="D171" i="52097"/>
  <c r="F137" i="52097"/>
  <c r="E137" i="52082"/>
  <c r="D171" i="52098"/>
  <c r="I172" i="52097"/>
  <c r="F93" i="52097"/>
  <c r="E93" i="52082"/>
  <c r="F185" i="52067"/>
  <c r="J170" i="52067"/>
  <c r="G170" i="52067"/>
  <c r="C164" i="52098"/>
  <c r="C165" i="9"/>
  <c r="E94" i="52083"/>
  <c r="D94" i="52097"/>
  <c r="I158" i="9"/>
  <c r="D100" i="52097"/>
  <c r="E100" i="52083"/>
  <c r="J101" i="52097"/>
  <c r="C101" i="52083"/>
  <c r="J183" i="52100"/>
  <c r="G183" i="52100"/>
  <c r="G182" i="52102"/>
  <c r="K182" i="52102" s="1"/>
  <c r="G163" i="52100"/>
  <c r="J163" i="52100"/>
  <c r="G162" i="52102"/>
  <c r="J143" i="110"/>
  <c r="J143" i="52100"/>
  <c r="G143" i="52102"/>
  <c r="J124" i="52100"/>
  <c r="G124" i="52102"/>
  <c r="B116" i="52100"/>
  <c r="K116" i="52100"/>
  <c r="C239" i="52100"/>
  <c r="D144" i="52076"/>
  <c r="I144" i="52076" s="1"/>
  <c r="K144" i="111"/>
  <c r="D144" i="52077"/>
  <c r="I144" i="52077" s="1"/>
  <c r="D145" i="52076"/>
  <c r="I145" i="52076" s="1"/>
  <c r="K145" i="111"/>
  <c r="D145" i="52077"/>
  <c r="I145" i="52077" s="1"/>
  <c r="D143" i="52076"/>
  <c r="I143" i="52076" s="1"/>
  <c r="D143" i="52077"/>
  <c r="I143" i="52077" s="1"/>
  <c r="K143" i="111"/>
  <c r="C241" i="52093"/>
  <c r="B154" i="52093"/>
  <c r="K154" i="52093"/>
  <c r="J118" i="52079"/>
  <c r="F129" i="52079"/>
  <c r="F240" i="52079" s="1"/>
  <c r="C126" i="52082"/>
  <c r="E126" i="52097"/>
  <c r="C226" i="52071"/>
  <c r="C219" i="52071"/>
  <c r="H49" i="52082"/>
  <c r="L49" i="52082" s="1"/>
  <c r="J49" i="148"/>
  <c r="M49" i="52097"/>
  <c r="Q49" i="52097" s="1"/>
  <c r="C133" i="52082"/>
  <c r="E133" i="52097"/>
  <c r="G154" i="52087"/>
  <c r="C103" i="52089"/>
  <c r="J176" i="52097"/>
  <c r="C175" i="52083"/>
  <c r="G137" i="52104"/>
  <c r="K137" i="52104" s="1"/>
  <c r="F201" i="77"/>
  <c r="J201" i="77" s="1"/>
  <c r="J187" i="77"/>
  <c r="L187" i="77" s="1"/>
  <c r="H17" i="111"/>
  <c r="D17" i="52075"/>
  <c r="C77" i="52083"/>
  <c r="J77" i="52097"/>
  <c r="D93" i="52098"/>
  <c r="I93" i="52097"/>
  <c r="E181" i="52083"/>
  <c r="D182" i="52097"/>
  <c r="D172" i="52083"/>
  <c r="H173" i="52097"/>
  <c r="L107" i="52091"/>
  <c r="I12" i="9"/>
  <c r="G12" i="233"/>
  <c r="K12" i="233" s="1"/>
  <c r="G83" i="52098"/>
  <c r="K83" i="52098"/>
  <c r="B83" i="9"/>
  <c r="G83" i="9" s="1"/>
  <c r="J83" i="21"/>
  <c r="B83" i="52098"/>
  <c r="C19" i="52097"/>
  <c r="B19" i="52083"/>
  <c r="E175" i="52082"/>
  <c r="F175" i="52097"/>
  <c r="H13" i="52077"/>
  <c r="B13" i="52077"/>
  <c r="L13" i="111"/>
  <c r="F168" i="52092"/>
  <c r="D92" i="52076"/>
  <c r="I92" i="52076" s="1"/>
  <c r="D92" i="52077"/>
  <c r="I92" i="52077" s="1"/>
  <c r="K92" i="111"/>
  <c r="D172" i="52082"/>
  <c r="G172" i="52097"/>
  <c r="J114" i="52097"/>
  <c r="C114" i="52083"/>
  <c r="B138" i="52097"/>
  <c r="B138" i="52082"/>
  <c r="J170" i="52079"/>
  <c r="G170" i="52079"/>
  <c r="F185" i="52079"/>
  <c r="G101" i="52089"/>
  <c r="J101" i="52089"/>
  <c r="D182" i="52075"/>
  <c r="H183" i="111"/>
  <c r="G93" i="114"/>
  <c r="J93" i="114"/>
  <c r="B90" i="9"/>
  <c r="G90" i="9" s="1"/>
  <c r="K90" i="52098"/>
  <c r="B90" i="52098"/>
  <c r="H90" i="52098" s="1"/>
  <c r="J90" i="52098" s="1"/>
  <c r="G90" i="52098"/>
  <c r="B183" i="52097"/>
  <c r="B183" i="52082"/>
  <c r="H107" i="52097"/>
  <c r="H116" i="52097" s="1"/>
  <c r="H239" i="52097" s="1"/>
  <c r="D107" i="52083"/>
  <c r="D116" i="52083" s="1"/>
  <c r="D238" i="52083" s="1"/>
  <c r="G116" i="52067"/>
  <c r="G105" i="52089"/>
  <c r="J105" i="52089"/>
  <c r="F116" i="52089"/>
  <c r="K165" i="52082"/>
  <c r="D178" i="52082"/>
  <c r="G178" i="52097"/>
  <c r="C219" i="52079"/>
  <c r="C226" i="52079"/>
  <c r="B75" i="52097"/>
  <c r="B75" i="52082"/>
  <c r="E136" i="52083"/>
  <c r="D136" i="52097"/>
  <c r="H181" i="52097"/>
  <c r="D180" i="52083"/>
  <c r="D134" i="52097"/>
  <c r="E134" i="52083"/>
  <c r="J187" i="52088"/>
  <c r="F201" i="52088"/>
  <c r="E171" i="52083"/>
  <c r="D172" i="52097"/>
  <c r="D90" i="52074"/>
  <c r="G90" i="111"/>
  <c r="C90" i="52102"/>
  <c r="F51" i="77"/>
  <c r="J21" i="77"/>
  <c r="F9" i="111"/>
  <c r="C9" i="52076"/>
  <c r="G21" i="77"/>
  <c r="C176" i="110"/>
  <c r="E175" i="52103"/>
  <c r="I175" i="52103"/>
  <c r="F191" i="52084"/>
  <c r="J191" i="52084" s="1"/>
  <c r="J192" i="48"/>
  <c r="J141" i="52066"/>
  <c r="G77" i="52093"/>
  <c r="J77" i="52093"/>
  <c r="N11" i="111"/>
  <c r="E11" i="52075"/>
  <c r="E16" i="111"/>
  <c r="B16" i="52076"/>
  <c r="H16" i="52076"/>
  <c r="J11" i="111"/>
  <c r="C11" i="52077"/>
  <c r="H11" i="52077"/>
  <c r="J11" i="52077" s="1"/>
  <c r="J197" i="32"/>
  <c r="J197" i="110"/>
  <c r="E171" i="52097"/>
  <c r="C171" i="52082"/>
  <c r="H171" i="52097"/>
  <c r="D170" i="52083"/>
  <c r="G163" i="20"/>
  <c r="F162" i="52074"/>
  <c r="I162" i="52074" s="1"/>
  <c r="J163" i="20"/>
  <c r="H181" i="111"/>
  <c r="D180" i="52075"/>
  <c r="P87" i="111"/>
  <c r="T87" i="111" s="1"/>
  <c r="P177" i="111"/>
  <c r="J177" i="52091"/>
  <c r="C219" i="52093"/>
  <c r="C226" i="52093"/>
  <c r="J157" i="52094"/>
  <c r="L157" i="52094" s="1"/>
  <c r="F156" i="52077"/>
  <c r="G94" i="52103"/>
  <c r="G64" i="52066"/>
  <c r="J64" i="52066"/>
  <c r="F70" i="52066"/>
  <c r="F185" i="52066"/>
  <c r="J170" i="52066"/>
  <c r="G170" i="52066"/>
  <c r="C112" i="52077"/>
  <c r="J112" i="111"/>
  <c r="G178" i="52093"/>
  <c r="J178" i="52093"/>
  <c r="J146" i="52095"/>
  <c r="G146" i="52075"/>
  <c r="K146" i="52075" s="1"/>
  <c r="P146" i="111"/>
  <c r="G175" i="52080"/>
  <c r="J175" i="52080"/>
  <c r="J144" i="115"/>
  <c r="G144" i="52104"/>
  <c r="J195" i="12"/>
  <c r="L195" i="12" s="1"/>
  <c r="F194" i="52076"/>
  <c r="G106" i="52089"/>
  <c r="J106" i="52089"/>
  <c r="L146" i="52080"/>
  <c r="B161" i="110"/>
  <c r="E160" i="52102"/>
  <c r="G105" i="52103"/>
  <c r="J105" i="91"/>
  <c r="G105" i="91"/>
  <c r="F116" i="91"/>
  <c r="G163" i="91"/>
  <c r="J163" i="91"/>
  <c r="G162" i="52103"/>
  <c r="J98" i="52066"/>
  <c r="G98" i="52066"/>
  <c r="J101" i="52081"/>
  <c r="G101" i="52081"/>
  <c r="D171" i="110"/>
  <c r="D170" i="52102"/>
  <c r="J172" i="110"/>
  <c r="N172" i="110" s="1"/>
  <c r="J172" i="32"/>
  <c r="G172" i="32"/>
  <c r="F111" i="52084"/>
  <c r="I111" i="52084" s="1"/>
  <c r="J111" i="48"/>
  <c r="G111" i="48"/>
  <c r="G125" i="52066"/>
  <c r="J125" i="52066"/>
  <c r="I166" i="9"/>
  <c r="D91" i="52097"/>
  <c r="E91" i="52083"/>
  <c r="E160" i="52083"/>
  <c r="D161" i="52097"/>
  <c r="B72" i="52097"/>
  <c r="B72" i="52082"/>
  <c r="H119" i="9"/>
  <c r="I119" i="9"/>
  <c r="C74" i="52098"/>
  <c r="C74" i="9"/>
  <c r="G92" i="52098"/>
  <c r="B92" i="52098"/>
  <c r="B92" i="9"/>
  <c r="K92" i="52098"/>
  <c r="G173" i="52080"/>
  <c r="J173" i="52080"/>
  <c r="F83" i="52074"/>
  <c r="I83" i="52074" s="1"/>
  <c r="G83" i="20"/>
  <c r="J83" i="20"/>
  <c r="J181" i="52089"/>
  <c r="G181" i="52089"/>
  <c r="C51" i="115"/>
  <c r="B207" i="115"/>
  <c r="C32" i="115"/>
  <c r="C33" i="115" s="1"/>
  <c r="B215" i="115"/>
  <c r="B212" i="115"/>
  <c r="C46" i="115"/>
  <c r="C47" i="115" s="1"/>
  <c r="C220" i="115"/>
  <c r="B211" i="115"/>
  <c r="G172" i="52104"/>
  <c r="G173" i="115"/>
  <c r="J173" i="115"/>
  <c r="B98" i="52074"/>
  <c r="D98" i="52104"/>
  <c r="H98" i="52074"/>
  <c r="J98" i="52074" s="1"/>
  <c r="D98" i="111"/>
  <c r="G170" i="12"/>
  <c r="F169" i="52076"/>
  <c r="J170" i="12"/>
  <c r="F185" i="12"/>
  <c r="H149" i="111"/>
  <c r="D149" i="52075"/>
  <c r="L149" i="52090"/>
  <c r="L160" i="52092"/>
  <c r="N161" i="111"/>
  <c r="E160" i="52075"/>
  <c r="C91" i="110"/>
  <c r="E91" i="52103"/>
  <c r="I91" i="52103"/>
  <c r="K91" i="52103" s="1"/>
  <c r="J183" i="91"/>
  <c r="G183" i="91"/>
  <c r="G182" i="52103"/>
  <c r="K182" i="52103" s="1"/>
  <c r="B82" i="52102"/>
  <c r="H82" i="110"/>
  <c r="J49" i="52100"/>
  <c r="G49" i="52102"/>
  <c r="B18" i="52102"/>
  <c r="H18" i="110"/>
  <c r="J197" i="48"/>
  <c r="F196" i="52084"/>
  <c r="J196" i="52084" s="1"/>
  <c r="F51" i="52067"/>
  <c r="D9" i="52083"/>
  <c r="H9" i="52097"/>
  <c r="G21" i="52067"/>
  <c r="H176" i="52097"/>
  <c r="D175" i="52083"/>
  <c r="J187" i="52079"/>
  <c r="F201" i="52079"/>
  <c r="J201" i="52079" s="1"/>
  <c r="J49" i="52064"/>
  <c r="C49" i="52098"/>
  <c r="C49" i="9"/>
  <c r="D87" i="52098"/>
  <c r="I87" i="52097"/>
  <c r="J190" i="52100"/>
  <c r="G190" i="52100"/>
  <c r="G189" i="52102"/>
  <c r="K189" i="52102" s="1"/>
  <c r="C243" i="52100"/>
  <c r="K185" i="52100"/>
  <c r="B144" i="52102"/>
  <c r="H144" i="110"/>
  <c r="I144" i="52102"/>
  <c r="H143" i="110"/>
  <c r="B143" i="52102"/>
  <c r="I143" i="52102"/>
  <c r="K143" i="52102" s="1"/>
  <c r="B145" i="52102"/>
  <c r="I145" i="52102"/>
  <c r="H145" i="110"/>
  <c r="B154" i="52100"/>
  <c r="C241" i="52100"/>
  <c r="K154" i="52100"/>
  <c r="H90" i="110"/>
  <c r="B90" i="52102"/>
  <c r="G73" i="52100"/>
  <c r="G73" i="52102"/>
  <c r="J73" i="52100"/>
  <c r="D136" i="52083"/>
  <c r="H136" i="52097"/>
  <c r="D177" i="52098"/>
  <c r="I178" i="52097"/>
  <c r="D75" i="52083"/>
  <c r="H75" i="52097"/>
  <c r="B75" i="9"/>
  <c r="K75" i="52098"/>
  <c r="B75" i="52098"/>
  <c r="G75" i="52098"/>
  <c r="M187" i="52097"/>
  <c r="J187" i="148"/>
  <c r="H187" i="52082"/>
  <c r="L187" i="52082" s="1"/>
  <c r="F201" i="148"/>
  <c r="J201" i="148" s="1"/>
  <c r="F19" i="52097"/>
  <c r="E19" i="52082"/>
  <c r="D125" i="52098"/>
  <c r="I125" i="52097"/>
  <c r="J118" i="21"/>
  <c r="F118" i="52098"/>
  <c r="F129" i="21"/>
  <c r="B176" i="111"/>
  <c r="C175" i="52075"/>
  <c r="C19" i="9"/>
  <c r="C19" i="52098"/>
  <c r="K114" i="52098"/>
  <c r="G114" i="52098"/>
  <c r="B114" i="9"/>
  <c r="G114" i="9" s="1"/>
  <c r="B114" i="52098"/>
  <c r="E161" i="52083"/>
  <c r="D162" i="52097"/>
  <c r="E174" i="52097"/>
  <c r="C174" i="52082"/>
  <c r="H163" i="52097"/>
  <c r="D162" i="52083"/>
  <c r="C11" i="52083"/>
  <c r="J11" i="52097"/>
  <c r="J147" i="52097"/>
  <c r="C147" i="52083"/>
  <c r="D77" i="52074"/>
  <c r="G77" i="111"/>
  <c r="C77" i="52102"/>
  <c r="J166" i="20"/>
  <c r="G166" i="20"/>
  <c r="F165" i="52074"/>
  <c r="J165" i="52074" s="1"/>
  <c r="D160" i="52074"/>
  <c r="G161" i="111"/>
  <c r="C160" i="52102"/>
  <c r="C162" i="52082"/>
  <c r="E162" i="52097"/>
  <c r="G98" i="52097"/>
  <c r="D98" i="52082"/>
  <c r="C17" i="52097"/>
  <c r="B17" i="52083"/>
  <c r="G172" i="233"/>
  <c r="E156" i="9"/>
  <c r="F168" i="52064"/>
  <c r="B207" i="52067"/>
  <c r="C32" i="52067"/>
  <c r="C33" i="52067" s="1"/>
  <c r="C51" i="52067"/>
  <c r="B211" i="52067"/>
  <c r="C46" i="52067"/>
  <c r="C47" i="52067" s="1"/>
  <c r="C220" i="52067"/>
  <c r="B215" i="52067"/>
  <c r="B212" i="52067"/>
  <c r="D170" i="52074"/>
  <c r="G171" i="111"/>
  <c r="C170" i="52102"/>
  <c r="J145" i="52089"/>
  <c r="L145" i="52089" s="1"/>
  <c r="P94" i="111"/>
  <c r="T94" i="111" s="1"/>
  <c r="J94" i="52091"/>
  <c r="L94" i="52091" s="1"/>
  <c r="D138" i="52076"/>
  <c r="I138" i="52076" s="1"/>
  <c r="K138" i="111"/>
  <c r="R138" i="111" s="1"/>
  <c r="H138" i="52077"/>
  <c r="J138" i="52077" s="1"/>
  <c r="H138" i="52076"/>
  <c r="D138" i="52077"/>
  <c r="I138" i="52077" s="1"/>
  <c r="L138" i="52077" s="1"/>
  <c r="J178" i="52095"/>
  <c r="G178" i="52095"/>
  <c r="G177" i="52075"/>
  <c r="K177" i="52075" s="1"/>
  <c r="P178" i="111"/>
  <c r="N152" i="111"/>
  <c r="E151" i="52075"/>
  <c r="C92" i="110"/>
  <c r="E92" i="52103"/>
  <c r="G73" i="48"/>
  <c r="J73" i="48" s="1"/>
  <c r="F73" i="52084"/>
  <c r="F155" i="52084"/>
  <c r="F168" i="48"/>
  <c r="F242" i="48" s="1"/>
  <c r="C91" i="52103"/>
  <c r="C91" i="52084"/>
  <c r="E91" i="110"/>
  <c r="G111" i="52094"/>
  <c r="J111" i="52094"/>
  <c r="F111" i="52077"/>
  <c r="J144" i="12"/>
  <c r="F144" i="52076"/>
  <c r="C16" i="52102"/>
  <c r="D16" i="52074"/>
  <c r="G16" i="111"/>
  <c r="G21" i="52089"/>
  <c r="J174" i="52089"/>
  <c r="G174" i="52089"/>
  <c r="D10" i="52083"/>
  <c r="H10" i="52097"/>
  <c r="J105" i="52091"/>
  <c r="L105" i="52091" s="1"/>
  <c r="F116" i="52091"/>
  <c r="L9" i="52082"/>
  <c r="H21" i="52082"/>
  <c r="B9" i="52082"/>
  <c r="B9" i="52097"/>
  <c r="G21" i="148"/>
  <c r="B180" i="52082"/>
  <c r="B180" i="52097"/>
  <c r="D170" i="52098"/>
  <c r="I171" i="52097"/>
  <c r="J172" i="52097"/>
  <c r="C171" i="52083"/>
  <c r="J107" i="12"/>
  <c r="G107" i="12"/>
  <c r="F107" i="52076"/>
  <c r="J177" i="20"/>
  <c r="G177" i="20"/>
  <c r="F176" i="52074"/>
  <c r="G176" i="52104"/>
  <c r="G164" i="12"/>
  <c r="J164" i="12"/>
  <c r="F163" i="52076"/>
  <c r="C148" i="52083"/>
  <c r="J148" i="52097"/>
  <c r="J105" i="52079"/>
  <c r="F116" i="52079"/>
  <c r="G183" i="77"/>
  <c r="J183" i="77"/>
  <c r="H201" i="52082"/>
  <c r="L201" i="52082" s="1"/>
  <c r="L189" i="52082"/>
  <c r="D13" i="52083"/>
  <c r="H13" i="52097"/>
  <c r="D94" i="52098"/>
  <c r="I94" i="52097"/>
  <c r="K185" i="52094"/>
  <c r="C243" i="52094"/>
  <c r="J187" i="52095"/>
  <c r="L187" i="52095" s="1"/>
  <c r="F201" i="52095"/>
  <c r="J201" i="52095" s="1"/>
  <c r="G186" i="52075"/>
  <c r="P187" i="111"/>
  <c r="G106" i="32"/>
  <c r="J106" i="32" s="1"/>
  <c r="J106" i="110"/>
  <c r="G106" i="233" s="1"/>
  <c r="J106" i="233" s="1"/>
  <c r="F129" i="91"/>
  <c r="F240" i="91" s="1"/>
  <c r="J118" i="91"/>
  <c r="G118" i="52103"/>
  <c r="F172" i="52084"/>
  <c r="N97" i="111"/>
  <c r="L97" i="52080"/>
  <c r="E97" i="52075"/>
  <c r="L136" i="52091"/>
  <c r="G174" i="20"/>
  <c r="J174" i="20"/>
  <c r="F173" i="52074"/>
  <c r="J173" i="52074" s="1"/>
  <c r="H19" i="111"/>
  <c r="D19" i="52075"/>
  <c r="F196" i="52077"/>
  <c r="C239" i="52093"/>
  <c r="B116" i="52093"/>
  <c r="K116" i="52093"/>
  <c r="L136" i="52080"/>
  <c r="L10" i="111"/>
  <c r="B10" i="52077"/>
  <c r="G21" i="52094"/>
  <c r="H10" i="52077"/>
  <c r="G64" i="52080"/>
  <c r="F70" i="52080"/>
  <c r="G174" i="52080"/>
  <c r="J174" i="52080"/>
  <c r="C242" i="52066"/>
  <c r="K168" i="52066"/>
  <c r="B168" i="52066"/>
  <c r="G85" i="32"/>
  <c r="J85" i="32"/>
  <c r="J85" i="110"/>
  <c r="L123" i="52066"/>
  <c r="J126" i="52089"/>
  <c r="G126" i="52089"/>
  <c r="D80" i="52104"/>
  <c r="B80" i="52074"/>
  <c r="D80" i="111"/>
  <c r="G111" i="52090"/>
  <c r="J111" i="52090"/>
  <c r="F157" i="52076"/>
  <c r="J158" i="52093"/>
  <c r="F194" i="52077"/>
  <c r="L194" i="52077" s="1"/>
  <c r="J195" i="52094"/>
  <c r="F92" i="52084"/>
  <c r="J92" i="52084" s="1"/>
  <c r="G92" i="48"/>
  <c r="J92" i="48"/>
  <c r="G76" i="52066"/>
  <c r="J76" i="52066"/>
  <c r="J142" i="52092"/>
  <c r="D90" i="52076"/>
  <c r="I90" i="52076" s="1"/>
  <c r="K90" i="111"/>
  <c r="D90" i="52077"/>
  <c r="I90" i="52077" s="1"/>
  <c r="K185" i="52093"/>
  <c r="C243" i="52093"/>
  <c r="G75" i="52089"/>
  <c r="J75" i="52089"/>
  <c r="J92" i="114"/>
  <c r="G92" i="114"/>
  <c r="F158" i="52074"/>
  <c r="J158" i="52074" s="1"/>
  <c r="P124" i="111"/>
  <c r="G124" i="233" s="1"/>
  <c r="G124" i="52075"/>
  <c r="K124" i="52075" s="1"/>
  <c r="J124" i="52095"/>
  <c r="L124" i="52095" s="1"/>
  <c r="G187" i="52103"/>
  <c r="K187" i="52103" s="1"/>
  <c r="F51" i="52092"/>
  <c r="G21" i="52092"/>
  <c r="J21" i="52092" s="1"/>
  <c r="J9" i="111"/>
  <c r="C9" i="52077"/>
  <c r="H9" i="52077"/>
  <c r="J109" i="111"/>
  <c r="H109" i="52077"/>
  <c r="J109" i="52077" s="1"/>
  <c r="C109" i="52077"/>
  <c r="L109" i="52077" s="1"/>
  <c r="L157" i="52093"/>
  <c r="B49" i="52095"/>
  <c r="C51" i="32"/>
  <c r="B207" i="32"/>
  <c r="C220" i="32"/>
  <c r="C32" i="32"/>
  <c r="C33" i="32" s="1"/>
  <c r="B211" i="32"/>
  <c r="B215" i="32"/>
  <c r="B212" i="32"/>
  <c r="C46" i="32"/>
  <c r="C47" i="32" s="1"/>
  <c r="J181" i="110"/>
  <c r="N181" i="110" s="1"/>
  <c r="G181" i="32"/>
  <c r="J181" i="32"/>
  <c r="J81" i="91"/>
  <c r="G81" i="91"/>
  <c r="G81" i="52103"/>
  <c r="G149" i="52103"/>
  <c r="D134" i="52102"/>
  <c r="D134" i="110"/>
  <c r="F149" i="52084"/>
  <c r="J149" i="52084" s="1"/>
  <c r="B149" i="52084"/>
  <c r="B149" i="52103"/>
  <c r="F149" i="110"/>
  <c r="H149" i="52084"/>
  <c r="J107" i="52072"/>
  <c r="G107" i="52072"/>
  <c r="B17" i="52097"/>
  <c r="B17" i="52082"/>
  <c r="I175" i="9"/>
  <c r="J64" i="108"/>
  <c r="F70" i="108"/>
  <c r="H147" i="9"/>
  <c r="C147" i="9"/>
  <c r="G147" i="9" s="1"/>
  <c r="I147" i="9" s="1"/>
  <c r="C147" i="52098"/>
  <c r="B80" i="52082"/>
  <c r="B80" i="52097"/>
  <c r="E76" i="52083"/>
  <c r="D76" i="52097"/>
  <c r="C93" i="52098"/>
  <c r="C93" i="9"/>
  <c r="K165" i="52098"/>
  <c r="B166" i="9"/>
  <c r="G165" i="52098"/>
  <c r="B165" i="52098"/>
  <c r="J101" i="52080"/>
  <c r="G101" i="52080"/>
  <c r="C166" i="111"/>
  <c r="C165" i="52074"/>
  <c r="E165" i="52104"/>
  <c r="K168" i="52089"/>
  <c r="C242" i="52089"/>
  <c r="B168" i="52089"/>
  <c r="C164" i="111"/>
  <c r="C163" i="52074"/>
  <c r="E163" i="52104"/>
  <c r="G163" i="52104"/>
  <c r="F94" i="52074"/>
  <c r="J94" i="52074" s="1"/>
  <c r="G94" i="20"/>
  <c r="J94" i="20"/>
  <c r="J187" i="52090"/>
  <c r="F201" i="52090"/>
  <c r="H135" i="52077"/>
  <c r="H135" i="52076"/>
  <c r="D135" i="52077"/>
  <c r="D135" i="52076"/>
  <c r="I135" i="52076" s="1"/>
  <c r="K135" i="111"/>
  <c r="R135" i="111" s="1"/>
  <c r="K168" i="52080"/>
  <c r="C242" i="52080"/>
  <c r="B168" i="52080"/>
  <c r="E151" i="52102"/>
  <c r="B152" i="110"/>
  <c r="G175" i="91"/>
  <c r="J175" i="91"/>
  <c r="G174" i="52103"/>
  <c r="K174" i="52103" s="1"/>
  <c r="J125" i="48"/>
  <c r="F125" i="52084"/>
  <c r="J125" i="52084" s="1"/>
  <c r="G125" i="48"/>
  <c r="J180" i="48"/>
  <c r="F179" i="52084"/>
  <c r="J179" i="52084" s="1"/>
  <c r="G180" i="48"/>
  <c r="I179" i="52103" s="1"/>
  <c r="C114" i="52103"/>
  <c r="E114" i="110"/>
  <c r="C114" i="52084"/>
  <c r="G162" i="52066"/>
  <c r="J162" i="52066"/>
  <c r="G87" i="52092"/>
  <c r="J87" i="52092"/>
  <c r="G82" i="52093"/>
  <c r="J82" i="52093" s="1"/>
  <c r="L82" i="52093" s="1"/>
  <c r="D99" i="52077"/>
  <c r="I99" i="52077" s="1"/>
  <c r="D99" i="52076"/>
  <c r="I99" i="52076" s="1"/>
  <c r="K99" i="111"/>
  <c r="J164" i="52093"/>
  <c r="G164" i="52093"/>
  <c r="B103" i="52094"/>
  <c r="K103" i="52094"/>
  <c r="C238" i="52094"/>
  <c r="C203" i="52094"/>
  <c r="B103" i="48"/>
  <c r="C238" i="48"/>
  <c r="C203" i="48"/>
  <c r="K103" i="48"/>
  <c r="L87" i="52066"/>
  <c r="L171" i="52066"/>
  <c r="L107" i="52092"/>
  <c r="K129" i="52093"/>
  <c r="B129" i="52093"/>
  <c r="C240" i="52093"/>
  <c r="E19" i="52102"/>
  <c r="B19" i="110"/>
  <c r="G91" i="32"/>
  <c r="J91" i="32"/>
  <c r="J91" i="110"/>
  <c r="E170" i="52102"/>
  <c r="B171" i="110"/>
  <c r="E165" i="52103"/>
  <c r="C166" i="110"/>
  <c r="L165" i="48"/>
  <c r="F165" i="110"/>
  <c r="H164" i="52084"/>
  <c r="B164" i="52103"/>
  <c r="B164" i="52084"/>
  <c r="C96" i="52103"/>
  <c r="E96" i="110"/>
  <c r="C96" i="52084"/>
  <c r="J124" i="52066"/>
  <c r="G124" i="52066"/>
  <c r="D84" i="52102"/>
  <c r="D84" i="110"/>
  <c r="I8" i="93"/>
  <c r="F20" i="93"/>
  <c r="G91" i="52072"/>
  <c r="G175" i="52072"/>
  <c r="J175" i="52072"/>
  <c r="C240" i="32"/>
  <c r="B129" i="32"/>
  <c r="K129" i="32"/>
  <c r="G74" i="52103"/>
  <c r="C74" i="110"/>
  <c r="E74" i="52103"/>
  <c r="I74" i="52103"/>
  <c r="B95" i="52072"/>
  <c r="H13" i="111"/>
  <c r="D13" i="52075"/>
  <c r="L190" i="52090"/>
  <c r="L75" i="52091"/>
  <c r="B13" i="52075"/>
  <c r="M13" i="111"/>
  <c r="P157" i="111"/>
  <c r="T157" i="111" s="1"/>
  <c r="G156" i="52075"/>
  <c r="K156" i="52075" s="1"/>
  <c r="J157" i="52095"/>
  <c r="J107" i="52080"/>
  <c r="G107" i="52080"/>
  <c r="J165" i="52080"/>
  <c r="L165" i="52080" s="1"/>
  <c r="N165" i="111"/>
  <c r="E164" i="52075"/>
  <c r="J144" i="32"/>
  <c r="J144" i="110"/>
  <c r="N144" i="110" s="1"/>
  <c r="G120" i="52103"/>
  <c r="K120" i="52103" s="1"/>
  <c r="J120" i="91"/>
  <c r="G181" i="52103"/>
  <c r="K181" i="52103" s="1"/>
  <c r="J182" i="110"/>
  <c r="N182" i="110" s="1"/>
  <c r="J182" i="91"/>
  <c r="G182" i="91"/>
  <c r="C240" i="48"/>
  <c r="K129" i="48"/>
  <c r="B129" i="48"/>
  <c r="L108" i="52092"/>
  <c r="C17" i="52077"/>
  <c r="J17" i="111"/>
  <c r="I76" i="52104"/>
  <c r="C76" i="111"/>
  <c r="L76" i="115"/>
  <c r="E76" i="52104"/>
  <c r="C76" i="52074"/>
  <c r="F142" i="52074"/>
  <c r="I142" i="52074" s="1"/>
  <c r="G98" i="52092"/>
  <c r="J98" i="52092"/>
  <c r="G111" i="52093"/>
  <c r="J111" i="52093"/>
  <c r="J124" i="52094"/>
  <c r="L124" i="52094" s="1"/>
  <c r="F124" i="52077"/>
  <c r="L124" i="52077" s="1"/>
  <c r="F180" i="52077"/>
  <c r="J181" i="52094"/>
  <c r="G181" i="52094"/>
  <c r="M16" i="111"/>
  <c r="B16" i="52075"/>
  <c r="J13" i="52084"/>
  <c r="G78" i="48"/>
  <c r="F78" i="52084"/>
  <c r="I78" i="52084" s="1"/>
  <c r="F95" i="52084"/>
  <c r="B173" i="52103"/>
  <c r="B173" i="52084"/>
  <c r="F174" i="110"/>
  <c r="C108" i="52084"/>
  <c r="C108" i="52103"/>
  <c r="E108" i="110"/>
  <c r="L164" i="52066"/>
  <c r="L12" i="111"/>
  <c r="B12" i="52077"/>
  <c r="H12" i="52077"/>
  <c r="J144" i="52094"/>
  <c r="F144" i="52077"/>
  <c r="G137" i="52075"/>
  <c r="K137" i="52075" s="1"/>
  <c r="J137" i="52095"/>
  <c r="P137" i="111"/>
  <c r="G176" i="52080"/>
  <c r="J176" i="52080"/>
  <c r="J76" i="110"/>
  <c r="E125" i="52102"/>
  <c r="B125" i="110"/>
  <c r="F161" i="52084"/>
  <c r="J187" i="52072"/>
  <c r="L187" i="52072" s="1"/>
  <c r="F201" i="52072"/>
  <c r="J201" i="52072" s="1"/>
  <c r="G164" i="52081"/>
  <c r="J164" i="52081"/>
  <c r="G177" i="52072"/>
  <c r="J177" i="52072"/>
  <c r="J75" i="52081"/>
  <c r="G75" i="52081"/>
  <c r="E19" i="52103"/>
  <c r="C19" i="110"/>
  <c r="G76" i="52103"/>
  <c r="C76" i="110"/>
  <c r="E76" i="52103"/>
  <c r="J84" i="91"/>
  <c r="L84" i="91" s="1"/>
  <c r="C84" i="110"/>
  <c r="E84" i="52103"/>
  <c r="G112" i="52103"/>
  <c r="G112" i="91"/>
  <c r="J112" i="91"/>
  <c r="C165" i="110"/>
  <c r="E164" i="52103"/>
  <c r="I164" i="52103"/>
  <c r="F162" i="52084"/>
  <c r="J143" i="52072"/>
  <c r="L124" i="52072"/>
  <c r="F185" i="52072"/>
  <c r="J170" i="52072"/>
  <c r="G170" i="52072"/>
  <c r="C242" i="148"/>
  <c r="B168" i="148"/>
  <c r="H67" i="9"/>
  <c r="I164" i="9"/>
  <c r="B149" i="52082"/>
  <c r="B149" i="52097"/>
  <c r="C143" i="9"/>
  <c r="C143" i="52098"/>
  <c r="C142" i="9"/>
  <c r="C142" i="52098"/>
  <c r="C141" i="9"/>
  <c r="C141" i="52098"/>
  <c r="C145" i="52098"/>
  <c r="C145" i="9"/>
  <c r="I101" i="9"/>
  <c r="I162" i="52098"/>
  <c r="B163" i="9"/>
  <c r="G163" i="9" s="1"/>
  <c r="B162" i="52098"/>
  <c r="K162" i="52098"/>
  <c r="G162" i="52098"/>
  <c r="J145" i="52064"/>
  <c r="J91" i="21"/>
  <c r="K91" i="52098"/>
  <c r="B91" i="52098"/>
  <c r="H91" i="52098" s="1"/>
  <c r="J91" i="52098" s="1"/>
  <c r="G91" i="52098"/>
  <c r="B91" i="9"/>
  <c r="G91" i="9" s="1"/>
  <c r="F101" i="52097"/>
  <c r="E101" i="52082"/>
  <c r="G17" i="52097"/>
  <c r="D17" i="52082"/>
  <c r="G13" i="52098"/>
  <c r="K13" i="52098"/>
  <c r="B13" i="9"/>
  <c r="B13" i="52098"/>
  <c r="I107" i="9"/>
  <c r="G143" i="233"/>
  <c r="G64" i="148"/>
  <c r="M64" i="52097"/>
  <c r="J64" i="148"/>
  <c r="H64" i="52082"/>
  <c r="F70" i="148"/>
  <c r="M118" i="52097"/>
  <c r="H118" i="52082"/>
  <c r="J118" i="148"/>
  <c r="F129" i="148"/>
  <c r="F240" i="148" s="1"/>
  <c r="C243" i="52088"/>
  <c r="C242" i="108"/>
  <c r="B168" i="108"/>
  <c r="E92" i="52097"/>
  <c r="C92" i="52082"/>
  <c r="I97" i="52098"/>
  <c r="J97" i="52098"/>
  <c r="B126" i="52082"/>
  <c r="B126" i="52097"/>
  <c r="G83" i="52092"/>
  <c r="B95" i="52093"/>
  <c r="G95" i="52093" s="1"/>
  <c r="J111" i="91"/>
  <c r="G111" i="91"/>
  <c r="G111" i="52103"/>
  <c r="J111" i="52103" s="1"/>
  <c r="G147" i="52103"/>
  <c r="J147" i="52103" s="1"/>
  <c r="G147" i="91"/>
  <c r="J147" i="91"/>
  <c r="F159" i="52084"/>
  <c r="J159" i="52084" s="1"/>
  <c r="G99" i="52072"/>
  <c r="J99" i="52072"/>
  <c r="J176" i="110"/>
  <c r="N176" i="110" s="1"/>
  <c r="J176" i="32"/>
  <c r="G176" i="32"/>
  <c r="G67" i="91"/>
  <c r="J67" i="91"/>
  <c r="J249" i="91" s="1"/>
  <c r="G67" i="52103"/>
  <c r="D85" i="52102"/>
  <c r="D85" i="110"/>
  <c r="G183" i="52072"/>
  <c r="J183" i="52072"/>
  <c r="J174" i="52072"/>
  <c r="G174" i="52072"/>
  <c r="K185" i="52081"/>
  <c r="C243" i="52081"/>
  <c r="B95" i="52079"/>
  <c r="F94" i="52097"/>
  <c r="E94" i="52082"/>
  <c r="D87" i="52075"/>
  <c r="H87" i="111"/>
  <c r="L181" i="52091"/>
  <c r="F190" i="52077"/>
  <c r="J136" i="32"/>
  <c r="J136" i="110"/>
  <c r="N136" i="110" s="1"/>
  <c r="L100" i="91"/>
  <c r="G177" i="52103"/>
  <c r="K177" i="52103" s="1"/>
  <c r="D28" i="48"/>
  <c r="C44" i="48"/>
  <c r="C226" i="48" s="1"/>
  <c r="J87" i="48"/>
  <c r="G87" i="48"/>
  <c r="F87" i="52084"/>
  <c r="J87" i="52084" s="1"/>
  <c r="J190" i="48"/>
  <c r="F189" i="52084"/>
  <c r="J189" i="52084" s="1"/>
  <c r="C111" i="52103"/>
  <c r="C111" i="52084"/>
  <c r="E111" i="110"/>
  <c r="J178" i="52066"/>
  <c r="G178" i="52066"/>
  <c r="J133" i="52094"/>
  <c r="F133" i="52077"/>
  <c r="F139" i="52077"/>
  <c r="J139" i="52094"/>
  <c r="C46" i="52095"/>
  <c r="C47" i="52095" s="1"/>
  <c r="C219" i="52095"/>
  <c r="C226" i="52095"/>
  <c r="J94" i="52095"/>
  <c r="G94" i="52075"/>
  <c r="K94" i="52075" s="1"/>
  <c r="G94" i="52095"/>
  <c r="J183" i="52095"/>
  <c r="G182" i="52075"/>
  <c r="K182" i="52075" s="1"/>
  <c r="G183" i="52095"/>
  <c r="P183" i="111"/>
  <c r="T183" i="111" s="1"/>
  <c r="C226" i="52080"/>
  <c r="C219" i="52080"/>
  <c r="J81" i="52080"/>
  <c r="G81" i="52080"/>
  <c r="N99" i="111"/>
  <c r="E99" i="52075"/>
  <c r="K201" i="52080"/>
  <c r="D18" i="52075"/>
  <c r="H18" i="111"/>
  <c r="L140" i="52091"/>
  <c r="C75" i="52075"/>
  <c r="B75" i="111"/>
  <c r="L80" i="52091"/>
  <c r="L195" i="52091"/>
  <c r="K129" i="52092"/>
  <c r="C240" i="52092"/>
  <c r="B129" i="52092"/>
  <c r="C97" i="110"/>
  <c r="E97" i="52103"/>
  <c r="C177" i="110"/>
  <c r="E176" i="52103"/>
  <c r="F74" i="52084"/>
  <c r="B91" i="52103"/>
  <c r="F91" i="110"/>
  <c r="B91" i="52084"/>
  <c r="H91" i="52084"/>
  <c r="J91" i="52084" s="1"/>
  <c r="C94" i="52084"/>
  <c r="C94" i="52103"/>
  <c r="E94" i="110"/>
  <c r="L160" i="52066"/>
  <c r="L195" i="52092"/>
  <c r="L183" i="52094"/>
  <c r="G139" i="52075"/>
  <c r="K139" i="52075" s="1"/>
  <c r="G179" i="52075"/>
  <c r="K179" i="52075" s="1"/>
  <c r="J180" i="52080"/>
  <c r="G180" i="52080"/>
  <c r="B17" i="110"/>
  <c r="E17" i="52102"/>
  <c r="G144" i="52103"/>
  <c r="K144" i="52103" s="1"/>
  <c r="J144" i="91"/>
  <c r="C225" i="52066"/>
  <c r="C53" i="52066"/>
  <c r="C54" i="52066" s="1"/>
  <c r="C62" i="52066"/>
  <c r="C233" i="52066"/>
  <c r="D147" i="110"/>
  <c r="D147" i="52102"/>
  <c r="G194" i="52103"/>
  <c r="K194" i="52103" s="1"/>
  <c r="G98" i="52072"/>
  <c r="J98" i="52072"/>
  <c r="G125" i="52072"/>
  <c r="J125" i="52072"/>
  <c r="G172" i="52072"/>
  <c r="J172" i="52072"/>
  <c r="C46" i="148"/>
  <c r="C47" i="148" s="1"/>
  <c r="B211" i="148"/>
  <c r="B212" i="148"/>
  <c r="C220" i="148"/>
  <c r="C51" i="148"/>
  <c r="B215" i="148"/>
  <c r="C32" i="148"/>
  <c r="C33" i="148" s="1"/>
  <c r="B207" i="148"/>
  <c r="B100" i="52082"/>
  <c r="B100" i="52097"/>
  <c r="C82" i="9"/>
  <c r="C82" i="52098"/>
  <c r="B133" i="52082"/>
  <c r="B133" i="52097"/>
  <c r="G154" i="148"/>
  <c r="J187" i="52087"/>
  <c r="F201" i="52087"/>
  <c r="J201" i="52087" s="1"/>
  <c r="B151" i="52098"/>
  <c r="B152" i="9"/>
  <c r="G151" i="52098"/>
  <c r="K151" i="52098"/>
  <c r="B9" i="9"/>
  <c r="G9" i="52098"/>
  <c r="K9" i="52098"/>
  <c r="B9" i="52098"/>
  <c r="G21" i="21"/>
  <c r="B19" i="9"/>
  <c r="G19" i="9" s="1"/>
  <c r="B19" i="52098"/>
  <c r="K19" i="52098"/>
  <c r="G19" i="52098"/>
  <c r="B82" i="52097"/>
  <c r="B82" i="52082"/>
  <c r="G144" i="52098"/>
  <c r="B144" i="52098"/>
  <c r="B144" i="9"/>
  <c r="K144" i="52098"/>
  <c r="B143" i="52098"/>
  <c r="K143" i="52098"/>
  <c r="G143" i="52098"/>
  <c r="B143" i="9"/>
  <c r="G143" i="9" s="1"/>
  <c r="B146" i="9"/>
  <c r="B146" i="52098"/>
  <c r="K146" i="52098"/>
  <c r="G146" i="52098"/>
  <c r="J142" i="21"/>
  <c r="B142" i="9"/>
  <c r="K142" i="52098"/>
  <c r="G142" i="52098"/>
  <c r="B142" i="52098"/>
  <c r="B175" i="52083"/>
  <c r="C176" i="52097"/>
  <c r="D78" i="52097"/>
  <c r="E78" i="52083"/>
  <c r="F125" i="52097"/>
  <c r="E125" i="52082"/>
  <c r="C151" i="52098"/>
  <c r="C152" i="9"/>
  <c r="B82" i="52098"/>
  <c r="B82" i="9"/>
  <c r="G82" i="9" s="1"/>
  <c r="K82" i="52098"/>
  <c r="C80" i="52097"/>
  <c r="B80" i="52083"/>
  <c r="G107" i="52097"/>
  <c r="D107" i="52082"/>
  <c r="G116" i="101"/>
  <c r="C243" i="105"/>
  <c r="G18" i="52098"/>
  <c r="C18" i="9"/>
  <c r="C18" i="52098"/>
  <c r="I18" i="9"/>
  <c r="G18" i="233"/>
  <c r="K18" i="233" s="1"/>
  <c r="B98" i="9"/>
  <c r="G98" i="9" s="1"/>
  <c r="B98" i="52098"/>
  <c r="K98" i="52098"/>
  <c r="G98" i="52098"/>
  <c r="G172" i="52098"/>
  <c r="C172" i="52098"/>
  <c r="C173" i="9"/>
  <c r="C178" i="52097"/>
  <c r="B177" i="52083"/>
  <c r="B154" i="108"/>
  <c r="C241" i="108"/>
  <c r="E146" i="52083"/>
  <c r="D146" i="52097"/>
  <c r="E142" i="52083"/>
  <c r="D142" i="52097"/>
  <c r="E144" i="52083"/>
  <c r="D144" i="52097"/>
  <c r="B147" i="52097"/>
  <c r="O147" i="52097" s="1"/>
  <c r="B147" i="52082"/>
  <c r="F154" i="52072"/>
  <c r="F241" i="52072" s="1"/>
  <c r="G149" i="52072"/>
  <c r="J149" i="52072"/>
  <c r="C242" i="32"/>
  <c r="B168" i="32"/>
  <c r="K168" i="32"/>
  <c r="I138" i="52074"/>
  <c r="L91" i="115"/>
  <c r="I64" i="115"/>
  <c r="L64" i="115" s="1"/>
  <c r="I108" i="115"/>
  <c r="L108" i="115" s="1"/>
  <c r="I108" i="52074"/>
  <c r="J111" i="52104"/>
  <c r="I131" i="52074"/>
  <c r="I151" i="52074"/>
  <c r="I156" i="52087"/>
  <c r="I124" i="115"/>
  <c r="I105" i="52074"/>
  <c r="L183" i="115"/>
  <c r="S97" i="111"/>
  <c r="I96" i="52090"/>
  <c r="I90" i="52095"/>
  <c r="J113" i="52076"/>
  <c r="I113" i="52076"/>
  <c r="I145" i="77"/>
  <c r="L99" i="114"/>
  <c r="I129" i="12"/>
  <c r="E240" i="12"/>
  <c r="I240" i="12" s="1"/>
  <c r="I118" i="12"/>
  <c r="I112" i="52091"/>
  <c r="L112" i="52091" s="1"/>
  <c r="E243" i="52091"/>
  <c r="E240" i="52093"/>
  <c r="I150" i="52093"/>
  <c r="P141" i="52097"/>
  <c r="I77" i="52092"/>
  <c r="E242" i="52064"/>
  <c r="I168" i="52064"/>
  <c r="I156" i="52064"/>
  <c r="J113" i="52103"/>
  <c r="M113" i="52103" s="1"/>
  <c r="I100" i="52092"/>
  <c r="I99" i="48"/>
  <c r="F147" i="233"/>
  <c r="F25" i="233"/>
  <c r="J72" i="52102"/>
  <c r="F116" i="52102"/>
  <c r="F238" i="52102" s="1"/>
  <c r="I105" i="52089"/>
  <c r="I96" i="91"/>
  <c r="L96" i="91" s="1"/>
  <c r="J111" i="52083"/>
  <c r="M9" i="110"/>
  <c r="H77" i="9"/>
  <c r="F77" i="233"/>
  <c r="C88" i="9"/>
  <c r="C88" i="52098"/>
  <c r="H88" i="9"/>
  <c r="F88" i="233"/>
  <c r="E242" i="52066"/>
  <c r="I149" i="52093"/>
  <c r="J161" i="52103"/>
  <c r="E240" i="48"/>
  <c r="I141" i="48"/>
  <c r="J169" i="52075"/>
  <c r="F184" i="52075"/>
  <c r="H97" i="9"/>
  <c r="I77" i="52091"/>
  <c r="L77" i="52091" s="1"/>
  <c r="J73" i="52103"/>
  <c r="I129" i="21"/>
  <c r="E240" i="21"/>
  <c r="J148" i="52083"/>
  <c r="I112" i="52093"/>
  <c r="E241" i="148"/>
  <c r="I154" i="148"/>
  <c r="M144" i="110"/>
  <c r="E167" i="52084"/>
  <c r="I155" i="52084"/>
  <c r="I156" i="48"/>
  <c r="L162" i="48"/>
  <c r="E240" i="108"/>
  <c r="I129" i="108"/>
  <c r="I66" i="52093"/>
  <c r="L66" i="52093" s="1"/>
  <c r="K77" i="52082"/>
  <c r="I88" i="52072"/>
  <c r="L88" i="52072" s="1"/>
  <c r="I11" i="52074"/>
  <c r="S194" i="111"/>
  <c r="I192" i="52098"/>
  <c r="I21" i="101"/>
  <c r="E51" i="101"/>
  <c r="E32" i="101"/>
  <c r="E33" i="101" s="1"/>
  <c r="H12" i="9"/>
  <c r="F12" i="233"/>
  <c r="J12" i="233" s="1"/>
  <c r="J139" i="52104"/>
  <c r="I169" i="52084"/>
  <c r="E184" i="52084"/>
  <c r="E51" i="91"/>
  <c r="I21" i="91"/>
  <c r="E32" i="91"/>
  <c r="E33" i="91" s="1"/>
  <c r="F30" i="48"/>
  <c r="F36" i="48"/>
  <c r="F28" i="48"/>
  <c r="F35" i="48"/>
  <c r="E44" i="48"/>
  <c r="L83" i="91"/>
  <c r="P193" i="52097"/>
  <c r="I114" i="32"/>
  <c r="J83" i="52083"/>
  <c r="I74" i="52066"/>
  <c r="I95" i="21"/>
  <c r="I88" i="52091"/>
  <c r="L88" i="52091" s="1"/>
  <c r="L162" i="52093"/>
  <c r="L196" i="115"/>
  <c r="I116" i="91"/>
  <c r="E239" i="91"/>
  <c r="I161" i="48"/>
  <c r="H92" i="9"/>
  <c r="F92" i="233"/>
  <c r="J92" i="233" s="1"/>
  <c r="E51" i="114"/>
  <c r="I21" i="114"/>
  <c r="E32" i="114"/>
  <c r="E33" i="114" s="1"/>
  <c r="I21" i="52094"/>
  <c r="E51" i="52094"/>
  <c r="E32" i="52094"/>
  <c r="E33" i="52094" s="1"/>
  <c r="J8" i="52077"/>
  <c r="I8" i="52077"/>
  <c r="L8" i="52077" s="1"/>
  <c r="E21" i="52077"/>
  <c r="J192" i="52083"/>
  <c r="S146" i="111"/>
  <c r="L98" i="77"/>
  <c r="F36" i="52094"/>
  <c r="F28" i="52094"/>
  <c r="E44" i="52094"/>
  <c r="E46" i="52094" s="1"/>
  <c r="E47" i="52094" s="1"/>
  <c r="F30" i="52094"/>
  <c r="I49" i="52093"/>
  <c r="H168" i="93"/>
  <c r="J98" i="52103"/>
  <c r="M13" i="110"/>
  <c r="F187" i="233"/>
  <c r="P187" i="52097"/>
  <c r="L201" i="52097"/>
  <c r="K187" i="52082"/>
  <c r="G201" i="52082"/>
  <c r="K201" i="52082" s="1"/>
  <c r="J8" i="52083"/>
  <c r="F21" i="52083"/>
  <c r="M90" i="110"/>
  <c r="I66" i="52091"/>
  <c r="I95" i="48"/>
  <c r="E103" i="21"/>
  <c r="J123" i="52104"/>
  <c r="J196" i="52104"/>
  <c r="H164" i="9"/>
  <c r="L172" i="115"/>
  <c r="E103" i="52066"/>
  <c r="I70" i="52066"/>
  <c r="E243" i="12"/>
  <c r="I185" i="12"/>
  <c r="I158" i="52098"/>
  <c r="I15" i="52074"/>
  <c r="S13" i="111"/>
  <c r="J188" i="52075"/>
  <c r="S189" i="111"/>
  <c r="L176" i="91"/>
  <c r="J170" i="52083"/>
  <c r="J133" i="52104"/>
  <c r="L93" i="77"/>
  <c r="S196" i="111"/>
  <c r="V196" i="111"/>
  <c r="L75" i="52090"/>
  <c r="E243" i="32"/>
  <c r="J94" i="52102"/>
  <c r="J186" i="52102"/>
  <c r="F200" i="52102"/>
  <c r="E103" i="52079"/>
  <c r="I70" i="52079"/>
  <c r="L176" i="52089"/>
  <c r="E242" i="20"/>
  <c r="I157" i="20"/>
  <c r="L157" i="20" s="1"/>
  <c r="E243" i="52089"/>
  <c r="I201" i="52090"/>
  <c r="J158" i="52103"/>
  <c r="M158" i="52103" s="1"/>
  <c r="J156" i="52077"/>
  <c r="L156" i="52077" s="1"/>
  <c r="L166" i="91"/>
  <c r="J198" i="52103"/>
  <c r="L75" i="52066"/>
  <c r="E51" i="52090"/>
  <c r="I21" i="52090"/>
  <c r="E32" i="52090"/>
  <c r="E33" i="52090" s="1"/>
  <c r="H19" i="9"/>
  <c r="F19" i="233"/>
  <c r="J19" i="233" s="1"/>
  <c r="I193" i="52074"/>
  <c r="I188" i="52098"/>
  <c r="J91" i="52103"/>
  <c r="I201" i="52079"/>
  <c r="F35" i="52066"/>
  <c r="J95" i="52075"/>
  <c r="I76" i="12"/>
  <c r="I68" i="52090"/>
  <c r="I108" i="52077"/>
  <c r="J108" i="52077"/>
  <c r="L180" i="52094"/>
  <c r="I112" i="77"/>
  <c r="J141" i="52075"/>
  <c r="I160" i="12"/>
  <c r="I142" i="52094"/>
  <c r="I121" i="52076"/>
  <c r="J121" i="52076"/>
  <c r="I147" i="52090"/>
  <c r="I85" i="48"/>
  <c r="I162" i="52091"/>
  <c r="J170" i="52102"/>
  <c r="I149" i="52072"/>
  <c r="I100" i="32"/>
  <c r="I159" i="52098"/>
  <c r="I95" i="52091"/>
  <c r="I119" i="52089"/>
  <c r="I151" i="52084"/>
  <c r="M122" i="110"/>
  <c r="J120" i="52103"/>
  <c r="M120" i="52103" s="1"/>
  <c r="I179" i="52098"/>
  <c r="K122" i="52082"/>
  <c r="D88" i="52077"/>
  <c r="I88" i="52077" s="1"/>
  <c r="K88" i="111"/>
  <c r="D88" i="52076"/>
  <c r="I88" i="52076" s="1"/>
  <c r="J74" i="52102"/>
  <c r="I105" i="52064"/>
  <c r="J84" i="52102"/>
  <c r="I77" i="91"/>
  <c r="K9" i="52082"/>
  <c r="I105" i="108"/>
  <c r="I116" i="108"/>
  <c r="E239" i="108"/>
  <c r="I239" i="108" s="1"/>
  <c r="H66" i="9"/>
  <c r="H142" i="9"/>
  <c r="I148" i="52091"/>
  <c r="L148" i="52091" s="1"/>
  <c r="I119" i="52093"/>
  <c r="L119" i="52093" s="1"/>
  <c r="I156" i="52092"/>
  <c r="I138" i="52084"/>
  <c r="I11" i="52084"/>
  <c r="J161" i="52075"/>
  <c r="I159" i="52084"/>
  <c r="P150" i="52097"/>
  <c r="K150" i="52082"/>
  <c r="K78" i="52082"/>
  <c r="I129" i="110"/>
  <c r="I156" i="52091"/>
  <c r="L156" i="52091" s="1"/>
  <c r="J134" i="52102"/>
  <c r="M119" i="110"/>
  <c r="I141" i="32"/>
  <c r="J132" i="52075"/>
  <c r="H148" i="9"/>
  <c r="K108" i="52082"/>
  <c r="I64" i="52093"/>
  <c r="I77" i="52093"/>
  <c r="I105" i="52066"/>
  <c r="L76" i="91"/>
  <c r="I91" i="52091"/>
  <c r="L91" i="52091" s="1"/>
  <c r="E30" i="52084"/>
  <c r="E44" i="52084" s="1"/>
  <c r="I91" i="52072"/>
  <c r="J158" i="52083"/>
  <c r="F200" i="52083"/>
  <c r="J186" i="52083"/>
  <c r="I156" i="52098"/>
  <c r="S137" i="111"/>
  <c r="J123" i="52102"/>
  <c r="M123" i="52102"/>
  <c r="J192" i="52103"/>
  <c r="J162" i="52075"/>
  <c r="P189" i="52097"/>
  <c r="J156" i="52075"/>
  <c r="E243" i="108"/>
  <c r="I70" i="52091"/>
  <c r="E103" i="52091"/>
  <c r="I66" i="48"/>
  <c r="F70" i="52103"/>
  <c r="J64" i="52103"/>
  <c r="I88" i="52089"/>
  <c r="I106" i="52084"/>
  <c r="I15" i="52084"/>
  <c r="J162" i="52104"/>
  <c r="H81" i="9"/>
  <c r="F81" i="233"/>
  <c r="J163" i="52104"/>
  <c r="S11" i="111"/>
  <c r="J64" i="52102"/>
  <c r="F70" i="52102"/>
  <c r="J8" i="52104"/>
  <c r="M8" i="52104" s="1"/>
  <c r="F21" i="52104"/>
  <c r="I78" i="52098"/>
  <c r="F149" i="233"/>
  <c r="K198" i="52082"/>
  <c r="S199" i="111"/>
  <c r="L136" i="91"/>
  <c r="I85" i="32"/>
  <c r="F28" i="52093"/>
  <c r="I73" i="52084"/>
  <c r="I116" i="105"/>
  <c r="E239" i="105"/>
  <c r="I157" i="115"/>
  <c r="J136" i="52104"/>
  <c r="M136" i="52104"/>
  <c r="J189" i="52104"/>
  <c r="M189" i="52104"/>
  <c r="I157" i="52092"/>
  <c r="J193" i="52102"/>
  <c r="H159" i="9"/>
  <c r="F159" i="233"/>
  <c r="M123" i="110"/>
  <c r="L83" i="77"/>
  <c r="E243" i="114"/>
  <c r="L175" i="52090"/>
  <c r="L125" i="91"/>
  <c r="M16" i="110"/>
  <c r="M183" i="110"/>
  <c r="L178" i="91"/>
  <c r="I49" i="52084"/>
  <c r="P159" i="52097"/>
  <c r="I170" i="52074"/>
  <c r="M199" i="110"/>
  <c r="L98" i="52089"/>
  <c r="F30" i="52103"/>
  <c r="F44" i="52103" s="1"/>
  <c r="P163" i="52097"/>
  <c r="P49" i="52097"/>
  <c r="I49" i="148"/>
  <c r="I197" i="48"/>
  <c r="I49" i="114"/>
  <c r="L49" i="114" s="1"/>
  <c r="I201" i="21"/>
  <c r="E200" i="52098"/>
  <c r="J133" i="52083"/>
  <c r="J169" i="52103"/>
  <c r="F184" i="52103"/>
  <c r="S188" i="111"/>
  <c r="I157" i="52091"/>
  <c r="L157" i="52091" s="1"/>
  <c r="J13" i="52104"/>
  <c r="M13" i="52104" s="1"/>
  <c r="I198" i="52098"/>
  <c r="I192" i="52074"/>
  <c r="I159" i="52072"/>
  <c r="J186" i="52077"/>
  <c r="E200" i="52077"/>
  <c r="I201" i="52094"/>
  <c r="I187" i="52067"/>
  <c r="E242" i="32"/>
  <c r="I242" i="32" s="1"/>
  <c r="I168" i="32"/>
  <c r="L191" i="52094"/>
  <c r="I182" i="52084"/>
  <c r="J144" i="52083"/>
  <c r="H126" i="9"/>
  <c r="F126" i="233"/>
  <c r="E243" i="105"/>
  <c r="H107" i="9"/>
  <c r="F107" i="233"/>
  <c r="J9" i="52104"/>
  <c r="E51" i="115"/>
  <c r="I21" i="115"/>
  <c r="E238" i="148"/>
  <c r="E203" i="148"/>
  <c r="E242" i="52080"/>
  <c r="I114" i="52080"/>
  <c r="I95" i="52080"/>
  <c r="I67" i="52080"/>
  <c r="I249" i="52080" s="1"/>
  <c r="E241" i="52095"/>
  <c r="I156" i="52081"/>
  <c r="I87" i="52081"/>
  <c r="I68" i="52081"/>
  <c r="I165" i="52081"/>
  <c r="I126" i="52081"/>
  <c r="I67" i="52081"/>
  <c r="J158" i="52075"/>
  <c r="I83" i="52080"/>
  <c r="S110" i="111"/>
  <c r="J193" i="52083"/>
  <c r="I201" i="105"/>
  <c r="I124" i="52081"/>
  <c r="I105" i="52081"/>
  <c r="I173" i="52091"/>
  <c r="I156" i="52079"/>
  <c r="F174" i="233"/>
  <c r="J174" i="233" s="1"/>
  <c r="S174" i="111"/>
  <c r="I110" i="52094"/>
  <c r="J189" i="52103"/>
  <c r="M177" i="110"/>
  <c r="I94" i="52081"/>
  <c r="I173" i="52090"/>
  <c r="L173" i="52090" s="1"/>
  <c r="I141" i="52080"/>
  <c r="L141" i="52080" s="1"/>
  <c r="I172" i="52084"/>
  <c r="I149" i="52081"/>
  <c r="I133" i="52081"/>
  <c r="M91" i="110"/>
  <c r="E51" i="52081"/>
  <c r="I21" i="52081"/>
  <c r="E32" i="52081"/>
  <c r="E33" i="52081" s="1"/>
  <c r="I201" i="52095"/>
  <c r="I131" i="52081"/>
  <c r="L88" i="114"/>
  <c r="J105" i="52075"/>
  <c r="F116" i="52075"/>
  <c r="S105" i="111"/>
  <c r="J106" i="52075"/>
  <c r="I120" i="52076"/>
  <c r="J120" i="52076"/>
  <c r="I119" i="52076"/>
  <c r="J119" i="52076"/>
  <c r="J159" i="52077"/>
  <c r="I165" i="77"/>
  <c r="I118" i="114"/>
  <c r="E240" i="77"/>
  <c r="I129" i="77"/>
  <c r="I120" i="52072"/>
  <c r="L120" i="52072" s="1"/>
  <c r="J127" i="52103"/>
  <c r="E240" i="148"/>
  <c r="I129" i="148"/>
  <c r="I118" i="52072"/>
  <c r="L118" i="52072" s="1"/>
  <c r="J164" i="52102"/>
  <c r="K100" i="52082"/>
  <c r="J82" i="52075"/>
  <c r="L162" i="52094"/>
  <c r="E243" i="101"/>
  <c r="L160" i="52095"/>
  <c r="S160" i="111"/>
  <c r="V160" i="111" s="1"/>
  <c r="I91" i="77"/>
  <c r="L91" i="77" s="1"/>
  <c r="J77" i="52075"/>
  <c r="I120" i="52094"/>
  <c r="I67" i="52094"/>
  <c r="I249" i="52094" s="1"/>
  <c r="E116" i="52076"/>
  <c r="I105" i="12"/>
  <c r="L114" i="12"/>
  <c r="I76" i="114"/>
  <c r="L106" i="77"/>
  <c r="J88" i="77"/>
  <c r="L88" i="77" s="1"/>
  <c r="C88" i="52104"/>
  <c r="F88" i="111"/>
  <c r="C88" i="52076"/>
  <c r="I106" i="52077"/>
  <c r="L106" i="52077" s="1"/>
  <c r="J106" i="52077"/>
  <c r="I88" i="52090"/>
  <c r="I141" i="114"/>
  <c r="L158" i="52094"/>
  <c r="S99" i="111"/>
  <c r="L141" i="52094"/>
  <c r="I122" i="52090"/>
  <c r="I148" i="91"/>
  <c r="E240" i="52091"/>
  <c r="I114" i="114"/>
  <c r="I91" i="12"/>
  <c r="I66" i="52090"/>
  <c r="L73" i="52095"/>
  <c r="J179" i="52075"/>
  <c r="J176" i="52075"/>
  <c r="I177" i="52095"/>
  <c r="L68" i="77"/>
  <c r="I84" i="52090"/>
  <c r="P90" i="52097"/>
  <c r="L154" i="52097"/>
  <c r="O30" i="111"/>
  <c r="O44" i="111" s="1"/>
  <c r="P88" i="52097"/>
  <c r="P134" i="52097"/>
  <c r="L116" i="52097"/>
  <c r="S106" i="111"/>
  <c r="J88" i="52104"/>
  <c r="P96" i="52097"/>
  <c r="P132" i="52097"/>
  <c r="J120" i="52083"/>
  <c r="K161" i="52082"/>
  <c r="F35" i="52094"/>
  <c r="I70" i="52081"/>
  <c r="E103" i="52081"/>
  <c r="E241" i="52093"/>
  <c r="D185" i="9"/>
  <c r="H179" i="9"/>
  <c r="F30" i="114"/>
  <c r="L30" i="114" s="1"/>
  <c r="E44" i="114"/>
  <c r="E46" i="114" s="1"/>
  <c r="E47" i="114" s="1"/>
  <c r="E241" i="52072"/>
  <c r="I241" i="52072" s="1"/>
  <c r="I154" i="52072"/>
  <c r="J110" i="52103"/>
  <c r="I173" i="52081"/>
  <c r="M132" i="110"/>
  <c r="I161" i="52081"/>
  <c r="E241" i="52094"/>
  <c r="J131" i="52077"/>
  <c r="I131" i="52077"/>
  <c r="E153" i="52077"/>
  <c r="E239" i="52077" s="1"/>
  <c r="I120" i="52081"/>
  <c r="I80" i="114"/>
  <c r="M88" i="111"/>
  <c r="J88" i="52095"/>
  <c r="L88" i="52095" s="1"/>
  <c r="B88" i="52075"/>
  <c r="I88" i="52075"/>
  <c r="K88" i="52075" s="1"/>
  <c r="J134" i="52075"/>
  <c r="J145" i="52076"/>
  <c r="E242" i="101"/>
  <c r="I242" i="101" s="1"/>
  <c r="I168" i="101"/>
  <c r="S112" i="111"/>
  <c r="I112" i="52095"/>
  <c r="J135" i="52076"/>
  <c r="L180" i="91"/>
  <c r="I105" i="52090"/>
  <c r="L100" i="52095"/>
  <c r="I108" i="114"/>
  <c r="L108" i="114" s="1"/>
  <c r="J90" i="52083"/>
  <c r="J108" i="52075"/>
  <c r="F30" i="77"/>
  <c r="J151" i="52075"/>
  <c r="I142" i="77"/>
  <c r="I105" i="101"/>
  <c r="I67" i="12"/>
  <c r="I249" i="12" s="1"/>
  <c r="J109" i="52075"/>
  <c r="I168" i="52095"/>
  <c r="E242" i="52095"/>
  <c r="I242" i="52095" s="1"/>
  <c r="J155" i="52075"/>
  <c r="F167" i="52075"/>
  <c r="E242" i="12"/>
  <c r="I160" i="52090"/>
  <c r="L160" i="52090" s="1"/>
  <c r="I67" i="77"/>
  <c r="I249" i="77" s="1"/>
  <c r="I116" i="114"/>
  <c r="E239" i="114"/>
  <c r="J160" i="52075"/>
  <c r="L119" i="52095"/>
  <c r="I143" i="12"/>
  <c r="L143" i="12" s="1"/>
  <c r="E103" i="114"/>
  <c r="I109" i="52098"/>
  <c r="J134" i="52104"/>
  <c r="M134" i="52104" s="1"/>
  <c r="I138" i="52098"/>
  <c r="K111" i="52082"/>
  <c r="K180" i="52082"/>
  <c r="K106" i="52082"/>
  <c r="J165" i="52067"/>
  <c r="J122" i="52067"/>
  <c r="J84" i="52088"/>
  <c r="J100" i="101"/>
  <c r="J66" i="52067"/>
  <c r="J83" i="52067"/>
  <c r="C241" i="52071"/>
  <c r="B154" i="52071"/>
  <c r="I145" i="52097"/>
  <c r="D145" i="52098"/>
  <c r="I142" i="52097"/>
  <c r="D142" i="52098"/>
  <c r="H142" i="52098" s="1"/>
  <c r="J142" i="52098" s="1"/>
  <c r="I146" i="52097"/>
  <c r="D146" i="52098"/>
  <c r="C90" i="52097"/>
  <c r="B90" i="52083"/>
  <c r="D114" i="52082"/>
  <c r="G114" i="52097"/>
  <c r="J150" i="105"/>
  <c r="F134" i="52097"/>
  <c r="E134" i="52082"/>
  <c r="G154" i="52088"/>
  <c r="H84" i="52097"/>
  <c r="D84" i="52083"/>
  <c r="D114" i="52098"/>
  <c r="I114" i="52097"/>
  <c r="E100" i="52104"/>
  <c r="C100" i="52074"/>
  <c r="C100" i="111"/>
  <c r="J165" i="115"/>
  <c r="E164" i="52104"/>
  <c r="I164" i="52104"/>
  <c r="K164" i="52104" s="1"/>
  <c r="C164" i="52074"/>
  <c r="C165" i="111"/>
  <c r="C239" i="20"/>
  <c r="B116" i="20"/>
  <c r="K116" i="20"/>
  <c r="F168" i="20"/>
  <c r="F242" i="20" s="1"/>
  <c r="I156" i="20"/>
  <c r="F155" i="52074"/>
  <c r="I155" i="52074" s="1"/>
  <c r="G84" i="77"/>
  <c r="D152" i="52082"/>
  <c r="G152" i="52097"/>
  <c r="J105" i="52088"/>
  <c r="F116" i="52088"/>
  <c r="I105" i="52088"/>
  <c r="I86" i="52097"/>
  <c r="D86" i="52098"/>
  <c r="D160" i="52098"/>
  <c r="I161" i="52097"/>
  <c r="B161" i="111"/>
  <c r="C160" i="52075"/>
  <c r="D134" i="52082"/>
  <c r="G134" i="52097"/>
  <c r="D72" i="52083"/>
  <c r="H72" i="52097"/>
  <c r="G148" i="20"/>
  <c r="F148" i="52074"/>
  <c r="J148" i="20"/>
  <c r="I148" i="20"/>
  <c r="G150" i="12"/>
  <c r="L150" i="12" s="1"/>
  <c r="F150" i="52076"/>
  <c r="J150" i="12"/>
  <c r="J82" i="77"/>
  <c r="C82" i="52076"/>
  <c r="C82" i="52104"/>
  <c r="F82" i="111"/>
  <c r="F162" i="111"/>
  <c r="C161" i="52076"/>
  <c r="C161" i="52104"/>
  <c r="J118" i="52088"/>
  <c r="F129" i="52088"/>
  <c r="I118" i="52088"/>
  <c r="D88" i="52082"/>
  <c r="G88" i="52097"/>
  <c r="K85" i="52098"/>
  <c r="I85" i="52097"/>
  <c r="D85" i="52098"/>
  <c r="K66" i="52104"/>
  <c r="K116" i="115"/>
  <c r="C239" i="115"/>
  <c r="B116" i="115"/>
  <c r="G147" i="52104"/>
  <c r="J119" i="20"/>
  <c r="I119" i="20"/>
  <c r="L119" i="20" s="1"/>
  <c r="J173" i="20"/>
  <c r="I173" i="20"/>
  <c r="G173" i="20"/>
  <c r="F172" i="52074"/>
  <c r="I172" i="52074" s="1"/>
  <c r="B68" i="52104"/>
  <c r="E68" i="111"/>
  <c r="B68" i="52076"/>
  <c r="J99" i="77"/>
  <c r="L99" i="77" s="1"/>
  <c r="L66" i="52090"/>
  <c r="B154" i="105"/>
  <c r="C241" i="105"/>
  <c r="C144" i="52097"/>
  <c r="B144" i="52083"/>
  <c r="B145" i="52083"/>
  <c r="C145" i="52097"/>
  <c r="C143" i="52097"/>
  <c r="B143" i="52083"/>
  <c r="G82" i="52098"/>
  <c r="D82" i="52098"/>
  <c r="H82" i="52098" s="1"/>
  <c r="J82" i="52098" s="1"/>
  <c r="I82" i="52097"/>
  <c r="F82" i="52097"/>
  <c r="E82" i="52082"/>
  <c r="L141" i="114"/>
  <c r="J85" i="105"/>
  <c r="C242" i="52088"/>
  <c r="B168" i="52088"/>
  <c r="B114" i="52104"/>
  <c r="E114" i="111"/>
  <c r="B114" i="52076"/>
  <c r="H114" i="52076"/>
  <c r="C86" i="52104"/>
  <c r="F86" i="111"/>
  <c r="C86" i="52076"/>
  <c r="C150" i="52104"/>
  <c r="F150" i="111"/>
  <c r="C150" i="52076"/>
  <c r="G100" i="52090"/>
  <c r="J100" i="52090"/>
  <c r="J72" i="114"/>
  <c r="G72" i="114"/>
  <c r="G91" i="114"/>
  <c r="J91" i="114"/>
  <c r="D142" i="52083"/>
  <c r="H142" i="52097"/>
  <c r="B154" i="52067"/>
  <c r="C241" i="52067"/>
  <c r="H145" i="52097"/>
  <c r="D145" i="52083"/>
  <c r="H143" i="52097"/>
  <c r="D143" i="52083"/>
  <c r="D177" i="52082"/>
  <c r="G177" i="52097"/>
  <c r="C240" i="12"/>
  <c r="B129" i="12"/>
  <c r="K129" i="12"/>
  <c r="C125" i="52104"/>
  <c r="F125" i="111"/>
  <c r="C125" i="52076"/>
  <c r="L85" i="52090"/>
  <c r="B144" i="52077"/>
  <c r="L144" i="111"/>
  <c r="H144" i="52077"/>
  <c r="B142" i="52077"/>
  <c r="H142" i="52077"/>
  <c r="J142" i="52077" s="1"/>
  <c r="L142" i="111"/>
  <c r="L145" i="111"/>
  <c r="B145" i="52077"/>
  <c r="H145" i="52077"/>
  <c r="J145" i="52077" s="1"/>
  <c r="J131" i="52094"/>
  <c r="F154" i="52094"/>
  <c r="F131" i="52077"/>
  <c r="S165" i="111"/>
  <c r="J158" i="20"/>
  <c r="F157" i="52074"/>
  <c r="J157" i="52074" s="1"/>
  <c r="I158" i="20"/>
  <c r="L158" i="20" s="1"/>
  <c r="F73" i="111"/>
  <c r="C73" i="52076"/>
  <c r="C73" i="52104"/>
  <c r="G97" i="52090"/>
  <c r="J97" i="52090"/>
  <c r="C96" i="52075"/>
  <c r="B96" i="111"/>
  <c r="C84" i="52074"/>
  <c r="E84" i="52104"/>
  <c r="I84" i="52104"/>
  <c r="C84" i="111"/>
  <c r="L84" i="115"/>
  <c r="C150" i="111"/>
  <c r="C150" i="52074"/>
  <c r="E150" i="52104"/>
  <c r="L114" i="52090"/>
  <c r="L145" i="52090"/>
  <c r="G147" i="52097"/>
  <c r="D147" i="52082"/>
  <c r="C148" i="52082"/>
  <c r="E148" i="52097"/>
  <c r="H94" i="52097"/>
  <c r="D94" i="52083"/>
  <c r="K103" i="115"/>
  <c r="C238" i="115"/>
  <c r="B103" i="115"/>
  <c r="C203" i="115"/>
  <c r="J141" i="52067"/>
  <c r="J165" i="52087"/>
  <c r="I83" i="52097"/>
  <c r="D83" i="52098"/>
  <c r="H93" i="52097"/>
  <c r="D93" i="52083"/>
  <c r="L110" i="114"/>
  <c r="L144" i="20"/>
  <c r="B112" i="52104"/>
  <c r="H112" i="52076"/>
  <c r="J112" i="52076" s="1"/>
  <c r="B112" i="52076"/>
  <c r="E112" i="111"/>
  <c r="C240" i="52087"/>
  <c r="B129" i="52087"/>
  <c r="C240" i="52071"/>
  <c r="B129" i="52071"/>
  <c r="C239" i="52071"/>
  <c r="B116" i="52071"/>
  <c r="C91" i="111"/>
  <c r="C91" i="52074"/>
  <c r="I91" i="52104"/>
  <c r="K91" i="52104" s="1"/>
  <c r="E91" i="52104"/>
  <c r="K129" i="52090"/>
  <c r="B129" i="52090"/>
  <c r="C240" i="52090"/>
  <c r="C179" i="52075"/>
  <c r="B180" i="111"/>
  <c r="D91" i="52082"/>
  <c r="G91" i="52097"/>
  <c r="B146" i="52104"/>
  <c r="H146" i="52076"/>
  <c r="J146" i="52076" s="1"/>
  <c r="B146" i="52076"/>
  <c r="E146" i="111"/>
  <c r="K154" i="12"/>
  <c r="B154" i="12"/>
  <c r="C241" i="12"/>
  <c r="B141" i="52104"/>
  <c r="H141" i="52076"/>
  <c r="E141" i="111"/>
  <c r="B141" i="52076"/>
  <c r="B142" i="52076"/>
  <c r="E142" i="111"/>
  <c r="H142" i="52076"/>
  <c r="J142" i="52076" s="1"/>
  <c r="B142" i="52104"/>
  <c r="C146" i="52104"/>
  <c r="F146" i="111"/>
  <c r="C146" i="52076"/>
  <c r="C144" i="52104"/>
  <c r="F144" i="111"/>
  <c r="C144" i="52076"/>
  <c r="C145" i="52104"/>
  <c r="F145" i="111"/>
  <c r="C145" i="52076"/>
  <c r="C143" i="52104"/>
  <c r="C143" i="52076"/>
  <c r="F143" i="111"/>
  <c r="C73" i="52075"/>
  <c r="B73" i="111"/>
  <c r="E85" i="52104"/>
  <c r="C85" i="52074"/>
  <c r="C85" i="111"/>
  <c r="I85" i="52104"/>
  <c r="K85" i="52104" s="1"/>
  <c r="L85" i="115"/>
  <c r="G73" i="20"/>
  <c r="I73" i="20"/>
  <c r="J73" i="20"/>
  <c r="G99" i="20"/>
  <c r="F99" i="52074"/>
  <c r="J99" i="20"/>
  <c r="I99" i="20"/>
  <c r="J160" i="20"/>
  <c r="F159" i="52074"/>
  <c r="J159" i="52074" s="1"/>
  <c r="I160" i="20"/>
  <c r="L160" i="20" s="1"/>
  <c r="G64" i="12"/>
  <c r="L64" i="12" s="1"/>
  <c r="F64" i="52076"/>
  <c r="J64" i="12"/>
  <c r="F70" i="12"/>
  <c r="G100" i="12"/>
  <c r="F100" i="52076"/>
  <c r="G97" i="77"/>
  <c r="J97" i="77" s="1"/>
  <c r="J91" i="52088"/>
  <c r="J141" i="52071"/>
  <c r="C241" i="114"/>
  <c r="B154" i="114"/>
  <c r="K154" i="114"/>
  <c r="C141" i="52075"/>
  <c r="B141" i="111"/>
  <c r="G154" i="114"/>
  <c r="H152" i="114"/>
  <c r="L152" i="114" s="1"/>
  <c r="B142" i="111"/>
  <c r="C142" i="52075"/>
  <c r="J131" i="114"/>
  <c r="F154" i="114"/>
  <c r="I154" i="114" s="1"/>
  <c r="F138" i="52097"/>
  <c r="E138" i="52082"/>
  <c r="J138" i="52082" s="1"/>
  <c r="J161" i="52088"/>
  <c r="B129" i="115"/>
  <c r="K129" i="115"/>
  <c r="C240" i="115"/>
  <c r="H85" i="52074"/>
  <c r="B85" i="52074"/>
  <c r="D85" i="111"/>
  <c r="D85" i="52104"/>
  <c r="J85" i="52074"/>
  <c r="L142" i="77"/>
  <c r="J165" i="52090"/>
  <c r="L165" i="52090" s="1"/>
  <c r="F70" i="114"/>
  <c r="F103" i="114" s="1"/>
  <c r="G64" i="114"/>
  <c r="J64" i="114"/>
  <c r="G86" i="114"/>
  <c r="J86" i="114"/>
  <c r="I119" i="114"/>
  <c r="J119" i="114"/>
  <c r="L122" i="52082"/>
  <c r="J122" i="52088"/>
  <c r="D82" i="52083"/>
  <c r="H82" i="52097"/>
  <c r="K164" i="52098"/>
  <c r="D164" i="52098"/>
  <c r="I165" i="52097"/>
  <c r="C68" i="52104"/>
  <c r="F68" i="111"/>
  <c r="C68" i="52076"/>
  <c r="G77" i="114"/>
  <c r="D97" i="52104"/>
  <c r="D97" i="111"/>
  <c r="B97" i="52074"/>
  <c r="F97" i="52074"/>
  <c r="B66" i="52104"/>
  <c r="N66" i="52104" s="1"/>
  <c r="B66" i="52076"/>
  <c r="E66" i="111"/>
  <c r="H66" i="52076"/>
  <c r="G180" i="77"/>
  <c r="L180" i="77" s="1"/>
  <c r="J180" i="77"/>
  <c r="C239" i="52090"/>
  <c r="K116" i="52090"/>
  <c r="B116" i="52090"/>
  <c r="B76" i="52077"/>
  <c r="L76" i="111"/>
  <c r="G99" i="52094"/>
  <c r="J99" i="52094"/>
  <c r="F99" i="52077"/>
  <c r="L112" i="52095"/>
  <c r="B109" i="52104"/>
  <c r="E109" i="111"/>
  <c r="H109" i="52076"/>
  <c r="J109" i="52076" s="1"/>
  <c r="B109" i="52076"/>
  <c r="F168" i="114"/>
  <c r="J156" i="114"/>
  <c r="L156" i="114" s="1"/>
  <c r="G67" i="52104"/>
  <c r="C112" i="52074"/>
  <c r="I112" i="52104"/>
  <c r="K112" i="52104" s="1"/>
  <c r="C112" i="111"/>
  <c r="E112" i="52104"/>
  <c r="F82" i="52074"/>
  <c r="I82" i="52074" s="1"/>
  <c r="G82" i="20"/>
  <c r="J82" i="20" s="1"/>
  <c r="I82" i="20"/>
  <c r="I143" i="20"/>
  <c r="L143" i="20" s="1"/>
  <c r="J143" i="20"/>
  <c r="I82" i="52104"/>
  <c r="K82" i="52104" s="1"/>
  <c r="B82" i="52076"/>
  <c r="B82" i="52104"/>
  <c r="H82" i="52076"/>
  <c r="J82" i="52076" s="1"/>
  <c r="E82" i="111"/>
  <c r="C100" i="52076"/>
  <c r="C100" i="52104"/>
  <c r="F100" i="111"/>
  <c r="G82" i="52090"/>
  <c r="J82" i="52090"/>
  <c r="H82" i="52077"/>
  <c r="J82" i="52077" s="1"/>
  <c r="L82" i="111"/>
  <c r="B82" i="52077"/>
  <c r="G83" i="52094"/>
  <c r="L83" i="52094" s="1"/>
  <c r="J83" i="52094"/>
  <c r="F83" i="52077"/>
  <c r="J160" i="52094"/>
  <c r="F159" i="52077"/>
  <c r="L159" i="52077" s="1"/>
  <c r="G67" i="52075"/>
  <c r="J67" i="52075" s="1"/>
  <c r="G67" i="52095"/>
  <c r="P67" i="111"/>
  <c r="P141" i="111"/>
  <c r="D148" i="52103"/>
  <c r="D148" i="52084"/>
  <c r="G148" i="110"/>
  <c r="G95" i="101"/>
  <c r="J95" i="101"/>
  <c r="B129" i="114"/>
  <c r="K129" i="114"/>
  <c r="C240" i="114"/>
  <c r="K154" i="115"/>
  <c r="C241" i="115"/>
  <c r="B154" i="115"/>
  <c r="I146" i="52104"/>
  <c r="C146" i="111"/>
  <c r="C146" i="52074"/>
  <c r="E146" i="52104"/>
  <c r="E145" i="52104"/>
  <c r="C145" i="111"/>
  <c r="I145" i="52104"/>
  <c r="K145" i="52104" s="1"/>
  <c r="C145" i="52074"/>
  <c r="L145" i="115"/>
  <c r="C142" i="111"/>
  <c r="I142" i="52104"/>
  <c r="C142" i="52074"/>
  <c r="E142" i="52104"/>
  <c r="L142" i="115"/>
  <c r="J171" i="20"/>
  <c r="L171" i="20" s="1"/>
  <c r="B172" i="52104"/>
  <c r="B172" i="52076"/>
  <c r="E173" i="111"/>
  <c r="H172" i="52076"/>
  <c r="J105" i="52094"/>
  <c r="F116" i="52094"/>
  <c r="G105" i="52094"/>
  <c r="F105" i="52077"/>
  <c r="J138" i="52075"/>
  <c r="K138" i="52075"/>
  <c r="C161" i="111"/>
  <c r="E160" i="52104"/>
  <c r="C160" i="52074"/>
  <c r="B106" i="52074"/>
  <c r="D106" i="111"/>
  <c r="D106" i="52104"/>
  <c r="H106" i="52074"/>
  <c r="J106" i="52074" s="1"/>
  <c r="J161" i="12"/>
  <c r="L161" i="12" s="1"/>
  <c r="J85" i="77"/>
  <c r="L85" i="77" s="1"/>
  <c r="J83" i="114"/>
  <c r="C83" i="52075"/>
  <c r="B83" i="111"/>
  <c r="D100" i="52104"/>
  <c r="H100" i="52074"/>
  <c r="J100" i="52074" s="1"/>
  <c r="D100" i="111"/>
  <c r="B100" i="52074"/>
  <c r="L165" i="20"/>
  <c r="D164" i="52104"/>
  <c r="D165" i="111"/>
  <c r="B164" i="52074"/>
  <c r="H164" i="52074"/>
  <c r="J164" i="52074" s="1"/>
  <c r="G84" i="52104"/>
  <c r="J84" i="52104" s="1"/>
  <c r="G180" i="12"/>
  <c r="J180" i="12"/>
  <c r="F179" i="52076"/>
  <c r="G96" i="52075"/>
  <c r="P96" i="111"/>
  <c r="G96" i="52095"/>
  <c r="J96" i="52095"/>
  <c r="G173" i="52095"/>
  <c r="J173" i="52095"/>
  <c r="G172" i="52075"/>
  <c r="P173" i="111"/>
  <c r="J148" i="52094"/>
  <c r="F148" i="52077"/>
  <c r="G148" i="52094"/>
  <c r="G86" i="52075"/>
  <c r="M86" i="111"/>
  <c r="B86" i="52075"/>
  <c r="G64" i="52083"/>
  <c r="G70" i="52083" s="1"/>
  <c r="F70" i="105"/>
  <c r="J64" i="105"/>
  <c r="I64" i="105"/>
  <c r="F103" i="101"/>
  <c r="E86" i="52097"/>
  <c r="C86" i="52082"/>
  <c r="G84" i="52095"/>
  <c r="G84" i="52075"/>
  <c r="J84" i="52075" s="1"/>
  <c r="J84" i="52095"/>
  <c r="P84" i="111"/>
  <c r="G99" i="52081"/>
  <c r="J99" i="52081"/>
  <c r="G147" i="52081"/>
  <c r="J147" i="52081"/>
  <c r="K116" i="52081"/>
  <c r="C239" i="52081"/>
  <c r="B116" i="52081"/>
  <c r="K168" i="52081"/>
  <c r="C242" i="52081"/>
  <c r="B168" i="52081"/>
  <c r="G99" i="52090"/>
  <c r="J141" i="115"/>
  <c r="L141" i="115" s="1"/>
  <c r="G141" i="52104"/>
  <c r="K141" i="52104" s="1"/>
  <c r="G90" i="12"/>
  <c r="J90" i="12"/>
  <c r="F90" i="52076"/>
  <c r="P85" i="111"/>
  <c r="M85" i="111"/>
  <c r="B85" i="52075"/>
  <c r="I85" i="52075"/>
  <c r="J142" i="52095"/>
  <c r="G142" i="52075"/>
  <c r="K142" i="52075" s="1"/>
  <c r="C239" i="12"/>
  <c r="B116" i="12"/>
  <c r="K116" i="12"/>
  <c r="G114" i="52104"/>
  <c r="K114" i="52104" s="1"/>
  <c r="C114" i="52074"/>
  <c r="E114" i="52104"/>
  <c r="C114" i="111"/>
  <c r="I114" i="52104"/>
  <c r="F118" i="52074"/>
  <c r="F129" i="20"/>
  <c r="F240" i="20" s="1"/>
  <c r="J118" i="20"/>
  <c r="I118" i="20"/>
  <c r="L88" i="52090"/>
  <c r="P100" i="111"/>
  <c r="G100" i="233" s="1"/>
  <c r="J100" i="233" s="1"/>
  <c r="G100" i="52075"/>
  <c r="J108" i="52094"/>
  <c r="F108" i="52077"/>
  <c r="L108" i="52077" s="1"/>
  <c r="G72" i="52075"/>
  <c r="M72" i="111"/>
  <c r="B72" i="52075"/>
  <c r="I72" i="52075"/>
  <c r="G95" i="110"/>
  <c r="H95" i="52081"/>
  <c r="D95" i="52103"/>
  <c r="D95" i="52084"/>
  <c r="Q182" i="52097"/>
  <c r="G182" i="233"/>
  <c r="K182" i="233" s="1"/>
  <c r="C182" i="52097"/>
  <c r="B181" i="52083"/>
  <c r="C142" i="52082"/>
  <c r="E142" i="52097"/>
  <c r="J141" i="52087"/>
  <c r="E141" i="52097"/>
  <c r="C141" i="52082"/>
  <c r="C241" i="52087"/>
  <c r="B154" i="52087"/>
  <c r="C146" i="52082"/>
  <c r="E146" i="52097"/>
  <c r="K129" i="52095"/>
  <c r="B129" i="52095"/>
  <c r="C240" i="52095"/>
  <c r="L150" i="111"/>
  <c r="B150" i="52077"/>
  <c r="B144" i="52075"/>
  <c r="I144" i="52075"/>
  <c r="M144" i="111"/>
  <c r="K154" i="52095"/>
  <c r="B154" i="52095"/>
  <c r="C241" i="52095"/>
  <c r="M141" i="111"/>
  <c r="B141" i="52075"/>
  <c r="I141" i="52075"/>
  <c r="J131" i="52095"/>
  <c r="F154" i="52095"/>
  <c r="G131" i="52075"/>
  <c r="P131" i="111"/>
  <c r="B154" i="52081"/>
  <c r="K154" i="52081"/>
  <c r="C241" i="52081"/>
  <c r="G146" i="110"/>
  <c r="D146" i="52084"/>
  <c r="D146" i="52103"/>
  <c r="D143" i="52103"/>
  <c r="G143" i="110"/>
  <c r="D143" i="52084"/>
  <c r="D145" i="52103"/>
  <c r="D145" i="52084"/>
  <c r="G145" i="110"/>
  <c r="C242" i="101"/>
  <c r="B168" i="101"/>
  <c r="G119" i="52104"/>
  <c r="K119" i="52104" s="1"/>
  <c r="F119" i="52074"/>
  <c r="J119" i="52074" s="1"/>
  <c r="B85" i="111"/>
  <c r="C85" i="52075"/>
  <c r="G97" i="52075"/>
  <c r="K97" i="52075" s="1"/>
  <c r="L147" i="111"/>
  <c r="B147" i="52077"/>
  <c r="B106" i="52075"/>
  <c r="M106" i="111"/>
  <c r="D77" i="52104"/>
  <c r="D77" i="111"/>
  <c r="B77" i="52074"/>
  <c r="H77" i="52074"/>
  <c r="J77" i="52074" s="1"/>
  <c r="G77" i="77"/>
  <c r="L77" i="77" s="1"/>
  <c r="J77" i="77"/>
  <c r="J106" i="115"/>
  <c r="C106" i="111"/>
  <c r="E106" i="52104"/>
  <c r="I106" i="52104"/>
  <c r="C106" i="52074"/>
  <c r="F96" i="52074"/>
  <c r="G96" i="20"/>
  <c r="J96" i="20"/>
  <c r="I96" i="20"/>
  <c r="G78" i="12"/>
  <c r="J78" i="12"/>
  <c r="F78" i="52076"/>
  <c r="K129" i="77"/>
  <c r="C240" i="77"/>
  <c r="B129" i="77"/>
  <c r="C242" i="52095"/>
  <c r="B168" i="52095"/>
  <c r="K168" i="52095"/>
  <c r="G161" i="52097"/>
  <c r="D161" i="52082"/>
  <c r="C84" i="52097"/>
  <c r="B84" i="52083"/>
  <c r="G95" i="105"/>
  <c r="I95" i="105"/>
  <c r="G95" i="52083"/>
  <c r="J95" i="52083" s="1"/>
  <c r="J95" i="105"/>
  <c r="H193" i="110"/>
  <c r="L193" i="110" s="1"/>
  <c r="B192" i="52102"/>
  <c r="I192" i="52102"/>
  <c r="K192" i="52102" s="1"/>
  <c r="J181" i="52100"/>
  <c r="G181" i="52100"/>
  <c r="G180" i="52102"/>
  <c r="K180" i="52102" s="1"/>
  <c r="G173" i="52100"/>
  <c r="J173" i="52100"/>
  <c r="G172" i="52102"/>
  <c r="G162" i="52100"/>
  <c r="G161" i="52102"/>
  <c r="J162" i="52100"/>
  <c r="G150" i="52100"/>
  <c r="J150" i="52100"/>
  <c r="G150" i="52102"/>
  <c r="J142" i="110"/>
  <c r="J142" i="52100"/>
  <c r="L142" i="52100" s="1"/>
  <c r="G142" i="52102"/>
  <c r="L112" i="52100"/>
  <c r="L101" i="52100"/>
  <c r="L93" i="52100"/>
  <c r="L84" i="52100"/>
  <c r="C44" i="52100"/>
  <c r="E143" i="52102"/>
  <c r="B143" i="110"/>
  <c r="E146" i="52102"/>
  <c r="B146" i="110"/>
  <c r="E144" i="52102"/>
  <c r="B144" i="110"/>
  <c r="B142" i="110"/>
  <c r="E142" i="52102"/>
  <c r="C139" i="52097"/>
  <c r="B139" i="52083"/>
  <c r="C177" i="52082"/>
  <c r="E177" i="52097"/>
  <c r="K181" i="52098"/>
  <c r="G181" i="52098"/>
  <c r="D181" i="52098"/>
  <c r="H181" i="52098" s="1"/>
  <c r="I182" i="52097"/>
  <c r="H98" i="52097"/>
  <c r="D98" i="52083"/>
  <c r="J18" i="52097"/>
  <c r="C18" i="52083"/>
  <c r="I148" i="9"/>
  <c r="I96" i="9"/>
  <c r="B150" i="52097"/>
  <c r="B150" i="52082"/>
  <c r="H125" i="52097"/>
  <c r="D125" i="52083"/>
  <c r="I11" i="52097"/>
  <c r="D11" i="52098"/>
  <c r="D163" i="52098"/>
  <c r="I164" i="52097"/>
  <c r="L196" i="52100"/>
  <c r="L188" i="52100"/>
  <c r="L176" i="52100"/>
  <c r="L165" i="52100"/>
  <c r="J145" i="52100"/>
  <c r="L145" i="52100" s="1"/>
  <c r="G145" i="52102"/>
  <c r="K145" i="52102" s="1"/>
  <c r="G137" i="52100"/>
  <c r="J137" i="52100"/>
  <c r="G137" i="52102"/>
  <c r="K137" i="52102" s="1"/>
  <c r="J126" i="52100"/>
  <c r="G126" i="52100"/>
  <c r="G126" i="52102"/>
  <c r="K126" i="52102" s="1"/>
  <c r="C240" i="52100"/>
  <c r="B129" i="52100"/>
  <c r="K129" i="52100"/>
  <c r="L107" i="52100"/>
  <c r="L96" i="52100"/>
  <c r="L87" i="52100"/>
  <c r="L68" i="52100"/>
  <c r="H12" i="52097"/>
  <c r="D12" i="52083"/>
  <c r="H81" i="52097"/>
  <c r="D81" i="52083"/>
  <c r="J181" i="52097"/>
  <c r="C180" i="52083"/>
  <c r="I133" i="52097"/>
  <c r="G154" i="52071"/>
  <c r="D133" i="52098"/>
  <c r="B86" i="52098"/>
  <c r="B86" i="9"/>
  <c r="K86" i="52098"/>
  <c r="I126" i="9"/>
  <c r="B134" i="52082"/>
  <c r="B134" i="52097"/>
  <c r="F164" i="52097"/>
  <c r="E164" i="52082"/>
  <c r="G171" i="52097"/>
  <c r="D171" i="52082"/>
  <c r="C51" i="114"/>
  <c r="B207" i="114"/>
  <c r="C32" i="114"/>
  <c r="C220" i="114"/>
  <c r="B215" i="114"/>
  <c r="B211" i="114"/>
  <c r="B212" i="114"/>
  <c r="E9" i="111"/>
  <c r="H9" i="52076"/>
  <c r="B9" i="52076"/>
  <c r="G21" i="12"/>
  <c r="F139" i="52074"/>
  <c r="J139" i="52074" s="1"/>
  <c r="J139" i="20"/>
  <c r="L139" i="20" s="1"/>
  <c r="G82" i="52089"/>
  <c r="D98" i="52098"/>
  <c r="I98" i="52097"/>
  <c r="C94" i="52097"/>
  <c r="B94" i="52083"/>
  <c r="I94" i="52083" s="1"/>
  <c r="C92" i="9"/>
  <c r="C92" i="52098"/>
  <c r="D175" i="52082"/>
  <c r="G175" i="52097"/>
  <c r="J190" i="20"/>
  <c r="L190" i="20" s="1"/>
  <c r="F189" i="52074"/>
  <c r="J189" i="52074" s="1"/>
  <c r="D125" i="52074"/>
  <c r="G125" i="111"/>
  <c r="C125" i="52102"/>
  <c r="H94" i="111"/>
  <c r="D94" i="52075"/>
  <c r="P113" i="111"/>
  <c r="J113" i="52091"/>
  <c r="C12" i="52077"/>
  <c r="J12" i="111"/>
  <c r="G101" i="114"/>
  <c r="L101" i="114" s="1"/>
  <c r="J101" i="114"/>
  <c r="B182" i="52098"/>
  <c r="B183" i="9"/>
  <c r="K182" i="52098"/>
  <c r="G182" i="52098"/>
  <c r="B171" i="52098"/>
  <c r="H171" i="52098" s="1"/>
  <c r="G171" i="52098"/>
  <c r="K171" i="52098"/>
  <c r="B172" i="9"/>
  <c r="G172" i="9" s="1"/>
  <c r="B93" i="52082"/>
  <c r="B93" i="52097"/>
  <c r="C181" i="52097"/>
  <c r="B180" i="52083"/>
  <c r="G15" i="233"/>
  <c r="K15" i="233" s="1"/>
  <c r="I15" i="9"/>
  <c r="F171" i="52097"/>
  <c r="E171" i="52082"/>
  <c r="C162" i="52083"/>
  <c r="J163" i="52097"/>
  <c r="C238" i="20"/>
  <c r="C203" i="20"/>
  <c r="K103" i="20"/>
  <c r="B103" i="20"/>
  <c r="L139" i="77"/>
  <c r="L85" i="52089"/>
  <c r="L196" i="52089"/>
  <c r="C81" i="111"/>
  <c r="I81" i="52104"/>
  <c r="E81" i="52104"/>
  <c r="C81" i="52074"/>
  <c r="L174" i="77"/>
  <c r="D11" i="52075"/>
  <c r="H11" i="111"/>
  <c r="F135" i="52097"/>
  <c r="E135" i="52082"/>
  <c r="J135" i="52082" s="1"/>
  <c r="L135" i="52082" s="1"/>
  <c r="J164" i="52097"/>
  <c r="C163" i="52083"/>
  <c r="H163" i="52083" s="1"/>
  <c r="I108" i="9"/>
  <c r="G108" i="233"/>
  <c r="B125" i="52097"/>
  <c r="B125" i="52082"/>
  <c r="C100" i="52098"/>
  <c r="C100" i="9"/>
  <c r="C178" i="52082"/>
  <c r="E178" i="52097"/>
  <c r="C74" i="52083"/>
  <c r="J74" i="52097"/>
  <c r="J172" i="114"/>
  <c r="G172" i="114"/>
  <c r="F105" i="52098"/>
  <c r="F116" i="21"/>
  <c r="J105" i="21"/>
  <c r="C177" i="52098"/>
  <c r="C178" i="9"/>
  <c r="B176" i="52083"/>
  <c r="C177" i="52097"/>
  <c r="G140" i="52097"/>
  <c r="D140" i="52082"/>
  <c r="K129" i="52089"/>
  <c r="B129" i="52089"/>
  <c r="C240" i="52089"/>
  <c r="L94" i="114"/>
  <c r="L107" i="52089"/>
  <c r="G105" i="52080"/>
  <c r="F116" i="52080"/>
  <c r="J105" i="52080"/>
  <c r="J110" i="32"/>
  <c r="L110" i="32" s="1"/>
  <c r="J110" i="110"/>
  <c r="G162" i="32"/>
  <c r="J162" i="32"/>
  <c r="J162" i="110"/>
  <c r="L94" i="48"/>
  <c r="L124" i="48"/>
  <c r="L188" i="48"/>
  <c r="L74" i="52066"/>
  <c r="L133" i="52066"/>
  <c r="L176" i="52066"/>
  <c r="C10" i="52077"/>
  <c r="J10" i="111"/>
  <c r="J173" i="52092"/>
  <c r="L173" i="52092" s="1"/>
  <c r="J100" i="52093"/>
  <c r="L100" i="52093" s="1"/>
  <c r="L107" i="52094"/>
  <c r="L136" i="12"/>
  <c r="J76" i="77"/>
  <c r="L76" i="77" s="1"/>
  <c r="L91" i="52089"/>
  <c r="G170" i="52089"/>
  <c r="J170" i="52089"/>
  <c r="F185" i="52089"/>
  <c r="B207" i="52088"/>
  <c r="B212" i="52088"/>
  <c r="B211" i="52088"/>
  <c r="C51" i="52088"/>
  <c r="C46" i="52088"/>
  <c r="C47" i="52088" s="1"/>
  <c r="C32" i="52088"/>
  <c r="C33" i="52088" s="1"/>
  <c r="C220" i="52088"/>
  <c r="B215" i="52088"/>
  <c r="G174" i="52097"/>
  <c r="D174" i="52082"/>
  <c r="D94" i="52082"/>
  <c r="G94" i="52097"/>
  <c r="J138" i="52097"/>
  <c r="C138" i="52083"/>
  <c r="E90" i="52083"/>
  <c r="D90" i="52097"/>
  <c r="G49" i="52083"/>
  <c r="K49" i="52083" s="1"/>
  <c r="J49" i="105"/>
  <c r="F133" i="52074"/>
  <c r="J133" i="52074" s="1"/>
  <c r="J133" i="20"/>
  <c r="L133" i="20" s="1"/>
  <c r="C150" i="9"/>
  <c r="C150" i="52098"/>
  <c r="I81" i="9"/>
  <c r="D80" i="52082"/>
  <c r="G80" i="52097"/>
  <c r="D139" i="52083"/>
  <c r="H139" i="52097"/>
  <c r="E181" i="52097"/>
  <c r="C181" i="52082"/>
  <c r="C72" i="52083"/>
  <c r="J72" i="52097"/>
  <c r="G103" i="52079"/>
  <c r="I10" i="52097"/>
  <c r="D10" i="52098"/>
  <c r="L75" i="77"/>
  <c r="F75" i="111"/>
  <c r="C75" i="52076"/>
  <c r="C75" i="52104"/>
  <c r="D174" i="52074"/>
  <c r="G175" i="111"/>
  <c r="C174" i="52102"/>
  <c r="L114" i="52091"/>
  <c r="L157" i="115"/>
  <c r="D12" i="52097"/>
  <c r="E12" i="52083"/>
  <c r="C242" i="52079"/>
  <c r="B168" i="52079"/>
  <c r="C203" i="52079"/>
  <c r="C238" i="52079"/>
  <c r="B103" i="52079"/>
  <c r="C134" i="52083"/>
  <c r="J134" i="52097"/>
  <c r="D137" i="52098"/>
  <c r="I137" i="52097"/>
  <c r="G166" i="114"/>
  <c r="J166" i="114"/>
  <c r="C18" i="52082"/>
  <c r="E18" i="52097"/>
  <c r="G97" i="52089"/>
  <c r="J97" i="52089"/>
  <c r="C173" i="52075"/>
  <c r="B174" i="111"/>
  <c r="H129" i="52082"/>
  <c r="H240" i="52082" s="1"/>
  <c r="L119" i="52082"/>
  <c r="B176" i="52097"/>
  <c r="B176" i="52082"/>
  <c r="C85" i="52098"/>
  <c r="C85" i="9"/>
  <c r="F116" i="12"/>
  <c r="G111" i="12"/>
  <c r="J111" i="12"/>
  <c r="F111" i="52076"/>
  <c r="L81" i="52091"/>
  <c r="L175" i="52091"/>
  <c r="F70" i="52092"/>
  <c r="G64" i="52092"/>
  <c r="J64" i="52092"/>
  <c r="D14" i="52076"/>
  <c r="I14" i="52076" s="1"/>
  <c r="H14" i="52077"/>
  <c r="J14" i="52077" s="1"/>
  <c r="D14" i="52077"/>
  <c r="I14" i="52077" s="1"/>
  <c r="K14" i="111"/>
  <c r="D162" i="52076"/>
  <c r="I162" i="52076" s="1"/>
  <c r="K163" i="111"/>
  <c r="D162" i="52077"/>
  <c r="I162" i="52077" s="1"/>
  <c r="J123" i="52094"/>
  <c r="L123" i="52094" s="1"/>
  <c r="F123" i="52077"/>
  <c r="J174" i="52095"/>
  <c r="G174" i="52095"/>
  <c r="L174" i="52095" s="1"/>
  <c r="P174" i="111"/>
  <c r="T174" i="111" s="1"/>
  <c r="G173" i="52075"/>
  <c r="K173" i="52075" s="1"/>
  <c r="G91" i="52080"/>
  <c r="G150" i="32"/>
  <c r="J150" i="110"/>
  <c r="N18" i="111"/>
  <c r="E18" i="52075"/>
  <c r="D18" i="111"/>
  <c r="H18" i="52074"/>
  <c r="B18" i="52074"/>
  <c r="J133" i="12"/>
  <c r="L133" i="12" s="1"/>
  <c r="F133" i="52076"/>
  <c r="L181" i="115"/>
  <c r="C181" i="111"/>
  <c r="E180" i="52104"/>
  <c r="C180" i="52074"/>
  <c r="C103" i="52091"/>
  <c r="K16" i="111"/>
  <c r="D16" i="52076"/>
  <c r="I16" i="52076" s="1"/>
  <c r="D16" i="52077"/>
  <c r="I16" i="52077" s="1"/>
  <c r="L98" i="52095"/>
  <c r="M98" i="111"/>
  <c r="B98" i="52075"/>
  <c r="G98" i="233"/>
  <c r="L141" i="32"/>
  <c r="G99" i="52103"/>
  <c r="F97" i="52084"/>
  <c r="I97" i="52084" s="1"/>
  <c r="G97" i="48"/>
  <c r="J97" i="48"/>
  <c r="J195" i="48"/>
  <c r="L195" i="48" s="1"/>
  <c r="F194" i="52084"/>
  <c r="J194" i="52084" s="1"/>
  <c r="C92" i="52103"/>
  <c r="C92" i="52084"/>
  <c r="E92" i="110"/>
  <c r="B154" i="52092"/>
  <c r="K154" i="52092"/>
  <c r="C241" i="52092"/>
  <c r="J142" i="111"/>
  <c r="C142" i="52077"/>
  <c r="J141" i="111"/>
  <c r="C141" i="52077"/>
  <c r="J131" i="52092"/>
  <c r="F154" i="52092"/>
  <c r="C149" i="52077"/>
  <c r="J149" i="111"/>
  <c r="D78" i="52076"/>
  <c r="I78" i="52076" s="1"/>
  <c r="K78" i="111"/>
  <c r="D78" i="52077"/>
  <c r="I78" i="52077" s="1"/>
  <c r="B9" i="52075"/>
  <c r="M9" i="111"/>
  <c r="G21" i="52095"/>
  <c r="C243" i="52080"/>
  <c r="K185" i="52080"/>
  <c r="C83" i="110"/>
  <c r="E83" i="52103"/>
  <c r="G72" i="52072"/>
  <c r="J140" i="52072"/>
  <c r="G140" i="52072"/>
  <c r="E66" i="52102"/>
  <c r="B66" i="110"/>
  <c r="J66" i="110"/>
  <c r="M66" i="110" s="1"/>
  <c r="J126" i="32"/>
  <c r="G126" i="32"/>
  <c r="L126" i="32" s="1"/>
  <c r="J126" i="110"/>
  <c r="N126" i="110" s="1"/>
  <c r="C82" i="110"/>
  <c r="E82" i="52103"/>
  <c r="C10" i="52103"/>
  <c r="C10" i="52084"/>
  <c r="E10" i="110"/>
  <c r="L10" i="110" s="1"/>
  <c r="C238" i="52072"/>
  <c r="K103" i="52072"/>
  <c r="C203" i="52072"/>
  <c r="B103" i="52072"/>
  <c r="G105" i="52072"/>
  <c r="J105" i="52072"/>
  <c r="F116" i="52072"/>
  <c r="D144" i="52102"/>
  <c r="D144" i="110"/>
  <c r="D142" i="52102"/>
  <c r="D142" i="110"/>
  <c r="D145" i="110"/>
  <c r="D145" i="52102"/>
  <c r="B129" i="52072"/>
  <c r="C240" i="52072"/>
  <c r="K129" i="52072"/>
  <c r="C32" i="20"/>
  <c r="C33" i="20" s="1"/>
  <c r="B207" i="20"/>
  <c r="C51" i="20"/>
  <c r="B215" i="20"/>
  <c r="C220" i="20"/>
  <c r="B212" i="20"/>
  <c r="B211" i="20"/>
  <c r="C243" i="115"/>
  <c r="K185" i="115"/>
  <c r="I9" i="52074"/>
  <c r="F21" i="52074"/>
  <c r="J9" i="52074"/>
  <c r="F51" i="20"/>
  <c r="J21" i="20"/>
  <c r="L81" i="12"/>
  <c r="J140" i="32"/>
  <c r="L140" i="32" s="1"/>
  <c r="J140" i="110"/>
  <c r="N140" i="110" s="1"/>
  <c r="G172" i="91"/>
  <c r="J172" i="91"/>
  <c r="G171" i="52103"/>
  <c r="K171" i="52103" s="1"/>
  <c r="F98" i="52084"/>
  <c r="J98" i="52084" s="1"/>
  <c r="G98" i="48"/>
  <c r="J98" i="48"/>
  <c r="F180" i="52084"/>
  <c r="J180" i="52084" s="1"/>
  <c r="J181" i="48"/>
  <c r="G181" i="48"/>
  <c r="J80" i="52066"/>
  <c r="G80" i="52066"/>
  <c r="G147" i="52066"/>
  <c r="C84" i="52077"/>
  <c r="J84" i="111"/>
  <c r="L94" i="52093"/>
  <c r="D173" i="52076"/>
  <c r="I173" i="52076" s="1"/>
  <c r="K174" i="111"/>
  <c r="D173" i="52077"/>
  <c r="L174" i="52093"/>
  <c r="L166" i="52094"/>
  <c r="J73" i="52080"/>
  <c r="L73" i="52080" s="1"/>
  <c r="J100" i="52089"/>
  <c r="L100" i="52089" s="1"/>
  <c r="C10" i="111"/>
  <c r="C10" i="52074"/>
  <c r="F175" i="52074"/>
  <c r="J175" i="52074" s="1"/>
  <c r="G176" i="20"/>
  <c r="L176" i="20" s="1"/>
  <c r="J176" i="20"/>
  <c r="J191" i="12"/>
  <c r="L191" i="12" s="1"/>
  <c r="F190" i="52076"/>
  <c r="G175" i="77"/>
  <c r="J175" i="77"/>
  <c r="C19" i="52102"/>
  <c r="G19" i="111"/>
  <c r="D19" i="52074"/>
  <c r="D150" i="52074"/>
  <c r="C150" i="52102"/>
  <c r="G150" i="111"/>
  <c r="D80" i="52075"/>
  <c r="H80" i="111"/>
  <c r="J147" i="110"/>
  <c r="G163" i="52103"/>
  <c r="G164" i="91"/>
  <c r="K185" i="48"/>
  <c r="C243" i="48"/>
  <c r="C176" i="52103"/>
  <c r="C176" i="52084"/>
  <c r="E177" i="110"/>
  <c r="C18" i="52077"/>
  <c r="J18" i="111"/>
  <c r="L81" i="52092"/>
  <c r="D80" i="52076"/>
  <c r="I80" i="52076" s="1"/>
  <c r="L80" i="52093"/>
  <c r="D80" i="52077"/>
  <c r="I80" i="52077" s="1"/>
  <c r="K80" i="111"/>
  <c r="L87" i="52094"/>
  <c r="J163" i="52095"/>
  <c r="L163" i="52095" s="1"/>
  <c r="P163" i="111"/>
  <c r="G163" i="233" s="1"/>
  <c r="J82" i="52080"/>
  <c r="L82" i="52080" s="1"/>
  <c r="L190" i="32"/>
  <c r="L133" i="91"/>
  <c r="C152" i="110"/>
  <c r="E151" i="52103"/>
  <c r="D74" i="110"/>
  <c r="D74" i="52102"/>
  <c r="G82" i="52072"/>
  <c r="J82" i="52072"/>
  <c r="D138" i="52102"/>
  <c r="D138" i="110"/>
  <c r="G36" i="93"/>
  <c r="I36" i="93"/>
  <c r="F70" i="93"/>
  <c r="G101" i="52072"/>
  <c r="L101" i="52072" s="1"/>
  <c r="J101" i="52072"/>
  <c r="F168" i="52072"/>
  <c r="J170" i="32"/>
  <c r="G170" i="32"/>
  <c r="J170" i="110"/>
  <c r="F185" i="32"/>
  <c r="F107" i="52084"/>
  <c r="J107" i="52084" s="1"/>
  <c r="J107" i="48"/>
  <c r="G107" i="48"/>
  <c r="I107" i="52103" s="1"/>
  <c r="D77" i="52102"/>
  <c r="D77" i="110"/>
  <c r="G111" i="52072"/>
  <c r="J111" i="52072"/>
  <c r="G139" i="52072"/>
  <c r="J139" i="52072"/>
  <c r="G108" i="52081"/>
  <c r="I178" i="93"/>
  <c r="F200" i="93"/>
  <c r="H149" i="9"/>
  <c r="L195" i="52100"/>
  <c r="F168" i="52100"/>
  <c r="G155" i="52102"/>
  <c r="G136" i="52100"/>
  <c r="L136" i="52100" s="1"/>
  <c r="J136" i="52100"/>
  <c r="G136" i="52102"/>
  <c r="K136" i="52102" s="1"/>
  <c r="G114" i="52100"/>
  <c r="J114" i="52100"/>
  <c r="G114" i="52102"/>
  <c r="G95" i="52100"/>
  <c r="J95" i="52100" s="1"/>
  <c r="F51" i="108"/>
  <c r="E9" i="52083"/>
  <c r="D9" i="52097"/>
  <c r="G21" i="108"/>
  <c r="C98" i="52083"/>
  <c r="J98" i="52097"/>
  <c r="H19" i="52097"/>
  <c r="D19" i="52083"/>
  <c r="J105" i="148"/>
  <c r="H105" i="52082"/>
  <c r="M105" i="52097"/>
  <c r="F116" i="148"/>
  <c r="H16" i="52097"/>
  <c r="D16" i="52083"/>
  <c r="G174" i="52100"/>
  <c r="J174" i="52100"/>
  <c r="G173" i="52102"/>
  <c r="K173" i="52102" s="1"/>
  <c r="G152" i="52100"/>
  <c r="J152" i="52100"/>
  <c r="G151" i="52102"/>
  <c r="K151" i="52102" s="1"/>
  <c r="L94" i="52100"/>
  <c r="F62" i="52079"/>
  <c r="F233" i="52079"/>
  <c r="J9" i="52097"/>
  <c r="C9" i="52083"/>
  <c r="G21" i="52079"/>
  <c r="J170" i="52071"/>
  <c r="G170" i="52071"/>
  <c r="F185" i="52071"/>
  <c r="D13" i="52082"/>
  <c r="G13" i="52097"/>
  <c r="B12" i="9"/>
  <c r="B12" i="52098"/>
  <c r="K12" i="52098"/>
  <c r="G12" i="52098"/>
  <c r="B18" i="52097"/>
  <c r="B18" i="52082"/>
  <c r="E14" i="111"/>
  <c r="B14" i="52076"/>
  <c r="H14" i="52076"/>
  <c r="J14" i="52076" s="1"/>
  <c r="G86" i="52089"/>
  <c r="J86" i="52089"/>
  <c r="H126" i="52097"/>
  <c r="D126" i="52083"/>
  <c r="B87" i="9"/>
  <c r="B87" i="52098"/>
  <c r="K87" i="52098"/>
  <c r="G87" i="52098"/>
  <c r="C126" i="52097"/>
  <c r="B126" i="52083"/>
  <c r="J170" i="108"/>
  <c r="F185" i="108"/>
  <c r="I185" i="108" s="1"/>
  <c r="G170" i="108"/>
  <c r="G178" i="52089"/>
  <c r="L178" i="52089" s="1"/>
  <c r="J178" i="52089"/>
  <c r="B125" i="111"/>
  <c r="C125" i="52075"/>
  <c r="G90" i="233"/>
  <c r="J90" i="233" s="1"/>
  <c r="B90" i="52082"/>
  <c r="B90" i="52097"/>
  <c r="G159" i="233"/>
  <c r="Q159" i="52097"/>
  <c r="C14" i="111"/>
  <c r="H14" i="52074"/>
  <c r="C14" i="52074"/>
  <c r="I74" i="52097"/>
  <c r="D74" i="52098"/>
  <c r="B18" i="9"/>
  <c r="B18" i="52098"/>
  <c r="K18" i="52098"/>
  <c r="G177" i="52098"/>
  <c r="B177" i="52098"/>
  <c r="H177" i="52098" s="1"/>
  <c r="B178" i="9"/>
  <c r="G178" i="9" s="1"/>
  <c r="K177" i="52098"/>
  <c r="J174" i="52097"/>
  <c r="C173" i="52083"/>
  <c r="J72" i="52089"/>
  <c r="J131" i="52091"/>
  <c r="F154" i="52091"/>
  <c r="I154" i="52091" s="1"/>
  <c r="B77" i="52098"/>
  <c r="B77" i="9"/>
  <c r="G77" i="9" s="1"/>
  <c r="K77" i="52098"/>
  <c r="G77" i="52098"/>
  <c r="D92" i="52097"/>
  <c r="E92" i="52083"/>
  <c r="C94" i="52098"/>
  <c r="C94" i="9"/>
  <c r="B148" i="52097"/>
  <c r="B148" i="52082"/>
  <c r="J148" i="52082" s="1"/>
  <c r="L148" i="52082" s="1"/>
  <c r="J145" i="52097"/>
  <c r="C145" i="52083"/>
  <c r="C142" i="52083"/>
  <c r="J142" i="52097"/>
  <c r="C144" i="52083"/>
  <c r="J144" i="52097"/>
  <c r="C143" i="52083"/>
  <c r="J143" i="52097"/>
  <c r="C243" i="52095"/>
  <c r="K185" i="52095"/>
  <c r="C51" i="52094"/>
  <c r="B207" i="52094"/>
  <c r="C32" i="52094"/>
  <c r="B212" i="52094"/>
  <c r="B215" i="52094"/>
  <c r="B211" i="52094"/>
  <c r="C220" i="52094"/>
  <c r="G183" i="20"/>
  <c r="J183" i="20"/>
  <c r="F182" i="52074"/>
  <c r="J182" i="52074" s="1"/>
  <c r="J187" i="52064"/>
  <c r="E187" i="9"/>
  <c r="F201" i="52064"/>
  <c r="J201" i="52064" s="1"/>
  <c r="I160" i="9"/>
  <c r="J86" i="52097"/>
  <c r="C86" i="52083"/>
  <c r="J107" i="20"/>
  <c r="F107" i="52074"/>
  <c r="J107" i="52074" s="1"/>
  <c r="G107" i="20"/>
  <c r="C243" i="52064"/>
  <c r="E126" i="52083"/>
  <c r="D126" i="52097"/>
  <c r="D81" i="52098"/>
  <c r="I81" i="52097"/>
  <c r="C107" i="52083"/>
  <c r="C116" i="52083" s="1"/>
  <c r="C238" i="52083" s="1"/>
  <c r="G116" i="52079"/>
  <c r="J107" i="52097"/>
  <c r="J116" i="52097" s="1"/>
  <c r="J239" i="52097" s="1"/>
  <c r="L74" i="20"/>
  <c r="J14" i="52074"/>
  <c r="L92" i="12"/>
  <c r="L178" i="77"/>
  <c r="J163" i="52089"/>
  <c r="L163" i="52089" s="1"/>
  <c r="B67" i="9"/>
  <c r="G67" i="9" s="1"/>
  <c r="G67" i="52098"/>
  <c r="B67" i="52098"/>
  <c r="H67" i="52098" s="1"/>
  <c r="J67" i="52098" s="1"/>
  <c r="K67" i="52098"/>
  <c r="E18" i="52083"/>
  <c r="D18" i="52097"/>
  <c r="D176" i="52098"/>
  <c r="I177" i="52097"/>
  <c r="G170" i="114"/>
  <c r="F185" i="114"/>
  <c r="J170" i="114"/>
  <c r="L77" i="52082"/>
  <c r="C87" i="52097"/>
  <c r="B87" i="52083"/>
  <c r="G66" i="52098"/>
  <c r="C66" i="52098"/>
  <c r="C66" i="9"/>
  <c r="K66" i="52098"/>
  <c r="G70" i="52064"/>
  <c r="G103" i="52064" s="1"/>
  <c r="G66" i="233"/>
  <c r="B166" i="52097"/>
  <c r="B166" i="52082"/>
  <c r="F182" i="52077"/>
  <c r="J183" i="52091"/>
  <c r="L183" i="52091" s="1"/>
  <c r="D81" i="52075"/>
  <c r="H81" i="111"/>
  <c r="F142" i="52076"/>
  <c r="J142" i="52093"/>
  <c r="L142" i="52093" s="1"/>
  <c r="K201" i="52094"/>
  <c r="L201" i="52094"/>
  <c r="E12" i="52075"/>
  <c r="N12" i="111"/>
  <c r="N13" i="110"/>
  <c r="G77" i="48"/>
  <c r="J77" i="48" s="1"/>
  <c r="F77" i="52084"/>
  <c r="I77" i="52084" s="1"/>
  <c r="G82" i="52066"/>
  <c r="J82" i="52066"/>
  <c r="G67" i="52092"/>
  <c r="J67" i="52092"/>
  <c r="J249" i="52092" s="1"/>
  <c r="D17" i="52077"/>
  <c r="I17" i="52077" s="1"/>
  <c r="K17" i="111"/>
  <c r="D17" i="52076"/>
  <c r="I17" i="52076" s="1"/>
  <c r="G87" i="52075"/>
  <c r="K87" i="52075" s="1"/>
  <c r="B87" i="52075"/>
  <c r="M87" i="111"/>
  <c r="J68" i="52080"/>
  <c r="G68" i="52080"/>
  <c r="G125" i="115"/>
  <c r="J125" i="115"/>
  <c r="F125" i="52074"/>
  <c r="J125" i="52074" s="1"/>
  <c r="G125" i="52104"/>
  <c r="K125" i="52104" s="1"/>
  <c r="D165" i="52075"/>
  <c r="L166" i="52090"/>
  <c r="H166" i="111"/>
  <c r="C243" i="20"/>
  <c r="K185" i="20"/>
  <c r="J187" i="12"/>
  <c r="L187" i="12" s="1"/>
  <c r="F186" i="52076"/>
  <c r="F201" i="12"/>
  <c r="J201" i="12" s="1"/>
  <c r="J170" i="52091"/>
  <c r="L170" i="52091" s="1"/>
  <c r="F185" i="52091"/>
  <c r="D10" i="52076"/>
  <c r="I10" i="52076" s="1"/>
  <c r="K10" i="111"/>
  <c r="D10" i="52077"/>
  <c r="I10" i="52077" s="1"/>
  <c r="F94" i="52077"/>
  <c r="L175" i="52066"/>
  <c r="L175" i="52093"/>
  <c r="L166" i="52095"/>
  <c r="L126" i="52080"/>
  <c r="L190" i="52066"/>
  <c r="J96" i="52072"/>
  <c r="L96" i="52072" s="1"/>
  <c r="G70" i="93"/>
  <c r="L98" i="32"/>
  <c r="F105" i="52084"/>
  <c r="I105" i="52084" s="1"/>
  <c r="G105" i="48"/>
  <c r="J105" i="48"/>
  <c r="F116" i="48"/>
  <c r="G166" i="48"/>
  <c r="J166" i="48"/>
  <c r="F165" i="52084"/>
  <c r="J165" i="52084" s="1"/>
  <c r="G75" i="52104"/>
  <c r="K75" i="52104" s="1"/>
  <c r="C75" i="52074"/>
  <c r="E75" i="52104"/>
  <c r="C75" i="111"/>
  <c r="G101" i="20"/>
  <c r="J101" i="20"/>
  <c r="F101" i="52074"/>
  <c r="J101" i="52074" s="1"/>
  <c r="H164" i="111"/>
  <c r="D163" i="52075"/>
  <c r="J99" i="111"/>
  <c r="C99" i="52077"/>
  <c r="K201" i="52093"/>
  <c r="L125" i="52095"/>
  <c r="L148" i="32"/>
  <c r="L174" i="91"/>
  <c r="L126" i="48"/>
  <c r="C107" i="52084"/>
  <c r="C107" i="52103"/>
  <c r="E107" i="110"/>
  <c r="L73" i="52094"/>
  <c r="J77" i="52080"/>
  <c r="L77" i="52080" s="1"/>
  <c r="C19" i="111"/>
  <c r="C19" i="52074"/>
  <c r="L93" i="12"/>
  <c r="C161" i="52102"/>
  <c r="G162" i="111"/>
  <c r="D161" i="52074"/>
  <c r="F168" i="52093"/>
  <c r="F242" i="52093" s="1"/>
  <c r="G21" i="52080"/>
  <c r="E14" i="52075"/>
  <c r="N14" i="111"/>
  <c r="G105" i="32"/>
  <c r="J105" i="110"/>
  <c r="F116" i="32"/>
  <c r="J105" i="32"/>
  <c r="J173" i="91"/>
  <c r="L173" i="91" s="1"/>
  <c r="E172" i="52103"/>
  <c r="C173" i="110"/>
  <c r="I172" i="52103"/>
  <c r="K172" i="52103" s="1"/>
  <c r="J85" i="52092"/>
  <c r="L85" i="52092" s="1"/>
  <c r="J133" i="52093"/>
  <c r="G133" i="52093"/>
  <c r="G141" i="52103"/>
  <c r="J141" i="52103" s="1"/>
  <c r="H106" i="52084"/>
  <c r="J106" i="52084" s="1"/>
  <c r="F106" i="110"/>
  <c r="B106" i="52084"/>
  <c r="B106" i="52103"/>
  <c r="J142" i="52072"/>
  <c r="J120" i="110"/>
  <c r="N120" i="110" s="1"/>
  <c r="G133" i="52072"/>
  <c r="L133" i="52072" s="1"/>
  <c r="J133" i="52072"/>
  <c r="J177" i="52081"/>
  <c r="G177" i="52081"/>
  <c r="D133" i="52097"/>
  <c r="G154" i="108"/>
  <c r="E133" i="52083"/>
  <c r="E74" i="52097"/>
  <c r="C74" i="52082"/>
  <c r="C219" i="52067"/>
  <c r="C226" i="52067"/>
  <c r="I188" i="9"/>
  <c r="I181" i="9"/>
  <c r="I84" i="9"/>
  <c r="B152" i="52097"/>
  <c r="B152" i="52082"/>
  <c r="J152" i="52082" s="1"/>
  <c r="D87" i="52074"/>
  <c r="C87" i="52102"/>
  <c r="G87" i="111"/>
  <c r="B11" i="52076"/>
  <c r="E11" i="111"/>
  <c r="H11" i="52076"/>
  <c r="J174" i="12"/>
  <c r="G174" i="12"/>
  <c r="F173" i="52076"/>
  <c r="D171" i="52075"/>
  <c r="H172" i="111"/>
  <c r="G103" i="52091"/>
  <c r="H95" i="52091"/>
  <c r="L95" i="52091" s="1"/>
  <c r="F109" i="52076"/>
  <c r="J192" i="52095"/>
  <c r="L192" i="52095" s="1"/>
  <c r="G191" i="52075"/>
  <c r="K191" i="52075" s="1"/>
  <c r="P192" i="111"/>
  <c r="T192" i="111" s="1"/>
  <c r="V192" i="111" s="1"/>
  <c r="G111" i="32"/>
  <c r="J111" i="32"/>
  <c r="J111" i="110"/>
  <c r="D95" i="52097"/>
  <c r="E95" i="52083"/>
  <c r="H95" i="108"/>
  <c r="F13" i="52097"/>
  <c r="E13" i="52082"/>
  <c r="F168" i="52071"/>
  <c r="G170" i="148"/>
  <c r="H170" i="52082"/>
  <c r="H185" i="52082" s="1"/>
  <c r="H243" i="52082" s="1"/>
  <c r="M170" i="52097"/>
  <c r="J170" i="148"/>
  <c r="F185" i="148"/>
  <c r="J161" i="52097"/>
  <c r="C160" i="52083"/>
  <c r="D93" i="52082"/>
  <c r="G93" i="52097"/>
  <c r="B197" i="52102"/>
  <c r="I197" i="52102"/>
  <c r="H198" i="110"/>
  <c r="L198" i="110" s="1"/>
  <c r="C166" i="52082"/>
  <c r="E166" i="52097"/>
  <c r="J177" i="52097"/>
  <c r="O177" i="52097" s="1"/>
  <c r="C176" i="52083"/>
  <c r="B154" i="52090"/>
  <c r="C241" i="52090"/>
  <c r="K154" i="52090"/>
  <c r="D146" i="52075"/>
  <c r="H146" i="111"/>
  <c r="H144" i="111"/>
  <c r="D144" i="52075"/>
  <c r="D142" i="52075"/>
  <c r="H142" i="111"/>
  <c r="J118" i="52064"/>
  <c r="E118" i="9"/>
  <c r="F129" i="52064"/>
  <c r="F240" i="52064" s="1"/>
  <c r="C87" i="52098"/>
  <c r="H87" i="52098" s="1"/>
  <c r="C87" i="9"/>
  <c r="I87" i="9"/>
  <c r="G78" i="111"/>
  <c r="D78" i="52074"/>
  <c r="C78" i="52102"/>
  <c r="D76" i="52098"/>
  <c r="I76" i="52097"/>
  <c r="G78" i="20"/>
  <c r="L78" i="20" s="1"/>
  <c r="J78" i="20"/>
  <c r="F78" i="52074"/>
  <c r="G84" i="52089"/>
  <c r="J84" i="52089"/>
  <c r="G97" i="114"/>
  <c r="J97" i="114"/>
  <c r="G137" i="52098"/>
  <c r="B137" i="9"/>
  <c r="K137" i="52098"/>
  <c r="B137" i="52098"/>
  <c r="H137" i="52098" s="1"/>
  <c r="D68" i="52097"/>
  <c r="E68" i="52083"/>
  <c r="G116" i="52083"/>
  <c r="K107" i="52083"/>
  <c r="C161" i="52083"/>
  <c r="J162" i="52097"/>
  <c r="J92" i="52097"/>
  <c r="C92" i="52083"/>
  <c r="G107" i="114"/>
  <c r="J107" i="114"/>
  <c r="B94" i="52097"/>
  <c r="B94" i="52082"/>
  <c r="F233" i="52064"/>
  <c r="F62" i="52064"/>
  <c r="I9" i="9"/>
  <c r="E21" i="9"/>
  <c r="G9" i="233"/>
  <c r="K9" i="233" s="1"/>
  <c r="G183" i="52097"/>
  <c r="D183" i="52082"/>
  <c r="C78" i="52083"/>
  <c r="J78" i="52097"/>
  <c r="G78" i="77"/>
  <c r="J78" i="77"/>
  <c r="I77" i="9"/>
  <c r="D174" i="52098"/>
  <c r="I175" i="52097"/>
  <c r="B95" i="12"/>
  <c r="G95" i="12" s="1"/>
  <c r="B207" i="12"/>
  <c r="C32" i="12"/>
  <c r="C51" i="12"/>
  <c r="B215" i="12"/>
  <c r="B212" i="12"/>
  <c r="C46" i="12"/>
  <c r="C47" i="12" s="1"/>
  <c r="C220" i="12"/>
  <c r="B211" i="12"/>
  <c r="F51" i="115"/>
  <c r="C9" i="52074"/>
  <c r="C9" i="111"/>
  <c r="G21" i="115"/>
  <c r="J21" i="115" s="1"/>
  <c r="L21" i="115" s="1"/>
  <c r="G125" i="52092"/>
  <c r="J125" i="52092"/>
  <c r="G172" i="52094"/>
  <c r="F171" i="52077"/>
  <c r="J172" i="52094"/>
  <c r="G109" i="52080"/>
  <c r="G96" i="48"/>
  <c r="J96" i="48" s="1"/>
  <c r="F96" i="52084"/>
  <c r="C17" i="52103"/>
  <c r="M17" i="52103" s="1"/>
  <c r="C17" i="52084"/>
  <c r="E17" i="110"/>
  <c r="H17" i="52084"/>
  <c r="G95" i="52089"/>
  <c r="F166" i="52097"/>
  <c r="E166" i="52082"/>
  <c r="D164" i="52082"/>
  <c r="G164" i="52097"/>
  <c r="E16" i="52097"/>
  <c r="C16" i="52082"/>
  <c r="H98" i="111"/>
  <c r="D98" i="52075"/>
  <c r="B176" i="9"/>
  <c r="G176" i="9" s="1"/>
  <c r="B175" i="52098"/>
  <c r="H175" i="52098" s="1"/>
  <c r="G175" i="52098"/>
  <c r="K175" i="52098"/>
  <c r="I195" i="9"/>
  <c r="G181" i="52097"/>
  <c r="D181" i="52082"/>
  <c r="J84" i="52097"/>
  <c r="C84" i="52083"/>
  <c r="G107" i="77"/>
  <c r="L107" i="77" s="1"/>
  <c r="J107" i="77"/>
  <c r="J170" i="77"/>
  <c r="G170" i="77"/>
  <c r="F185" i="77"/>
  <c r="C149" i="52082"/>
  <c r="E149" i="52097"/>
  <c r="C181" i="52075"/>
  <c r="I181" i="52075"/>
  <c r="B182" i="111"/>
  <c r="L182" i="114"/>
  <c r="J187" i="108"/>
  <c r="F201" i="108"/>
  <c r="J201" i="108" s="1"/>
  <c r="C17" i="52076"/>
  <c r="F17" i="111"/>
  <c r="C97" i="52077"/>
  <c r="J97" i="111"/>
  <c r="L144" i="52092"/>
  <c r="L75" i="52095"/>
  <c r="B75" i="52075"/>
  <c r="M75" i="111"/>
  <c r="I75" i="52075"/>
  <c r="P75" i="111"/>
  <c r="T75" i="111" s="1"/>
  <c r="G166" i="12"/>
  <c r="J166" i="12"/>
  <c r="F165" i="52076"/>
  <c r="D9" i="52075"/>
  <c r="H9" i="111"/>
  <c r="G21" i="52090"/>
  <c r="J123" i="12"/>
  <c r="L123" i="12" s="1"/>
  <c r="F123" i="52076"/>
  <c r="F21" i="52077"/>
  <c r="F233" i="52094"/>
  <c r="F62" i="52094"/>
  <c r="J196" i="52094"/>
  <c r="L196" i="52094" s="1"/>
  <c r="F195" i="52077"/>
  <c r="L195" i="52077" s="1"/>
  <c r="N9" i="111"/>
  <c r="E9" i="52075"/>
  <c r="D17" i="52102"/>
  <c r="D21" i="52102" s="1"/>
  <c r="D51" i="52102" s="1"/>
  <c r="D232" i="52102" s="1"/>
  <c r="D17" i="110"/>
  <c r="D21" i="110" s="1"/>
  <c r="D51" i="110" s="1"/>
  <c r="D233" i="110" s="1"/>
  <c r="G21" i="52072"/>
  <c r="J21" i="52072" s="1"/>
  <c r="L21" i="52072" s="1"/>
  <c r="G98" i="52080"/>
  <c r="J98" i="52080"/>
  <c r="G72" i="32"/>
  <c r="J72" i="110"/>
  <c r="M72" i="110" s="1"/>
  <c r="J72" i="32"/>
  <c r="J144" i="48"/>
  <c r="L144" i="48" s="1"/>
  <c r="F144" i="52084"/>
  <c r="J144" i="52084" s="1"/>
  <c r="D148" i="52102"/>
  <c r="D148" i="110"/>
  <c r="K106" i="52103"/>
  <c r="C106" i="110"/>
  <c r="E106" i="52103"/>
  <c r="I106" i="52103"/>
  <c r="J133" i="48"/>
  <c r="L133" i="48" s="1"/>
  <c r="F133" i="52084"/>
  <c r="I133" i="52084" s="1"/>
  <c r="C14" i="52103"/>
  <c r="C14" i="52084"/>
  <c r="H14" i="52084"/>
  <c r="J14" i="52084" s="1"/>
  <c r="E14" i="110"/>
  <c r="L14" i="110" s="1"/>
  <c r="D68" i="110"/>
  <c r="D68" i="52102"/>
  <c r="G163" i="52090"/>
  <c r="I162" i="52075" s="1"/>
  <c r="K162" i="52075" s="1"/>
  <c r="J174" i="115"/>
  <c r="G173" i="52104"/>
  <c r="K173" i="52104" s="1"/>
  <c r="G174" i="115"/>
  <c r="L174" i="115" s="1"/>
  <c r="J98" i="12"/>
  <c r="F98" i="52076"/>
  <c r="G98" i="12"/>
  <c r="J177" i="52090"/>
  <c r="G177" i="52090"/>
  <c r="C242" i="52091"/>
  <c r="K168" i="52091"/>
  <c r="B168" i="52091"/>
  <c r="L168" i="52091"/>
  <c r="D125" i="52076"/>
  <c r="I125" i="52076" s="1"/>
  <c r="D125" i="52077"/>
  <c r="I125" i="52077" s="1"/>
  <c r="L125" i="52093"/>
  <c r="K125" i="111"/>
  <c r="C176" i="52102"/>
  <c r="D176" i="52074"/>
  <c r="G177" i="111"/>
  <c r="J188" i="115"/>
  <c r="L188" i="115" s="1"/>
  <c r="G187" i="52104"/>
  <c r="K187" i="52104" s="1"/>
  <c r="G176" i="52090"/>
  <c r="J176" i="52090"/>
  <c r="F51" i="32"/>
  <c r="J21" i="32"/>
  <c r="L21" i="32" s="1"/>
  <c r="C175" i="52077"/>
  <c r="J176" i="111"/>
  <c r="J156" i="110"/>
  <c r="G73" i="52072"/>
  <c r="L73" i="52072" s="1"/>
  <c r="J73" i="52072"/>
  <c r="J137" i="52072"/>
  <c r="G137" i="52072"/>
  <c r="J98" i="52081"/>
  <c r="G98" i="52081"/>
  <c r="D82" i="52097"/>
  <c r="E82" i="52083"/>
  <c r="B124" i="52098"/>
  <c r="H124" i="52098" s="1"/>
  <c r="B124" i="9"/>
  <c r="G124" i="9" s="1"/>
  <c r="G124" i="52098"/>
  <c r="K124" i="52098"/>
  <c r="B107" i="52082"/>
  <c r="B107" i="52097"/>
  <c r="G116" i="148"/>
  <c r="E93" i="52083"/>
  <c r="I93" i="52083" s="1"/>
  <c r="K93" i="52083" s="1"/>
  <c r="D93" i="52097"/>
  <c r="J49" i="52080"/>
  <c r="G68" i="111"/>
  <c r="D68" i="52074"/>
  <c r="C68" i="52102"/>
  <c r="H125" i="111"/>
  <c r="D125" i="52075"/>
  <c r="C17" i="52102"/>
  <c r="G17" i="111"/>
  <c r="D17" i="52074"/>
  <c r="K185" i="52090"/>
  <c r="C243" i="52090"/>
  <c r="J8" i="52091"/>
  <c r="L8" i="52091" s="1"/>
  <c r="F21" i="52091"/>
  <c r="P8" i="111"/>
  <c r="C90" i="52077"/>
  <c r="J90" i="111"/>
  <c r="G165" i="52092"/>
  <c r="J165" i="52092"/>
  <c r="J183" i="52093"/>
  <c r="G183" i="52093"/>
  <c r="G126" i="52095"/>
  <c r="P126" i="111"/>
  <c r="T126" i="111" s="1"/>
  <c r="J126" i="52095"/>
  <c r="G126" i="52075"/>
  <c r="K126" i="52075" s="1"/>
  <c r="G189" i="52103"/>
  <c r="K189" i="52103" s="1"/>
  <c r="F93" i="52084"/>
  <c r="J93" i="52084" s="1"/>
  <c r="G93" i="48"/>
  <c r="L93" i="48" s="1"/>
  <c r="J93" i="48"/>
  <c r="J159" i="48"/>
  <c r="L159" i="48" s="1"/>
  <c r="F158" i="52084"/>
  <c r="J158" i="52084" s="1"/>
  <c r="C106" i="52103"/>
  <c r="C106" i="52084"/>
  <c r="E106" i="110"/>
  <c r="K103" i="52093"/>
  <c r="K203" i="52093" s="1"/>
  <c r="C238" i="52093"/>
  <c r="C203" i="52093"/>
  <c r="B103" i="52093"/>
  <c r="J75" i="52094"/>
  <c r="G75" i="52094"/>
  <c r="L75" i="52094" s="1"/>
  <c r="F75" i="52077"/>
  <c r="M76" i="111"/>
  <c r="B76" i="52075"/>
  <c r="G93" i="52095"/>
  <c r="G93" i="52075"/>
  <c r="K93" i="52075" s="1"/>
  <c r="J93" i="52095"/>
  <c r="P93" i="111"/>
  <c r="F88" i="52084"/>
  <c r="I88" i="52084" s="1"/>
  <c r="C134" i="52084"/>
  <c r="E134" i="110"/>
  <c r="C134" i="52103"/>
  <c r="H134" i="52084"/>
  <c r="I134" i="52103"/>
  <c r="J68" i="111"/>
  <c r="C68" i="52077"/>
  <c r="J172" i="52092"/>
  <c r="G172" i="52092"/>
  <c r="L172" i="52092" s="1"/>
  <c r="D86" i="52077"/>
  <c r="I86" i="52077" s="1"/>
  <c r="K86" i="111"/>
  <c r="D86" i="52076"/>
  <c r="I86" i="52076" s="1"/>
  <c r="N72" i="111"/>
  <c r="E72" i="52075"/>
  <c r="J99" i="110"/>
  <c r="M99" i="110" s="1"/>
  <c r="J196" i="110"/>
  <c r="N196" i="110" s="1"/>
  <c r="J196" i="32"/>
  <c r="L196" i="32" s="1"/>
  <c r="C100" i="52103"/>
  <c r="C100" i="52084"/>
  <c r="E100" i="110"/>
  <c r="G183" i="52066"/>
  <c r="J183" i="52066"/>
  <c r="G165" i="52072"/>
  <c r="L165" i="52072" s="1"/>
  <c r="J165" i="52072"/>
  <c r="J107" i="52081"/>
  <c r="G107" i="52081"/>
  <c r="J181" i="52081"/>
  <c r="G181" i="52081"/>
  <c r="J126" i="52072"/>
  <c r="G126" i="52072"/>
  <c r="J81" i="110"/>
  <c r="J81" i="32"/>
  <c r="G81" i="32"/>
  <c r="J158" i="32"/>
  <c r="L158" i="32" s="1"/>
  <c r="J158" i="110"/>
  <c r="G158" i="233" s="1"/>
  <c r="J114" i="91"/>
  <c r="G114" i="91"/>
  <c r="L114" i="91" s="1"/>
  <c r="G114" i="52103"/>
  <c r="J146" i="91"/>
  <c r="L146" i="91" s="1"/>
  <c r="G146" i="52103"/>
  <c r="K146" i="52103" s="1"/>
  <c r="D83" i="52102"/>
  <c r="D83" i="110"/>
  <c r="G161" i="52072"/>
  <c r="L161" i="52072" s="1"/>
  <c r="J161" i="52072"/>
  <c r="J164" i="52072"/>
  <c r="G164" i="52072"/>
  <c r="F141" i="52074"/>
  <c r="G194" i="52075"/>
  <c r="K194" i="52075" s="1"/>
  <c r="P195" i="111"/>
  <c r="T195" i="111" s="1"/>
  <c r="J195" i="52095"/>
  <c r="L195" i="52095" s="1"/>
  <c r="J143" i="52080"/>
  <c r="E143" i="52075"/>
  <c r="N143" i="111"/>
  <c r="B154" i="52080"/>
  <c r="C241" i="52080"/>
  <c r="K154" i="52080"/>
  <c r="E141" i="52075"/>
  <c r="N141" i="111"/>
  <c r="J131" i="52080"/>
  <c r="F154" i="52080"/>
  <c r="I154" i="52080" s="1"/>
  <c r="B112" i="110"/>
  <c r="E112" i="52102"/>
  <c r="G90" i="52103"/>
  <c r="J90" i="52103" s="1"/>
  <c r="F185" i="91"/>
  <c r="G170" i="91"/>
  <c r="J170" i="91"/>
  <c r="G169" i="52103"/>
  <c r="F51" i="48"/>
  <c r="J21" i="48"/>
  <c r="G177" i="48"/>
  <c r="I176" i="52103" s="1"/>
  <c r="F176" i="52084"/>
  <c r="J176" i="52084" s="1"/>
  <c r="J177" i="48"/>
  <c r="J93" i="52066"/>
  <c r="G93" i="52066"/>
  <c r="L93" i="52066" s="1"/>
  <c r="G161" i="52066"/>
  <c r="J161" i="52066"/>
  <c r="G140" i="52104"/>
  <c r="K140" i="52104" s="1"/>
  <c r="B72" i="52104"/>
  <c r="B72" i="52076"/>
  <c r="E72" i="111"/>
  <c r="F72" i="52076"/>
  <c r="D110" i="52074"/>
  <c r="C110" i="52102"/>
  <c r="G110" i="111"/>
  <c r="I110" i="52102"/>
  <c r="G183" i="52089"/>
  <c r="J183" i="52089"/>
  <c r="G183" i="52092"/>
  <c r="J183" i="52092"/>
  <c r="G139" i="52093"/>
  <c r="J139" i="52093"/>
  <c r="G78" i="52094"/>
  <c r="J78" i="52094"/>
  <c r="F78" i="52077"/>
  <c r="G173" i="52094"/>
  <c r="F172" i="52077"/>
  <c r="J173" i="52094"/>
  <c r="G110" i="52080"/>
  <c r="J163" i="52080"/>
  <c r="L163" i="52080" s="1"/>
  <c r="N163" i="111"/>
  <c r="E162" i="52075"/>
  <c r="J133" i="110"/>
  <c r="M133" i="110" s="1"/>
  <c r="J133" i="32"/>
  <c r="L133" i="32" s="1"/>
  <c r="E18" i="52103"/>
  <c r="C18" i="110"/>
  <c r="G101" i="52103"/>
  <c r="K101" i="52103" s="1"/>
  <c r="J101" i="91"/>
  <c r="G101" i="91"/>
  <c r="G191" i="52103"/>
  <c r="K191" i="52103" s="1"/>
  <c r="G67" i="48"/>
  <c r="J67" i="48" s="1"/>
  <c r="J249" i="48" s="1"/>
  <c r="F67" i="52084"/>
  <c r="F86" i="52084"/>
  <c r="I86" i="52084" s="1"/>
  <c r="F186" i="52084"/>
  <c r="J187" i="48"/>
  <c r="L187" i="48" s="1"/>
  <c r="F201" i="48"/>
  <c r="J201" i="48" s="1"/>
  <c r="J90" i="52066"/>
  <c r="G90" i="52066"/>
  <c r="J148" i="52066"/>
  <c r="G148" i="52066"/>
  <c r="D84" i="52077"/>
  <c r="I84" i="52077" s="1"/>
  <c r="K84" i="111"/>
  <c r="D84" i="52076"/>
  <c r="I84" i="52076" s="1"/>
  <c r="J177" i="52093"/>
  <c r="G177" i="52093"/>
  <c r="J136" i="52094"/>
  <c r="L136" i="52094" s="1"/>
  <c r="F136" i="52077"/>
  <c r="J78" i="52095"/>
  <c r="G78" i="52075"/>
  <c r="K78" i="52075" s="1"/>
  <c r="G78" i="52095"/>
  <c r="P78" i="111"/>
  <c r="E97" i="52102"/>
  <c r="B97" i="110"/>
  <c r="J173" i="110"/>
  <c r="M173" i="110" s="1"/>
  <c r="L146" i="48"/>
  <c r="H11" i="52084"/>
  <c r="J11" i="52084" s="1"/>
  <c r="E11" i="110"/>
  <c r="L11" i="110" s="1"/>
  <c r="C11" i="52103"/>
  <c r="C11" i="52084"/>
  <c r="G150" i="52072"/>
  <c r="J150" i="52072"/>
  <c r="B49" i="52072"/>
  <c r="I96" i="93"/>
  <c r="F120" i="93"/>
  <c r="I120" i="93" s="1"/>
  <c r="L94" i="32"/>
  <c r="N193" i="110"/>
  <c r="L80" i="91"/>
  <c r="L148" i="91"/>
  <c r="L141" i="48"/>
  <c r="E12" i="110"/>
  <c r="L12" i="110" s="1"/>
  <c r="C12" i="52084"/>
  <c r="H12" i="52084"/>
  <c r="C12" i="52103"/>
  <c r="M12" i="52103" s="1"/>
  <c r="J100" i="52072"/>
  <c r="L100" i="52072" s="1"/>
  <c r="L176" i="52072"/>
  <c r="C242" i="21"/>
  <c r="B168" i="21"/>
  <c r="B181" i="52097"/>
  <c r="B181" i="52082"/>
  <c r="I91" i="9"/>
  <c r="G133" i="233"/>
  <c r="J133" i="233" s="1"/>
  <c r="I133" i="9"/>
  <c r="C133" i="52098"/>
  <c r="C133" i="9"/>
  <c r="G133" i="9" s="1"/>
  <c r="K133" i="52098"/>
  <c r="G133" i="52098"/>
  <c r="G154" i="52064"/>
  <c r="B13" i="52082"/>
  <c r="B13" i="52097"/>
  <c r="C125" i="9"/>
  <c r="C125" i="52098"/>
  <c r="J164" i="148"/>
  <c r="J86" i="108"/>
  <c r="E13" i="52097"/>
  <c r="C13" i="52082"/>
  <c r="I135" i="9"/>
  <c r="G135" i="233"/>
  <c r="J135" i="233" s="1"/>
  <c r="J163" i="52064"/>
  <c r="B84" i="52082"/>
  <c r="B84" i="52097"/>
  <c r="C226" i="52064"/>
  <c r="B9" i="52083"/>
  <c r="C9" i="52097"/>
  <c r="C226" i="52088"/>
  <c r="D147" i="52097"/>
  <c r="E147" i="52083"/>
  <c r="I110" i="9"/>
  <c r="G110" i="233"/>
  <c r="J73" i="21"/>
  <c r="B95" i="52064"/>
  <c r="C161" i="52082"/>
  <c r="E161" i="52097"/>
  <c r="B10" i="52097"/>
  <c r="B10" i="52082"/>
  <c r="J10" i="52082" s="1"/>
  <c r="B171" i="9"/>
  <c r="B170" i="52098"/>
  <c r="H170" i="52098" s="1"/>
  <c r="J170" i="52098" s="1"/>
  <c r="G170" i="52098"/>
  <c r="K170" i="52098"/>
  <c r="B171" i="52083"/>
  <c r="C172" i="52097"/>
  <c r="L101" i="48"/>
  <c r="J150" i="52066"/>
  <c r="L150" i="52066" s="1"/>
  <c r="J76" i="52093"/>
  <c r="L76" i="52093" s="1"/>
  <c r="E182" i="52075"/>
  <c r="N183" i="111"/>
  <c r="J95" i="110"/>
  <c r="J188" i="32"/>
  <c r="L188" i="32" s="1"/>
  <c r="J188" i="110"/>
  <c r="N188" i="110" s="1"/>
  <c r="C75" i="110"/>
  <c r="E75" i="52103"/>
  <c r="I75" i="52103"/>
  <c r="F51" i="52066"/>
  <c r="J21" i="52066"/>
  <c r="L21" i="52066" s="1"/>
  <c r="D76" i="110"/>
  <c r="D76" i="52102"/>
  <c r="D136" i="110"/>
  <c r="D136" i="52102"/>
  <c r="D172" i="52102"/>
  <c r="D173" i="110"/>
  <c r="G77" i="32"/>
  <c r="J77" i="110"/>
  <c r="J77" i="32"/>
  <c r="K142" i="52103"/>
  <c r="J145" i="52072"/>
  <c r="J166" i="52081"/>
  <c r="G166" i="52081"/>
  <c r="C12" i="111"/>
  <c r="C12" i="52074"/>
  <c r="E163" i="111"/>
  <c r="B162" i="52076"/>
  <c r="B162" i="52104"/>
  <c r="H162" i="52076"/>
  <c r="J162" i="52076" s="1"/>
  <c r="L140" i="52093"/>
  <c r="F175" i="52077"/>
  <c r="J176" i="52094"/>
  <c r="G176" i="52094"/>
  <c r="M17" i="111"/>
  <c r="B17" i="52075"/>
  <c r="N111" i="111"/>
  <c r="E111" i="52075"/>
  <c r="G64" i="32"/>
  <c r="F70" i="32"/>
  <c r="J64" i="110"/>
  <c r="J64" i="32"/>
  <c r="L64" i="32" s="1"/>
  <c r="J160" i="32"/>
  <c r="L160" i="32" s="1"/>
  <c r="J160" i="110"/>
  <c r="G155" i="52103"/>
  <c r="F168" i="91"/>
  <c r="F242" i="91" s="1"/>
  <c r="L75" i="48"/>
  <c r="F143" i="52084"/>
  <c r="J143" i="52066"/>
  <c r="C163" i="52077"/>
  <c r="J164" i="111"/>
  <c r="J83" i="52093"/>
  <c r="G83" i="52093"/>
  <c r="J137" i="52094"/>
  <c r="L137" i="52094" s="1"/>
  <c r="F137" i="52077"/>
  <c r="M10" i="111"/>
  <c r="B10" i="52075"/>
  <c r="B161" i="52075"/>
  <c r="M162" i="111"/>
  <c r="J66" i="52080"/>
  <c r="L66" i="52080" s="1"/>
  <c r="G95" i="52080"/>
  <c r="F146" i="52074"/>
  <c r="J146" i="52074" s="1"/>
  <c r="J146" i="20"/>
  <c r="L146" i="20" s="1"/>
  <c r="F149" i="52076"/>
  <c r="G149" i="12"/>
  <c r="J149" i="12"/>
  <c r="G92" i="111"/>
  <c r="C92" i="52102"/>
  <c r="D92" i="52074"/>
  <c r="G164" i="114"/>
  <c r="I163" i="52075" s="1"/>
  <c r="K163" i="52075" s="1"/>
  <c r="G170" i="52104"/>
  <c r="J171" i="115"/>
  <c r="G171" i="115"/>
  <c r="L171" i="115" s="1"/>
  <c r="J191" i="20"/>
  <c r="L191" i="20" s="1"/>
  <c r="F190" i="52074"/>
  <c r="J190" i="52074" s="1"/>
  <c r="J80" i="12"/>
  <c r="G80" i="12"/>
  <c r="F80" i="52076"/>
  <c r="F156" i="52076"/>
  <c r="C122" i="52077"/>
  <c r="J122" i="111"/>
  <c r="H122" i="52077"/>
  <c r="J122" i="52077" s="1"/>
  <c r="L122" i="52077" s="1"/>
  <c r="G107" i="52093"/>
  <c r="J107" i="52093"/>
  <c r="L92" i="52094"/>
  <c r="L177" i="52094"/>
  <c r="L114" i="52080"/>
  <c r="L139" i="32"/>
  <c r="C103" i="91"/>
  <c r="F82" i="52084"/>
  <c r="I82" i="52084" s="1"/>
  <c r="L99" i="48"/>
  <c r="L178" i="48"/>
  <c r="C81" i="52103"/>
  <c r="E81" i="110"/>
  <c r="C81" i="52084"/>
  <c r="L112" i="52066"/>
  <c r="L181" i="52066"/>
  <c r="L137" i="52092"/>
  <c r="L180" i="52092"/>
  <c r="L101" i="52093"/>
  <c r="L140" i="52094"/>
  <c r="L133" i="52095"/>
  <c r="L192" i="52080"/>
  <c r="L101" i="32"/>
  <c r="L114" i="48"/>
  <c r="D174" i="52103"/>
  <c r="G175" i="110"/>
  <c r="D174" i="52084"/>
  <c r="J87" i="110"/>
  <c r="M87" i="110" s="1"/>
  <c r="G87" i="32"/>
  <c r="J87" i="32"/>
  <c r="J187" i="110"/>
  <c r="F201" i="32"/>
  <c r="J201" i="32" s="1"/>
  <c r="J187" i="32"/>
  <c r="L187" i="32" s="1"/>
  <c r="J72" i="91"/>
  <c r="G136" i="52103"/>
  <c r="K136" i="52103" s="1"/>
  <c r="F51" i="52081"/>
  <c r="J21" i="52081"/>
  <c r="L159" i="52072"/>
  <c r="L188" i="52072"/>
  <c r="B78" i="52082"/>
  <c r="B78" i="52097"/>
  <c r="B181" i="9"/>
  <c r="G181" i="9" s="1"/>
  <c r="K180" i="52098"/>
  <c r="B180" i="52098"/>
  <c r="H180" i="52098" s="1"/>
  <c r="C139" i="52082"/>
  <c r="E139" i="52097"/>
  <c r="B80" i="52098"/>
  <c r="H80" i="52098" s="1"/>
  <c r="J80" i="52098" s="1"/>
  <c r="B80" i="9"/>
  <c r="K80" i="52098"/>
  <c r="G80" i="52098"/>
  <c r="B68" i="52098"/>
  <c r="G68" i="52098"/>
  <c r="B68" i="9"/>
  <c r="K68" i="52098"/>
  <c r="B103" i="52064"/>
  <c r="C203" i="52064"/>
  <c r="C238" i="52064"/>
  <c r="J147" i="21"/>
  <c r="C239" i="108"/>
  <c r="B116" i="108"/>
  <c r="I11" i="9"/>
  <c r="G11" i="233"/>
  <c r="I139" i="9"/>
  <c r="C139" i="52098"/>
  <c r="C139" i="9"/>
  <c r="I196" i="9"/>
  <c r="G196" i="233"/>
  <c r="E94" i="52097"/>
  <c r="C94" i="52082"/>
  <c r="E164" i="52097"/>
  <c r="C164" i="52082"/>
  <c r="J164" i="52082" s="1"/>
  <c r="L164" i="52082" s="1"/>
  <c r="G86" i="52098"/>
  <c r="C86" i="9"/>
  <c r="G86" i="9" s="1"/>
  <c r="C86" i="52098"/>
  <c r="E107" i="52097"/>
  <c r="C107" i="52082"/>
  <c r="G116" i="52087"/>
  <c r="B11" i="9"/>
  <c r="G11" i="9" s="1"/>
  <c r="K11" i="52098"/>
  <c r="G11" i="52098"/>
  <c r="B11" i="52098"/>
  <c r="H11" i="52098" s="1"/>
  <c r="B164" i="9"/>
  <c r="K163" i="52098"/>
  <c r="B163" i="52098"/>
  <c r="G163" i="52098"/>
  <c r="B175" i="52082"/>
  <c r="B175" i="52097"/>
  <c r="I72" i="9"/>
  <c r="G72" i="233"/>
  <c r="B142" i="52097"/>
  <c r="J142" i="148"/>
  <c r="B142" i="52082"/>
  <c r="B145" i="52097"/>
  <c r="B145" i="52082"/>
  <c r="B143" i="52082"/>
  <c r="J143" i="52082" s="1"/>
  <c r="L143" i="52082" s="1"/>
  <c r="B143" i="52097"/>
  <c r="B141" i="52097"/>
  <c r="B141" i="52082"/>
  <c r="J137" i="108"/>
  <c r="G78" i="52104"/>
  <c r="J78" i="52104" s="1"/>
  <c r="G144" i="111"/>
  <c r="D144" i="52074"/>
  <c r="C144" i="52102"/>
  <c r="L144" i="52089"/>
  <c r="D141" i="52074"/>
  <c r="G141" i="111"/>
  <c r="C141" i="52102"/>
  <c r="J141" i="52089"/>
  <c r="L141" i="52089" s="1"/>
  <c r="G146" i="111"/>
  <c r="D146" i="52074"/>
  <c r="C146" i="52102"/>
  <c r="I131" i="52089"/>
  <c r="F154" i="52089"/>
  <c r="J131" i="52089"/>
  <c r="I99" i="52074"/>
  <c r="J147" i="52104"/>
  <c r="J119" i="52104"/>
  <c r="M119" i="52104" s="1"/>
  <c r="J100" i="52104"/>
  <c r="J68" i="52104"/>
  <c r="I143" i="52074"/>
  <c r="I97" i="52074"/>
  <c r="I97" i="115"/>
  <c r="J149" i="52104"/>
  <c r="I109" i="52094"/>
  <c r="L109" i="52094" s="1"/>
  <c r="J66" i="52076"/>
  <c r="I72" i="114"/>
  <c r="I90" i="12"/>
  <c r="L180" i="114"/>
  <c r="I143" i="52090"/>
  <c r="L143" i="52090" s="1"/>
  <c r="I118" i="52090"/>
  <c r="J131" i="52076"/>
  <c r="I131" i="52076"/>
  <c r="E153" i="52076"/>
  <c r="I143" i="114"/>
  <c r="L143" i="114" s="1"/>
  <c r="I131" i="77"/>
  <c r="I99" i="52094"/>
  <c r="I118" i="52095"/>
  <c r="I142" i="52098"/>
  <c r="I72" i="48"/>
  <c r="L72" i="48" s="1"/>
  <c r="I160" i="52089"/>
  <c r="L160" i="52089" s="1"/>
  <c r="H160" i="9"/>
  <c r="J91" i="52102"/>
  <c r="J66" i="52103"/>
  <c r="I96" i="52089"/>
  <c r="D70" i="9"/>
  <c r="F64" i="233"/>
  <c r="I67" i="52084"/>
  <c r="E242" i="52093"/>
  <c r="I242" i="52093" s="1"/>
  <c r="I168" i="52093"/>
  <c r="L97" i="52092"/>
  <c r="I131" i="52091"/>
  <c r="J155" i="52102"/>
  <c r="F167" i="52102"/>
  <c r="I142" i="52084"/>
  <c r="I147" i="52066"/>
  <c r="L163" i="52093"/>
  <c r="E242" i="52072"/>
  <c r="I168" i="52072"/>
  <c r="J132" i="52083"/>
  <c r="E44" i="52092"/>
  <c r="E46" i="52092" s="1"/>
  <c r="E47" i="52092" s="1"/>
  <c r="F30" i="52092"/>
  <c r="I109" i="48"/>
  <c r="H150" i="9"/>
  <c r="F150" i="233"/>
  <c r="E241" i="52089"/>
  <c r="I154" i="52089"/>
  <c r="I145" i="48"/>
  <c r="L145" i="48" s="1"/>
  <c r="I141" i="52091"/>
  <c r="L141" i="52091" s="1"/>
  <c r="I132" i="52084"/>
  <c r="I131" i="52090"/>
  <c r="I64" i="52092"/>
  <c r="I106" i="52091"/>
  <c r="L106" i="52091" s="1"/>
  <c r="I76" i="52084"/>
  <c r="F30" i="52102"/>
  <c r="F44" i="52102" s="1"/>
  <c r="D30" i="9"/>
  <c r="D44" i="9" s="1"/>
  <c r="F23" i="233"/>
  <c r="F30" i="233" s="1"/>
  <c r="J76" i="52083"/>
  <c r="E239" i="52092"/>
  <c r="I239" i="52092" s="1"/>
  <c r="I116" i="52092"/>
  <c r="H36" i="93"/>
  <c r="I86" i="91"/>
  <c r="L86" i="91" s="1"/>
  <c r="J106" i="52103"/>
  <c r="I157" i="77"/>
  <c r="L157" i="77" s="1"/>
  <c r="S195" i="111"/>
  <c r="V195" i="111" s="1"/>
  <c r="J186" i="52103"/>
  <c r="F200" i="52103"/>
  <c r="J195" i="52103"/>
  <c r="M195" i="52103" s="1"/>
  <c r="E240" i="105"/>
  <c r="I129" i="105"/>
  <c r="I109" i="52091"/>
  <c r="L109" i="52091" s="1"/>
  <c r="I77" i="32"/>
  <c r="E239" i="21"/>
  <c r="I116" i="21"/>
  <c r="J196" i="52102"/>
  <c r="E21" i="52076"/>
  <c r="J8" i="52076"/>
  <c r="I8" i="52076"/>
  <c r="L109" i="52093"/>
  <c r="J82" i="52103"/>
  <c r="L191" i="52089"/>
  <c r="F144" i="233"/>
  <c r="H172" i="9"/>
  <c r="F172" i="233"/>
  <c r="J172" i="233" s="1"/>
  <c r="E51" i="52087"/>
  <c r="I21" i="52087"/>
  <c r="I201" i="77"/>
  <c r="L201" i="77" s="1"/>
  <c r="L81" i="52090"/>
  <c r="M187" i="110"/>
  <c r="I201" i="110"/>
  <c r="K164" i="52082"/>
  <c r="M81" i="110"/>
  <c r="I90" i="52066"/>
  <c r="J49" i="52083"/>
  <c r="H181" i="9"/>
  <c r="F181" i="233"/>
  <c r="J181" i="233" s="1"/>
  <c r="M106" i="110"/>
  <c r="L140" i="115"/>
  <c r="L191" i="115"/>
  <c r="E103" i="20"/>
  <c r="I70" i="20"/>
  <c r="M192" i="110"/>
  <c r="J74" i="52104"/>
  <c r="J162" i="52103"/>
  <c r="I49" i="52066"/>
  <c r="I14" i="52098"/>
  <c r="I76" i="52074"/>
  <c r="L98" i="52090"/>
  <c r="M15" i="110"/>
  <c r="F175" i="233"/>
  <c r="J175" i="233" s="1"/>
  <c r="S175" i="111"/>
  <c r="E241" i="105"/>
  <c r="I154" i="105"/>
  <c r="E240" i="52079"/>
  <c r="I240" i="52079" s="1"/>
  <c r="I129" i="52079"/>
  <c r="J18" i="52104"/>
  <c r="M18" i="52104" s="1"/>
  <c r="J78" i="52103"/>
  <c r="I158" i="52084"/>
  <c r="F15" i="233"/>
  <c r="J15" i="233" s="1"/>
  <c r="P15" i="52097"/>
  <c r="M10" i="52102"/>
  <c r="J10" i="52102"/>
  <c r="E51" i="21"/>
  <c r="E32" i="21"/>
  <c r="E46" i="21"/>
  <c r="E47" i="21" s="1"/>
  <c r="I21" i="21"/>
  <c r="I123" i="52076"/>
  <c r="J123" i="52076"/>
  <c r="E239" i="20"/>
  <c r="I116" i="20"/>
  <c r="S124" i="111"/>
  <c r="F16" i="233"/>
  <c r="S16" i="111"/>
  <c r="F188" i="233"/>
  <c r="J188" i="233" s="1"/>
  <c r="P188" i="52097"/>
  <c r="K173" i="52082"/>
  <c r="I109" i="77"/>
  <c r="L109" i="77" s="1"/>
  <c r="F28" i="12"/>
  <c r="G28" i="52104" s="1"/>
  <c r="I106" i="12"/>
  <c r="L106" i="12" s="1"/>
  <c r="E103" i="52095"/>
  <c r="I70" i="52095"/>
  <c r="J72" i="52075"/>
  <c r="I119" i="52090"/>
  <c r="L119" i="52090" s="1"/>
  <c r="I180" i="12"/>
  <c r="I119" i="52077"/>
  <c r="J119" i="52077"/>
  <c r="L112" i="52090"/>
  <c r="I156" i="52090"/>
  <c r="S143" i="111"/>
  <c r="I131" i="114"/>
  <c r="J118" i="52077"/>
  <c r="E129" i="52077"/>
  <c r="E238" i="52077" s="1"/>
  <c r="I118" i="52077"/>
  <c r="I120" i="77"/>
  <c r="L120" i="77" s="1"/>
  <c r="I99" i="52090"/>
  <c r="I178" i="52077"/>
  <c r="J178" i="52077"/>
  <c r="K160" i="52082"/>
  <c r="H100" i="9"/>
  <c r="I67" i="32"/>
  <c r="I249" i="32" s="1"/>
  <c r="I95" i="52064"/>
  <c r="J112" i="52102"/>
  <c r="L142" i="91"/>
  <c r="M148" i="110"/>
  <c r="J100" i="52083"/>
  <c r="I154" i="52092"/>
  <c r="E241" i="52092"/>
  <c r="I119" i="52084"/>
  <c r="J112" i="52103"/>
  <c r="L141" i="91"/>
  <c r="I143" i="52084"/>
  <c r="J118" i="52102"/>
  <c r="F129" i="52102"/>
  <c r="I118" i="52089"/>
  <c r="L118" i="52089" s="1"/>
  <c r="H112" i="9"/>
  <c r="J108" i="52102"/>
  <c r="J77" i="52102"/>
  <c r="I74" i="52084"/>
  <c r="I77" i="52098"/>
  <c r="F28" i="52092"/>
  <c r="I116" i="32"/>
  <c r="E239" i="32"/>
  <c r="I105" i="32"/>
  <c r="I82" i="52089"/>
  <c r="I131" i="52079"/>
  <c r="E240" i="52064"/>
  <c r="I240" i="52064" s="1"/>
  <c r="I129" i="52064"/>
  <c r="I118" i="52064"/>
  <c r="L142" i="52072"/>
  <c r="I113" i="52091"/>
  <c r="L113" i="52091" s="1"/>
  <c r="J132" i="52103"/>
  <c r="M132" i="52103" s="1"/>
  <c r="E240" i="52066"/>
  <c r="M97" i="110"/>
  <c r="H141" i="9"/>
  <c r="F141" i="233"/>
  <c r="H134" i="9"/>
  <c r="F134" i="233"/>
  <c r="J134" i="233" s="1"/>
  <c r="I86" i="52089"/>
  <c r="H106" i="9"/>
  <c r="H86" i="9"/>
  <c r="I143" i="52066"/>
  <c r="L143" i="52066" s="1"/>
  <c r="J145" i="52102"/>
  <c r="I112" i="52072"/>
  <c r="L112" i="52072" s="1"/>
  <c r="I86" i="32"/>
  <c r="L86" i="32" s="1"/>
  <c r="I116" i="48"/>
  <c r="E239" i="48"/>
  <c r="I105" i="48"/>
  <c r="I109" i="52089"/>
  <c r="E103" i="48"/>
  <c r="E44" i="32"/>
  <c r="E46" i="32" s="1"/>
  <c r="E47" i="32" s="1"/>
  <c r="F30" i="32"/>
  <c r="I111" i="32"/>
  <c r="H111" i="9"/>
  <c r="F111" i="233"/>
  <c r="F171" i="233"/>
  <c r="P171" i="52097"/>
  <c r="I154" i="20"/>
  <c r="E241" i="20"/>
  <c r="J192" i="52102"/>
  <c r="M49" i="110"/>
  <c r="J172" i="52104"/>
  <c r="J182" i="52103"/>
  <c r="E243" i="21"/>
  <c r="E184" i="52098"/>
  <c r="I185" i="21"/>
  <c r="J156" i="52103"/>
  <c r="M156" i="52103"/>
  <c r="H136" i="9"/>
  <c r="F136" i="233"/>
  <c r="E103" i="32"/>
  <c r="I70" i="32"/>
  <c r="I73" i="52072"/>
  <c r="H96" i="93"/>
  <c r="J76" i="52102"/>
  <c r="I82" i="52092"/>
  <c r="H171" i="9"/>
  <c r="H192" i="9"/>
  <c r="F192" i="233"/>
  <c r="J197" i="52104"/>
  <c r="C88" i="52103"/>
  <c r="C88" i="52084"/>
  <c r="E88" i="110"/>
  <c r="K8" i="52082"/>
  <c r="G21" i="52082"/>
  <c r="H178" i="9"/>
  <c r="F178" i="233"/>
  <c r="M94" i="110"/>
  <c r="E51" i="52071"/>
  <c r="I21" i="52071"/>
  <c r="I94" i="52084"/>
  <c r="H187" i="9"/>
  <c r="D201" i="9"/>
  <c r="L107" i="91"/>
  <c r="L139" i="91"/>
  <c r="I124" i="52074"/>
  <c r="S187" i="111"/>
  <c r="J186" i="52075"/>
  <c r="F200" i="52075"/>
  <c r="I201" i="108"/>
  <c r="F35" i="52089"/>
  <c r="I88" i="91"/>
  <c r="L88" i="91" s="1"/>
  <c r="C88" i="110"/>
  <c r="E88" i="52103"/>
  <c r="I88" i="52103"/>
  <c r="I67" i="52091"/>
  <c r="I74" i="32"/>
  <c r="J194" i="52104"/>
  <c r="L146" i="115"/>
  <c r="J81" i="52102"/>
  <c r="J14" i="52104"/>
  <c r="I123" i="52077"/>
  <c r="J123" i="52077"/>
  <c r="H8" i="9"/>
  <c r="F8" i="233"/>
  <c r="D21" i="9"/>
  <c r="F183" i="233"/>
  <c r="S183" i="111"/>
  <c r="L92" i="52072"/>
  <c r="F37" i="233"/>
  <c r="L81" i="77"/>
  <c r="L101" i="52090"/>
  <c r="J158" i="52102"/>
  <c r="H166" i="9"/>
  <c r="F166" i="233"/>
  <c r="J166" i="233" s="1"/>
  <c r="H177" i="9"/>
  <c r="F177" i="233"/>
  <c r="I64" i="52072"/>
  <c r="I113" i="52077"/>
  <c r="J113" i="52077"/>
  <c r="L113" i="52077"/>
  <c r="L93" i="52090"/>
  <c r="I97" i="52089"/>
  <c r="J196" i="52103"/>
  <c r="E242" i="52067"/>
  <c r="M8" i="110"/>
  <c r="I21" i="110"/>
  <c r="M126" i="110"/>
  <c r="I72" i="32"/>
  <c r="J94" i="52075"/>
  <c r="L144" i="52072"/>
  <c r="S8" i="111"/>
  <c r="O21" i="111"/>
  <c r="H78" i="9"/>
  <c r="E238" i="105"/>
  <c r="E203" i="105"/>
  <c r="K94" i="52082"/>
  <c r="I86" i="52066"/>
  <c r="J138" i="52083"/>
  <c r="I160" i="52080"/>
  <c r="L160" i="52080" s="1"/>
  <c r="I110" i="52080"/>
  <c r="P110" i="52097"/>
  <c r="K110" i="52082"/>
  <c r="I145" i="52080"/>
  <c r="L145" i="52080" s="1"/>
  <c r="F30" i="52075"/>
  <c r="F44" i="52075" s="1"/>
  <c r="S173" i="111"/>
  <c r="E241" i="52066"/>
  <c r="M131" i="110"/>
  <c r="I154" i="110"/>
  <c r="I131" i="32"/>
  <c r="M95" i="110"/>
  <c r="I185" i="52080"/>
  <c r="E243" i="52080"/>
  <c r="J147" i="52075"/>
  <c r="I131" i="52080"/>
  <c r="F153" i="52103"/>
  <c r="I142" i="52080"/>
  <c r="L142" i="52080" s="1"/>
  <c r="I70" i="52080"/>
  <c r="E103" i="52080"/>
  <c r="I110" i="52081"/>
  <c r="E32" i="52080"/>
  <c r="E33" i="52080" s="1"/>
  <c r="I21" i="52080"/>
  <c r="E51" i="52080"/>
  <c r="I141" i="52081"/>
  <c r="J110" i="52102"/>
  <c r="S14" i="111"/>
  <c r="I88" i="52081"/>
  <c r="J138" i="52076"/>
  <c r="J164" i="52075"/>
  <c r="F182" i="233"/>
  <c r="J182" i="233" s="1"/>
  <c r="P182" i="52097"/>
  <c r="I84" i="52095"/>
  <c r="J113" i="52102"/>
  <c r="M113" i="52102" s="1"/>
  <c r="J67" i="52103"/>
  <c r="I116" i="52094"/>
  <c r="E239" i="52094"/>
  <c r="E116" i="52077"/>
  <c r="F36" i="52095"/>
  <c r="E44" i="52095"/>
  <c r="E46" i="52095" s="1"/>
  <c r="E47" i="52095" s="1"/>
  <c r="F30" i="52095"/>
  <c r="L76" i="52094"/>
  <c r="E103" i="12"/>
  <c r="I70" i="12"/>
  <c r="E70" i="52076"/>
  <c r="S150" i="111"/>
  <c r="I83" i="114"/>
  <c r="L83" i="114" s="1"/>
  <c r="L96" i="12"/>
  <c r="E103" i="77"/>
  <c r="J135" i="52075"/>
  <c r="J141" i="52076"/>
  <c r="J143" i="52077"/>
  <c r="I120" i="52084"/>
  <c r="F129" i="52103"/>
  <c r="J118" i="52103"/>
  <c r="L118" i="91"/>
  <c r="E239" i="148"/>
  <c r="I116" i="148"/>
  <c r="P125" i="52097"/>
  <c r="L185" i="52097"/>
  <c r="I119" i="52098"/>
  <c r="S161" i="111"/>
  <c r="C239" i="105"/>
  <c r="B116" i="105"/>
  <c r="J118" i="52067"/>
  <c r="F129" i="52067"/>
  <c r="I118" i="52067"/>
  <c r="E72" i="52082"/>
  <c r="F72" i="52097"/>
  <c r="G103" i="52088"/>
  <c r="E162" i="52082"/>
  <c r="F162" i="52097"/>
  <c r="F168" i="52067"/>
  <c r="F242" i="52067" s="1"/>
  <c r="I156" i="52067"/>
  <c r="C109" i="52075"/>
  <c r="B109" i="111"/>
  <c r="I151" i="52075"/>
  <c r="C151" i="52075"/>
  <c r="B152" i="111"/>
  <c r="C163" i="52097"/>
  <c r="B162" i="52083"/>
  <c r="E100" i="52082"/>
  <c r="J100" i="52082" s="1"/>
  <c r="L100" i="52082" s="1"/>
  <c r="F100" i="52097"/>
  <c r="O100" i="52097" s="1"/>
  <c r="G82" i="52097"/>
  <c r="D82" i="52082"/>
  <c r="J105" i="52067"/>
  <c r="F116" i="52067"/>
  <c r="C134" i="52097"/>
  <c r="B134" i="52083"/>
  <c r="J150" i="114"/>
  <c r="L150" i="114" s="1"/>
  <c r="L124" i="115"/>
  <c r="D146" i="52104"/>
  <c r="D146" i="111"/>
  <c r="H146" i="52074"/>
  <c r="B146" i="52074"/>
  <c r="D144" i="52104"/>
  <c r="B144" i="52074"/>
  <c r="D144" i="111"/>
  <c r="H144" i="52074"/>
  <c r="J144" i="52074" s="1"/>
  <c r="D141" i="52104"/>
  <c r="D141" i="111"/>
  <c r="B141" i="52074"/>
  <c r="H141" i="52074"/>
  <c r="D143" i="52104"/>
  <c r="D143" i="111"/>
  <c r="B143" i="52074"/>
  <c r="H143" i="52074"/>
  <c r="J143" i="52074" s="1"/>
  <c r="L160" i="12"/>
  <c r="L99" i="115"/>
  <c r="C99" i="111"/>
  <c r="E99" i="52104"/>
  <c r="C99" i="52074"/>
  <c r="I99" i="52104"/>
  <c r="K99" i="52104" s="1"/>
  <c r="G162" i="52097"/>
  <c r="D162" i="52082"/>
  <c r="J162" i="52082" s="1"/>
  <c r="L162" i="52082" s="1"/>
  <c r="C150" i="52082"/>
  <c r="E150" i="52097"/>
  <c r="H152" i="52097"/>
  <c r="D151" i="52083"/>
  <c r="F238" i="52071"/>
  <c r="I99" i="52097"/>
  <c r="D99" i="52098"/>
  <c r="G150" i="20"/>
  <c r="F150" i="52074"/>
  <c r="I150" i="52074" s="1"/>
  <c r="J150" i="20"/>
  <c r="I150" i="20"/>
  <c r="G77" i="52104"/>
  <c r="I77" i="52104"/>
  <c r="C77" i="52074"/>
  <c r="C77" i="111"/>
  <c r="E77" i="52104"/>
  <c r="C179" i="52074"/>
  <c r="E179" i="52104"/>
  <c r="I179" i="52104"/>
  <c r="C180" i="111"/>
  <c r="B95" i="20"/>
  <c r="G95" i="20" s="1"/>
  <c r="J95" i="20" s="1"/>
  <c r="D28" i="12"/>
  <c r="B96" i="52104"/>
  <c r="B96" i="52076"/>
  <c r="E96" i="111"/>
  <c r="F70" i="77"/>
  <c r="F103" i="77" s="1"/>
  <c r="G64" i="77"/>
  <c r="J64" i="77"/>
  <c r="D77" i="52075"/>
  <c r="H77" i="111"/>
  <c r="B149" i="52083"/>
  <c r="C149" i="52097"/>
  <c r="G95" i="115"/>
  <c r="B170" i="52083"/>
  <c r="C171" i="52097"/>
  <c r="G72" i="20"/>
  <c r="L72" i="20" s="1"/>
  <c r="J72" i="20"/>
  <c r="F72" i="52074"/>
  <c r="I72" i="20"/>
  <c r="F160" i="52074"/>
  <c r="I160" i="52074" s="1"/>
  <c r="I161" i="20"/>
  <c r="G161" i="20"/>
  <c r="G162" i="12"/>
  <c r="J162" i="12" s="1"/>
  <c r="F161" i="52076"/>
  <c r="J90" i="52090"/>
  <c r="G90" i="52090"/>
  <c r="C242" i="105"/>
  <c r="B168" i="105"/>
  <c r="F103" i="52088"/>
  <c r="J70" i="52088"/>
  <c r="B77" i="52104"/>
  <c r="E77" i="111"/>
  <c r="H77" i="52076"/>
  <c r="B77" i="52076"/>
  <c r="F119" i="52077"/>
  <c r="L119" i="52077" s="1"/>
  <c r="J119" i="52094"/>
  <c r="L119" i="52094" s="1"/>
  <c r="G99" i="52075"/>
  <c r="M99" i="111"/>
  <c r="B99" i="52075"/>
  <c r="G77" i="52094"/>
  <c r="F77" i="52077"/>
  <c r="F145" i="52077"/>
  <c r="J145" i="52094"/>
  <c r="L145" i="52094" s="1"/>
  <c r="P68" i="111"/>
  <c r="S68" i="111" s="1"/>
  <c r="G68" i="52095"/>
  <c r="G68" i="52075"/>
  <c r="P148" i="111"/>
  <c r="T148" i="111" s="1"/>
  <c r="J148" i="52095"/>
  <c r="G148" i="52075"/>
  <c r="G148" i="52095"/>
  <c r="L148" i="52095" s="1"/>
  <c r="F68" i="52074"/>
  <c r="I68" i="52074" s="1"/>
  <c r="I68" i="20"/>
  <c r="J68" i="20"/>
  <c r="G68" i="20"/>
  <c r="L68" i="20" s="1"/>
  <c r="J145" i="12"/>
  <c r="F145" i="52076"/>
  <c r="F116" i="77"/>
  <c r="J105" i="77"/>
  <c r="G105" i="77"/>
  <c r="C149" i="52104"/>
  <c r="F149" i="111"/>
  <c r="C149" i="52076"/>
  <c r="G68" i="114"/>
  <c r="J68" i="114"/>
  <c r="G96" i="77"/>
  <c r="H96" i="52076" s="1"/>
  <c r="J96" i="52076" s="1"/>
  <c r="H140" i="52097"/>
  <c r="D140" i="52083"/>
  <c r="H140" i="52083" s="1"/>
  <c r="E146" i="52082"/>
  <c r="F146" i="52097"/>
  <c r="E144" i="52082"/>
  <c r="F144" i="52097"/>
  <c r="E142" i="52082"/>
  <c r="F142" i="52097"/>
  <c r="F141" i="52097"/>
  <c r="E141" i="52082"/>
  <c r="C203" i="52067"/>
  <c r="C238" i="52067"/>
  <c r="B103" i="52067"/>
  <c r="B116" i="114"/>
  <c r="C239" i="114"/>
  <c r="K116" i="114"/>
  <c r="F103" i="52087"/>
  <c r="C66" i="52082"/>
  <c r="C70" i="52082" s="1"/>
  <c r="E66" i="52097"/>
  <c r="E70" i="52097" s="1"/>
  <c r="G70" i="52087"/>
  <c r="G103" i="52087" s="1"/>
  <c r="H149" i="52097"/>
  <c r="D149" i="52083"/>
  <c r="C240" i="101"/>
  <c r="B129" i="101"/>
  <c r="J142" i="114"/>
  <c r="L142" i="114" s="1"/>
  <c r="G120" i="52104"/>
  <c r="F109" i="52074"/>
  <c r="I109" i="52074" s="1"/>
  <c r="G109" i="20"/>
  <c r="J109" i="20"/>
  <c r="I109" i="20"/>
  <c r="C219" i="12"/>
  <c r="C226" i="12"/>
  <c r="B148" i="52076"/>
  <c r="B148" i="52104"/>
  <c r="E148" i="111"/>
  <c r="L148" i="12"/>
  <c r="H148" i="52076"/>
  <c r="J148" i="52076" s="1"/>
  <c r="G148" i="77"/>
  <c r="J148" i="77"/>
  <c r="J145" i="105"/>
  <c r="D151" i="52098"/>
  <c r="H151" i="52098" s="1"/>
  <c r="I152" i="52097"/>
  <c r="O152" i="52097" s="1"/>
  <c r="J145" i="114"/>
  <c r="C77" i="52097"/>
  <c r="B77" i="52083"/>
  <c r="C93" i="52082"/>
  <c r="E93" i="52097"/>
  <c r="G86" i="52097"/>
  <c r="D86" i="52082"/>
  <c r="G96" i="52104"/>
  <c r="J96" i="52104" s="1"/>
  <c r="J142" i="12"/>
  <c r="C74" i="52076"/>
  <c r="F74" i="111"/>
  <c r="C74" i="52104"/>
  <c r="J162" i="52090"/>
  <c r="H162" i="111"/>
  <c r="D161" i="52075"/>
  <c r="J78" i="114"/>
  <c r="G78" i="114"/>
  <c r="E114" i="52097"/>
  <c r="C114" i="52082"/>
  <c r="D147" i="52083"/>
  <c r="H147" i="52097"/>
  <c r="C148" i="52097"/>
  <c r="B148" i="52083"/>
  <c r="G73" i="52104"/>
  <c r="J73" i="52104" s="1"/>
  <c r="G109" i="52104"/>
  <c r="L91" i="20"/>
  <c r="F91" i="52074"/>
  <c r="F155" i="52076"/>
  <c r="F168" i="12"/>
  <c r="G73" i="52090"/>
  <c r="J73" i="52090"/>
  <c r="J141" i="105"/>
  <c r="F74" i="52097"/>
  <c r="E74" i="52082"/>
  <c r="J145" i="52071"/>
  <c r="E134" i="52097"/>
  <c r="C134" i="52082"/>
  <c r="G106" i="114"/>
  <c r="L106" i="114" s="1"/>
  <c r="J106" i="114"/>
  <c r="J141" i="20"/>
  <c r="I141" i="20"/>
  <c r="L141" i="20" s="1"/>
  <c r="C110" i="52104"/>
  <c r="F110" i="111"/>
  <c r="C110" i="52076"/>
  <c r="L76" i="114"/>
  <c r="B95" i="114"/>
  <c r="G95" i="114" s="1"/>
  <c r="J95" i="114" s="1"/>
  <c r="G165" i="52097"/>
  <c r="D165" i="52082"/>
  <c r="E85" i="52082"/>
  <c r="F85" i="52097"/>
  <c r="H99" i="52097"/>
  <c r="D99" i="52083"/>
  <c r="I148" i="52097"/>
  <c r="D148" i="52098"/>
  <c r="C90" i="52074"/>
  <c r="E90" i="52104"/>
  <c r="C90" i="111"/>
  <c r="I90" i="52104"/>
  <c r="K90" i="52104" s="1"/>
  <c r="L142" i="20"/>
  <c r="J145" i="20"/>
  <c r="L145" i="20" s="1"/>
  <c r="J145" i="52074"/>
  <c r="B85" i="52104"/>
  <c r="H85" i="52076"/>
  <c r="J85" i="52076" s="1"/>
  <c r="B85" i="52076"/>
  <c r="E85" i="111"/>
  <c r="G91" i="52094"/>
  <c r="F91" i="52077"/>
  <c r="J91" i="52094"/>
  <c r="P119" i="111"/>
  <c r="T119" i="111" s="1"/>
  <c r="F85" i="52077"/>
  <c r="G149" i="52094"/>
  <c r="F149" i="52077"/>
  <c r="J149" i="52094"/>
  <c r="G159" i="52075"/>
  <c r="K159" i="52075" s="1"/>
  <c r="C44" i="77"/>
  <c r="F70" i="52090"/>
  <c r="G64" i="52090"/>
  <c r="J64" i="52090"/>
  <c r="L64" i="52090" s="1"/>
  <c r="K168" i="115"/>
  <c r="B168" i="115"/>
  <c r="C242" i="115"/>
  <c r="F168" i="77"/>
  <c r="H74" i="111"/>
  <c r="D74" i="52075"/>
  <c r="D106" i="52075"/>
  <c r="H106" i="111"/>
  <c r="D151" i="52075"/>
  <c r="H152" i="111"/>
  <c r="F129" i="52094"/>
  <c r="F240" i="52094" s="1"/>
  <c r="F118" i="52077"/>
  <c r="L118" i="52077" s="1"/>
  <c r="J118" i="52094"/>
  <c r="L118" i="52094" s="1"/>
  <c r="K103" i="52095"/>
  <c r="C203" i="52095"/>
  <c r="B103" i="52095"/>
  <c r="C238" i="52095"/>
  <c r="L142" i="52094"/>
  <c r="U28" i="111"/>
  <c r="U253" i="111" s="1"/>
  <c r="L253" i="233" s="1"/>
  <c r="P88" i="111"/>
  <c r="S88" i="111" s="1"/>
  <c r="K160" i="52075"/>
  <c r="J118" i="52081"/>
  <c r="F129" i="52081"/>
  <c r="G152" i="52081"/>
  <c r="J152" i="52081"/>
  <c r="D77" i="52084"/>
  <c r="G77" i="110"/>
  <c r="D77" i="52103"/>
  <c r="J163" i="52081"/>
  <c r="J165" i="52088"/>
  <c r="J66" i="114"/>
  <c r="L66" i="114" s="1"/>
  <c r="J142" i="52090"/>
  <c r="L142" i="52090" s="1"/>
  <c r="I66" i="52075"/>
  <c r="B66" i="52075"/>
  <c r="M66" i="111"/>
  <c r="G66" i="52075"/>
  <c r="J66" i="52075" s="1"/>
  <c r="B150" i="52075"/>
  <c r="M150" i="111"/>
  <c r="I150" i="52075"/>
  <c r="K150" i="52075" s="1"/>
  <c r="J66" i="77"/>
  <c r="L66" i="77" s="1"/>
  <c r="L145" i="77"/>
  <c r="G86" i="52104"/>
  <c r="C86" i="52074"/>
  <c r="C86" i="111"/>
  <c r="E86" i="52104"/>
  <c r="I86" i="52104"/>
  <c r="E148" i="52104"/>
  <c r="C148" i="111"/>
  <c r="C148" i="52074"/>
  <c r="C153" i="52074" s="1"/>
  <c r="C239" i="52074" s="1"/>
  <c r="I148" i="52104"/>
  <c r="D86" i="52104"/>
  <c r="H86" i="52074"/>
  <c r="J86" i="52074" s="1"/>
  <c r="B86" i="52074"/>
  <c r="D86" i="111"/>
  <c r="L74" i="12"/>
  <c r="F97" i="52076"/>
  <c r="B97" i="52104"/>
  <c r="B97" i="52076"/>
  <c r="E97" i="111"/>
  <c r="H97" i="52076"/>
  <c r="J97" i="52076" s="1"/>
  <c r="J90" i="77"/>
  <c r="L90" i="77" s="1"/>
  <c r="C90" i="52076"/>
  <c r="C90" i="52104"/>
  <c r="F90" i="111"/>
  <c r="H180" i="111"/>
  <c r="D179" i="52075"/>
  <c r="G86" i="52094"/>
  <c r="J86" i="52094"/>
  <c r="F86" i="52077"/>
  <c r="F168" i="52094"/>
  <c r="F242" i="52094" s="1"/>
  <c r="F155" i="52077"/>
  <c r="G120" i="52075"/>
  <c r="K120" i="52075" s="1"/>
  <c r="L112" i="111"/>
  <c r="B112" i="52077"/>
  <c r="H112" i="52077"/>
  <c r="J112" i="52077" s="1"/>
  <c r="G165" i="52094"/>
  <c r="F164" i="52077"/>
  <c r="J165" i="52094"/>
  <c r="G74" i="52075"/>
  <c r="J74" i="52075" s="1"/>
  <c r="G74" i="52095"/>
  <c r="P74" i="111"/>
  <c r="J74" i="52095"/>
  <c r="B116" i="52095"/>
  <c r="C239" i="52095"/>
  <c r="K116" i="52095"/>
  <c r="L147" i="52095"/>
  <c r="J85" i="52081"/>
  <c r="J80" i="52081"/>
  <c r="B99" i="52083"/>
  <c r="C99" i="52097"/>
  <c r="H138" i="52097"/>
  <c r="D138" i="52083"/>
  <c r="B78" i="52083"/>
  <c r="C78" i="52097"/>
  <c r="C82" i="52082"/>
  <c r="J82" i="52082" s="1"/>
  <c r="L82" i="52082" s="1"/>
  <c r="E82" i="52097"/>
  <c r="O82" i="52097" s="1"/>
  <c r="D141" i="52082"/>
  <c r="G141" i="52097"/>
  <c r="J145" i="101"/>
  <c r="D145" i="52082"/>
  <c r="G145" i="52097"/>
  <c r="G144" i="52097"/>
  <c r="D144" i="52082"/>
  <c r="J131" i="101"/>
  <c r="F154" i="101"/>
  <c r="B86" i="52083"/>
  <c r="H86" i="52083" s="1"/>
  <c r="C86" i="52097"/>
  <c r="E147" i="52097"/>
  <c r="C147" i="52082"/>
  <c r="D85" i="52082"/>
  <c r="G85" i="52097"/>
  <c r="B74" i="52083"/>
  <c r="C74" i="52097"/>
  <c r="E72" i="52097"/>
  <c r="C72" i="52082"/>
  <c r="C180" i="52082"/>
  <c r="E180" i="52097"/>
  <c r="D83" i="52082"/>
  <c r="G83" i="52097"/>
  <c r="G145" i="52075"/>
  <c r="J145" i="52075" s="1"/>
  <c r="J145" i="52095"/>
  <c r="P145" i="111"/>
  <c r="G73" i="52081"/>
  <c r="G171" i="110"/>
  <c r="D170" i="52103"/>
  <c r="D170" i="52084"/>
  <c r="J91" i="77"/>
  <c r="C91" i="52104"/>
  <c r="C91" i="52076"/>
  <c r="F91" i="111"/>
  <c r="J173" i="52090"/>
  <c r="D172" i="52075"/>
  <c r="H173" i="111"/>
  <c r="J180" i="52095"/>
  <c r="P180" i="111"/>
  <c r="G180" i="52095"/>
  <c r="J114" i="52095"/>
  <c r="G114" i="52075"/>
  <c r="J114" i="52075" s="1"/>
  <c r="G114" i="52095"/>
  <c r="P114" i="111"/>
  <c r="D160" i="52075"/>
  <c r="H161" i="111"/>
  <c r="J82" i="115"/>
  <c r="L82" i="115" s="1"/>
  <c r="L180" i="20"/>
  <c r="L147" i="52090"/>
  <c r="L120" i="52094"/>
  <c r="L162" i="111"/>
  <c r="B161" i="52077"/>
  <c r="P91" i="111"/>
  <c r="G91" i="52075"/>
  <c r="J91" i="52075" s="1"/>
  <c r="B103" i="52081"/>
  <c r="C238" i="52081"/>
  <c r="K103" i="52081"/>
  <c r="K203" i="52081" s="1"/>
  <c r="C203" i="52081"/>
  <c r="G76" i="52081"/>
  <c r="J76" i="52081"/>
  <c r="J178" i="52081"/>
  <c r="G178" i="52081"/>
  <c r="C91" i="52097"/>
  <c r="B91" i="52083"/>
  <c r="C239" i="52087"/>
  <c r="B116" i="52087"/>
  <c r="L114" i="52094"/>
  <c r="J83" i="52081"/>
  <c r="D100" i="52103"/>
  <c r="D100" i="52084"/>
  <c r="G100" i="110"/>
  <c r="C83" i="111"/>
  <c r="C83" i="52074"/>
  <c r="E83" i="52104"/>
  <c r="I83" i="52104"/>
  <c r="K83" i="52104" s="1"/>
  <c r="J68" i="52090"/>
  <c r="D68" i="52075"/>
  <c r="H68" i="111"/>
  <c r="B73" i="52075"/>
  <c r="M73" i="111"/>
  <c r="I73" i="52075"/>
  <c r="K73" i="52075" s="1"/>
  <c r="J161" i="77"/>
  <c r="L161" i="77" s="1"/>
  <c r="G157" i="52104"/>
  <c r="K157" i="52104" s="1"/>
  <c r="J147" i="20"/>
  <c r="L147" i="20" s="1"/>
  <c r="H67" i="111"/>
  <c r="D67" i="52075"/>
  <c r="B68" i="52077"/>
  <c r="L68" i="111"/>
  <c r="P109" i="111"/>
  <c r="C239" i="101"/>
  <c r="B116" i="101"/>
  <c r="O162" i="52097"/>
  <c r="B164" i="52083"/>
  <c r="H164" i="52083" s="1"/>
  <c r="C165" i="52097"/>
  <c r="E88" i="52097"/>
  <c r="C88" i="52082"/>
  <c r="J88" i="52082" s="1"/>
  <c r="L88" i="52082" s="1"/>
  <c r="I188" i="52102"/>
  <c r="K188" i="52102" s="1"/>
  <c r="B188" i="52102"/>
  <c r="H189" i="110"/>
  <c r="L189" i="110" s="1"/>
  <c r="G177" i="52100"/>
  <c r="J177" i="52100"/>
  <c r="G176" i="52102"/>
  <c r="K176" i="52102" s="1"/>
  <c r="G166" i="52100"/>
  <c r="J166" i="52100"/>
  <c r="G165" i="52102"/>
  <c r="K165" i="52102" s="1"/>
  <c r="G158" i="52100"/>
  <c r="J158" i="52100"/>
  <c r="G157" i="52102"/>
  <c r="J146" i="52100"/>
  <c r="L146" i="52100" s="1"/>
  <c r="G146" i="52102"/>
  <c r="K146" i="52102" s="1"/>
  <c r="H138" i="110"/>
  <c r="B138" i="52102"/>
  <c r="M138" i="52102" s="1"/>
  <c r="I138" i="52102"/>
  <c r="L119" i="52100"/>
  <c r="L108" i="52100"/>
  <c r="C204" i="93"/>
  <c r="D92" i="52082"/>
  <c r="G92" i="52097"/>
  <c r="D87" i="52083"/>
  <c r="H87" i="52097"/>
  <c r="H172" i="52097"/>
  <c r="D171" i="52083"/>
  <c r="C174" i="52083"/>
  <c r="J175" i="52097"/>
  <c r="I135" i="52097"/>
  <c r="D135" i="52098"/>
  <c r="C10" i="9"/>
  <c r="C10" i="52098"/>
  <c r="H10" i="52098" s="1"/>
  <c r="B19" i="52082"/>
  <c r="B19" i="52097"/>
  <c r="C179" i="52098"/>
  <c r="C180" i="9"/>
  <c r="C175" i="52097"/>
  <c r="B174" i="52083"/>
  <c r="I191" i="9"/>
  <c r="E124" i="52083"/>
  <c r="D124" i="52097"/>
  <c r="C125" i="52083"/>
  <c r="J125" i="52097"/>
  <c r="D12" i="52082"/>
  <c r="G12" i="52097"/>
  <c r="J192" i="52100"/>
  <c r="G192" i="52100"/>
  <c r="G191" i="52102"/>
  <c r="K191" i="52102" s="1"/>
  <c r="G180" i="52100"/>
  <c r="J180" i="52100"/>
  <c r="G179" i="52102"/>
  <c r="K179" i="52102" s="1"/>
  <c r="G172" i="52100"/>
  <c r="J172" i="52100"/>
  <c r="G171" i="52102"/>
  <c r="K171" i="52102" s="1"/>
  <c r="J161" i="52100"/>
  <c r="G161" i="52100"/>
  <c r="I160" i="52102" s="1"/>
  <c r="G160" i="52102"/>
  <c r="G149" i="52100"/>
  <c r="L149" i="52100" s="1"/>
  <c r="J149" i="52100"/>
  <c r="G149" i="52102"/>
  <c r="G141" i="52102"/>
  <c r="J141" i="52102" s="1"/>
  <c r="J141" i="52100"/>
  <c r="L141" i="52100" s="1"/>
  <c r="J133" i="52100"/>
  <c r="G133" i="52100"/>
  <c r="G133" i="52102"/>
  <c r="J111" i="52100"/>
  <c r="G111" i="52100"/>
  <c r="G111" i="52102"/>
  <c r="J111" i="52102" s="1"/>
  <c r="G100" i="52100"/>
  <c r="J100" i="52100"/>
  <c r="G100" i="52102"/>
  <c r="J92" i="52100"/>
  <c r="G92" i="52100"/>
  <c r="G92" i="52102"/>
  <c r="K92" i="52102" s="1"/>
  <c r="G83" i="52100"/>
  <c r="J83" i="52100"/>
  <c r="G83" i="52102"/>
  <c r="G75" i="52100"/>
  <c r="J75" i="52100"/>
  <c r="G75" i="52102"/>
  <c r="C238" i="52100"/>
  <c r="C203" i="52100"/>
  <c r="B103" i="52100"/>
  <c r="K103" i="52100"/>
  <c r="K203" i="52100" s="1"/>
  <c r="D175" i="52097"/>
  <c r="E174" i="52083"/>
  <c r="F51" i="114"/>
  <c r="J21" i="114"/>
  <c r="L21" i="114" s="1"/>
  <c r="J173" i="52097"/>
  <c r="C172" i="52083"/>
  <c r="J163" i="114"/>
  <c r="L163" i="114" s="1"/>
  <c r="B87" i="52097"/>
  <c r="B87" i="52082"/>
  <c r="K173" i="52098"/>
  <c r="G173" i="52098"/>
  <c r="B174" i="9"/>
  <c r="B173" i="52098"/>
  <c r="C81" i="52097"/>
  <c r="B81" i="52083"/>
  <c r="C68" i="9"/>
  <c r="C68" i="52098"/>
  <c r="B114" i="52082"/>
  <c r="J114" i="52082" s="1"/>
  <c r="B114" i="52097"/>
  <c r="O114" i="52097" s="1"/>
  <c r="D101" i="52098"/>
  <c r="I101" i="52097"/>
  <c r="B49" i="52088"/>
  <c r="D17" i="111"/>
  <c r="B17" i="52074"/>
  <c r="H17" i="52074"/>
  <c r="L140" i="12"/>
  <c r="L81" i="20"/>
  <c r="B49" i="12"/>
  <c r="D139" i="52098"/>
  <c r="I139" i="52097"/>
  <c r="K17" i="52098"/>
  <c r="G17" i="52098"/>
  <c r="B17" i="9"/>
  <c r="B17" i="52098"/>
  <c r="J73" i="108"/>
  <c r="D174" i="52097"/>
  <c r="E173" i="52083"/>
  <c r="J149" i="52097"/>
  <c r="C149" i="52083"/>
  <c r="D12" i="111"/>
  <c r="B12" i="52074"/>
  <c r="H12" i="52074"/>
  <c r="G76" i="111"/>
  <c r="D76" i="52074"/>
  <c r="C76" i="52102"/>
  <c r="I183" i="9"/>
  <c r="G183" i="233"/>
  <c r="K183" i="233" s="1"/>
  <c r="G64" i="21"/>
  <c r="F70" i="21"/>
  <c r="I70" i="21" s="1"/>
  <c r="J64" i="21"/>
  <c r="F64" i="52098"/>
  <c r="C173" i="52098"/>
  <c r="C174" i="9"/>
  <c r="E17" i="52083"/>
  <c r="D17" i="52097"/>
  <c r="D138" i="52097"/>
  <c r="E138" i="52083"/>
  <c r="I90" i="9"/>
  <c r="E12" i="52097"/>
  <c r="C12" i="52082"/>
  <c r="G19" i="52097"/>
  <c r="D19" i="52082"/>
  <c r="C13" i="52083"/>
  <c r="J13" i="52097"/>
  <c r="J76" i="52097"/>
  <c r="C76" i="52083"/>
  <c r="L192" i="20"/>
  <c r="D98" i="52074"/>
  <c r="C98" i="52102"/>
  <c r="G98" i="111"/>
  <c r="L98" i="114"/>
  <c r="G175" i="52104"/>
  <c r="K175" i="52104" s="1"/>
  <c r="C176" i="111"/>
  <c r="C175" i="52074"/>
  <c r="E175" i="52104"/>
  <c r="L181" i="12"/>
  <c r="E136" i="52097"/>
  <c r="C136" i="52082"/>
  <c r="J126" i="52097"/>
  <c r="C126" i="52083"/>
  <c r="F201" i="52071"/>
  <c r="J201" i="52071" s="1"/>
  <c r="J187" i="52071"/>
  <c r="J85" i="52097"/>
  <c r="C85" i="52083"/>
  <c r="G49" i="21"/>
  <c r="F49" i="52098"/>
  <c r="I49" i="52098" s="1"/>
  <c r="J49" i="21"/>
  <c r="G114" i="233"/>
  <c r="J114" i="233" s="1"/>
  <c r="B98" i="52097"/>
  <c r="B98" i="52082"/>
  <c r="B179" i="52098"/>
  <c r="B180" i="9"/>
  <c r="K179" i="52098"/>
  <c r="G179" i="52098"/>
  <c r="K193" i="52082"/>
  <c r="L193" i="52082"/>
  <c r="D75" i="52097"/>
  <c r="E75" i="52083"/>
  <c r="B136" i="52083"/>
  <c r="C136" i="52097"/>
  <c r="J87" i="77"/>
  <c r="G87" i="77"/>
  <c r="L166" i="52089"/>
  <c r="L173" i="52091"/>
  <c r="L93" i="52092"/>
  <c r="L150" i="52093"/>
  <c r="G162" i="52080"/>
  <c r="I161" i="52075" s="1"/>
  <c r="K161" i="52075" s="1"/>
  <c r="J162" i="52080"/>
  <c r="J142" i="32"/>
  <c r="L142" i="32" s="1"/>
  <c r="C122" i="110"/>
  <c r="L122" i="110" s="1"/>
  <c r="E122" i="52103"/>
  <c r="M122" i="52103" s="1"/>
  <c r="I122" i="52103"/>
  <c r="K122" i="52103" s="1"/>
  <c r="J81" i="48"/>
  <c r="G81" i="48"/>
  <c r="F81" i="52084"/>
  <c r="G100" i="48"/>
  <c r="F100" i="52084"/>
  <c r="I100" i="52084" s="1"/>
  <c r="F163" i="52084"/>
  <c r="I163" i="52084" s="1"/>
  <c r="G164" i="48"/>
  <c r="C239" i="52066"/>
  <c r="B116" i="52066"/>
  <c r="K116" i="52066"/>
  <c r="L149" i="52066"/>
  <c r="L78" i="52092"/>
  <c r="B212" i="52087"/>
  <c r="C46" i="52087"/>
  <c r="C47" i="52087" s="1"/>
  <c r="C32" i="52087"/>
  <c r="C33" i="52087" s="1"/>
  <c r="B211" i="52087"/>
  <c r="C51" i="52087"/>
  <c r="B49" i="52087"/>
  <c r="C220" i="52087"/>
  <c r="B95" i="52087"/>
  <c r="B207" i="52087"/>
  <c r="B215" i="52087"/>
  <c r="I72" i="52097"/>
  <c r="D72" i="52098"/>
  <c r="H17" i="52097"/>
  <c r="D17" i="52083"/>
  <c r="F103" i="52079"/>
  <c r="J70" i="52079"/>
  <c r="G111" i="114"/>
  <c r="L111" i="114" s="1"/>
  <c r="J111" i="114"/>
  <c r="C219" i="105"/>
  <c r="C226" i="105"/>
  <c r="C75" i="9"/>
  <c r="C75" i="52098"/>
  <c r="E12" i="52082"/>
  <c r="F12" i="52097"/>
  <c r="J137" i="52097"/>
  <c r="C137" i="52083"/>
  <c r="L183" i="114"/>
  <c r="L93" i="52089"/>
  <c r="E87" i="52083"/>
  <c r="D87" i="52097"/>
  <c r="E126" i="52082"/>
  <c r="F126" i="52097"/>
  <c r="C240" i="108"/>
  <c r="B129" i="108"/>
  <c r="E140" i="52082"/>
  <c r="F140" i="52097"/>
  <c r="B95" i="52071"/>
  <c r="B207" i="52071"/>
  <c r="C32" i="52071"/>
  <c r="C33" i="52071" s="1"/>
  <c r="C51" i="52071"/>
  <c r="C46" i="52071"/>
  <c r="C47" i="52071" s="1"/>
  <c r="B212" i="52071"/>
  <c r="C220" i="52071"/>
  <c r="B215" i="52071"/>
  <c r="B211" i="52071"/>
  <c r="F163" i="52097"/>
  <c r="E163" i="52082"/>
  <c r="C88" i="52083"/>
  <c r="I88" i="52083" s="1"/>
  <c r="K88" i="52083" s="1"/>
  <c r="J88" i="52097"/>
  <c r="C179" i="52083"/>
  <c r="J180" i="52097"/>
  <c r="F123" i="52074"/>
  <c r="J123" i="52074" s="1"/>
  <c r="J123" i="115"/>
  <c r="L123" i="115" s="1"/>
  <c r="G123" i="52104"/>
  <c r="K123" i="52104" s="1"/>
  <c r="F11" i="111"/>
  <c r="C11" i="52076"/>
  <c r="F66" i="52074"/>
  <c r="I66" i="52074" s="1"/>
  <c r="G66" i="52089"/>
  <c r="C13" i="52077"/>
  <c r="J13" i="111"/>
  <c r="J133" i="115"/>
  <c r="L133" i="115" s="1"/>
  <c r="G133" i="52104"/>
  <c r="K133" i="52104" s="1"/>
  <c r="J195" i="115"/>
  <c r="L195" i="115" s="1"/>
  <c r="G194" i="52104"/>
  <c r="K194" i="52104" s="1"/>
  <c r="G181" i="20"/>
  <c r="J181" i="20"/>
  <c r="F180" i="52074"/>
  <c r="J180" i="52074" s="1"/>
  <c r="J87" i="12"/>
  <c r="F87" i="52076"/>
  <c r="G87" i="12"/>
  <c r="J171" i="12"/>
  <c r="G171" i="12"/>
  <c r="L171" i="12" s="1"/>
  <c r="F170" i="52076"/>
  <c r="G147" i="111"/>
  <c r="D147" i="52074"/>
  <c r="C147" i="52102"/>
  <c r="H95" i="52082"/>
  <c r="K95" i="52082" s="1"/>
  <c r="G95" i="148"/>
  <c r="J95" i="148"/>
  <c r="M95" i="52097"/>
  <c r="F185" i="101"/>
  <c r="F243" i="101" s="1"/>
  <c r="G170" i="101"/>
  <c r="J170" i="101"/>
  <c r="I163" i="52097"/>
  <c r="D162" i="52098"/>
  <c r="C46" i="21"/>
  <c r="C47" i="21" s="1"/>
  <c r="C51" i="21"/>
  <c r="B212" i="21"/>
  <c r="C32" i="21"/>
  <c r="C33" i="21" s="1"/>
  <c r="B207" i="21"/>
  <c r="B211" i="21"/>
  <c r="C220" i="21"/>
  <c r="B215" i="21"/>
  <c r="I176" i="9"/>
  <c r="G176" i="233"/>
  <c r="K176" i="233" s="1"/>
  <c r="E81" i="52083"/>
  <c r="D81" i="52097"/>
  <c r="Q65" i="52097"/>
  <c r="I138" i="9"/>
  <c r="G138" i="233"/>
  <c r="J138" i="233" s="1"/>
  <c r="C138" i="9"/>
  <c r="C138" i="52098"/>
  <c r="G70" i="148"/>
  <c r="G103" i="148" s="1"/>
  <c r="B66" i="52097"/>
  <c r="O66" i="52097" s="1"/>
  <c r="B66" i="52082"/>
  <c r="J66" i="52082" s="1"/>
  <c r="L66" i="52082" s="1"/>
  <c r="E83" i="52083"/>
  <c r="D83" i="52097"/>
  <c r="G164" i="20"/>
  <c r="J164" i="20"/>
  <c r="F163" i="52074"/>
  <c r="J192" i="12"/>
  <c r="L192" i="12" s="1"/>
  <c r="F191" i="52076"/>
  <c r="C226" i="52090"/>
  <c r="C219" i="52090"/>
  <c r="J118" i="52091"/>
  <c r="F129" i="52091"/>
  <c r="G166" i="52092"/>
  <c r="L166" i="52092" s="1"/>
  <c r="J166" i="52092"/>
  <c r="K134" i="111"/>
  <c r="R134" i="111" s="1"/>
  <c r="D134" i="52077"/>
  <c r="D134" i="52076"/>
  <c r="I134" i="52076" s="1"/>
  <c r="H134" i="52076"/>
  <c r="J134" i="52076" s="1"/>
  <c r="H134" i="52077"/>
  <c r="J134" i="52077" s="1"/>
  <c r="G196" i="52075"/>
  <c r="K196" i="52075" s="1"/>
  <c r="L143" i="52080"/>
  <c r="G157" i="52103"/>
  <c r="K157" i="52103" s="1"/>
  <c r="G78" i="52066"/>
  <c r="J78" i="52066"/>
  <c r="C179" i="52103"/>
  <c r="C179" i="52084"/>
  <c r="E180" i="110"/>
  <c r="K73" i="111"/>
  <c r="D73" i="52076"/>
  <c r="I73" i="52076" s="1"/>
  <c r="D73" i="52077"/>
  <c r="I73" i="52077" s="1"/>
  <c r="G96" i="52093"/>
  <c r="L96" i="52093" s="1"/>
  <c r="J96" i="52093"/>
  <c r="G147" i="52093"/>
  <c r="G161" i="52094"/>
  <c r="J161" i="52094"/>
  <c r="F160" i="52077"/>
  <c r="G83" i="52095"/>
  <c r="J83" i="52095"/>
  <c r="G83" i="52075"/>
  <c r="J83" i="52075" s="1"/>
  <c r="P83" i="111"/>
  <c r="J144" i="52095"/>
  <c r="L144" i="52095" s="1"/>
  <c r="G144" i="52075"/>
  <c r="K144" i="52075" s="1"/>
  <c r="P144" i="111"/>
  <c r="G181" i="52080"/>
  <c r="J181" i="52080"/>
  <c r="C219" i="52089"/>
  <c r="C226" i="52089"/>
  <c r="J181" i="114"/>
  <c r="G181" i="114"/>
  <c r="G178" i="20"/>
  <c r="L178" i="20" s="1"/>
  <c r="J178" i="20"/>
  <c r="F177" i="52074"/>
  <c r="J177" i="52074" s="1"/>
  <c r="J178" i="12"/>
  <c r="G178" i="12"/>
  <c r="L178" i="12" s="1"/>
  <c r="F177" i="52076"/>
  <c r="B12" i="52075"/>
  <c r="M12" i="111"/>
  <c r="J175" i="52095"/>
  <c r="G175" i="52095"/>
  <c r="P175" i="111"/>
  <c r="T175" i="111" s="1"/>
  <c r="G174" i="52075"/>
  <c r="K174" i="52075" s="1"/>
  <c r="G90" i="52080"/>
  <c r="L90" i="52080" s="1"/>
  <c r="J90" i="52080"/>
  <c r="G107" i="32"/>
  <c r="J107" i="32"/>
  <c r="J107" i="110"/>
  <c r="N107" i="110" s="1"/>
  <c r="G149" i="32"/>
  <c r="J149" i="32"/>
  <c r="J149" i="110"/>
  <c r="G95" i="52103"/>
  <c r="J95" i="52103" s="1"/>
  <c r="J119" i="91"/>
  <c r="L119" i="91" s="1"/>
  <c r="G119" i="52103"/>
  <c r="K119" i="52103" s="1"/>
  <c r="G111" i="52092"/>
  <c r="J111" i="52092"/>
  <c r="J145" i="52092"/>
  <c r="L145" i="52092" s="1"/>
  <c r="F185" i="52092"/>
  <c r="I185" i="52092" s="1"/>
  <c r="J170" i="52092"/>
  <c r="G170" i="52092"/>
  <c r="D18" i="52076"/>
  <c r="I18" i="52076" s="1"/>
  <c r="K18" i="111"/>
  <c r="D18" i="52077"/>
  <c r="I18" i="52077" s="1"/>
  <c r="G72" i="52093"/>
  <c r="L72" i="52093" s="1"/>
  <c r="J72" i="52093"/>
  <c r="J149" i="52095"/>
  <c r="G149" i="52095"/>
  <c r="P149" i="111"/>
  <c r="G149" i="52075"/>
  <c r="J149" i="52075" s="1"/>
  <c r="J80" i="52080"/>
  <c r="G80" i="52080"/>
  <c r="K129" i="52080"/>
  <c r="B129" i="52080"/>
  <c r="C240" i="52080"/>
  <c r="G78" i="32"/>
  <c r="J78" i="110"/>
  <c r="J78" i="32"/>
  <c r="G175" i="32"/>
  <c r="J175" i="32"/>
  <c r="J175" i="110"/>
  <c r="N175" i="110" s="1"/>
  <c r="J87" i="91"/>
  <c r="G87" i="91"/>
  <c r="G87" i="52103"/>
  <c r="K87" i="52103" s="1"/>
  <c r="E146" i="52103"/>
  <c r="I146" i="52103"/>
  <c r="C146" i="110"/>
  <c r="C141" i="110"/>
  <c r="I141" i="52103"/>
  <c r="E141" i="52103"/>
  <c r="H152" i="91"/>
  <c r="L152" i="91" s="1"/>
  <c r="G154" i="91"/>
  <c r="C145" i="110"/>
  <c r="E145" i="52103"/>
  <c r="I145" i="52103"/>
  <c r="J131" i="91"/>
  <c r="F154" i="91"/>
  <c r="I154" i="91" s="1"/>
  <c r="G131" i="52103"/>
  <c r="J161" i="91"/>
  <c r="G160" i="52103"/>
  <c r="G108" i="48"/>
  <c r="L108" i="48" s="1"/>
  <c r="F108" i="52084"/>
  <c r="J108" i="48"/>
  <c r="J187" i="52066"/>
  <c r="L187" i="52066" s="1"/>
  <c r="F201" i="52066"/>
  <c r="J201" i="52066" s="1"/>
  <c r="G75" i="52072"/>
  <c r="J75" i="52072"/>
  <c r="G90" i="52072"/>
  <c r="J90" i="52072"/>
  <c r="G178" i="52072"/>
  <c r="J178" i="52072"/>
  <c r="J135" i="52097"/>
  <c r="C135" i="52083"/>
  <c r="G186" i="52104"/>
  <c r="J187" i="115"/>
  <c r="L187" i="115" s="1"/>
  <c r="F201" i="115"/>
  <c r="J201" i="115" s="1"/>
  <c r="G93" i="20"/>
  <c r="F93" i="52074"/>
  <c r="J93" i="20"/>
  <c r="J176" i="77"/>
  <c r="G176" i="77"/>
  <c r="L176" i="77" s="1"/>
  <c r="J79" i="52091"/>
  <c r="P79" i="111"/>
  <c r="J93" i="52094"/>
  <c r="G93" i="52094"/>
  <c r="F93" i="52077"/>
  <c r="J159" i="52094"/>
  <c r="L159" i="52094" s="1"/>
  <c r="F158" i="52077"/>
  <c r="L158" i="52077" s="1"/>
  <c r="J165" i="32"/>
  <c r="L165" i="32" s="1"/>
  <c r="E164" i="52102"/>
  <c r="B165" i="110"/>
  <c r="L83" i="48"/>
  <c r="F83" i="110"/>
  <c r="B83" i="52084"/>
  <c r="B83" i="52103"/>
  <c r="L158" i="48"/>
  <c r="J72" i="52066"/>
  <c r="G72" i="52066"/>
  <c r="C143" i="52103"/>
  <c r="C143" i="52084"/>
  <c r="E143" i="110"/>
  <c r="K154" i="52066"/>
  <c r="C241" i="52066"/>
  <c r="B154" i="52066"/>
  <c r="C141" i="52103"/>
  <c r="E141" i="110"/>
  <c r="C141" i="52084"/>
  <c r="H152" i="52066"/>
  <c r="L152" i="52066" s="1"/>
  <c r="J131" i="52066"/>
  <c r="F154" i="52066"/>
  <c r="G174" i="52066"/>
  <c r="L174" i="52066" s="1"/>
  <c r="J174" i="52066"/>
  <c r="G76" i="52092"/>
  <c r="L76" i="52092" s="1"/>
  <c r="J76" i="52092"/>
  <c r="K13" i="111"/>
  <c r="D13" i="52077"/>
  <c r="I13" i="52077" s="1"/>
  <c r="D13" i="52076"/>
  <c r="I13" i="52076" s="1"/>
  <c r="G85" i="52075"/>
  <c r="G164" i="111"/>
  <c r="C163" i="52102"/>
  <c r="D163" i="52074"/>
  <c r="J49" i="115"/>
  <c r="G49" i="52104"/>
  <c r="K49" i="52104" s="1"/>
  <c r="G101" i="12"/>
  <c r="J101" i="12"/>
  <c r="F101" i="52076"/>
  <c r="G94" i="77"/>
  <c r="J94" i="77"/>
  <c r="D16" i="52075"/>
  <c r="H16" i="111"/>
  <c r="P190" i="111"/>
  <c r="T190" i="111" s="1"/>
  <c r="G92" i="52080"/>
  <c r="J92" i="52080"/>
  <c r="G157" i="52075"/>
  <c r="K157" i="52075" s="1"/>
  <c r="J137" i="32"/>
  <c r="L137" i="32" s="1"/>
  <c r="J137" i="110"/>
  <c r="N137" i="110" s="1"/>
  <c r="L144" i="52066"/>
  <c r="C226" i="52072"/>
  <c r="C219" i="52072"/>
  <c r="C239" i="52092"/>
  <c r="B116" i="52092"/>
  <c r="K116" i="52092"/>
  <c r="C151" i="52077"/>
  <c r="J152" i="111"/>
  <c r="D93" i="52077"/>
  <c r="I93" i="52077" s="1"/>
  <c r="D93" i="52076"/>
  <c r="I93" i="52076" s="1"/>
  <c r="K93" i="111"/>
  <c r="L93" i="52093"/>
  <c r="B18" i="52075"/>
  <c r="M18" i="111"/>
  <c r="E74" i="52075"/>
  <c r="N74" i="111"/>
  <c r="G96" i="52080"/>
  <c r="L96" i="52080" s="1"/>
  <c r="J96" i="52080"/>
  <c r="N198" i="110"/>
  <c r="L109" i="91"/>
  <c r="G109" i="52103"/>
  <c r="J145" i="91"/>
  <c r="L145" i="91" s="1"/>
  <c r="J118" i="52066"/>
  <c r="L118" i="52066" s="1"/>
  <c r="F129" i="52066"/>
  <c r="F240" i="52066" s="1"/>
  <c r="G67" i="52072"/>
  <c r="J67" i="52072" s="1"/>
  <c r="J249" i="52072" s="1"/>
  <c r="J78" i="52072"/>
  <c r="G78" i="52072"/>
  <c r="I86" i="52102"/>
  <c r="K86" i="52102" s="1"/>
  <c r="D86" i="110"/>
  <c r="D86" i="52102"/>
  <c r="G114" i="52072"/>
  <c r="J114" i="52072"/>
  <c r="G93" i="52072"/>
  <c r="J93" i="52072"/>
  <c r="G181" i="52072"/>
  <c r="J181" i="52072"/>
  <c r="I72" i="93"/>
  <c r="F81" i="93"/>
  <c r="G83" i="32"/>
  <c r="J83" i="32"/>
  <c r="J83" i="110"/>
  <c r="B143" i="52103"/>
  <c r="H143" i="52084"/>
  <c r="F143" i="110"/>
  <c r="B143" i="52084"/>
  <c r="B141" i="52103"/>
  <c r="H141" i="52084"/>
  <c r="F141" i="110"/>
  <c r="B141" i="52084"/>
  <c r="B142" i="52103"/>
  <c r="M142" i="52103" s="1"/>
  <c r="H142" i="52084"/>
  <c r="J142" i="52084" s="1"/>
  <c r="B142" i="52084"/>
  <c r="F142" i="110"/>
  <c r="B144" i="52103"/>
  <c r="M144" i="52103" s="1"/>
  <c r="F144" i="110"/>
  <c r="B144" i="52084"/>
  <c r="H144" i="52084"/>
  <c r="D135" i="52102"/>
  <c r="D135" i="110"/>
  <c r="B116" i="52064"/>
  <c r="C239" i="52064"/>
  <c r="F201" i="52100"/>
  <c r="J201" i="52100" s="1"/>
  <c r="G187" i="52100"/>
  <c r="J187" i="52100"/>
  <c r="G186" i="52102"/>
  <c r="G164" i="52100"/>
  <c r="J164" i="52100"/>
  <c r="G163" i="52102"/>
  <c r="J163" i="52102" s="1"/>
  <c r="J144" i="52100"/>
  <c r="L144" i="52100" s="1"/>
  <c r="G144" i="52102"/>
  <c r="K144" i="52102" s="1"/>
  <c r="G125" i="52100"/>
  <c r="J125" i="52100"/>
  <c r="G125" i="52102"/>
  <c r="K125" i="52102" s="1"/>
  <c r="J106" i="52100"/>
  <c r="L106" i="52100" s="1"/>
  <c r="G106" i="52102"/>
  <c r="B67" i="52102"/>
  <c r="H67" i="110"/>
  <c r="L67" i="52100"/>
  <c r="C32" i="52100"/>
  <c r="B207" i="52100"/>
  <c r="B211" i="52100"/>
  <c r="C220" i="52100"/>
  <c r="C51" i="52100"/>
  <c r="C46" i="52100"/>
  <c r="C47" i="52100" s="1"/>
  <c r="B212" i="52100"/>
  <c r="B215" i="52100"/>
  <c r="Q162" i="52097"/>
  <c r="C243" i="52067"/>
  <c r="G93" i="52104"/>
  <c r="C93" i="111"/>
  <c r="C93" i="52074"/>
  <c r="I93" i="52104"/>
  <c r="E93" i="52104"/>
  <c r="G165" i="233"/>
  <c r="J100" i="108"/>
  <c r="F75" i="52097"/>
  <c r="E75" i="52082"/>
  <c r="L183" i="52100"/>
  <c r="L163" i="52100"/>
  <c r="L143" i="52100"/>
  <c r="L124" i="52100"/>
  <c r="G105" i="52100"/>
  <c r="F116" i="52100"/>
  <c r="J105" i="52100"/>
  <c r="G105" i="52102"/>
  <c r="G85" i="52100"/>
  <c r="J85" i="52100" s="1"/>
  <c r="G85" i="52102"/>
  <c r="B66" i="52102"/>
  <c r="H66" i="110"/>
  <c r="I66" i="52102"/>
  <c r="K66" i="52102" s="1"/>
  <c r="D142" i="52076"/>
  <c r="I142" i="52076" s="1"/>
  <c r="K142" i="111"/>
  <c r="D142" i="52077"/>
  <c r="I142" i="52077" s="1"/>
  <c r="L142" i="52077" s="1"/>
  <c r="D141" i="52077"/>
  <c r="I141" i="52077" s="1"/>
  <c r="D141" i="52076"/>
  <c r="I141" i="52076" s="1"/>
  <c r="K141" i="111"/>
  <c r="H152" i="52093"/>
  <c r="L152" i="52093" s="1"/>
  <c r="D146" i="52076"/>
  <c r="I146" i="52076" s="1"/>
  <c r="D146" i="52077"/>
  <c r="I146" i="52077" s="1"/>
  <c r="K146" i="111"/>
  <c r="J131" i="52093"/>
  <c r="F154" i="52093"/>
  <c r="C124" i="52082"/>
  <c r="J124" i="52082" s="1"/>
  <c r="L124" i="52082" s="1"/>
  <c r="E124" i="52097"/>
  <c r="C240" i="52079"/>
  <c r="B129" i="52079"/>
  <c r="D173" i="52083"/>
  <c r="H174" i="52097"/>
  <c r="E140" i="52083"/>
  <c r="I140" i="52083" s="1"/>
  <c r="K140" i="52083" s="1"/>
  <c r="D140" i="52097"/>
  <c r="F18" i="52097"/>
  <c r="E18" i="52082"/>
  <c r="D10" i="111"/>
  <c r="B10" i="52074"/>
  <c r="H10" i="52074"/>
  <c r="G92" i="52104"/>
  <c r="K92" i="52104" s="1"/>
  <c r="C92" i="111"/>
  <c r="C92" i="52074"/>
  <c r="I92" i="52104"/>
  <c r="E92" i="52104"/>
  <c r="G67" i="52089"/>
  <c r="J172" i="52089"/>
  <c r="G172" i="52089"/>
  <c r="L146" i="114"/>
  <c r="J64" i="52089"/>
  <c r="G64" i="52089"/>
  <c r="F70" i="52089"/>
  <c r="F103" i="52089" s="1"/>
  <c r="C19" i="52077"/>
  <c r="J19" i="111"/>
  <c r="G142" i="233"/>
  <c r="J142" i="233" s="1"/>
  <c r="J73" i="52064"/>
  <c r="C73" i="9"/>
  <c r="C73" i="52098"/>
  <c r="B161" i="52097"/>
  <c r="O161" i="52097" s="1"/>
  <c r="B161" i="52082"/>
  <c r="I13" i="52097"/>
  <c r="D13" i="52098"/>
  <c r="G87" i="20"/>
  <c r="L87" i="20" s="1"/>
  <c r="J87" i="20"/>
  <c r="F87" i="52074"/>
  <c r="J87" i="52074" s="1"/>
  <c r="G94" i="111"/>
  <c r="D94" i="52074"/>
  <c r="C94" i="52102"/>
  <c r="J81" i="114"/>
  <c r="G81" i="114"/>
  <c r="G177" i="12"/>
  <c r="J177" i="12"/>
  <c r="F176" i="52076"/>
  <c r="G144" i="233"/>
  <c r="J144" i="233" s="1"/>
  <c r="F181" i="52097"/>
  <c r="E181" i="52082"/>
  <c r="L146" i="12"/>
  <c r="C177" i="52075"/>
  <c r="B178" i="111"/>
  <c r="C12" i="52098"/>
  <c r="C12" i="9"/>
  <c r="C75" i="52082"/>
  <c r="E75" i="52097"/>
  <c r="E137" i="52097"/>
  <c r="C137" i="52082"/>
  <c r="G101" i="52092"/>
  <c r="J101" i="52092"/>
  <c r="C32" i="52080"/>
  <c r="B215" i="52080"/>
  <c r="B207" i="52080"/>
  <c r="C51" i="52080"/>
  <c r="B211" i="52080"/>
  <c r="C46" i="52080"/>
  <c r="C47" i="52080" s="1"/>
  <c r="C220" i="52080"/>
  <c r="B212" i="52080"/>
  <c r="J126" i="91"/>
  <c r="G126" i="91"/>
  <c r="G126" i="52103"/>
  <c r="K126" i="52103" s="1"/>
  <c r="G90" i="48"/>
  <c r="I90" i="52103" s="1"/>
  <c r="K90" i="52103" s="1"/>
  <c r="J90" i="48"/>
  <c r="F90" i="52084"/>
  <c r="J175" i="48"/>
  <c r="G175" i="48"/>
  <c r="L175" i="48" s="1"/>
  <c r="F174" i="52084"/>
  <c r="J174" i="52084" s="1"/>
  <c r="B168" i="52092"/>
  <c r="K168" i="52092"/>
  <c r="C242" i="52092"/>
  <c r="C19" i="52076"/>
  <c r="F19" i="111"/>
  <c r="J12" i="52097"/>
  <c r="O12" i="52097" s="1"/>
  <c r="C12" i="52083"/>
  <c r="L138" i="52082"/>
  <c r="L101" i="52089"/>
  <c r="L93" i="114"/>
  <c r="C134" i="9"/>
  <c r="C134" i="52098"/>
  <c r="J90" i="21"/>
  <c r="B92" i="52083"/>
  <c r="H92" i="52083" s="1"/>
  <c r="C92" i="52097"/>
  <c r="G18" i="52097"/>
  <c r="D18" i="52082"/>
  <c r="J139" i="115"/>
  <c r="L139" i="115" s="1"/>
  <c r="G139" i="52104"/>
  <c r="K139" i="52104" s="1"/>
  <c r="K116" i="52089"/>
  <c r="C239" i="52089"/>
  <c r="B116" i="52089"/>
  <c r="J165" i="148"/>
  <c r="B165" i="52082"/>
  <c r="J165" i="52082" s="1"/>
  <c r="L165" i="52082" s="1"/>
  <c r="B165" i="52097"/>
  <c r="O165" i="52097" s="1"/>
  <c r="L152" i="52091"/>
  <c r="B126" i="52098"/>
  <c r="B126" i="9"/>
  <c r="K126" i="52098"/>
  <c r="G126" i="52098"/>
  <c r="J162" i="52064"/>
  <c r="C162" i="9"/>
  <c r="C161" i="52098"/>
  <c r="C87" i="52074"/>
  <c r="L87" i="115"/>
  <c r="C87" i="111"/>
  <c r="I87" i="52104"/>
  <c r="E87" i="52104"/>
  <c r="L126" i="52091"/>
  <c r="D11" i="52076"/>
  <c r="I11" i="52076" s="1"/>
  <c r="D11" i="52077"/>
  <c r="I11" i="52077" s="1"/>
  <c r="K11" i="111"/>
  <c r="J123" i="52095"/>
  <c r="L123" i="52095" s="1"/>
  <c r="G123" i="52075"/>
  <c r="P123" i="111"/>
  <c r="G147" i="52080"/>
  <c r="J147" i="52080"/>
  <c r="L192" i="48"/>
  <c r="L141" i="52066"/>
  <c r="L110" i="52092"/>
  <c r="L77" i="52093"/>
  <c r="J125" i="52080"/>
  <c r="G125" i="52080"/>
  <c r="L120" i="52089"/>
  <c r="J187" i="20"/>
  <c r="L187" i="20" s="1"/>
  <c r="F186" i="52074"/>
  <c r="F201" i="20"/>
  <c r="J201" i="20" s="1"/>
  <c r="G164" i="77"/>
  <c r="J164" i="77"/>
  <c r="H174" i="111"/>
  <c r="D173" i="52075"/>
  <c r="F141" i="52076"/>
  <c r="J141" i="52093"/>
  <c r="L141" i="52093" s="1"/>
  <c r="J188" i="52094"/>
  <c r="L188" i="52094" s="1"/>
  <c r="F187" i="52077"/>
  <c r="L187" i="52077" s="1"/>
  <c r="J188" i="52095"/>
  <c r="L188" i="52095" s="1"/>
  <c r="G187" i="52075"/>
  <c r="K187" i="52075" s="1"/>
  <c r="P188" i="111"/>
  <c r="T188" i="111" s="1"/>
  <c r="J166" i="52080"/>
  <c r="G166" i="52080"/>
  <c r="G163" i="32"/>
  <c r="J163" i="32" s="1"/>
  <c r="J163" i="110"/>
  <c r="G83" i="52066"/>
  <c r="J83" i="52066"/>
  <c r="G84" i="52080"/>
  <c r="J84" i="52080"/>
  <c r="J65" i="52072"/>
  <c r="G65" i="52072"/>
  <c r="J65" i="110"/>
  <c r="N65" i="110" s="1"/>
  <c r="D28" i="32"/>
  <c r="L197" i="32"/>
  <c r="E150" i="52103"/>
  <c r="C150" i="110"/>
  <c r="J139" i="48"/>
  <c r="L139" i="48" s="1"/>
  <c r="F139" i="52084"/>
  <c r="J139" i="52084" s="1"/>
  <c r="G95" i="52066"/>
  <c r="L163" i="20"/>
  <c r="L150" i="52091"/>
  <c r="L191" i="77"/>
  <c r="L177" i="52091"/>
  <c r="N16" i="111"/>
  <c r="E16" i="52075"/>
  <c r="C94" i="110"/>
  <c r="E94" i="52103"/>
  <c r="I94" i="52103"/>
  <c r="K94" i="52103" s="1"/>
  <c r="J94" i="91"/>
  <c r="L94" i="91" s="1"/>
  <c r="F68" i="52084"/>
  <c r="I68" i="52084" s="1"/>
  <c r="G68" i="48"/>
  <c r="J68" i="48"/>
  <c r="C238" i="52066"/>
  <c r="B103" i="52066"/>
  <c r="K103" i="52066"/>
  <c r="C203" i="52066"/>
  <c r="K185" i="52066"/>
  <c r="C243" i="52066"/>
  <c r="J112" i="52092"/>
  <c r="L112" i="52092" s="1"/>
  <c r="L192" i="52092"/>
  <c r="K98" i="111"/>
  <c r="D98" i="52076"/>
  <c r="I98" i="52076" s="1"/>
  <c r="D98" i="52077"/>
  <c r="I98" i="52077" s="1"/>
  <c r="L178" i="52093"/>
  <c r="L146" i="52095"/>
  <c r="D124" i="52074"/>
  <c r="G124" i="111"/>
  <c r="C124" i="52102"/>
  <c r="H124" i="52074"/>
  <c r="J124" i="52074" s="1"/>
  <c r="I124" i="52102"/>
  <c r="L144" i="115"/>
  <c r="T121" i="111"/>
  <c r="V121" i="111" s="1"/>
  <c r="J162" i="52092"/>
  <c r="G162" i="52092"/>
  <c r="L162" i="52092" s="1"/>
  <c r="P181" i="111"/>
  <c r="T181" i="111" s="1"/>
  <c r="G180" i="52075"/>
  <c r="K180" i="52075" s="1"/>
  <c r="G181" i="52095"/>
  <c r="J181" i="52095"/>
  <c r="J161" i="110"/>
  <c r="J140" i="52066"/>
  <c r="G140" i="52066"/>
  <c r="G66" i="52092"/>
  <c r="F88" i="52076"/>
  <c r="J88" i="52093"/>
  <c r="G166" i="52093"/>
  <c r="J166" i="52093"/>
  <c r="E10" i="52075"/>
  <c r="N10" i="111"/>
  <c r="G86" i="52080"/>
  <c r="I86" i="52075" s="1"/>
  <c r="J86" i="52080"/>
  <c r="J80" i="110"/>
  <c r="M80" i="110" s="1"/>
  <c r="G80" i="32"/>
  <c r="K116" i="91"/>
  <c r="C239" i="91"/>
  <c r="B116" i="91"/>
  <c r="L163" i="91"/>
  <c r="L98" i="52066"/>
  <c r="J171" i="52072"/>
  <c r="L171" i="52072" s="1"/>
  <c r="L172" i="32"/>
  <c r="L111" i="48"/>
  <c r="L125" i="52066"/>
  <c r="D81" i="52102"/>
  <c r="D81" i="110"/>
  <c r="D151" i="52102"/>
  <c r="D152" i="110"/>
  <c r="J187" i="52081"/>
  <c r="F201" i="52081"/>
  <c r="J201" i="52081" s="1"/>
  <c r="C165" i="52098"/>
  <c r="C166" i="9"/>
  <c r="E10" i="52083"/>
  <c r="D10" i="52097"/>
  <c r="G16" i="52098"/>
  <c r="C16" i="52098"/>
  <c r="C16" i="9"/>
  <c r="I16" i="9"/>
  <c r="G16" i="233"/>
  <c r="K16" i="233" s="1"/>
  <c r="D84" i="52097"/>
  <c r="E84" i="52083"/>
  <c r="I84" i="52083" s="1"/>
  <c r="K84" i="52083" s="1"/>
  <c r="H74" i="9"/>
  <c r="I74" i="9"/>
  <c r="G74" i="233"/>
  <c r="J74" i="233" s="1"/>
  <c r="E174" i="52082"/>
  <c r="J174" i="52082" s="1"/>
  <c r="F174" i="52097"/>
  <c r="G75" i="52097"/>
  <c r="D75" i="52082"/>
  <c r="K185" i="12"/>
  <c r="C243" i="12"/>
  <c r="C51" i="77"/>
  <c r="B207" i="77"/>
  <c r="C32" i="77"/>
  <c r="B215" i="77"/>
  <c r="C46" i="77"/>
  <c r="C47" i="77" s="1"/>
  <c r="C220" i="77"/>
  <c r="B211" i="77"/>
  <c r="B212" i="77"/>
  <c r="G112" i="52089"/>
  <c r="J112" i="52089" s="1"/>
  <c r="G148" i="111"/>
  <c r="D148" i="52074"/>
  <c r="C148" i="52102"/>
  <c r="F160" i="52076"/>
  <c r="G161" i="52093"/>
  <c r="L161" i="52093" s="1"/>
  <c r="J161" i="52093"/>
  <c r="J98" i="52094"/>
  <c r="G98" i="52094"/>
  <c r="F98" i="52077"/>
  <c r="H199" i="110"/>
  <c r="L199" i="110" s="1"/>
  <c r="B198" i="52102"/>
  <c r="I198" i="52102"/>
  <c r="G160" i="52100"/>
  <c r="J160" i="52100"/>
  <c r="G159" i="52102"/>
  <c r="J159" i="52102" s="1"/>
  <c r="G140" i="52100"/>
  <c r="J140" i="52100"/>
  <c r="G140" i="52102"/>
  <c r="G121" i="52102"/>
  <c r="G121" i="52100"/>
  <c r="J121" i="110"/>
  <c r="G121" i="233" s="1"/>
  <c r="J121" i="52100"/>
  <c r="G99" i="52100"/>
  <c r="J99" i="52100" s="1"/>
  <c r="G99" i="52102"/>
  <c r="J82" i="52100"/>
  <c r="L82" i="52100" s="1"/>
  <c r="B49" i="52100"/>
  <c r="L197" i="48"/>
  <c r="B137" i="52083"/>
  <c r="C137" i="52097"/>
  <c r="D176" i="52082"/>
  <c r="G176" i="52097"/>
  <c r="I180" i="52097"/>
  <c r="D179" i="52098"/>
  <c r="E49" i="9"/>
  <c r="D137" i="52083"/>
  <c r="H137" i="52097"/>
  <c r="C10" i="52083"/>
  <c r="H10" i="52083" s="1"/>
  <c r="J10" i="52097"/>
  <c r="L190" i="52100"/>
  <c r="G170" i="52100"/>
  <c r="J170" i="52100"/>
  <c r="F185" i="52100"/>
  <c r="G169" i="52102"/>
  <c r="G147" i="52100"/>
  <c r="G147" i="52102"/>
  <c r="J147" i="52100"/>
  <c r="B142" i="52102"/>
  <c r="H142" i="110"/>
  <c r="I142" i="52102"/>
  <c r="K142" i="52102" s="1"/>
  <c r="B146" i="52102"/>
  <c r="H146" i="110"/>
  <c r="I146" i="52102"/>
  <c r="H141" i="110"/>
  <c r="B141" i="52102"/>
  <c r="H152" i="52100"/>
  <c r="I141" i="52102"/>
  <c r="K141" i="52102" s="1"/>
  <c r="J131" i="52100"/>
  <c r="F154" i="52100"/>
  <c r="G131" i="52102"/>
  <c r="J109" i="52100"/>
  <c r="L109" i="52100" s="1"/>
  <c r="G109" i="52102"/>
  <c r="J109" i="52102" s="1"/>
  <c r="G90" i="52102"/>
  <c r="L73" i="52100"/>
  <c r="B49" i="52079"/>
  <c r="D85" i="52097"/>
  <c r="E85" i="52083"/>
  <c r="I85" i="52083" s="1"/>
  <c r="K85" i="52083" s="1"/>
  <c r="I92" i="52097"/>
  <c r="D92" i="52098"/>
  <c r="H92" i="52098" s="1"/>
  <c r="B49" i="52071"/>
  <c r="L144" i="77"/>
  <c r="L119" i="52089"/>
  <c r="E180" i="52083"/>
  <c r="D181" i="52097"/>
  <c r="F78" i="52097"/>
  <c r="E78" i="52082"/>
  <c r="C240" i="21"/>
  <c r="B129" i="21"/>
  <c r="J178" i="52097"/>
  <c r="C177" i="52083"/>
  <c r="C32" i="52090"/>
  <c r="B207" i="52090"/>
  <c r="B215" i="52090"/>
  <c r="C51" i="52090"/>
  <c r="C220" i="52090"/>
  <c r="B212" i="52090"/>
  <c r="B211" i="52090"/>
  <c r="C46" i="52090"/>
  <c r="C47" i="52090" s="1"/>
  <c r="B75" i="52083"/>
  <c r="H75" i="52083" s="1"/>
  <c r="C75" i="52097"/>
  <c r="J162" i="108"/>
  <c r="C17" i="52083"/>
  <c r="J17" i="52097"/>
  <c r="J77" i="52089"/>
  <c r="L77" i="52089" s="1"/>
  <c r="L162" i="52091"/>
  <c r="L166" i="20"/>
  <c r="J161" i="52089"/>
  <c r="L161" i="52089" s="1"/>
  <c r="J142" i="52079"/>
  <c r="L88" i="52089"/>
  <c r="B207" i="52092"/>
  <c r="C32" i="52092"/>
  <c r="B211" i="52092"/>
  <c r="B212" i="52092"/>
  <c r="C51" i="52092"/>
  <c r="C46" i="52092"/>
  <c r="C47" i="52092" s="1"/>
  <c r="B215" i="52092"/>
  <c r="C220" i="52092"/>
  <c r="B85" i="52082"/>
  <c r="J85" i="52082" s="1"/>
  <c r="L85" i="52082" s="1"/>
  <c r="B85" i="52097"/>
  <c r="O85" i="52097" s="1"/>
  <c r="B172" i="52082"/>
  <c r="J172" i="52082" s="1"/>
  <c r="L172" i="52082" s="1"/>
  <c r="B172" i="52097"/>
  <c r="O172" i="52097" s="1"/>
  <c r="C242" i="52064"/>
  <c r="B168" i="52064"/>
  <c r="B165" i="52083"/>
  <c r="H165" i="52083" s="1"/>
  <c r="C166" i="52097"/>
  <c r="F98" i="52097"/>
  <c r="E98" i="52082"/>
  <c r="D174" i="52104"/>
  <c r="H174" i="52074"/>
  <c r="L175" i="20"/>
  <c r="B174" i="52074"/>
  <c r="D175" i="111"/>
  <c r="L178" i="52095"/>
  <c r="K168" i="48"/>
  <c r="B168" i="48"/>
  <c r="C242" i="48"/>
  <c r="J91" i="52066"/>
  <c r="L91" i="52066" s="1"/>
  <c r="L140" i="52092"/>
  <c r="L111" i="52094"/>
  <c r="L144" i="12"/>
  <c r="L174" i="52089"/>
  <c r="I17" i="9"/>
  <c r="G17" i="233"/>
  <c r="K17" i="233" s="1"/>
  <c r="C17" i="52098"/>
  <c r="C17" i="9"/>
  <c r="K116" i="52091"/>
  <c r="B116" i="52091"/>
  <c r="C239" i="52091"/>
  <c r="L116" i="52091"/>
  <c r="F51" i="148"/>
  <c r="J21" i="148"/>
  <c r="M21" i="52097"/>
  <c r="L107" i="12"/>
  <c r="L177" i="20"/>
  <c r="L164" i="12"/>
  <c r="F51" i="52089"/>
  <c r="J21" i="52089"/>
  <c r="D11" i="52082"/>
  <c r="J11" i="52082" s="1"/>
  <c r="L11" i="52082" s="1"/>
  <c r="G11" i="52097"/>
  <c r="O11" i="52097" s="1"/>
  <c r="C81" i="52082"/>
  <c r="E81" i="52097"/>
  <c r="E175" i="52097"/>
  <c r="C175" i="52082"/>
  <c r="C239" i="52079"/>
  <c r="B116" i="52079"/>
  <c r="D10" i="52075"/>
  <c r="D21" i="52075" s="1"/>
  <c r="D51" i="52075" s="1"/>
  <c r="D231" i="52075" s="1"/>
  <c r="H10" i="111"/>
  <c r="H21" i="111" s="1"/>
  <c r="H51" i="111" s="1"/>
  <c r="H233" i="111" s="1"/>
  <c r="I93" i="52098"/>
  <c r="B93" i="9"/>
  <c r="B93" i="52098"/>
  <c r="K93" i="52098"/>
  <c r="G93" i="52098"/>
  <c r="B49" i="20"/>
  <c r="D151" i="52074"/>
  <c r="G152" i="111"/>
  <c r="C151" i="52102"/>
  <c r="L66" i="52091"/>
  <c r="B49" i="52093"/>
  <c r="J170" i="52094"/>
  <c r="F185" i="52094"/>
  <c r="G170" i="52094"/>
  <c r="F169" i="52077"/>
  <c r="K201" i="52095"/>
  <c r="L201" i="52095"/>
  <c r="B129" i="91"/>
  <c r="C240" i="91"/>
  <c r="K129" i="91"/>
  <c r="B172" i="52103"/>
  <c r="F173" i="110"/>
  <c r="B172" i="52084"/>
  <c r="H172" i="52084"/>
  <c r="J172" i="52084" s="1"/>
  <c r="G109" i="52066"/>
  <c r="J109" i="52066"/>
  <c r="G86" i="52092"/>
  <c r="J86" i="52092"/>
  <c r="J140" i="52095"/>
  <c r="L140" i="52095" s="1"/>
  <c r="G140" i="52075"/>
  <c r="K140" i="52075" s="1"/>
  <c r="P140" i="111"/>
  <c r="J140" i="20"/>
  <c r="L140" i="20" s="1"/>
  <c r="F140" i="52074"/>
  <c r="J140" i="52074" s="1"/>
  <c r="J166" i="77"/>
  <c r="G166" i="77"/>
  <c r="J136" i="52095"/>
  <c r="L136" i="52095" s="1"/>
  <c r="P136" i="111"/>
  <c r="G136" i="233" s="1"/>
  <c r="G136" i="52075"/>
  <c r="K136" i="52075" s="1"/>
  <c r="G111" i="20"/>
  <c r="J111" i="20"/>
  <c r="F111" i="52074"/>
  <c r="I111" i="52074" s="1"/>
  <c r="I111" i="20"/>
  <c r="F105" i="52076"/>
  <c r="F116" i="52093"/>
  <c r="I116" i="52093" s="1"/>
  <c r="G105" i="52093"/>
  <c r="J105" i="52093"/>
  <c r="H170" i="52077"/>
  <c r="L171" i="111"/>
  <c r="L171" i="52094"/>
  <c r="B170" i="52077"/>
  <c r="J171" i="52095"/>
  <c r="G171" i="52095"/>
  <c r="G170" i="52075"/>
  <c r="K170" i="52075" s="1"/>
  <c r="P171" i="111"/>
  <c r="J145" i="32"/>
  <c r="L145" i="32" s="1"/>
  <c r="J145" i="110"/>
  <c r="M145" i="110" s="1"/>
  <c r="L142" i="52066"/>
  <c r="B103" i="52080"/>
  <c r="K103" i="52080"/>
  <c r="K203" i="52080" s="1"/>
  <c r="C238" i="52080"/>
  <c r="C203" i="52080"/>
  <c r="F168" i="52066"/>
  <c r="I168" i="52066" s="1"/>
  <c r="G80" i="52072"/>
  <c r="J80" i="52072"/>
  <c r="J172" i="52081"/>
  <c r="G172" i="52081"/>
  <c r="B49" i="48"/>
  <c r="B207" i="48"/>
  <c r="C32" i="48"/>
  <c r="C46" i="48"/>
  <c r="C47" i="48" s="1"/>
  <c r="B215" i="48"/>
  <c r="C51" i="48"/>
  <c r="B211" i="48"/>
  <c r="B212" i="48"/>
  <c r="G147" i="48"/>
  <c r="F147" i="52084"/>
  <c r="J174" i="52081"/>
  <c r="G174" i="52081"/>
  <c r="E136" i="52082"/>
  <c r="F136" i="52097"/>
  <c r="I19" i="52097"/>
  <c r="D19" i="52098"/>
  <c r="L126" i="52089"/>
  <c r="L111" i="52090"/>
  <c r="L100" i="52091"/>
  <c r="L158" i="52093"/>
  <c r="L195" i="52094"/>
  <c r="G124" i="52103"/>
  <c r="K124" i="52103" s="1"/>
  <c r="L92" i="48"/>
  <c r="L76" i="52066"/>
  <c r="L142" i="52092"/>
  <c r="J90" i="52093"/>
  <c r="L90" i="52093" s="1"/>
  <c r="J170" i="52093"/>
  <c r="F185" i="52093"/>
  <c r="G170" i="52093"/>
  <c r="L75" i="52089"/>
  <c r="L92" i="114"/>
  <c r="G72" i="52104"/>
  <c r="C72" i="52074"/>
  <c r="E72" i="52104"/>
  <c r="C72" i="111"/>
  <c r="I72" i="52104"/>
  <c r="G76" i="52090"/>
  <c r="J143" i="32"/>
  <c r="L143" i="32" s="1"/>
  <c r="J49" i="52095"/>
  <c r="G49" i="52075"/>
  <c r="J49" i="52075" s="1"/>
  <c r="P49" i="111"/>
  <c r="J78" i="52080"/>
  <c r="G78" i="52080"/>
  <c r="L149" i="91"/>
  <c r="C149" i="110"/>
  <c r="E149" i="52103"/>
  <c r="I149" i="52103"/>
  <c r="D28" i="52066"/>
  <c r="D97" i="110"/>
  <c r="D97" i="52102"/>
  <c r="G96" i="32"/>
  <c r="J96" i="110"/>
  <c r="L149" i="48"/>
  <c r="C174" i="52098"/>
  <c r="C175" i="9"/>
  <c r="G175" i="9" s="1"/>
  <c r="B103" i="108"/>
  <c r="C238" i="108"/>
  <c r="C203" i="108"/>
  <c r="B16" i="52098"/>
  <c r="H16" i="52098" s="1"/>
  <c r="B16" i="9"/>
  <c r="G16" i="9" s="1"/>
  <c r="K16" i="52098"/>
  <c r="J147" i="52064"/>
  <c r="K160" i="52098"/>
  <c r="B161" i="9"/>
  <c r="G160" i="52098"/>
  <c r="B160" i="52098"/>
  <c r="J76" i="108"/>
  <c r="J93" i="52064"/>
  <c r="G93" i="233"/>
  <c r="J93" i="233" s="1"/>
  <c r="G165" i="52104"/>
  <c r="K165" i="52104" s="1"/>
  <c r="F168" i="52089"/>
  <c r="F242" i="52089" s="1"/>
  <c r="J87" i="114"/>
  <c r="G87" i="114"/>
  <c r="L164" i="115"/>
  <c r="L94" i="20"/>
  <c r="B19" i="52076"/>
  <c r="E19" i="111"/>
  <c r="H19" i="52076"/>
  <c r="F196" i="52076"/>
  <c r="J197" i="12"/>
  <c r="G181" i="77"/>
  <c r="J181" i="77"/>
  <c r="H72" i="111"/>
  <c r="D72" i="52075"/>
  <c r="L72" i="52090"/>
  <c r="K201" i="52090"/>
  <c r="L74" i="52091"/>
  <c r="J74" i="52094"/>
  <c r="G74" i="52094"/>
  <c r="F74" i="52077"/>
  <c r="G112" i="52075"/>
  <c r="G112" i="52080"/>
  <c r="F168" i="52080"/>
  <c r="L175" i="91"/>
  <c r="J84" i="48"/>
  <c r="L84" i="48" s="1"/>
  <c r="B84" i="52103"/>
  <c r="B84" i="52084"/>
  <c r="F84" i="110"/>
  <c r="L125" i="48"/>
  <c r="L180" i="48"/>
  <c r="L162" i="52066"/>
  <c r="L87" i="52092"/>
  <c r="L157" i="52092"/>
  <c r="J99" i="52093"/>
  <c r="L99" i="52093" s="1"/>
  <c r="L164" i="52093"/>
  <c r="G64" i="52094"/>
  <c r="J64" i="52094"/>
  <c r="F70" i="52094"/>
  <c r="F64" i="52077"/>
  <c r="F70" i="52077" s="1"/>
  <c r="J146" i="52094"/>
  <c r="L146" i="52094" s="1"/>
  <c r="F146" i="52077"/>
  <c r="J80" i="52095"/>
  <c r="G80" i="52095"/>
  <c r="P80" i="111"/>
  <c r="G80" i="52075"/>
  <c r="J80" i="52075" s="1"/>
  <c r="J107" i="52095"/>
  <c r="P107" i="111"/>
  <c r="G107" i="233" s="1"/>
  <c r="G107" i="52075"/>
  <c r="K107" i="52075" s="1"/>
  <c r="G107" i="52095"/>
  <c r="L107" i="52095" s="1"/>
  <c r="E19" i="52075"/>
  <c r="N19" i="111"/>
  <c r="F70" i="48"/>
  <c r="G64" i="48"/>
  <c r="F64" i="52084"/>
  <c r="F70" i="52084" s="1"/>
  <c r="F103" i="52084" s="1"/>
  <c r="C87" i="52103"/>
  <c r="E87" i="110"/>
  <c r="C87" i="52084"/>
  <c r="C170" i="52084"/>
  <c r="C170" i="52103"/>
  <c r="E171" i="110"/>
  <c r="F129" i="52093"/>
  <c r="F240" i="52093" s="1"/>
  <c r="I240" i="52093" s="1"/>
  <c r="J118" i="52093"/>
  <c r="G111" i="52095"/>
  <c r="P111" i="111"/>
  <c r="S111" i="111" s="1"/>
  <c r="G111" i="52075"/>
  <c r="J111" i="52095"/>
  <c r="G76" i="52080"/>
  <c r="J76" i="52080"/>
  <c r="G178" i="52080"/>
  <c r="J178" i="52080"/>
  <c r="J171" i="110"/>
  <c r="C68" i="110"/>
  <c r="E68" i="52103"/>
  <c r="I68" i="52103"/>
  <c r="K68" i="52103" s="1"/>
  <c r="J135" i="52103"/>
  <c r="G165" i="52103"/>
  <c r="K165" i="52103" s="1"/>
  <c r="F112" i="52084"/>
  <c r="I112" i="52084" s="1"/>
  <c r="G112" i="48"/>
  <c r="F164" i="52084"/>
  <c r="I164" i="52084" s="1"/>
  <c r="C172" i="93"/>
  <c r="C174" i="93" s="1"/>
  <c r="C175" i="93" s="1"/>
  <c r="C203" i="93"/>
  <c r="C201" i="93" s="1"/>
  <c r="G73" i="32"/>
  <c r="J73" i="110"/>
  <c r="J73" i="32"/>
  <c r="J118" i="110"/>
  <c r="J118" i="32"/>
  <c r="L118" i="32" s="1"/>
  <c r="F129" i="32"/>
  <c r="F240" i="32" s="1"/>
  <c r="J191" i="110"/>
  <c r="N191" i="110" s="1"/>
  <c r="J138" i="52103"/>
  <c r="K138" i="52103"/>
  <c r="J141" i="52072"/>
  <c r="L141" i="52072" s="1"/>
  <c r="I122" i="93"/>
  <c r="F131" i="93"/>
  <c r="I131" i="93" s="1"/>
  <c r="J180" i="52072"/>
  <c r="G180" i="52072"/>
  <c r="C99" i="52083"/>
  <c r="J99" i="52097"/>
  <c r="J139" i="12"/>
  <c r="L139" i="12" s="1"/>
  <c r="F139" i="52076"/>
  <c r="C32" i="52089"/>
  <c r="C225" i="52089"/>
  <c r="C53" i="52089"/>
  <c r="C54" i="52089" s="1"/>
  <c r="C233" i="52089"/>
  <c r="C62" i="52089"/>
  <c r="J107" i="115"/>
  <c r="G107" i="115"/>
  <c r="G107" i="52104"/>
  <c r="K107" i="52104" s="1"/>
  <c r="F195" i="52076"/>
  <c r="J196" i="12"/>
  <c r="L196" i="12" s="1"/>
  <c r="D111" i="52074"/>
  <c r="C111" i="52102"/>
  <c r="G111" i="111"/>
  <c r="G107" i="52090"/>
  <c r="J107" i="52090"/>
  <c r="F110" i="52076"/>
  <c r="G110" i="52093"/>
  <c r="G125" i="52094"/>
  <c r="F125" i="52077"/>
  <c r="J125" i="52094"/>
  <c r="F129" i="48"/>
  <c r="F240" i="48" s="1"/>
  <c r="I240" i="48" s="1"/>
  <c r="J118" i="48"/>
  <c r="L118" i="48" s="1"/>
  <c r="F118" i="52084"/>
  <c r="G84" i="52066"/>
  <c r="L84" i="52066" s="1"/>
  <c r="J84" i="52066"/>
  <c r="C135" i="52084"/>
  <c r="I135" i="52103"/>
  <c r="K135" i="52103" s="1"/>
  <c r="M135" i="52103" s="1"/>
  <c r="C135" i="52103"/>
  <c r="E135" i="110"/>
  <c r="H135" i="52084"/>
  <c r="J135" i="52084" s="1"/>
  <c r="G75" i="52093"/>
  <c r="J75" i="52093"/>
  <c r="G172" i="52093"/>
  <c r="J172" i="52093"/>
  <c r="G81" i="52095"/>
  <c r="G81" i="52075"/>
  <c r="K81" i="52075" s="1"/>
  <c r="P81" i="111"/>
  <c r="T81" i="111" s="1"/>
  <c r="J81" i="52095"/>
  <c r="J171" i="52080"/>
  <c r="G171" i="52080"/>
  <c r="L171" i="52080" s="1"/>
  <c r="J94" i="115"/>
  <c r="G94" i="115"/>
  <c r="G94" i="52104"/>
  <c r="K94" i="52104" s="1"/>
  <c r="F187" i="52074"/>
  <c r="J187" i="52074" s="1"/>
  <c r="J188" i="20"/>
  <c r="L188" i="20" s="1"/>
  <c r="G76" i="52104"/>
  <c r="G191" i="52104"/>
  <c r="K191" i="52104" s="1"/>
  <c r="J192" i="115"/>
  <c r="L192" i="115" s="1"/>
  <c r="F175" i="52076"/>
  <c r="J176" i="12"/>
  <c r="G176" i="12"/>
  <c r="G171" i="77"/>
  <c r="J171" i="77"/>
  <c r="J109" i="110"/>
  <c r="G109" i="32"/>
  <c r="J166" i="32"/>
  <c r="J166" i="110"/>
  <c r="N166" i="110" s="1"/>
  <c r="G166" i="32"/>
  <c r="C93" i="110"/>
  <c r="E93" i="52103"/>
  <c r="I93" i="52103"/>
  <c r="B95" i="48"/>
  <c r="G95" i="48" s="1"/>
  <c r="L174" i="48"/>
  <c r="F173" i="52084"/>
  <c r="J173" i="52084" s="1"/>
  <c r="C16" i="52103"/>
  <c r="M16" i="52103" s="1"/>
  <c r="H16" i="52084"/>
  <c r="E16" i="110"/>
  <c r="C16" i="52084"/>
  <c r="C77" i="52103"/>
  <c r="E77" i="110"/>
  <c r="C77" i="52084"/>
  <c r="E164" i="110"/>
  <c r="C163" i="52103"/>
  <c r="C163" i="52084"/>
  <c r="J143" i="52092"/>
  <c r="L143" i="52092" s="1"/>
  <c r="G67" i="52093"/>
  <c r="L144" i="52094"/>
  <c r="L137" i="52095"/>
  <c r="L176" i="52080"/>
  <c r="E76" i="52102"/>
  <c r="B76" i="110"/>
  <c r="J125" i="110"/>
  <c r="N125" i="110" s="1"/>
  <c r="C219" i="91"/>
  <c r="C226" i="91"/>
  <c r="B161" i="52084"/>
  <c r="F162" i="110"/>
  <c r="H161" i="52084"/>
  <c r="J161" i="52084" s="1"/>
  <c r="B161" i="52103"/>
  <c r="L177" i="52072"/>
  <c r="E18" i="52102"/>
  <c r="B18" i="110"/>
  <c r="L18" i="110" s="1"/>
  <c r="J75" i="32"/>
  <c r="J75" i="110"/>
  <c r="N75" i="110" s="1"/>
  <c r="G75" i="32"/>
  <c r="L75" i="32" s="1"/>
  <c r="G178" i="32"/>
  <c r="J178" i="110"/>
  <c r="N178" i="110" s="1"/>
  <c r="J178" i="32"/>
  <c r="G84" i="52103"/>
  <c r="G164" i="52103"/>
  <c r="J164" i="52103" s="1"/>
  <c r="B162" i="52103"/>
  <c r="B162" i="52084"/>
  <c r="F163" i="110"/>
  <c r="H162" i="52084"/>
  <c r="J162" i="52084" s="1"/>
  <c r="L143" i="52072"/>
  <c r="J94" i="52072"/>
  <c r="G94" i="52072"/>
  <c r="K185" i="52072"/>
  <c r="C243" i="52072"/>
  <c r="B86" i="52082"/>
  <c r="B86" i="52097"/>
  <c r="B177" i="9"/>
  <c r="B176" i="52098"/>
  <c r="G176" i="52098"/>
  <c r="M156" i="52097"/>
  <c r="H156" i="52082"/>
  <c r="F168" i="148"/>
  <c r="F242" i="148" s="1"/>
  <c r="C163" i="52098"/>
  <c r="C164" i="9"/>
  <c r="G164" i="9" s="1"/>
  <c r="F51" i="52088"/>
  <c r="J21" i="52088"/>
  <c r="F9" i="52097"/>
  <c r="E9" i="52082"/>
  <c r="E21" i="52082" s="1"/>
  <c r="G21" i="52088"/>
  <c r="C241" i="52064"/>
  <c r="B154" i="52064"/>
  <c r="C144" i="52098"/>
  <c r="C144" i="9"/>
  <c r="C146" i="9"/>
  <c r="C146" i="52098"/>
  <c r="H146" i="52098" s="1"/>
  <c r="J146" i="52098" s="1"/>
  <c r="E131" i="9"/>
  <c r="J131" i="52064"/>
  <c r="F154" i="52064"/>
  <c r="C101" i="9"/>
  <c r="C101" i="52098"/>
  <c r="J163" i="21"/>
  <c r="I14" i="9"/>
  <c r="G14" i="233"/>
  <c r="H145" i="9"/>
  <c r="G145" i="233"/>
  <c r="J145" i="233" s="1"/>
  <c r="B74" i="52082"/>
  <c r="J74" i="52082" s="1"/>
  <c r="L74" i="52082" s="1"/>
  <c r="B74" i="52097"/>
  <c r="O74" i="52097" s="1"/>
  <c r="I193" i="9"/>
  <c r="G193" i="233"/>
  <c r="G190" i="233"/>
  <c r="K190" i="233" s="1"/>
  <c r="Q190" i="52097"/>
  <c r="C107" i="9"/>
  <c r="C116" i="9" s="1"/>
  <c r="C239" i="9" s="1"/>
  <c r="C107" i="52098"/>
  <c r="C116" i="52098" s="1"/>
  <c r="C238" i="52098" s="1"/>
  <c r="G116" i="52064"/>
  <c r="J143" i="52064"/>
  <c r="C238" i="148"/>
  <c r="C203" i="148"/>
  <c r="B103" i="148"/>
  <c r="C240" i="148"/>
  <c r="B129" i="148"/>
  <c r="K176" i="52098"/>
  <c r="C177" i="9"/>
  <c r="G177" i="9" s="1"/>
  <c r="C176" i="52098"/>
  <c r="H176" i="52098" s="1"/>
  <c r="I177" i="9"/>
  <c r="G177" i="233"/>
  <c r="F185" i="52088"/>
  <c r="G170" i="52088"/>
  <c r="J170" i="52088"/>
  <c r="F168" i="108"/>
  <c r="G74" i="52098"/>
  <c r="B74" i="52098"/>
  <c r="H74" i="52098" s="1"/>
  <c r="K74" i="52098"/>
  <c r="B74" i="9"/>
  <c r="G74" i="9" s="1"/>
  <c r="E149" i="52083"/>
  <c r="D149" i="52097"/>
  <c r="I76" i="9"/>
  <c r="G76" i="233"/>
  <c r="B91" i="52082"/>
  <c r="J91" i="52082" s="1"/>
  <c r="L91" i="52082" s="1"/>
  <c r="B91" i="52097"/>
  <c r="O91" i="52097" s="1"/>
  <c r="G139" i="52098"/>
  <c r="B139" i="52098"/>
  <c r="H139" i="52098" s="1"/>
  <c r="B139" i="9"/>
  <c r="G139" i="9" s="1"/>
  <c r="K139" i="52098"/>
  <c r="D80" i="52097"/>
  <c r="E80" i="52083"/>
  <c r="C13" i="52098"/>
  <c r="C13" i="9"/>
  <c r="I13" i="9"/>
  <c r="G13" i="233"/>
  <c r="G97" i="233"/>
  <c r="J97" i="233" s="1"/>
  <c r="I97" i="9"/>
  <c r="D164" i="52097"/>
  <c r="E163" i="52083"/>
  <c r="I163" i="52083" s="1"/>
  <c r="K163" i="52083" s="1"/>
  <c r="L80" i="48"/>
  <c r="B80" i="52084"/>
  <c r="B80" i="52103"/>
  <c r="H80" i="52084"/>
  <c r="J80" i="52084" s="1"/>
  <c r="F80" i="110"/>
  <c r="B175" i="52103"/>
  <c r="M175" i="52103" s="1"/>
  <c r="F176" i="110"/>
  <c r="H175" i="52084"/>
  <c r="B175" i="52084"/>
  <c r="J187" i="52092"/>
  <c r="L187" i="52092" s="1"/>
  <c r="F201" i="52092"/>
  <c r="J201" i="52092" s="1"/>
  <c r="E171" i="52075"/>
  <c r="N172" i="111"/>
  <c r="J82" i="110"/>
  <c r="G82" i="32"/>
  <c r="J82" i="32" s="1"/>
  <c r="L111" i="91"/>
  <c r="L147" i="91"/>
  <c r="J90" i="32"/>
  <c r="L90" i="32" s="1"/>
  <c r="E90" i="52102"/>
  <c r="B90" i="110"/>
  <c r="G170" i="52081"/>
  <c r="J170" i="52081"/>
  <c r="F185" i="52081"/>
  <c r="C111" i="52104"/>
  <c r="C111" i="52076"/>
  <c r="F111" i="111"/>
  <c r="J171" i="114"/>
  <c r="G171" i="114"/>
  <c r="J188" i="12"/>
  <c r="L188" i="12" s="1"/>
  <c r="F187" i="52076"/>
  <c r="J149" i="52089"/>
  <c r="G149" i="52089"/>
  <c r="G91" i="52092"/>
  <c r="J49" i="52094"/>
  <c r="F49" i="52077"/>
  <c r="G49" i="52094"/>
  <c r="G101" i="52075"/>
  <c r="K101" i="52075" s="1"/>
  <c r="J101" i="52095"/>
  <c r="G101" i="52095"/>
  <c r="P101" i="111"/>
  <c r="T101" i="111" s="1"/>
  <c r="L157" i="52080"/>
  <c r="L136" i="32"/>
  <c r="G100" i="52103"/>
  <c r="C100" i="110"/>
  <c r="E100" i="52103"/>
  <c r="I100" i="52103"/>
  <c r="I177" i="52103"/>
  <c r="E177" i="52103"/>
  <c r="C178" i="110"/>
  <c r="L87" i="48"/>
  <c r="L190" i="48"/>
  <c r="L178" i="52066"/>
  <c r="J88" i="52092"/>
  <c r="L88" i="52092" s="1"/>
  <c r="J150" i="52092"/>
  <c r="G150" i="52092"/>
  <c r="G175" i="52092"/>
  <c r="J175" i="52092"/>
  <c r="G68" i="52093"/>
  <c r="H68" i="52076" s="1"/>
  <c r="J68" i="52076" s="1"/>
  <c r="L133" i="52094"/>
  <c r="L139" i="52094"/>
  <c r="L94" i="52095"/>
  <c r="L183" i="52095"/>
  <c r="F201" i="52080"/>
  <c r="J201" i="52080" s="1"/>
  <c r="J187" i="52080"/>
  <c r="L187" i="52080" s="1"/>
  <c r="D11" i="111"/>
  <c r="R11" i="111" s="1"/>
  <c r="H11" i="52074"/>
  <c r="J11" i="52074" s="1"/>
  <c r="B11" i="52074"/>
  <c r="E10" i="111"/>
  <c r="B10" i="52076"/>
  <c r="H10" i="52076"/>
  <c r="G80" i="115"/>
  <c r="L80" i="115" s="1"/>
  <c r="J80" i="115"/>
  <c r="G80" i="52104"/>
  <c r="K80" i="52104" s="1"/>
  <c r="J75" i="20"/>
  <c r="G75" i="20"/>
  <c r="I75" i="52104" s="1"/>
  <c r="F75" i="52074"/>
  <c r="J75" i="52074" s="1"/>
  <c r="P65" i="111"/>
  <c r="T65" i="111" s="1"/>
  <c r="G65" i="12"/>
  <c r="J65" i="12"/>
  <c r="G65" i="52104"/>
  <c r="K65" i="52104" s="1"/>
  <c r="F65" i="52076"/>
  <c r="G125" i="12"/>
  <c r="F125" i="52076"/>
  <c r="J125" i="12"/>
  <c r="G126" i="77"/>
  <c r="L126" i="77" s="1"/>
  <c r="J126" i="77"/>
  <c r="F114" i="52074"/>
  <c r="G114" i="52089"/>
  <c r="J114" i="52089"/>
  <c r="F129" i="52092"/>
  <c r="J118" i="52092"/>
  <c r="L118" i="52092" s="1"/>
  <c r="J126" i="52092"/>
  <c r="G126" i="52092"/>
  <c r="G137" i="52093"/>
  <c r="J137" i="52093"/>
  <c r="G164" i="52094"/>
  <c r="J164" i="52094"/>
  <c r="F163" i="52077"/>
  <c r="F167" i="52077" s="1"/>
  <c r="F240" i="52077" s="1"/>
  <c r="F189" i="52077"/>
  <c r="L189" i="52077" s="1"/>
  <c r="J190" i="52094"/>
  <c r="L190" i="52094" s="1"/>
  <c r="E150" i="52075"/>
  <c r="N150" i="111"/>
  <c r="G97" i="52103"/>
  <c r="L74" i="48"/>
  <c r="F74" i="110"/>
  <c r="H74" i="52084"/>
  <c r="B74" i="52084"/>
  <c r="B74" i="52103"/>
  <c r="L91" i="48"/>
  <c r="L172" i="48"/>
  <c r="B171" i="52103"/>
  <c r="H171" i="52084"/>
  <c r="F172" i="110"/>
  <c r="B171" i="52084"/>
  <c r="C73" i="52084"/>
  <c r="C73" i="52103"/>
  <c r="E73" i="110"/>
  <c r="G147" i="52092"/>
  <c r="J147" i="52092"/>
  <c r="G74" i="52093"/>
  <c r="J74" i="52093"/>
  <c r="B19" i="52077"/>
  <c r="L19" i="111"/>
  <c r="H19" i="52077"/>
  <c r="B182" i="52077"/>
  <c r="L183" i="111"/>
  <c r="H182" i="52077"/>
  <c r="P139" i="111"/>
  <c r="T139" i="111" s="1"/>
  <c r="J84" i="110"/>
  <c r="G84" i="32"/>
  <c r="J157" i="32"/>
  <c r="L157" i="32" s="1"/>
  <c r="J157" i="110"/>
  <c r="F150" i="52084"/>
  <c r="G150" i="48"/>
  <c r="D162" i="110"/>
  <c r="D161" i="52102"/>
  <c r="G68" i="32"/>
  <c r="J68" i="110"/>
  <c r="J68" i="32"/>
  <c r="J174" i="32"/>
  <c r="G174" i="32"/>
  <c r="J174" i="110"/>
  <c r="N174" i="110" s="1"/>
  <c r="I108" i="52103"/>
  <c r="K108" i="52103" s="1"/>
  <c r="E108" i="52103"/>
  <c r="C108" i="110"/>
  <c r="L144" i="91"/>
  <c r="C32" i="52066"/>
  <c r="Q100" i="52097"/>
  <c r="K172" i="52098"/>
  <c r="B173" i="9"/>
  <c r="G173" i="9" s="1"/>
  <c r="B172" i="52098"/>
  <c r="H172" i="52098" s="1"/>
  <c r="J172" i="52098" s="1"/>
  <c r="G107" i="52098"/>
  <c r="B107" i="9"/>
  <c r="B107" i="52098"/>
  <c r="K107" i="52098"/>
  <c r="K116" i="52098" s="1"/>
  <c r="K238" i="52098" s="1"/>
  <c r="G116" i="21"/>
  <c r="I199" i="9"/>
  <c r="G199" i="233"/>
  <c r="K199" i="233" s="1"/>
  <c r="F51" i="21"/>
  <c r="J21" i="21"/>
  <c r="H109" i="9"/>
  <c r="I109" i="9"/>
  <c r="J161" i="52064"/>
  <c r="C160" i="52098"/>
  <c r="C161" i="9"/>
  <c r="Q82" i="52097"/>
  <c r="C241" i="21"/>
  <c r="B154" i="21"/>
  <c r="G145" i="52098"/>
  <c r="K145" i="52098"/>
  <c r="B145" i="52098"/>
  <c r="H145" i="52098" s="1"/>
  <c r="J145" i="52098" s="1"/>
  <c r="B145" i="9"/>
  <c r="G145" i="9" s="1"/>
  <c r="K141" i="52098"/>
  <c r="B141" i="9"/>
  <c r="G141" i="9" s="1"/>
  <c r="B141" i="52098"/>
  <c r="H141" i="52098" s="1"/>
  <c r="J141" i="52098" s="1"/>
  <c r="G141" i="52098"/>
  <c r="J131" i="21"/>
  <c r="F154" i="21"/>
  <c r="F131" i="52098"/>
  <c r="B99" i="52082"/>
  <c r="J99" i="52082" s="1"/>
  <c r="L99" i="52082" s="1"/>
  <c r="B99" i="52097"/>
  <c r="I111" i="9"/>
  <c r="G111" i="233"/>
  <c r="I152" i="9"/>
  <c r="G152" i="233"/>
  <c r="K152" i="233" s="1"/>
  <c r="B76" i="52082"/>
  <c r="J76" i="52082" s="1"/>
  <c r="L76" i="52082" s="1"/>
  <c r="B76" i="52097"/>
  <c r="O76" i="52097" s="1"/>
  <c r="G169" i="52083"/>
  <c r="F185" i="105"/>
  <c r="J170" i="105"/>
  <c r="G170" i="105"/>
  <c r="D163" i="52097"/>
  <c r="E162" i="52083"/>
  <c r="G87" i="52097"/>
  <c r="D87" i="52082"/>
  <c r="B164" i="52098"/>
  <c r="H164" i="52098" s="1"/>
  <c r="J164" i="52098" s="1"/>
  <c r="B165" i="9"/>
  <c r="G165" i="9" s="1"/>
  <c r="G164" i="52098"/>
  <c r="C78" i="52082"/>
  <c r="E78" i="52097"/>
  <c r="I157" i="9"/>
  <c r="G157" i="233"/>
  <c r="E176" i="52097"/>
  <c r="C176" i="52082"/>
  <c r="G133" i="52097"/>
  <c r="G154" i="52097" s="1"/>
  <c r="G241" i="52097" s="1"/>
  <c r="D133" i="52082"/>
  <c r="G154" i="101"/>
  <c r="C219" i="148"/>
  <c r="C226" i="148"/>
  <c r="I173" i="9"/>
  <c r="G173" i="233"/>
  <c r="J173" i="233" s="1"/>
  <c r="E143" i="52083"/>
  <c r="I143" i="52083" s="1"/>
  <c r="K143" i="52083" s="1"/>
  <c r="D143" i="52097"/>
  <c r="F154" i="108"/>
  <c r="J131" i="108"/>
  <c r="E141" i="52083"/>
  <c r="D141" i="52097"/>
  <c r="E145" i="52083"/>
  <c r="D145" i="52097"/>
  <c r="G164" i="32"/>
  <c r="J164" i="110"/>
  <c r="J164" i="32"/>
  <c r="L164" i="32" s="1"/>
  <c r="J138" i="52104"/>
  <c r="M138" i="52104" s="1"/>
  <c r="I96" i="52074"/>
  <c r="J159" i="52104"/>
  <c r="M159" i="52104" s="1"/>
  <c r="I162" i="115"/>
  <c r="I141" i="52074"/>
  <c r="I91" i="52074"/>
  <c r="J91" i="52104"/>
  <c r="J64" i="52104"/>
  <c r="J108" i="52104"/>
  <c r="M108" i="52104"/>
  <c r="J66" i="52104"/>
  <c r="L111" i="115"/>
  <c r="I64" i="52067"/>
  <c r="I131" i="115"/>
  <c r="J131" i="52104"/>
  <c r="J124" i="52104"/>
  <c r="J105" i="52104"/>
  <c r="I105" i="115"/>
  <c r="J182" i="52104"/>
  <c r="J97" i="52075"/>
  <c r="L96" i="114"/>
  <c r="E103" i="52090"/>
  <c r="I70" i="52090"/>
  <c r="I95" i="101"/>
  <c r="I108" i="52076"/>
  <c r="J108" i="52076"/>
  <c r="I95" i="52094"/>
  <c r="G42" i="52104"/>
  <c r="J85" i="52075"/>
  <c r="S90" i="111"/>
  <c r="I180" i="52095"/>
  <c r="I147" i="12"/>
  <c r="I162" i="52090"/>
  <c r="L162" i="52090" s="1"/>
  <c r="E242" i="114"/>
  <c r="I168" i="114"/>
  <c r="L120" i="52095"/>
  <c r="I141" i="12"/>
  <c r="L141" i="12" s="1"/>
  <c r="I145" i="52095"/>
  <c r="L145" i="52095" s="1"/>
  <c r="J118" i="52076"/>
  <c r="I118" i="52076"/>
  <c r="E129" i="52076"/>
  <c r="E239" i="52076" s="1"/>
  <c r="L148" i="114"/>
  <c r="I148" i="52095"/>
  <c r="I147" i="52093"/>
  <c r="E240" i="52092"/>
  <c r="I129" i="52092"/>
  <c r="I118" i="52093"/>
  <c r="M158" i="110"/>
  <c r="I150" i="52072"/>
  <c r="I180" i="52089"/>
  <c r="J151" i="52103"/>
  <c r="L145" i="52072"/>
  <c r="I151" i="52098"/>
  <c r="H120" i="9"/>
  <c r="H121" i="9"/>
  <c r="F121" i="233"/>
  <c r="H93" i="9"/>
  <c r="I67" i="52092"/>
  <c r="I249" i="52092" s="1"/>
  <c r="F67" i="233"/>
  <c r="K76" i="52082"/>
  <c r="D168" i="9"/>
  <c r="H156" i="9"/>
  <c r="J161" i="52102"/>
  <c r="I150" i="52092"/>
  <c r="K146" i="52082"/>
  <c r="L148" i="52093"/>
  <c r="I99" i="52084"/>
  <c r="J99" i="52103"/>
  <c r="J157" i="52103"/>
  <c r="M157" i="52103" s="1"/>
  <c r="I168" i="21"/>
  <c r="E242" i="21"/>
  <c r="J159" i="52103"/>
  <c r="M159" i="52103" s="1"/>
  <c r="I97" i="48"/>
  <c r="I147" i="52098"/>
  <c r="H180" i="9"/>
  <c r="I118" i="148"/>
  <c r="J68" i="52102"/>
  <c r="L72" i="52089"/>
  <c r="L83" i="52090"/>
  <c r="E239" i="52089"/>
  <c r="I116" i="52089"/>
  <c r="L93" i="91"/>
  <c r="J96" i="52103"/>
  <c r="I90" i="52098"/>
  <c r="I105" i="148"/>
  <c r="H9" i="9"/>
  <c r="F9" i="233"/>
  <c r="J9" i="233" s="1"/>
  <c r="H80" i="9"/>
  <c r="K148" i="52082"/>
  <c r="I122" i="52091"/>
  <c r="L122" i="52091" s="1"/>
  <c r="M142" i="110"/>
  <c r="L143" i="91"/>
  <c r="J141" i="52083"/>
  <c r="J121" i="52102"/>
  <c r="E243" i="52093"/>
  <c r="I185" i="52093"/>
  <c r="L143" i="52093"/>
  <c r="I156" i="52066"/>
  <c r="L165" i="91"/>
  <c r="L162" i="91"/>
  <c r="I118" i="52084"/>
  <c r="E129" i="52084"/>
  <c r="M162" i="110"/>
  <c r="I141" i="52084"/>
  <c r="I185" i="52095"/>
  <c r="E243" i="52095"/>
  <c r="S170" i="111"/>
  <c r="O185" i="111"/>
  <c r="E242" i="148"/>
  <c r="I242" i="148" s="1"/>
  <c r="I168" i="148"/>
  <c r="H11" i="9"/>
  <c r="F11" i="233"/>
  <c r="J11" i="233" s="1"/>
  <c r="I79" i="52091"/>
  <c r="L79" i="52091" s="1"/>
  <c r="J95" i="52102"/>
  <c r="S135" i="111"/>
  <c r="I73" i="91"/>
  <c r="I95" i="148"/>
  <c r="I118" i="21"/>
  <c r="M165" i="110"/>
  <c r="J124" i="52103"/>
  <c r="I131" i="148"/>
  <c r="I145" i="52091"/>
  <c r="L145" i="52091" s="1"/>
  <c r="I150" i="52098"/>
  <c r="I144" i="32"/>
  <c r="L144" i="32" s="1"/>
  <c r="E242" i="48"/>
  <c r="I242" i="48" s="1"/>
  <c r="I168" i="48"/>
  <c r="I161" i="52084"/>
  <c r="M156" i="110"/>
  <c r="I168" i="110"/>
  <c r="I118" i="108"/>
  <c r="I154" i="52064"/>
  <c r="E241" i="52064"/>
  <c r="H131" i="9"/>
  <c r="D154" i="9"/>
  <c r="I108" i="52091"/>
  <c r="L108" i="52091" s="1"/>
  <c r="I78" i="52091"/>
  <c r="L78" i="52091" s="1"/>
  <c r="I95" i="32"/>
  <c r="P77" i="52097"/>
  <c r="J79" i="52102"/>
  <c r="M79" i="52102"/>
  <c r="I83" i="52098"/>
  <c r="I74" i="52092"/>
  <c r="J88" i="52072"/>
  <c r="D88" i="110"/>
  <c r="D88" i="52102"/>
  <c r="I111" i="52093"/>
  <c r="I163" i="52074"/>
  <c r="L174" i="52092"/>
  <c r="I49" i="77"/>
  <c r="H72" i="9"/>
  <c r="F72" i="233"/>
  <c r="J72" i="233" s="1"/>
  <c r="P178" i="52097"/>
  <c r="J163" i="52103"/>
  <c r="I185" i="48"/>
  <c r="E243" i="48"/>
  <c r="M159" i="110"/>
  <c r="J8" i="52103"/>
  <c r="M8" i="52103" s="1"/>
  <c r="F21" i="52103"/>
  <c r="I21" i="48"/>
  <c r="L21" i="48" s="1"/>
  <c r="E51" i="48"/>
  <c r="E32" i="48"/>
  <c r="E33" i="48" s="1"/>
  <c r="I8" i="52084"/>
  <c r="E21" i="52084"/>
  <c r="J83" i="52103"/>
  <c r="I68" i="48"/>
  <c r="M114" i="110"/>
  <c r="E30" i="52076"/>
  <c r="E44" i="52076" s="1"/>
  <c r="I74" i="52093"/>
  <c r="I114" i="52072"/>
  <c r="E240" i="20"/>
  <c r="I129" i="20"/>
  <c r="M157" i="110"/>
  <c r="L126" i="114"/>
  <c r="J195" i="52104"/>
  <c r="M195" i="52104"/>
  <c r="L175" i="52089"/>
  <c r="J188" i="52104"/>
  <c r="J105" i="52103"/>
  <c r="F116" i="52103"/>
  <c r="I105" i="91"/>
  <c r="F36" i="52089"/>
  <c r="F30" i="52090"/>
  <c r="F36" i="52090"/>
  <c r="E44" i="52090"/>
  <c r="E46" i="52090" s="1"/>
  <c r="E47" i="52090" s="1"/>
  <c r="F35" i="52090"/>
  <c r="F164" i="233"/>
  <c r="M164" i="110"/>
  <c r="J78" i="52075"/>
  <c r="J191" i="52102"/>
  <c r="M124" i="110"/>
  <c r="M75" i="110"/>
  <c r="L108" i="52066"/>
  <c r="H8" i="93"/>
  <c r="H157" i="9"/>
  <c r="F157" i="233"/>
  <c r="E30" i="52077"/>
  <c r="E44" i="52077" s="1"/>
  <c r="I162" i="52084"/>
  <c r="L87" i="52072"/>
  <c r="H154" i="93"/>
  <c r="I185" i="20"/>
  <c r="E243" i="20"/>
  <c r="J49" i="52103"/>
  <c r="L98" i="91"/>
  <c r="L137" i="91"/>
  <c r="I49" i="52072"/>
  <c r="I201" i="148"/>
  <c r="E51" i="105"/>
  <c r="I21" i="105"/>
  <c r="E32" i="105"/>
  <c r="E46" i="105"/>
  <c r="E47" i="105" s="1"/>
  <c r="I161" i="52072"/>
  <c r="I85" i="52093"/>
  <c r="I95" i="52084"/>
  <c r="I64" i="21"/>
  <c r="L68" i="52092"/>
  <c r="J192" i="52104"/>
  <c r="I137" i="52098"/>
  <c r="J187" i="52104"/>
  <c r="M187" i="52104" s="1"/>
  <c r="I21" i="52091"/>
  <c r="E51" i="52091"/>
  <c r="E32" i="52091"/>
  <c r="E33" i="52091" s="1"/>
  <c r="E46" i="52091"/>
  <c r="E47" i="52091" s="1"/>
  <c r="H163" i="9"/>
  <c r="F163" i="233"/>
  <c r="L75" i="114"/>
  <c r="J94" i="52103"/>
  <c r="J188" i="52103"/>
  <c r="J175" i="52103"/>
  <c r="I158" i="52074"/>
  <c r="H72" i="93"/>
  <c r="I187" i="101"/>
  <c r="I185" i="110"/>
  <c r="M170" i="110"/>
  <c r="L94" i="52089"/>
  <c r="I201" i="52089"/>
  <c r="L201" i="52089" s="1"/>
  <c r="L137" i="52066"/>
  <c r="H15" i="9"/>
  <c r="H139" i="9"/>
  <c r="F139" i="233"/>
  <c r="J139" i="233" s="1"/>
  <c r="H87" i="9"/>
  <c r="F87" i="233"/>
  <c r="H18" i="9"/>
  <c r="F18" i="233"/>
  <c r="J18" i="233" s="1"/>
  <c r="I9" i="52098"/>
  <c r="I156" i="52074"/>
  <c r="J169" i="52102"/>
  <c r="F184" i="52102"/>
  <c r="I187" i="52090"/>
  <c r="L187" i="52090" s="1"/>
  <c r="I70" i="52094"/>
  <c r="E103" i="52094"/>
  <c r="H32" i="93"/>
  <c r="J12" i="52102"/>
  <c r="M12" i="52102"/>
  <c r="L114" i="52066"/>
  <c r="I126" i="52084"/>
  <c r="H76" i="9"/>
  <c r="F76" i="233"/>
  <c r="J76" i="233" s="1"/>
  <c r="M83" i="110"/>
  <c r="I185" i="52066"/>
  <c r="E243" i="52066"/>
  <c r="L166" i="115"/>
  <c r="I201" i="52091"/>
  <c r="L201" i="52091" s="1"/>
  <c r="L87" i="52095"/>
  <c r="H125" i="9"/>
  <c r="F125" i="233"/>
  <c r="H137" i="9"/>
  <c r="F137" i="233"/>
  <c r="E51" i="20"/>
  <c r="E32" i="20"/>
  <c r="I21" i="20"/>
  <c r="E46" i="20"/>
  <c r="E47" i="20" s="1"/>
  <c r="P76" i="52097"/>
  <c r="I88" i="52094"/>
  <c r="L88" i="52094" s="1"/>
  <c r="J88" i="52094"/>
  <c r="H88" i="52077"/>
  <c r="J88" i="52077" s="1"/>
  <c r="L88" i="111"/>
  <c r="B88" i="52077"/>
  <c r="L88" i="52077" s="1"/>
  <c r="I64" i="77"/>
  <c r="I108" i="52094"/>
  <c r="L108" i="52094" s="1"/>
  <c r="S96" i="111"/>
  <c r="I96" i="52095"/>
  <c r="S141" i="111"/>
  <c r="L141" i="52095"/>
  <c r="I148" i="77"/>
  <c r="J121" i="52077"/>
  <c r="I121" i="52077"/>
  <c r="L121" i="52077"/>
  <c r="S158" i="111"/>
  <c r="V158" i="111" s="1"/>
  <c r="M11" i="110"/>
  <c r="L171" i="52089"/>
  <c r="I99" i="52091"/>
  <c r="L99" i="52091" s="1"/>
  <c r="M147" i="110"/>
  <c r="M100" i="110"/>
  <c r="I185" i="52094"/>
  <c r="E243" i="52094"/>
  <c r="J169" i="52077"/>
  <c r="E184" i="52077"/>
  <c r="K124" i="52082"/>
  <c r="I84" i="52091"/>
  <c r="L84" i="52091" s="1"/>
  <c r="J150" i="52102"/>
  <c r="J97" i="52103"/>
  <c r="I127" i="52084"/>
  <c r="I200" i="93"/>
  <c r="J119" i="52102"/>
  <c r="J142" i="52102"/>
  <c r="I141" i="52092"/>
  <c r="L141" i="52092" s="1"/>
  <c r="J178" i="52103"/>
  <c r="M178" i="52103" s="1"/>
  <c r="I120" i="91"/>
  <c r="L120" i="91" s="1"/>
  <c r="J150" i="52103"/>
  <c r="M112" i="110"/>
  <c r="J170" i="52103"/>
  <c r="I83" i="52092"/>
  <c r="J114" i="52102"/>
  <c r="M79" i="52103"/>
  <c r="J79" i="52103"/>
  <c r="M82" i="110"/>
  <c r="E44" i="52098"/>
  <c r="I96" i="52091"/>
  <c r="L96" i="52091" s="1"/>
  <c r="I88" i="52093"/>
  <c r="L88" i="52093" s="1"/>
  <c r="I74" i="52089"/>
  <c r="L74" i="52089" s="1"/>
  <c r="H105" i="9"/>
  <c r="D116" i="9"/>
  <c r="I84" i="52089"/>
  <c r="J77" i="52103"/>
  <c r="P9" i="52097"/>
  <c r="J105" i="52083"/>
  <c r="H84" i="9"/>
  <c r="J145" i="52083"/>
  <c r="I148" i="52092"/>
  <c r="M180" i="110"/>
  <c r="J155" i="52103"/>
  <c r="F167" i="52103"/>
  <c r="E242" i="91"/>
  <c r="I242" i="91" s="1"/>
  <c r="I168" i="91"/>
  <c r="J143" i="52102"/>
  <c r="E242" i="52092"/>
  <c r="I168" i="52092"/>
  <c r="I119" i="52066"/>
  <c r="L119" i="52066" s="1"/>
  <c r="L148" i="52072"/>
  <c r="H138" i="9"/>
  <c r="H143" i="9"/>
  <c r="F143" i="233"/>
  <c r="J143" i="233" s="1"/>
  <c r="S76" i="111"/>
  <c r="I109" i="32"/>
  <c r="E240" i="32"/>
  <c r="I240" i="32" s="1"/>
  <c r="I129" i="32"/>
  <c r="J151" i="52083"/>
  <c r="J143" i="52083"/>
  <c r="I168" i="52091"/>
  <c r="E242" i="52091"/>
  <c r="M160" i="110"/>
  <c r="I134" i="52084"/>
  <c r="I119" i="32"/>
  <c r="L119" i="32" s="1"/>
  <c r="M141" i="110"/>
  <c r="S132" i="111"/>
  <c r="V132" i="111" s="1"/>
  <c r="M150" i="110"/>
  <c r="L78" i="52093"/>
  <c r="P108" i="52097"/>
  <c r="M68" i="110"/>
  <c r="I82" i="52066"/>
  <c r="I106" i="52092"/>
  <c r="L106" i="52092" s="1"/>
  <c r="H82" i="9"/>
  <c r="I116" i="52066"/>
  <c r="E239" i="52066"/>
  <c r="F35" i="32"/>
  <c r="K88" i="52098"/>
  <c r="B88" i="9"/>
  <c r="G88" i="9" s="1"/>
  <c r="B88" i="52098"/>
  <c r="G88" i="52098"/>
  <c r="J76" i="52103"/>
  <c r="M88" i="110"/>
  <c r="E88" i="52102"/>
  <c r="B88" i="110"/>
  <c r="I91" i="52092"/>
  <c r="I76" i="52091"/>
  <c r="L76" i="52091" s="1"/>
  <c r="J19" i="52104"/>
  <c r="M19" i="52104" s="1"/>
  <c r="I164" i="77"/>
  <c r="J135" i="52104"/>
  <c r="M135" i="52104"/>
  <c r="S163" i="111"/>
  <c r="K189" i="52082"/>
  <c r="L75" i="91"/>
  <c r="I177" i="52084"/>
  <c r="S157" i="111"/>
  <c r="V157" i="111"/>
  <c r="I157" i="52095"/>
  <c r="L157" i="52095" s="1"/>
  <c r="I161" i="91"/>
  <c r="L161" i="91" s="1"/>
  <c r="I116" i="52072"/>
  <c r="E239" i="52072"/>
  <c r="F36" i="52092"/>
  <c r="I64" i="52091"/>
  <c r="L64" i="52091" s="1"/>
  <c r="I66" i="52084"/>
  <c r="I64" i="91"/>
  <c r="I70" i="91"/>
  <c r="E103" i="91"/>
  <c r="G88" i="111"/>
  <c r="C88" i="52102"/>
  <c r="D88" i="52074"/>
  <c r="F36" i="52093"/>
  <c r="E243" i="52071"/>
  <c r="I185" i="52071"/>
  <c r="E51" i="52067"/>
  <c r="E32" i="52067"/>
  <c r="E33" i="52067" s="1"/>
  <c r="I21" i="52067"/>
  <c r="J198" i="52102"/>
  <c r="I163" i="115"/>
  <c r="L163" i="115" s="1"/>
  <c r="I197" i="12"/>
  <c r="L197" i="12" s="1"/>
  <c r="L72" i="91"/>
  <c r="J114" i="52103"/>
  <c r="I72" i="52074"/>
  <c r="M98" i="110"/>
  <c r="F65" i="233"/>
  <c r="P65" i="52097"/>
  <c r="I49" i="52092"/>
  <c r="E103" i="52089"/>
  <c r="I70" i="52089"/>
  <c r="I14" i="52074"/>
  <c r="L92" i="52090"/>
  <c r="L126" i="52066"/>
  <c r="J158" i="52104"/>
  <c r="M158" i="52104" s="1"/>
  <c r="P198" i="52097"/>
  <c r="J198" i="52075"/>
  <c r="M19" i="52103"/>
  <c r="J140" i="52075"/>
  <c r="H75" i="9"/>
  <c r="F75" i="233"/>
  <c r="M85" i="110"/>
  <c r="L161" i="52092"/>
  <c r="I73" i="48"/>
  <c r="L73" i="48" s="1"/>
  <c r="L175" i="115"/>
  <c r="J198" i="52104"/>
  <c r="I201" i="52093"/>
  <c r="L201" i="52093" s="1"/>
  <c r="J156" i="52104"/>
  <c r="M156" i="52104" s="1"/>
  <c r="L136" i="115"/>
  <c r="L190" i="115"/>
  <c r="L146" i="52090"/>
  <c r="J49" i="52104"/>
  <c r="I49" i="52091"/>
  <c r="J125" i="52103"/>
  <c r="E200" i="52084"/>
  <c r="I186" i="52084"/>
  <c r="J177" i="52103"/>
  <c r="I49" i="21"/>
  <c r="H124" i="9"/>
  <c r="F124" i="233"/>
  <c r="K159" i="52082"/>
  <c r="J170" i="52104"/>
  <c r="L81" i="52066"/>
  <c r="E44" i="91"/>
  <c r="E46" i="91" s="1"/>
  <c r="E47" i="91" s="1"/>
  <c r="F30" i="91"/>
  <c r="J124" i="52083"/>
  <c r="J163" i="52083"/>
  <c r="H197" i="9"/>
  <c r="F197" i="233"/>
  <c r="K49" i="52082"/>
  <c r="I196" i="52084"/>
  <c r="P14" i="52097"/>
  <c r="K14" i="52082"/>
  <c r="J193" i="52104"/>
  <c r="J9" i="52083"/>
  <c r="I85" i="91"/>
  <c r="L146" i="52089"/>
  <c r="J160" i="52102"/>
  <c r="L174" i="52090"/>
  <c r="I164" i="52094"/>
  <c r="E243" i="91"/>
  <c r="I185" i="91"/>
  <c r="I163" i="52098"/>
  <c r="H199" i="9"/>
  <c r="F199" i="233"/>
  <c r="J199" i="233" s="1"/>
  <c r="I15" i="52098"/>
  <c r="L177" i="52066"/>
  <c r="F30" i="52072"/>
  <c r="I21" i="52072"/>
  <c r="E51" i="52072"/>
  <c r="E46" i="52072"/>
  <c r="E32" i="52072"/>
  <c r="L32" i="52072" s="1"/>
  <c r="I192" i="52084"/>
  <c r="I201" i="52067"/>
  <c r="I185" i="148"/>
  <c r="E243" i="148"/>
  <c r="S159" i="111"/>
  <c r="V159" i="111" s="1"/>
  <c r="I163" i="52066"/>
  <c r="E226" i="52072"/>
  <c r="I185" i="52072"/>
  <c r="E243" i="52072"/>
  <c r="E32" i="52089"/>
  <c r="E33" i="52089" s="1"/>
  <c r="E46" i="52089"/>
  <c r="E47" i="52089" s="1"/>
  <c r="E51" i="52089"/>
  <c r="I21" i="52089"/>
  <c r="L21" i="52089" s="1"/>
  <c r="J8" i="52102"/>
  <c r="F21" i="52102"/>
  <c r="J190" i="52077"/>
  <c r="L190" i="52077" s="1"/>
  <c r="I183" i="48"/>
  <c r="L183" i="48" s="1"/>
  <c r="J198" i="52083"/>
  <c r="J169" i="52083"/>
  <c r="F184" i="52083"/>
  <c r="J156" i="52083"/>
  <c r="H123" i="9"/>
  <c r="F123" i="233"/>
  <c r="J193" i="52103"/>
  <c r="H49" i="9"/>
  <c r="F49" i="233"/>
  <c r="I77" i="48"/>
  <c r="I64" i="148"/>
  <c r="I111" i="52098"/>
  <c r="F88" i="110"/>
  <c r="B88" i="52103"/>
  <c r="H88" i="52084"/>
  <c r="J88" i="52084" s="1"/>
  <c r="B88" i="52084"/>
  <c r="I173" i="52089"/>
  <c r="I156" i="52080"/>
  <c r="I106" i="52080"/>
  <c r="L106" i="52080" s="1"/>
  <c r="I86" i="52080"/>
  <c r="J131" i="52075"/>
  <c r="F153" i="52075"/>
  <c r="S131" i="111"/>
  <c r="O154" i="111"/>
  <c r="J172" i="52103"/>
  <c r="M110" i="110"/>
  <c r="I164" i="52081"/>
  <c r="E242" i="52081"/>
  <c r="I168" i="52081"/>
  <c r="I119" i="52081"/>
  <c r="I96" i="52084"/>
  <c r="I87" i="52084"/>
  <c r="I94" i="52080"/>
  <c r="L94" i="52080" s="1"/>
  <c r="I201" i="52072"/>
  <c r="L201" i="52072" s="1"/>
  <c r="I179" i="52084"/>
  <c r="I145" i="52081"/>
  <c r="I86" i="52081"/>
  <c r="E44" i="52081"/>
  <c r="E46" i="52081" s="1"/>
  <c r="E47" i="52081" s="1"/>
  <c r="F36" i="52081"/>
  <c r="G36" i="52081" s="1"/>
  <c r="F35" i="52081"/>
  <c r="F28" i="52081"/>
  <c r="F30" i="52081"/>
  <c r="I100" i="52080"/>
  <c r="J110" i="52075"/>
  <c r="I110" i="52095"/>
  <c r="L110" i="52095" s="1"/>
  <c r="M163" i="110"/>
  <c r="M143" i="110"/>
  <c r="E239" i="52081"/>
  <c r="I116" i="52081"/>
  <c r="I76" i="52081"/>
  <c r="I168" i="52079"/>
  <c r="E242" i="52079"/>
  <c r="I242" i="52079" s="1"/>
  <c r="J172" i="52076"/>
  <c r="I88" i="52080"/>
  <c r="L88" i="52080" s="1"/>
  <c r="I173" i="52066"/>
  <c r="I125" i="52081"/>
  <c r="I66" i="52081"/>
  <c r="I180" i="52080"/>
  <c r="I120" i="52080"/>
  <c r="L120" i="52080" s="1"/>
  <c r="L173" i="48"/>
  <c r="I175" i="52084"/>
  <c r="I74" i="52081"/>
  <c r="J182" i="52075"/>
  <c r="I124" i="52080"/>
  <c r="L124" i="52080" s="1"/>
  <c r="L190" i="52095"/>
  <c r="O201" i="111"/>
  <c r="S190" i="111"/>
  <c r="E243" i="52081"/>
  <c r="I185" i="52081"/>
  <c r="I147" i="52081"/>
  <c r="E241" i="52081"/>
  <c r="I241" i="52081" s="1"/>
  <c r="I154" i="52081"/>
  <c r="F110" i="233"/>
  <c r="J110" i="233" s="1"/>
  <c r="H110" i="9"/>
  <c r="E239" i="52064"/>
  <c r="I116" i="52064"/>
  <c r="H91" i="9"/>
  <c r="B88" i="111"/>
  <c r="C88" i="52075"/>
  <c r="E239" i="77"/>
  <c r="I116" i="77"/>
  <c r="E239" i="52095"/>
  <c r="I116" i="52095"/>
  <c r="I105" i="52095"/>
  <c r="L84" i="12"/>
  <c r="I119" i="12"/>
  <c r="L119" i="12" s="1"/>
  <c r="J127" i="52075"/>
  <c r="I160" i="52094"/>
  <c r="L160" i="52094" s="1"/>
  <c r="J118" i="52075"/>
  <c r="F129" i="52075"/>
  <c r="I118" i="77"/>
  <c r="L118" i="77" s="1"/>
  <c r="J111" i="52075"/>
  <c r="K177" i="52082"/>
  <c r="K81" i="52082"/>
  <c r="E240" i="52072"/>
  <c r="I240" i="52072" s="1"/>
  <c r="I129" i="52072"/>
  <c r="J74" i="52083"/>
  <c r="S9" i="111"/>
  <c r="I82" i="52095"/>
  <c r="L145" i="114"/>
  <c r="J159" i="52075"/>
  <c r="E44" i="12"/>
  <c r="E46" i="12" s="1"/>
  <c r="E47" i="12" s="1"/>
  <c r="F36" i="12"/>
  <c r="F30" i="12"/>
  <c r="L125" i="77"/>
  <c r="I77" i="52095"/>
  <c r="J120" i="52077"/>
  <c r="I120" i="52077"/>
  <c r="L120" i="52077" s="1"/>
  <c r="I111" i="114"/>
  <c r="I90" i="52094"/>
  <c r="I116" i="12"/>
  <c r="E239" i="12"/>
  <c r="I86" i="52090"/>
  <c r="L86" i="52090" s="1"/>
  <c r="E103" i="108"/>
  <c r="E203" i="108" s="1"/>
  <c r="I70" i="108"/>
  <c r="L28" i="114"/>
  <c r="J76" i="52075"/>
  <c r="I73" i="12"/>
  <c r="L73" i="12" s="1"/>
  <c r="J77" i="52076"/>
  <c r="L106" i="52094"/>
  <c r="D88" i="52075"/>
  <c r="H88" i="111"/>
  <c r="I177" i="114"/>
  <c r="L150" i="52094"/>
  <c r="L157" i="52077"/>
  <c r="J157" i="52077"/>
  <c r="L99" i="52095"/>
  <c r="J141" i="52077"/>
  <c r="I97" i="52090"/>
  <c r="I158" i="52072"/>
  <c r="L158" i="52072" s="1"/>
  <c r="K163" i="52082"/>
  <c r="I118" i="52091"/>
  <c r="L118" i="52091" s="1"/>
  <c r="L111" i="77"/>
  <c r="S67" i="111"/>
  <c r="I67" i="52095"/>
  <c r="I249" i="52095" s="1"/>
  <c r="J73" i="52075"/>
  <c r="L180" i="52090"/>
  <c r="I100" i="114"/>
  <c r="L100" i="114" s="1"/>
  <c r="S74" i="111"/>
  <c r="I74" i="52095"/>
  <c r="S177" i="111"/>
  <c r="I95" i="114"/>
  <c r="L66" i="52094"/>
  <c r="L97" i="12"/>
  <c r="I183" i="12"/>
  <c r="L141" i="52090"/>
  <c r="I142" i="52095"/>
  <c r="L142" i="52095" s="1"/>
  <c r="I78" i="12"/>
  <c r="I84" i="114"/>
  <c r="L84" i="114" s="1"/>
  <c r="I108" i="77"/>
  <c r="L108" i="77" s="1"/>
  <c r="L67" i="52090"/>
  <c r="K85" i="52082"/>
  <c r="L83" i="115"/>
  <c r="J94" i="52083"/>
  <c r="J176" i="52083"/>
  <c r="L106" i="115"/>
  <c r="P112" i="52097"/>
  <c r="J77" i="52083"/>
  <c r="I85" i="52074"/>
  <c r="K158" i="52082"/>
  <c r="S148" i="111"/>
  <c r="I112" i="52098"/>
  <c r="P67" i="52097"/>
  <c r="P72" i="52097"/>
  <c r="J95" i="52104"/>
  <c r="L73" i="115"/>
  <c r="K120" i="52082"/>
  <c r="K119" i="52082"/>
  <c r="L109" i="115"/>
  <c r="I73" i="52098"/>
  <c r="J86" i="52083"/>
  <c r="L180" i="115"/>
  <c r="I148" i="52098"/>
  <c r="K67" i="52082"/>
  <c r="L70" i="52097"/>
  <c r="I152" i="52081"/>
  <c r="I64" i="52081"/>
  <c r="I131" i="52093"/>
  <c r="J110" i="52083"/>
  <c r="I162" i="52080"/>
  <c r="I76" i="52080"/>
  <c r="I131" i="52072"/>
  <c r="I110" i="91"/>
  <c r="L110" i="91" s="1"/>
  <c r="I149" i="52080"/>
  <c r="I110" i="52072"/>
  <c r="L110" i="52072" s="1"/>
  <c r="I96" i="52080"/>
  <c r="I131" i="52094"/>
  <c r="I178" i="52081"/>
  <c r="I77" i="52094"/>
  <c r="J88" i="52075"/>
  <c r="S134" i="111"/>
  <c r="I142" i="12"/>
  <c r="L142" i="12" s="1"/>
  <c r="I145" i="12"/>
  <c r="L145" i="12" s="1"/>
  <c r="I156" i="101"/>
  <c r="I165" i="12"/>
  <c r="L165" i="12" s="1"/>
  <c r="J112" i="52075"/>
  <c r="J179" i="52103"/>
  <c r="L147" i="52089"/>
  <c r="M152" i="110"/>
  <c r="I86" i="12"/>
  <c r="I116" i="52090"/>
  <c r="E239" i="52090"/>
  <c r="E241" i="101"/>
  <c r="I154" i="101"/>
  <c r="I150" i="12"/>
  <c r="I148" i="52090"/>
  <c r="J84" i="52077"/>
  <c r="I82" i="52090"/>
  <c r="J100" i="52075"/>
  <c r="I112" i="114"/>
  <c r="L112" i="114" s="1"/>
  <c r="I185" i="52079"/>
  <c r="E243" i="52079"/>
  <c r="B88" i="52104"/>
  <c r="B88" i="52076"/>
  <c r="E88" i="111"/>
  <c r="H88" i="52076"/>
  <c r="J88" i="52076" s="1"/>
  <c r="I88" i="52104"/>
  <c r="K88" i="52104" s="1"/>
  <c r="J88" i="12"/>
  <c r="L88" i="12" s="1"/>
  <c r="S108" i="111"/>
  <c r="V108" i="111"/>
  <c r="I106" i="114"/>
  <c r="I111" i="12"/>
  <c r="J68" i="52075"/>
  <c r="S152" i="111"/>
  <c r="I90" i="52090"/>
  <c r="I158" i="52092"/>
  <c r="L158" i="52092" s="1"/>
  <c r="I154" i="21"/>
  <c r="E241" i="21"/>
  <c r="J79" i="52076"/>
  <c r="I79" i="52076"/>
  <c r="E239" i="101"/>
  <c r="I116" i="101"/>
  <c r="L109" i="52095"/>
  <c r="I119" i="77"/>
  <c r="L119" i="77" s="1"/>
  <c r="I100" i="12"/>
  <c r="I156" i="52095"/>
  <c r="E167" i="52076"/>
  <c r="E241" i="52076" s="1"/>
  <c r="I156" i="12"/>
  <c r="I78" i="52090"/>
  <c r="I149" i="52094"/>
  <c r="I105" i="114"/>
  <c r="L105" i="114" s="1"/>
  <c r="L161" i="52095"/>
  <c r="S119" i="111"/>
  <c r="V119" i="111" s="1"/>
  <c r="J119" i="52075"/>
  <c r="J143" i="52076"/>
  <c r="G123" i="114"/>
  <c r="J123" i="114"/>
  <c r="I123" i="114"/>
  <c r="I70" i="101"/>
  <c r="E103" i="101"/>
  <c r="I64" i="114"/>
  <c r="D251" i="52080"/>
  <c r="L217" i="52075"/>
  <c r="U217" i="111"/>
  <c r="U251" i="111" s="1"/>
  <c r="L86" i="115"/>
  <c r="I120" i="52098"/>
  <c r="K112" i="52082"/>
  <c r="J67" i="52083"/>
  <c r="L165" i="115"/>
  <c r="J160" i="52104"/>
  <c r="K93" i="52082"/>
  <c r="I106" i="52098"/>
  <c r="L129" i="52097"/>
  <c r="J160" i="52083"/>
  <c r="I132" i="52098"/>
  <c r="I145" i="52074"/>
  <c r="O129" i="111"/>
  <c r="O168" i="111"/>
  <c r="G36" i="110"/>
  <c r="D36" i="52084"/>
  <c r="D36" i="52103"/>
  <c r="C114" i="233"/>
  <c r="N114" i="52097"/>
  <c r="I94" i="93"/>
  <c r="G170" i="93"/>
  <c r="E240" i="52074"/>
  <c r="G243" i="52082"/>
  <c r="K185" i="52082"/>
  <c r="K243" i="52082" s="1"/>
  <c r="P253" i="52097"/>
  <c r="F253" i="233"/>
  <c r="J253" i="233" s="1"/>
  <c r="Q14" i="52097"/>
  <c r="C14" i="233"/>
  <c r="N14" i="52097"/>
  <c r="O78" i="52097"/>
  <c r="R247" i="52097"/>
  <c r="R209" i="52097"/>
  <c r="R217" i="52097" s="1"/>
  <c r="R251" i="52097" s="1"/>
  <c r="I205" i="52100"/>
  <c r="E209" i="52100"/>
  <c r="E247" i="52100"/>
  <c r="I247" i="52100" s="1"/>
  <c r="E238" i="52088"/>
  <c r="I103" i="52088"/>
  <c r="E203" i="52088"/>
  <c r="G241" i="52082"/>
  <c r="E239" i="52098"/>
  <c r="E238" i="52074"/>
  <c r="F238" i="52104"/>
  <c r="E239" i="52074"/>
  <c r="F205" i="52082"/>
  <c r="F247" i="52082" s="1"/>
  <c r="F245" i="52082"/>
  <c r="E241" i="52098"/>
  <c r="G30" i="52104"/>
  <c r="G35" i="52104"/>
  <c r="E46" i="115"/>
  <c r="E47" i="115" s="1"/>
  <c r="E53" i="115"/>
  <c r="E237" i="52074"/>
  <c r="F237" i="52104"/>
  <c r="E203" i="52087"/>
  <c r="I103" i="52087"/>
  <c r="E238" i="52087"/>
  <c r="D251" i="52081"/>
  <c r="O217" i="110"/>
  <c r="O251" i="110" s="1"/>
  <c r="L223" i="52083"/>
  <c r="L253" i="52083"/>
  <c r="K208" i="52077"/>
  <c r="K216" i="52077" s="1"/>
  <c r="K249" i="52077" s="1"/>
  <c r="K245" i="52077"/>
  <c r="J209" i="9"/>
  <c r="J247" i="9"/>
  <c r="L247" i="233" s="1"/>
  <c r="L205" i="233"/>
  <c r="F238" i="52083"/>
  <c r="J116" i="52083"/>
  <c r="J238" i="52083" s="1"/>
  <c r="F240" i="52104"/>
  <c r="F103" i="52104"/>
  <c r="E240" i="52098"/>
  <c r="E241" i="52074"/>
  <c r="G32" i="52082"/>
  <c r="G33" i="52082" s="1"/>
  <c r="G44" i="52082"/>
  <c r="E238" i="52067"/>
  <c r="E203" i="52067"/>
  <c r="G242" i="52082"/>
  <c r="G239" i="52082"/>
  <c r="I78" i="52083"/>
  <c r="K78" i="52083" s="1"/>
  <c r="H78" i="52083"/>
  <c r="R224" i="52097"/>
  <c r="R254" i="52097"/>
  <c r="E46" i="52087"/>
  <c r="E47" i="52087" s="1"/>
  <c r="E53" i="52087"/>
  <c r="E238" i="52098"/>
  <c r="E203" i="115"/>
  <c r="E238" i="115"/>
  <c r="E46" i="52071"/>
  <c r="E53" i="52071"/>
  <c r="T136" i="111"/>
  <c r="D136" i="233"/>
  <c r="Q136" i="111"/>
  <c r="J95" i="52093"/>
  <c r="D95" i="52076"/>
  <c r="D95" i="52077"/>
  <c r="K95" i="111"/>
  <c r="H95" i="52093"/>
  <c r="L95" i="52093" s="1"/>
  <c r="K246" i="52076"/>
  <c r="K208" i="52076"/>
  <c r="K216" i="52076" s="1"/>
  <c r="F46" i="52104"/>
  <c r="F47" i="52104" s="1"/>
  <c r="G36" i="52104"/>
  <c r="E33" i="115"/>
  <c r="L32" i="115"/>
  <c r="F32" i="52104"/>
  <c r="G103" i="52082"/>
  <c r="F239" i="52104"/>
  <c r="E203" i="52071"/>
  <c r="E103" i="52098"/>
  <c r="I103" i="52071"/>
  <c r="E238" i="52071"/>
  <c r="I238" i="52071" s="1"/>
  <c r="F148" i="9"/>
  <c r="B148" i="233"/>
  <c r="L246" i="52083"/>
  <c r="L208" i="52083"/>
  <c r="L216" i="52083" s="1"/>
  <c r="L250" i="52083" s="1"/>
  <c r="J224" i="9"/>
  <c r="J254" i="9"/>
  <c r="L254" i="233" s="1"/>
  <c r="G240" i="52082"/>
  <c r="K129" i="52082"/>
  <c r="K240" i="52082" s="1"/>
  <c r="F241" i="52104"/>
  <c r="J95" i="12"/>
  <c r="H95" i="12"/>
  <c r="L95" i="12" s="1"/>
  <c r="B95" i="52104"/>
  <c r="E95" i="111"/>
  <c r="B95" i="52076"/>
  <c r="K245" i="52097"/>
  <c r="K205" i="52097"/>
  <c r="K247" i="52097" s="1"/>
  <c r="E103" i="52074"/>
  <c r="B44" i="111"/>
  <c r="E202" i="52077"/>
  <c r="E236" i="52077"/>
  <c r="C46" i="52075"/>
  <c r="C47" i="52075" s="1"/>
  <c r="C53" i="52075"/>
  <c r="C54" i="52075" s="1"/>
  <c r="G62" i="114"/>
  <c r="L44" i="114"/>
  <c r="G53" i="114"/>
  <c r="L246" i="52102"/>
  <c r="L208" i="52102"/>
  <c r="L216" i="52102" s="1"/>
  <c r="L250" i="52102" s="1"/>
  <c r="L223" i="52103"/>
  <c r="L252" i="52103"/>
  <c r="L208" i="52103"/>
  <c r="L216" i="52103" s="1"/>
  <c r="L249" i="52103" s="1"/>
  <c r="L245" i="52103"/>
  <c r="M21" i="21"/>
  <c r="G87" i="9" l="1"/>
  <c r="E222" i="108"/>
  <c r="E254" i="108" s="1"/>
  <c r="E223" i="108"/>
  <c r="E245" i="108"/>
  <c r="J249" i="52080"/>
  <c r="L67" i="52080"/>
  <c r="C147" i="233"/>
  <c r="N147" i="52097"/>
  <c r="Q147" i="52097"/>
  <c r="O242" i="111"/>
  <c r="E238" i="101"/>
  <c r="I103" i="101"/>
  <c r="E203" i="101"/>
  <c r="C123" i="52075"/>
  <c r="C129" i="52075" s="1"/>
  <c r="C238" i="52075" s="1"/>
  <c r="I123" i="52075"/>
  <c r="L123" i="114"/>
  <c r="B123" i="111"/>
  <c r="G129" i="114"/>
  <c r="N88" i="52104"/>
  <c r="M88" i="52104"/>
  <c r="L103" i="52097"/>
  <c r="F238" i="52075"/>
  <c r="F242" i="52083"/>
  <c r="F32" i="52102"/>
  <c r="F33" i="52102" s="1"/>
  <c r="F51" i="52102"/>
  <c r="F46" i="52102"/>
  <c r="F47" i="52102" s="1"/>
  <c r="E233" i="52089"/>
  <c r="E53" i="52089"/>
  <c r="I51" i="52089"/>
  <c r="I233" i="52089" s="1"/>
  <c r="E62" i="52089"/>
  <c r="E233" i="52072"/>
  <c r="I51" i="52072"/>
  <c r="I233" i="52072" s="1"/>
  <c r="E53" i="52072"/>
  <c r="E225" i="52072"/>
  <c r="E62" i="52072"/>
  <c r="J124" i="233"/>
  <c r="E62" i="52067"/>
  <c r="E233" i="52067"/>
  <c r="I51" i="52067"/>
  <c r="I233" i="52067" s="1"/>
  <c r="E53" i="52067"/>
  <c r="B88" i="233"/>
  <c r="F88" i="9"/>
  <c r="E62" i="20"/>
  <c r="E233" i="20"/>
  <c r="I51" i="20"/>
  <c r="I233" i="20" s="1"/>
  <c r="E53" i="20"/>
  <c r="E238" i="52094"/>
  <c r="E203" i="52094"/>
  <c r="I243" i="110"/>
  <c r="J163" i="233"/>
  <c r="E62" i="52091"/>
  <c r="E233" i="52091"/>
  <c r="E53" i="52091"/>
  <c r="E33" i="105"/>
  <c r="F32" i="52083"/>
  <c r="F33" i="52083" s="1"/>
  <c r="E233" i="105"/>
  <c r="E62" i="105"/>
  <c r="I51" i="105"/>
  <c r="I233" i="105" s="1"/>
  <c r="E53" i="105"/>
  <c r="F168" i="233"/>
  <c r="E225" i="48"/>
  <c r="E62" i="48"/>
  <c r="I51" i="48"/>
  <c r="I233" i="48" s="1"/>
  <c r="E233" i="48"/>
  <c r="E53" i="48"/>
  <c r="F32" i="52103"/>
  <c r="F33" i="52103" s="1"/>
  <c r="F51" i="52103"/>
  <c r="J21" i="52103"/>
  <c r="F46" i="52103"/>
  <c r="F47" i="52103" s="1"/>
  <c r="I242" i="110"/>
  <c r="D242" i="9"/>
  <c r="E203" i="52090"/>
  <c r="E238" i="52090"/>
  <c r="B164" i="110"/>
  <c r="E163" i="52102"/>
  <c r="G241" i="101"/>
  <c r="H154" i="101"/>
  <c r="B165" i="233"/>
  <c r="F165" i="9"/>
  <c r="B169" i="52083"/>
  <c r="C170" i="52097"/>
  <c r="G185" i="105"/>
  <c r="G243" i="105" s="1"/>
  <c r="J243" i="105" s="1"/>
  <c r="F243" i="105"/>
  <c r="J185" i="105"/>
  <c r="F241" i="21"/>
  <c r="I241" i="21" s="1"/>
  <c r="F153" i="52098"/>
  <c r="J154" i="21"/>
  <c r="F141" i="9"/>
  <c r="B141" i="233"/>
  <c r="F145" i="9"/>
  <c r="B145" i="233"/>
  <c r="G116" i="52098"/>
  <c r="H116" i="21"/>
  <c r="G239" i="21"/>
  <c r="B116" i="52098"/>
  <c r="H107" i="52098"/>
  <c r="B173" i="233"/>
  <c r="F173" i="9"/>
  <c r="B150" i="52103"/>
  <c r="B150" i="52084"/>
  <c r="H150" i="52084"/>
  <c r="F150" i="110"/>
  <c r="J150" i="52084"/>
  <c r="E84" i="52102"/>
  <c r="B84" i="110"/>
  <c r="K74" i="111"/>
  <c r="D74" i="52076"/>
  <c r="I74" i="52076" s="1"/>
  <c r="D74" i="52077"/>
  <c r="I74" i="52077" s="1"/>
  <c r="C147" i="52077"/>
  <c r="J147" i="111"/>
  <c r="L164" i="111"/>
  <c r="B163" i="52077"/>
  <c r="H163" i="52077"/>
  <c r="J163" i="52077" s="1"/>
  <c r="H137" i="52077"/>
  <c r="J137" i="52077" s="1"/>
  <c r="D137" i="52077"/>
  <c r="K137" i="111"/>
  <c r="R137" i="111" s="1"/>
  <c r="D137" i="52076"/>
  <c r="I137" i="52076" s="1"/>
  <c r="H137" i="52076"/>
  <c r="F240" i="52092"/>
  <c r="G114" i="111"/>
  <c r="C114" i="52102"/>
  <c r="D114" i="52074"/>
  <c r="E125" i="111"/>
  <c r="B125" i="52076"/>
  <c r="B125" i="52104"/>
  <c r="H125" i="52076"/>
  <c r="B65" i="52104"/>
  <c r="E65" i="111"/>
  <c r="R65" i="111" s="1"/>
  <c r="B65" i="52076"/>
  <c r="I65" i="52104"/>
  <c r="H65" i="52076"/>
  <c r="J68" i="52093"/>
  <c r="C150" i="52077"/>
  <c r="J150" i="111"/>
  <c r="L150" i="52092"/>
  <c r="K100" i="52103"/>
  <c r="M101" i="111"/>
  <c r="I101" i="52075"/>
  <c r="B101" i="52075"/>
  <c r="L101" i="52095"/>
  <c r="C91" i="52077"/>
  <c r="J91" i="111"/>
  <c r="G149" i="111"/>
  <c r="D149" i="52074"/>
  <c r="C149" i="52102"/>
  <c r="B171" i="111"/>
  <c r="C170" i="52075"/>
  <c r="N91" i="52097"/>
  <c r="C91" i="233"/>
  <c r="F74" i="9"/>
  <c r="B74" i="233"/>
  <c r="F243" i="52088"/>
  <c r="I243" i="52088" s="1"/>
  <c r="I185" i="52088"/>
  <c r="F177" i="9"/>
  <c r="B177" i="233"/>
  <c r="G239" i="52064"/>
  <c r="H116" i="52064"/>
  <c r="G156" i="52088"/>
  <c r="G51" i="52088"/>
  <c r="H95" i="52088"/>
  <c r="F233" i="52088"/>
  <c r="F62" i="52088"/>
  <c r="J51" i="52088"/>
  <c r="J233" i="52088" s="1"/>
  <c r="H168" i="52082"/>
  <c r="K156" i="52082"/>
  <c r="E177" i="52102"/>
  <c r="B178" i="110"/>
  <c r="K18" i="110"/>
  <c r="E18" i="233"/>
  <c r="J67" i="52093"/>
  <c r="J249" i="52093" s="1"/>
  <c r="E165" i="52102"/>
  <c r="B166" i="110"/>
  <c r="E109" i="52102"/>
  <c r="B109" i="110"/>
  <c r="B175" i="52104"/>
  <c r="H175" i="52076"/>
  <c r="E176" i="111"/>
  <c r="B175" i="52076"/>
  <c r="M81" i="111"/>
  <c r="B81" i="52075"/>
  <c r="I81" i="52075"/>
  <c r="D171" i="52076"/>
  <c r="I171" i="52076" s="1"/>
  <c r="K172" i="111"/>
  <c r="D171" i="52077"/>
  <c r="I171" i="52077" s="1"/>
  <c r="D75" i="52076"/>
  <c r="I75" i="52076" s="1"/>
  <c r="D75" i="52077"/>
  <c r="I75" i="52077" s="1"/>
  <c r="K75" i="111"/>
  <c r="J118" i="52084"/>
  <c r="F129" i="52084"/>
  <c r="F238" i="52084" s="1"/>
  <c r="L125" i="111"/>
  <c r="B125" i="52077"/>
  <c r="H125" i="52077"/>
  <c r="H107" i="111"/>
  <c r="D107" i="52075"/>
  <c r="D179" i="52102"/>
  <c r="D180" i="110"/>
  <c r="J112" i="48"/>
  <c r="L112" i="48" s="1"/>
  <c r="E177" i="52075"/>
  <c r="N178" i="111"/>
  <c r="N76" i="111"/>
  <c r="E76" i="52075"/>
  <c r="B111" i="52075"/>
  <c r="M111" i="111"/>
  <c r="I111" i="52075"/>
  <c r="K111" i="52075" s="1"/>
  <c r="B64" i="52084"/>
  <c r="H64" i="52084"/>
  <c r="B64" i="52103"/>
  <c r="G70" i="48"/>
  <c r="G103" i="48" s="1"/>
  <c r="F64" i="110"/>
  <c r="F103" i="48"/>
  <c r="F103" i="52094"/>
  <c r="L64" i="111"/>
  <c r="H64" i="52077"/>
  <c r="J64" i="52077" s="1"/>
  <c r="B64" i="52077"/>
  <c r="L64" i="52094"/>
  <c r="H84" i="52084"/>
  <c r="J84" i="52084" s="1"/>
  <c r="F242" i="52080"/>
  <c r="E112" i="52075"/>
  <c r="N112" i="111"/>
  <c r="C180" i="52076"/>
  <c r="F181" i="111"/>
  <c r="C180" i="52104"/>
  <c r="L181" i="77"/>
  <c r="C87" i="52075"/>
  <c r="B87" i="111"/>
  <c r="H160" i="52098"/>
  <c r="J160" i="52098" s="1"/>
  <c r="G161" i="9"/>
  <c r="B16" i="233"/>
  <c r="F16" i="9"/>
  <c r="C223" i="108"/>
  <c r="C245" i="108"/>
  <c r="B203" i="108"/>
  <c r="C222" i="108"/>
  <c r="C254" i="108" s="1"/>
  <c r="E253" i="52083" s="1"/>
  <c r="B96" i="110"/>
  <c r="E96" i="52102"/>
  <c r="E78" i="52075"/>
  <c r="N78" i="111"/>
  <c r="G49" i="233"/>
  <c r="J49" i="233" s="1"/>
  <c r="H76" i="111"/>
  <c r="D76" i="52075"/>
  <c r="K72" i="52104"/>
  <c r="F243" i="52093"/>
  <c r="D173" i="52103"/>
  <c r="D173" i="52084"/>
  <c r="G174" i="110"/>
  <c r="I147" i="52084"/>
  <c r="B147" i="52103"/>
  <c r="F147" i="110"/>
  <c r="H147" i="52084"/>
  <c r="J147" i="52084" s="1"/>
  <c r="B147" i="52084"/>
  <c r="C225" i="48"/>
  <c r="C62" i="48"/>
  <c r="C233" i="48"/>
  <c r="C53" i="48"/>
  <c r="C54" i="48" s="1"/>
  <c r="D171" i="52103"/>
  <c r="D171" i="52084"/>
  <c r="G172" i="110"/>
  <c r="C245" i="52080"/>
  <c r="B203" i="52080"/>
  <c r="C222" i="52080"/>
  <c r="C254" i="52080" s="1"/>
  <c r="C223" i="52080"/>
  <c r="D105" i="52076"/>
  <c r="K105" i="111"/>
  <c r="D105" i="52077"/>
  <c r="G116" i="52093"/>
  <c r="L105" i="52093"/>
  <c r="F116" i="52076"/>
  <c r="F238" i="52076" s="1"/>
  <c r="D111" i="52104"/>
  <c r="B111" i="52074"/>
  <c r="D111" i="111"/>
  <c r="H111" i="52074"/>
  <c r="J111" i="52074" s="1"/>
  <c r="F166" i="111"/>
  <c r="C165" i="52104"/>
  <c r="C165" i="52076"/>
  <c r="C86" i="52077"/>
  <c r="J86" i="111"/>
  <c r="C109" i="52103"/>
  <c r="E109" i="110"/>
  <c r="C109" i="52084"/>
  <c r="F184" i="52077"/>
  <c r="F243" i="52094"/>
  <c r="N11" i="52097"/>
  <c r="C11" i="233"/>
  <c r="C33" i="52092"/>
  <c r="L32" i="52092"/>
  <c r="C33" i="52090"/>
  <c r="L32" i="52090"/>
  <c r="F241" i="52100"/>
  <c r="M146" i="52102"/>
  <c r="H147" i="110"/>
  <c r="B147" i="52102"/>
  <c r="I147" i="52102"/>
  <c r="L147" i="52100"/>
  <c r="F243" i="52100"/>
  <c r="B169" i="52102"/>
  <c r="G185" i="52100"/>
  <c r="I169" i="52102"/>
  <c r="H170" i="110"/>
  <c r="L170" i="52100"/>
  <c r="H137" i="52083"/>
  <c r="B121" i="52102"/>
  <c r="H121" i="110"/>
  <c r="L121" i="110" s="1"/>
  <c r="I121" i="52102"/>
  <c r="K121" i="52102" s="1"/>
  <c r="L121" i="52100"/>
  <c r="K140" i="52102"/>
  <c r="I140" i="52102"/>
  <c r="B140" i="52102"/>
  <c r="H140" i="110"/>
  <c r="L140" i="52100"/>
  <c r="I199" i="233"/>
  <c r="K199" i="110"/>
  <c r="H199" i="233" s="1"/>
  <c r="E199" i="233"/>
  <c r="L98" i="111"/>
  <c r="B98" i="52077"/>
  <c r="H98" i="52077"/>
  <c r="E80" i="52102"/>
  <c r="B80" i="110"/>
  <c r="C66" i="52077"/>
  <c r="J66" i="111"/>
  <c r="C140" i="52084"/>
  <c r="H140" i="52084"/>
  <c r="I140" i="52103"/>
  <c r="C140" i="52103"/>
  <c r="M140" i="52103" s="1"/>
  <c r="E140" i="110"/>
  <c r="L140" i="52066"/>
  <c r="I180" i="52075"/>
  <c r="M181" i="111"/>
  <c r="B180" i="52075"/>
  <c r="C245" i="52066"/>
  <c r="B203" i="52066"/>
  <c r="C223" i="52066"/>
  <c r="C222" i="52066"/>
  <c r="C254" i="52066" s="1"/>
  <c r="H95" i="52066"/>
  <c r="C95" i="52084"/>
  <c r="C95" i="52103"/>
  <c r="E95" i="110"/>
  <c r="E84" i="52075"/>
  <c r="N84" i="111"/>
  <c r="L84" i="52080"/>
  <c r="C83" i="52103"/>
  <c r="E83" i="110"/>
  <c r="C83" i="52084"/>
  <c r="L83" i="52066"/>
  <c r="N166" i="111"/>
  <c r="E165" i="52075"/>
  <c r="L166" i="52080"/>
  <c r="C163" i="52104"/>
  <c r="C163" i="52076"/>
  <c r="F164" i="111"/>
  <c r="L164" i="77"/>
  <c r="J186" i="52074"/>
  <c r="F200" i="52074"/>
  <c r="J200" i="52074" s="1"/>
  <c r="E147" i="52075"/>
  <c r="N147" i="111"/>
  <c r="L147" i="52080"/>
  <c r="K123" i="52075"/>
  <c r="J123" i="52075"/>
  <c r="N12" i="52097"/>
  <c r="C12" i="233"/>
  <c r="C33" i="52080"/>
  <c r="L32" i="52080"/>
  <c r="J101" i="111"/>
  <c r="C101" i="52077"/>
  <c r="C81" i="52075"/>
  <c r="B81" i="111"/>
  <c r="D64" i="52074"/>
  <c r="G70" i="52089"/>
  <c r="G64" i="111"/>
  <c r="C64" i="52102"/>
  <c r="L64" i="52089"/>
  <c r="D67" i="52074"/>
  <c r="C67" i="52102"/>
  <c r="G67" i="111"/>
  <c r="H21" i="52074"/>
  <c r="H51" i="52074" s="1"/>
  <c r="H231" i="52074" s="1"/>
  <c r="F241" i="52093"/>
  <c r="L141" i="52077"/>
  <c r="G116" i="52102"/>
  <c r="F239" i="52100"/>
  <c r="I165" i="9"/>
  <c r="H125" i="110"/>
  <c r="B125" i="52102"/>
  <c r="I125" i="52102"/>
  <c r="G200" i="52102"/>
  <c r="I186" i="52102"/>
  <c r="G201" i="52100"/>
  <c r="B186" i="52102"/>
  <c r="H187" i="110"/>
  <c r="L187" i="52100"/>
  <c r="L135" i="110"/>
  <c r="G154" i="48"/>
  <c r="E83" i="52102"/>
  <c r="B83" i="110"/>
  <c r="D180" i="52102"/>
  <c r="D181" i="110"/>
  <c r="D93" i="52102"/>
  <c r="D93" i="110"/>
  <c r="D114" i="52102"/>
  <c r="D114" i="110"/>
  <c r="I78" i="52102"/>
  <c r="D78" i="52102"/>
  <c r="D78" i="110"/>
  <c r="E92" i="52075"/>
  <c r="N92" i="111"/>
  <c r="B101" i="52104"/>
  <c r="B101" i="52076"/>
  <c r="E101" i="111"/>
  <c r="H101" i="52076"/>
  <c r="F241" i="52066"/>
  <c r="C72" i="52084"/>
  <c r="C72" i="52103"/>
  <c r="E72" i="110"/>
  <c r="K186" i="52104"/>
  <c r="G200" i="52104"/>
  <c r="K200" i="52104" s="1"/>
  <c r="D177" i="52102"/>
  <c r="D178" i="110"/>
  <c r="D90" i="52102"/>
  <c r="D90" i="110"/>
  <c r="L90" i="110" s="1"/>
  <c r="D75" i="52102"/>
  <c r="D75" i="110"/>
  <c r="K131" i="52103"/>
  <c r="G153" i="52103"/>
  <c r="G241" i="91"/>
  <c r="H154" i="91"/>
  <c r="B78" i="110"/>
  <c r="E78" i="52102"/>
  <c r="E80" i="52075"/>
  <c r="N80" i="111"/>
  <c r="B149" i="52075"/>
  <c r="M149" i="111"/>
  <c r="I149" i="52075"/>
  <c r="K149" i="52075" s="1"/>
  <c r="C111" i="52077"/>
  <c r="J111" i="111"/>
  <c r="M149" i="110"/>
  <c r="E149" i="52102"/>
  <c r="B149" i="110"/>
  <c r="M175" i="111"/>
  <c r="B174" i="52075"/>
  <c r="M21" i="111"/>
  <c r="M51" i="111" s="1"/>
  <c r="M233" i="111" s="1"/>
  <c r="B181" i="111"/>
  <c r="C180" i="52075"/>
  <c r="C218" i="52089"/>
  <c r="B83" i="52075"/>
  <c r="M83" i="111"/>
  <c r="I83" i="52075"/>
  <c r="K83" i="52075" s="1"/>
  <c r="J147" i="52093"/>
  <c r="L147" i="52093" s="1"/>
  <c r="I134" i="52077"/>
  <c r="L134" i="52077" s="1"/>
  <c r="F240" i="52091"/>
  <c r="J240" i="52091" s="1"/>
  <c r="J129" i="52091"/>
  <c r="D163" i="52104"/>
  <c r="D164" i="111"/>
  <c r="B163" i="52074"/>
  <c r="H163" i="52074"/>
  <c r="J163" i="52074" s="1"/>
  <c r="C66" i="233"/>
  <c r="N66" i="52097"/>
  <c r="C225" i="21"/>
  <c r="C62" i="21"/>
  <c r="C236" i="21" s="1"/>
  <c r="C53" i="21"/>
  <c r="C54" i="21" s="1"/>
  <c r="C233" i="21"/>
  <c r="D180" i="52104"/>
  <c r="D181" i="111"/>
  <c r="B180" i="52074"/>
  <c r="H180" i="52074"/>
  <c r="D66" i="52074"/>
  <c r="D70" i="52074" s="1"/>
  <c r="C66" i="52102"/>
  <c r="M66" i="52102" s="1"/>
  <c r="G66" i="111"/>
  <c r="C225" i="52071"/>
  <c r="C62" i="52071"/>
  <c r="C53" i="52071"/>
  <c r="C54" i="52071" s="1"/>
  <c r="C233" i="52071"/>
  <c r="B163" i="52103"/>
  <c r="B163" i="52084"/>
  <c r="H163" i="52084"/>
  <c r="J163" i="52084" s="1"/>
  <c r="F164" i="110"/>
  <c r="B100" i="52103"/>
  <c r="B100" i="52084"/>
  <c r="F100" i="110"/>
  <c r="H100" i="52084"/>
  <c r="J100" i="52084" s="1"/>
  <c r="B81" i="52103"/>
  <c r="F81" i="110"/>
  <c r="B81" i="52084"/>
  <c r="H81" i="52084"/>
  <c r="J81" i="52084" s="1"/>
  <c r="K122" i="110"/>
  <c r="E122" i="233"/>
  <c r="C87" i="52104"/>
  <c r="C87" i="52076"/>
  <c r="F87" i="111"/>
  <c r="O13" i="52097"/>
  <c r="K64" i="52098"/>
  <c r="B64" i="52098"/>
  <c r="B64" i="9"/>
  <c r="G64" i="52098"/>
  <c r="G70" i="21"/>
  <c r="H17" i="52098"/>
  <c r="H81" i="52083"/>
  <c r="I81" i="52083"/>
  <c r="H173" i="52098"/>
  <c r="J87" i="52082"/>
  <c r="F233" i="114"/>
  <c r="F62" i="114"/>
  <c r="J51" i="114"/>
  <c r="J233" i="114" s="1"/>
  <c r="B83" i="52102"/>
  <c r="I83" i="52102"/>
  <c r="K83" i="52102" s="1"/>
  <c r="H83" i="110"/>
  <c r="L83" i="110" s="1"/>
  <c r="H92" i="110"/>
  <c r="B92" i="52102"/>
  <c r="I92" i="52102"/>
  <c r="B100" i="52102"/>
  <c r="H100" i="110"/>
  <c r="H111" i="110"/>
  <c r="B111" i="52102"/>
  <c r="I111" i="52102"/>
  <c r="K160" i="52102"/>
  <c r="H180" i="110"/>
  <c r="B179" i="52102"/>
  <c r="I179" i="52102"/>
  <c r="B191" i="52102"/>
  <c r="I191" i="52102"/>
  <c r="H192" i="110"/>
  <c r="L192" i="110" s="1"/>
  <c r="G191" i="233"/>
  <c r="K191" i="233" s="1"/>
  <c r="H174" i="52083"/>
  <c r="I174" i="52083"/>
  <c r="G180" i="9"/>
  <c r="O19" i="52097"/>
  <c r="O92" i="52097"/>
  <c r="C206" i="93"/>
  <c r="I157" i="52102"/>
  <c r="K157" i="52102" s="1"/>
  <c r="H158" i="110"/>
  <c r="L158" i="110" s="1"/>
  <c r="B157" i="52102"/>
  <c r="L158" i="52100"/>
  <c r="B176" i="52102"/>
  <c r="I176" i="52102"/>
  <c r="H177" i="110"/>
  <c r="L177" i="52100"/>
  <c r="G109" i="233"/>
  <c r="J109" i="233" s="1"/>
  <c r="S109" i="111"/>
  <c r="G70" i="52094"/>
  <c r="D76" i="52103"/>
  <c r="D76" i="52084"/>
  <c r="G76" i="110"/>
  <c r="S91" i="111"/>
  <c r="H161" i="52077"/>
  <c r="J161" i="52077" s="1"/>
  <c r="S114" i="111"/>
  <c r="B179" i="52075"/>
  <c r="I179" i="52075"/>
  <c r="M180" i="111"/>
  <c r="L180" i="52095"/>
  <c r="J73" i="52081"/>
  <c r="N82" i="52097"/>
  <c r="C82" i="233"/>
  <c r="I138" i="52083"/>
  <c r="B74" i="52075"/>
  <c r="M74" i="111"/>
  <c r="I74" i="52075"/>
  <c r="K74" i="52075" s="1"/>
  <c r="L74" i="52095"/>
  <c r="L165" i="111"/>
  <c r="H164" i="52077"/>
  <c r="J164" i="52077" s="1"/>
  <c r="B164" i="52077"/>
  <c r="L165" i="52094"/>
  <c r="K86" i="52104"/>
  <c r="K66" i="52075"/>
  <c r="D151" i="52103"/>
  <c r="D151" i="52084"/>
  <c r="G152" i="110"/>
  <c r="C245" i="52095"/>
  <c r="C222" i="52095"/>
  <c r="C254" i="52095" s="1"/>
  <c r="B203" i="52095"/>
  <c r="C223" i="52095"/>
  <c r="F242" i="77"/>
  <c r="I168" i="77"/>
  <c r="G70" i="52090"/>
  <c r="H64" i="111"/>
  <c r="D64" i="52075"/>
  <c r="B91" i="52077"/>
  <c r="L91" i="111"/>
  <c r="H91" i="52077"/>
  <c r="J91" i="52077" s="1"/>
  <c r="L91" i="52094"/>
  <c r="O99" i="52097"/>
  <c r="F242" i="12"/>
  <c r="J109" i="52104"/>
  <c r="N152" i="52097"/>
  <c r="C152" i="233"/>
  <c r="C148" i="52104"/>
  <c r="C148" i="52076"/>
  <c r="F148" i="111"/>
  <c r="B109" i="52074"/>
  <c r="H109" i="52074"/>
  <c r="J109" i="52074" s="1"/>
  <c r="D109" i="52104"/>
  <c r="D109" i="111"/>
  <c r="K120" i="52104"/>
  <c r="J120" i="52104"/>
  <c r="M120" i="52104" s="1"/>
  <c r="G238" i="52087"/>
  <c r="H103" i="52087"/>
  <c r="C103" i="52082"/>
  <c r="C238" i="52082" s="1"/>
  <c r="J70" i="52087"/>
  <c r="B203" i="52067"/>
  <c r="C223" i="52067"/>
  <c r="C245" i="52067"/>
  <c r="C222" i="52067"/>
  <c r="C254" i="52067" s="1"/>
  <c r="D253" i="52083" s="1"/>
  <c r="J96" i="77"/>
  <c r="I68" i="52075"/>
  <c r="C68" i="52075"/>
  <c r="B68" i="111"/>
  <c r="C105" i="52104"/>
  <c r="C105" i="52076"/>
  <c r="F105" i="111"/>
  <c r="G116" i="77"/>
  <c r="F239" i="77"/>
  <c r="J116" i="77"/>
  <c r="J148" i="52075"/>
  <c r="K148" i="52075"/>
  <c r="J68" i="52095"/>
  <c r="B68" i="52075"/>
  <c r="M68" i="111"/>
  <c r="J99" i="52075"/>
  <c r="F238" i="52088"/>
  <c r="F203" i="52088"/>
  <c r="F245" i="52088" s="1"/>
  <c r="J103" i="52088"/>
  <c r="J161" i="20"/>
  <c r="L161" i="20" s="1"/>
  <c r="C95" i="111"/>
  <c r="E95" i="52104"/>
  <c r="C95" i="52074"/>
  <c r="H95" i="115"/>
  <c r="L95" i="115" s="1"/>
  <c r="I149" i="52083"/>
  <c r="H149" i="52083"/>
  <c r="H64" i="52076"/>
  <c r="F64" i="111"/>
  <c r="C64" i="52104"/>
  <c r="C64" i="52076"/>
  <c r="G70" i="77"/>
  <c r="K77" i="52104"/>
  <c r="J77" i="52104"/>
  <c r="D150" i="52104"/>
  <c r="D150" i="111"/>
  <c r="B150" i="52074"/>
  <c r="H150" i="52074"/>
  <c r="J150" i="52074" s="1"/>
  <c r="H152" i="20"/>
  <c r="L152" i="20" s="1"/>
  <c r="G238" i="52088"/>
  <c r="J238" i="52088" s="1"/>
  <c r="H103" i="52088"/>
  <c r="E103" i="52082"/>
  <c r="F240" i="52067"/>
  <c r="I240" i="52067" s="1"/>
  <c r="I129" i="52067"/>
  <c r="L243" i="52097"/>
  <c r="F238" i="52103"/>
  <c r="I103" i="77"/>
  <c r="E238" i="77"/>
  <c r="E203" i="77"/>
  <c r="E233" i="52080"/>
  <c r="E53" i="52080"/>
  <c r="E62" i="52080"/>
  <c r="I51" i="52080"/>
  <c r="I233" i="52080" s="1"/>
  <c r="L33" i="52080"/>
  <c r="E203" i="52080"/>
  <c r="E238" i="52080"/>
  <c r="F239" i="52103"/>
  <c r="J153" i="52103"/>
  <c r="J239" i="52103" s="1"/>
  <c r="I241" i="110"/>
  <c r="I154" i="52066"/>
  <c r="M171" i="110"/>
  <c r="E222" i="105"/>
  <c r="E254" i="105" s="1"/>
  <c r="E245" i="105"/>
  <c r="E223" i="105"/>
  <c r="O51" i="111"/>
  <c r="O32" i="111"/>
  <c r="O33" i="111" s="1"/>
  <c r="I51" i="110"/>
  <c r="I32" i="110"/>
  <c r="I33" i="110" s="1"/>
  <c r="I46" i="110"/>
  <c r="I47" i="110" s="1"/>
  <c r="I242" i="52067"/>
  <c r="D51" i="9"/>
  <c r="H21" i="9"/>
  <c r="D46" i="9"/>
  <c r="D47" i="9" s="1"/>
  <c r="D32" i="9"/>
  <c r="M194" i="52104"/>
  <c r="M73" i="110"/>
  <c r="J136" i="233"/>
  <c r="J106" i="52102"/>
  <c r="E238" i="48"/>
  <c r="I103" i="48"/>
  <c r="E203" i="48"/>
  <c r="I129" i="52066"/>
  <c r="F239" i="52102"/>
  <c r="L178" i="52077"/>
  <c r="E33" i="21"/>
  <c r="E32" i="52098"/>
  <c r="S144" i="111"/>
  <c r="E51" i="52076"/>
  <c r="E32" i="52076"/>
  <c r="E33" i="52076" s="1"/>
  <c r="E46" i="52076"/>
  <c r="E47" i="52076" s="1"/>
  <c r="F44" i="233"/>
  <c r="F241" i="52102"/>
  <c r="D103" i="9"/>
  <c r="J176" i="52102"/>
  <c r="E240" i="52076"/>
  <c r="J157" i="52104"/>
  <c r="M141" i="52102"/>
  <c r="C153" i="52102"/>
  <c r="C240" i="52102" s="1"/>
  <c r="H152" i="52089"/>
  <c r="L152" i="52089" s="1"/>
  <c r="G154" i="52089"/>
  <c r="R144" i="111"/>
  <c r="J141" i="52082"/>
  <c r="L141" i="52082" s="1"/>
  <c r="O143" i="52097"/>
  <c r="J145" i="52082"/>
  <c r="L145" i="52082" s="1"/>
  <c r="J142" i="52082"/>
  <c r="L142" i="52082" s="1"/>
  <c r="O142" i="52097"/>
  <c r="J175" i="52082"/>
  <c r="H163" i="52098"/>
  <c r="G21" i="52098"/>
  <c r="B11" i="233"/>
  <c r="F11" i="9"/>
  <c r="I11" i="233"/>
  <c r="K11" i="233" s="1"/>
  <c r="C116" i="52082"/>
  <c r="C239" i="52082" s="1"/>
  <c r="B203" i="52064"/>
  <c r="C223" i="52064"/>
  <c r="C222" i="52064"/>
  <c r="C254" i="52064" s="1"/>
  <c r="C253" i="52098" s="1"/>
  <c r="C245" i="52064"/>
  <c r="K70" i="52098"/>
  <c r="F181" i="9"/>
  <c r="B181" i="233"/>
  <c r="F233" i="52081"/>
  <c r="J51" i="52081"/>
  <c r="J233" i="52081" s="1"/>
  <c r="F62" i="52081"/>
  <c r="J201" i="110"/>
  <c r="M201" i="110" s="1"/>
  <c r="E87" i="52102"/>
  <c r="B87" i="110"/>
  <c r="L87" i="32"/>
  <c r="C203" i="91"/>
  <c r="K103" i="91"/>
  <c r="C238" i="91"/>
  <c r="B103" i="91"/>
  <c r="D107" i="52076"/>
  <c r="I107" i="52076" s="1"/>
  <c r="K107" i="111"/>
  <c r="D107" i="52077"/>
  <c r="I107" i="52077" s="1"/>
  <c r="L107" i="52093"/>
  <c r="J164" i="114"/>
  <c r="B149" i="52104"/>
  <c r="B149" i="52076"/>
  <c r="E149" i="111"/>
  <c r="H149" i="52076"/>
  <c r="J149" i="52076" s="1"/>
  <c r="N95" i="111"/>
  <c r="H95" i="52080"/>
  <c r="E95" i="52075"/>
  <c r="J143" i="52084"/>
  <c r="F103" i="32"/>
  <c r="G116" i="52080"/>
  <c r="D165" i="52103"/>
  <c r="D165" i="52084"/>
  <c r="G166" i="110"/>
  <c r="G80" i="233"/>
  <c r="J80" i="233" s="1"/>
  <c r="I147" i="52083"/>
  <c r="K147" i="52083" s="1"/>
  <c r="I9" i="52083"/>
  <c r="H9" i="52083"/>
  <c r="O84" i="52097"/>
  <c r="J13" i="52082"/>
  <c r="B133" i="233"/>
  <c r="F133" i="9"/>
  <c r="N11" i="110"/>
  <c r="E11" i="233"/>
  <c r="K11" i="110"/>
  <c r="S78" i="111"/>
  <c r="G78" i="233"/>
  <c r="J78" i="233" s="1"/>
  <c r="D176" i="52077"/>
  <c r="I176" i="52077" s="1"/>
  <c r="K177" i="111"/>
  <c r="D176" i="52076"/>
  <c r="I176" i="52076" s="1"/>
  <c r="L177" i="52093"/>
  <c r="L84" i="52077"/>
  <c r="N110" i="111"/>
  <c r="E110" i="52075"/>
  <c r="H78" i="52077"/>
  <c r="J78" i="52077" s="1"/>
  <c r="L78" i="111"/>
  <c r="B78" i="52077"/>
  <c r="L78" i="52094"/>
  <c r="D139" i="52077"/>
  <c r="H139" i="52077"/>
  <c r="D139" i="52076"/>
  <c r="I139" i="52076" s="1"/>
  <c r="H139" i="52076"/>
  <c r="K139" i="111"/>
  <c r="R139" i="111" s="1"/>
  <c r="L139" i="52093"/>
  <c r="C182" i="52077"/>
  <c r="J183" i="111"/>
  <c r="G183" i="111"/>
  <c r="D182" i="52074"/>
  <c r="C182" i="52102"/>
  <c r="C160" i="52103"/>
  <c r="E161" i="110"/>
  <c r="C160" i="52084"/>
  <c r="K169" i="52103"/>
  <c r="G184" i="52103"/>
  <c r="C170" i="110"/>
  <c r="I169" i="52103"/>
  <c r="E169" i="52103"/>
  <c r="G185" i="91"/>
  <c r="G243" i="91" s="1"/>
  <c r="L170" i="91"/>
  <c r="G154" i="52080"/>
  <c r="D164" i="110"/>
  <c r="D163" i="52102"/>
  <c r="D126" i="52102"/>
  <c r="D126" i="110"/>
  <c r="D180" i="52103"/>
  <c r="G181" i="110"/>
  <c r="D180" i="52084"/>
  <c r="D107" i="52084"/>
  <c r="G107" i="110"/>
  <c r="D107" i="52103"/>
  <c r="M93" i="111"/>
  <c r="B93" i="52075"/>
  <c r="I93" i="52075"/>
  <c r="B203" i="52093"/>
  <c r="C245" i="52093"/>
  <c r="C223" i="52093"/>
  <c r="C222" i="52093"/>
  <c r="C254" i="52093" s="1"/>
  <c r="D182" i="52076"/>
  <c r="I182" i="52076" s="1"/>
  <c r="K183" i="111"/>
  <c r="D182" i="52077"/>
  <c r="I182" i="52077" s="1"/>
  <c r="P21" i="111"/>
  <c r="T8" i="111"/>
  <c r="G8" i="233"/>
  <c r="O93" i="52097"/>
  <c r="G239" i="148"/>
  <c r="H116" i="148"/>
  <c r="B116" i="52082"/>
  <c r="B239" i="52082" s="1"/>
  <c r="J107" i="52082"/>
  <c r="J116" i="52082" s="1"/>
  <c r="J239" i="52082" s="1"/>
  <c r="D98" i="52103"/>
  <c r="D98" i="52084"/>
  <c r="G98" i="110"/>
  <c r="D137" i="52102"/>
  <c r="D137" i="110"/>
  <c r="J168" i="110"/>
  <c r="J242" i="110" s="1"/>
  <c r="F62" i="32"/>
  <c r="F233" i="32"/>
  <c r="D175" i="52075"/>
  <c r="H176" i="111"/>
  <c r="D176" i="52075"/>
  <c r="H177" i="111"/>
  <c r="B98" i="52076"/>
  <c r="H98" i="52076"/>
  <c r="B98" i="52104"/>
  <c r="E98" i="111"/>
  <c r="J163" i="52090"/>
  <c r="E14" i="233"/>
  <c r="K14" i="110"/>
  <c r="E72" i="52102"/>
  <c r="B72" i="110"/>
  <c r="N98" i="111"/>
  <c r="E98" i="52075"/>
  <c r="F236" i="52094"/>
  <c r="F51" i="52077"/>
  <c r="F231" i="52077" s="1"/>
  <c r="B165" i="52104"/>
  <c r="E166" i="111"/>
  <c r="H165" i="52076"/>
  <c r="B165" i="52076"/>
  <c r="C169" i="52104"/>
  <c r="C169" i="52076"/>
  <c r="G185" i="77"/>
  <c r="G243" i="77" s="1"/>
  <c r="F170" i="111"/>
  <c r="L170" i="77"/>
  <c r="C21" i="52082"/>
  <c r="H95" i="52074"/>
  <c r="J95" i="52074" s="1"/>
  <c r="D95" i="52074"/>
  <c r="H95" i="52089"/>
  <c r="L95" i="52089" s="1"/>
  <c r="G95" i="111"/>
  <c r="C95" i="52102"/>
  <c r="J95" i="52089"/>
  <c r="J109" i="52080"/>
  <c r="L109" i="52080" s="1"/>
  <c r="L172" i="111"/>
  <c r="H171" i="52077"/>
  <c r="B171" i="52077"/>
  <c r="J125" i="111"/>
  <c r="C125" i="52077"/>
  <c r="R9" i="111"/>
  <c r="C21" i="111"/>
  <c r="C33" i="12"/>
  <c r="L32" i="12"/>
  <c r="C78" i="52104"/>
  <c r="F78" i="111"/>
  <c r="C78" i="52076"/>
  <c r="E51" i="9"/>
  <c r="E233" i="9" s="1"/>
  <c r="F236" i="52064"/>
  <c r="O94" i="52097"/>
  <c r="B107" i="111"/>
  <c r="C107" i="52075"/>
  <c r="H161" i="52083"/>
  <c r="I161" i="52083"/>
  <c r="K161" i="52083" s="1"/>
  <c r="G238" i="52083"/>
  <c r="C97" i="52075"/>
  <c r="B97" i="111"/>
  <c r="D84" i="52074"/>
  <c r="G84" i="111"/>
  <c r="C84" i="52102"/>
  <c r="G118" i="233"/>
  <c r="I118" i="9"/>
  <c r="E129" i="9"/>
  <c r="E240" i="9" s="1"/>
  <c r="C177" i="233"/>
  <c r="N177" i="52097"/>
  <c r="F243" i="148"/>
  <c r="M185" i="52097"/>
  <c r="B170" i="52082"/>
  <c r="B170" i="52097"/>
  <c r="F242" i="52071"/>
  <c r="I242" i="52071" s="1"/>
  <c r="I168" i="52071"/>
  <c r="E111" i="52102"/>
  <c r="B111" i="110"/>
  <c r="H103" i="52091"/>
  <c r="G238" i="52091"/>
  <c r="G203" i="52091"/>
  <c r="B173" i="52104"/>
  <c r="E174" i="111"/>
  <c r="B173" i="52076"/>
  <c r="H173" i="52076"/>
  <c r="G181" i="233"/>
  <c r="K181" i="233" s="1"/>
  <c r="H154" i="108"/>
  <c r="G241" i="108"/>
  <c r="D176" i="52103"/>
  <c r="G177" i="110"/>
  <c r="D176" i="52084"/>
  <c r="M106" i="52103"/>
  <c r="L105" i="32"/>
  <c r="J116" i="110"/>
  <c r="G156" i="52080"/>
  <c r="G30" i="52080"/>
  <c r="H49" i="52080"/>
  <c r="L49" i="52080" s="1"/>
  <c r="G51" i="52080"/>
  <c r="H79" i="52080"/>
  <c r="L79" i="52080" s="1"/>
  <c r="F239" i="48"/>
  <c r="B105" i="52103"/>
  <c r="B105" i="52084"/>
  <c r="F105" i="110"/>
  <c r="G116" i="48"/>
  <c r="H105" i="52084"/>
  <c r="L105" i="48"/>
  <c r="J185" i="52091"/>
  <c r="F243" i="52091"/>
  <c r="J243" i="52091" s="1"/>
  <c r="N68" i="111"/>
  <c r="E68" i="52075"/>
  <c r="L68" i="52080"/>
  <c r="I87" i="52075"/>
  <c r="C67" i="52077"/>
  <c r="J67" i="111"/>
  <c r="L67" i="52092"/>
  <c r="C82" i="52103"/>
  <c r="C82" i="52084"/>
  <c r="E82" i="110"/>
  <c r="L82" i="52066"/>
  <c r="O166" i="52097"/>
  <c r="H66" i="52098"/>
  <c r="J66" i="52098" s="1"/>
  <c r="C70" i="52098"/>
  <c r="I87" i="52083"/>
  <c r="H87" i="52083"/>
  <c r="F243" i="114"/>
  <c r="I126" i="52083"/>
  <c r="D107" i="52104"/>
  <c r="D107" i="111"/>
  <c r="B107" i="52074"/>
  <c r="H107" i="52074"/>
  <c r="I187" i="9"/>
  <c r="G187" i="233"/>
  <c r="E201" i="9"/>
  <c r="I201" i="9" s="1"/>
  <c r="D182" i="52104"/>
  <c r="D183" i="111"/>
  <c r="B182" i="52074"/>
  <c r="H182" i="52074"/>
  <c r="O148" i="52097"/>
  <c r="B178" i="233"/>
  <c r="F178" i="9"/>
  <c r="D170" i="52097"/>
  <c r="G185" i="108"/>
  <c r="G243" i="108" s="1"/>
  <c r="E169" i="52083"/>
  <c r="E184" i="52083" s="1"/>
  <c r="E242" i="52083" s="1"/>
  <c r="G86" i="111"/>
  <c r="D86" i="52074"/>
  <c r="C86" i="52102"/>
  <c r="M86" i="52102" s="1"/>
  <c r="J18" i="52082"/>
  <c r="G12" i="9"/>
  <c r="D169" i="52098"/>
  <c r="D184" i="52098" s="1"/>
  <c r="D242" i="52098" s="1"/>
  <c r="I170" i="52097"/>
  <c r="G185" i="52071"/>
  <c r="G243" i="52071" s="1"/>
  <c r="G156" i="52079"/>
  <c r="H95" i="52079"/>
  <c r="G51" i="52079"/>
  <c r="J21" i="52079"/>
  <c r="J21" i="52097"/>
  <c r="F236" i="52079"/>
  <c r="B151" i="52102"/>
  <c r="M151" i="52102" s="1"/>
  <c r="H152" i="110"/>
  <c r="I151" i="52102"/>
  <c r="L152" i="52100"/>
  <c r="F239" i="148"/>
  <c r="J239" i="148" s="1"/>
  <c r="J116" i="148"/>
  <c r="L105" i="52082"/>
  <c r="H116" i="52082"/>
  <c r="K105" i="52082"/>
  <c r="G156" i="108"/>
  <c r="G51" i="108"/>
  <c r="E21" i="52083"/>
  <c r="F233" i="108"/>
  <c r="F62" i="108"/>
  <c r="J51" i="108"/>
  <c r="J233" i="108" s="1"/>
  <c r="B114" i="52102"/>
  <c r="H114" i="110"/>
  <c r="I114" i="52102"/>
  <c r="K114" i="52102" s="1"/>
  <c r="G167" i="52102"/>
  <c r="G241" i="52102" s="1"/>
  <c r="D108" i="52103"/>
  <c r="G108" i="110"/>
  <c r="D108" i="52084"/>
  <c r="D139" i="52102"/>
  <c r="D139" i="110"/>
  <c r="D111" i="52102"/>
  <c r="D111" i="110"/>
  <c r="F243" i="32"/>
  <c r="E169" i="52102"/>
  <c r="B170" i="110"/>
  <c r="G185" i="32"/>
  <c r="G243" i="32" s="1"/>
  <c r="L170" i="32"/>
  <c r="I70" i="93"/>
  <c r="D82" i="52102"/>
  <c r="D82" i="110"/>
  <c r="L82" i="52072"/>
  <c r="L152" i="110"/>
  <c r="J164" i="91"/>
  <c r="E163" i="52103"/>
  <c r="I163" i="52103"/>
  <c r="K163" i="52103" s="1"/>
  <c r="C164" i="110"/>
  <c r="G21" i="111"/>
  <c r="G51" i="111" s="1"/>
  <c r="G233" i="111" s="1"/>
  <c r="R10" i="111"/>
  <c r="C147" i="52103"/>
  <c r="E147" i="110"/>
  <c r="C147" i="52084"/>
  <c r="F233" i="20"/>
  <c r="F62" i="20"/>
  <c r="J21" i="52074"/>
  <c r="F51" i="52074"/>
  <c r="F231" i="52074" s="1"/>
  <c r="F46" i="52074"/>
  <c r="F47" i="52074" s="1"/>
  <c r="C62" i="20"/>
  <c r="C53" i="20"/>
  <c r="C54" i="20" s="1"/>
  <c r="C233" i="20"/>
  <c r="C225" i="20"/>
  <c r="F239" i="52072"/>
  <c r="D105" i="52102"/>
  <c r="D105" i="110"/>
  <c r="G116" i="52072"/>
  <c r="L105" i="52072"/>
  <c r="C245" i="52072"/>
  <c r="C223" i="52072"/>
  <c r="B203" i="52072"/>
  <c r="C222" i="52072"/>
  <c r="C254" i="52072" s="1"/>
  <c r="I82" i="52103"/>
  <c r="K82" i="52103" s="1"/>
  <c r="M82" i="52103" s="1"/>
  <c r="D140" i="52102"/>
  <c r="D140" i="110"/>
  <c r="L140" i="110" s="1"/>
  <c r="J72" i="52072"/>
  <c r="L72" i="52072" s="1"/>
  <c r="G154" i="52092"/>
  <c r="B97" i="52084"/>
  <c r="B97" i="52103"/>
  <c r="F97" i="110"/>
  <c r="N14" i="110"/>
  <c r="R16" i="111"/>
  <c r="I180" i="52104"/>
  <c r="E150" i="52102"/>
  <c r="B150" i="110"/>
  <c r="E91" i="52075"/>
  <c r="N91" i="111"/>
  <c r="R14" i="111"/>
  <c r="F103" i="52092"/>
  <c r="F239" i="12"/>
  <c r="G97" i="111"/>
  <c r="D97" i="52074"/>
  <c r="C97" i="52102"/>
  <c r="B166" i="111"/>
  <c r="C165" i="52075"/>
  <c r="J103" i="52097"/>
  <c r="J238" i="52097" s="1"/>
  <c r="O139" i="52097"/>
  <c r="G81" i="233"/>
  <c r="J81" i="233" s="1"/>
  <c r="E161" i="52102"/>
  <c r="B162" i="110"/>
  <c r="F239" i="52080"/>
  <c r="J116" i="52080"/>
  <c r="J105" i="52098"/>
  <c r="I105" i="52098"/>
  <c r="O125" i="52097"/>
  <c r="K203" i="20"/>
  <c r="J93" i="52082"/>
  <c r="L93" i="52082" s="1"/>
  <c r="F172" i="9"/>
  <c r="B172" i="233"/>
  <c r="G82" i="111"/>
  <c r="D82" i="52074"/>
  <c r="C82" i="52102"/>
  <c r="B21" i="52076"/>
  <c r="B51" i="52076" s="1"/>
  <c r="B232" i="52076" s="1"/>
  <c r="E21" i="111"/>
  <c r="E51" i="111" s="1"/>
  <c r="E233" i="111" s="1"/>
  <c r="C33" i="114"/>
  <c r="L32" i="114"/>
  <c r="C225" i="114"/>
  <c r="C233" i="114"/>
  <c r="C62" i="114"/>
  <c r="C53" i="114"/>
  <c r="C54" i="114" s="1"/>
  <c r="J134" i="52082"/>
  <c r="L134" i="52082" s="1"/>
  <c r="D153" i="52098"/>
  <c r="D240" i="52098" s="1"/>
  <c r="I154" i="52097"/>
  <c r="I241" i="52097" s="1"/>
  <c r="H21" i="52097"/>
  <c r="M145" i="52102"/>
  <c r="J150" i="52082"/>
  <c r="L150" i="52082" s="1"/>
  <c r="G148" i="233"/>
  <c r="J148" i="233" s="1"/>
  <c r="H139" i="52083"/>
  <c r="I139" i="52083"/>
  <c r="L144" i="110"/>
  <c r="B161" i="52102"/>
  <c r="H162" i="110"/>
  <c r="I161" i="52102"/>
  <c r="K161" i="52102" s="1"/>
  <c r="L162" i="52100"/>
  <c r="C95" i="52097"/>
  <c r="B95" i="52083"/>
  <c r="H95" i="105"/>
  <c r="B78" i="52104"/>
  <c r="E78" i="111"/>
  <c r="B78" i="52076"/>
  <c r="H78" i="52076"/>
  <c r="J78" i="52076" s="1"/>
  <c r="I106" i="52075"/>
  <c r="K106" i="52075" s="1"/>
  <c r="H147" i="52077"/>
  <c r="J147" i="52077" s="1"/>
  <c r="T131" i="111"/>
  <c r="V131" i="111" s="1"/>
  <c r="P154" i="111"/>
  <c r="F241" i="52095"/>
  <c r="G154" i="52095"/>
  <c r="K141" i="52075"/>
  <c r="H150" i="52077"/>
  <c r="J150" i="52077" s="1"/>
  <c r="I181" i="52083"/>
  <c r="H181" i="52083"/>
  <c r="K72" i="52075"/>
  <c r="L118" i="20"/>
  <c r="I240" i="20"/>
  <c r="K85" i="52075"/>
  <c r="B90" i="52104"/>
  <c r="E90" i="111"/>
  <c r="H90" i="52076"/>
  <c r="J90" i="52076" s="1"/>
  <c r="B90" i="52076"/>
  <c r="J99" i="52090"/>
  <c r="L99" i="52090" s="1"/>
  <c r="D147" i="52103"/>
  <c r="G147" i="110"/>
  <c r="D147" i="52084"/>
  <c r="G99" i="110"/>
  <c r="D99" i="52103"/>
  <c r="D99" i="52084"/>
  <c r="B84" i="52075"/>
  <c r="M84" i="111"/>
  <c r="I84" i="52075"/>
  <c r="K84" i="52075" s="1"/>
  <c r="J70" i="105"/>
  <c r="F103" i="105"/>
  <c r="I70" i="105"/>
  <c r="L148" i="111"/>
  <c r="B148" i="52077"/>
  <c r="H148" i="52077"/>
  <c r="J148" i="52077" s="1"/>
  <c r="L148" i="52094"/>
  <c r="M173" i="111"/>
  <c r="I172" i="52075"/>
  <c r="K172" i="52075" s="1"/>
  <c r="B172" i="52075"/>
  <c r="L173" i="52095"/>
  <c r="B96" i="52075"/>
  <c r="I96" i="52075"/>
  <c r="K96" i="52075" s="1"/>
  <c r="M96" i="111"/>
  <c r="L96" i="52095"/>
  <c r="B179" i="52104"/>
  <c r="N179" i="52104" s="1"/>
  <c r="E180" i="111"/>
  <c r="B179" i="52076"/>
  <c r="H179" i="52076"/>
  <c r="J179" i="52076" s="1"/>
  <c r="L180" i="12"/>
  <c r="I160" i="52104"/>
  <c r="K160" i="52104" s="1"/>
  <c r="F239" i="52094"/>
  <c r="D95" i="52082"/>
  <c r="G95" i="52097"/>
  <c r="H95" i="101"/>
  <c r="D82" i="52075"/>
  <c r="H82" i="111"/>
  <c r="H76" i="52077"/>
  <c r="J76" i="52077" s="1"/>
  <c r="H97" i="52074"/>
  <c r="J97" i="52074" s="1"/>
  <c r="C77" i="52075"/>
  <c r="B77" i="111"/>
  <c r="L119" i="114"/>
  <c r="B86" i="111"/>
  <c r="R86" i="111" s="1"/>
  <c r="C86" i="52075"/>
  <c r="L86" i="114"/>
  <c r="C64" i="52075"/>
  <c r="B64" i="111"/>
  <c r="G70" i="114"/>
  <c r="L64" i="114"/>
  <c r="K203" i="115"/>
  <c r="G241" i="114"/>
  <c r="H154" i="114"/>
  <c r="F103" i="12"/>
  <c r="F238" i="12" s="1"/>
  <c r="F70" i="52076"/>
  <c r="D99" i="52104"/>
  <c r="D99" i="111"/>
  <c r="B99" i="52074"/>
  <c r="H99" i="52074"/>
  <c r="J99" i="52074" s="1"/>
  <c r="G154" i="12"/>
  <c r="N141" i="52104"/>
  <c r="K84" i="52104"/>
  <c r="D97" i="52075"/>
  <c r="H97" i="111"/>
  <c r="L97" i="52090"/>
  <c r="F241" i="52094"/>
  <c r="C91" i="52075"/>
  <c r="B91" i="111"/>
  <c r="L91" i="114"/>
  <c r="D100" i="52075"/>
  <c r="H100" i="111"/>
  <c r="L100" i="52090"/>
  <c r="I145" i="52083"/>
  <c r="K145" i="52083" s="1"/>
  <c r="H145" i="52083"/>
  <c r="D172" i="52104"/>
  <c r="B172" i="52074"/>
  <c r="D173" i="111"/>
  <c r="L173" i="20"/>
  <c r="H85" i="52098"/>
  <c r="J85" i="52098" s="1"/>
  <c r="F240" i="52088"/>
  <c r="I240" i="52088" s="1"/>
  <c r="I129" i="52088"/>
  <c r="J148" i="52074"/>
  <c r="I148" i="52074"/>
  <c r="G168" i="114"/>
  <c r="F239" i="52088"/>
  <c r="J116" i="52088"/>
  <c r="I116" i="52088"/>
  <c r="J84" i="77"/>
  <c r="L84" i="77" s="1"/>
  <c r="H154" i="52088"/>
  <c r="G241" i="52088"/>
  <c r="F154" i="52097"/>
  <c r="F241" i="52097" s="1"/>
  <c r="H90" i="52083"/>
  <c r="I90" i="52083"/>
  <c r="K90" i="52083" s="1"/>
  <c r="I70" i="114"/>
  <c r="I242" i="12"/>
  <c r="S100" i="111"/>
  <c r="I241" i="52094"/>
  <c r="I201" i="52081"/>
  <c r="O46" i="111"/>
  <c r="O47" i="111" s="1"/>
  <c r="J142" i="52075"/>
  <c r="I240" i="52091"/>
  <c r="I243" i="101"/>
  <c r="F237" i="52075"/>
  <c r="E233" i="52081"/>
  <c r="I51" i="52081"/>
  <c r="I233" i="52081" s="1"/>
  <c r="E62" i="52081"/>
  <c r="E53" i="52081"/>
  <c r="I249" i="52081"/>
  <c r="I241" i="52095"/>
  <c r="I242" i="52080"/>
  <c r="I201" i="52080"/>
  <c r="E223" i="148"/>
  <c r="E222" i="148"/>
  <c r="E254" i="148" s="1"/>
  <c r="E245" i="148"/>
  <c r="I185" i="105"/>
  <c r="J200" i="52077"/>
  <c r="V188" i="111"/>
  <c r="F241" i="52103"/>
  <c r="I201" i="48"/>
  <c r="I185" i="114"/>
  <c r="J159" i="233"/>
  <c r="S140" i="111"/>
  <c r="I201" i="52066"/>
  <c r="F51" i="52104"/>
  <c r="J21" i="52104"/>
  <c r="F103" i="52102"/>
  <c r="M118" i="110"/>
  <c r="J87" i="52103"/>
  <c r="J157" i="52075"/>
  <c r="L33" i="52090"/>
  <c r="E62" i="52090"/>
  <c r="I51" i="52090"/>
  <c r="I233" i="52090" s="1"/>
  <c r="E233" i="52090"/>
  <c r="E53" i="52090"/>
  <c r="I168" i="20"/>
  <c r="J200" i="52102"/>
  <c r="I185" i="32"/>
  <c r="J21" i="52083"/>
  <c r="F46" i="52083"/>
  <c r="F47" i="52083" s="1"/>
  <c r="F51" i="52083"/>
  <c r="F201" i="233"/>
  <c r="E51" i="52077"/>
  <c r="E32" i="52077"/>
  <c r="E33" i="52077" s="1"/>
  <c r="E46" i="52077"/>
  <c r="E47" i="52077" s="1"/>
  <c r="E62" i="52094"/>
  <c r="I51" i="52094"/>
  <c r="I233" i="52094" s="1"/>
  <c r="E233" i="52094"/>
  <c r="E53" i="52094"/>
  <c r="E226" i="48"/>
  <c r="E46" i="48"/>
  <c r="E47" i="48" s="1"/>
  <c r="I51" i="91"/>
  <c r="I233" i="91" s="1"/>
  <c r="E62" i="91"/>
  <c r="E233" i="91"/>
  <c r="E53" i="91"/>
  <c r="I51" i="101"/>
  <c r="I233" i="101" s="1"/>
  <c r="E62" i="101"/>
  <c r="E233" i="101"/>
  <c r="E53" i="101"/>
  <c r="E240" i="52084"/>
  <c r="J151" i="52102"/>
  <c r="F241" i="52075"/>
  <c r="J179" i="52102"/>
  <c r="I129" i="52093"/>
  <c r="I185" i="52091"/>
  <c r="J120" i="52075"/>
  <c r="I159" i="52074"/>
  <c r="I88" i="9"/>
  <c r="I142" i="52083"/>
  <c r="K142" i="52083" s="1"/>
  <c r="H98" i="52098"/>
  <c r="H18" i="52098"/>
  <c r="G239" i="101"/>
  <c r="H116" i="101"/>
  <c r="G116" i="52097"/>
  <c r="G239" i="52097" s="1"/>
  <c r="B82" i="233"/>
  <c r="F82" i="9"/>
  <c r="O176" i="52097"/>
  <c r="F143" i="9"/>
  <c r="B143" i="233"/>
  <c r="H144" i="52098"/>
  <c r="J144" i="52098" s="1"/>
  <c r="G156" i="21"/>
  <c r="G51" i="21"/>
  <c r="K21" i="52098"/>
  <c r="G9" i="9"/>
  <c r="B21" i="9"/>
  <c r="B154" i="52097"/>
  <c r="B241" i="52097" s="1"/>
  <c r="O133" i="52097"/>
  <c r="I82" i="9"/>
  <c r="C205" i="52066"/>
  <c r="C236" i="52066"/>
  <c r="N180" i="111"/>
  <c r="E179" i="52075"/>
  <c r="L180" i="52080"/>
  <c r="J74" i="52084"/>
  <c r="I97" i="52103"/>
  <c r="K97" i="52103" s="1"/>
  <c r="L201" i="52080"/>
  <c r="N81" i="111"/>
  <c r="E81" i="52075"/>
  <c r="L81" i="52080"/>
  <c r="M94" i="111"/>
  <c r="I94" i="52075"/>
  <c r="B94" i="52075"/>
  <c r="C177" i="52103"/>
  <c r="C177" i="52084"/>
  <c r="E178" i="110"/>
  <c r="B87" i="52103"/>
  <c r="H87" i="52084"/>
  <c r="F87" i="110"/>
  <c r="B87" i="52084"/>
  <c r="D182" i="52102"/>
  <c r="D183" i="110"/>
  <c r="L183" i="52072"/>
  <c r="E175" i="52102"/>
  <c r="B176" i="110"/>
  <c r="L176" i="32"/>
  <c r="D99" i="52102"/>
  <c r="D99" i="110"/>
  <c r="L99" i="52072"/>
  <c r="I111" i="52103"/>
  <c r="K111" i="52103" s="1"/>
  <c r="E111" i="52103"/>
  <c r="C111" i="110"/>
  <c r="C83" i="52077"/>
  <c r="J83" i="111"/>
  <c r="J126" i="52082"/>
  <c r="L126" i="52082" s="1"/>
  <c r="Q118" i="52097"/>
  <c r="M129" i="52097"/>
  <c r="M240" i="52097" s="1"/>
  <c r="P118" i="52097"/>
  <c r="H70" i="52082"/>
  <c r="K64" i="52082"/>
  <c r="M70" i="52097"/>
  <c r="P64" i="52097"/>
  <c r="I143" i="9"/>
  <c r="H13" i="52098"/>
  <c r="F91" i="9"/>
  <c r="B91" i="233"/>
  <c r="B163" i="233"/>
  <c r="F163" i="9"/>
  <c r="G142" i="9"/>
  <c r="J149" i="52082"/>
  <c r="G67" i="233"/>
  <c r="J67" i="233" s="1"/>
  <c r="D170" i="110"/>
  <c r="G185" i="52072"/>
  <c r="D169" i="52102"/>
  <c r="L170" i="52072"/>
  <c r="F243" i="52072"/>
  <c r="J185" i="52072"/>
  <c r="K164" i="52103"/>
  <c r="C112" i="110"/>
  <c r="L112" i="110" s="1"/>
  <c r="E112" i="52103"/>
  <c r="I112" i="52103"/>
  <c r="L112" i="91"/>
  <c r="I84" i="52103"/>
  <c r="D75" i="52103"/>
  <c r="D75" i="52084"/>
  <c r="G75" i="110"/>
  <c r="G137" i="233"/>
  <c r="T137" i="111"/>
  <c r="B78" i="52103"/>
  <c r="F78" i="110"/>
  <c r="H78" i="52084"/>
  <c r="J78" i="52084" s="1"/>
  <c r="B78" i="52084"/>
  <c r="C182" i="110"/>
  <c r="L182" i="110" s="1"/>
  <c r="E181" i="52103"/>
  <c r="I181" i="52103"/>
  <c r="L182" i="91"/>
  <c r="D174" i="52102"/>
  <c r="D175" i="110"/>
  <c r="L175" i="52072"/>
  <c r="D91" i="52102"/>
  <c r="D91" i="110"/>
  <c r="J164" i="52084"/>
  <c r="E91" i="52102"/>
  <c r="B91" i="110"/>
  <c r="L91" i="32"/>
  <c r="L19" i="110"/>
  <c r="L111" i="52095"/>
  <c r="C223" i="48"/>
  <c r="B203" i="48"/>
  <c r="C222" i="48"/>
  <c r="C254" i="48" s="1"/>
  <c r="C245" i="48"/>
  <c r="F125" i="110"/>
  <c r="H125" i="52084"/>
  <c r="B125" i="52084"/>
  <c r="B125" i="52103"/>
  <c r="F243" i="52090"/>
  <c r="J201" i="52090"/>
  <c r="L201" i="52090" s="1"/>
  <c r="I163" i="52104"/>
  <c r="K163" i="52104" s="1"/>
  <c r="H93" i="52098"/>
  <c r="J93" i="52098" s="1"/>
  <c r="I76" i="52083"/>
  <c r="K76" i="52083" s="1"/>
  <c r="O80" i="52097"/>
  <c r="O17" i="52097"/>
  <c r="L134" i="110"/>
  <c r="K149" i="52103"/>
  <c r="E81" i="52103"/>
  <c r="I81" i="52103"/>
  <c r="C81" i="110"/>
  <c r="L81" i="91"/>
  <c r="C233" i="32"/>
  <c r="C62" i="32"/>
  <c r="C225" i="32"/>
  <c r="C53" i="32"/>
  <c r="C54" i="32" s="1"/>
  <c r="J9" i="52077"/>
  <c r="H21" i="52077"/>
  <c r="J21" i="52077" s="1"/>
  <c r="J21" i="111"/>
  <c r="G75" i="111"/>
  <c r="C75" i="52102"/>
  <c r="D75" i="52074"/>
  <c r="C76" i="52103"/>
  <c r="C76" i="52084"/>
  <c r="E76" i="110"/>
  <c r="F92" i="110"/>
  <c r="B92" i="52103"/>
  <c r="H92" i="52084"/>
  <c r="B92" i="52084"/>
  <c r="D126" i="52074"/>
  <c r="G126" i="111"/>
  <c r="C126" i="52102"/>
  <c r="F103" i="52080"/>
  <c r="L10" i="52077"/>
  <c r="B21" i="52077"/>
  <c r="L109" i="52066"/>
  <c r="K118" i="52103"/>
  <c r="G129" i="52103"/>
  <c r="G238" i="52103" s="1"/>
  <c r="T187" i="111"/>
  <c r="P201" i="111"/>
  <c r="T201" i="111" s="1"/>
  <c r="J116" i="52079"/>
  <c r="F239" i="52079"/>
  <c r="B163" i="52104"/>
  <c r="E164" i="111"/>
  <c r="H163" i="52076"/>
  <c r="J163" i="52076" s="1"/>
  <c r="B163" i="52076"/>
  <c r="B107" i="52104"/>
  <c r="B107" i="52076"/>
  <c r="H107" i="52076"/>
  <c r="E107" i="111"/>
  <c r="I185" i="52097"/>
  <c r="I243" i="52097" s="1"/>
  <c r="O180" i="52097"/>
  <c r="G156" i="148"/>
  <c r="G51" i="148"/>
  <c r="B21" i="52082"/>
  <c r="M16" i="52102"/>
  <c r="C21" i="52102"/>
  <c r="C51" i="52102" s="1"/>
  <c r="C232" i="52102" s="1"/>
  <c r="F167" i="52084"/>
  <c r="I167" i="52084" s="1"/>
  <c r="I240" i="52084" s="1"/>
  <c r="I92" i="52103"/>
  <c r="D138" i="233"/>
  <c r="Q138" i="111"/>
  <c r="V138" i="111" s="1"/>
  <c r="E168" i="9"/>
  <c r="H17" i="52083"/>
  <c r="I17" i="52083"/>
  <c r="D165" i="52104"/>
  <c r="B165" i="52074"/>
  <c r="D166" i="111"/>
  <c r="H165" i="52074"/>
  <c r="H11" i="52083"/>
  <c r="I11" i="52083"/>
  <c r="K11" i="52083" s="1"/>
  <c r="I114" i="9"/>
  <c r="F114" i="9"/>
  <c r="B114" i="233"/>
  <c r="J118" i="52098"/>
  <c r="I118" i="52098"/>
  <c r="M201" i="52097"/>
  <c r="Q201" i="52097" s="1"/>
  <c r="Q187" i="52097"/>
  <c r="H75" i="52098"/>
  <c r="G75" i="9"/>
  <c r="I75" i="52083"/>
  <c r="I90" i="52102"/>
  <c r="K90" i="52102" s="1"/>
  <c r="M90" i="52102" s="1"/>
  <c r="G51" i="52067"/>
  <c r="G156" i="52067"/>
  <c r="H95" i="52067"/>
  <c r="J21" i="52067"/>
  <c r="M18" i="52102"/>
  <c r="I82" i="52102"/>
  <c r="K82" i="52102" s="1"/>
  <c r="B169" i="52104"/>
  <c r="E170" i="111"/>
  <c r="G185" i="12"/>
  <c r="H169" i="52076"/>
  <c r="B169" i="52076"/>
  <c r="L170" i="12"/>
  <c r="I98" i="52104"/>
  <c r="K98" i="52104" s="1"/>
  <c r="C62" i="115"/>
  <c r="C233" i="115"/>
  <c r="C225" i="115"/>
  <c r="C53" i="115"/>
  <c r="C54" i="115" s="1"/>
  <c r="H83" i="52074"/>
  <c r="J83" i="52074" s="1"/>
  <c r="D83" i="111"/>
  <c r="B83" i="52074"/>
  <c r="D83" i="52104"/>
  <c r="L83" i="20"/>
  <c r="G119" i="233"/>
  <c r="J119" i="233" s="1"/>
  <c r="O72" i="52097"/>
  <c r="C125" i="52084"/>
  <c r="E125" i="110"/>
  <c r="C125" i="52103"/>
  <c r="B172" i="110"/>
  <c r="E171" i="52102"/>
  <c r="F239" i="91"/>
  <c r="J144" i="52104"/>
  <c r="K144" i="52104"/>
  <c r="M144" i="52104" s="1"/>
  <c r="K178" i="111"/>
  <c r="D177" i="52076"/>
  <c r="I177" i="52076" s="1"/>
  <c r="D177" i="52077"/>
  <c r="I177" i="52077" s="1"/>
  <c r="F103" i="52066"/>
  <c r="C64" i="52103"/>
  <c r="C70" i="52103" s="1"/>
  <c r="E64" i="110"/>
  <c r="E70" i="110" s="1"/>
  <c r="C64" i="52084"/>
  <c r="C70" i="52084" s="1"/>
  <c r="G70" i="52066"/>
  <c r="G103" i="52066" s="1"/>
  <c r="L64" i="52066"/>
  <c r="D162" i="52104"/>
  <c r="D163" i="111"/>
  <c r="B162" i="52074"/>
  <c r="H162" i="52074"/>
  <c r="J162" i="52074" s="1"/>
  <c r="E21" i="52075"/>
  <c r="E51" i="52075" s="1"/>
  <c r="E231" i="52075" s="1"/>
  <c r="C21" i="52076"/>
  <c r="J75" i="52082"/>
  <c r="G239" i="52067"/>
  <c r="H116" i="52067"/>
  <c r="B90" i="233"/>
  <c r="F90" i="9"/>
  <c r="B93" i="111"/>
  <c r="C93" i="52075"/>
  <c r="D101" i="52074"/>
  <c r="G101" i="111"/>
  <c r="C101" i="52102"/>
  <c r="J170" i="52097"/>
  <c r="J185" i="52097" s="1"/>
  <c r="J243" i="52097" s="1"/>
  <c r="C169" i="52083"/>
  <c r="C184" i="52083" s="1"/>
  <c r="C242" i="52083" s="1"/>
  <c r="G185" i="52079"/>
  <c r="G243" i="52079" s="1"/>
  <c r="F242" i="52092"/>
  <c r="C238" i="52089"/>
  <c r="K103" i="52089"/>
  <c r="B103" i="52089"/>
  <c r="C203" i="52089"/>
  <c r="E154" i="52097"/>
  <c r="E241" i="52097" s="1"/>
  <c r="L145" i="52077"/>
  <c r="K162" i="52102"/>
  <c r="H163" i="110"/>
  <c r="B162" i="52102"/>
  <c r="I162" i="52102"/>
  <c r="B182" i="52102"/>
  <c r="I182" i="52102"/>
  <c r="H183" i="110"/>
  <c r="D169" i="52083"/>
  <c r="D184" i="52083" s="1"/>
  <c r="D242" i="52083" s="1"/>
  <c r="H170" i="52097"/>
  <c r="G185" i="52067"/>
  <c r="G243" i="52067" s="1"/>
  <c r="F243" i="52067"/>
  <c r="I243" i="52067" s="1"/>
  <c r="J185" i="52067"/>
  <c r="I185" i="52067"/>
  <c r="K8" i="52102"/>
  <c r="M8" i="52102" s="1"/>
  <c r="G21" i="52102"/>
  <c r="L201" i="52100"/>
  <c r="G192" i="233"/>
  <c r="K192" i="233" s="1"/>
  <c r="F239" i="52064"/>
  <c r="J239" i="52064" s="1"/>
  <c r="J116" i="52064"/>
  <c r="D66" i="110"/>
  <c r="D66" i="52102"/>
  <c r="L66" i="52072"/>
  <c r="E97" i="110"/>
  <c r="C97" i="52103"/>
  <c r="C97" i="52084"/>
  <c r="L97" i="52066"/>
  <c r="F241" i="48"/>
  <c r="J154" i="48"/>
  <c r="M146" i="52103"/>
  <c r="L78" i="52072"/>
  <c r="K145" i="52103"/>
  <c r="I109" i="52103"/>
  <c r="C77" i="110"/>
  <c r="E77" i="52103"/>
  <c r="I77" i="52103"/>
  <c r="L77" i="91"/>
  <c r="B126" i="52074"/>
  <c r="H126" i="52074"/>
  <c r="D126" i="111"/>
  <c r="D126" i="52104"/>
  <c r="L126" i="20"/>
  <c r="L81" i="111"/>
  <c r="B81" i="52077"/>
  <c r="H81" i="52077"/>
  <c r="L81" i="52094"/>
  <c r="N93" i="111"/>
  <c r="E93" i="52075"/>
  <c r="L93" i="52080"/>
  <c r="L201" i="52066"/>
  <c r="I160" i="52084"/>
  <c r="B160" i="52103"/>
  <c r="F161" i="110"/>
  <c r="B160" i="52084"/>
  <c r="I160" i="52103"/>
  <c r="K160" i="52103" s="1"/>
  <c r="H160" i="52084"/>
  <c r="J160" i="52084" s="1"/>
  <c r="L161" i="48"/>
  <c r="E92" i="52102"/>
  <c r="B92" i="110"/>
  <c r="L92" i="32"/>
  <c r="D165" i="52102"/>
  <c r="D166" i="110"/>
  <c r="L166" i="52072"/>
  <c r="D108" i="110"/>
  <c r="D108" i="52102"/>
  <c r="I108" i="52102"/>
  <c r="L108" i="52072"/>
  <c r="B153" i="52084"/>
  <c r="B239" i="52084" s="1"/>
  <c r="B153" i="52103"/>
  <c r="F62" i="91"/>
  <c r="F233" i="91"/>
  <c r="L111" i="52092"/>
  <c r="J95" i="91"/>
  <c r="E95" i="52103"/>
  <c r="I95" i="52103"/>
  <c r="K95" i="52103" s="1"/>
  <c r="H95" i="91"/>
  <c r="C95" i="110"/>
  <c r="L127" i="52091"/>
  <c r="M137" i="52103"/>
  <c r="E114" i="52102"/>
  <c r="B114" i="110"/>
  <c r="L114" i="32"/>
  <c r="L16" i="52077"/>
  <c r="L240" i="52091"/>
  <c r="C233" i="105"/>
  <c r="C62" i="105"/>
  <c r="C225" i="105"/>
  <c r="C218" i="105" s="1"/>
  <c r="C53" i="105"/>
  <c r="C54" i="105" s="1"/>
  <c r="G10" i="9"/>
  <c r="J179" i="52074"/>
  <c r="I179" i="52074"/>
  <c r="H65" i="52083"/>
  <c r="I65" i="52083"/>
  <c r="K65" i="52083" s="1"/>
  <c r="J183" i="52082"/>
  <c r="H14" i="52083"/>
  <c r="I14" i="52083"/>
  <c r="K14" i="52083" s="1"/>
  <c r="I21" i="52097"/>
  <c r="G156" i="52071"/>
  <c r="G51" i="52071"/>
  <c r="F62" i="52071"/>
  <c r="F233" i="52071"/>
  <c r="G93" i="111"/>
  <c r="D93" i="52074"/>
  <c r="C93" i="52102"/>
  <c r="B183" i="111"/>
  <c r="C182" i="52075"/>
  <c r="G75" i="233"/>
  <c r="K75" i="233" s="1"/>
  <c r="O135" i="52097"/>
  <c r="C53" i="52095"/>
  <c r="C54" i="52095" s="1"/>
  <c r="C225" i="52095"/>
  <c r="C233" i="52095"/>
  <c r="C62" i="52095"/>
  <c r="C105" i="52103"/>
  <c r="C116" i="52103" s="1"/>
  <c r="C237" i="52103" s="1"/>
  <c r="E105" i="110"/>
  <c r="G116" i="52066"/>
  <c r="C105" i="52084"/>
  <c r="L105" i="52066"/>
  <c r="N122" i="110"/>
  <c r="L178" i="111"/>
  <c r="B177" i="52077"/>
  <c r="H177" i="52077"/>
  <c r="L177" i="52077" s="1"/>
  <c r="L178" i="52094"/>
  <c r="D150" i="52076"/>
  <c r="I150" i="52076" s="1"/>
  <c r="K150" i="111"/>
  <c r="D150" i="52077"/>
  <c r="I150" i="52077" s="1"/>
  <c r="L150" i="52077" s="1"/>
  <c r="C93" i="52077"/>
  <c r="J93" i="111"/>
  <c r="I111" i="52104"/>
  <c r="K111" i="52104" s="1"/>
  <c r="B180" i="52104"/>
  <c r="E181" i="111"/>
  <c r="B180" i="52076"/>
  <c r="H180" i="52076"/>
  <c r="G174" i="233"/>
  <c r="K174" i="233" s="1"/>
  <c r="C218" i="21"/>
  <c r="G183" i="9"/>
  <c r="C233" i="101"/>
  <c r="C53" i="101"/>
  <c r="C54" i="101" s="1"/>
  <c r="C62" i="101"/>
  <c r="C225" i="101"/>
  <c r="C218" i="101" s="1"/>
  <c r="G138" i="9"/>
  <c r="I116" i="52097"/>
  <c r="I239" i="52097" s="1"/>
  <c r="G70" i="52102"/>
  <c r="F103" i="52100"/>
  <c r="H154" i="52067"/>
  <c r="J154" i="52067"/>
  <c r="G241" i="52067"/>
  <c r="J241" i="52067" s="1"/>
  <c r="H154" i="52097"/>
  <c r="H241" i="52097" s="1"/>
  <c r="H13" i="52083"/>
  <c r="I13" i="52083"/>
  <c r="J80" i="52102"/>
  <c r="K80" i="52102"/>
  <c r="H80" i="110"/>
  <c r="B80" i="52102"/>
  <c r="I80" i="52102"/>
  <c r="L80" i="52100"/>
  <c r="J97" i="52102"/>
  <c r="B97" i="52102"/>
  <c r="I97" i="52102"/>
  <c r="K97" i="52102" s="1"/>
  <c r="M97" i="52102" s="1"/>
  <c r="H97" i="110"/>
  <c r="L97" i="52100"/>
  <c r="B119" i="52102"/>
  <c r="I119" i="52102"/>
  <c r="H119" i="110"/>
  <c r="K196" i="52102"/>
  <c r="H197" i="110"/>
  <c r="L197" i="110" s="1"/>
  <c r="B196" i="52102"/>
  <c r="I196" i="52102"/>
  <c r="L197" i="52100"/>
  <c r="I72" i="52083"/>
  <c r="K72" i="52083" s="1"/>
  <c r="H72" i="52083"/>
  <c r="D86" i="52103"/>
  <c r="D86" i="52084"/>
  <c r="G86" i="110"/>
  <c r="S73" i="111"/>
  <c r="F116" i="52077"/>
  <c r="F237" i="52077" s="1"/>
  <c r="F239" i="52087"/>
  <c r="I239" i="52087" s="1"/>
  <c r="J116" i="52087"/>
  <c r="I116" i="52087"/>
  <c r="J70" i="52081"/>
  <c r="F103" i="52081"/>
  <c r="I91" i="52075"/>
  <c r="K91" i="52075" s="1"/>
  <c r="H147" i="111"/>
  <c r="D147" i="52075"/>
  <c r="G70" i="52081"/>
  <c r="G103" i="52081" s="1"/>
  <c r="D68" i="52103"/>
  <c r="D70" i="52103" s="1"/>
  <c r="G68" i="110"/>
  <c r="G70" i="110" s="1"/>
  <c r="D68" i="52084"/>
  <c r="D70" i="52084" s="1"/>
  <c r="B147" i="52075"/>
  <c r="M147" i="111"/>
  <c r="I147" i="52075"/>
  <c r="I153" i="52075" s="1"/>
  <c r="I239" i="52075" s="1"/>
  <c r="M105" i="111"/>
  <c r="G116" i="52095"/>
  <c r="I105" i="52075"/>
  <c r="B105" i="52075"/>
  <c r="L105" i="52095"/>
  <c r="G116" i="52075"/>
  <c r="T120" i="111"/>
  <c r="S120" i="111"/>
  <c r="V120" i="111" s="1"/>
  <c r="F103" i="52076"/>
  <c r="B74" i="52104"/>
  <c r="E74" i="111"/>
  <c r="B74" i="52076"/>
  <c r="H74" i="52076"/>
  <c r="J74" i="52076" s="1"/>
  <c r="C176" i="52075"/>
  <c r="B177" i="111"/>
  <c r="L177" i="114"/>
  <c r="J122" i="52104"/>
  <c r="D74" i="52103"/>
  <c r="G74" i="110"/>
  <c r="D74" i="52084"/>
  <c r="M64" i="111"/>
  <c r="G70" i="52095"/>
  <c r="B64" i="52075"/>
  <c r="I64" i="52075"/>
  <c r="L64" i="52095"/>
  <c r="B91" i="52104"/>
  <c r="E91" i="111"/>
  <c r="B91" i="52076"/>
  <c r="H91" i="52076"/>
  <c r="J91" i="52076" s="1"/>
  <c r="L91" i="12"/>
  <c r="B67" i="52104"/>
  <c r="B67" i="52076"/>
  <c r="E67" i="111"/>
  <c r="H67" i="52076"/>
  <c r="J67" i="52076" s="1"/>
  <c r="L67" i="12"/>
  <c r="F242" i="115"/>
  <c r="I168" i="115"/>
  <c r="K203" i="52090"/>
  <c r="C76" i="52075"/>
  <c r="B76" i="111"/>
  <c r="R76" i="111" s="1"/>
  <c r="I240" i="105"/>
  <c r="I109" i="52104"/>
  <c r="K109" i="52104" s="1"/>
  <c r="I73" i="52104"/>
  <c r="K73" i="52104" s="1"/>
  <c r="H88" i="52098"/>
  <c r="J88" i="52098" s="1"/>
  <c r="B105" i="111"/>
  <c r="C105" i="52075"/>
  <c r="G116" i="114"/>
  <c r="H64" i="52097"/>
  <c r="H70" i="52097" s="1"/>
  <c r="H103" i="52097" s="1"/>
  <c r="G70" i="52067"/>
  <c r="D64" i="52083"/>
  <c r="H147" i="52083"/>
  <c r="L68" i="114"/>
  <c r="L68" i="52095"/>
  <c r="F242" i="105"/>
  <c r="B70" i="52083"/>
  <c r="H68" i="52083"/>
  <c r="I68" i="52083"/>
  <c r="K68" i="52083" s="1"/>
  <c r="C103" i="52097"/>
  <c r="I114" i="52083"/>
  <c r="H114" i="52083"/>
  <c r="D103" i="52098"/>
  <c r="C245" i="52087"/>
  <c r="C223" i="52087"/>
  <c r="C222" i="52087"/>
  <c r="C254" i="52087" s="1"/>
  <c r="B203" i="52087"/>
  <c r="B67" i="111"/>
  <c r="C67" i="52075"/>
  <c r="L67" i="114"/>
  <c r="H122" i="111"/>
  <c r="D122" i="52075"/>
  <c r="I122" i="52075"/>
  <c r="K122" i="52075" s="1"/>
  <c r="L122" i="52090"/>
  <c r="C223" i="101"/>
  <c r="B203" i="101"/>
  <c r="C222" i="101"/>
  <c r="C254" i="101" s="1"/>
  <c r="C245" i="101"/>
  <c r="H151" i="52083"/>
  <c r="O138" i="52097"/>
  <c r="H88" i="52083"/>
  <c r="O73" i="52097"/>
  <c r="I240" i="91"/>
  <c r="L80" i="52077"/>
  <c r="I242" i="105"/>
  <c r="I242" i="52094"/>
  <c r="G35" i="52080"/>
  <c r="G36" i="52080"/>
  <c r="I116" i="52080"/>
  <c r="I241" i="48"/>
  <c r="I239" i="52079"/>
  <c r="J21" i="52075"/>
  <c r="F46" i="52075"/>
  <c r="F47" i="52075" s="1"/>
  <c r="F51" i="52075"/>
  <c r="F32" i="52075"/>
  <c r="F33" i="52075" s="1"/>
  <c r="E62" i="52095"/>
  <c r="E233" i="52095"/>
  <c r="I51" i="52095"/>
  <c r="I233" i="52095" s="1"/>
  <c r="E53" i="52095"/>
  <c r="S94" i="111"/>
  <c r="L32" i="32"/>
  <c r="E33" i="32"/>
  <c r="L33" i="32" s="1"/>
  <c r="E53" i="32"/>
  <c r="E233" i="32"/>
  <c r="E62" i="32"/>
  <c r="I51" i="32"/>
  <c r="I233" i="32" s="1"/>
  <c r="J126" i="52103"/>
  <c r="E238" i="52072"/>
  <c r="E203" i="52072"/>
  <c r="E233" i="52064"/>
  <c r="E53" i="52064"/>
  <c r="E62" i="52064"/>
  <c r="I51" i="52064"/>
  <c r="I233" i="52064" s="1"/>
  <c r="I201" i="52064"/>
  <c r="M178" i="110"/>
  <c r="M96" i="110"/>
  <c r="H120" i="93"/>
  <c r="I103" i="110"/>
  <c r="E53" i="52092"/>
  <c r="E233" i="52092"/>
  <c r="E62" i="52092"/>
  <c r="I51" i="52092"/>
  <c r="I233" i="52092" s="1"/>
  <c r="L33" i="52092"/>
  <c r="E62" i="52066"/>
  <c r="E53" i="52066"/>
  <c r="E233" i="52066"/>
  <c r="I51" i="52066"/>
  <c r="I233" i="52066" s="1"/>
  <c r="E53" i="77"/>
  <c r="E62" i="77"/>
  <c r="I51" i="77"/>
  <c r="I233" i="77" s="1"/>
  <c r="E233" i="77"/>
  <c r="I70" i="52084"/>
  <c r="E103" i="52084"/>
  <c r="H152" i="93"/>
  <c r="J73" i="52102"/>
  <c r="J158" i="233"/>
  <c r="J145" i="52103"/>
  <c r="M120" i="110"/>
  <c r="D240" i="9"/>
  <c r="H129" i="9"/>
  <c r="H240" i="9" s="1"/>
  <c r="I239" i="110"/>
  <c r="M116" i="110"/>
  <c r="M239" i="110" s="1"/>
  <c r="I149" i="52084"/>
  <c r="I240" i="52094"/>
  <c r="O103" i="111"/>
  <c r="F103" i="52075"/>
  <c r="J124" i="52075"/>
  <c r="S136" i="111"/>
  <c r="M194" i="52103"/>
  <c r="J190" i="233"/>
  <c r="I201" i="52092"/>
  <c r="L201" i="52092" s="1"/>
  <c r="I140" i="52074"/>
  <c r="I182" i="52074"/>
  <c r="J200" i="52104"/>
  <c r="M200" i="52104" s="1"/>
  <c r="L33" i="12"/>
  <c r="E233" i="12"/>
  <c r="E62" i="12"/>
  <c r="I51" i="12"/>
  <c r="I233" i="12" s="1"/>
  <c r="E53" i="12"/>
  <c r="J83" i="52102"/>
  <c r="I186" i="52074"/>
  <c r="I201" i="20"/>
  <c r="E62" i="52088"/>
  <c r="E236" i="52088" s="1"/>
  <c r="E233" i="52088"/>
  <c r="I51" i="52088"/>
  <c r="I233" i="52088" s="1"/>
  <c r="E53" i="52088"/>
  <c r="E54" i="52088" s="1"/>
  <c r="J13" i="233"/>
  <c r="H70" i="93"/>
  <c r="I70" i="52092"/>
  <c r="I241" i="52090"/>
  <c r="F240" i="52102"/>
  <c r="I168" i="52089"/>
  <c r="J70" i="52083"/>
  <c r="F103" i="52083"/>
  <c r="E238" i="52064"/>
  <c r="E203" i="52064"/>
  <c r="I103" i="52064"/>
  <c r="J132" i="233"/>
  <c r="F154" i="233"/>
  <c r="H131" i="93"/>
  <c r="I240" i="101"/>
  <c r="I119" i="52074"/>
  <c r="I157" i="52074"/>
  <c r="R142" i="111"/>
  <c r="R143" i="111"/>
  <c r="I137" i="52083"/>
  <c r="K137" i="52083" s="1"/>
  <c r="Q131" i="52097"/>
  <c r="M154" i="52097"/>
  <c r="P131" i="52097"/>
  <c r="F241" i="148"/>
  <c r="I241" i="148" s="1"/>
  <c r="J154" i="148"/>
  <c r="O144" i="52097"/>
  <c r="J146" i="52082"/>
  <c r="O137" i="52097"/>
  <c r="I165" i="52083"/>
  <c r="C21" i="52097"/>
  <c r="G156" i="105"/>
  <c r="G51" i="105"/>
  <c r="F135" i="9"/>
  <c r="B135" i="233"/>
  <c r="I135" i="233"/>
  <c r="K135" i="233" s="1"/>
  <c r="G100" i="9"/>
  <c r="G125" i="9"/>
  <c r="F21" i="52097"/>
  <c r="J177" i="52082"/>
  <c r="G137" i="9"/>
  <c r="H147" i="52098"/>
  <c r="J147" i="52098" s="1"/>
  <c r="F103" i="52064"/>
  <c r="J70" i="52064"/>
  <c r="H99" i="52098"/>
  <c r="J99" i="52098" s="1"/>
  <c r="O173" i="52097"/>
  <c r="F84" i="9"/>
  <c r="B84" i="233"/>
  <c r="J72" i="52103"/>
  <c r="C233" i="52081"/>
  <c r="C62" i="52081"/>
  <c r="C225" i="52081"/>
  <c r="C53" i="52081"/>
  <c r="C54" i="52081" s="1"/>
  <c r="C33" i="52081"/>
  <c r="B182" i="52103"/>
  <c r="F183" i="110"/>
  <c r="H182" i="52084"/>
  <c r="B182" i="52084"/>
  <c r="B114" i="52084"/>
  <c r="H114" i="52084"/>
  <c r="J114" i="52084" s="1"/>
  <c r="B114" i="52103"/>
  <c r="F114" i="110"/>
  <c r="E101" i="52102"/>
  <c r="B101" i="110"/>
  <c r="F178" i="110"/>
  <c r="B177" i="52084"/>
  <c r="B177" i="52103"/>
  <c r="M177" i="52103" s="1"/>
  <c r="H177" i="52084"/>
  <c r="I125" i="52103"/>
  <c r="E64" i="52103"/>
  <c r="G70" i="91"/>
  <c r="I64" i="52103"/>
  <c r="C64" i="110"/>
  <c r="F238" i="91"/>
  <c r="F203" i="91"/>
  <c r="F245" i="91" s="1"/>
  <c r="B92" i="52077"/>
  <c r="H92" i="52077"/>
  <c r="L92" i="111"/>
  <c r="S122" i="111"/>
  <c r="J95" i="52080"/>
  <c r="L95" i="52080" s="1"/>
  <c r="K186" i="52103"/>
  <c r="G200" i="52103"/>
  <c r="R140" i="111"/>
  <c r="C86" i="110"/>
  <c r="I86" i="52103"/>
  <c r="E86" i="52103"/>
  <c r="H49" i="91"/>
  <c r="L49" i="91" s="1"/>
  <c r="G30" i="91"/>
  <c r="G51" i="91"/>
  <c r="G156" i="91"/>
  <c r="H79" i="91"/>
  <c r="L79" i="91" s="1"/>
  <c r="C21" i="52084"/>
  <c r="L9" i="110"/>
  <c r="E21" i="110"/>
  <c r="J95" i="32"/>
  <c r="B95" i="110"/>
  <c r="H95" i="32"/>
  <c r="L95" i="32" s="1"/>
  <c r="E95" i="52102"/>
  <c r="B101" i="52084"/>
  <c r="B101" i="52103"/>
  <c r="F101" i="110"/>
  <c r="H101" i="52084"/>
  <c r="G136" i="9"/>
  <c r="G95" i="233"/>
  <c r="J95" i="233" s="1"/>
  <c r="G73" i="9"/>
  <c r="H73" i="52098"/>
  <c r="J73" i="52098" s="1"/>
  <c r="O101" i="52097"/>
  <c r="F233" i="105"/>
  <c r="F62" i="105"/>
  <c r="J51" i="105"/>
  <c r="J233" i="105" s="1"/>
  <c r="O86" i="52097"/>
  <c r="G125" i="233"/>
  <c r="K125" i="233" s="1"/>
  <c r="J92" i="52082"/>
  <c r="B81" i="233"/>
  <c r="F81" i="9"/>
  <c r="F62" i="101"/>
  <c r="F233" i="101"/>
  <c r="J9" i="52082"/>
  <c r="D21" i="52082"/>
  <c r="D176" i="110"/>
  <c r="D175" i="52102"/>
  <c r="D93" i="52084"/>
  <c r="G93" i="110"/>
  <c r="D93" i="52103"/>
  <c r="J141" i="52084"/>
  <c r="J148" i="52103"/>
  <c r="K88" i="52103"/>
  <c r="M88" i="52103" s="1"/>
  <c r="I94" i="52102"/>
  <c r="E94" i="52102"/>
  <c r="B94" i="110"/>
  <c r="B140" i="233"/>
  <c r="F140" i="9"/>
  <c r="F170" i="93"/>
  <c r="I168" i="93"/>
  <c r="H86" i="52084"/>
  <c r="J86" i="52084" s="1"/>
  <c r="J171" i="111"/>
  <c r="C170" i="52077"/>
  <c r="L171" i="52092"/>
  <c r="G51" i="48"/>
  <c r="H79" i="48"/>
  <c r="L79" i="48" s="1"/>
  <c r="H49" i="48"/>
  <c r="L49" i="48" s="1"/>
  <c r="G30" i="48"/>
  <c r="G156" i="48"/>
  <c r="B21" i="52084"/>
  <c r="B51" i="52084" s="1"/>
  <c r="B231" i="52084" s="1"/>
  <c r="B21" i="52103"/>
  <c r="K203" i="91"/>
  <c r="B174" i="52104"/>
  <c r="E175" i="111"/>
  <c r="B174" i="52076"/>
  <c r="H174" i="52076"/>
  <c r="L175" i="12"/>
  <c r="E13" i="233"/>
  <c r="K13" i="110"/>
  <c r="K64" i="111"/>
  <c r="D64" i="52077"/>
  <c r="G70" i="52093"/>
  <c r="G103" i="52093" s="1"/>
  <c r="D64" i="52076"/>
  <c r="H76" i="52084"/>
  <c r="J76" i="52084" s="1"/>
  <c r="L183" i="52093"/>
  <c r="C33" i="52091"/>
  <c r="L33" i="52091" s="1"/>
  <c r="L32" i="52091"/>
  <c r="G185" i="52090"/>
  <c r="D169" i="52075"/>
  <c r="H170" i="111"/>
  <c r="J185" i="52090"/>
  <c r="C92" i="52076"/>
  <c r="F92" i="111"/>
  <c r="C92" i="52104"/>
  <c r="L92" i="77"/>
  <c r="B185" i="52097"/>
  <c r="B243" i="52097" s="1"/>
  <c r="O171" i="52097"/>
  <c r="I141" i="9"/>
  <c r="C77" i="52077"/>
  <c r="J77" i="111"/>
  <c r="L163" i="52090"/>
  <c r="F233" i="52080"/>
  <c r="F62" i="52080"/>
  <c r="J51" i="52080"/>
  <c r="J233" i="52080" s="1"/>
  <c r="C100" i="52077"/>
  <c r="J100" i="111"/>
  <c r="D172" i="52074"/>
  <c r="G173" i="111"/>
  <c r="C172" i="52102"/>
  <c r="L173" i="52089"/>
  <c r="N164" i="111"/>
  <c r="E163" i="52075"/>
  <c r="L164" i="52080"/>
  <c r="C172" i="52075"/>
  <c r="B173" i="111"/>
  <c r="L173" i="114"/>
  <c r="E182" i="52102"/>
  <c r="M182" i="52102" s="1"/>
  <c r="B183" i="110"/>
  <c r="L183" i="32"/>
  <c r="B94" i="52104"/>
  <c r="E94" i="111"/>
  <c r="B94" i="52076"/>
  <c r="H94" i="52076"/>
  <c r="L94" i="12"/>
  <c r="B83" i="52104"/>
  <c r="B83" i="52076"/>
  <c r="E83" i="111"/>
  <c r="H83" i="52076"/>
  <c r="L83" i="12"/>
  <c r="C72" i="52104"/>
  <c r="F72" i="111"/>
  <c r="C72" i="52076"/>
  <c r="L72" i="77"/>
  <c r="C80" i="52104"/>
  <c r="F80" i="111"/>
  <c r="C80" i="52076"/>
  <c r="L80" i="77"/>
  <c r="D180" i="52076"/>
  <c r="I180" i="52076" s="1"/>
  <c r="K181" i="111"/>
  <c r="D180" i="52077"/>
  <c r="I180" i="52077" s="1"/>
  <c r="L181" i="52093"/>
  <c r="G51" i="52104"/>
  <c r="G231" i="52104" s="1"/>
  <c r="K21" i="52104"/>
  <c r="M21" i="52104" s="1"/>
  <c r="J140" i="52082"/>
  <c r="C21" i="9"/>
  <c r="H107" i="52083"/>
  <c r="I107" i="52083"/>
  <c r="B116" i="52083"/>
  <c r="D109" i="52074"/>
  <c r="G109" i="111"/>
  <c r="I109" i="52102"/>
  <c r="C109" i="52102"/>
  <c r="L109" i="52089"/>
  <c r="B175" i="111"/>
  <c r="R175" i="111" s="1"/>
  <c r="C174" i="52075"/>
  <c r="L175" i="114"/>
  <c r="J154" i="52097"/>
  <c r="J241" i="52097" s="1"/>
  <c r="O178" i="52097"/>
  <c r="H140" i="52098"/>
  <c r="F241" i="52090"/>
  <c r="J154" i="52090"/>
  <c r="G154" i="52090"/>
  <c r="H21" i="110"/>
  <c r="B21" i="52102"/>
  <c r="M17" i="52102"/>
  <c r="B120" i="52102"/>
  <c r="I120" i="52102"/>
  <c r="H120" i="110"/>
  <c r="L120" i="110" s="1"/>
  <c r="L120" i="52100"/>
  <c r="H139" i="110"/>
  <c r="B139" i="52102"/>
  <c r="M139" i="52102" s="1"/>
  <c r="I139" i="52102"/>
  <c r="L139" i="52100"/>
  <c r="I158" i="52102"/>
  <c r="B158" i="52102"/>
  <c r="H159" i="110"/>
  <c r="L159" i="110" s="1"/>
  <c r="L159" i="52100"/>
  <c r="G150" i="9"/>
  <c r="B74" i="52102"/>
  <c r="H74" i="110"/>
  <c r="I74" i="52102"/>
  <c r="K74" i="52102" s="1"/>
  <c r="K110" i="52102"/>
  <c r="M110" i="52102" s="1"/>
  <c r="B148" i="52102"/>
  <c r="H148" i="110"/>
  <c r="I148" i="52102"/>
  <c r="K148" i="52102" s="1"/>
  <c r="M148" i="52102" s="1"/>
  <c r="L148" i="52100"/>
  <c r="I190" i="52102"/>
  <c r="H191" i="110"/>
  <c r="L191" i="110" s="1"/>
  <c r="B190" i="52102"/>
  <c r="M190" i="52102" s="1"/>
  <c r="L191" i="52100"/>
  <c r="C94" i="52077"/>
  <c r="J94" i="111"/>
  <c r="L94" i="52092"/>
  <c r="C101" i="111"/>
  <c r="E101" i="52104"/>
  <c r="C101" i="52074"/>
  <c r="L101" i="115"/>
  <c r="N75" i="111"/>
  <c r="E75" i="52075"/>
  <c r="L75" i="52080"/>
  <c r="H72" i="52098"/>
  <c r="F72" i="9"/>
  <c r="B72" i="233"/>
  <c r="K49" i="52103"/>
  <c r="G51" i="52103"/>
  <c r="G231" i="52103" s="1"/>
  <c r="N159" i="110"/>
  <c r="B93" i="52104"/>
  <c r="E93" i="111"/>
  <c r="B93" i="52076"/>
  <c r="H93" i="52076"/>
  <c r="C72" i="52077"/>
  <c r="J72" i="111"/>
  <c r="B126" i="52103"/>
  <c r="M126" i="52103" s="1"/>
  <c r="B126" i="52084"/>
  <c r="F126" i="110"/>
  <c r="H126" i="52084"/>
  <c r="E173" i="52103"/>
  <c r="C174" i="110"/>
  <c r="I173" i="52103"/>
  <c r="L92" i="110"/>
  <c r="D112" i="52102"/>
  <c r="D112" i="110"/>
  <c r="E126" i="52075"/>
  <c r="N126" i="111"/>
  <c r="D174" i="52076"/>
  <c r="I174" i="52076" s="1"/>
  <c r="D174" i="52077"/>
  <c r="I174" i="52077" s="1"/>
  <c r="K175" i="111"/>
  <c r="C174" i="52103"/>
  <c r="C174" i="52084"/>
  <c r="E175" i="110"/>
  <c r="I72" i="52084"/>
  <c r="B72" i="52103"/>
  <c r="F72" i="110"/>
  <c r="B72" i="52084"/>
  <c r="H72" i="52084"/>
  <c r="J72" i="52084" s="1"/>
  <c r="H94" i="52077"/>
  <c r="J94" i="52077" s="1"/>
  <c r="D169" i="52104"/>
  <c r="B169" i="52074"/>
  <c r="H169" i="52074"/>
  <c r="D170" i="111"/>
  <c r="G185" i="20"/>
  <c r="G243" i="20" s="1"/>
  <c r="L170" i="20"/>
  <c r="L18" i="52077"/>
  <c r="B92" i="52104"/>
  <c r="B92" i="52076"/>
  <c r="E92" i="111"/>
  <c r="H92" i="52076"/>
  <c r="D74" i="52104"/>
  <c r="H74" i="52074"/>
  <c r="J74" i="52074" s="1"/>
  <c r="B74" i="52074"/>
  <c r="D74" i="111"/>
  <c r="I170" i="9"/>
  <c r="G170" i="233"/>
  <c r="E185" i="9"/>
  <c r="G241" i="21"/>
  <c r="J241" i="21" s="1"/>
  <c r="G153" i="52098"/>
  <c r="H154" i="21"/>
  <c r="G134" i="9"/>
  <c r="B154" i="9"/>
  <c r="F243" i="52095"/>
  <c r="K169" i="52075"/>
  <c r="G184" i="52075"/>
  <c r="R18" i="111"/>
  <c r="Q97" i="52097"/>
  <c r="C97" i="233"/>
  <c r="N97" i="52097"/>
  <c r="E116" i="52082"/>
  <c r="E239" i="52082" s="1"/>
  <c r="F116" i="52097"/>
  <c r="F239" i="52097" s="1"/>
  <c r="H94" i="110"/>
  <c r="B94" i="52102"/>
  <c r="M94" i="52102" s="1"/>
  <c r="I194" i="233"/>
  <c r="K194" i="233" s="1"/>
  <c r="E194" i="233"/>
  <c r="K194" i="110"/>
  <c r="H194" i="233" s="1"/>
  <c r="I10" i="52083"/>
  <c r="J78" i="52102"/>
  <c r="K78" i="52102"/>
  <c r="B174" i="52102"/>
  <c r="I174" i="52102"/>
  <c r="H175" i="110"/>
  <c r="L175" i="52100"/>
  <c r="I149" i="9"/>
  <c r="B149" i="233"/>
  <c r="F149" i="9"/>
  <c r="C85" i="110"/>
  <c r="E85" i="52103"/>
  <c r="I85" i="52103"/>
  <c r="C66" i="110"/>
  <c r="L66" i="110" s="1"/>
  <c r="E66" i="52103"/>
  <c r="I66" i="52103"/>
  <c r="F103" i="52077"/>
  <c r="L87" i="111"/>
  <c r="H87" i="52077"/>
  <c r="B87" i="52077"/>
  <c r="C81" i="52077"/>
  <c r="J81" i="111"/>
  <c r="M136" i="52103"/>
  <c r="B169" i="52103"/>
  <c r="B169" i="52084"/>
  <c r="G185" i="48"/>
  <c r="G243" i="48" s="1"/>
  <c r="F170" i="110"/>
  <c r="H169" i="52084"/>
  <c r="L170" i="48"/>
  <c r="L164" i="91"/>
  <c r="B165" i="52077"/>
  <c r="L166" i="111"/>
  <c r="H165" i="52077"/>
  <c r="K94" i="111"/>
  <c r="D94" i="52076"/>
  <c r="I94" i="52076" s="1"/>
  <c r="D94" i="52077"/>
  <c r="I94" i="52077" s="1"/>
  <c r="L94" i="52077" s="1"/>
  <c r="B21" i="110"/>
  <c r="L16" i="110"/>
  <c r="K182" i="111"/>
  <c r="R182" i="111" s="1"/>
  <c r="D181" i="52077"/>
  <c r="H181" i="52076"/>
  <c r="H181" i="52077"/>
  <c r="D181" i="52076"/>
  <c r="I181" i="52076" s="1"/>
  <c r="L182" i="52093"/>
  <c r="B81" i="52104"/>
  <c r="H81" i="52076"/>
  <c r="E81" i="111"/>
  <c r="B81" i="52076"/>
  <c r="C170" i="111"/>
  <c r="C169" i="52074"/>
  <c r="I169" i="52104"/>
  <c r="E169" i="52104"/>
  <c r="G185" i="115"/>
  <c r="G243" i="115" s="1"/>
  <c r="L170" i="115"/>
  <c r="L64" i="52072"/>
  <c r="F103" i="52072"/>
  <c r="J109" i="52084"/>
  <c r="B109" i="52103"/>
  <c r="F109" i="110"/>
  <c r="H109" i="52084"/>
  <c r="B109" i="52084"/>
  <c r="C225" i="91"/>
  <c r="C233" i="91"/>
  <c r="C62" i="91"/>
  <c r="C53" i="91"/>
  <c r="C54" i="91" s="1"/>
  <c r="E21" i="52103"/>
  <c r="E51" i="52103" s="1"/>
  <c r="E231" i="52103" s="1"/>
  <c r="F243" i="52080"/>
  <c r="N170" i="111"/>
  <c r="E169" i="52075"/>
  <c r="G185" i="52080"/>
  <c r="G243" i="52080" s="1"/>
  <c r="L170" i="52080"/>
  <c r="F236" i="52095"/>
  <c r="G62" i="52075"/>
  <c r="J21" i="52093"/>
  <c r="L21" i="52093" s="1"/>
  <c r="G51" i="52093"/>
  <c r="G156" i="52093"/>
  <c r="H49" i="52093"/>
  <c r="L49" i="52093" s="1"/>
  <c r="H79" i="52093"/>
  <c r="L79" i="52093" s="1"/>
  <c r="G30" i="52093"/>
  <c r="I9" i="52077"/>
  <c r="D21" i="52077"/>
  <c r="F236" i="52093"/>
  <c r="L97" i="48"/>
  <c r="G141" i="233"/>
  <c r="J141" i="233" s="1"/>
  <c r="D171" i="52104"/>
  <c r="D172" i="111"/>
  <c r="B171" i="52074"/>
  <c r="H171" i="52074"/>
  <c r="L172" i="20"/>
  <c r="G96" i="111"/>
  <c r="D96" i="52074"/>
  <c r="C96" i="52102"/>
  <c r="N87" i="111"/>
  <c r="E87" i="52075"/>
  <c r="L87" i="52080"/>
  <c r="C46" i="114"/>
  <c r="C47" i="114" s="1"/>
  <c r="C219" i="114"/>
  <c r="C226" i="114"/>
  <c r="E83" i="52075"/>
  <c r="N83" i="111"/>
  <c r="M92" i="111"/>
  <c r="B92" i="52075"/>
  <c r="I92" i="52075"/>
  <c r="L92" i="52095"/>
  <c r="D164" i="52076"/>
  <c r="I164" i="52076" s="1"/>
  <c r="K165" i="111"/>
  <c r="D164" i="52077"/>
  <c r="I164" i="52077" s="1"/>
  <c r="D81" i="52076"/>
  <c r="I81" i="52076" s="1"/>
  <c r="K81" i="111"/>
  <c r="D81" i="52077"/>
  <c r="I81" i="52077" s="1"/>
  <c r="L81" i="52077" s="1"/>
  <c r="L81" i="52093"/>
  <c r="C74" i="52077"/>
  <c r="J74" i="111"/>
  <c r="I85" i="52084"/>
  <c r="F85" i="110"/>
  <c r="B85" i="52103"/>
  <c r="B85" i="52084"/>
  <c r="H85" i="52084"/>
  <c r="J85" i="52084" s="1"/>
  <c r="L85" i="48"/>
  <c r="K203" i="52092"/>
  <c r="C219" i="52091"/>
  <c r="C226" i="52091"/>
  <c r="J16" i="52082"/>
  <c r="G94" i="9"/>
  <c r="E124" i="111"/>
  <c r="R124" i="111" s="1"/>
  <c r="B124" i="52076"/>
  <c r="H124" i="52076"/>
  <c r="I124" i="52104"/>
  <c r="B124" i="52104"/>
  <c r="L124" i="12"/>
  <c r="O124" i="52097"/>
  <c r="H148" i="52098"/>
  <c r="G150" i="233"/>
  <c r="J150" i="233" s="1"/>
  <c r="J83" i="52082"/>
  <c r="L83" i="52082" s="1"/>
  <c r="D91" i="52074"/>
  <c r="G91" i="111"/>
  <c r="C91" i="52102"/>
  <c r="E133" i="110"/>
  <c r="C133" i="52084"/>
  <c r="H133" i="52084"/>
  <c r="C133" i="52103"/>
  <c r="I133" i="52103"/>
  <c r="G154" i="52066"/>
  <c r="J154" i="52066" s="1"/>
  <c r="C74" i="52103"/>
  <c r="E74" i="110"/>
  <c r="C74" i="52084"/>
  <c r="B171" i="52075"/>
  <c r="M172" i="111"/>
  <c r="I171" i="52075"/>
  <c r="L172" i="52095"/>
  <c r="C219" i="52092"/>
  <c r="C226" i="52092"/>
  <c r="D170" i="52075"/>
  <c r="H171" i="111"/>
  <c r="L171" i="52090"/>
  <c r="H126" i="52076"/>
  <c r="F70" i="52074"/>
  <c r="J136" i="52082"/>
  <c r="G92" i="233"/>
  <c r="K92" i="233" s="1"/>
  <c r="J12" i="52082"/>
  <c r="F236" i="12"/>
  <c r="C233" i="52079"/>
  <c r="C53" i="52079"/>
  <c r="C54" i="52079" s="1"/>
  <c r="C225" i="52079"/>
  <c r="C218" i="52079" s="1"/>
  <c r="C62" i="52079"/>
  <c r="I182" i="52083"/>
  <c r="H182" i="52083"/>
  <c r="H126" i="52098"/>
  <c r="B68" i="52102"/>
  <c r="I68" i="52102"/>
  <c r="K68" i="52102" s="1"/>
  <c r="H68" i="110"/>
  <c r="H96" i="110"/>
  <c r="I96" i="52102"/>
  <c r="K96" i="52102" s="1"/>
  <c r="M96" i="52102" s="1"/>
  <c r="B96" i="52102"/>
  <c r="J118" i="52100"/>
  <c r="L118" i="52100" s="1"/>
  <c r="H118" i="110"/>
  <c r="L118" i="110" s="1"/>
  <c r="B118" i="52102"/>
  <c r="I118" i="52102"/>
  <c r="K164" i="52102"/>
  <c r="B164" i="52102"/>
  <c r="H165" i="110"/>
  <c r="I164" i="52102"/>
  <c r="J101" i="52082"/>
  <c r="I201" i="101"/>
  <c r="J201" i="101"/>
  <c r="G238" i="108"/>
  <c r="H103" i="108"/>
  <c r="E70" i="52083"/>
  <c r="E103" i="52083" s="1"/>
  <c r="E237" i="52083" s="1"/>
  <c r="B170" i="9"/>
  <c r="B169" i="52098"/>
  <c r="K169" i="52098"/>
  <c r="K184" i="52098" s="1"/>
  <c r="K242" i="52098" s="1"/>
  <c r="G169" i="52098"/>
  <c r="G185" i="21"/>
  <c r="H76" i="110"/>
  <c r="B76" i="52102"/>
  <c r="M76" i="52102" s="1"/>
  <c r="I76" i="52102"/>
  <c r="K76" i="52102" s="1"/>
  <c r="L76" i="52100"/>
  <c r="B93" i="52102"/>
  <c r="H93" i="110"/>
  <c r="I93" i="52102"/>
  <c r="H112" i="110"/>
  <c r="B112" i="52102"/>
  <c r="I112" i="52102"/>
  <c r="K112" i="52102" s="1"/>
  <c r="J180" i="52082"/>
  <c r="H179" i="52083"/>
  <c r="I179" i="52083"/>
  <c r="S82" i="111"/>
  <c r="G156" i="233"/>
  <c r="P168" i="111"/>
  <c r="P242" i="111" s="1"/>
  <c r="S156" i="111"/>
  <c r="I97" i="52075"/>
  <c r="D78" i="52103"/>
  <c r="D78" i="52084"/>
  <c r="G78" i="110"/>
  <c r="G154" i="52081"/>
  <c r="K145" i="52075"/>
  <c r="K118" i="52075"/>
  <c r="G129" i="52075"/>
  <c r="G238" i="52075" s="1"/>
  <c r="F241" i="52087"/>
  <c r="I241" i="52087" s="1"/>
  <c r="J154" i="52087"/>
  <c r="I154" i="52087"/>
  <c r="H76" i="52083"/>
  <c r="J84" i="52082"/>
  <c r="L84" i="52082" s="1"/>
  <c r="J67" i="52094"/>
  <c r="L67" i="111"/>
  <c r="H67" i="52077"/>
  <c r="J67" i="52077" s="1"/>
  <c r="B67" i="52077"/>
  <c r="B70" i="52077" s="1"/>
  <c r="H105" i="52076"/>
  <c r="B105" i="52076"/>
  <c r="E105" i="111"/>
  <c r="B105" i="52104"/>
  <c r="G116" i="12"/>
  <c r="L105" i="12"/>
  <c r="F242" i="52081"/>
  <c r="D105" i="52103"/>
  <c r="D116" i="52103" s="1"/>
  <c r="D237" i="52103" s="1"/>
  <c r="G105" i="110"/>
  <c r="G116" i="52081"/>
  <c r="D105" i="52084"/>
  <c r="D116" i="52084" s="1"/>
  <c r="D237" i="52084" s="1"/>
  <c r="J70" i="101"/>
  <c r="G103" i="101"/>
  <c r="C223" i="105"/>
  <c r="B203" i="105"/>
  <c r="C245" i="105"/>
  <c r="C222" i="105"/>
  <c r="C254" i="105" s="1"/>
  <c r="I125" i="52083"/>
  <c r="H125" i="52083"/>
  <c r="D87" i="52103"/>
  <c r="D87" i="52084"/>
  <c r="G87" i="110"/>
  <c r="C46" i="52081"/>
  <c r="C47" i="52081" s="1"/>
  <c r="C219" i="52081"/>
  <c r="C226" i="52081"/>
  <c r="C218" i="52081" s="1"/>
  <c r="S86" i="111"/>
  <c r="H100" i="52077"/>
  <c r="J100" i="52077" s="1"/>
  <c r="D84" i="52075"/>
  <c r="H84" i="111"/>
  <c r="B110" i="52075"/>
  <c r="M110" i="111"/>
  <c r="I110" i="52075"/>
  <c r="M77" i="111"/>
  <c r="I77" i="52075"/>
  <c r="K77" i="52075" s="1"/>
  <c r="B77" i="52075"/>
  <c r="S77" i="111"/>
  <c r="K131" i="52104"/>
  <c r="M131" i="52104" s="1"/>
  <c r="G153" i="52104"/>
  <c r="F241" i="115"/>
  <c r="I241" i="115" s="1"/>
  <c r="J154" i="115"/>
  <c r="I154" i="115"/>
  <c r="C154" i="111"/>
  <c r="C241" i="111" s="1"/>
  <c r="E153" i="52104"/>
  <c r="E239" i="52104" s="1"/>
  <c r="L118" i="114"/>
  <c r="M99" i="52104"/>
  <c r="N99" i="52104"/>
  <c r="K142" i="52104"/>
  <c r="J142" i="52104"/>
  <c r="M142" i="52104" s="1"/>
  <c r="G112" i="233"/>
  <c r="J112" i="233" s="1"/>
  <c r="B112" i="52075"/>
  <c r="I112" i="52075"/>
  <c r="K112" i="52075" s="1"/>
  <c r="M112" i="111"/>
  <c r="K118" i="52104"/>
  <c r="G129" i="52104"/>
  <c r="J118" i="52104"/>
  <c r="M118" i="52104" s="1"/>
  <c r="F240" i="115"/>
  <c r="I240" i="115" s="1"/>
  <c r="I129" i="115"/>
  <c r="L99" i="20"/>
  <c r="F241" i="77"/>
  <c r="I241" i="77" s="1"/>
  <c r="H152" i="77"/>
  <c r="L152" i="77" s="1"/>
  <c r="F153" i="52076"/>
  <c r="F240" i="52076" s="1"/>
  <c r="H100" i="52083"/>
  <c r="I100" i="52083"/>
  <c r="K100" i="52083" s="1"/>
  <c r="N106" i="52104"/>
  <c r="J161" i="52104"/>
  <c r="C161" i="52074"/>
  <c r="I161" i="52104"/>
  <c r="K161" i="52104" s="1"/>
  <c r="C162" i="111"/>
  <c r="E161" i="52104"/>
  <c r="L162" i="115"/>
  <c r="F239" i="52071"/>
  <c r="I239" i="52071" s="1"/>
  <c r="J116" i="52071"/>
  <c r="I116" i="52071"/>
  <c r="C164" i="52104"/>
  <c r="C164" i="52076"/>
  <c r="F165" i="111"/>
  <c r="L165" i="77"/>
  <c r="C112" i="52104"/>
  <c r="M112" i="52104" s="1"/>
  <c r="C112" i="52076"/>
  <c r="F112" i="111"/>
  <c r="L112" i="77"/>
  <c r="C67" i="52104"/>
  <c r="C67" i="52076"/>
  <c r="F67" i="111"/>
  <c r="L67" i="77"/>
  <c r="G70" i="52104"/>
  <c r="F103" i="115"/>
  <c r="I70" i="115"/>
  <c r="L90" i="111"/>
  <c r="B90" i="52077"/>
  <c r="H90" i="52077"/>
  <c r="J90" i="52077" s="1"/>
  <c r="L90" i="52094"/>
  <c r="E86" i="111"/>
  <c r="B86" i="52104"/>
  <c r="H86" i="52076"/>
  <c r="J86" i="52076" s="1"/>
  <c r="B86" i="52076"/>
  <c r="J86" i="12"/>
  <c r="L86" i="12" s="1"/>
  <c r="L143" i="52077"/>
  <c r="G154" i="52094"/>
  <c r="L118" i="12"/>
  <c r="B147" i="52104"/>
  <c r="B153" i="52104" s="1"/>
  <c r="H147" i="52076"/>
  <c r="J147" i="52076" s="1"/>
  <c r="B147" i="52076"/>
  <c r="E147" i="111"/>
  <c r="L147" i="12"/>
  <c r="I182" i="52104"/>
  <c r="F242" i="52088"/>
  <c r="I242" i="52088" s="1"/>
  <c r="I168" i="52088"/>
  <c r="K131" i="52083"/>
  <c r="G153" i="52083"/>
  <c r="H142" i="52083"/>
  <c r="H84" i="52074"/>
  <c r="J84" i="52074" s="1"/>
  <c r="I147" i="52104"/>
  <c r="K147" i="52104" s="1"/>
  <c r="I105" i="52104"/>
  <c r="C105" i="52074"/>
  <c r="E105" i="52104"/>
  <c r="C105" i="111"/>
  <c r="G116" i="115"/>
  <c r="L105" i="115"/>
  <c r="C147" i="52104"/>
  <c r="C147" i="52076"/>
  <c r="C153" i="52076" s="1"/>
  <c r="C240" i="52076" s="1"/>
  <c r="F147" i="111"/>
  <c r="F154" i="111" s="1"/>
  <c r="F241" i="111" s="1"/>
  <c r="B80" i="111"/>
  <c r="C80" i="52075"/>
  <c r="H138" i="52083"/>
  <c r="D105" i="52104"/>
  <c r="B105" i="52074"/>
  <c r="D105" i="111"/>
  <c r="H105" i="52074"/>
  <c r="G116" i="20"/>
  <c r="L105" i="20"/>
  <c r="J105" i="52074"/>
  <c r="F116" i="52074"/>
  <c r="H160" i="52083"/>
  <c r="F241" i="52071"/>
  <c r="I241" i="52071" s="1"/>
  <c r="J154" i="52071"/>
  <c r="I154" i="52071"/>
  <c r="O83" i="52097"/>
  <c r="I66" i="52083"/>
  <c r="K66" i="52083" s="1"/>
  <c r="H66" i="52083"/>
  <c r="H122" i="52083"/>
  <c r="I122" i="52083"/>
  <c r="K122" i="52083" s="1"/>
  <c r="J152" i="233"/>
  <c r="L137" i="52093"/>
  <c r="L125" i="12"/>
  <c r="L166" i="32"/>
  <c r="L125" i="52094"/>
  <c r="L111" i="20"/>
  <c r="L86" i="52092"/>
  <c r="L98" i="52094"/>
  <c r="L101" i="52092"/>
  <c r="L81" i="114"/>
  <c r="L181" i="52072"/>
  <c r="L149" i="52095"/>
  <c r="L149" i="32"/>
  <c r="L92" i="52100"/>
  <c r="L180" i="52100"/>
  <c r="L148" i="77"/>
  <c r="L150" i="20"/>
  <c r="G239" i="52083"/>
  <c r="J129" i="52083"/>
  <c r="J239" i="52083" s="1"/>
  <c r="L164" i="52072"/>
  <c r="L98" i="12"/>
  <c r="L98" i="52080"/>
  <c r="L107" i="114"/>
  <c r="L84" i="52089"/>
  <c r="L107" i="20"/>
  <c r="L140" i="52072"/>
  <c r="E245" i="52093"/>
  <c r="E222" i="52093"/>
  <c r="E254" i="52093" s="1"/>
  <c r="E223" i="52093"/>
  <c r="L74" i="52093"/>
  <c r="L164" i="52094"/>
  <c r="L171" i="114"/>
  <c r="L176" i="12"/>
  <c r="L81" i="52095"/>
  <c r="L180" i="52072"/>
  <c r="L76" i="52080"/>
  <c r="L87" i="114"/>
  <c r="L125" i="52100"/>
  <c r="L93" i="52072"/>
  <c r="L92" i="52080"/>
  <c r="L90" i="52072"/>
  <c r="L78" i="32"/>
  <c r="L83" i="52095"/>
  <c r="L87" i="77"/>
  <c r="L100" i="52100"/>
  <c r="L192" i="52100"/>
  <c r="L105" i="77"/>
  <c r="L183" i="52092"/>
  <c r="L176" i="52090"/>
  <c r="L72" i="32"/>
  <c r="L125" i="52092"/>
  <c r="L139" i="52072"/>
  <c r="L78" i="12"/>
  <c r="L84" i="52095"/>
  <c r="I238" i="52088"/>
  <c r="O240" i="111"/>
  <c r="L240" i="52097"/>
  <c r="P129" i="52097"/>
  <c r="P240" i="52097" s="1"/>
  <c r="E238" i="108"/>
  <c r="I239" i="12"/>
  <c r="I239" i="77"/>
  <c r="R88" i="111"/>
  <c r="G35" i="52081"/>
  <c r="I242" i="52081"/>
  <c r="S154" i="111"/>
  <c r="S241" i="111" s="1"/>
  <c r="O241" i="111"/>
  <c r="F239" i="52075"/>
  <c r="I243" i="52072"/>
  <c r="J197" i="233"/>
  <c r="L30" i="91"/>
  <c r="I103" i="52089"/>
  <c r="E238" i="52089"/>
  <c r="E203" i="52089"/>
  <c r="E238" i="91"/>
  <c r="I238" i="91" s="1"/>
  <c r="I103" i="91"/>
  <c r="E203" i="91"/>
  <c r="I239" i="52072"/>
  <c r="I242" i="52092"/>
  <c r="F240" i="52103"/>
  <c r="D239" i="9"/>
  <c r="E241" i="52077"/>
  <c r="I243" i="52094"/>
  <c r="L32" i="20"/>
  <c r="E33" i="20"/>
  <c r="L33" i="20" s="1"/>
  <c r="J137" i="233"/>
  <c r="J125" i="233"/>
  <c r="F242" i="52102"/>
  <c r="F237" i="52103"/>
  <c r="E46" i="52084"/>
  <c r="E47" i="52084" s="1"/>
  <c r="E32" i="52084"/>
  <c r="E33" i="52084" s="1"/>
  <c r="I21" i="52084"/>
  <c r="E51" i="52084"/>
  <c r="D241" i="9"/>
  <c r="O243" i="111"/>
  <c r="I243" i="52095"/>
  <c r="I129" i="52084"/>
  <c r="I238" i="52084" s="1"/>
  <c r="E238" i="52084"/>
  <c r="J121" i="233"/>
  <c r="F129" i="233"/>
  <c r="F240" i="233" s="1"/>
  <c r="I154" i="108"/>
  <c r="F241" i="108"/>
  <c r="I241" i="108" s="1"/>
  <c r="J154" i="108"/>
  <c r="J133" i="52082"/>
  <c r="D154" i="52082"/>
  <c r="D241" i="52082" s="1"/>
  <c r="J157" i="233"/>
  <c r="K169" i="52083"/>
  <c r="G184" i="52083"/>
  <c r="C76" i="233"/>
  <c r="Q76" i="52097"/>
  <c r="N76" i="52097"/>
  <c r="J131" i="52098"/>
  <c r="I131" i="52098"/>
  <c r="F233" i="21"/>
  <c r="F62" i="21"/>
  <c r="J51" i="21"/>
  <c r="J233" i="21" s="1"/>
  <c r="B116" i="9"/>
  <c r="G107" i="9"/>
  <c r="L32" i="52066"/>
  <c r="C33" i="52066"/>
  <c r="L33" i="52066" s="1"/>
  <c r="E173" i="52102"/>
  <c r="B174" i="110"/>
  <c r="L174" i="32"/>
  <c r="E68" i="52102"/>
  <c r="B68" i="110"/>
  <c r="L68" i="32"/>
  <c r="J150" i="48"/>
  <c r="L150" i="48" s="1"/>
  <c r="J84" i="32"/>
  <c r="L182" i="52077"/>
  <c r="C126" i="52077"/>
  <c r="J126" i="111"/>
  <c r="J114" i="52074"/>
  <c r="I114" i="52074"/>
  <c r="C126" i="52104"/>
  <c r="F126" i="111"/>
  <c r="C126" i="52076"/>
  <c r="D75" i="52104"/>
  <c r="D75" i="111"/>
  <c r="B75" i="52074"/>
  <c r="H75" i="52074"/>
  <c r="C80" i="52074"/>
  <c r="I80" i="52104"/>
  <c r="E80" i="52104"/>
  <c r="C80" i="111"/>
  <c r="Q11" i="111"/>
  <c r="D11" i="233"/>
  <c r="T11" i="111"/>
  <c r="D68" i="52076"/>
  <c r="I68" i="52076" s="1"/>
  <c r="K68" i="111"/>
  <c r="D68" i="52077"/>
  <c r="I68" i="52077" s="1"/>
  <c r="L68" i="52093"/>
  <c r="J175" i="111"/>
  <c r="C174" i="52077"/>
  <c r="L175" i="52092"/>
  <c r="L49" i="111"/>
  <c r="R49" i="111" s="1"/>
  <c r="T49" i="111" s="1"/>
  <c r="H49" i="52077"/>
  <c r="J49" i="52077" s="1"/>
  <c r="B49" i="52077"/>
  <c r="H49" i="52094"/>
  <c r="L49" i="52094" s="1"/>
  <c r="J91" i="52092"/>
  <c r="L91" i="52092" s="1"/>
  <c r="F243" i="52081"/>
  <c r="I243" i="52081" s="1"/>
  <c r="G185" i="52081"/>
  <c r="G243" i="52081" s="1"/>
  <c r="J243" i="52081" s="1"/>
  <c r="D169" i="52084"/>
  <c r="G170" i="110"/>
  <c r="D169" i="52103"/>
  <c r="B82" i="110"/>
  <c r="L82" i="110" s="1"/>
  <c r="E82" i="52102"/>
  <c r="L82" i="32"/>
  <c r="F139" i="9"/>
  <c r="B139" i="233"/>
  <c r="F242" i="108"/>
  <c r="I242" i="108" s="1"/>
  <c r="E170" i="52082"/>
  <c r="E185" i="52082" s="1"/>
  <c r="E243" i="52082" s="1"/>
  <c r="F170" i="52097"/>
  <c r="F185" i="52097" s="1"/>
  <c r="F243" i="52097" s="1"/>
  <c r="G185" i="52088"/>
  <c r="G243" i="52088" s="1"/>
  <c r="J243" i="52088" s="1"/>
  <c r="C245" i="148"/>
  <c r="C222" i="148"/>
  <c r="C254" i="148" s="1"/>
  <c r="C223" i="148"/>
  <c r="B203" i="148"/>
  <c r="N74" i="52097"/>
  <c r="C74" i="233"/>
  <c r="I145" i="9"/>
  <c r="F241" i="52064"/>
  <c r="I241" i="52064" s="1"/>
  <c r="J154" i="52064"/>
  <c r="I131" i="9"/>
  <c r="E154" i="9"/>
  <c r="E241" i="9" s="1"/>
  <c r="G131" i="233"/>
  <c r="E32" i="52082"/>
  <c r="E33" i="52082" s="1"/>
  <c r="E51" i="52082"/>
  <c r="E46" i="52082"/>
  <c r="E47" i="52082" s="1"/>
  <c r="F164" i="9"/>
  <c r="B164" i="233"/>
  <c r="M168" i="52097"/>
  <c r="P156" i="52097"/>
  <c r="D94" i="52102"/>
  <c r="D94" i="110"/>
  <c r="J84" i="52103"/>
  <c r="K84" i="52103"/>
  <c r="E75" i="52102"/>
  <c r="B75" i="110"/>
  <c r="L76" i="110"/>
  <c r="D67" i="52076"/>
  <c r="I67" i="52076" s="1"/>
  <c r="K67" i="111"/>
  <c r="D67" i="52077"/>
  <c r="I67" i="52077" s="1"/>
  <c r="H95" i="48"/>
  <c r="L95" i="48" s="1"/>
  <c r="H95" i="52084"/>
  <c r="J95" i="52084" s="1"/>
  <c r="F95" i="110"/>
  <c r="J95" i="48"/>
  <c r="B95" i="52084"/>
  <c r="B95" i="52103"/>
  <c r="J109" i="32"/>
  <c r="C170" i="52104"/>
  <c r="F171" i="111"/>
  <c r="C170" i="52076"/>
  <c r="J76" i="52104"/>
  <c r="K76" i="52104"/>
  <c r="C94" i="111"/>
  <c r="I94" i="52104"/>
  <c r="C94" i="52074"/>
  <c r="E94" i="52104"/>
  <c r="N171" i="111"/>
  <c r="E170" i="52075"/>
  <c r="E184" i="52075" s="1"/>
  <c r="E241" i="52075" s="1"/>
  <c r="C84" i="52103"/>
  <c r="C84" i="52084"/>
  <c r="E84" i="110"/>
  <c r="J110" i="52093"/>
  <c r="L110" i="52093" s="1"/>
  <c r="D110" i="52077"/>
  <c r="I110" i="52077" s="1"/>
  <c r="K110" i="111"/>
  <c r="D110" i="52076"/>
  <c r="I110" i="52076" s="1"/>
  <c r="E107" i="52104"/>
  <c r="C107" i="52074"/>
  <c r="I107" i="52104"/>
  <c r="C107" i="111"/>
  <c r="C236" i="52089"/>
  <c r="C205" i="52089"/>
  <c r="C33" i="52089"/>
  <c r="L33" i="52089" s="1"/>
  <c r="L32" i="52089"/>
  <c r="M138" i="52103"/>
  <c r="E73" i="52102"/>
  <c r="B73" i="110"/>
  <c r="B112" i="52103"/>
  <c r="F112" i="110"/>
  <c r="B112" i="52084"/>
  <c r="H112" i="52084"/>
  <c r="J112" i="52084" s="1"/>
  <c r="L118" i="52093"/>
  <c r="F236" i="52084"/>
  <c r="J64" i="48"/>
  <c r="L64" i="48" s="1"/>
  <c r="B107" i="52075"/>
  <c r="M107" i="111"/>
  <c r="I107" i="52075"/>
  <c r="B80" i="52075"/>
  <c r="M80" i="111"/>
  <c r="I80" i="52075"/>
  <c r="K80" i="52075" s="1"/>
  <c r="J112" i="52080"/>
  <c r="L112" i="52080" s="1"/>
  <c r="B74" i="52077"/>
  <c r="L74" i="111"/>
  <c r="H74" i="52077"/>
  <c r="J74" i="52077" s="1"/>
  <c r="L74" i="52094"/>
  <c r="F175" i="9"/>
  <c r="B175" i="233"/>
  <c r="J96" i="32"/>
  <c r="L96" i="32" s="1"/>
  <c r="I29" i="52066"/>
  <c r="G51" i="52075"/>
  <c r="G231" i="52075" s="1"/>
  <c r="K49" i="52075"/>
  <c r="J76" i="52090"/>
  <c r="L76" i="52090" s="1"/>
  <c r="D169" i="52076"/>
  <c r="K170" i="111"/>
  <c r="D169" i="52077"/>
  <c r="I169" i="52077" s="1"/>
  <c r="G185" i="52093"/>
  <c r="G243" i="52093" s="1"/>
  <c r="L170" i="52093"/>
  <c r="J147" i="48"/>
  <c r="C33" i="48"/>
  <c r="L33" i="48" s="1"/>
  <c r="L32" i="48"/>
  <c r="D80" i="52102"/>
  <c r="D80" i="110"/>
  <c r="F242" i="52066"/>
  <c r="S171" i="111"/>
  <c r="M171" i="111"/>
  <c r="B170" i="52075"/>
  <c r="I170" i="52075"/>
  <c r="L170" i="52077"/>
  <c r="F239" i="52093"/>
  <c r="J116" i="52093"/>
  <c r="L170" i="111"/>
  <c r="L185" i="111" s="1"/>
  <c r="L243" i="111" s="1"/>
  <c r="B169" i="52077"/>
  <c r="L169" i="52077" s="1"/>
  <c r="H169" i="52077"/>
  <c r="G185" i="52094"/>
  <c r="G243" i="52094" s="1"/>
  <c r="L170" i="52094"/>
  <c r="F233" i="52089"/>
  <c r="F62" i="52089"/>
  <c r="F233" i="148"/>
  <c r="F62" i="148"/>
  <c r="M51" i="52097"/>
  <c r="M233" i="52097" s="1"/>
  <c r="J51" i="148"/>
  <c r="J233" i="148" s="1"/>
  <c r="Q172" i="52097"/>
  <c r="C172" i="233"/>
  <c r="N172" i="52097"/>
  <c r="N85" i="52097"/>
  <c r="Q85" i="52097"/>
  <c r="C85" i="233"/>
  <c r="C233" i="52092"/>
  <c r="C62" i="52092"/>
  <c r="C53" i="52092"/>
  <c r="C54" i="52092" s="1"/>
  <c r="C225" i="52092"/>
  <c r="C218" i="52092" s="1"/>
  <c r="C62" i="52090"/>
  <c r="C233" i="52090"/>
  <c r="C225" i="52090"/>
  <c r="C53" i="52090"/>
  <c r="C54" i="52090" s="1"/>
  <c r="J78" i="52082"/>
  <c r="K109" i="52102"/>
  <c r="K131" i="52102"/>
  <c r="G153" i="52102"/>
  <c r="J153" i="52102" s="1"/>
  <c r="J240" i="52102" s="1"/>
  <c r="M142" i="52102"/>
  <c r="J147" i="52102"/>
  <c r="K147" i="52102"/>
  <c r="M147" i="52102" s="1"/>
  <c r="K169" i="52102"/>
  <c r="G184" i="52102"/>
  <c r="H99" i="110"/>
  <c r="B99" i="52102"/>
  <c r="I99" i="52102"/>
  <c r="K99" i="52102" s="1"/>
  <c r="L99" i="52100"/>
  <c r="N121" i="110"/>
  <c r="I159" i="52102"/>
  <c r="K159" i="52102" s="1"/>
  <c r="B159" i="52102"/>
  <c r="H160" i="110"/>
  <c r="L160" i="110" s="1"/>
  <c r="H160" i="52077"/>
  <c r="J160" i="52077" s="1"/>
  <c r="K161" i="111"/>
  <c r="D160" i="52077"/>
  <c r="I160" i="52077" s="1"/>
  <c r="D160" i="52076"/>
  <c r="I160" i="52076" s="1"/>
  <c r="G112" i="111"/>
  <c r="D112" i="52074"/>
  <c r="C112" i="52102"/>
  <c r="C33" i="77"/>
  <c r="L33" i="77" s="1"/>
  <c r="L32" i="77"/>
  <c r="C62" i="77"/>
  <c r="C53" i="77"/>
  <c r="C54" i="77" s="1"/>
  <c r="C233" i="77"/>
  <c r="C225" i="77"/>
  <c r="J80" i="32"/>
  <c r="L80" i="32" s="1"/>
  <c r="E86" i="52075"/>
  <c r="N86" i="111"/>
  <c r="L86" i="52080"/>
  <c r="D165" i="52077"/>
  <c r="I165" i="52077" s="1"/>
  <c r="K166" i="111"/>
  <c r="D165" i="52076"/>
  <c r="I165" i="52076" s="1"/>
  <c r="L166" i="52093"/>
  <c r="J66" i="52092"/>
  <c r="L66" i="52092" s="1"/>
  <c r="C161" i="52077"/>
  <c r="J162" i="111"/>
  <c r="K203" i="52066"/>
  <c r="B68" i="52084"/>
  <c r="H68" i="52084"/>
  <c r="J68" i="52084" s="1"/>
  <c r="B68" i="52103"/>
  <c r="M68" i="52103" s="1"/>
  <c r="F68" i="110"/>
  <c r="I150" i="52103"/>
  <c r="K150" i="52103" s="1"/>
  <c r="O28" i="110"/>
  <c r="L28" i="233" s="1"/>
  <c r="D65" i="110"/>
  <c r="D65" i="52102"/>
  <c r="L65" i="52072"/>
  <c r="E162" i="52102"/>
  <c r="B163" i="110"/>
  <c r="L163" i="32"/>
  <c r="L201" i="20"/>
  <c r="N125" i="111"/>
  <c r="E125" i="52075"/>
  <c r="L125" i="52080"/>
  <c r="G123" i="233"/>
  <c r="J123" i="233" s="1"/>
  <c r="S123" i="111"/>
  <c r="N165" i="52097"/>
  <c r="Q165" i="52097"/>
  <c r="C165" i="233"/>
  <c r="B174" i="52103"/>
  <c r="F175" i="110"/>
  <c r="B174" i="52084"/>
  <c r="H174" i="52084"/>
  <c r="I90" i="52084"/>
  <c r="B90" i="52103"/>
  <c r="B90" i="52084"/>
  <c r="F90" i="110"/>
  <c r="H90" i="52084"/>
  <c r="J90" i="52084" s="1"/>
  <c r="C126" i="110"/>
  <c r="E126" i="52103"/>
  <c r="I126" i="52103"/>
  <c r="C53" i="52080"/>
  <c r="C54" i="52080" s="1"/>
  <c r="C233" i="52080"/>
  <c r="C225" i="52080"/>
  <c r="C62" i="52080"/>
  <c r="C21" i="52098"/>
  <c r="B176" i="52104"/>
  <c r="B176" i="52076"/>
  <c r="E177" i="111"/>
  <c r="H176" i="52076"/>
  <c r="D87" i="52104"/>
  <c r="D87" i="111"/>
  <c r="B87" i="52074"/>
  <c r="H87" i="52074"/>
  <c r="Q161" i="52097"/>
  <c r="N161" i="52097"/>
  <c r="C161" i="233"/>
  <c r="F238" i="52089"/>
  <c r="F203" i="52089"/>
  <c r="F245" i="52089" s="1"/>
  <c r="G172" i="111"/>
  <c r="C171" i="52102"/>
  <c r="D171" i="52074"/>
  <c r="L172" i="52089"/>
  <c r="J67" i="52089"/>
  <c r="J249" i="52089" s="1"/>
  <c r="H185" i="52097"/>
  <c r="H243" i="52097" s="1"/>
  <c r="B85" i="52102"/>
  <c r="H85" i="110"/>
  <c r="I85" i="52102"/>
  <c r="K85" i="52102" s="1"/>
  <c r="M85" i="52102" s="1"/>
  <c r="L85" i="52100"/>
  <c r="B105" i="52102"/>
  <c r="H105" i="110"/>
  <c r="I105" i="52102"/>
  <c r="G116" i="52100"/>
  <c r="L105" i="52100"/>
  <c r="J165" i="233"/>
  <c r="K93" i="52104"/>
  <c r="C62" i="52100"/>
  <c r="C53" i="52100"/>
  <c r="C54" i="52100" s="1"/>
  <c r="C233" i="52100"/>
  <c r="C225" i="52100"/>
  <c r="L32" i="52100"/>
  <c r="C33" i="52100"/>
  <c r="L33" i="52100" s="1"/>
  <c r="I67" i="52102"/>
  <c r="K67" i="52102" s="1"/>
  <c r="B163" i="52102"/>
  <c r="H164" i="110"/>
  <c r="I163" i="52102"/>
  <c r="K163" i="52102" s="1"/>
  <c r="H152" i="48"/>
  <c r="L152" i="48" s="1"/>
  <c r="F154" i="110"/>
  <c r="F241" i="110" s="1"/>
  <c r="H81" i="93"/>
  <c r="I81" i="93"/>
  <c r="D67" i="110"/>
  <c r="D67" i="52102"/>
  <c r="M67" i="52102" s="1"/>
  <c r="K109" i="52103"/>
  <c r="E96" i="52075"/>
  <c r="N96" i="111"/>
  <c r="C94" i="52076"/>
  <c r="C94" i="52104"/>
  <c r="F94" i="111"/>
  <c r="C76" i="52077"/>
  <c r="J76" i="111"/>
  <c r="C173" i="52103"/>
  <c r="M173" i="52103" s="1"/>
  <c r="E174" i="110"/>
  <c r="C173" i="52084"/>
  <c r="L143" i="110"/>
  <c r="H83" i="52084"/>
  <c r="J83" i="52084" s="1"/>
  <c r="I83" i="52103"/>
  <c r="K83" i="52103" s="1"/>
  <c r="L93" i="111"/>
  <c r="B93" i="52077"/>
  <c r="H93" i="52077"/>
  <c r="J93" i="52077" s="1"/>
  <c r="G79" i="233"/>
  <c r="T79" i="111"/>
  <c r="C175" i="52104"/>
  <c r="F176" i="111"/>
  <c r="C175" i="52076"/>
  <c r="D93" i="52104"/>
  <c r="N93" i="52104" s="1"/>
  <c r="B93" i="52074"/>
  <c r="H93" i="52074"/>
  <c r="J93" i="52074" s="1"/>
  <c r="D93" i="111"/>
  <c r="R93" i="111" s="1"/>
  <c r="B108" i="52103"/>
  <c r="M108" i="52103" s="1"/>
  <c r="F108" i="110"/>
  <c r="B108" i="52084"/>
  <c r="H108" i="52084"/>
  <c r="J108" i="52084" s="1"/>
  <c r="F241" i="91"/>
  <c r="J241" i="91" s="1"/>
  <c r="J154" i="91"/>
  <c r="L154" i="91" s="1"/>
  <c r="L146" i="110"/>
  <c r="E87" i="52103"/>
  <c r="I87" i="52103"/>
  <c r="C87" i="110"/>
  <c r="E174" i="52102"/>
  <c r="B175" i="110"/>
  <c r="D72" i="52076"/>
  <c r="I72" i="52076" s="1"/>
  <c r="K72" i="111"/>
  <c r="D72" i="52077"/>
  <c r="I72" i="52077" s="1"/>
  <c r="L170" i="52092"/>
  <c r="G185" i="52092"/>
  <c r="G243" i="52092" s="1"/>
  <c r="J170" i="111"/>
  <c r="C169" i="52077"/>
  <c r="F243" i="52092"/>
  <c r="J185" i="52092"/>
  <c r="E107" i="52102"/>
  <c r="B107" i="110"/>
  <c r="E90" i="52075"/>
  <c r="N90" i="111"/>
  <c r="B177" i="52104"/>
  <c r="M177" i="52104" s="1"/>
  <c r="E178" i="111"/>
  <c r="B177" i="52076"/>
  <c r="H177" i="52076"/>
  <c r="B177" i="52074"/>
  <c r="D177" i="52104"/>
  <c r="D178" i="111"/>
  <c r="R178" i="111" s="1"/>
  <c r="H177" i="52074"/>
  <c r="E180" i="52075"/>
  <c r="N181" i="111"/>
  <c r="G83" i="233"/>
  <c r="J83" i="233" s="1"/>
  <c r="S83" i="111"/>
  <c r="L161" i="111"/>
  <c r="B160" i="52077"/>
  <c r="D147" i="52076"/>
  <c r="I147" i="52076" s="1"/>
  <c r="K147" i="111"/>
  <c r="D147" i="52077"/>
  <c r="I147" i="52077" s="1"/>
  <c r="D96" i="52076"/>
  <c r="I96" i="52076" s="1"/>
  <c r="K96" i="111"/>
  <c r="D96" i="52077"/>
  <c r="H96" i="52077"/>
  <c r="J96" i="52077" s="1"/>
  <c r="C78" i="52084"/>
  <c r="C78" i="52103"/>
  <c r="E78" i="110"/>
  <c r="D134" i="233"/>
  <c r="Q134" i="111"/>
  <c r="V134" i="111" s="1"/>
  <c r="C165" i="52077"/>
  <c r="J166" i="111"/>
  <c r="H103" i="148"/>
  <c r="G238" i="148"/>
  <c r="G65" i="233"/>
  <c r="J65" i="233" s="1"/>
  <c r="G170" i="52097"/>
  <c r="G185" i="52097" s="1"/>
  <c r="G243" i="52097" s="1"/>
  <c r="D170" i="52082"/>
  <c r="D185" i="52082" s="1"/>
  <c r="D243" i="52082" s="1"/>
  <c r="G185" i="101"/>
  <c r="P95" i="52097"/>
  <c r="B95" i="52097"/>
  <c r="O95" i="52097" s="1"/>
  <c r="B95" i="52082"/>
  <c r="J95" i="52082" s="1"/>
  <c r="L95" i="52082" s="1"/>
  <c r="H95" i="148"/>
  <c r="B170" i="52104"/>
  <c r="H170" i="52076"/>
  <c r="E171" i="111"/>
  <c r="B170" i="52076"/>
  <c r="B87" i="52104"/>
  <c r="H87" i="52076"/>
  <c r="B87" i="52076"/>
  <c r="E87" i="111"/>
  <c r="J66" i="52089"/>
  <c r="L66" i="52089" s="1"/>
  <c r="B111" i="111"/>
  <c r="C111" i="52075"/>
  <c r="F238" i="52079"/>
  <c r="J103" i="52079"/>
  <c r="F203" i="52079"/>
  <c r="F245" i="52079" s="1"/>
  <c r="C62" i="52087"/>
  <c r="C225" i="52087"/>
  <c r="C53" i="52087"/>
  <c r="C54" i="52087" s="1"/>
  <c r="C233" i="52087"/>
  <c r="J164" i="48"/>
  <c r="L164" i="48" s="1"/>
  <c r="J100" i="48"/>
  <c r="L100" i="48" s="1"/>
  <c r="E161" i="52075"/>
  <c r="N162" i="111"/>
  <c r="L162" i="52080"/>
  <c r="I136" i="52083"/>
  <c r="H136" i="52083"/>
  <c r="H179" i="52098"/>
  <c r="O98" i="52097"/>
  <c r="G49" i="52098"/>
  <c r="B49" i="52098"/>
  <c r="H49" i="52098" s="1"/>
  <c r="J49" i="52098" s="1"/>
  <c r="B49" i="9"/>
  <c r="G49" i="9" s="1"/>
  <c r="K49" i="52098"/>
  <c r="I175" i="52104"/>
  <c r="I64" i="52098"/>
  <c r="F103" i="21"/>
  <c r="F70" i="52098"/>
  <c r="G17" i="9"/>
  <c r="G68" i="233"/>
  <c r="J68" i="233" s="1"/>
  <c r="O81" i="52097"/>
  <c r="G174" i="9"/>
  <c r="O87" i="52097"/>
  <c r="H172" i="52083"/>
  <c r="I172" i="52083"/>
  <c r="K172" i="52083" s="1"/>
  <c r="C245" i="52100"/>
  <c r="C223" i="52100"/>
  <c r="B203" i="52100"/>
  <c r="C222" i="52100"/>
  <c r="C254" i="52100" s="1"/>
  <c r="J75" i="52102"/>
  <c r="K75" i="52102"/>
  <c r="B75" i="52102"/>
  <c r="H75" i="110"/>
  <c r="I75" i="52102"/>
  <c r="M75" i="52102" s="1"/>
  <c r="K111" i="52102"/>
  <c r="I133" i="52102"/>
  <c r="B133" i="52102"/>
  <c r="H133" i="110"/>
  <c r="G154" i="52100"/>
  <c r="J154" i="52100" s="1"/>
  <c r="B149" i="52102"/>
  <c r="I149" i="52102"/>
  <c r="K149" i="52102" s="1"/>
  <c r="H149" i="110"/>
  <c r="H161" i="110"/>
  <c r="B160" i="52102"/>
  <c r="H172" i="110"/>
  <c r="B171" i="52102"/>
  <c r="I171" i="52102"/>
  <c r="J19" i="52082"/>
  <c r="B165" i="52102"/>
  <c r="I165" i="52102"/>
  <c r="H166" i="110"/>
  <c r="L166" i="52100"/>
  <c r="N189" i="110"/>
  <c r="E189" i="233"/>
  <c r="K189" i="110"/>
  <c r="H189" i="233" s="1"/>
  <c r="I189" i="233"/>
  <c r="K189" i="233" s="1"/>
  <c r="C162" i="233"/>
  <c r="N162" i="52097"/>
  <c r="H68" i="52077"/>
  <c r="J68" i="52077" s="1"/>
  <c r="H91" i="52083"/>
  <c r="I91" i="52083"/>
  <c r="K91" i="52083" s="1"/>
  <c r="D177" i="52103"/>
  <c r="G178" i="110"/>
  <c r="D177" i="52084"/>
  <c r="C222" i="52081"/>
  <c r="C254" i="52081" s="1"/>
  <c r="C223" i="52081"/>
  <c r="B203" i="52081"/>
  <c r="C245" i="52081"/>
  <c r="M114" i="111"/>
  <c r="I114" i="52075"/>
  <c r="K114" i="52075" s="1"/>
  <c r="B114" i="52075"/>
  <c r="B116" i="52075" s="1"/>
  <c r="B237" i="52075" s="1"/>
  <c r="L114" i="52095"/>
  <c r="S180" i="111"/>
  <c r="D73" i="52103"/>
  <c r="G73" i="110"/>
  <c r="D73" i="52084"/>
  <c r="S145" i="111"/>
  <c r="I74" i="52083"/>
  <c r="K74" i="52083" s="1"/>
  <c r="H74" i="52083"/>
  <c r="J154" i="101"/>
  <c r="F241" i="101"/>
  <c r="H99" i="52083"/>
  <c r="L86" i="111"/>
  <c r="B86" i="52077"/>
  <c r="H86" i="52077"/>
  <c r="J86" i="52077" s="1"/>
  <c r="L86" i="52077" s="1"/>
  <c r="L86" i="52094"/>
  <c r="F240" i="52081"/>
  <c r="J240" i="52081" s="1"/>
  <c r="J129" i="52081"/>
  <c r="K203" i="52095"/>
  <c r="F129" i="52077"/>
  <c r="F238" i="52077" s="1"/>
  <c r="F103" i="52090"/>
  <c r="J70" i="52090"/>
  <c r="L70" i="52090" s="1"/>
  <c r="C219" i="77"/>
  <c r="C226" i="77"/>
  <c r="L149" i="111"/>
  <c r="L154" i="111" s="1"/>
  <c r="L241" i="111" s="1"/>
  <c r="H149" i="52077"/>
  <c r="J149" i="52077" s="1"/>
  <c r="B149" i="52077"/>
  <c r="L149" i="52094"/>
  <c r="N85" i="52104"/>
  <c r="M85" i="52104"/>
  <c r="I99" i="52083"/>
  <c r="K99" i="52083" s="1"/>
  <c r="B95" i="111"/>
  <c r="C95" i="52075"/>
  <c r="H95" i="114"/>
  <c r="L95" i="114" s="1"/>
  <c r="C106" i="52075"/>
  <c r="B106" i="111"/>
  <c r="H73" i="111"/>
  <c r="D73" i="52075"/>
  <c r="L73" i="52090"/>
  <c r="I148" i="52083"/>
  <c r="K148" i="52083" s="1"/>
  <c r="H148" i="52083"/>
  <c r="C78" i="52075"/>
  <c r="B78" i="111"/>
  <c r="J86" i="52082"/>
  <c r="L86" i="52082" s="1"/>
  <c r="H77" i="52083"/>
  <c r="I77" i="52083"/>
  <c r="K77" i="52083" s="1"/>
  <c r="E103" i="52097"/>
  <c r="E238" i="52097" s="1"/>
  <c r="F238" i="52087"/>
  <c r="I238" i="52087" s="1"/>
  <c r="F203" i="52087"/>
  <c r="F245" i="52087" s="1"/>
  <c r="J103" i="52087"/>
  <c r="C96" i="52104"/>
  <c r="C96" i="52076"/>
  <c r="F96" i="111"/>
  <c r="D68" i="111"/>
  <c r="H68" i="52074"/>
  <c r="J68" i="52074" s="1"/>
  <c r="D68" i="52104"/>
  <c r="N68" i="52104" s="1"/>
  <c r="B68" i="52074"/>
  <c r="B148" i="52075"/>
  <c r="M148" i="111"/>
  <c r="I148" i="52075"/>
  <c r="K68" i="52075"/>
  <c r="J77" i="52094"/>
  <c r="L77" i="111"/>
  <c r="H77" i="52077"/>
  <c r="J77" i="52077" s="1"/>
  <c r="B77" i="52077"/>
  <c r="H90" i="111"/>
  <c r="D90" i="52075"/>
  <c r="B161" i="52104"/>
  <c r="H161" i="52076"/>
  <c r="J161" i="52076" s="1"/>
  <c r="E162" i="111"/>
  <c r="B161" i="52076"/>
  <c r="B160" i="52074"/>
  <c r="D160" i="52104"/>
  <c r="M160" i="52104" s="1"/>
  <c r="D161" i="111"/>
  <c r="R161" i="111" s="1"/>
  <c r="H160" i="52074"/>
  <c r="J160" i="52074" s="1"/>
  <c r="D72" i="52104"/>
  <c r="D72" i="111"/>
  <c r="B72" i="52074"/>
  <c r="H72" i="52074"/>
  <c r="J72" i="52074" s="1"/>
  <c r="I170" i="52083"/>
  <c r="K170" i="52083" s="1"/>
  <c r="H170" i="52083"/>
  <c r="C154" i="52097"/>
  <c r="C241" i="52097" s="1"/>
  <c r="L64" i="77"/>
  <c r="F238" i="77"/>
  <c r="F203" i="77"/>
  <c r="D95" i="111"/>
  <c r="H95" i="20"/>
  <c r="L95" i="20" s="1"/>
  <c r="B95" i="52074"/>
  <c r="D95" i="52104"/>
  <c r="F203" i="52071"/>
  <c r="J141" i="52074"/>
  <c r="G154" i="20"/>
  <c r="H134" i="52083"/>
  <c r="I134" i="52083"/>
  <c r="F239" i="52067"/>
  <c r="I239" i="52067" s="1"/>
  <c r="J116" i="52067"/>
  <c r="I116" i="52067"/>
  <c r="C100" i="233"/>
  <c r="N100" i="52097"/>
  <c r="H162" i="52083"/>
  <c r="I162" i="52083"/>
  <c r="K162" i="52083" s="1"/>
  <c r="R152" i="111"/>
  <c r="F103" i="52097"/>
  <c r="I239" i="148"/>
  <c r="M118" i="52103"/>
  <c r="I70" i="77"/>
  <c r="E103" i="52076"/>
  <c r="E238" i="12"/>
  <c r="I238" i="12" s="1"/>
  <c r="E203" i="12"/>
  <c r="I103" i="12"/>
  <c r="E237" i="52077"/>
  <c r="J131" i="52103"/>
  <c r="M131" i="52103" s="1"/>
  <c r="I241" i="52066"/>
  <c r="V8" i="111"/>
  <c r="I168" i="52067"/>
  <c r="J177" i="233"/>
  <c r="J183" i="233"/>
  <c r="F21" i="233"/>
  <c r="I249" i="52091"/>
  <c r="L67" i="52091"/>
  <c r="D243" i="9"/>
  <c r="H201" i="9"/>
  <c r="E62" i="52071"/>
  <c r="E233" i="52071"/>
  <c r="I51" i="52071"/>
  <c r="I233" i="52071" s="1"/>
  <c r="G51" i="52082"/>
  <c r="G233" i="52082" s="1"/>
  <c r="K21" i="52082"/>
  <c r="J192" i="233"/>
  <c r="J85" i="52102"/>
  <c r="E238" i="32"/>
  <c r="I103" i="32"/>
  <c r="E203" i="32"/>
  <c r="E242" i="52098"/>
  <c r="J144" i="52102"/>
  <c r="M144" i="52102" s="1"/>
  <c r="J111" i="233"/>
  <c r="I70" i="48"/>
  <c r="I239" i="48"/>
  <c r="J99" i="52102"/>
  <c r="I240" i="52066"/>
  <c r="E238" i="52095"/>
  <c r="I238" i="52095" s="1"/>
  <c r="I103" i="52095"/>
  <c r="E203" i="52095"/>
  <c r="S79" i="111"/>
  <c r="V79" i="111" s="1"/>
  <c r="J16" i="233"/>
  <c r="I201" i="52071"/>
  <c r="E62" i="21"/>
  <c r="E53" i="21"/>
  <c r="I51" i="21"/>
  <c r="I233" i="21" s="1"/>
  <c r="E233" i="21"/>
  <c r="E238" i="20"/>
  <c r="E203" i="20"/>
  <c r="E233" i="52087"/>
  <c r="I51" i="52087"/>
  <c r="I233" i="52087" s="1"/>
  <c r="E62" i="52087"/>
  <c r="I201" i="115"/>
  <c r="L201" i="115" s="1"/>
  <c r="J90" i="52102"/>
  <c r="J200" i="52103"/>
  <c r="F70" i="233"/>
  <c r="J119" i="52103"/>
  <c r="M119" i="52103" s="1"/>
  <c r="J149" i="52102"/>
  <c r="J100" i="52102"/>
  <c r="M157" i="52104"/>
  <c r="F241" i="52089"/>
  <c r="J154" i="52089"/>
  <c r="G154" i="111"/>
  <c r="G241" i="111" s="1"/>
  <c r="D153" i="52074"/>
  <c r="D239" i="52074" s="1"/>
  <c r="O141" i="52097"/>
  <c r="O145" i="52097"/>
  <c r="O175" i="52097"/>
  <c r="G239" i="52087"/>
  <c r="J239" i="52087" s="1"/>
  <c r="H116" i="52087"/>
  <c r="E116" i="52097"/>
  <c r="E239" i="52097" s="1"/>
  <c r="B86" i="233"/>
  <c r="F86" i="9"/>
  <c r="O164" i="52097"/>
  <c r="G139" i="233"/>
  <c r="K139" i="233" s="1"/>
  <c r="G171" i="233"/>
  <c r="J171" i="233" s="1"/>
  <c r="G68" i="9"/>
  <c r="H68" i="52098"/>
  <c r="J68" i="52098" s="1"/>
  <c r="L67" i="32"/>
  <c r="E80" i="111"/>
  <c r="B80" i="52076"/>
  <c r="B80" i="52104"/>
  <c r="H80" i="52076"/>
  <c r="L80" i="12"/>
  <c r="H170" i="52074"/>
  <c r="J170" i="52074" s="1"/>
  <c r="E170" i="52104"/>
  <c r="C171" i="111"/>
  <c r="I170" i="52104"/>
  <c r="K170" i="52104" s="1"/>
  <c r="M170" i="52104" s="1"/>
  <c r="C170" i="52074"/>
  <c r="B164" i="111"/>
  <c r="C163" i="52075"/>
  <c r="K83" i="111"/>
  <c r="D83" i="52077"/>
  <c r="I83" i="52077" s="1"/>
  <c r="D83" i="52076"/>
  <c r="I83" i="52076" s="1"/>
  <c r="L83" i="52093"/>
  <c r="G167" i="52103"/>
  <c r="G240" i="52103" s="1"/>
  <c r="J70" i="110"/>
  <c r="J103" i="110" s="1"/>
  <c r="B64" i="110"/>
  <c r="G70" i="32"/>
  <c r="G103" i="32" s="1"/>
  <c r="E64" i="52102"/>
  <c r="H175" i="52077"/>
  <c r="B175" i="52077"/>
  <c r="L176" i="111"/>
  <c r="L176" i="52094"/>
  <c r="R12" i="111"/>
  <c r="E77" i="52102"/>
  <c r="B77" i="110"/>
  <c r="L77" i="32"/>
  <c r="F62" i="52066"/>
  <c r="F233" i="52066"/>
  <c r="H171" i="52083"/>
  <c r="I171" i="52083"/>
  <c r="O10" i="52097"/>
  <c r="G241" i="52064"/>
  <c r="J241" i="52064" s="1"/>
  <c r="H154" i="52064"/>
  <c r="C153" i="52098"/>
  <c r="C240" i="52098" s="1"/>
  <c r="H133" i="52098"/>
  <c r="G91" i="233"/>
  <c r="J91" i="233" s="1"/>
  <c r="J181" i="52082"/>
  <c r="E12" i="233"/>
  <c r="K12" i="110"/>
  <c r="D150" i="110"/>
  <c r="D150" i="52102"/>
  <c r="L150" i="52072"/>
  <c r="M78" i="111"/>
  <c r="I78" i="52075"/>
  <c r="B78" i="52075"/>
  <c r="L78" i="52095"/>
  <c r="C148" i="52084"/>
  <c r="E148" i="110"/>
  <c r="C148" i="52103"/>
  <c r="L148" i="52066"/>
  <c r="C90" i="52103"/>
  <c r="E90" i="110"/>
  <c r="C90" i="52084"/>
  <c r="L90" i="52066"/>
  <c r="J186" i="52084"/>
  <c r="F200" i="52084"/>
  <c r="J200" i="52084" s="1"/>
  <c r="H67" i="52084"/>
  <c r="J67" i="52084" s="1"/>
  <c r="B67" i="52103"/>
  <c r="F67" i="110"/>
  <c r="B67" i="52084"/>
  <c r="L67" i="48"/>
  <c r="C101" i="110"/>
  <c r="I101" i="52103"/>
  <c r="E101" i="52103"/>
  <c r="L101" i="91"/>
  <c r="J110" i="52080"/>
  <c r="L110" i="52080" s="1"/>
  <c r="L173" i="111"/>
  <c r="B172" i="52077"/>
  <c r="L172" i="52077" s="1"/>
  <c r="H172" i="52077"/>
  <c r="J172" i="52077" s="1"/>
  <c r="L173" i="52094"/>
  <c r="H72" i="52076"/>
  <c r="N72" i="52104"/>
  <c r="C93" i="52103"/>
  <c r="E93" i="110"/>
  <c r="C93" i="52084"/>
  <c r="B176" i="52103"/>
  <c r="M176" i="52103" s="1"/>
  <c r="B176" i="52084"/>
  <c r="F177" i="110"/>
  <c r="H176" i="52084"/>
  <c r="F233" i="48"/>
  <c r="F62" i="48"/>
  <c r="J51" i="48"/>
  <c r="J233" i="48" s="1"/>
  <c r="F243" i="91"/>
  <c r="J185" i="91"/>
  <c r="L185" i="91" s="1"/>
  <c r="F241" i="52080"/>
  <c r="J154" i="52080"/>
  <c r="H152" i="52080"/>
  <c r="L152" i="52080" s="1"/>
  <c r="D160" i="52102"/>
  <c r="D161" i="110"/>
  <c r="C114" i="110"/>
  <c r="E114" i="52103"/>
  <c r="I114" i="52103"/>
  <c r="N158" i="110"/>
  <c r="E81" i="52102"/>
  <c r="B81" i="110"/>
  <c r="D165" i="110"/>
  <c r="L165" i="110" s="1"/>
  <c r="D164" i="52102"/>
  <c r="C182" i="52103"/>
  <c r="M182" i="52103" s="1"/>
  <c r="E183" i="110"/>
  <c r="C182" i="52084"/>
  <c r="C171" i="52077"/>
  <c r="J172" i="111"/>
  <c r="M134" i="52103"/>
  <c r="S93" i="111"/>
  <c r="I76" i="52075"/>
  <c r="K76" i="52075" s="1"/>
  <c r="L75" i="111"/>
  <c r="B75" i="52077"/>
  <c r="H75" i="52077"/>
  <c r="B93" i="52103"/>
  <c r="M93" i="52103" s="1"/>
  <c r="B93" i="52084"/>
  <c r="F93" i="110"/>
  <c r="H93" i="52084"/>
  <c r="B126" i="52075"/>
  <c r="I126" i="52075"/>
  <c r="M126" i="111"/>
  <c r="C164" i="52077"/>
  <c r="J165" i="111"/>
  <c r="F51" i="52091"/>
  <c r="J21" i="52091"/>
  <c r="B116" i="52097"/>
  <c r="B239" i="52097" s="1"/>
  <c r="O107" i="52097"/>
  <c r="B124" i="233"/>
  <c r="F124" i="9"/>
  <c r="D73" i="110"/>
  <c r="D73" i="52102"/>
  <c r="C174" i="111"/>
  <c r="R174" i="111" s="1"/>
  <c r="C173" i="52074"/>
  <c r="E173" i="52104"/>
  <c r="I173" i="52104"/>
  <c r="H163" i="111"/>
  <c r="D162" i="52075"/>
  <c r="G156" i="52072"/>
  <c r="H79" i="52072"/>
  <c r="L79" i="52072" s="1"/>
  <c r="G51" i="52072"/>
  <c r="G30" i="52072"/>
  <c r="H49" i="52072"/>
  <c r="L49" i="52072" s="1"/>
  <c r="N21" i="111"/>
  <c r="N51" i="111" s="1"/>
  <c r="N233" i="111" s="1"/>
  <c r="G30" i="52090"/>
  <c r="G35" i="52090" s="1"/>
  <c r="G156" i="52090"/>
  <c r="G95" i="52090"/>
  <c r="H79" i="52090"/>
  <c r="L79" i="52090" s="1"/>
  <c r="H49" i="52090"/>
  <c r="L49" i="52090" s="1"/>
  <c r="G51" i="52090"/>
  <c r="J21" i="52090"/>
  <c r="L21" i="52090" s="1"/>
  <c r="F243" i="77"/>
  <c r="J185" i="77"/>
  <c r="I185" i="77"/>
  <c r="L185" i="77" s="1"/>
  <c r="F107" i="111"/>
  <c r="C107" i="52076"/>
  <c r="C107" i="52104"/>
  <c r="G195" i="233"/>
  <c r="K195" i="233" s="1"/>
  <c r="F176" i="9"/>
  <c r="B176" i="233"/>
  <c r="E21" i="52097"/>
  <c r="B96" i="52084"/>
  <c r="I96" i="52103"/>
  <c r="B96" i="52103"/>
  <c r="M96" i="52103" s="1"/>
  <c r="H96" i="52084"/>
  <c r="J96" i="52084" s="1"/>
  <c r="F96" i="110"/>
  <c r="L96" i="110" s="1"/>
  <c r="N96" i="110" s="1"/>
  <c r="E109" i="52075"/>
  <c r="N109" i="111"/>
  <c r="G156" i="115"/>
  <c r="G51" i="115"/>
  <c r="L51" i="115" s="1"/>
  <c r="H49" i="115"/>
  <c r="L49" i="115" s="1"/>
  <c r="H79" i="115"/>
  <c r="L79" i="115" s="1"/>
  <c r="G30" i="115"/>
  <c r="F62" i="115"/>
  <c r="F233" i="115"/>
  <c r="J51" i="115"/>
  <c r="J233" i="115" s="1"/>
  <c r="C225" i="12"/>
  <c r="C53" i="12"/>
  <c r="C54" i="12" s="1"/>
  <c r="C62" i="12"/>
  <c r="C233" i="12"/>
  <c r="G140" i="233"/>
  <c r="J140" i="233" s="1"/>
  <c r="J94" i="52082"/>
  <c r="D78" i="52104"/>
  <c r="D78" i="111"/>
  <c r="B78" i="52074"/>
  <c r="H78" i="52074"/>
  <c r="J78" i="52074" s="1"/>
  <c r="G87" i="233"/>
  <c r="B87" i="233"/>
  <c r="F87" i="9"/>
  <c r="E198" i="233"/>
  <c r="I198" i="233"/>
  <c r="K198" i="233" s="1"/>
  <c r="K198" i="110"/>
  <c r="H198" i="233" s="1"/>
  <c r="G84" i="233"/>
  <c r="J84" i="233" s="1"/>
  <c r="G188" i="233"/>
  <c r="K188" i="233" s="1"/>
  <c r="E153" i="52083"/>
  <c r="E240" i="52083" s="1"/>
  <c r="D154" i="52097"/>
  <c r="D241" i="52097" s="1"/>
  <c r="D133" i="52102"/>
  <c r="D133" i="110"/>
  <c r="G154" i="52072"/>
  <c r="K141" i="52103"/>
  <c r="M141" i="52103" s="1"/>
  <c r="H133" i="52077"/>
  <c r="H153" i="52077" s="1"/>
  <c r="K133" i="111"/>
  <c r="D133" i="52077"/>
  <c r="D133" i="52076"/>
  <c r="H133" i="52076"/>
  <c r="G154" i="52093"/>
  <c r="L133" i="52093"/>
  <c r="F239" i="32"/>
  <c r="E105" i="52102"/>
  <c r="B105" i="110"/>
  <c r="G116" i="32"/>
  <c r="R19" i="111"/>
  <c r="D101" i="52104"/>
  <c r="B101" i="52074"/>
  <c r="D101" i="111"/>
  <c r="H101" i="52074"/>
  <c r="L101" i="20"/>
  <c r="F166" i="110"/>
  <c r="B165" i="52103"/>
  <c r="B165" i="52084"/>
  <c r="H165" i="52084"/>
  <c r="L166" i="48"/>
  <c r="J105" i="52084"/>
  <c r="F116" i="52084"/>
  <c r="F202" i="52084" s="1"/>
  <c r="F243" i="52084" s="1"/>
  <c r="F200" i="52076"/>
  <c r="C125" i="111"/>
  <c r="R125" i="111" s="1"/>
  <c r="C125" i="52074"/>
  <c r="H125" i="52074"/>
  <c r="I125" i="52104"/>
  <c r="E125" i="52104"/>
  <c r="L125" i="115"/>
  <c r="K21" i="111"/>
  <c r="K51" i="111" s="1"/>
  <c r="K233" i="111" s="1"/>
  <c r="B77" i="52103"/>
  <c r="B77" i="52084"/>
  <c r="F77" i="110"/>
  <c r="H77" i="52084"/>
  <c r="J77" i="52084" s="1"/>
  <c r="L77" i="48"/>
  <c r="J166" i="52082"/>
  <c r="G238" i="52064"/>
  <c r="H103" i="52064"/>
  <c r="G66" i="9"/>
  <c r="C70" i="9"/>
  <c r="C169" i="52075"/>
  <c r="C184" i="52075" s="1"/>
  <c r="C241" i="52075" s="1"/>
  <c r="B170" i="111"/>
  <c r="G185" i="114"/>
  <c r="G243" i="114" s="1"/>
  <c r="J243" i="114" s="1"/>
  <c r="L170" i="114"/>
  <c r="B67" i="233"/>
  <c r="F67" i="9"/>
  <c r="G239" i="52079"/>
  <c r="H116" i="52079"/>
  <c r="O126" i="52097"/>
  <c r="G160" i="233"/>
  <c r="J160" i="233" s="1"/>
  <c r="C33" i="52094"/>
  <c r="L32" i="52094"/>
  <c r="C233" i="52094"/>
  <c r="C225" i="52094"/>
  <c r="C62" i="52094"/>
  <c r="C53" i="52094"/>
  <c r="C54" i="52094" s="1"/>
  <c r="I92" i="52083"/>
  <c r="B77" i="233"/>
  <c r="F77" i="9"/>
  <c r="F241" i="52091"/>
  <c r="J241" i="52091" s="1"/>
  <c r="J154" i="52091"/>
  <c r="G178" i="111"/>
  <c r="D177" i="52074"/>
  <c r="C177" i="52102"/>
  <c r="J185" i="108"/>
  <c r="F243" i="108"/>
  <c r="J243" i="108" s="1"/>
  <c r="H126" i="52083"/>
  <c r="O18" i="52097"/>
  <c r="H12" i="52098"/>
  <c r="F243" i="52071"/>
  <c r="J243" i="52071" s="1"/>
  <c r="J185" i="52071"/>
  <c r="C21" i="52083"/>
  <c r="B173" i="52102"/>
  <c r="H174" i="110"/>
  <c r="I173" i="52102"/>
  <c r="L174" i="52100"/>
  <c r="Q105" i="52097"/>
  <c r="M116" i="52097"/>
  <c r="P105" i="52097"/>
  <c r="D21" i="52097"/>
  <c r="J21" i="108"/>
  <c r="H95" i="52100"/>
  <c r="B95" i="52102"/>
  <c r="H95" i="110"/>
  <c r="L95" i="52100"/>
  <c r="H136" i="110"/>
  <c r="L136" i="110" s="1"/>
  <c r="I136" i="52102"/>
  <c r="B136" i="52102"/>
  <c r="M136" i="52102" s="1"/>
  <c r="F242" i="52100"/>
  <c r="G149" i="233"/>
  <c r="J149" i="233" s="1"/>
  <c r="H200" i="93"/>
  <c r="K46" i="52096"/>
  <c r="J108" i="52081"/>
  <c r="B107" i="52103"/>
  <c r="M107" i="52103" s="1"/>
  <c r="B107" i="52084"/>
  <c r="B116" i="52084" s="1"/>
  <c r="B237" i="52084" s="1"/>
  <c r="F107" i="110"/>
  <c r="H107" i="52084"/>
  <c r="N170" i="110"/>
  <c r="J185" i="110"/>
  <c r="F242" i="52072"/>
  <c r="I242" i="52072" s="1"/>
  <c r="D101" i="110"/>
  <c r="D101" i="52102"/>
  <c r="L138" i="110"/>
  <c r="I151" i="52103"/>
  <c r="M151" i="52103" s="1"/>
  <c r="C174" i="52104"/>
  <c r="C174" i="52076"/>
  <c r="F175" i="111"/>
  <c r="H175" i="52074"/>
  <c r="B175" i="52074"/>
  <c r="D176" i="111"/>
  <c r="R176" i="111" s="1"/>
  <c r="D175" i="52104"/>
  <c r="C21" i="52074"/>
  <c r="C51" i="52074" s="1"/>
  <c r="C231" i="52074" s="1"/>
  <c r="I173" i="52077"/>
  <c r="J147" i="52066"/>
  <c r="L147" i="52066" s="1"/>
  <c r="E80" i="110"/>
  <c r="C80" i="52084"/>
  <c r="C80" i="52103"/>
  <c r="L80" i="52066"/>
  <c r="B180" i="52103"/>
  <c r="H180" i="52084"/>
  <c r="B180" i="52084"/>
  <c r="F181" i="110"/>
  <c r="L181" i="48"/>
  <c r="B98" i="52103"/>
  <c r="F98" i="110"/>
  <c r="B98" i="52084"/>
  <c r="H98" i="52084"/>
  <c r="L98" i="48"/>
  <c r="C172" i="110"/>
  <c r="I171" i="52103"/>
  <c r="E171" i="52103"/>
  <c r="M171" i="52103" s="1"/>
  <c r="L21" i="20"/>
  <c r="K203" i="52072"/>
  <c r="K10" i="110"/>
  <c r="E10" i="233"/>
  <c r="E126" i="52102"/>
  <c r="B126" i="110"/>
  <c r="D72" i="52102"/>
  <c r="D72" i="110"/>
  <c r="G30" i="52095"/>
  <c r="L30" i="52095" s="1"/>
  <c r="G156" i="52095"/>
  <c r="J21" i="52095"/>
  <c r="H49" i="52095"/>
  <c r="L49" i="52095" s="1"/>
  <c r="L21" i="52095"/>
  <c r="H79" i="52095"/>
  <c r="L79" i="52095" s="1"/>
  <c r="G51" i="52095"/>
  <c r="B21" i="52075"/>
  <c r="B51" i="52075" s="1"/>
  <c r="B231" i="52075" s="1"/>
  <c r="F241" i="52092"/>
  <c r="I241" i="52092" s="1"/>
  <c r="J154" i="52092"/>
  <c r="H152" i="52092"/>
  <c r="L152" i="52092" s="1"/>
  <c r="I98" i="52075"/>
  <c r="K103" i="52091"/>
  <c r="K203" i="52091" s="1"/>
  <c r="B103" i="52091"/>
  <c r="C238" i="52091"/>
  <c r="C203" i="52091"/>
  <c r="M180" i="52104"/>
  <c r="B21" i="52074"/>
  <c r="J150" i="32"/>
  <c r="L150" i="32" s="1"/>
  <c r="J91" i="52080"/>
  <c r="L91" i="52080" s="1"/>
  <c r="B173" i="52075"/>
  <c r="M174" i="111"/>
  <c r="I173" i="52075"/>
  <c r="L123" i="52077"/>
  <c r="J64" i="111"/>
  <c r="J70" i="111" s="1"/>
  <c r="C64" i="52077"/>
  <c r="C70" i="52077" s="1"/>
  <c r="G70" i="52092"/>
  <c r="L64" i="52092"/>
  <c r="B111" i="52104"/>
  <c r="M111" i="52104" s="1"/>
  <c r="H111" i="52076"/>
  <c r="J111" i="52076" s="1"/>
  <c r="E111" i="111"/>
  <c r="B111" i="52076"/>
  <c r="L111" i="12"/>
  <c r="J176" i="52082"/>
  <c r="C223" i="52079"/>
  <c r="C222" i="52079"/>
  <c r="C254" i="52079" s="1"/>
  <c r="C253" i="52083" s="1"/>
  <c r="C245" i="52079"/>
  <c r="B203" i="52079"/>
  <c r="G238" i="52079"/>
  <c r="J238" i="52079" s="1"/>
  <c r="H103" i="52079"/>
  <c r="C103" i="52083"/>
  <c r="C237" i="52083" s="1"/>
  <c r="O181" i="52097"/>
  <c r="C233" i="52088"/>
  <c r="C225" i="52088"/>
  <c r="C53" i="52088"/>
  <c r="C54" i="52088" s="1"/>
  <c r="C62" i="52088"/>
  <c r="I185" i="52089"/>
  <c r="F243" i="52089"/>
  <c r="D169" i="52074"/>
  <c r="D184" i="52074" s="1"/>
  <c r="D241" i="52074" s="1"/>
  <c r="C169" i="52102"/>
  <c r="G170" i="111"/>
  <c r="G185" i="52089"/>
  <c r="G243" i="52089" s="1"/>
  <c r="L170" i="52089"/>
  <c r="E105" i="52075"/>
  <c r="E116" i="52075" s="1"/>
  <c r="E237" i="52075" s="1"/>
  <c r="N105" i="111"/>
  <c r="L105" i="52080"/>
  <c r="I176" i="52083"/>
  <c r="H176" i="52083"/>
  <c r="F239" i="21"/>
  <c r="I239" i="21" s="1"/>
  <c r="F116" i="52098"/>
  <c r="J116" i="21"/>
  <c r="C171" i="52075"/>
  <c r="B172" i="111"/>
  <c r="L172" i="114"/>
  <c r="B203" i="20"/>
  <c r="C222" i="20"/>
  <c r="C254" i="20" s="1"/>
  <c r="C245" i="20"/>
  <c r="C223" i="20"/>
  <c r="H180" i="52083"/>
  <c r="I180" i="52083"/>
  <c r="B101" i="111"/>
  <c r="R101" i="111" s="1"/>
  <c r="C101" i="52075"/>
  <c r="G113" i="233"/>
  <c r="T113" i="111"/>
  <c r="S113" i="111"/>
  <c r="V113" i="111"/>
  <c r="J82" i="52089"/>
  <c r="L82" i="52089" s="1"/>
  <c r="H49" i="12"/>
  <c r="L49" i="12" s="1"/>
  <c r="G30" i="12"/>
  <c r="G51" i="12"/>
  <c r="G156" i="12"/>
  <c r="H79" i="12"/>
  <c r="L79" i="12" s="1"/>
  <c r="J21" i="12"/>
  <c r="L21" i="12" s="1"/>
  <c r="J9" i="52076"/>
  <c r="H21" i="52076"/>
  <c r="H51" i="52076" s="1"/>
  <c r="H232" i="52076" s="1"/>
  <c r="O134" i="52097"/>
  <c r="G126" i="233"/>
  <c r="H86" i="52098"/>
  <c r="J86" i="52098" s="1"/>
  <c r="G241" i="52071"/>
  <c r="J241" i="52071" s="1"/>
  <c r="H154" i="52071"/>
  <c r="D21" i="52083"/>
  <c r="B126" i="52102"/>
  <c r="I126" i="52102"/>
  <c r="H126" i="110"/>
  <c r="L126" i="52100"/>
  <c r="B137" i="52102"/>
  <c r="H137" i="110"/>
  <c r="I137" i="52102"/>
  <c r="L137" i="52100"/>
  <c r="O150" i="52097"/>
  <c r="G96" i="233"/>
  <c r="J96" i="233" s="1"/>
  <c r="L142" i="110"/>
  <c r="C226" i="52100"/>
  <c r="C219" i="52100"/>
  <c r="B150" i="52102"/>
  <c r="H150" i="110"/>
  <c r="I150" i="52102"/>
  <c r="K150" i="52102" s="1"/>
  <c r="L150" i="52100"/>
  <c r="B172" i="52102"/>
  <c r="H173" i="110"/>
  <c r="I172" i="52102"/>
  <c r="K172" i="52102" s="1"/>
  <c r="L173" i="52100"/>
  <c r="B180" i="52102"/>
  <c r="H181" i="110"/>
  <c r="I180" i="52102"/>
  <c r="K193" i="110"/>
  <c r="H193" i="233" s="1"/>
  <c r="E193" i="233"/>
  <c r="I193" i="233"/>
  <c r="K193" i="233" s="1"/>
  <c r="H84" i="52083"/>
  <c r="D96" i="52104"/>
  <c r="N96" i="52104" s="1"/>
  <c r="B96" i="52074"/>
  <c r="D96" i="111"/>
  <c r="H96" i="52074"/>
  <c r="J96" i="52074" s="1"/>
  <c r="C77" i="52104"/>
  <c r="N77" i="52104" s="1"/>
  <c r="F77" i="111"/>
  <c r="R77" i="111" s="1"/>
  <c r="C77" i="52076"/>
  <c r="L147" i="52077"/>
  <c r="K131" i="52075"/>
  <c r="G153" i="52075"/>
  <c r="H152" i="52095"/>
  <c r="L152" i="52095" s="1"/>
  <c r="B153" i="52075"/>
  <c r="B239" i="52075" s="1"/>
  <c r="J118" i="52074"/>
  <c r="F129" i="52074"/>
  <c r="I118" i="52074"/>
  <c r="G85" i="233"/>
  <c r="J85" i="233" s="1"/>
  <c r="S85" i="111"/>
  <c r="I99" i="52075"/>
  <c r="K99" i="52075" s="1"/>
  <c r="H99" i="111"/>
  <c r="D99" i="52075"/>
  <c r="S84" i="111"/>
  <c r="F238" i="101"/>
  <c r="J103" i="101"/>
  <c r="F203" i="101"/>
  <c r="F245" i="101" s="1"/>
  <c r="G103" i="52083"/>
  <c r="J86" i="52075"/>
  <c r="K86" i="52075"/>
  <c r="L105" i="111"/>
  <c r="B105" i="52077"/>
  <c r="H105" i="52077"/>
  <c r="G116" i="52094"/>
  <c r="J116" i="52094" s="1"/>
  <c r="L105" i="52094"/>
  <c r="J67" i="52095"/>
  <c r="J249" i="52095" s="1"/>
  <c r="B67" i="52075"/>
  <c r="I67" i="52075"/>
  <c r="K67" i="52075" s="1"/>
  <c r="M67" i="111"/>
  <c r="B83" i="52077"/>
  <c r="L83" i="111"/>
  <c r="R83" i="111" s="1"/>
  <c r="H83" i="52077"/>
  <c r="J83" i="52077" s="1"/>
  <c r="D82" i="52104"/>
  <c r="N82" i="52104" s="1"/>
  <c r="B82" i="52074"/>
  <c r="D82" i="111"/>
  <c r="R82" i="111" s="1"/>
  <c r="H82" i="52074"/>
  <c r="J82" i="52074" s="1"/>
  <c r="J67" i="52104"/>
  <c r="F242" i="114"/>
  <c r="I242" i="114" s="1"/>
  <c r="J168" i="114"/>
  <c r="L99" i="111"/>
  <c r="B99" i="52077"/>
  <c r="L99" i="52077" s="1"/>
  <c r="H99" i="52077"/>
  <c r="J99" i="52077" s="1"/>
  <c r="L99" i="52094"/>
  <c r="C179" i="52104"/>
  <c r="F180" i="111"/>
  <c r="C179" i="52076"/>
  <c r="J77" i="114"/>
  <c r="L77" i="114" s="1"/>
  <c r="F238" i="114"/>
  <c r="F203" i="114"/>
  <c r="F241" i="114"/>
  <c r="J241" i="114" s="1"/>
  <c r="J154" i="114"/>
  <c r="L154" i="114" s="1"/>
  <c r="R141" i="111"/>
  <c r="C97" i="52104"/>
  <c r="N97" i="52104" s="1"/>
  <c r="C97" i="52076"/>
  <c r="F97" i="111"/>
  <c r="J100" i="12"/>
  <c r="L100" i="12" s="1"/>
  <c r="B100" i="52076"/>
  <c r="E100" i="111"/>
  <c r="H100" i="52076"/>
  <c r="J100" i="52076" s="1"/>
  <c r="B100" i="52104"/>
  <c r="B64" i="52104"/>
  <c r="E64" i="111"/>
  <c r="B64" i="52076"/>
  <c r="B70" i="52076" s="1"/>
  <c r="B103" i="52076" s="1"/>
  <c r="B237" i="52076" s="1"/>
  <c r="G70" i="12"/>
  <c r="D73" i="111"/>
  <c r="R73" i="111" s="1"/>
  <c r="B73" i="52074"/>
  <c r="D73" i="52104"/>
  <c r="H73" i="20"/>
  <c r="L73" i="20" s="1"/>
  <c r="H73" i="52074"/>
  <c r="J73" i="52074" s="1"/>
  <c r="N142" i="52104"/>
  <c r="H152" i="12"/>
  <c r="L152" i="12" s="1"/>
  <c r="M146" i="52104"/>
  <c r="C223" i="115"/>
  <c r="C245" i="115"/>
  <c r="C222" i="115"/>
  <c r="C254" i="115" s="1"/>
  <c r="B203" i="115"/>
  <c r="H94" i="52083"/>
  <c r="I150" i="52104"/>
  <c r="K150" i="52104" s="1"/>
  <c r="F153" i="52077"/>
  <c r="F239" i="52077" s="1"/>
  <c r="B72" i="111"/>
  <c r="R72" i="111" s="1"/>
  <c r="C72" i="52075"/>
  <c r="L72" i="114"/>
  <c r="H143" i="52083"/>
  <c r="H144" i="52083"/>
  <c r="I144" i="52083"/>
  <c r="K144" i="52083" s="1"/>
  <c r="M66" i="52104"/>
  <c r="B150" i="52104"/>
  <c r="N150" i="52104" s="1"/>
  <c r="B150" i="52076"/>
  <c r="B153" i="52076" s="1"/>
  <c r="B240" i="52076" s="1"/>
  <c r="H150" i="52076"/>
  <c r="J150" i="52076" s="1"/>
  <c r="E150" i="111"/>
  <c r="E154" i="111" s="1"/>
  <c r="E241" i="111" s="1"/>
  <c r="D148" i="52104"/>
  <c r="M148" i="52104" s="1"/>
  <c r="B148" i="52074"/>
  <c r="B153" i="52074" s="1"/>
  <c r="B239" i="52074" s="1"/>
  <c r="H148" i="52074"/>
  <c r="H153" i="52074" s="1"/>
  <c r="H239" i="52074" s="1"/>
  <c r="D148" i="111"/>
  <c r="R148" i="111" s="1"/>
  <c r="C84" i="52104"/>
  <c r="N84" i="52104" s="1"/>
  <c r="F84" i="111"/>
  <c r="R84" i="111" s="1"/>
  <c r="C84" i="52076"/>
  <c r="F167" i="52074"/>
  <c r="I100" i="52104"/>
  <c r="K100" i="52104" s="1"/>
  <c r="O90" i="52097"/>
  <c r="J66" i="233"/>
  <c r="E238" i="114"/>
  <c r="I238" i="114" s="1"/>
  <c r="I103" i="114"/>
  <c r="E203" i="114"/>
  <c r="I168" i="12"/>
  <c r="F240" i="52075"/>
  <c r="L131" i="52077"/>
  <c r="I154" i="52094"/>
  <c r="M121" i="110"/>
  <c r="I154" i="52093"/>
  <c r="I103" i="52081"/>
  <c r="E203" i="52081"/>
  <c r="E238" i="52081"/>
  <c r="P116" i="52097"/>
  <c r="P239" i="52097" s="1"/>
  <c r="L239" i="52097"/>
  <c r="L241" i="52097"/>
  <c r="P154" i="52097"/>
  <c r="P241" i="52097" s="1"/>
  <c r="J86" i="52104"/>
  <c r="I129" i="52091"/>
  <c r="E238" i="52076"/>
  <c r="I185" i="101"/>
  <c r="M189" i="52103"/>
  <c r="I154" i="52095"/>
  <c r="I168" i="52080"/>
  <c r="J172" i="52102"/>
  <c r="E62" i="115"/>
  <c r="E233" i="115"/>
  <c r="I51" i="115"/>
  <c r="I233" i="115" s="1"/>
  <c r="J107" i="233"/>
  <c r="F116" i="233"/>
  <c r="I243" i="105"/>
  <c r="J126" i="233"/>
  <c r="I243" i="114"/>
  <c r="S149" i="111"/>
  <c r="J72" i="52104"/>
  <c r="M72" i="52104" s="1"/>
  <c r="F103" i="52103"/>
  <c r="E238" i="52091"/>
  <c r="E203" i="52091"/>
  <c r="J160" i="52103"/>
  <c r="I243" i="108"/>
  <c r="M125" i="110"/>
  <c r="I240" i="110"/>
  <c r="M109" i="110"/>
  <c r="J96" i="52075"/>
  <c r="L68" i="52090"/>
  <c r="I242" i="20"/>
  <c r="E238" i="52079"/>
  <c r="I238" i="52079" s="1"/>
  <c r="I103" i="52079"/>
  <c r="E203" i="52079"/>
  <c r="I243" i="32"/>
  <c r="M133" i="52104"/>
  <c r="E238" i="52066"/>
  <c r="E203" i="52066"/>
  <c r="I103" i="52066"/>
  <c r="M123" i="52104"/>
  <c r="E238" i="21"/>
  <c r="E203" i="21"/>
  <c r="F28" i="52077"/>
  <c r="F30" i="52077" s="1"/>
  <c r="L33" i="52094"/>
  <c r="L33" i="114"/>
  <c r="I51" i="114"/>
  <c r="I233" i="114" s="1"/>
  <c r="E62" i="114"/>
  <c r="E233" i="114"/>
  <c r="E53" i="114"/>
  <c r="I239" i="91"/>
  <c r="G35" i="48"/>
  <c r="L35" i="48" s="1"/>
  <c r="G36" i="48"/>
  <c r="L36" i="48" s="1"/>
  <c r="E241" i="52084"/>
  <c r="M139" i="52104"/>
  <c r="I129" i="48"/>
  <c r="J105" i="52102"/>
  <c r="M161" i="110"/>
  <c r="I243" i="52091"/>
  <c r="L243" i="52091" s="1"/>
  <c r="J141" i="52104"/>
  <c r="M141" i="52104" s="1"/>
  <c r="D149" i="52102"/>
  <c r="D149" i="110"/>
  <c r="L149" i="52072"/>
  <c r="J147" i="52082"/>
  <c r="L147" i="52082" s="1"/>
  <c r="G88" i="233"/>
  <c r="J88" i="233" s="1"/>
  <c r="I177" i="52083"/>
  <c r="H177" i="52083"/>
  <c r="B98" i="233"/>
  <c r="F98" i="9"/>
  <c r="G18" i="9"/>
  <c r="D116" i="52082"/>
  <c r="D239" i="52082" s="1"/>
  <c r="I80" i="52083"/>
  <c r="K80" i="52083" s="1"/>
  <c r="H80" i="52083"/>
  <c r="H175" i="52083"/>
  <c r="I175" i="52083"/>
  <c r="G146" i="9"/>
  <c r="G144" i="9"/>
  <c r="G161" i="233"/>
  <c r="J161" i="233" s="1"/>
  <c r="F19" i="9"/>
  <c r="B19" i="233"/>
  <c r="I19" i="233"/>
  <c r="K19" i="233" s="1"/>
  <c r="H9" i="52098"/>
  <c r="B21" i="52098"/>
  <c r="G152" i="9"/>
  <c r="G241" i="148"/>
  <c r="J241" i="148" s="1"/>
  <c r="H154" i="148"/>
  <c r="B154" i="52082"/>
  <c r="B241" i="52082" s="1"/>
  <c r="G82" i="233"/>
  <c r="J82" i="233" s="1"/>
  <c r="C233" i="148"/>
  <c r="C53" i="148"/>
  <c r="C54" i="148" s="1"/>
  <c r="C225" i="148"/>
  <c r="C62" i="148"/>
  <c r="D171" i="52102"/>
  <c r="D172" i="110"/>
  <c r="L172" i="52072"/>
  <c r="D125" i="110"/>
  <c r="D125" i="52102"/>
  <c r="L125" i="52072"/>
  <c r="D98" i="52102"/>
  <c r="D98" i="110"/>
  <c r="L98" i="52072"/>
  <c r="L17" i="110"/>
  <c r="M91" i="52103"/>
  <c r="L114" i="52089"/>
  <c r="C218" i="52080"/>
  <c r="B182" i="52075"/>
  <c r="I182" i="52075"/>
  <c r="M183" i="111"/>
  <c r="I29" i="48"/>
  <c r="D173" i="52102"/>
  <c r="D174" i="110"/>
  <c r="L174" i="52072"/>
  <c r="C67" i="110"/>
  <c r="E67" i="52103"/>
  <c r="I67" i="52103"/>
  <c r="K67" i="52103" s="1"/>
  <c r="L67" i="91"/>
  <c r="I147" i="52103"/>
  <c r="K147" i="52103" s="1"/>
  <c r="C147" i="110"/>
  <c r="C154" i="110" s="1"/>
  <c r="C241" i="110" s="1"/>
  <c r="E147" i="52103"/>
  <c r="E153" i="52103" s="1"/>
  <c r="E239" i="52103" s="1"/>
  <c r="J83" i="52092"/>
  <c r="L83" i="52092" s="1"/>
  <c r="Q91" i="52097"/>
  <c r="I240" i="148"/>
  <c r="L118" i="52082"/>
  <c r="K118" i="52082"/>
  <c r="I70" i="148"/>
  <c r="F103" i="148"/>
  <c r="J70" i="148"/>
  <c r="B64" i="52097"/>
  <c r="B64" i="52082"/>
  <c r="G13" i="9"/>
  <c r="Q74" i="52097"/>
  <c r="H162" i="52098"/>
  <c r="J162" i="52098" s="1"/>
  <c r="G101" i="233"/>
  <c r="K101" i="233" s="1"/>
  <c r="H143" i="52098"/>
  <c r="J143" i="52098" s="1"/>
  <c r="O149" i="52097"/>
  <c r="G164" i="233"/>
  <c r="I67" i="9"/>
  <c r="K112" i="52103"/>
  <c r="I76" i="52103"/>
  <c r="D176" i="52102"/>
  <c r="D177" i="110"/>
  <c r="D163" i="52103"/>
  <c r="D163" i="52084"/>
  <c r="G164" i="110"/>
  <c r="N76" i="110"/>
  <c r="E175" i="52075"/>
  <c r="N176" i="111"/>
  <c r="L12" i="52077"/>
  <c r="L21" i="111"/>
  <c r="L51" i="111" s="1"/>
  <c r="L233" i="111" s="1"/>
  <c r="H173" i="52084"/>
  <c r="J78" i="48"/>
  <c r="L78" i="48" s="1"/>
  <c r="L181" i="111"/>
  <c r="B180" i="52077"/>
  <c r="H180" i="52077"/>
  <c r="L181" i="52094"/>
  <c r="D111" i="52077"/>
  <c r="I111" i="52077" s="1"/>
  <c r="K111" i="111"/>
  <c r="D111" i="52076"/>
  <c r="I111" i="52076" s="1"/>
  <c r="L111" i="52093"/>
  <c r="C98" i="52077"/>
  <c r="J98" i="111"/>
  <c r="L98" i="52092"/>
  <c r="E107" i="52075"/>
  <c r="N107" i="111"/>
  <c r="L107" i="52080"/>
  <c r="G95" i="52072"/>
  <c r="J74" i="52103"/>
  <c r="K74" i="52103"/>
  <c r="M74" i="52103" s="1"/>
  <c r="J91" i="52072"/>
  <c r="L91" i="52072" s="1"/>
  <c r="I20" i="93"/>
  <c r="F203" i="93"/>
  <c r="H20" i="93"/>
  <c r="F172" i="93"/>
  <c r="C124" i="52084"/>
  <c r="I124" i="52103"/>
  <c r="E124" i="110"/>
  <c r="L124" i="110" s="1"/>
  <c r="H124" i="52084"/>
  <c r="C124" i="52103"/>
  <c r="L124" i="52066"/>
  <c r="I165" i="52103"/>
  <c r="M19" i="52102"/>
  <c r="K203" i="48"/>
  <c r="C222" i="52094"/>
  <c r="C254" i="52094" s="1"/>
  <c r="C245" i="52094"/>
  <c r="C223" i="52094"/>
  <c r="B203" i="52094"/>
  <c r="K203" i="52094"/>
  <c r="D163" i="52077"/>
  <c r="I163" i="52077" s="1"/>
  <c r="K164" i="111"/>
  <c r="D163" i="52076"/>
  <c r="I163" i="52076" s="1"/>
  <c r="D82" i="52077"/>
  <c r="I82" i="52077" s="1"/>
  <c r="D82" i="52076"/>
  <c r="I82" i="52076" s="1"/>
  <c r="K82" i="111"/>
  <c r="C87" i="52077"/>
  <c r="J87" i="111"/>
  <c r="E162" i="110"/>
  <c r="C161" i="52084"/>
  <c r="C161" i="52103"/>
  <c r="B179" i="52103"/>
  <c r="M179" i="52103" s="1"/>
  <c r="B179" i="52084"/>
  <c r="F180" i="110"/>
  <c r="L180" i="110" s="1"/>
  <c r="H179" i="52084"/>
  <c r="E174" i="52103"/>
  <c r="C175" i="110"/>
  <c r="L175" i="110" s="1"/>
  <c r="I174" i="52103"/>
  <c r="Q135" i="111"/>
  <c r="V135" i="111" s="1"/>
  <c r="T135" i="111"/>
  <c r="D135" i="233"/>
  <c r="I135" i="52077"/>
  <c r="L135" i="52077"/>
  <c r="D94" i="52104"/>
  <c r="B94" i="52074"/>
  <c r="D94" i="111"/>
  <c r="H94" i="52074"/>
  <c r="I165" i="52104"/>
  <c r="N101" i="111"/>
  <c r="E101" i="52075"/>
  <c r="L101" i="52080"/>
  <c r="H165" i="52098"/>
  <c r="G166" i="9"/>
  <c r="G93" i="9"/>
  <c r="J80" i="52082"/>
  <c r="L80" i="52082" s="1"/>
  <c r="B147" i="233"/>
  <c r="F147" i="9"/>
  <c r="G147" i="233"/>
  <c r="J147" i="233" s="1"/>
  <c r="F103" i="108"/>
  <c r="J70" i="108"/>
  <c r="G175" i="233"/>
  <c r="K175" i="233" s="1"/>
  <c r="J17" i="52082"/>
  <c r="D107" i="52102"/>
  <c r="D107" i="110"/>
  <c r="L107" i="52072"/>
  <c r="K81" i="52103"/>
  <c r="E180" i="52102"/>
  <c r="B181" i="110"/>
  <c r="L181" i="32"/>
  <c r="C21" i="52077"/>
  <c r="H79" i="52092"/>
  <c r="L79" i="52092" s="1"/>
  <c r="H49" i="52092"/>
  <c r="L49" i="52092" s="1"/>
  <c r="G156" i="52092"/>
  <c r="G30" i="52092"/>
  <c r="L30" i="52092" s="1"/>
  <c r="G51" i="52092"/>
  <c r="F62" i="52092"/>
  <c r="F233" i="52092"/>
  <c r="J51" i="52092"/>
  <c r="J233" i="52092" s="1"/>
  <c r="C92" i="52075"/>
  <c r="B92" i="111"/>
  <c r="H111" i="111"/>
  <c r="D111" i="52075"/>
  <c r="H80" i="52074"/>
  <c r="E85" i="52102"/>
  <c r="B85" i="110"/>
  <c r="L85" i="110" s="1"/>
  <c r="L85" i="32"/>
  <c r="E173" i="52075"/>
  <c r="N174" i="111"/>
  <c r="L174" i="52080"/>
  <c r="J64" i="52080"/>
  <c r="G70" i="52080"/>
  <c r="G103" i="52080" s="1"/>
  <c r="E64" i="52075"/>
  <c r="N64" i="111"/>
  <c r="L64" i="52080"/>
  <c r="H79" i="52094"/>
  <c r="L79" i="52094" s="1"/>
  <c r="G51" i="52094"/>
  <c r="G30" i="52094"/>
  <c r="G156" i="52094"/>
  <c r="J21" i="52094"/>
  <c r="L21" i="52094" s="1"/>
  <c r="G95" i="52094"/>
  <c r="D173" i="52104"/>
  <c r="B173" i="52074"/>
  <c r="B184" i="52074" s="1"/>
  <c r="B241" i="52074" s="1"/>
  <c r="D174" i="111"/>
  <c r="H173" i="52074"/>
  <c r="L174" i="20"/>
  <c r="E106" i="52102"/>
  <c r="B106" i="110"/>
  <c r="L106" i="110" s="1"/>
  <c r="L106" i="32"/>
  <c r="K186" i="52075"/>
  <c r="G200" i="52075"/>
  <c r="K200" i="52075" s="1"/>
  <c r="C182" i="52104"/>
  <c r="C182" i="52076"/>
  <c r="F183" i="111"/>
  <c r="L183" i="77"/>
  <c r="D177" i="111"/>
  <c r="B176" i="52074"/>
  <c r="D176" i="52104"/>
  <c r="I176" i="52104"/>
  <c r="K176" i="52104" s="1"/>
  <c r="H176" i="52074"/>
  <c r="J176" i="52074" s="1"/>
  <c r="B21" i="52097"/>
  <c r="H32" i="52082"/>
  <c r="H33" i="52082" s="1"/>
  <c r="H51" i="52082"/>
  <c r="H233" i="52082" s="1"/>
  <c r="J116" i="52091"/>
  <c r="F239" i="52091"/>
  <c r="J239" i="52091" s="1"/>
  <c r="G174" i="111"/>
  <c r="D173" i="52074"/>
  <c r="C173" i="52102"/>
  <c r="G156" i="52089"/>
  <c r="G30" i="52089"/>
  <c r="H49" i="52089"/>
  <c r="L49" i="52089" s="1"/>
  <c r="H79" i="52089"/>
  <c r="L79" i="52089" s="1"/>
  <c r="G51" i="52089"/>
  <c r="D21" i="52074"/>
  <c r="D51" i="52074" s="1"/>
  <c r="D231" i="52074" s="1"/>
  <c r="H111" i="52077"/>
  <c r="J111" i="52077" s="1"/>
  <c r="L111" i="111"/>
  <c r="B111" i="52077"/>
  <c r="B73" i="52103"/>
  <c r="F73" i="110"/>
  <c r="B73" i="52084"/>
  <c r="H73" i="52084"/>
  <c r="J73" i="52084" s="1"/>
  <c r="G178" i="233"/>
  <c r="K178" i="233" s="1"/>
  <c r="T178" i="111"/>
  <c r="I177" i="52075"/>
  <c r="M178" i="111"/>
  <c r="B177" i="52075"/>
  <c r="C233" i="52067"/>
  <c r="C62" i="52067"/>
  <c r="C225" i="52067"/>
  <c r="C218" i="52067" s="1"/>
  <c r="C53" i="52067"/>
  <c r="C54" i="52067" s="1"/>
  <c r="F167" i="52098"/>
  <c r="F242" i="52064"/>
  <c r="I242" i="52064" s="1"/>
  <c r="H114" i="52098"/>
  <c r="J114" i="52098" s="1"/>
  <c r="H19" i="52098"/>
  <c r="F240" i="21"/>
  <c r="I240" i="21" s="1"/>
  <c r="F129" i="52098"/>
  <c r="O75" i="52097"/>
  <c r="B73" i="52102"/>
  <c r="I73" i="52102"/>
  <c r="K73" i="52102" s="1"/>
  <c r="H73" i="110"/>
  <c r="L145" i="110"/>
  <c r="M143" i="52102"/>
  <c r="B189" i="52102"/>
  <c r="I189" i="52102"/>
  <c r="H190" i="110"/>
  <c r="L190" i="110" s="1"/>
  <c r="J51" i="52067"/>
  <c r="J233" i="52067" s="1"/>
  <c r="F233" i="52067"/>
  <c r="F62" i="52067"/>
  <c r="J49" i="52102"/>
  <c r="K49" i="52102"/>
  <c r="M82" i="52102"/>
  <c r="E182" i="52103"/>
  <c r="C183" i="110"/>
  <c r="I182" i="52103"/>
  <c r="L183" i="91"/>
  <c r="F243" i="12"/>
  <c r="F184" i="52076"/>
  <c r="F242" i="52076" s="1"/>
  <c r="H172" i="52074"/>
  <c r="J172" i="52074" s="1"/>
  <c r="I172" i="52104"/>
  <c r="K172" i="52104" s="1"/>
  <c r="C173" i="111"/>
  <c r="E172" i="52104"/>
  <c r="N172" i="52104" s="1"/>
  <c r="C172" i="52074"/>
  <c r="L173" i="115"/>
  <c r="G181" i="111"/>
  <c r="R181" i="111" s="1"/>
  <c r="D180" i="52074"/>
  <c r="C180" i="52102"/>
  <c r="L181" i="52089"/>
  <c r="N173" i="111"/>
  <c r="E172" i="52075"/>
  <c r="L173" i="52080"/>
  <c r="G92" i="9"/>
  <c r="J72" i="52082"/>
  <c r="L72" i="52082" s="1"/>
  <c r="G166" i="233"/>
  <c r="K166" i="233" s="1"/>
  <c r="B111" i="52103"/>
  <c r="M111" i="52103" s="1"/>
  <c r="B111" i="52084"/>
  <c r="F111" i="110"/>
  <c r="H111" i="52084"/>
  <c r="J111" i="52084" s="1"/>
  <c r="D101" i="52103"/>
  <c r="D101" i="52084"/>
  <c r="G101" i="110"/>
  <c r="C98" i="52084"/>
  <c r="C98" i="52103"/>
  <c r="E98" i="110"/>
  <c r="E162" i="52103"/>
  <c r="C163" i="110"/>
  <c r="I162" i="52103"/>
  <c r="K162" i="52103" s="1"/>
  <c r="C105" i="110"/>
  <c r="C116" i="110" s="1"/>
  <c r="C239" i="110" s="1"/>
  <c r="E105" i="52103"/>
  <c r="E116" i="52103" s="1"/>
  <c r="E237" i="52103" s="1"/>
  <c r="G116" i="91"/>
  <c r="I105" i="52103"/>
  <c r="L105" i="91"/>
  <c r="K105" i="52103"/>
  <c r="G116" i="52103"/>
  <c r="G106" i="111"/>
  <c r="D106" i="52074"/>
  <c r="I106" i="52102"/>
  <c r="K106" i="52102" s="1"/>
  <c r="C106" i="52102"/>
  <c r="L106" i="52089"/>
  <c r="I174" i="52075"/>
  <c r="N175" i="111"/>
  <c r="E174" i="52075"/>
  <c r="L175" i="52080"/>
  <c r="L170" i="52066"/>
  <c r="C169" i="52084"/>
  <c r="C184" i="52084" s="1"/>
  <c r="C241" i="52084" s="1"/>
  <c r="E170" i="110"/>
  <c r="E185" i="110" s="1"/>
  <c r="E243" i="110" s="1"/>
  <c r="C169" i="52103"/>
  <c r="G185" i="52066"/>
  <c r="G243" i="52066" s="1"/>
  <c r="F243" i="52066"/>
  <c r="J185" i="52066"/>
  <c r="L185" i="52066" s="1"/>
  <c r="L68" i="48"/>
  <c r="J95" i="52066"/>
  <c r="L95" i="52066" s="1"/>
  <c r="D77" i="52076"/>
  <c r="I77" i="52076" s="1"/>
  <c r="K77" i="111"/>
  <c r="D77" i="52077"/>
  <c r="I77" i="52077" s="1"/>
  <c r="H79" i="77"/>
  <c r="L79" i="77" s="1"/>
  <c r="G30" i="77"/>
  <c r="G51" i="77"/>
  <c r="L51" i="77" s="1"/>
  <c r="G156" i="77"/>
  <c r="H49" i="77"/>
  <c r="L49" i="77" s="1"/>
  <c r="F21" i="111"/>
  <c r="J51" i="77"/>
  <c r="J233" i="77" s="1"/>
  <c r="F233" i="77"/>
  <c r="F62" i="77"/>
  <c r="D185" i="52097"/>
  <c r="D243" i="52097" s="1"/>
  <c r="I201" i="52088"/>
  <c r="J201" i="52088"/>
  <c r="G162" i="233"/>
  <c r="F239" i="52089"/>
  <c r="I239" i="52089" s="1"/>
  <c r="D105" i="52074"/>
  <c r="G105" i="111"/>
  <c r="G116" i="111" s="1"/>
  <c r="G239" i="111" s="1"/>
  <c r="C105" i="52102"/>
  <c r="G116" i="52089"/>
  <c r="L105" i="52089"/>
  <c r="F243" i="52079"/>
  <c r="I243" i="52079" s="1"/>
  <c r="J185" i="52079"/>
  <c r="L90" i="48"/>
  <c r="L13" i="52077"/>
  <c r="H19" i="52083"/>
  <c r="I19" i="52083"/>
  <c r="H83" i="52098"/>
  <c r="J83" i="52098" s="1"/>
  <c r="I83" i="9"/>
  <c r="B83" i="233"/>
  <c r="F83" i="9"/>
  <c r="G241" i="52087"/>
  <c r="J241" i="52087" s="1"/>
  <c r="H154" i="52087"/>
  <c r="C154" i="52082"/>
  <c r="C241" i="52082" s="1"/>
  <c r="Q11" i="52097"/>
  <c r="L144" i="52077"/>
  <c r="K124" i="52102"/>
  <c r="N143" i="110"/>
  <c r="N8" i="110"/>
  <c r="J21" i="110"/>
  <c r="F127" i="52100"/>
  <c r="J21" i="52100"/>
  <c r="L21" i="52100" s="1"/>
  <c r="F51" i="52100"/>
  <c r="G105" i="233"/>
  <c r="I105" i="9"/>
  <c r="E116" i="9"/>
  <c r="C165" i="52103"/>
  <c r="E166" i="110"/>
  <c r="C165" i="52084"/>
  <c r="L166" i="52066"/>
  <c r="J131" i="52084"/>
  <c r="F153" i="52084"/>
  <c r="M124" i="52102"/>
  <c r="L67" i="52072"/>
  <c r="B110" i="52103"/>
  <c r="M110" i="52103" s="1"/>
  <c r="B110" i="52084"/>
  <c r="F110" i="110"/>
  <c r="L110" i="110" s="1"/>
  <c r="H110" i="52084"/>
  <c r="I110" i="52103"/>
  <c r="L110" i="48"/>
  <c r="J110" i="52084"/>
  <c r="M10" i="52103"/>
  <c r="K77" i="52103"/>
  <c r="E176" i="52102"/>
  <c r="B177" i="110"/>
  <c r="L177" i="110" s="1"/>
  <c r="L177" i="32"/>
  <c r="D149" i="52076"/>
  <c r="I149" i="52076" s="1"/>
  <c r="D149" i="52077"/>
  <c r="I149" i="52077" s="1"/>
  <c r="K149" i="111"/>
  <c r="L149" i="52093"/>
  <c r="J105" i="111"/>
  <c r="C105" i="52077"/>
  <c r="G116" i="52092"/>
  <c r="L105" i="52092"/>
  <c r="I180" i="52103"/>
  <c r="E180" i="52103"/>
  <c r="C181" i="110"/>
  <c r="L181" i="91"/>
  <c r="D179" i="52076"/>
  <c r="I179" i="52076" s="1"/>
  <c r="D179" i="52077"/>
  <c r="I179" i="52077" s="1"/>
  <c r="K180" i="111"/>
  <c r="L180" i="52093"/>
  <c r="I174" i="52104"/>
  <c r="K96" i="52103"/>
  <c r="E108" i="52102"/>
  <c r="B108" i="110"/>
  <c r="L108" i="110" s="1"/>
  <c r="L108" i="32"/>
  <c r="E149" i="52075"/>
  <c r="E153" i="52075" s="1"/>
  <c r="E239" i="52075" s="1"/>
  <c r="N149" i="111"/>
  <c r="N154" i="111" s="1"/>
  <c r="N241" i="111" s="1"/>
  <c r="L149" i="52080"/>
  <c r="L136" i="52077"/>
  <c r="R17" i="111"/>
  <c r="C219" i="52066"/>
  <c r="C226" i="52066"/>
  <c r="C218" i="52066" s="1"/>
  <c r="C46" i="52066"/>
  <c r="C47" i="52066" s="1"/>
  <c r="K110" i="52103"/>
  <c r="C164" i="52103"/>
  <c r="M164" i="52103" s="1"/>
  <c r="E165" i="110"/>
  <c r="C164" i="52084"/>
  <c r="L165" i="52066"/>
  <c r="H148" i="52084"/>
  <c r="J148" i="52084" s="1"/>
  <c r="L21" i="91"/>
  <c r="I129" i="52080"/>
  <c r="F240" i="52080"/>
  <c r="I240" i="52080" s="1"/>
  <c r="L17" i="52077"/>
  <c r="M18" i="52103"/>
  <c r="B174" i="52077"/>
  <c r="L175" i="111"/>
  <c r="H174" i="52077"/>
  <c r="L175" i="52094"/>
  <c r="B66" i="52103"/>
  <c r="F66" i="110"/>
  <c r="B66" i="52084"/>
  <c r="H66" i="52084"/>
  <c r="J66" i="52084" s="1"/>
  <c r="L66" i="48"/>
  <c r="S197" i="111"/>
  <c r="T197" i="111"/>
  <c r="L174" i="111"/>
  <c r="B173" i="52077"/>
  <c r="H173" i="52077"/>
  <c r="L174" i="52094"/>
  <c r="L129" i="52091"/>
  <c r="L164" i="20"/>
  <c r="D73" i="52074"/>
  <c r="G73" i="111"/>
  <c r="C73" i="52102"/>
  <c r="L73" i="52089"/>
  <c r="Q66" i="52097"/>
  <c r="B78" i="233"/>
  <c r="F78" i="9"/>
  <c r="D179" i="52074"/>
  <c r="G180" i="111"/>
  <c r="C179" i="52102"/>
  <c r="L180" i="52089"/>
  <c r="C65" i="233"/>
  <c r="N65" i="52097"/>
  <c r="J21" i="52071"/>
  <c r="I240" i="108"/>
  <c r="G120" i="233"/>
  <c r="J120" i="233" s="1"/>
  <c r="F243" i="52087"/>
  <c r="I243" i="52087" s="1"/>
  <c r="I185" i="52087"/>
  <c r="E170" i="52097"/>
  <c r="E185" i="52097" s="1"/>
  <c r="E243" i="52097" s="1"/>
  <c r="C170" i="52082"/>
  <c r="C185" i="52082" s="1"/>
  <c r="C243" i="52082" s="1"/>
  <c r="G185" i="52087"/>
  <c r="G243" i="52087" s="1"/>
  <c r="J243" i="52087" s="1"/>
  <c r="H135" i="52083"/>
  <c r="I135" i="52083"/>
  <c r="K135" i="52083" s="1"/>
  <c r="C33" i="52095"/>
  <c r="L32" i="52095"/>
  <c r="G95" i="52095"/>
  <c r="C180" i="52077"/>
  <c r="J181" i="111"/>
  <c r="L181" i="52092"/>
  <c r="C148" i="52077"/>
  <c r="C153" i="52077" s="1"/>
  <c r="J148" i="111"/>
  <c r="J154" i="111" s="1"/>
  <c r="J241" i="111" s="1"/>
  <c r="L148" i="52092"/>
  <c r="C78" i="52077"/>
  <c r="J78" i="111"/>
  <c r="C149" i="52103"/>
  <c r="M149" i="52103" s="1"/>
  <c r="E149" i="110"/>
  <c r="C149" i="52084"/>
  <c r="F239" i="52066"/>
  <c r="J116" i="52066"/>
  <c r="D165" i="52074"/>
  <c r="G166" i="111"/>
  <c r="C165" i="52102"/>
  <c r="N111" i="52104"/>
  <c r="C219" i="115"/>
  <c r="C226" i="115"/>
  <c r="C218" i="115" s="1"/>
  <c r="B98" i="111"/>
  <c r="R98" i="111" s="1"/>
  <c r="C98" i="52075"/>
  <c r="C163" i="111"/>
  <c r="I162" i="52104"/>
  <c r="K162" i="52104" s="1"/>
  <c r="C162" i="52074"/>
  <c r="E162" i="52104"/>
  <c r="M162" i="52104" s="1"/>
  <c r="I12" i="52083"/>
  <c r="H12" i="52083"/>
  <c r="C205" i="21"/>
  <c r="B203" i="21"/>
  <c r="C223" i="21"/>
  <c r="C245" i="21"/>
  <c r="C222" i="21"/>
  <c r="C254" i="21" s="1"/>
  <c r="H182" i="52098"/>
  <c r="H76" i="52098"/>
  <c r="J76" i="52098" s="1"/>
  <c r="B76" i="233"/>
  <c r="F76" i="9"/>
  <c r="B74" i="111"/>
  <c r="C74" i="52075"/>
  <c r="L74" i="114"/>
  <c r="D99" i="52074"/>
  <c r="G99" i="111"/>
  <c r="R99" i="111" s="1"/>
  <c r="C99" i="52102"/>
  <c r="G74" i="111"/>
  <c r="D74" i="52074"/>
  <c r="C74" i="52102"/>
  <c r="M74" i="52102" s="1"/>
  <c r="D81" i="52104"/>
  <c r="D81" i="111"/>
  <c r="H81" i="52074"/>
  <c r="B81" i="52074"/>
  <c r="H138" i="52098"/>
  <c r="K153" i="52098"/>
  <c r="K240" i="52098" s="1"/>
  <c r="D116" i="52098"/>
  <c r="D238" i="52098" s="1"/>
  <c r="H116" i="52071"/>
  <c r="G239" i="52071"/>
  <c r="J239" i="52071" s="1"/>
  <c r="E154" i="52082"/>
  <c r="E241" i="52082" s="1"/>
  <c r="B64" i="52102"/>
  <c r="H64" i="110"/>
  <c r="I64" i="52102"/>
  <c r="G70" i="52100"/>
  <c r="G103" i="52100" s="1"/>
  <c r="L64" i="52100"/>
  <c r="D153" i="52083"/>
  <c r="D240" i="52083" s="1"/>
  <c r="G180" i="233"/>
  <c r="J180" i="233" s="1"/>
  <c r="I32" i="93"/>
  <c r="D32" i="93" s="1"/>
  <c r="D172" i="93" s="1"/>
  <c r="F204" i="93"/>
  <c r="K72" i="52102"/>
  <c r="H72" i="110"/>
  <c r="B72" i="52102"/>
  <c r="I72" i="52102"/>
  <c r="L72" i="52100"/>
  <c r="J88" i="52102"/>
  <c r="B88" i="52102"/>
  <c r="I88" i="52102"/>
  <c r="K88" i="52102" s="1"/>
  <c r="H88" i="110"/>
  <c r="L88" i="110" s="1"/>
  <c r="L88" i="52100"/>
  <c r="K108" i="52102"/>
  <c r="M108" i="52102" s="1"/>
  <c r="F239" i="101"/>
  <c r="I239" i="101" s="1"/>
  <c r="J116" i="101"/>
  <c r="J86" i="52081"/>
  <c r="I109" i="52075"/>
  <c r="K109" i="52075" s="1"/>
  <c r="M83" i="52104"/>
  <c r="G173" i="110"/>
  <c r="D172" i="52084"/>
  <c r="D172" i="52103"/>
  <c r="M83" i="52103"/>
  <c r="L114" i="111"/>
  <c r="B114" i="52077"/>
  <c r="L114" i="52077" s="1"/>
  <c r="H114" i="52077"/>
  <c r="D164" i="52103"/>
  <c r="D164" i="52084"/>
  <c r="G165" i="110"/>
  <c r="M177" i="111"/>
  <c r="I176" i="52075"/>
  <c r="B176" i="52075"/>
  <c r="L177" i="52095"/>
  <c r="D179" i="52104"/>
  <c r="D180" i="111"/>
  <c r="R180" i="111" s="1"/>
  <c r="B179" i="52074"/>
  <c r="H179" i="52074"/>
  <c r="D149" i="52103"/>
  <c r="D149" i="52084"/>
  <c r="D153" i="52084" s="1"/>
  <c r="D239" i="52084" s="1"/>
  <c r="G149" i="110"/>
  <c r="K147" i="52075"/>
  <c r="F203" i="52095"/>
  <c r="F245" i="52095" s="1"/>
  <c r="F239" i="52095"/>
  <c r="J116" i="52095"/>
  <c r="P116" i="111"/>
  <c r="J90" i="52075"/>
  <c r="K90" i="52075"/>
  <c r="M90" i="111"/>
  <c r="B90" i="52075"/>
  <c r="I90" i="52075"/>
  <c r="J122" i="12"/>
  <c r="L122" i="12" s="1"/>
  <c r="E122" i="111"/>
  <c r="R122" i="111" s="1"/>
  <c r="H122" i="52076"/>
  <c r="J122" i="52076" s="1"/>
  <c r="I122" i="52104"/>
  <c r="K122" i="52104" s="1"/>
  <c r="B122" i="52076"/>
  <c r="B122" i="52104"/>
  <c r="N122" i="52104" s="1"/>
  <c r="H97" i="52084"/>
  <c r="J97" i="52084" s="1"/>
  <c r="G97" i="110"/>
  <c r="D97" i="52103"/>
  <c r="D97" i="52084"/>
  <c r="L110" i="111"/>
  <c r="B110" i="52077"/>
  <c r="H110" i="52077"/>
  <c r="J110" i="52077" s="1"/>
  <c r="L110" i="52077" s="1"/>
  <c r="P70" i="111"/>
  <c r="G70" i="52075"/>
  <c r="G103" i="52075" s="1"/>
  <c r="K64" i="52075"/>
  <c r="D161" i="52104"/>
  <c r="D162" i="111"/>
  <c r="B161" i="52074"/>
  <c r="H161" i="52074"/>
  <c r="J161" i="52074" s="1"/>
  <c r="L162" i="20"/>
  <c r="I110" i="52104"/>
  <c r="K110" i="52104" s="1"/>
  <c r="H110" i="52074"/>
  <c r="J110" i="52074" s="1"/>
  <c r="D110" i="52104"/>
  <c r="B110" i="52074"/>
  <c r="D110" i="111"/>
  <c r="G167" i="52104"/>
  <c r="J155" i="52104"/>
  <c r="B203" i="52090"/>
  <c r="C245" i="52090"/>
  <c r="C223" i="52090"/>
  <c r="C222" i="52090"/>
  <c r="C254" i="52090" s="1"/>
  <c r="G95" i="77"/>
  <c r="C68" i="52074"/>
  <c r="C68" i="111"/>
  <c r="I68" i="52104"/>
  <c r="K68" i="52104" s="1"/>
  <c r="E68" i="52104"/>
  <c r="L68" i="115"/>
  <c r="C245" i="52071"/>
  <c r="C223" i="52071"/>
  <c r="C222" i="52071"/>
  <c r="C254" i="52071" s="1"/>
  <c r="D253" i="52098" s="1"/>
  <c r="B203" i="52071"/>
  <c r="J91" i="52074"/>
  <c r="I149" i="52104"/>
  <c r="C116" i="52074"/>
  <c r="C237" i="52074" s="1"/>
  <c r="N151" i="52104"/>
  <c r="M151" i="52104"/>
  <c r="H95" i="52071"/>
  <c r="L78" i="114"/>
  <c r="I96" i="52104"/>
  <c r="K96" i="52104" s="1"/>
  <c r="H78" i="52098"/>
  <c r="J125" i="52082"/>
  <c r="R147" i="111"/>
  <c r="F239" i="114"/>
  <c r="I239" i="114" s="1"/>
  <c r="J116" i="114"/>
  <c r="F103" i="52067"/>
  <c r="I70" i="52067"/>
  <c r="F241" i="52088"/>
  <c r="I241" i="52088" s="1"/>
  <c r="J154" i="52088"/>
  <c r="I154" i="52088"/>
  <c r="H78" i="111"/>
  <c r="D78" i="52075"/>
  <c r="L78" i="52090"/>
  <c r="B76" i="52104"/>
  <c r="E76" i="111"/>
  <c r="B76" i="52076"/>
  <c r="H76" i="52076"/>
  <c r="J76" i="52076" s="1"/>
  <c r="L76" i="12"/>
  <c r="J120" i="52074"/>
  <c r="I120" i="52074"/>
  <c r="H67" i="52074"/>
  <c r="J67" i="52074" s="1"/>
  <c r="H148" i="111"/>
  <c r="D148" i="52075"/>
  <c r="D153" i="52075" s="1"/>
  <c r="D239" i="52075" s="1"/>
  <c r="L148" i="52090"/>
  <c r="G167" i="52083"/>
  <c r="J155" i="52083"/>
  <c r="G103" i="105"/>
  <c r="J95" i="115"/>
  <c r="C203" i="77"/>
  <c r="B103" i="77"/>
  <c r="K103" i="77"/>
  <c r="K203" i="77" s="1"/>
  <c r="C238" i="77"/>
  <c r="D149" i="52104"/>
  <c r="D149" i="111"/>
  <c r="B149" i="52074"/>
  <c r="H149" i="52074"/>
  <c r="L149" i="20"/>
  <c r="J90" i="52082"/>
  <c r="L90" i="52082" s="1"/>
  <c r="I103" i="52097"/>
  <c r="J70" i="52071"/>
  <c r="G103" i="52071"/>
  <c r="C114" i="52076"/>
  <c r="F114" i="111"/>
  <c r="C114" i="52104"/>
  <c r="M114" i="52104" s="1"/>
  <c r="L114" i="77"/>
  <c r="C114" i="52075"/>
  <c r="C116" i="52075" s="1"/>
  <c r="C237" i="52075" s="1"/>
  <c r="B114" i="111"/>
  <c r="L114" i="114"/>
  <c r="F167" i="52076"/>
  <c r="F241" i="52076" s="1"/>
  <c r="F153" i="52074"/>
  <c r="J131" i="52074"/>
  <c r="F241" i="20"/>
  <c r="I241" i="20" s="1"/>
  <c r="J154" i="20"/>
  <c r="J142" i="52074"/>
  <c r="K124" i="52104"/>
  <c r="R150" i="111"/>
  <c r="G73" i="233"/>
  <c r="J73" i="233" s="1"/>
  <c r="F239" i="105"/>
  <c r="I239" i="105" s="1"/>
  <c r="J116" i="105"/>
  <c r="M145" i="52104"/>
  <c r="J109" i="52103"/>
  <c r="I129" i="91"/>
  <c r="S80" i="111"/>
  <c r="I168" i="105"/>
  <c r="I168" i="52094"/>
  <c r="I110" i="52084"/>
  <c r="L46" i="52097"/>
  <c r="L47" i="52097" s="1"/>
  <c r="L32" i="52097"/>
  <c r="L33" i="52097" s="1"/>
  <c r="L51" i="52097"/>
  <c r="P21" i="52097"/>
  <c r="I51" i="52079"/>
  <c r="I233" i="52079" s="1"/>
  <c r="E62" i="52079"/>
  <c r="E233" i="52079"/>
  <c r="E53" i="52079"/>
  <c r="I241" i="91"/>
  <c r="I241" i="52080"/>
  <c r="I129" i="52081"/>
  <c r="J172" i="52075"/>
  <c r="L30" i="52080"/>
  <c r="I239" i="52080"/>
  <c r="I154" i="48"/>
  <c r="E239" i="52084"/>
  <c r="I153" i="52084"/>
  <c r="I239" i="52084" s="1"/>
  <c r="M110" i="52104"/>
  <c r="I116" i="52079"/>
  <c r="E233" i="52093"/>
  <c r="I51" i="52093"/>
  <c r="I233" i="52093" s="1"/>
  <c r="E53" i="52093"/>
  <c r="E62" i="52093"/>
  <c r="J193" i="233"/>
  <c r="I201" i="52087"/>
  <c r="L33" i="52095"/>
  <c r="I125" i="52084"/>
  <c r="I51" i="108"/>
  <c r="I233" i="108" s="1"/>
  <c r="E233" i="108"/>
  <c r="E62" i="108"/>
  <c r="E53" i="108"/>
  <c r="J162" i="52102"/>
  <c r="M191" i="52104"/>
  <c r="J137" i="52104"/>
  <c r="M137" i="52104" s="1"/>
  <c r="M197" i="110"/>
  <c r="E233" i="148"/>
  <c r="E62" i="148"/>
  <c r="E53" i="148"/>
  <c r="I51" i="148"/>
  <c r="I233" i="148" s="1"/>
  <c r="F185" i="233"/>
  <c r="J170" i="233"/>
  <c r="M64" i="110"/>
  <c r="L21" i="52092"/>
  <c r="S49" i="111"/>
  <c r="I243" i="52090"/>
  <c r="L21" i="77"/>
  <c r="J176" i="233"/>
  <c r="M111" i="110"/>
  <c r="I64" i="52084"/>
  <c r="I116" i="52091"/>
  <c r="I116" i="52084"/>
  <c r="I237" i="52084" s="1"/>
  <c r="E237" i="52084"/>
  <c r="J157" i="52102"/>
  <c r="M76" i="110"/>
  <c r="J108" i="233"/>
  <c r="J149" i="52103"/>
  <c r="H118" i="9"/>
  <c r="I239" i="52093"/>
  <c r="M78" i="110"/>
  <c r="M105" i="110"/>
  <c r="I150" i="52084"/>
  <c r="I243" i="52092"/>
  <c r="I129" i="52094"/>
  <c r="I241" i="114"/>
  <c r="S64" i="111"/>
  <c r="J64" i="52075"/>
  <c r="J98" i="233"/>
  <c r="J14" i="233"/>
  <c r="M187" i="52103"/>
  <c r="J140" i="52102"/>
  <c r="M140" i="52104"/>
  <c r="M123" i="52103"/>
  <c r="I201" i="32"/>
  <c r="L201" i="32" s="1"/>
  <c r="J186" i="52104"/>
  <c r="I21" i="52074"/>
  <c r="E46" i="52074"/>
  <c r="E47" i="52074" s="1"/>
  <c r="E51" i="52074"/>
  <c r="E32" i="52074"/>
  <c r="E33" i="52074" s="1"/>
  <c r="M77" i="110"/>
  <c r="M176" i="110"/>
  <c r="M191" i="52103"/>
  <c r="M140" i="110"/>
  <c r="I200" i="52074"/>
  <c r="J200" i="52076"/>
  <c r="E242" i="52076"/>
  <c r="I201" i="12"/>
  <c r="L201" i="12" s="1"/>
  <c r="M84" i="110"/>
  <c r="E172" i="93"/>
  <c r="H170" i="93"/>
  <c r="L30" i="52089"/>
  <c r="E238" i="52092"/>
  <c r="I103" i="52092"/>
  <c r="E203" i="52092"/>
  <c r="J131" i="52102"/>
  <c r="M131" i="52102" s="1"/>
  <c r="J100" i="52103"/>
  <c r="I242" i="52089"/>
  <c r="I157" i="52084"/>
  <c r="I241" i="52091"/>
  <c r="J64" i="52083"/>
  <c r="O88" i="52097"/>
  <c r="G44" i="52091"/>
  <c r="L44" i="52091" s="1"/>
  <c r="I168" i="108"/>
  <c r="I129" i="101"/>
  <c r="S66" i="111"/>
  <c r="I149" i="52074"/>
  <c r="K203" i="52089"/>
  <c r="N78" i="52104"/>
  <c r="I78" i="52104"/>
  <c r="K78" i="52104" s="1"/>
  <c r="R78" i="111"/>
  <c r="T78" i="111" s="1"/>
  <c r="L131" i="52082"/>
  <c r="H154" i="52082"/>
  <c r="K131" i="52082"/>
  <c r="J144" i="52082"/>
  <c r="O146" i="52097"/>
  <c r="I151" i="52083"/>
  <c r="F51" i="52098"/>
  <c r="F232" i="52098" s="1"/>
  <c r="J137" i="52082"/>
  <c r="I86" i="9"/>
  <c r="B21" i="52083"/>
  <c r="H18" i="52083"/>
  <c r="I18" i="52083"/>
  <c r="H135" i="52098"/>
  <c r="H100" i="52098"/>
  <c r="J100" i="52098" s="1"/>
  <c r="H125" i="52098"/>
  <c r="G171" i="9"/>
  <c r="H64" i="9"/>
  <c r="E70" i="9"/>
  <c r="E103" i="9" s="1"/>
  <c r="G64" i="233"/>
  <c r="I173" i="52083"/>
  <c r="H173" i="52083"/>
  <c r="J173" i="52082"/>
  <c r="L173" i="52082" s="1"/>
  <c r="J145" i="52084"/>
  <c r="I72" i="52103"/>
  <c r="K72" i="52103" s="1"/>
  <c r="M72" i="52103" s="1"/>
  <c r="E67" i="52102"/>
  <c r="B67" i="110"/>
  <c r="L67" i="110" s="1"/>
  <c r="N67" i="110" s="1"/>
  <c r="D101" i="52076"/>
  <c r="I101" i="52076" s="1"/>
  <c r="K101" i="111"/>
  <c r="D101" i="52077"/>
  <c r="I101" i="52077" s="1"/>
  <c r="C180" i="52103"/>
  <c r="C180" i="52084"/>
  <c r="E181" i="110"/>
  <c r="C112" i="52103"/>
  <c r="C112" i="52084"/>
  <c r="E112" i="110"/>
  <c r="E116" i="110" s="1"/>
  <c r="E239" i="110" s="1"/>
  <c r="F99" i="110"/>
  <c r="B99" i="52103"/>
  <c r="M99" i="52103" s="1"/>
  <c r="B99" i="52084"/>
  <c r="H99" i="52084"/>
  <c r="J99" i="52084" s="1"/>
  <c r="H82" i="52084"/>
  <c r="J82" i="52084" s="1"/>
  <c r="L64" i="91"/>
  <c r="K64" i="52103"/>
  <c r="G70" i="52103"/>
  <c r="B176" i="52077"/>
  <c r="H176" i="52077"/>
  <c r="J176" i="52077" s="1"/>
  <c r="L177" i="111"/>
  <c r="L164" i="114"/>
  <c r="S162" i="111"/>
  <c r="B75" i="52084"/>
  <c r="B75" i="52103"/>
  <c r="M75" i="52103" s="1"/>
  <c r="H75" i="52084"/>
  <c r="F75" i="110"/>
  <c r="L75" i="110" s="1"/>
  <c r="C203" i="32"/>
  <c r="C238" i="32"/>
  <c r="K103" i="32"/>
  <c r="K203" i="32" s="1"/>
  <c r="B103" i="32"/>
  <c r="I140" i="52077"/>
  <c r="L140" i="52077"/>
  <c r="K86" i="52103"/>
  <c r="C21" i="110"/>
  <c r="C51" i="110" s="1"/>
  <c r="C233" i="110" s="1"/>
  <c r="C21" i="52103"/>
  <c r="H79" i="52066"/>
  <c r="L79" i="52066" s="1"/>
  <c r="H49" i="52066"/>
  <c r="L49" i="52066" s="1"/>
  <c r="G51" i="52066"/>
  <c r="G156" i="52066"/>
  <c r="G30" i="52066"/>
  <c r="L76" i="52077"/>
  <c r="J139" i="52082"/>
  <c r="G80" i="9"/>
  <c r="J116" i="108"/>
  <c r="G239" i="108"/>
  <c r="J239" i="108" s="1"/>
  <c r="H116" i="108"/>
  <c r="H136" i="52098"/>
  <c r="H95" i="52064"/>
  <c r="C95" i="52098"/>
  <c r="C95" i="9"/>
  <c r="K186" i="52083"/>
  <c r="G200" i="52083"/>
  <c r="K200" i="52083" s="1"/>
  <c r="J98" i="52082"/>
  <c r="H101" i="52083"/>
  <c r="I101" i="52083"/>
  <c r="G33" i="52083"/>
  <c r="G46" i="52083"/>
  <c r="G47" i="52083" s="1"/>
  <c r="G51" i="52083"/>
  <c r="J21" i="105"/>
  <c r="I163" i="9"/>
  <c r="I86" i="52083"/>
  <c r="K86" i="52083" s="1"/>
  <c r="H81" i="52098"/>
  <c r="H93" i="52083"/>
  <c r="J21" i="101"/>
  <c r="G51" i="101"/>
  <c r="G156" i="101"/>
  <c r="O9" i="52097"/>
  <c r="G21" i="52097"/>
  <c r="F242" i="21"/>
  <c r="I242" i="21" s="1"/>
  <c r="J95" i="21"/>
  <c r="B95" i="9"/>
  <c r="G95" i="9" s="1"/>
  <c r="B95" i="52098"/>
  <c r="H95" i="52098" s="1"/>
  <c r="J95" i="52098" s="1"/>
  <c r="G95" i="52098"/>
  <c r="H95" i="21"/>
  <c r="K95" i="52098"/>
  <c r="I100" i="52102"/>
  <c r="K100" i="52102" s="1"/>
  <c r="E148" i="52103"/>
  <c r="I148" i="52103"/>
  <c r="K148" i="52103" s="1"/>
  <c r="C148" i="110"/>
  <c r="I80" i="52103"/>
  <c r="K80" i="52103" s="1"/>
  <c r="C80" i="110"/>
  <c r="E80" i="52103"/>
  <c r="D182" i="52103"/>
  <c r="D182" i="52084"/>
  <c r="G183" i="110"/>
  <c r="L201" i="48"/>
  <c r="D92" i="52104"/>
  <c r="B92" i="52074"/>
  <c r="H92" i="52074"/>
  <c r="D92" i="111"/>
  <c r="L92" i="20"/>
  <c r="D85" i="52076"/>
  <c r="I85" i="52076" s="1"/>
  <c r="D85" i="52077"/>
  <c r="I85" i="52077" s="1"/>
  <c r="K85" i="111"/>
  <c r="L85" i="52093"/>
  <c r="L177" i="48"/>
  <c r="H21" i="52084"/>
  <c r="H51" i="52084" s="1"/>
  <c r="H231" i="52084" s="1"/>
  <c r="F21" i="110"/>
  <c r="F51" i="110" s="1"/>
  <c r="F233" i="110" s="1"/>
  <c r="F51" i="52084"/>
  <c r="F231" i="52084" s="1"/>
  <c r="J21" i="52084"/>
  <c r="C33" i="52093"/>
  <c r="L33" i="52093" s="1"/>
  <c r="L32" i="52093"/>
  <c r="C62" i="52093"/>
  <c r="C233" i="52093"/>
  <c r="C225" i="52093"/>
  <c r="C218" i="52093" s="1"/>
  <c r="C53" i="52093"/>
  <c r="C54" i="52093" s="1"/>
  <c r="J143" i="52103"/>
  <c r="M143" i="52103" s="1"/>
  <c r="K143" i="52103"/>
  <c r="E74" i="52102"/>
  <c r="B74" i="110"/>
  <c r="L74" i="110" s="1"/>
  <c r="N74" i="110" s="1"/>
  <c r="L74" i="32"/>
  <c r="L64" i="52093"/>
  <c r="I70" i="52093"/>
  <c r="F103" i="52093"/>
  <c r="J70" i="52093"/>
  <c r="L70" i="52093" s="1"/>
  <c r="C75" i="52077"/>
  <c r="J75" i="111"/>
  <c r="L75" i="52092"/>
  <c r="L165" i="52092"/>
  <c r="C233" i="52091"/>
  <c r="C62" i="52091"/>
  <c r="C225" i="52091"/>
  <c r="C53" i="52091"/>
  <c r="C54" i="52091" s="1"/>
  <c r="F60" i="52091" s="1"/>
  <c r="F235" i="52091" s="1"/>
  <c r="L21" i="52091"/>
  <c r="L170" i="52090"/>
  <c r="E172" i="111"/>
  <c r="H171" i="52076"/>
  <c r="B171" i="52076"/>
  <c r="B171" i="52104"/>
  <c r="M171" i="52104" s="1"/>
  <c r="L172" i="12"/>
  <c r="I74" i="52104"/>
  <c r="K74" i="52104" s="1"/>
  <c r="O182" i="52097"/>
  <c r="J171" i="52082"/>
  <c r="G185" i="148"/>
  <c r="G243" i="148" s="1"/>
  <c r="E93" i="52102"/>
  <c r="B93" i="110"/>
  <c r="L93" i="32"/>
  <c r="E100" i="52075"/>
  <c r="N100" i="111"/>
  <c r="L100" i="52080"/>
  <c r="J77" i="52092"/>
  <c r="L77" i="52092" s="1"/>
  <c r="C172" i="52103"/>
  <c r="M172" i="52103" s="1"/>
  <c r="C172" i="52084"/>
  <c r="E173" i="110"/>
  <c r="L173" i="52066"/>
  <c r="L19" i="52077"/>
  <c r="I139" i="52103"/>
  <c r="E139" i="110"/>
  <c r="C139" i="52103"/>
  <c r="M139" i="52103" s="1"/>
  <c r="C139" i="52084"/>
  <c r="H139" i="52084"/>
  <c r="L139" i="52066"/>
  <c r="B170" i="52103"/>
  <c r="F171" i="110"/>
  <c r="L171" i="110" s="1"/>
  <c r="B170" i="52084"/>
  <c r="B184" i="52084" s="1"/>
  <c r="B241" i="52084" s="1"/>
  <c r="H170" i="52084"/>
  <c r="H184" i="52084" s="1"/>
  <c r="H241" i="52084" s="1"/>
  <c r="L171" i="48"/>
  <c r="M176" i="111"/>
  <c r="B175" i="52075"/>
  <c r="I175" i="52075"/>
  <c r="L176" i="52095"/>
  <c r="L97" i="111"/>
  <c r="B97" i="52077"/>
  <c r="H97" i="52077"/>
  <c r="J97" i="52077" s="1"/>
  <c r="L97" i="52094"/>
  <c r="J168" i="52091"/>
  <c r="F242" i="52091"/>
  <c r="J242" i="52091" s="1"/>
  <c r="J21" i="52080"/>
  <c r="L21" i="52080" s="1"/>
  <c r="J100" i="52092"/>
  <c r="L100" i="52092" s="1"/>
  <c r="F236" i="52090"/>
  <c r="D175" i="52076"/>
  <c r="I175" i="52076" s="1"/>
  <c r="K176" i="111"/>
  <c r="D175" i="52077"/>
  <c r="I175" i="52077" s="1"/>
  <c r="L176" i="52093"/>
  <c r="D87" i="52076"/>
  <c r="I87" i="52076" s="1"/>
  <c r="K87" i="111"/>
  <c r="D87" i="52077"/>
  <c r="I87" i="52077" s="1"/>
  <c r="L87" i="52093"/>
  <c r="C162" i="52103"/>
  <c r="M162" i="52103" s="1"/>
  <c r="C162" i="52084"/>
  <c r="E163" i="110"/>
  <c r="L163" i="52066"/>
  <c r="C225" i="108"/>
  <c r="C233" i="108"/>
  <c r="C62" i="108"/>
  <c r="C53" i="108"/>
  <c r="C54" i="108" s="1"/>
  <c r="C126" i="52074"/>
  <c r="C126" i="111"/>
  <c r="R126" i="111" s="1"/>
  <c r="E126" i="52104"/>
  <c r="L126" i="115"/>
  <c r="C176" i="52077"/>
  <c r="J177" i="111"/>
  <c r="L177" i="52092"/>
  <c r="L96" i="48"/>
  <c r="I101" i="52104"/>
  <c r="O140" i="52097"/>
  <c r="H161" i="52098"/>
  <c r="J161" i="52098" s="1"/>
  <c r="G162" i="9"/>
  <c r="J21" i="52064"/>
  <c r="G51" i="52064"/>
  <c r="G156" i="52064"/>
  <c r="G239" i="105"/>
  <c r="J239" i="105" s="1"/>
  <c r="H116" i="105"/>
  <c r="G241" i="52079"/>
  <c r="H154" i="52079"/>
  <c r="C153" i="52083"/>
  <c r="C240" i="52083" s="1"/>
  <c r="J178" i="52082"/>
  <c r="I98" i="52083"/>
  <c r="H98" i="52083"/>
  <c r="C154" i="9"/>
  <c r="C241" i="9" s="1"/>
  <c r="H152" i="52090"/>
  <c r="L152" i="52090" s="1"/>
  <c r="H154" i="111"/>
  <c r="H241" i="111" s="1"/>
  <c r="J163" i="52082"/>
  <c r="L163" i="52082" s="1"/>
  <c r="G30" i="52100"/>
  <c r="H49" i="52100"/>
  <c r="L49" i="52100" s="1"/>
  <c r="H79" i="52100"/>
  <c r="L79" i="52100" s="1"/>
  <c r="G51" i="52100"/>
  <c r="G156" i="52100"/>
  <c r="B81" i="52102"/>
  <c r="H81" i="110"/>
  <c r="I81" i="52102"/>
  <c r="L81" i="52100"/>
  <c r="B98" i="52102"/>
  <c r="I98" i="52102"/>
  <c r="H98" i="110"/>
  <c r="L98" i="52100"/>
  <c r="K158" i="52102"/>
  <c r="M158" i="52102" s="1"/>
  <c r="H178" i="110"/>
  <c r="B177" i="52102"/>
  <c r="M177" i="52102" s="1"/>
  <c r="I177" i="52102"/>
  <c r="L178" i="52100"/>
  <c r="H150" i="52098"/>
  <c r="J150" i="52098" s="1"/>
  <c r="J74" i="52100"/>
  <c r="L74" i="52100" s="1"/>
  <c r="B91" i="52102"/>
  <c r="H91" i="110"/>
  <c r="I91" i="52102"/>
  <c r="K91" i="52102" s="1"/>
  <c r="L91" i="52100"/>
  <c r="B170" i="52102"/>
  <c r="H171" i="110"/>
  <c r="I170" i="52102"/>
  <c r="K170" i="52102" s="1"/>
  <c r="L171" i="52100"/>
  <c r="I170" i="52103"/>
  <c r="K170" i="52103" s="1"/>
  <c r="G101" i="9"/>
  <c r="H101" i="52098"/>
  <c r="H174" i="52098"/>
  <c r="C225" i="52064"/>
  <c r="C53" i="52064"/>
  <c r="C54" i="52064" s="1"/>
  <c r="C233" i="52064"/>
  <c r="C62" i="52064"/>
  <c r="C233" i="52072"/>
  <c r="C53" i="52072"/>
  <c r="C54" i="52072" s="1"/>
  <c r="C225" i="52072"/>
  <c r="C62" i="52072"/>
  <c r="J73" i="91"/>
  <c r="E73" i="52103"/>
  <c r="C73" i="110"/>
  <c r="L73" i="110" s="1"/>
  <c r="N73" i="110" s="1"/>
  <c r="I73" i="52103"/>
  <c r="K73" i="52103" s="1"/>
  <c r="L73" i="91"/>
  <c r="E67" i="52075"/>
  <c r="N67" i="111"/>
  <c r="R13" i="111"/>
  <c r="L73" i="111"/>
  <c r="B73" i="52077"/>
  <c r="H73" i="52077"/>
  <c r="J73" i="52077" s="1"/>
  <c r="J72" i="52092"/>
  <c r="L72" i="52092" s="1"/>
  <c r="E148" i="52102"/>
  <c r="B148" i="110"/>
  <c r="L148" i="110" s="1"/>
  <c r="I125" i="52075"/>
  <c r="B125" i="52075"/>
  <c r="M125" i="111"/>
  <c r="M92" i="52102"/>
  <c r="K78" i="52103"/>
  <c r="C78" i="110"/>
  <c r="E78" i="52103"/>
  <c r="I78" i="52103"/>
  <c r="E98" i="52102"/>
  <c r="B98" i="110"/>
  <c r="L98" i="110" s="1"/>
  <c r="B86" i="110"/>
  <c r="E86" i="52102"/>
  <c r="B165" i="52075"/>
  <c r="M166" i="111"/>
  <c r="I165" i="52075"/>
  <c r="E94" i="52075"/>
  <c r="N94" i="111"/>
  <c r="L185" i="52091"/>
  <c r="J169" i="52074"/>
  <c r="F184" i="52074"/>
  <c r="F243" i="20"/>
  <c r="J243" i="20" s="1"/>
  <c r="J185" i="20"/>
  <c r="L185" i="20" s="1"/>
  <c r="F200" i="52077"/>
  <c r="L200" i="52077" s="1"/>
  <c r="O77" i="52097"/>
  <c r="G77" i="233"/>
  <c r="J77" i="233" s="1"/>
  <c r="D21" i="52098"/>
  <c r="C177" i="52104"/>
  <c r="C177" i="52076"/>
  <c r="F178" i="111"/>
  <c r="C169" i="52098"/>
  <c r="C184" i="52098" s="1"/>
  <c r="C242" i="52098" s="1"/>
  <c r="C170" i="9"/>
  <c r="C185" i="9" s="1"/>
  <c r="G185" i="52064"/>
  <c r="G243" i="52064" s="1"/>
  <c r="F243" i="52064"/>
  <c r="I243" i="52064" s="1"/>
  <c r="J185" i="52064"/>
  <c r="H134" i="52098"/>
  <c r="B153" i="52098"/>
  <c r="C82" i="52077"/>
  <c r="L82" i="52077" s="1"/>
  <c r="J82" i="111"/>
  <c r="L82" i="52092"/>
  <c r="T170" i="111"/>
  <c r="P185" i="111"/>
  <c r="M170" i="111"/>
  <c r="M185" i="111" s="1"/>
  <c r="M243" i="111" s="1"/>
  <c r="B169" i="52075"/>
  <c r="B184" i="52075" s="1"/>
  <c r="B241" i="52075" s="1"/>
  <c r="G185" i="52095"/>
  <c r="G243" i="52095" s="1"/>
  <c r="J243" i="52095" s="1"/>
  <c r="I169" i="52075"/>
  <c r="I184" i="52075" s="1"/>
  <c r="I241" i="52075" s="1"/>
  <c r="L170" i="52095"/>
  <c r="F241" i="52079"/>
  <c r="I241" i="52079" s="1"/>
  <c r="J154" i="52079"/>
  <c r="J21" i="52087"/>
  <c r="G51" i="52087"/>
  <c r="G156" i="52087"/>
  <c r="H95" i="52087"/>
  <c r="F236" i="52087"/>
  <c r="F205" i="52087"/>
  <c r="F247" i="52087" s="1"/>
  <c r="G94" i="233"/>
  <c r="J94" i="233" s="1"/>
  <c r="G146" i="233"/>
  <c r="L154" i="52091"/>
  <c r="L241" i="52091"/>
  <c r="O163" i="52097"/>
  <c r="J81" i="52082"/>
  <c r="L86" i="52089"/>
  <c r="O68" i="52097"/>
  <c r="G239" i="52088"/>
  <c r="H116" i="52088"/>
  <c r="B77" i="52102"/>
  <c r="I77" i="52102"/>
  <c r="K77" i="52102" s="1"/>
  <c r="H77" i="110"/>
  <c r="L77" i="52100"/>
  <c r="M135" i="52102"/>
  <c r="B78" i="52102"/>
  <c r="M78" i="52102" s="1"/>
  <c r="H78" i="110"/>
  <c r="L78" i="52100"/>
  <c r="I194" i="52102"/>
  <c r="B194" i="52102"/>
  <c r="M194" i="52102" s="1"/>
  <c r="H195" i="110"/>
  <c r="L195" i="110" s="1"/>
  <c r="H149" i="52098"/>
  <c r="J149" i="52098" s="1"/>
  <c r="L111" i="52072"/>
  <c r="H151" i="52084"/>
  <c r="E100" i="52102"/>
  <c r="B100" i="110"/>
  <c r="L100" i="110" s="1"/>
  <c r="L100" i="32"/>
  <c r="J133" i="52103"/>
  <c r="K133" i="52103"/>
  <c r="J85" i="52103"/>
  <c r="K85" i="52103"/>
  <c r="J85" i="91"/>
  <c r="L85" i="91" s="1"/>
  <c r="J66" i="91"/>
  <c r="L66" i="91" s="1"/>
  <c r="J169" i="52084"/>
  <c r="F184" i="52084"/>
  <c r="I184" i="52084" s="1"/>
  <c r="F243" i="48"/>
  <c r="J243" i="48" s="1"/>
  <c r="J185" i="48"/>
  <c r="L185" i="48" s="1"/>
  <c r="E153" i="52102"/>
  <c r="E240" i="52102" s="1"/>
  <c r="C226" i="32"/>
  <c r="C218" i="32" s="1"/>
  <c r="J92" i="111"/>
  <c r="C92" i="52077"/>
  <c r="L92" i="52092"/>
  <c r="G30" i="32"/>
  <c r="G35" i="32" s="1"/>
  <c r="H79" i="32"/>
  <c r="L79" i="32" s="1"/>
  <c r="G51" i="32"/>
  <c r="J51" i="32" s="1"/>
  <c r="J233" i="32" s="1"/>
  <c r="H49" i="32"/>
  <c r="L49" i="32" s="1"/>
  <c r="G156" i="32"/>
  <c r="E21" i="52102"/>
  <c r="E51" i="52102" s="1"/>
  <c r="E232" i="52102" s="1"/>
  <c r="B101" i="52077"/>
  <c r="H101" i="52077"/>
  <c r="L101" i="111"/>
  <c r="L101" i="52094"/>
  <c r="H79" i="20"/>
  <c r="L79" i="20" s="1"/>
  <c r="G156" i="20"/>
  <c r="G51" i="20"/>
  <c r="G30" i="20"/>
  <c r="H49" i="20"/>
  <c r="L49" i="20" s="1"/>
  <c r="D21" i="111"/>
  <c r="K169" i="52104"/>
  <c r="G184" i="52104"/>
  <c r="F243" i="115"/>
  <c r="J185" i="115"/>
  <c r="I185" i="115"/>
  <c r="L185" i="115"/>
  <c r="H152" i="52072"/>
  <c r="L152" i="52072" s="1"/>
  <c r="D64" i="52102"/>
  <c r="D70" i="52102" s="1"/>
  <c r="D64" i="110"/>
  <c r="D70" i="110" s="1"/>
  <c r="G70" i="52072"/>
  <c r="G103" i="52072" s="1"/>
  <c r="J109" i="48"/>
  <c r="L109" i="48" s="1"/>
  <c r="I161" i="52103"/>
  <c r="K161" i="52103" s="1"/>
  <c r="M161" i="52103" s="1"/>
  <c r="C33" i="91"/>
  <c r="I9" i="52076"/>
  <c r="D21" i="52076"/>
  <c r="F233" i="52072"/>
  <c r="F62" i="52072"/>
  <c r="J51" i="52072"/>
  <c r="J233" i="52072" s="1"/>
  <c r="L126" i="111"/>
  <c r="H126" i="52077"/>
  <c r="B126" i="52077"/>
  <c r="L126" i="52077" s="1"/>
  <c r="L126" i="52094"/>
  <c r="J70" i="52091"/>
  <c r="L70" i="52091" s="1"/>
  <c r="F103" i="52091"/>
  <c r="I103" i="52091" s="1"/>
  <c r="C176" i="52104"/>
  <c r="F177" i="111"/>
  <c r="C176" i="52076"/>
  <c r="L177" i="77"/>
  <c r="J96" i="52089"/>
  <c r="L96" i="52089" s="1"/>
  <c r="E176" i="52075"/>
  <c r="N177" i="111"/>
  <c r="L177" i="52080"/>
  <c r="J83" i="52080"/>
  <c r="L83" i="52080" s="1"/>
  <c r="J165" i="52093"/>
  <c r="L165" i="52093" s="1"/>
  <c r="C114" i="52077"/>
  <c r="J114" i="111"/>
  <c r="L114" i="52092"/>
  <c r="J74" i="52092"/>
  <c r="L74" i="52092" s="1"/>
  <c r="C86" i="52103"/>
  <c r="C86" i="52084"/>
  <c r="E86" i="110"/>
  <c r="L86" i="52066"/>
  <c r="I98" i="52103"/>
  <c r="M98" i="52103" s="1"/>
  <c r="B203" i="52092"/>
  <c r="C222" i="52092"/>
  <c r="C254" i="52092" s="1"/>
  <c r="C245" i="52092"/>
  <c r="C223" i="52092"/>
  <c r="O16" i="52097"/>
  <c r="H94" i="52098"/>
  <c r="G85" i="9"/>
  <c r="B75" i="52104"/>
  <c r="B75" i="52076"/>
  <c r="E75" i="111"/>
  <c r="R75" i="111" s="1"/>
  <c r="H75" i="52076"/>
  <c r="L75" i="12"/>
  <c r="H124" i="52083"/>
  <c r="I124" i="52083"/>
  <c r="I16" i="52083"/>
  <c r="H16" i="52083"/>
  <c r="L107" i="111"/>
  <c r="B107" i="52077"/>
  <c r="L107" i="52077" s="1"/>
  <c r="H107" i="52077"/>
  <c r="L100" i="52077"/>
  <c r="B94" i="52103"/>
  <c r="F94" i="110"/>
  <c r="L94" i="110" s="1"/>
  <c r="B94" i="52084"/>
  <c r="H94" i="52084"/>
  <c r="L162" i="32"/>
  <c r="L72" i="111"/>
  <c r="H72" i="52077"/>
  <c r="J72" i="52077" s="1"/>
  <c r="B72" i="52077"/>
  <c r="L72" i="52094"/>
  <c r="D112" i="52076"/>
  <c r="I112" i="52076" s="1"/>
  <c r="K112" i="111"/>
  <c r="D112" i="52077"/>
  <c r="I112" i="52077" s="1"/>
  <c r="G107" i="111"/>
  <c r="D107" i="52074"/>
  <c r="C107" i="52102"/>
  <c r="N126" i="52104"/>
  <c r="I126" i="52104"/>
  <c r="M126" i="52104" s="1"/>
  <c r="I177" i="52104"/>
  <c r="I184" i="52104" s="1"/>
  <c r="I241" i="52104" s="1"/>
  <c r="B94" i="111"/>
  <c r="R94" i="111" s="1"/>
  <c r="C94" i="52075"/>
  <c r="C149" i="52075"/>
  <c r="C153" i="52075" s="1"/>
  <c r="C239" i="52075" s="1"/>
  <c r="B149" i="111"/>
  <c r="R149" i="111" s="1"/>
  <c r="L149" i="114"/>
  <c r="C173" i="52104"/>
  <c r="C173" i="52076"/>
  <c r="F174" i="111"/>
  <c r="D85" i="52074"/>
  <c r="G85" i="111"/>
  <c r="R85" i="111" s="1"/>
  <c r="C85" i="52102"/>
  <c r="F103" i="20"/>
  <c r="D64" i="111"/>
  <c r="D70" i="111" s="1"/>
  <c r="D64" i="52104"/>
  <c r="D70" i="52104" s="1"/>
  <c r="H64" i="52074"/>
  <c r="B64" i="52074"/>
  <c r="B70" i="52074" s="1"/>
  <c r="G70" i="20"/>
  <c r="G103" i="20" s="1"/>
  <c r="L64" i="20"/>
  <c r="O136" i="52097"/>
  <c r="J201" i="21"/>
  <c r="F200" i="52098"/>
  <c r="J200" i="52098" s="1"/>
  <c r="O183" i="52097"/>
  <c r="G126" i="9"/>
  <c r="G99" i="9"/>
  <c r="J87" i="52102"/>
  <c r="B87" i="52102"/>
  <c r="H87" i="110"/>
  <c r="I87" i="52102"/>
  <c r="K87" i="52102" s="1"/>
  <c r="M87" i="52102" s="1"/>
  <c r="B107" i="52102"/>
  <c r="H107" i="110"/>
  <c r="I107" i="52102"/>
  <c r="K118" i="52102"/>
  <c r="M118" i="52102" s="1"/>
  <c r="K156" i="52102"/>
  <c r="I156" i="52102"/>
  <c r="H157" i="110"/>
  <c r="L157" i="110" s="1"/>
  <c r="B156" i="52102"/>
  <c r="M156" i="52102" s="1"/>
  <c r="L157" i="52100"/>
  <c r="B175" i="52102"/>
  <c r="I175" i="52102"/>
  <c r="H176" i="110"/>
  <c r="L176" i="110" s="1"/>
  <c r="B187" i="52102"/>
  <c r="H188" i="110"/>
  <c r="L188" i="110" s="1"/>
  <c r="I187" i="52102"/>
  <c r="B195" i="52102"/>
  <c r="I195" i="52102"/>
  <c r="H196" i="110"/>
  <c r="L196" i="110" s="1"/>
  <c r="D70" i="52097"/>
  <c r="D103" i="52097" s="1"/>
  <c r="O174" i="52097"/>
  <c r="F243" i="21"/>
  <c r="I243" i="21" s="1"/>
  <c r="F184" i="52098"/>
  <c r="F242" i="52098" s="1"/>
  <c r="J185" i="21"/>
  <c r="F241" i="32"/>
  <c r="N131" i="110"/>
  <c r="J154" i="110"/>
  <c r="M154" i="110" s="1"/>
  <c r="M241" i="110" s="1"/>
  <c r="G154" i="32"/>
  <c r="L141" i="110"/>
  <c r="N141" i="110" s="1"/>
  <c r="B65" i="52102"/>
  <c r="H65" i="110"/>
  <c r="I65" i="52102"/>
  <c r="L65" i="52100"/>
  <c r="B84" i="52102"/>
  <c r="H84" i="110"/>
  <c r="I84" i="52102"/>
  <c r="K84" i="52102" s="1"/>
  <c r="B101" i="52102"/>
  <c r="I101" i="52102"/>
  <c r="H101" i="110"/>
  <c r="M134" i="52102"/>
  <c r="B82" i="52075"/>
  <c r="M82" i="111"/>
  <c r="I82" i="52075"/>
  <c r="K82" i="52075" s="1"/>
  <c r="L82" i="52095"/>
  <c r="G167" i="52075"/>
  <c r="G240" i="52075" s="1"/>
  <c r="F240" i="77"/>
  <c r="K106" i="52104"/>
  <c r="J106" i="52104"/>
  <c r="M106" i="52104" s="1"/>
  <c r="J78" i="52081"/>
  <c r="H152" i="52081"/>
  <c r="G154" i="110"/>
  <c r="G241" i="110" s="1"/>
  <c r="D153" i="52103"/>
  <c r="D239" i="52103" s="1"/>
  <c r="M154" i="111"/>
  <c r="M241" i="111" s="1"/>
  <c r="L118" i="52095"/>
  <c r="T118" i="111"/>
  <c r="S118" i="111"/>
  <c r="V118" i="111" s="1"/>
  <c r="P129" i="111"/>
  <c r="P240" i="111" s="1"/>
  <c r="I100" i="52075"/>
  <c r="K100" i="52075" s="1"/>
  <c r="C100" i="52075"/>
  <c r="B100" i="111"/>
  <c r="R100" i="111" s="1"/>
  <c r="C109" i="52076"/>
  <c r="C109" i="52104"/>
  <c r="M109" i="52104" s="1"/>
  <c r="F109" i="111"/>
  <c r="R109" i="111" s="1"/>
  <c r="F239" i="52081"/>
  <c r="I239" i="52081" s="1"/>
  <c r="J116" i="52081"/>
  <c r="G103" i="52097"/>
  <c r="G238" i="52097" s="1"/>
  <c r="D103" i="52082"/>
  <c r="D238" i="52082" s="1"/>
  <c r="H82" i="52083"/>
  <c r="I82" i="52083"/>
  <c r="K82" i="52083" s="1"/>
  <c r="G162" i="110"/>
  <c r="D161" i="52103"/>
  <c r="D161" i="52084"/>
  <c r="J84" i="52090"/>
  <c r="L84" i="52090" s="1"/>
  <c r="H84" i="52076"/>
  <c r="J84" i="52076" s="1"/>
  <c r="H160" i="52076"/>
  <c r="J160" i="52076" s="1"/>
  <c r="K110" i="52075"/>
  <c r="J77" i="52095"/>
  <c r="L77" i="52095" s="1"/>
  <c r="L151" i="52077"/>
  <c r="B73" i="52104"/>
  <c r="E73" i="111"/>
  <c r="B73" i="52076"/>
  <c r="H73" i="52076"/>
  <c r="J73" i="52076" s="1"/>
  <c r="H154" i="115"/>
  <c r="G241" i="115"/>
  <c r="J241" i="115" s="1"/>
  <c r="F240" i="114"/>
  <c r="I240" i="114" s="1"/>
  <c r="I129" i="114"/>
  <c r="G161" i="110"/>
  <c r="L161" i="110" s="1"/>
  <c r="D160" i="52084"/>
  <c r="D160" i="52103"/>
  <c r="D167" i="52103" s="1"/>
  <c r="D240" i="52103" s="1"/>
  <c r="G168" i="52081"/>
  <c r="J168" i="52081" s="1"/>
  <c r="D90" i="52103"/>
  <c r="D90" i="52084"/>
  <c r="G90" i="110"/>
  <c r="D94" i="52103"/>
  <c r="D94" i="52084"/>
  <c r="G94" i="110"/>
  <c r="L82" i="20"/>
  <c r="I67" i="52104"/>
  <c r="K67" i="52104" s="1"/>
  <c r="H66" i="52077"/>
  <c r="F239" i="52090"/>
  <c r="H105" i="111"/>
  <c r="G116" i="52090"/>
  <c r="D105" i="52075"/>
  <c r="L105" i="52090"/>
  <c r="G122" i="233"/>
  <c r="J122" i="233" s="1"/>
  <c r="C203" i="114"/>
  <c r="B103" i="114"/>
  <c r="C238" i="114"/>
  <c r="K103" i="114"/>
  <c r="K203" i="114" s="1"/>
  <c r="D96" i="52075"/>
  <c r="H96" i="111"/>
  <c r="J161" i="52082"/>
  <c r="L161" i="52082" s="1"/>
  <c r="R145" i="111"/>
  <c r="R146" i="111"/>
  <c r="L97" i="77"/>
  <c r="B103" i="12"/>
  <c r="C238" i="12"/>
  <c r="C203" i="12"/>
  <c r="K103" i="12"/>
  <c r="K203" i="12" s="1"/>
  <c r="K143" i="52104"/>
  <c r="G154" i="77"/>
  <c r="J154" i="77" s="1"/>
  <c r="C153" i="52104"/>
  <c r="C239" i="52104" s="1"/>
  <c r="F241" i="12"/>
  <c r="I241" i="12" s="1"/>
  <c r="J154" i="12"/>
  <c r="N143" i="52104"/>
  <c r="M143" i="52104"/>
  <c r="N145" i="52104"/>
  <c r="N144" i="52104"/>
  <c r="H77" i="52098"/>
  <c r="J77" i="52098" s="1"/>
  <c r="L118" i="52090"/>
  <c r="B182" i="52104"/>
  <c r="B182" i="52076"/>
  <c r="E183" i="111"/>
  <c r="H182" i="52076"/>
  <c r="J182" i="52076" s="1"/>
  <c r="L183" i="12"/>
  <c r="H110" i="52076"/>
  <c r="J110" i="52076" s="1"/>
  <c r="N110" i="52104"/>
  <c r="F240" i="52087"/>
  <c r="I240" i="52087" s="1"/>
  <c r="I129" i="52087"/>
  <c r="H164" i="52076"/>
  <c r="J164" i="52076" s="1"/>
  <c r="B164" i="52076"/>
  <c r="E165" i="111"/>
  <c r="R165" i="111" s="1"/>
  <c r="B164" i="52104"/>
  <c r="B162" i="111"/>
  <c r="R162" i="111" s="1"/>
  <c r="C161" i="52075"/>
  <c r="C167" i="52075" s="1"/>
  <c r="C240" i="52075" s="1"/>
  <c r="L162" i="114"/>
  <c r="E64" i="52104"/>
  <c r="E70" i="52104" s="1"/>
  <c r="C64" i="52074"/>
  <c r="C70" i="52074" s="1"/>
  <c r="C103" i="52074" s="1"/>
  <c r="C64" i="111"/>
  <c r="C70" i="111" s="1"/>
  <c r="I64" i="52104"/>
  <c r="I70" i="52104" s="1"/>
  <c r="G70" i="115"/>
  <c r="G103" i="115" s="1"/>
  <c r="G241" i="105"/>
  <c r="H154" i="105"/>
  <c r="B153" i="52083"/>
  <c r="H133" i="52083"/>
  <c r="I133" i="52083"/>
  <c r="D114" i="52075"/>
  <c r="H114" i="111"/>
  <c r="H116" i="111" s="1"/>
  <c r="H239" i="111" s="1"/>
  <c r="B90" i="52074"/>
  <c r="H90" i="52074"/>
  <c r="J90" i="52074" s="1"/>
  <c r="D90" i="111"/>
  <c r="R90" i="111" s="1"/>
  <c r="D90" i="52104"/>
  <c r="R163" i="111"/>
  <c r="L162" i="52077"/>
  <c r="H152" i="52094"/>
  <c r="L152" i="52094" s="1"/>
  <c r="B153" i="52077"/>
  <c r="B239" i="52077" s="1"/>
  <c r="L146" i="52077"/>
  <c r="H85" i="111"/>
  <c r="D85" i="52075"/>
  <c r="F129" i="52076"/>
  <c r="F239" i="52076" s="1"/>
  <c r="I160" i="52083"/>
  <c r="K160" i="52083" s="1"/>
  <c r="J112" i="20"/>
  <c r="L112" i="20" s="1"/>
  <c r="H112" i="52074"/>
  <c r="J112" i="52074" s="1"/>
  <c r="D112" i="111"/>
  <c r="R112" i="111" s="1"/>
  <c r="D112" i="52104"/>
  <c r="B112" i="52074"/>
  <c r="H85" i="52083"/>
  <c r="F241" i="105"/>
  <c r="J241" i="105" s="1"/>
  <c r="J154" i="105"/>
  <c r="I141" i="52083"/>
  <c r="K141" i="52083" s="1"/>
  <c r="H141" i="52083"/>
  <c r="H146" i="52083"/>
  <c r="I146" i="52083"/>
  <c r="H66" i="111"/>
  <c r="R66" i="111" s="1"/>
  <c r="D66" i="52075"/>
  <c r="K105" i="52104"/>
  <c r="G116" i="52104"/>
  <c r="F239" i="115"/>
  <c r="J116" i="115"/>
  <c r="I116" i="115"/>
  <c r="H66" i="52074"/>
  <c r="J66" i="52074" s="1"/>
  <c r="J147" i="77"/>
  <c r="L147" i="77" s="1"/>
  <c r="H114" i="52074"/>
  <c r="D114" i="111"/>
  <c r="D114" i="52104"/>
  <c r="B114" i="52074"/>
  <c r="L114" i="20"/>
  <c r="J80" i="114"/>
  <c r="L80" i="114" s="1"/>
  <c r="L148" i="20"/>
  <c r="F239" i="20"/>
  <c r="J116" i="20"/>
  <c r="H150" i="52083"/>
  <c r="I150" i="52083"/>
  <c r="K150" i="52083" s="1"/>
  <c r="J97" i="115"/>
  <c r="L97" i="115" s="1"/>
  <c r="E97" i="52104"/>
  <c r="I97" i="52104"/>
  <c r="K97" i="52104" s="1"/>
  <c r="M97" i="52104" s="1"/>
  <c r="C97" i="111"/>
  <c r="R97" i="111" s="1"/>
  <c r="C97" i="52074"/>
  <c r="I83" i="52083"/>
  <c r="K83" i="52083" s="1"/>
  <c r="B203" i="52088"/>
  <c r="C245" i="52088"/>
  <c r="C222" i="52088"/>
  <c r="C254" i="52088" s="1"/>
  <c r="C223" i="52088"/>
  <c r="O122" i="52097"/>
  <c r="I164" i="52083"/>
  <c r="K164" i="52083" s="1"/>
  <c r="L75" i="20"/>
  <c r="L94" i="52072"/>
  <c r="L171" i="77"/>
  <c r="L172" i="52093"/>
  <c r="L107" i="115"/>
  <c r="L178" i="52080"/>
  <c r="L78" i="52080"/>
  <c r="L147" i="48"/>
  <c r="L171" i="52095"/>
  <c r="L160" i="52100"/>
  <c r="L112" i="52089"/>
  <c r="L177" i="12"/>
  <c r="L67" i="52089"/>
  <c r="L83" i="32"/>
  <c r="L94" i="77"/>
  <c r="L72" i="52066"/>
  <c r="L178" i="52072"/>
  <c r="L175" i="32"/>
  <c r="L175" i="52095"/>
  <c r="L181" i="114"/>
  <c r="L161" i="52094"/>
  <c r="L78" i="52066"/>
  <c r="L181" i="20"/>
  <c r="L75" i="52100"/>
  <c r="L111" i="52100"/>
  <c r="L161" i="52100"/>
  <c r="L96" i="77"/>
  <c r="L77" i="52094"/>
  <c r="L90" i="52090"/>
  <c r="L149" i="12"/>
  <c r="L183" i="52089"/>
  <c r="L126" i="52072"/>
  <c r="L183" i="52066"/>
  <c r="L126" i="52095"/>
  <c r="L172" i="52094"/>
  <c r="L97" i="114"/>
  <c r="L174" i="12"/>
  <c r="L107" i="48"/>
  <c r="L166" i="114"/>
  <c r="L96" i="20"/>
  <c r="G99" i="233"/>
  <c r="J99" i="233" s="1"/>
  <c r="L84" i="32"/>
  <c r="L147" i="52092"/>
  <c r="L126" i="52092"/>
  <c r="L65" i="12"/>
  <c r="L149" i="52089"/>
  <c r="L178" i="32"/>
  <c r="L109" i="32"/>
  <c r="L94" i="115"/>
  <c r="L75" i="52093"/>
  <c r="L107" i="52090"/>
  <c r="L73" i="32"/>
  <c r="L80" i="52095"/>
  <c r="L80" i="52072"/>
  <c r="L166" i="77"/>
  <c r="G95" i="52092"/>
  <c r="L181" i="52095"/>
  <c r="L126" i="91"/>
  <c r="L164" i="52100"/>
  <c r="L114" i="52072"/>
  <c r="L101" i="12"/>
  <c r="L93" i="52094"/>
  <c r="L93" i="20"/>
  <c r="L75" i="52072"/>
  <c r="L87" i="91"/>
  <c r="L80" i="52080"/>
  <c r="L107" i="32"/>
  <c r="L181" i="52080"/>
  <c r="L87" i="12"/>
  <c r="L81" i="48"/>
  <c r="L83" i="52100"/>
  <c r="L133" i="52100"/>
  <c r="L172" i="52100"/>
  <c r="L109" i="20"/>
  <c r="L162" i="12"/>
  <c r="L161" i="52066"/>
  <c r="L81" i="32"/>
  <c r="L93" i="52095"/>
  <c r="L137" i="52072"/>
  <c r="L177" i="52090"/>
  <c r="L166" i="12"/>
  <c r="L78" i="77"/>
  <c r="L111" i="32"/>
  <c r="L183" i="20"/>
  <c r="L114" i="52100"/>
  <c r="L175" i="77"/>
  <c r="L172" i="91"/>
  <c r="L97" i="52089"/>
  <c r="L181" i="52100"/>
  <c r="L90" i="12"/>
  <c r="M179" i="52104"/>
  <c r="L82" i="52090"/>
  <c r="I170" i="93"/>
  <c r="G172" i="93"/>
  <c r="E236" i="52074"/>
  <c r="E202" i="52074"/>
  <c r="E237" i="52098"/>
  <c r="G238" i="52082"/>
  <c r="G203" i="52082"/>
  <c r="F33" i="52104"/>
  <c r="L33" i="115"/>
  <c r="H103" i="52093"/>
  <c r="G238" i="52093"/>
  <c r="J103" i="52093"/>
  <c r="I95" i="52077"/>
  <c r="E54" i="52071"/>
  <c r="E205" i="52071"/>
  <c r="E222" i="115"/>
  <c r="E254" i="115" s="1"/>
  <c r="E223" i="115"/>
  <c r="E245" i="115"/>
  <c r="G46" i="52082"/>
  <c r="G47" i="52082" s="1"/>
  <c r="G53" i="52082"/>
  <c r="L209" i="233"/>
  <c r="J217" i="9"/>
  <c r="E54" i="115"/>
  <c r="E205" i="115"/>
  <c r="E223" i="52088"/>
  <c r="I203" i="52088"/>
  <c r="E245" i="52088"/>
  <c r="E222" i="52088"/>
  <c r="E254" i="52088" s="1"/>
  <c r="I209" i="52100"/>
  <c r="E217" i="52100"/>
  <c r="H238" i="52097"/>
  <c r="E205" i="52088"/>
  <c r="I203" i="52071"/>
  <c r="E202" i="52098"/>
  <c r="E222" i="52071"/>
  <c r="E254" i="52071" s="1"/>
  <c r="E223" i="52071"/>
  <c r="E245" i="52071"/>
  <c r="K250" i="52076"/>
  <c r="U218" i="111"/>
  <c r="I95" i="52076"/>
  <c r="V136" i="111"/>
  <c r="E47" i="52071"/>
  <c r="E46" i="52098"/>
  <c r="E54" i="52087"/>
  <c r="E205" i="52087"/>
  <c r="E245" i="52067"/>
  <c r="E222" i="52067"/>
  <c r="E254" i="52067" s="1"/>
  <c r="E223" i="52067"/>
  <c r="F202" i="52104"/>
  <c r="F236" i="52104"/>
  <c r="I203" i="52087"/>
  <c r="E222" i="52087"/>
  <c r="E254" i="52087" s="1"/>
  <c r="E245" i="52087"/>
  <c r="E223" i="52087"/>
  <c r="Q78" i="52097"/>
  <c r="N78" i="52097"/>
  <c r="C78" i="233"/>
  <c r="E243" i="52077"/>
  <c r="G236" i="114"/>
  <c r="G60" i="114"/>
  <c r="J62" i="114"/>
  <c r="B46" i="111"/>
  <c r="B47" i="111" s="1"/>
  <c r="B53" i="111"/>
  <c r="B54" i="111" s="1"/>
  <c r="M156" i="21"/>
  <c r="M51" i="21"/>
  <c r="H21" i="52098" l="1"/>
  <c r="H33" i="52098" s="1"/>
  <c r="C218" i="52087"/>
  <c r="C218" i="52072"/>
  <c r="C218" i="52064"/>
  <c r="C218" i="52091"/>
  <c r="C218" i="148"/>
  <c r="C218" i="52088"/>
  <c r="C218" i="91"/>
  <c r="C218" i="20"/>
  <c r="C218" i="48"/>
  <c r="Q97" i="111"/>
  <c r="D97" i="233"/>
  <c r="T97" i="111"/>
  <c r="D90" i="233"/>
  <c r="Q90" i="111"/>
  <c r="T90" i="111"/>
  <c r="E161" i="233"/>
  <c r="K161" i="110"/>
  <c r="N161" i="110"/>
  <c r="M84" i="52102"/>
  <c r="D238" i="52097"/>
  <c r="K100" i="110"/>
  <c r="E100" i="233"/>
  <c r="N100" i="110"/>
  <c r="E148" i="233"/>
  <c r="K148" i="110"/>
  <c r="N148" i="110"/>
  <c r="Q122" i="111"/>
  <c r="D122" i="233"/>
  <c r="T122" i="111"/>
  <c r="D181" i="233"/>
  <c r="Q181" i="111"/>
  <c r="V181" i="111" s="1"/>
  <c r="E124" i="233"/>
  <c r="K124" i="110"/>
  <c r="I124" i="233"/>
  <c r="K124" i="233" s="1"/>
  <c r="N124" i="110"/>
  <c r="H51" i="52098"/>
  <c r="D73" i="233"/>
  <c r="Q73" i="111"/>
  <c r="T73" i="111"/>
  <c r="I82" i="233"/>
  <c r="K82" i="233" s="1"/>
  <c r="D82" i="233"/>
  <c r="Q82" i="111"/>
  <c r="T82" i="111"/>
  <c r="Q83" i="111"/>
  <c r="D83" i="233"/>
  <c r="I83" i="233"/>
  <c r="K83" i="233" s="1"/>
  <c r="T83" i="111"/>
  <c r="D77" i="233"/>
  <c r="Q77" i="111"/>
  <c r="T77" i="111"/>
  <c r="D101" i="233"/>
  <c r="Q101" i="111"/>
  <c r="V101" i="111" s="1"/>
  <c r="Q176" i="111"/>
  <c r="D176" i="233"/>
  <c r="I176" i="233"/>
  <c r="E136" i="233"/>
  <c r="K136" i="110"/>
  <c r="Q125" i="111"/>
  <c r="V125" i="111" s="1"/>
  <c r="D125" i="233"/>
  <c r="M148" i="52103"/>
  <c r="Q161" i="111"/>
  <c r="D161" i="233"/>
  <c r="T161" i="111"/>
  <c r="E82" i="233"/>
  <c r="K82" i="110"/>
  <c r="N82" i="110"/>
  <c r="Q182" i="111"/>
  <c r="V182" i="111" s="1"/>
  <c r="D182" i="233"/>
  <c r="D175" i="233"/>
  <c r="Q175" i="111"/>
  <c r="V175" i="111" s="1"/>
  <c r="E112" i="233"/>
  <c r="K112" i="110"/>
  <c r="N112" i="110"/>
  <c r="Q86" i="111"/>
  <c r="D86" i="233"/>
  <c r="T86" i="111"/>
  <c r="Q66" i="111"/>
  <c r="D66" i="233"/>
  <c r="T66" i="111"/>
  <c r="D112" i="233"/>
  <c r="Q112" i="111"/>
  <c r="H112" i="233" s="1"/>
  <c r="I112" i="233"/>
  <c r="K112" i="233" s="1"/>
  <c r="T112" i="111"/>
  <c r="K70" i="52104"/>
  <c r="C236" i="52074"/>
  <c r="Q162" i="111"/>
  <c r="V162" i="111" s="1"/>
  <c r="D162" i="233"/>
  <c r="T162" i="111"/>
  <c r="D109" i="233"/>
  <c r="Q109" i="111"/>
  <c r="T109" i="111"/>
  <c r="D85" i="233"/>
  <c r="Q85" i="111"/>
  <c r="T85" i="111"/>
  <c r="D149" i="233"/>
  <c r="Q149" i="111"/>
  <c r="T149" i="111"/>
  <c r="E94" i="233"/>
  <c r="K94" i="110"/>
  <c r="N94" i="110"/>
  <c r="D75" i="233"/>
  <c r="Q75" i="111"/>
  <c r="L35" i="32"/>
  <c r="E35" i="52102"/>
  <c r="B35" i="110"/>
  <c r="D126" i="233"/>
  <c r="Q126" i="111"/>
  <c r="V126" i="111" s="1"/>
  <c r="E171" i="233"/>
  <c r="K171" i="110"/>
  <c r="N171" i="110"/>
  <c r="D180" i="233"/>
  <c r="Q180" i="111"/>
  <c r="T180" i="111"/>
  <c r="Q98" i="111"/>
  <c r="D98" i="233"/>
  <c r="T98" i="111"/>
  <c r="I98" i="233"/>
  <c r="K98" i="233" s="1"/>
  <c r="C239" i="52077"/>
  <c r="K180" i="110"/>
  <c r="E180" i="233"/>
  <c r="I90" i="233"/>
  <c r="K90" i="233" s="1"/>
  <c r="Q84" i="111"/>
  <c r="D84" i="233"/>
  <c r="T84" i="111"/>
  <c r="Q148" i="111"/>
  <c r="D148" i="233"/>
  <c r="I148" i="233"/>
  <c r="K148" i="233" s="1"/>
  <c r="Q72" i="111"/>
  <c r="D72" i="233"/>
  <c r="T72" i="111"/>
  <c r="M80" i="52103"/>
  <c r="L35" i="52090"/>
  <c r="D35" i="52075"/>
  <c r="H35" i="111"/>
  <c r="D174" i="233"/>
  <c r="Q174" i="111"/>
  <c r="V174" i="111" s="1"/>
  <c r="E165" i="233"/>
  <c r="K165" i="110"/>
  <c r="N165" i="110"/>
  <c r="D178" i="233"/>
  <c r="Q178" i="111"/>
  <c r="V178" i="111" s="1"/>
  <c r="Q93" i="111"/>
  <c r="D93" i="233"/>
  <c r="T93" i="111"/>
  <c r="V93" i="111" s="1"/>
  <c r="B239" i="52104"/>
  <c r="V90" i="111"/>
  <c r="I66" i="233"/>
  <c r="K66" i="233" s="1"/>
  <c r="E66" i="233"/>
  <c r="K66" i="110"/>
  <c r="N66" i="110"/>
  <c r="T76" i="111"/>
  <c r="Q76" i="111"/>
  <c r="D76" i="233"/>
  <c r="I76" i="233"/>
  <c r="K76" i="233" s="1"/>
  <c r="M74" i="52104"/>
  <c r="E83" i="233"/>
  <c r="K83" i="110"/>
  <c r="N83" i="110"/>
  <c r="E90" i="233"/>
  <c r="K90" i="110"/>
  <c r="N90" i="110"/>
  <c r="C95" i="52077"/>
  <c r="C103" i="52077" s="1"/>
  <c r="J95" i="111"/>
  <c r="H95" i="52092"/>
  <c r="L95" i="52092"/>
  <c r="J95" i="52092"/>
  <c r="G237" i="52104"/>
  <c r="J116" i="52104"/>
  <c r="J237" i="52104" s="1"/>
  <c r="Q163" i="111"/>
  <c r="D163" i="233"/>
  <c r="H103" i="115"/>
  <c r="G238" i="115"/>
  <c r="C103" i="111"/>
  <c r="E103" i="52104"/>
  <c r="N164" i="52104"/>
  <c r="M164" i="52104"/>
  <c r="N182" i="52104"/>
  <c r="M182" i="52104"/>
  <c r="B203" i="12"/>
  <c r="C245" i="12"/>
  <c r="C223" i="12"/>
  <c r="C222" i="12"/>
  <c r="C254" i="12" s="1"/>
  <c r="D146" i="233"/>
  <c r="Q146" i="111"/>
  <c r="C245" i="114"/>
  <c r="B203" i="114"/>
  <c r="C222" i="114"/>
  <c r="C254" i="114" s="1"/>
  <c r="C223" i="114"/>
  <c r="G239" i="52090"/>
  <c r="H116" i="52090"/>
  <c r="J116" i="52090"/>
  <c r="H70" i="52077"/>
  <c r="J66" i="52077"/>
  <c r="L66" i="52077" s="1"/>
  <c r="M73" i="52104"/>
  <c r="N73" i="52104"/>
  <c r="D100" i="233"/>
  <c r="Q100" i="111"/>
  <c r="M101" i="52102"/>
  <c r="M65" i="52102"/>
  <c r="H154" i="32"/>
  <c r="G241" i="32"/>
  <c r="J154" i="32"/>
  <c r="M187" i="52102"/>
  <c r="K157" i="110"/>
  <c r="H157" i="233" s="1"/>
  <c r="E157" i="233"/>
  <c r="I157" i="233"/>
  <c r="K157" i="233" s="1"/>
  <c r="B126" i="233"/>
  <c r="F126" i="9"/>
  <c r="C136" i="233"/>
  <c r="N136" i="52097"/>
  <c r="G238" i="20"/>
  <c r="H103" i="20"/>
  <c r="L103" i="20" s="1"/>
  <c r="H70" i="52074"/>
  <c r="H103" i="52074" s="1"/>
  <c r="H236" i="52074" s="1"/>
  <c r="D103" i="111"/>
  <c r="J70" i="20"/>
  <c r="Q94" i="111"/>
  <c r="D94" i="233"/>
  <c r="N75" i="52104"/>
  <c r="M75" i="52104"/>
  <c r="F236" i="52072"/>
  <c r="D51" i="52076"/>
  <c r="D232" i="52076" s="1"/>
  <c r="I21" i="52076"/>
  <c r="H103" i="52072"/>
  <c r="G238" i="52072"/>
  <c r="G241" i="52104"/>
  <c r="K184" i="52104"/>
  <c r="K241" i="52104" s="1"/>
  <c r="J184" i="52104"/>
  <c r="J241" i="52104" s="1"/>
  <c r="D51" i="111"/>
  <c r="G28" i="20"/>
  <c r="G24" i="20"/>
  <c r="D156" i="111"/>
  <c r="D168" i="111" s="1"/>
  <c r="D242" i="111" s="1"/>
  <c r="G168" i="20"/>
  <c r="B155" i="52074"/>
  <c r="B167" i="52074" s="1"/>
  <c r="B240" i="52074" s="1"/>
  <c r="D155" i="52104"/>
  <c r="D167" i="52104" s="1"/>
  <c r="D240" i="52104" s="1"/>
  <c r="H155" i="52074"/>
  <c r="J156" i="20"/>
  <c r="L156" i="20" s="1"/>
  <c r="N68" i="52097"/>
  <c r="C68" i="233"/>
  <c r="Q68" i="52097"/>
  <c r="J146" i="233"/>
  <c r="G62" i="52087"/>
  <c r="G233" i="52087"/>
  <c r="J51" i="52087"/>
  <c r="J233" i="52087" s="1"/>
  <c r="G127" i="52087"/>
  <c r="H153" i="52098"/>
  <c r="B240" i="52098"/>
  <c r="D51" i="52098"/>
  <c r="D47" i="52098"/>
  <c r="D33" i="52098"/>
  <c r="N77" i="52097"/>
  <c r="C77" i="233"/>
  <c r="Q77" i="52097"/>
  <c r="F241" i="52074"/>
  <c r="I184" i="52074"/>
  <c r="I241" i="52074" s="1"/>
  <c r="V73" i="111"/>
  <c r="L51" i="52072"/>
  <c r="M170" i="52102"/>
  <c r="J156" i="52100"/>
  <c r="B155" i="52102"/>
  <c r="B167" i="52102" s="1"/>
  <c r="H156" i="110"/>
  <c r="H168" i="110" s="1"/>
  <c r="H242" i="110" s="1"/>
  <c r="G168" i="52100"/>
  <c r="L156" i="52100"/>
  <c r="I155" i="52102"/>
  <c r="G24" i="52100"/>
  <c r="G28" i="52100"/>
  <c r="G35" i="52100"/>
  <c r="G36" i="52100"/>
  <c r="L30" i="52100"/>
  <c r="J241" i="52079"/>
  <c r="G62" i="52064"/>
  <c r="G233" i="52064"/>
  <c r="G127" i="52064"/>
  <c r="J51" i="52064"/>
  <c r="J233" i="52064" s="1"/>
  <c r="B162" i="233"/>
  <c r="I162" i="9"/>
  <c r="F162" i="9"/>
  <c r="N140" i="52097"/>
  <c r="Q140" i="52097"/>
  <c r="C140" i="233"/>
  <c r="V176" i="111"/>
  <c r="L97" i="52077"/>
  <c r="M170" i="52103"/>
  <c r="C236" i="52091"/>
  <c r="C205" i="52091"/>
  <c r="C236" i="52093"/>
  <c r="C205" i="52093"/>
  <c r="V85" i="111"/>
  <c r="B95" i="233"/>
  <c r="F95" i="9"/>
  <c r="G51" i="52097"/>
  <c r="G46" i="52097"/>
  <c r="G47" i="52097" s="1"/>
  <c r="G32" i="52097"/>
  <c r="G33" i="52097" s="1"/>
  <c r="G156" i="52097"/>
  <c r="G168" i="52097" s="1"/>
  <c r="G242" i="52097" s="1"/>
  <c r="G168" i="101"/>
  <c r="J156" i="101"/>
  <c r="D156" i="52082"/>
  <c r="D168" i="52082" s="1"/>
  <c r="D242" i="52082" s="1"/>
  <c r="G53" i="52083"/>
  <c r="G54" i="52083" s="1"/>
  <c r="G232" i="52083"/>
  <c r="G28" i="52066"/>
  <c r="G24" i="52066"/>
  <c r="G36" i="52066"/>
  <c r="L30" i="52066"/>
  <c r="G127" i="52066"/>
  <c r="G233" i="52066"/>
  <c r="E75" i="233"/>
  <c r="K75" i="110"/>
  <c r="G103" i="52103"/>
  <c r="E238" i="9"/>
  <c r="E203" i="9"/>
  <c r="E245" i="9" s="1"/>
  <c r="I171" i="9"/>
  <c r="B171" i="233"/>
  <c r="F171" i="9"/>
  <c r="B32" i="52083"/>
  <c r="B51" i="52083"/>
  <c r="B46" i="52083"/>
  <c r="B47" i="52083" s="1"/>
  <c r="I21" i="52083"/>
  <c r="H21" i="52083"/>
  <c r="N146" i="52097"/>
  <c r="C146" i="233"/>
  <c r="Q146" i="52097"/>
  <c r="C88" i="233"/>
  <c r="N88" i="52097"/>
  <c r="Q88" i="52097"/>
  <c r="I88" i="233"/>
  <c r="K88" i="233" s="1"/>
  <c r="E174" i="93"/>
  <c r="H172" i="93"/>
  <c r="G36" i="20"/>
  <c r="G35" i="20"/>
  <c r="F243" i="233"/>
  <c r="E54" i="148"/>
  <c r="E205" i="148"/>
  <c r="E54" i="108"/>
  <c r="E205" i="108"/>
  <c r="E236" i="52093"/>
  <c r="I236" i="52093" s="1"/>
  <c r="I62" i="52093"/>
  <c r="E54" i="52079"/>
  <c r="E205" i="52079"/>
  <c r="I62" i="52079"/>
  <c r="E236" i="52079"/>
  <c r="I236" i="52079" s="1"/>
  <c r="Q150" i="111"/>
  <c r="D150" i="233"/>
  <c r="T150" i="111"/>
  <c r="R114" i="111"/>
  <c r="F116" i="111"/>
  <c r="F239" i="111" s="1"/>
  <c r="G238" i="52071"/>
  <c r="J238" i="52071" s="1"/>
  <c r="J103" i="52071"/>
  <c r="H103" i="52071"/>
  <c r="I238" i="52097"/>
  <c r="B203" i="77"/>
  <c r="C245" i="77"/>
  <c r="C222" i="77"/>
  <c r="C254" i="77" s="1"/>
  <c r="C223" i="77"/>
  <c r="H103" i="105"/>
  <c r="G238" i="105"/>
  <c r="G241" i="52083"/>
  <c r="J167" i="52083"/>
  <c r="J241" i="52083" s="1"/>
  <c r="D147" i="233"/>
  <c r="Q147" i="111"/>
  <c r="H95" i="77"/>
  <c r="C95" i="52076"/>
  <c r="F95" i="111"/>
  <c r="C95" i="52104"/>
  <c r="L95" i="77"/>
  <c r="J95" i="77"/>
  <c r="H95" i="52076"/>
  <c r="J95" i="52076" s="1"/>
  <c r="I95" i="52104"/>
  <c r="K95" i="52104" s="1"/>
  <c r="R110" i="111"/>
  <c r="G236" i="52075"/>
  <c r="G202" i="52075"/>
  <c r="P103" i="111"/>
  <c r="P239" i="111"/>
  <c r="S116" i="111"/>
  <c r="S239" i="111" s="1"/>
  <c r="K88" i="110"/>
  <c r="E88" i="233"/>
  <c r="M88" i="52102"/>
  <c r="I70" i="52102"/>
  <c r="B70" i="52102"/>
  <c r="B103" i="52102" s="1"/>
  <c r="M95" i="111"/>
  <c r="H95" i="52095"/>
  <c r="J95" i="52095"/>
  <c r="L95" i="52095" s="1"/>
  <c r="B95" i="52075"/>
  <c r="I95" i="52075"/>
  <c r="K95" i="52075" s="1"/>
  <c r="L173" i="52077"/>
  <c r="C116" i="52077"/>
  <c r="C237" i="52077" s="1"/>
  <c r="V149" i="111"/>
  <c r="K177" i="110"/>
  <c r="E177" i="233"/>
  <c r="K110" i="110"/>
  <c r="E110" i="233"/>
  <c r="F239" i="52084"/>
  <c r="E239" i="9"/>
  <c r="G116" i="233"/>
  <c r="J105" i="233"/>
  <c r="J51" i="110"/>
  <c r="J233" i="110" s="1"/>
  <c r="C116" i="52102"/>
  <c r="C238" i="52102" s="1"/>
  <c r="D116" i="52074"/>
  <c r="D237" i="52074" s="1"/>
  <c r="F51" i="111"/>
  <c r="G168" i="77"/>
  <c r="C155" i="52076"/>
  <c r="C167" i="52076" s="1"/>
  <c r="C241" i="52076" s="1"/>
  <c r="C155" i="52104"/>
  <c r="C167" i="52104" s="1"/>
  <c r="C240" i="52104" s="1"/>
  <c r="F156" i="111"/>
  <c r="F168" i="111" s="1"/>
  <c r="F242" i="111" s="1"/>
  <c r="J156" i="77"/>
  <c r="L156" i="77" s="1"/>
  <c r="G28" i="77"/>
  <c r="G24" i="77"/>
  <c r="G36" i="77"/>
  <c r="G35" i="77"/>
  <c r="L30" i="77"/>
  <c r="J243" i="52066"/>
  <c r="C184" i="52103"/>
  <c r="C241" i="52103" s="1"/>
  <c r="G237" i="52103"/>
  <c r="G239" i="91"/>
  <c r="H116" i="91"/>
  <c r="L163" i="110"/>
  <c r="I163" i="233" s="1"/>
  <c r="K163" i="233" s="1"/>
  <c r="I243" i="12"/>
  <c r="I190" i="233"/>
  <c r="E190" i="233"/>
  <c r="K190" i="110"/>
  <c r="H190" i="233" s="1"/>
  <c r="M189" i="52102"/>
  <c r="K145" i="110"/>
  <c r="E145" i="233"/>
  <c r="C75" i="233"/>
  <c r="N75" i="52097"/>
  <c r="F239" i="52098"/>
  <c r="I129" i="52098"/>
  <c r="I239" i="52098" s="1"/>
  <c r="F241" i="52098"/>
  <c r="I167" i="52098"/>
  <c r="I241" i="52098" s="1"/>
  <c r="G233" i="52089"/>
  <c r="G127" i="52089"/>
  <c r="J156" i="52089"/>
  <c r="L156" i="52089" s="1"/>
  <c r="G156" i="111"/>
  <c r="G168" i="111" s="1"/>
  <c r="G242" i="111" s="1"/>
  <c r="G168" i="52089"/>
  <c r="D155" i="52074"/>
  <c r="D167" i="52074" s="1"/>
  <c r="D240" i="52074" s="1"/>
  <c r="C155" i="52102"/>
  <c r="C167" i="52102" s="1"/>
  <c r="C241" i="52102" s="1"/>
  <c r="B51" i="52097"/>
  <c r="B46" i="52097"/>
  <c r="B47" i="52097" s="1"/>
  <c r="B32" i="52097"/>
  <c r="B33" i="52097" s="1"/>
  <c r="L61" i="52097"/>
  <c r="E106" i="233"/>
  <c r="K106" i="110"/>
  <c r="N106" i="110"/>
  <c r="H95" i="52094"/>
  <c r="L95" i="111"/>
  <c r="J95" i="52094"/>
  <c r="B95" i="52077"/>
  <c r="B103" i="52077" s="1"/>
  <c r="H95" i="52077"/>
  <c r="J95" i="52077" s="1"/>
  <c r="J156" i="52094"/>
  <c r="L156" i="52094" s="1"/>
  <c r="L156" i="111"/>
  <c r="L168" i="111" s="1"/>
  <c r="L242" i="111" s="1"/>
  <c r="B155" i="52077"/>
  <c r="B167" i="52077" s="1"/>
  <c r="B240" i="52077" s="1"/>
  <c r="G168" i="52094"/>
  <c r="H155" i="52077"/>
  <c r="G127" i="52094"/>
  <c r="J51" i="52094"/>
  <c r="G233" i="52094"/>
  <c r="E70" i="52075"/>
  <c r="E103" i="52075" s="1"/>
  <c r="G233" i="52092"/>
  <c r="G127" i="52092"/>
  <c r="C155" i="52077"/>
  <c r="C167" i="52077" s="1"/>
  <c r="C240" i="52077" s="1"/>
  <c r="G168" i="52092"/>
  <c r="J156" i="111"/>
  <c r="J156" i="52092"/>
  <c r="L156" i="52092" s="1"/>
  <c r="L107" i="110"/>
  <c r="B166" i="233"/>
  <c r="F166" i="9"/>
  <c r="E175" i="233"/>
  <c r="K175" i="110"/>
  <c r="F174" i="93"/>
  <c r="I46" i="52096" s="1"/>
  <c r="F175" i="93"/>
  <c r="J46" i="52096" s="1"/>
  <c r="F206" i="93"/>
  <c r="L180" i="52077"/>
  <c r="K76" i="52103"/>
  <c r="M76" i="52103" s="1"/>
  <c r="F13" i="9"/>
  <c r="B13" i="233"/>
  <c r="I13" i="233"/>
  <c r="K13" i="233" s="1"/>
  <c r="B70" i="52097"/>
  <c r="B103" i="52097" s="1"/>
  <c r="B238" i="52097" s="1"/>
  <c r="O64" i="52097"/>
  <c r="F238" i="148"/>
  <c r="I238" i="148" s="1"/>
  <c r="F203" i="148"/>
  <c r="J103" i="148"/>
  <c r="I103" i="148"/>
  <c r="R183" i="111"/>
  <c r="E17" i="233"/>
  <c r="K17" i="110"/>
  <c r="C236" i="148"/>
  <c r="C205" i="148"/>
  <c r="B152" i="233"/>
  <c r="F152" i="9"/>
  <c r="I152" i="233"/>
  <c r="F146" i="9"/>
  <c r="B146" i="233"/>
  <c r="I146" i="233"/>
  <c r="K146" i="233" s="1"/>
  <c r="B18" i="233"/>
  <c r="F18" i="9"/>
  <c r="I18" i="233"/>
  <c r="L233" i="114"/>
  <c r="E245" i="21"/>
  <c r="E245" i="52066"/>
  <c r="E223" i="52066"/>
  <c r="E222" i="52066"/>
  <c r="E254" i="52066" s="1"/>
  <c r="E222" i="52079"/>
  <c r="E254" i="52079" s="1"/>
  <c r="I203" i="52079"/>
  <c r="E223" i="52079"/>
  <c r="E245" i="52079"/>
  <c r="J70" i="52103"/>
  <c r="I200" i="52098"/>
  <c r="E222" i="52081"/>
  <c r="E254" i="52081" s="1"/>
  <c r="E223" i="52081"/>
  <c r="E245" i="52081"/>
  <c r="B70" i="52104"/>
  <c r="N64" i="52104"/>
  <c r="B154" i="111"/>
  <c r="B241" i="111" s="1"/>
  <c r="L241" i="114"/>
  <c r="N109" i="52104"/>
  <c r="M67" i="52104"/>
  <c r="L83" i="52077"/>
  <c r="H116" i="52077"/>
  <c r="J105" i="52077"/>
  <c r="L116" i="111"/>
  <c r="L239" i="111" s="1"/>
  <c r="M84" i="52104"/>
  <c r="F238" i="52074"/>
  <c r="I129" i="52074"/>
  <c r="I238" i="52074" s="1"/>
  <c r="T100" i="111"/>
  <c r="V100" i="111" s="1"/>
  <c r="L173" i="110"/>
  <c r="M150" i="52102"/>
  <c r="K142" i="110"/>
  <c r="E142" i="233"/>
  <c r="N150" i="52097"/>
  <c r="Q150" i="52097"/>
  <c r="C150" i="233"/>
  <c r="M137" i="52102"/>
  <c r="M126" i="52102"/>
  <c r="Q134" i="52097"/>
  <c r="C134" i="233"/>
  <c r="N134" i="52097"/>
  <c r="J51" i="12"/>
  <c r="J233" i="12" s="1"/>
  <c r="G127" i="12"/>
  <c r="L51" i="12"/>
  <c r="G233" i="12"/>
  <c r="L233" i="12" s="1"/>
  <c r="F238" i="52098"/>
  <c r="I116" i="52098"/>
  <c r="I238" i="52098" s="1"/>
  <c r="G185" i="111"/>
  <c r="G243" i="111" s="1"/>
  <c r="I243" i="52089"/>
  <c r="J243" i="52089"/>
  <c r="C236" i="52088"/>
  <c r="C205" i="52088"/>
  <c r="C181" i="233"/>
  <c r="N181" i="52097"/>
  <c r="G103" i="52092"/>
  <c r="J103" i="111"/>
  <c r="B203" i="52091"/>
  <c r="C245" i="52091"/>
  <c r="C223" i="52091"/>
  <c r="C222" i="52091"/>
  <c r="C254" i="52091" s="1"/>
  <c r="G168" i="52095"/>
  <c r="B155" i="52075"/>
  <c r="B167" i="52075" s="1"/>
  <c r="B240" i="52075" s="1"/>
  <c r="J156" i="52095"/>
  <c r="L156" i="52095" s="1"/>
  <c r="I155" i="52075"/>
  <c r="M156" i="111"/>
  <c r="M168" i="111" s="1"/>
  <c r="M242" i="111" s="1"/>
  <c r="L126" i="110"/>
  <c r="D184" i="52077"/>
  <c r="J243" i="110"/>
  <c r="M173" i="52102"/>
  <c r="C218" i="52094"/>
  <c r="B66" i="233"/>
  <c r="F66" i="9"/>
  <c r="H66" i="233" s="1"/>
  <c r="I66" i="9"/>
  <c r="M165" i="52103"/>
  <c r="Q19" i="111"/>
  <c r="V19" i="111" s="1"/>
  <c r="D19" i="233"/>
  <c r="G239" i="32"/>
  <c r="H116" i="32"/>
  <c r="J239" i="32"/>
  <c r="H154" i="52093"/>
  <c r="G241" i="52093"/>
  <c r="I133" i="52076"/>
  <c r="D153" i="52076"/>
  <c r="R133" i="111"/>
  <c r="K154" i="111"/>
  <c r="J154" i="52072"/>
  <c r="G241" i="52072"/>
  <c r="J241" i="52072" s="1"/>
  <c r="L241" i="52072" s="1"/>
  <c r="H154" i="52072"/>
  <c r="L154" i="52072" s="1"/>
  <c r="D153" i="52102"/>
  <c r="D240" i="52102" s="1"/>
  <c r="C205" i="12"/>
  <c r="C236" i="12"/>
  <c r="C218" i="12"/>
  <c r="G28" i="115"/>
  <c r="G24" i="115"/>
  <c r="L30" i="115"/>
  <c r="G35" i="115"/>
  <c r="G36" i="115"/>
  <c r="I30" i="52104"/>
  <c r="C156" i="111"/>
  <c r="G168" i="115"/>
  <c r="E155" i="52104"/>
  <c r="E167" i="52104" s="1"/>
  <c r="E240" i="52104" s="1"/>
  <c r="C155" i="52074"/>
  <c r="C167" i="52074" s="1"/>
  <c r="C240" i="52074" s="1"/>
  <c r="J156" i="115"/>
  <c r="L156" i="115"/>
  <c r="I155" i="52104"/>
  <c r="E32" i="52097"/>
  <c r="E33" i="52097" s="1"/>
  <c r="E46" i="52097"/>
  <c r="E47" i="52097" s="1"/>
  <c r="E51" i="52097"/>
  <c r="J243" i="77"/>
  <c r="I243" i="77"/>
  <c r="L243" i="77" s="1"/>
  <c r="G233" i="52090"/>
  <c r="G127" i="52090"/>
  <c r="J51" i="52090"/>
  <c r="J233" i="52090" s="1"/>
  <c r="L51" i="52090"/>
  <c r="G168" i="52090"/>
  <c r="D155" i="52075"/>
  <c r="D167" i="52075" s="1"/>
  <c r="D240" i="52075" s="1"/>
  <c r="J156" i="52090"/>
  <c r="L156" i="52090" s="1"/>
  <c r="H156" i="111"/>
  <c r="H168" i="111" s="1"/>
  <c r="H242" i="111" s="1"/>
  <c r="G28" i="52072"/>
  <c r="G35" i="52072"/>
  <c r="G36" i="52072"/>
  <c r="G24" i="52072"/>
  <c r="N107" i="52097"/>
  <c r="N116" i="52097" s="1"/>
  <c r="N239" i="52097" s="1"/>
  <c r="O116" i="52097"/>
  <c r="O239" i="52097" s="1"/>
  <c r="C107" i="233"/>
  <c r="C116" i="233" s="1"/>
  <c r="C239" i="233" s="1"/>
  <c r="L93" i="110"/>
  <c r="L75" i="52077"/>
  <c r="I116" i="52103"/>
  <c r="I237" i="52103" s="1"/>
  <c r="I243" i="91"/>
  <c r="J243" i="91"/>
  <c r="L243" i="91" s="1"/>
  <c r="F236" i="48"/>
  <c r="F62" i="52084"/>
  <c r="M67" i="52103"/>
  <c r="J51" i="52066"/>
  <c r="J233" i="52066" s="1"/>
  <c r="F236" i="52066"/>
  <c r="L77" i="110"/>
  <c r="D12" i="233"/>
  <c r="Q12" i="111"/>
  <c r="V12" i="111" s="1"/>
  <c r="L175" i="52077"/>
  <c r="E70" i="52102"/>
  <c r="L64" i="110"/>
  <c r="J238" i="110"/>
  <c r="B68" i="233"/>
  <c r="F68" i="9"/>
  <c r="I68" i="9"/>
  <c r="C175" i="233"/>
  <c r="N175" i="52097"/>
  <c r="Q141" i="52097"/>
  <c r="N141" i="52097"/>
  <c r="C141" i="233"/>
  <c r="I241" i="52089"/>
  <c r="F103" i="233"/>
  <c r="E222" i="20"/>
  <c r="E254" i="20" s="1"/>
  <c r="E223" i="20"/>
  <c r="E245" i="20"/>
  <c r="I241" i="105"/>
  <c r="E236" i="21"/>
  <c r="E62" i="52098"/>
  <c r="I62" i="21"/>
  <c r="I184" i="52098"/>
  <c r="I242" i="52098" s="1"/>
  <c r="E245" i="32"/>
  <c r="E222" i="32"/>
  <c r="E254" i="32" s="1"/>
  <c r="E223" i="32"/>
  <c r="E236" i="52071"/>
  <c r="I62" i="52071"/>
  <c r="E245" i="12"/>
  <c r="E223" i="12"/>
  <c r="E222" i="12"/>
  <c r="E254" i="12" s="1"/>
  <c r="E237" i="52076"/>
  <c r="E202" i="52076"/>
  <c r="G241" i="20"/>
  <c r="J241" i="20" s="1"/>
  <c r="H154" i="20"/>
  <c r="L154" i="20" s="1"/>
  <c r="M96" i="52104"/>
  <c r="L77" i="52077"/>
  <c r="R106" i="111"/>
  <c r="F238" i="52090"/>
  <c r="F203" i="52090"/>
  <c r="I241" i="101"/>
  <c r="J241" i="101"/>
  <c r="M165" i="52102"/>
  <c r="H154" i="110"/>
  <c r="H241" i="110" s="1"/>
  <c r="I153" i="52102"/>
  <c r="I240" i="52102" s="1"/>
  <c r="F174" i="9"/>
  <c r="B174" i="233"/>
  <c r="I70" i="52098"/>
  <c r="I49" i="9"/>
  <c r="B49" i="233"/>
  <c r="I49" i="233"/>
  <c r="K49" i="233" s="1"/>
  <c r="N87" i="52104"/>
  <c r="M87" i="52104"/>
  <c r="N170" i="52104"/>
  <c r="J185" i="101"/>
  <c r="G243" i="101"/>
  <c r="J243" i="101" s="1"/>
  <c r="J238" i="148"/>
  <c r="J168" i="111"/>
  <c r="J242" i="111" s="1"/>
  <c r="I96" i="52077"/>
  <c r="L96" i="52077"/>
  <c r="E116" i="52102"/>
  <c r="E238" i="52102" s="1"/>
  <c r="J243" i="52092"/>
  <c r="L243" i="52092" s="1"/>
  <c r="J185" i="111"/>
  <c r="J243" i="111" s="1"/>
  <c r="K79" i="233"/>
  <c r="J79" i="233"/>
  <c r="L93" i="52077"/>
  <c r="N94" i="52104"/>
  <c r="C218" i="52100"/>
  <c r="I116" i="52102"/>
  <c r="I238" i="52102" s="1"/>
  <c r="B103" i="52074"/>
  <c r="M176" i="52104"/>
  <c r="C236" i="52080"/>
  <c r="C205" i="52080"/>
  <c r="M90" i="52103"/>
  <c r="M174" i="52103"/>
  <c r="C205" i="77"/>
  <c r="C236" i="77"/>
  <c r="V161" i="111"/>
  <c r="E160" i="233"/>
  <c r="I160" i="233"/>
  <c r="K160" i="233" s="1"/>
  <c r="K160" i="110"/>
  <c r="H160" i="233" s="1"/>
  <c r="G242" i="52102"/>
  <c r="L51" i="52092"/>
  <c r="F236" i="52089"/>
  <c r="F205" i="52089"/>
  <c r="H184" i="52077"/>
  <c r="I242" i="52066"/>
  <c r="I169" i="52076"/>
  <c r="D184" i="52076"/>
  <c r="K76" i="110"/>
  <c r="E76" i="233"/>
  <c r="E53" i="52082"/>
  <c r="E54" i="52082" s="1"/>
  <c r="E233" i="52082"/>
  <c r="E62" i="52082"/>
  <c r="K131" i="233"/>
  <c r="G154" i="233"/>
  <c r="J131" i="233"/>
  <c r="G185" i="110"/>
  <c r="G243" i="110" s="1"/>
  <c r="B239" i="9"/>
  <c r="G116" i="9"/>
  <c r="G239" i="9" s="1"/>
  <c r="F236" i="21"/>
  <c r="F62" i="52098"/>
  <c r="L133" i="52082"/>
  <c r="J154" i="52082"/>
  <c r="J241" i="52082" s="1"/>
  <c r="J164" i="233"/>
  <c r="I239" i="52066"/>
  <c r="E222" i="52089"/>
  <c r="E254" i="52089" s="1"/>
  <c r="E223" i="52089"/>
  <c r="E245" i="52089"/>
  <c r="I203" i="52089"/>
  <c r="G35" i="110"/>
  <c r="G44" i="110" s="1"/>
  <c r="G44" i="52081"/>
  <c r="D35" i="52084"/>
  <c r="D44" i="52084" s="1"/>
  <c r="D35" i="52103"/>
  <c r="D44" i="52103" s="1"/>
  <c r="S129" i="111"/>
  <c r="S240" i="111" s="1"/>
  <c r="C83" i="233"/>
  <c r="N83" i="52097"/>
  <c r="Q83" i="52097"/>
  <c r="G239" i="20"/>
  <c r="J239" i="20" s="1"/>
  <c r="L239" i="20" s="1"/>
  <c r="H116" i="20"/>
  <c r="L116" i="20" s="1"/>
  <c r="D116" i="111"/>
  <c r="D239" i="111" s="1"/>
  <c r="D116" i="52104"/>
  <c r="D237" i="52104" s="1"/>
  <c r="R80" i="111"/>
  <c r="C116" i="111"/>
  <c r="C239" i="111" s="1"/>
  <c r="G241" i="52094"/>
  <c r="J241" i="52094" s="1"/>
  <c r="H154" i="52094"/>
  <c r="J70" i="115"/>
  <c r="K64" i="52104"/>
  <c r="M64" i="52104" s="1"/>
  <c r="G239" i="52104"/>
  <c r="J153" i="52104"/>
  <c r="J239" i="52104" s="1"/>
  <c r="N160" i="52104"/>
  <c r="L87" i="110"/>
  <c r="B116" i="52104"/>
  <c r="M105" i="52104"/>
  <c r="N105" i="52104"/>
  <c r="B116" i="52076"/>
  <c r="B238" i="52076" s="1"/>
  <c r="J154" i="52081"/>
  <c r="H154" i="52081"/>
  <c r="G241" i="52081"/>
  <c r="G168" i="233"/>
  <c r="G242" i="233" s="1"/>
  <c r="J156" i="233"/>
  <c r="G184" i="52098"/>
  <c r="G243" i="21"/>
  <c r="J243" i="21" s="1"/>
  <c r="G170" i="9"/>
  <c r="B185" i="9"/>
  <c r="M164" i="52102"/>
  <c r="C205" i="52079"/>
  <c r="C236" i="52079"/>
  <c r="J64" i="52074"/>
  <c r="I153" i="52103"/>
  <c r="I239" i="52103" s="1"/>
  <c r="J133" i="52084"/>
  <c r="H153" i="52084"/>
  <c r="H239" i="52084" s="1"/>
  <c r="E154" i="110"/>
  <c r="E241" i="110" s="1"/>
  <c r="L243" i="52089"/>
  <c r="B94" i="233"/>
  <c r="F94" i="9"/>
  <c r="I94" i="233"/>
  <c r="K94" i="233" s="1"/>
  <c r="D155" i="52077"/>
  <c r="G168" i="52093"/>
  <c r="D155" i="52076"/>
  <c r="J156" i="52093"/>
  <c r="L156" i="52093" s="1"/>
  <c r="K156" i="111"/>
  <c r="K168" i="111" s="1"/>
  <c r="K242" i="111" s="1"/>
  <c r="G234" i="52075"/>
  <c r="G60" i="52075"/>
  <c r="G233" i="52075" s="1"/>
  <c r="N185" i="111"/>
  <c r="N243" i="111" s="1"/>
  <c r="J185" i="52080"/>
  <c r="F238" i="52072"/>
  <c r="F203" i="52072"/>
  <c r="J103" i="52072"/>
  <c r="E184" i="52104"/>
  <c r="E241" i="52104" s="1"/>
  <c r="C184" i="52074"/>
  <c r="C241" i="52074" s="1"/>
  <c r="I181" i="52077"/>
  <c r="L181" i="52077"/>
  <c r="E16" i="233"/>
  <c r="K16" i="110"/>
  <c r="V94" i="111"/>
  <c r="L147" i="110"/>
  <c r="F185" i="110"/>
  <c r="F243" i="110" s="1"/>
  <c r="L87" i="52077"/>
  <c r="I70" i="52103"/>
  <c r="I103" i="52103" s="1"/>
  <c r="I236" i="52103" s="1"/>
  <c r="G241" i="52075"/>
  <c r="K184" i="52075"/>
  <c r="K241" i="52075" s="1"/>
  <c r="J185" i="52095"/>
  <c r="B134" i="233"/>
  <c r="F134" i="9"/>
  <c r="I134" i="233"/>
  <c r="K134" i="233" s="1"/>
  <c r="H185" i="9"/>
  <c r="E243" i="9"/>
  <c r="H243" i="9" s="1"/>
  <c r="M92" i="52104"/>
  <c r="H184" i="52074"/>
  <c r="H241" i="52074" s="1"/>
  <c r="D184" i="52104"/>
  <c r="D241" i="52104" s="1"/>
  <c r="M93" i="52104"/>
  <c r="H51" i="110"/>
  <c r="H233" i="110" s="1"/>
  <c r="C46" i="9"/>
  <c r="C47" i="9" s="1"/>
  <c r="C51" i="9"/>
  <c r="C32" i="9"/>
  <c r="C33" i="9" s="1"/>
  <c r="M94" i="52104"/>
  <c r="L183" i="110"/>
  <c r="F236" i="52080"/>
  <c r="Q171" i="52097"/>
  <c r="N171" i="52097"/>
  <c r="C171" i="233"/>
  <c r="R92" i="111"/>
  <c r="D184" i="52075"/>
  <c r="D241" i="52075" s="1"/>
  <c r="I64" i="52076"/>
  <c r="D70" i="52076"/>
  <c r="I64" i="52077"/>
  <c r="D70" i="52077"/>
  <c r="G24" i="48"/>
  <c r="G28" i="48"/>
  <c r="I140" i="233"/>
  <c r="K140" i="233" s="1"/>
  <c r="D46" i="52082"/>
  <c r="D47" i="52082" s="1"/>
  <c r="D51" i="52082"/>
  <c r="D32" i="52082"/>
  <c r="D33" i="52082" s="1"/>
  <c r="I95" i="9"/>
  <c r="F136" i="9"/>
  <c r="H136" i="233" s="1"/>
  <c r="B136" i="233"/>
  <c r="I136" i="233"/>
  <c r="K136" i="233" s="1"/>
  <c r="K9" i="110"/>
  <c r="E9" i="233"/>
  <c r="G127" i="91"/>
  <c r="G233" i="91"/>
  <c r="G36" i="91"/>
  <c r="I30" i="52103"/>
  <c r="G35" i="91"/>
  <c r="G24" i="91"/>
  <c r="G28" i="91"/>
  <c r="Q140" i="111"/>
  <c r="D140" i="233"/>
  <c r="K200" i="52103"/>
  <c r="M200" i="52103" s="1"/>
  <c r="C70" i="110"/>
  <c r="J70" i="91"/>
  <c r="G103" i="91"/>
  <c r="L70" i="91"/>
  <c r="C205" i="52081"/>
  <c r="C236" i="52081"/>
  <c r="N173" i="52097"/>
  <c r="Q173" i="52097"/>
  <c r="C173" i="233"/>
  <c r="B125" i="233"/>
  <c r="F125" i="9"/>
  <c r="C156" i="52097"/>
  <c r="C168" i="52097" s="1"/>
  <c r="C242" i="52097" s="1"/>
  <c r="B155" i="52083"/>
  <c r="G168" i="105"/>
  <c r="J156" i="105"/>
  <c r="D143" i="233"/>
  <c r="Q143" i="111"/>
  <c r="J154" i="233"/>
  <c r="F241" i="233"/>
  <c r="M83" i="52102"/>
  <c r="J103" i="52075"/>
  <c r="J236" i="52075" s="1"/>
  <c r="F202" i="52075"/>
  <c r="F236" i="52075"/>
  <c r="S103" i="111"/>
  <c r="S238" i="111" s="1"/>
  <c r="O203" i="111"/>
  <c r="O238" i="111"/>
  <c r="E236" i="52084"/>
  <c r="I103" i="52084"/>
  <c r="I236" i="52084" s="1"/>
  <c r="E202" i="52084"/>
  <c r="I62" i="77"/>
  <c r="E236" i="77"/>
  <c r="L51" i="52066"/>
  <c r="E236" i="52066"/>
  <c r="I236" i="52066" s="1"/>
  <c r="I62" i="52066"/>
  <c r="M70" i="110"/>
  <c r="E54" i="52064"/>
  <c r="E205" i="52064"/>
  <c r="I203" i="52072"/>
  <c r="E245" i="52072"/>
  <c r="I103" i="52072"/>
  <c r="I62" i="52095"/>
  <c r="E236" i="52095"/>
  <c r="I236" i="52095" s="1"/>
  <c r="F62" i="52075"/>
  <c r="F53" i="52075"/>
  <c r="F231" i="52075"/>
  <c r="L36" i="52080"/>
  <c r="N36" i="111"/>
  <c r="E36" i="52075"/>
  <c r="N35" i="111"/>
  <c r="E35" i="52075"/>
  <c r="I240" i="52081"/>
  <c r="C238" i="52097"/>
  <c r="J70" i="52067"/>
  <c r="G103" i="52067"/>
  <c r="H116" i="114"/>
  <c r="L116" i="114" s="1"/>
  <c r="G239" i="114"/>
  <c r="J239" i="114" s="1"/>
  <c r="L239" i="114" s="1"/>
  <c r="R105" i="111"/>
  <c r="B116" i="111"/>
  <c r="B239" i="111" s="1"/>
  <c r="E70" i="111"/>
  <c r="E103" i="111" s="1"/>
  <c r="E238" i="111" s="1"/>
  <c r="N67" i="52104"/>
  <c r="B70" i="52075"/>
  <c r="M70" i="111"/>
  <c r="M122" i="52104"/>
  <c r="L179" i="52077"/>
  <c r="K105" i="52075"/>
  <c r="I116" i="52075"/>
  <c r="I237" i="52075" s="1"/>
  <c r="M116" i="111"/>
  <c r="M239" i="111" s="1"/>
  <c r="D103" i="52084"/>
  <c r="D103" i="52103"/>
  <c r="J70" i="52100"/>
  <c r="L70" i="52100" s="1"/>
  <c r="G103" i="52102"/>
  <c r="K70" i="52102"/>
  <c r="T143" i="111"/>
  <c r="H116" i="52066"/>
  <c r="G239" i="52066"/>
  <c r="J239" i="52066" s="1"/>
  <c r="L239" i="52066" s="1"/>
  <c r="G233" i="52071"/>
  <c r="G62" i="52071"/>
  <c r="G127" i="52071"/>
  <c r="I51" i="52097"/>
  <c r="I46" i="52097"/>
  <c r="I47" i="52097" s="1"/>
  <c r="I32" i="52097"/>
  <c r="I33" i="52097" s="1"/>
  <c r="F10" i="9"/>
  <c r="B10" i="233"/>
  <c r="I10" i="233"/>
  <c r="C103" i="110"/>
  <c r="L185" i="52092"/>
  <c r="M160" i="52103"/>
  <c r="G51" i="52102"/>
  <c r="G232" i="52102" s="1"/>
  <c r="K21" i="52102"/>
  <c r="M162" i="52102"/>
  <c r="J243" i="52079"/>
  <c r="J239" i="52067"/>
  <c r="H103" i="52066"/>
  <c r="G238" i="52066"/>
  <c r="E103" i="110"/>
  <c r="J70" i="52066"/>
  <c r="L70" i="52066" s="1"/>
  <c r="J116" i="91"/>
  <c r="M171" i="52102"/>
  <c r="N83" i="52104"/>
  <c r="C236" i="115"/>
  <c r="C205" i="115"/>
  <c r="J185" i="12"/>
  <c r="L185" i="12" s="1"/>
  <c r="G243" i="12"/>
  <c r="J243" i="12" s="1"/>
  <c r="L243" i="12" s="1"/>
  <c r="M169" i="52104"/>
  <c r="B184" i="52104"/>
  <c r="G168" i="52067"/>
  <c r="J156" i="52067"/>
  <c r="D155" i="52083"/>
  <c r="D167" i="52083" s="1"/>
  <c r="D241" i="52083" s="1"/>
  <c r="H156" i="52097"/>
  <c r="H168" i="52097" s="1"/>
  <c r="H242" i="52097" s="1"/>
  <c r="B75" i="233"/>
  <c r="F75" i="9"/>
  <c r="H75" i="233" s="1"/>
  <c r="I75" i="233"/>
  <c r="E242" i="9"/>
  <c r="B46" i="52082"/>
  <c r="B47" i="52082" s="1"/>
  <c r="B32" i="52082"/>
  <c r="B33" i="52082" s="1"/>
  <c r="B51" i="52082"/>
  <c r="G168" i="148"/>
  <c r="B156" i="52097"/>
  <c r="B156" i="52082"/>
  <c r="J156" i="148"/>
  <c r="M107" i="52104"/>
  <c r="J239" i="52079"/>
  <c r="F238" i="52080"/>
  <c r="F203" i="52080"/>
  <c r="J103" i="52080"/>
  <c r="J51" i="111"/>
  <c r="J233" i="111" s="1"/>
  <c r="C205" i="32"/>
  <c r="C236" i="32"/>
  <c r="N17" i="52097"/>
  <c r="C17" i="233"/>
  <c r="E19" i="233"/>
  <c r="K19" i="110"/>
  <c r="N19" i="110"/>
  <c r="L91" i="110"/>
  <c r="K182" i="110"/>
  <c r="E182" i="233"/>
  <c r="D185" i="110"/>
  <c r="D243" i="110" s="1"/>
  <c r="M103" i="52097"/>
  <c r="H103" i="52082"/>
  <c r="K70" i="52082"/>
  <c r="F9" i="9"/>
  <c r="B9" i="233"/>
  <c r="I9" i="233"/>
  <c r="G233" i="21"/>
  <c r="G127" i="21"/>
  <c r="G62" i="21"/>
  <c r="N176" i="52097"/>
  <c r="C176" i="233"/>
  <c r="E205" i="101"/>
  <c r="E54" i="101"/>
  <c r="E236" i="101"/>
  <c r="I62" i="101"/>
  <c r="E54" i="91"/>
  <c r="E205" i="91"/>
  <c r="E236" i="91"/>
  <c r="I62" i="91"/>
  <c r="F62" i="52103"/>
  <c r="L30" i="48"/>
  <c r="I62" i="52094"/>
  <c r="E236" i="52094"/>
  <c r="I236" i="52094" s="1"/>
  <c r="E62" i="52077"/>
  <c r="E231" i="52077"/>
  <c r="E53" i="52077"/>
  <c r="F53" i="52083"/>
  <c r="F232" i="52083"/>
  <c r="E236" i="52090"/>
  <c r="I236" i="52090" s="1"/>
  <c r="I62" i="52090"/>
  <c r="J103" i="52102"/>
  <c r="J237" i="52102" s="1"/>
  <c r="F237" i="52102"/>
  <c r="F202" i="52102"/>
  <c r="E54" i="52081"/>
  <c r="E205" i="52081"/>
  <c r="J241" i="52088"/>
  <c r="B168" i="111"/>
  <c r="B242" i="111" s="1"/>
  <c r="H168" i="114"/>
  <c r="L168" i="114" s="1"/>
  <c r="G242" i="114"/>
  <c r="M68" i="52104"/>
  <c r="J154" i="52094"/>
  <c r="N112" i="52104"/>
  <c r="J70" i="114"/>
  <c r="L70" i="114" s="1"/>
  <c r="G103" i="114"/>
  <c r="C70" i="52075"/>
  <c r="C103" i="52075" s="1"/>
  <c r="M82" i="52104"/>
  <c r="L148" i="52077"/>
  <c r="G241" i="52095"/>
  <c r="H154" i="52095"/>
  <c r="J241" i="52095"/>
  <c r="L241" i="52095" s="1"/>
  <c r="M78" i="52104"/>
  <c r="I95" i="52083"/>
  <c r="K95" i="52083" s="1"/>
  <c r="H95" i="52083"/>
  <c r="N142" i="110"/>
  <c r="B154" i="110"/>
  <c r="B241" i="110" s="1"/>
  <c r="H46" i="52097"/>
  <c r="H47" i="52097" s="1"/>
  <c r="H32" i="52097"/>
  <c r="H33" i="52097" s="1"/>
  <c r="H51" i="52097"/>
  <c r="L51" i="114"/>
  <c r="C236" i="114"/>
  <c r="C205" i="114"/>
  <c r="C218" i="114"/>
  <c r="L162" i="110"/>
  <c r="N139" i="52097"/>
  <c r="C139" i="233"/>
  <c r="F238" i="52092"/>
  <c r="F203" i="52092"/>
  <c r="J103" i="52092"/>
  <c r="G241" i="52092"/>
  <c r="H154" i="52092"/>
  <c r="L154" i="52092" s="1"/>
  <c r="K140" i="110"/>
  <c r="E140" i="233"/>
  <c r="H116" i="52072"/>
  <c r="G239" i="52072"/>
  <c r="J239" i="52072" s="1"/>
  <c r="L239" i="52072" s="1"/>
  <c r="D116" i="52102"/>
  <c r="D238" i="52102" s="1"/>
  <c r="F62" i="52074"/>
  <c r="F236" i="20"/>
  <c r="K152" i="110"/>
  <c r="E152" i="233"/>
  <c r="E184" i="52102"/>
  <c r="E242" i="52102" s="1"/>
  <c r="J185" i="32"/>
  <c r="L139" i="110"/>
  <c r="G127" i="108"/>
  <c r="G62" i="108"/>
  <c r="G233" i="108"/>
  <c r="C148" i="233"/>
  <c r="N148" i="52097"/>
  <c r="H148" i="233" s="1"/>
  <c r="Q148" i="52097"/>
  <c r="J187" i="233"/>
  <c r="G201" i="233"/>
  <c r="J185" i="114"/>
  <c r="C103" i="52098"/>
  <c r="N166" i="52097"/>
  <c r="C166" i="233"/>
  <c r="G239" i="48"/>
  <c r="J239" i="48" s="1"/>
  <c r="H116" i="48"/>
  <c r="J116" i="48"/>
  <c r="G127" i="52080"/>
  <c r="G233" i="52080"/>
  <c r="L51" i="52080"/>
  <c r="G24" i="52080"/>
  <c r="G28" i="52080"/>
  <c r="H184" i="52076"/>
  <c r="H203" i="52091"/>
  <c r="G245" i="52091"/>
  <c r="L103" i="52091"/>
  <c r="J170" i="52082"/>
  <c r="B185" i="52082"/>
  <c r="B243" i="52082" s="1"/>
  <c r="J243" i="148"/>
  <c r="O61" i="111"/>
  <c r="V61" i="111" s="1"/>
  <c r="C51" i="111"/>
  <c r="C233" i="111" s="1"/>
  <c r="L171" i="52077"/>
  <c r="D103" i="52074"/>
  <c r="C32" i="52082"/>
  <c r="C33" i="52082" s="1"/>
  <c r="C46" i="52082"/>
  <c r="C47" i="52082" s="1"/>
  <c r="C51" i="52082"/>
  <c r="F185" i="111"/>
  <c r="F243" i="111" s="1"/>
  <c r="C184" i="52076"/>
  <c r="C242" i="52076" s="1"/>
  <c r="M72" i="52102"/>
  <c r="F236" i="32"/>
  <c r="L137" i="110"/>
  <c r="J8" i="233"/>
  <c r="G21" i="233"/>
  <c r="K8" i="233"/>
  <c r="P51" i="111"/>
  <c r="P233" i="111" s="1"/>
  <c r="G116" i="110"/>
  <c r="G239" i="110" s="1"/>
  <c r="G241" i="52080"/>
  <c r="J241" i="52080" s="1"/>
  <c r="H154" i="52080"/>
  <c r="L154" i="52080" s="1"/>
  <c r="E184" i="52103"/>
  <c r="E241" i="52103" s="1"/>
  <c r="C185" i="110"/>
  <c r="C243" i="110" s="1"/>
  <c r="L21" i="110"/>
  <c r="L51" i="110" s="1"/>
  <c r="L233" i="110" s="1"/>
  <c r="N84" i="52097"/>
  <c r="C84" i="233"/>
  <c r="Q84" i="52097"/>
  <c r="G168" i="110"/>
  <c r="G242" i="110" s="1"/>
  <c r="F238" i="32"/>
  <c r="F203" i="32"/>
  <c r="F245" i="32" s="1"/>
  <c r="J103" i="32"/>
  <c r="G51" i="52098"/>
  <c r="G33" i="52098"/>
  <c r="G47" i="52098"/>
  <c r="N143" i="52097"/>
  <c r="C143" i="233"/>
  <c r="Q143" i="52097"/>
  <c r="Q144" i="111"/>
  <c r="D144" i="233"/>
  <c r="H154" i="52089"/>
  <c r="L154" i="52089" s="1"/>
  <c r="G241" i="52089"/>
  <c r="J241" i="52089" s="1"/>
  <c r="L241" i="52089" s="1"/>
  <c r="H103" i="9"/>
  <c r="H238" i="9" s="1"/>
  <c r="D238" i="9"/>
  <c r="D203" i="9"/>
  <c r="J167" i="52102"/>
  <c r="J241" i="52102" s="1"/>
  <c r="F46" i="233"/>
  <c r="F47" i="233" s="1"/>
  <c r="J21" i="52076"/>
  <c r="E232" i="52076"/>
  <c r="E53" i="52076"/>
  <c r="J200" i="52075"/>
  <c r="F32" i="233"/>
  <c r="F33" i="233" s="1"/>
  <c r="D33" i="9"/>
  <c r="M21" i="110"/>
  <c r="I233" i="110"/>
  <c r="I53" i="110"/>
  <c r="O233" i="111"/>
  <c r="O53" i="111"/>
  <c r="I238" i="52080"/>
  <c r="E236" i="52080"/>
  <c r="I236" i="52080" s="1"/>
  <c r="I62" i="52080"/>
  <c r="E222" i="77"/>
  <c r="E254" i="77" s="1"/>
  <c r="E223" i="77"/>
  <c r="I203" i="77"/>
  <c r="E245" i="77"/>
  <c r="J129" i="52103"/>
  <c r="J238" i="52103" s="1"/>
  <c r="M77" i="52104"/>
  <c r="J70" i="77"/>
  <c r="L70" i="77" s="1"/>
  <c r="G103" i="77"/>
  <c r="C70" i="52104"/>
  <c r="C103" i="52104" s="1"/>
  <c r="H70" i="52076"/>
  <c r="J64" i="52076"/>
  <c r="J238" i="52087"/>
  <c r="N148" i="52104"/>
  <c r="N74" i="52104"/>
  <c r="F203" i="12"/>
  <c r="D70" i="52075"/>
  <c r="G103" i="52090"/>
  <c r="I242" i="77"/>
  <c r="G103" i="52094"/>
  <c r="K158" i="110"/>
  <c r="H158" i="233" s="1"/>
  <c r="I158" i="233"/>
  <c r="K158" i="233" s="1"/>
  <c r="E158" i="233"/>
  <c r="C92" i="233"/>
  <c r="N92" i="52097"/>
  <c r="N19" i="52097"/>
  <c r="C19" i="233"/>
  <c r="I184" i="52102"/>
  <c r="K133" i="52102"/>
  <c r="M133" i="52102" s="1"/>
  <c r="B116" i="52102"/>
  <c r="M111" i="52102"/>
  <c r="H64" i="52098"/>
  <c r="J64" i="52098" s="1"/>
  <c r="B70" i="52098"/>
  <c r="C13" i="233"/>
  <c r="N13" i="52097"/>
  <c r="M163" i="52103"/>
  <c r="T144" i="111"/>
  <c r="G239" i="52103"/>
  <c r="K153" i="52103"/>
  <c r="K239" i="52103" s="1"/>
  <c r="D184" i="52102"/>
  <c r="D242" i="52102" s="1"/>
  <c r="L114" i="110"/>
  <c r="K135" i="110"/>
  <c r="E135" i="233"/>
  <c r="N135" i="110"/>
  <c r="L187" i="110"/>
  <c r="H201" i="110"/>
  <c r="K105" i="52102"/>
  <c r="M105" i="52102" s="1"/>
  <c r="I241" i="52093"/>
  <c r="J241" i="52093"/>
  <c r="C70" i="52102"/>
  <c r="C103" i="52102" s="1"/>
  <c r="J70" i="52089"/>
  <c r="L70" i="52089" s="1"/>
  <c r="G103" i="52089"/>
  <c r="R81" i="111"/>
  <c r="M80" i="52102"/>
  <c r="L98" i="52077"/>
  <c r="K121" i="110"/>
  <c r="H121" i="233" s="1"/>
  <c r="E121" i="233"/>
  <c r="I121" i="233"/>
  <c r="K121" i="233" s="1"/>
  <c r="H185" i="110"/>
  <c r="H243" i="110" s="1"/>
  <c r="G243" i="52100"/>
  <c r="J185" i="52100"/>
  <c r="L185" i="52100" s="1"/>
  <c r="J185" i="52094"/>
  <c r="L185" i="52094" s="1"/>
  <c r="F241" i="52077"/>
  <c r="I105" i="52077"/>
  <c r="D116" i="52077"/>
  <c r="I105" i="52076"/>
  <c r="D116" i="52076"/>
  <c r="C236" i="48"/>
  <c r="C205" i="48"/>
  <c r="J243" i="52093"/>
  <c r="F161" i="9"/>
  <c r="B161" i="233"/>
  <c r="I161" i="233"/>
  <c r="K161" i="233" s="1"/>
  <c r="I161" i="9"/>
  <c r="R87" i="111"/>
  <c r="L64" i="52077"/>
  <c r="L70" i="111"/>
  <c r="F238" i="52094"/>
  <c r="F203" i="52094"/>
  <c r="J70" i="48"/>
  <c r="L70" i="48" s="1"/>
  <c r="B70" i="52103"/>
  <c r="B70" i="52084"/>
  <c r="B103" i="52084" s="1"/>
  <c r="R107" i="111"/>
  <c r="L125" i="52077"/>
  <c r="V75" i="111"/>
  <c r="N175" i="52104"/>
  <c r="M175" i="52104"/>
  <c r="H242" i="52082"/>
  <c r="K168" i="52082"/>
  <c r="K242" i="52082" s="1"/>
  <c r="I62" i="52088"/>
  <c r="F236" i="52088"/>
  <c r="F205" i="52088"/>
  <c r="G168" i="52088"/>
  <c r="E156" i="52082"/>
  <c r="E168" i="52082" s="1"/>
  <c r="E242" i="52082" s="1"/>
  <c r="F156" i="52097"/>
  <c r="F168" i="52097" s="1"/>
  <c r="F242" i="52097" s="1"/>
  <c r="J156" i="52088"/>
  <c r="R171" i="111"/>
  <c r="Q65" i="111"/>
  <c r="V65" i="111" s="1"/>
  <c r="D65" i="233"/>
  <c r="I240" i="52092"/>
  <c r="I137" i="52077"/>
  <c r="L137" i="52077"/>
  <c r="L84" i="110"/>
  <c r="J239" i="21"/>
  <c r="I141" i="233"/>
  <c r="K141" i="233" s="1"/>
  <c r="F240" i="52098"/>
  <c r="I153" i="52098"/>
  <c r="I240" i="52098" s="1"/>
  <c r="H169" i="52083"/>
  <c r="I169" i="52083"/>
  <c r="B184" i="52083"/>
  <c r="M163" i="52102"/>
  <c r="I103" i="52090"/>
  <c r="I203" i="52090"/>
  <c r="E245" i="52090"/>
  <c r="E222" i="52090"/>
  <c r="E254" i="52090" s="1"/>
  <c r="E223" i="52090"/>
  <c r="H168" i="9"/>
  <c r="H242" i="9" s="1"/>
  <c r="L185" i="52095"/>
  <c r="F53" i="52103"/>
  <c r="F231" i="52103"/>
  <c r="E54" i="48"/>
  <c r="E205" i="48"/>
  <c r="I243" i="20"/>
  <c r="E236" i="52091"/>
  <c r="M185" i="110"/>
  <c r="E222" i="52094"/>
  <c r="E254" i="52094" s="1"/>
  <c r="E223" i="52094"/>
  <c r="E245" i="52094"/>
  <c r="I203" i="52094"/>
  <c r="I238" i="52094"/>
  <c r="E54" i="20"/>
  <c r="E205" i="20"/>
  <c r="G36" i="52092"/>
  <c r="E205" i="52067"/>
  <c r="E54" i="52067"/>
  <c r="I62" i="52072"/>
  <c r="E236" i="52072"/>
  <c r="I236" i="52072" s="1"/>
  <c r="E54" i="52072"/>
  <c r="E205" i="52072"/>
  <c r="F232" i="52102"/>
  <c r="F53" i="52102"/>
  <c r="I239" i="52064"/>
  <c r="L238" i="52097"/>
  <c r="P103" i="52097"/>
  <c r="P238" i="52097" s="1"/>
  <c r="L203" i="52097"/>
  <c r="G240" i="114"/>
  <c r="H129" i="114"/>
  <c r="J129" i="114"/>
  <c r="L129" i="114" s="1"/>
  <c r="S168" i="111"/>
  <c r="S242" i="111" s="1"/>
  <c r="L67" i="52095"/>
  <c r="C122" i="233"/>
  <c r="N122" i="52097"/>
  <c r="H122" i="233" s="1"/>
  <c r="I122" i="233"/>
  <c r="K122" i="233" s="1"/>
  <c r="Q122" i="52097"/>
  <c r="I239" i="115"/>
  <c r="B116" i="52074"/>
  <c r="B237" i="52074" s="1"/>
  <c r="B240" i="52083"/>
  <c r="H153" i="52083"/>
  <c r="H240" i="52083" s="1"/>
  <c r="I153" i="52083"/>
  <c r="I240" i="52083" s="1"/>
  <c r="D165" i="233"/>
  <c r="Q165" i="111"/>
  <c r="T165" i="111"/>
  <c r="G241" i="77"/>
  <c r="J241" i="77" s="1"/>
  <c r="H154" i="77"/>
  <c r="L154" i="77" s="1"/>
  <c r="Q145" i="111"/>
  <c r="D145" i="233"/>
  <c r="D116" i="52075"/>
  <c r="D237" i="52075" s="1"/>
  <c r="J239" i="52090"/>
  <c r="G242" i="52081"/>
  <c r="J242" i="52081" s="1"/>
  <c r="H168" i="52081"/>
  <c r="E141" i="233"/>
  <c r="K141" i="110"/>
  <c r="J241" i="110"/>
  <c r="L154" i="32"/>
  <c r="J241" i="32"/>
  <c r="C174" i="233"/>
  <c r="N174" i="52097"/>
  <c r="K196" i="110"/>
  <c r="H196" i="233" s="1"/>
  <c r="I196" i="233"/>
  <c r="K196" i="233" s="1"/>
  <c r="E196" i="233"/>
  <c r="M195" i="52102"/>
  <c r="K188" i="110"/>
  <c r="H188" i="233" s="1"/>
  <c r="I188" i="233"/>
  <c r="E188" i="233"/>
  <c r="E176" i="233"/>
  <c r="K176" i="110"/>
  <c r="M175" i="52102"/>
  <c r="M107" i="52102"/>
  <c r="B99" i="233"/>
  <c r="I99" i="9"/>
  <c r="F99" i="9"/>
  <c r="C183" i="233"/>
  <c r="N183" i="52097"/>
  <c r="D103" i="52104"/>
  <c r="L70" i="20"/>
  <c r="F238" i="20"/>
  <c r="F203" i="20"/>
  <c r="F205" i="20" s="1"/>
  <c r="J103" i="20"/>
  <c r="V112" i="111"/>
  <c r="M94" i="52103"/>
  <c r="B85" i="233"/>
  <c r="F85" i="9"/>
  <c r="I85" i="233"/>
  <c r="K85" i="233" s="1"/>
  <c r="I85" i="9"/>
  <c r="C16" i="233"/>
  <c r="N16" i="52097"/>
  <c r="H16" i="233" s="1"/>
  <c r="F238" i="52091"/>
  <c r="J238" i="52091" s="1"/>
  <c r="F203" i="52091"/>
  <c r="J103" i="52091"/>
  <c r="I243" i="115"/>
  <c r="L243" i="115" s="1"/>
  <c r="G127" i="20"/>
  <c r="G233" i="20"/>
  <c r="L101" i="52077"/>
  <c r="B156" i="110"/>
  <c r="G168" i="32"/>
  <c r="J156" i="32"/>
  <c r="L156" i="32" s="1"/>
  <c r="E155" i="52102"/>
  <c r="E167" i="52102" s="1"/>
  <c r="E241" i="52102" s="1"/>
  <c r="G233" i="32"/>
  <c r="G127" i="32"/>
  <c r="G28" i="32"/>
  <c r="G24" i="32"/>
  <c r="G36" i="32"/>
  <c r="F241" i="52084"/>
  <c r="J184" i="52084"/>
  <c r="J241" i="52084" s="1"/>
  <c r="M133" i="52103"/>
  <c r="I195" i="233"/>
  <c r="K195" i="110"/>
  <c r="H195" i="233" s="1"/>
  <c r="E195" i="233"/>
  <c r="M77" i="52102"/>
  <c r="C163" i="233"/>
  <c r="N163" i="52097"/>
  <c r="Q163" i="52097"/>
  <c r="J156" i="52087"/>
  <c r="G168" i="52087"/>
  <c r="C156" i="52082"/>
  <c r="C168" i="52082" s="1"/>
  <c r="C242" i="52082" s="1"/>
  <c r="E156" i="52097"/>
  <c r="E168" i="52097" s="1"/>
  <c r="E242" i="52097" s="1"/>
  <c r="P243" i="111"/>
  <c r="J243" i="52064"/>
  <c r="C243" i="9"/>
  <c r="L243" i="20"/>
  <c r="L86" i="110"/>
  <c r="K98" i="110"/>
  <c r="E98" i="233"/>
  <c r="L73" i="52077"/>
  <c r="T13" i="111"/>
  <c r="Q13" i="111"/>
  <c r="H13" i="233" s="1"/>
  <c r="D13" i="233"/>
  <c r="E73" i="233"/>
  <c r="K73" i="110"/>
  <c r="C236" i="52072"/>
  <c r="C205" i="52072"/>
  <c r="C236" i="52064"/>
  <c r="C205" i="52064"/>
  <c r="F101" i="9"/>
  <c r="B101" i="233"/>
  <c r="M91" i="52102"/>
  <c r="M98" i="52102"/>
  <c r="M81" i="52102"/>
  <c r="G233" i="52100"/>
  <c r="C156" i="9"/>
  <c r="C168" i="9" s="1"/>
  <c r="C242" i="9" s="1"/>
  <c r="C155" i="52098"/>
  <c r="C167" i="52098" s="1"/>
  <c r="C241" i="52098" s="1"/>
  <c r="G168" i="52064"/>
  <c r="J156" i="52064"/>
  <c r="C236" i="108"/>
  <c r="C205" i="108"/>
  <c r="C218" i="108"/>
  <c r="N182" i="52097"/>
  <c r="H182" i="233" s="1"/>
  <c r="C182" i="233"/>
  <c r="I182" i="233"/>
  <c r="F238" i="52093"/>
  <c r="I238" i="52093" s="1"/>
  <c r="F203" i="52093"/>
  <c r="I103" i="52093"/>
  <c r="K74" i="110"/>
  <c r="E74" i="233"/>
  <c r="C9" i="233"/>
  <c r="N9" i="52097"/>
  <c r="O21" i="52097"/>
  <c r="G62" i="101"/>
  <c r="J51" i="101"/>
  <c r="J233" i="101" s="1"/>
  <c r="G127" i="101"/>
  <c r="G233" i="101"/>
  <c r="F80" i="9"/>
  <c r="B80" i="233"/>
  <c r="I80" i="9"/>
  <c r="C155" i="52103"/>
  <c r="C167" i="52103" s="1"/>
  <c r="C240" i="52103" s="1"/>
  <c r="C155" i="52084"/>
  <c r="C167" i="52084" s="1"/>
  <c r="C240" i="52084" s="1"/>
  <c r="G168" i="52066"/>
  <c r="E156" i="110"/>
  <c r="E168" i="110" s="1"/>
  <c r="E242" i="110" s="1"/>
  <c r="J156" i="52066"/>
  <c r="L156" i="52066" s="1"/>
  <c r="C51" i="52103"/>
  <c r="M86" i="52103"/>
  <c r="B203" i="32"/>
  <c r="C222" i="32"/>
  <c r="C254" i="32" s="1"/>
  <c r="C223" i="32"/>
  <c r="C245" i="32"/>
  <c r="L176" i="52077"/>
  <c r="K67" i="110"/>
  <c r="E67" i="233"/>
  <c r="H241" i="52082"/>
  <c r="K154" i="52082"/>
  <c r="K241" i="52082" s="1"/>
  <c r="L154" i="52082"/>
  <c r="L241" i="52082" s="1"/>
  <c r="D78" i="233"/>
  <c r="Q78" i="111"/>
  <c r="G62" i="52091"/>
  <c r="G53" i="52091"/>
  <c r="E245" i="52092"/>
  <c r="E223" i="52092"/>
  <c r="E222" i="52092"/>
  <c r="E254" i="52092" s="1"/>
  <c r="I203" i="52092"/>
  <c r="I238" i="52092"/>
  <c r="E231" i="52074"/>
  <c r="E53" i="52074"/>
  <c r="E236" i="148"/>
  <c r="I62" i="148"/>
  <c r="L62" i="52097"/>
  <c r="E236" i="108"/>
  <c r="I62" i="108"/>
  <c r="E54" i="52093"/>
  <c r="E205" i="52093"/>
  <c r="L53" i="52097"/>
  <c r="L233" i="52097"/>
  <c r="F239" i="52074"/>
  <c r="I153" i="52074"/>
  <c r="I239" i="52074" s="1"/>
  <c r="J153" i="52074"/>
  <c r="J239" i="52074" s="1"/>
  <c r="M76" i="52104"/>
  <c r="N76" i="52104"/>
  <c r="F203" i="52067"/>
  <c r="F238" i="52067"/>
  <c r="I238" i="52067" s="1"/>
  <c r="I103" i="52067"/>
  <c r="L85" i="52077"/>
  <c r="G240" i="52104"/>
  <c r="J167" i="52104"/>
  <c r="J240" i="52104" s="1"/>
  <c r="T147" i="111"/>
  <c r="V147" i="111" s="1"/>
  <c r="D184" i="52084"/>
  <c r="D241" i="52084" s="1"/>
  <c r="H103" i="52100"/>
  <c r="G238" i="52100"/>
  <c r="H70" i="110"/>
  <c r="H103" i="110" s="1"/>
  <c r="D99" i="233"/>
  <c r="Q99" i="111"/>
  <c r="T99" i="111"/>
  <c r="R74" i="111"/>
  <c r="H76" i="233"/>
  <c r="C247" i="21"/>
  <c r="C209" i="21"/>
  <c r="B205" i="21"/>
  <c r="L116" i="52066"/>
  <c r="J185" i="52087"/>
  <c r="Q17" i="111"/>
  <c r="V17" i="111" s="1"/>
  <c r="D17" i="233"/>
  <c r="K108" i="110"/>
  <c r="H108" i="233" s="1"/>
  <c r="I108" i="233"/>
  <c r="K108" i="233" s="1"/>
  <c r="E108" i="233"/>
  <c r="N108" i="110"/>
  <c r="V180" i="111"/>
  <c r="J116" i="52092"/>
  <c r="G239" i="52092"/>
  <c r="J239" i="52092" s="1"/>
  <c r="L239" i="52092" s="1"/>
  <c r="H116" i="52092"/>
  <c r="L116" i="52092" s="1"/>
  <c r="J116" i="111"/>
  <c r="J239" i="111" s="1"/>
  <c r="F233" i="52100"/>
  <c r="J51" i="52100"/>
  <c r="J233" i="52100" s="1"/>
  <c r="F62" i="52100"/>
  <c r="J62" i="110" s="1"/>
  <c r="G127" i="52100"/>
  <c r="J127" i="52100"/>
  <c r="L127" i="52100" s="1"/>
  <c r="G127" i="52102"/>
  <c r="J127" i="110"/>
  <c r="F129" i="52100"/>
  <c r="H83" i="233"/>
  <c r="H116" i="52089"/>
  <c r="G239" i="52089"/>
  <c r="J239" i="52089" s="1"/>
  <c r="J116" i="52089"/>
  <c r="J162" i="233"/>
  <c r="F236" i="77"/>
  <c r="F205" i="77"/>
  <c r="G233" i="77"/>
  <c r="L233" i="77" s="1"/>
  <c r="G127" i="77"/>
  <c r="V77" i="111"/>
  <c r="M106" i="52102"/>
  <c r="F92" i="9"/>
  <c r="B92" i="233"/>
  <c r="I92" i="233"/>
  <c r="F236" i="52067"/>
  <c r="F205" i="52067"/>
  <c r="M73" i="52102"/>
  <c r="C236" i="52067"/>
  <c r="C205" i="52067"/>
  <c r="M73" i="52103"/>
  <c r="G28" i="52089"/>
  <c r="G24" i="52089"/>
  <c r="N176" i="52104"/>
  <c r="G24" i="52094"/>
  <c r="G28" i="52094"/>
  <c r="L30" i="52094"/>
  <c r="N70" i="111"/>
  <c r="N103" i="111" s="1"/>
  <c r="G238" i="52080"/>
  <c r="H103" i="52080"/>
  <c r="L103" i="52080" s="1"/>
  <c r="E85" i="233"/>
  <c r="K85" i="110"/>
  <c r="N85" i="110"/>
  <c r="L233" i="52092"/>
  <c r="F205" i="52092"/>
  <c r="F236" i="52092"/>
  <c r="G28" i="52092"/>
  <c r="G24" i="52092"/>
  <c r="G35" i="52092"/>
  <c r="C51" i="52077"/>
  <c r="L181" i="110"/>
  <c r="I181" i="233" s="1"/>
  <c r="F238" i="108"/>
  <c r="J238" i="108" s="1"/>
  <c r="F203" i="108"/>
  <c r="J103" i="108"/>
  <c r="I147" i="233"/>
  <c r="K147" i="233" s="1"/>
  <c r="B93" i="233"/>
  <c r="F93" i="9"/>
  <c r="I93" i="233"/>
  <c r="K93" i="233" s="1"/>
  <c r="I93" i="9"/>
  <c r="V82" i="111"/>
  <c r="M124" i="52103"/>
  <c r="J95" i="52072"/>
  <c r="D95" i="52102"/>
  <c r="D103" i="52102" s="1"/>
  <c r="H95" i="52072"/>
  <c r="D95" i="110"/>
  <c r="D103" i="110" s="1"/>
  <c r="L111" i="52077"/>
  <c r="C149" i="233"/>
  <c r="N149" i="52097"/>
  <c r="J64" i="52082"/>
  <c r="B70" i="52082"/>
  <c r="B103" i="52082" s="1"/>
  <c r="B238" i="52082" s="1"/>
  <c r="B33" i="52098"/>
  <c r="B51" i="52098"/>
  <c r="B47" i="52098"/>
  <c r="E21" i="52098"/>
  <c r="E33" i="52098" s="1"/>
  <c r="H19" i="233"/>
  <c r="B144" i="233"/>
  <c r="F144" i="9"/>
  <c r="I144" i="233"/>
  <c r="K144" i="233" s="1"/>
  <c r="I144" i="9"/>
  <c r="B36" i="52103"/>
  <c r="B36" i="52084"/>
  <c r="F36" i="110"/>
  <c r="H36" i="52084"/>
  <c r="F35" i="110"/>
  <c r="B35" i="52084"/>
  <c r="B35" i="52103"/>
  <c r="E54" i="114"/>
  <c r="E205" i="114"/>
  <c r="E236" i="114"/>
  <c r="I62" i="114"/>
  <c r="L62" i="114" s="1"/>
  <c r="F44" i="52077"/>
  <c r="F46" i="52077" s="1"/>
  <c r="F47" i="52077" s="1"/>
  <c r="F32" i="52077"/>
  <c r="F33" i="52077" s="1"/>
  <c r="G35" i="52066"/>
  <c r="J200" i="52083"/>
  <c r="E223" i="52091"/>
  <c r="E222" i="52091"/>
  <c r="E254" i="52091" s="1"/>
  <c r="E245" i="52091"/>
  <c r="I203" i="52091"/>
  <c r="I238" i="52091"/>
  <c r="F202" i="52103"/>
  <c r="F236" i="52103"/>
  <c r="J103" i="52103"/>
  <c r="J236" i="52103" s="1"/>
  <c r="F239" i="233"/>
  <c r="J116" i="233"/>
  <c r="E236" i="115"/>
  <c r="I62" i="115"/>
  <c r="F62" i="52104"/>
  <c r="M172" i="52102"/>
  <c r="G35" i="52094"/>
  <c r="L154" i="52094"/>
  <c r="J167" i="52075"/>
  <c r="J240" i="52075" s="1"/>
  <c r="E223" i="114"/>
  <c r="E222" i="114"/>
  <c r="E254" i="114" s="1"/>
  <c r="E245" i="114"/>
  <c r="I203" i="114"/>
  <c r="C90" i="233"/>
  <c r="N90" i="52097"/>
  <c r="Q90" i="52097"/>
  <c r="F240" i="52074"/>
  <c r="I167" i="52074"/>
  <c r="I240" i="52074" s="1"/>
  <c r="M150" i="52104"/>
  <c r="J70" i="12"/>
  <c r="G103" i="12"/>
  <c r="M100" i="52104"/>
  <c r="N100" i="52104"/>
  <c r="D141" i="233"/>
  <c r="Q141" i="111"/>
  <c r="H141" i="233" s="1"/>
  <c r="T141" i="111"/>
  <c r="F245" i="114"/>
  <c r="J242" i="114"/>
  <c r="L242" i="114" s="1"/>
  <c r="M172" i="52104"/>
  <c r="G239" i="52094"/>
  <c r="H116" i="52094"/>
  <c r="B116" i="52077"/>
  <c r="G202" i="52083"/>
  <c r="G244" i="52083" s="1"/>
  <c r="G237" i="52083"/>
  <c r="G239" i="52075"/>
  <c r="K153" i="52075"/>
  <c r="K239" i="52075" s="1"/>
  <c r="M180" i="52102"/>
  <c r="D46" i="52083"/>
  <c r="D47" i="52083" s="1"/>
  <c r="D32" i="52083"/>
  <c r="D33" i="52083" s="1"/>
  <c r="D51" i="52083"/>
  <c r="J156" i="12"/>
  <c r="L156" i="12" s="1"/>
  <c r="B155" i="52104"/>
  <c r="B155" i="52076"/>
  <c r="B167" i="52076" s="1"/>
  <c r="B241" i="52076" s="1"/>
  <c r="G168" i="12"/>
  <c r="H155" i="52076"/>
  <c r="E156" i="111"/>
  <c r="E168" i="111" s="1"/>
  <c r="E242" i="111" s="1"/>
  <c r="G28" i="12"/>
  <c r="L30" i="12"/>
  <c r="G35" i="12"/>
  <c r="G24" i="12"/>
  <c r="G36" i="12"/>
  <c r="K113" i="233"/>
  <c r="J113" i="233"/>
  <c r="R172" i="111"/>
  <c r="N116" i="111"/>
  <c r="N239" i="111" s="1"/>
  <c r="N110" i="110"/>
  <c r="C184" i="52102"/>
  <c r="C242" i="52102" s="1"/>
  <c r="J185" i="52089"/>
  <c r="L185" i="52089" s="1"/>
  <c r="B51" i="52074"/>
  <c r="G127" i="52095"/>
  <c r="J51" i="52095"/>
  <c r="G233" i="52095"/>
  <c r="G28" i="52095"/>
  <c r="G24" i="52095"/>
  <c r="G36" i="52095"/>
  <c r="G35" i="52095"/>
  <c r="M180" i="52103"/>
  <c r="T163" i="111"/>
  <c r="E138" i="233"/>
  <c r="K138" i="110"/>
  <c r="K36" i="52096"/>
  <c r="F207" i="52090" s="1"/>
  <c r="I207" i="52090" s="1"/>
  <c r="K18" i="52096"/>
  <c r="F207" i="52099" s="1"/>
  <c r="F209" i="52099" s="1"/>
  <c r="K42" i="52096"/>
  <c r="F207" i="52080" s="1"/>
  <c r="I207" i="52080" s="1"/>
  <c r="K24" i="52096"/>
  <c r="F207" i="52066" s="1"/>
  <c r="I207" i="52066" s="1"/>
  <c r="K22" i="52096"/>
  <c r="F207" i="91" s="1"/>
  <c r="K31" i="52096"/>
  <c r="F207" i="115" s="1"/>
  <c r="K9" i="52096"/>
  <c r="K13" i="52096"/>
  <c r="F207" i="52088" s="1"/>
  <c r="I207" i="52088" s="1"/>
  <c r="K14" i="52096"/>
  <c r="F207" i="101" s="1"/>
  <c r="I207" i="101" s="1"/>
  <c r="K40" i="52096"/>
  <c r="F207" i="52094" s="1"/>
  <c r="K16" i="52096"/>
  <c r="F207" i="52071" s="1"/>
  <c r="I207" i="52071" s="1"/>
  <c r="K33" i="52096"/>
  <c r="F207" i="12" s="1"/>
  <c r="I207" i="12" s="1"/>
  <c r="K12" i="52096"/>
  <c r="F207" i="52087" s="1"/>
  <c r="K26" i="52096"/>
  <c r="F207" i="52081" s="1"/>
  <c r="I207" i="52081" s="1"/>
  <c r="K23" i="52096"/>
  <c r="F207" i="48" s="1"/>
  <c r="K5" i="52096"/>
  <c r="K39" i="52096"/>
  <c r="F207" i="52093" s="1"/>
  <c r="I207" i="52093" s="1"/>
  <c r="K32" i="52096"/>
  <c r="F207" i="20" s="1"/>
  <c r="K35" i="52096"/>
  <c r="F207" i="52089" s="1"/>
  <c r="I207" i="52089" s="1"/>
  <c r="K15" i="52096"/>
  <c r="F207" i="52067" s="1"/>
  <c r="I207" i="52067" s="1"/>
  <c r="K25" i="52096"/>
  <c r="F207" i="52072" s="1"/>
  <c r="I207" i="52072" s="1"/>
  <c r="K34" i="52096"/>
  <c r="F207" i="77" s="1"/>
  <c r="I207" i="77" s="1"/>
  <c r="K10" i="52096"/>
  <c r="F207" i="105" s="1"/>
  <c r="K6" i="52096"/>
  <c r="F207" i="52064" s="1"/>
  <c r="K11" i="52096"/>
  <c r="F207" i="108" s="1"/>
  <c r="I207" i="108" s="1"/>
  <c r="K30" i="52096"/>
  <c r="K38" i="52096"/>
  <c r="F207" i="52092" s="1"/>
  <c r="I207" i="52092" s="1"/>
  <c r="K20" i="52096"/>
  <c r="K44" i="52096"/>
  <c r="K21" i="52096"/>
  <c r="K17" i="52096"/>
  <c r="F207" i="52079" s="1"/>
  <c r="I207" i="52079" s="1"/>
  <c r="K8" i="52096"/>
  <c r="K41" i="52096"/>
  <c r="F207" i="52095" s="1"/>
  <c r="I207" i="52095" s="1"/>
  <c r="K37" i="52096"/>
  <c r="F207" i="52091" s="1"/>
  <c r="K29" i="52096"/>
  <c r="K27" i="52096"/>
  <c r="F207" i="52100" s="1"/>
  <c r="I95" i="52102"/>
  <c r="K95" i="52102" s="1"/>
  <c r="D32" i="52097"/>
  <c r="D33" i="52097" s="1"/>
  <c r="D46" i="52097"/>
  <c r="D47" i="52097" s="1"/>
  <c r="D51" i="52097"/>
  <c r="M239" i="52097"/>
  <c r="Q116" i="52097"/>
  <c r="Q239" i="52097" s="1"/>
  <c r="C51" i="52083"/>
  <c r="C32" i="52083"/>
  <c r="C33" i="52083" s="1"/>
  <c r="C46" i="52083"/>
  <c r="C47" i="52083" s="1"/>
  <c r="C18" i="233"/>
  <c r="N18" i="52097"/>
  <c r="C236" i="52094"/>
  <c r="C205" i="52094"/>
  <c r="N126" i="52097"/>
  <c r="Q126" i="52097"/>
  <c r="C126" i="233"/>
  <c r="B185" i="111"/>
  <c r="B243" i="111" s="1"/>
  <c r="C103" i="9"/>
  <c r="C238" i="9" s="1"/>
  <c r="G70" i="233"/>
  <c r="M77" i="52103"/>
  <c r="F237" i="52084"/>
  <c r="J116" i="32"/>
  <c r="H153" i="52076"/>
  <c r="D153" i="52077"/>
  <c r="I133" i="52077"/>
  <c r="L133" i="52077" s="1"/>
  <c r="H239" i="52077"/>
  <c r="J153" i="52077"/>
  <c r="J239" i="52077" s="1"/>
  <c r="L133" i="110"/>
  <c r="D154" i="110"/>
  <c r="D241" i="110" s="1"/>
  <c r="F236" i="115"/>
  <c r="G62" i="52104"/>
  <c r="G233" i="115"/>
  <c r="L233" i="115" s="1"/>
  <c r="G127" i="115"/>
  <c r="V109" i="111"/>
  <c r="E96" i="233"/>
  <c r="K96" i="110"/>
  <c r="H176" i="233"/>
  <c r="C116" i="52104"/>
  <c r="C237" i="52104" s="1"/>
  <c r="H95" i="52090"/>
  <c r="D95" i="52075"/>
  <c r="D103" i="52075" s="1"/>
  <c r="D236" i="52075" s="1"/>
  <c r="L95" i="52090"/>
  <c r="J95" i="52090"/>
  <c r="H95" i="111"/>
  <c r="H103" i="111" s="1"/>
  <c r="H238" i="111" s="1"/>
  <c r="G28" i="52090"/>
  <c r="L30" i="52090"/>
  <c r="G24" i="52090"/>
  <c r="G127" i="52072"/>
  <c r="G233" i="52072"/>
  <c r="L233" i="52072" s="1"/>
  <c r="D156" i="110"/>
  <c r="D168" i="110" s="1"/>
  <c r="D242" i="110" s="1"/>
  <c r="D155" i="52102"/>
  <c r="D167" i="52102" s="1"/>
  <c r="D241" i="52102" s="1"/>
  <c r="G168" i="52072"/>
  <c r="J156" i="52072"/>
  <c r="L156" i="52072" s="1"/>
  <c r="F233" i="52091"/>
  <c r="J51" i="52091"/>
  <c r="J233" i="52091" s="1"/>
  <c r="F62" i="52091"/>
  <c r="M101" i="52103"/>
  <c r="N10" i="52097"/>
  <c r="C10" i="233"/>
  <c r="H103" i="32"/>
  <c r="L103" i="32" s="1"/>
  <c r="G238" i="32"/>
  <c r="V83" i="111"/>
  <c r="R164" i="111"/>
  <c r="N80" i="52104"/>
  <c r="M80" i="52104"/>
  <c r="Q164" i="52097"/>
  <c r="C164" i="233"/>
  <c r="N164" i="52097"/>
  <c r="Q145" i="52097"/>
  <c r="N145" i="52097"/>
  <c r="H145" i="233" s="1"/>
  <c r="C145" i="233"/>
  <c r="J64" i="233"/>
  <c r="G62" i="52082"/>
  <c r="E236" i="52087"/>
  <c r="I236" i="52087" s="1"/>
  <c r="I62" i="52087"/>
  <c r="I103" i="20"/>
  <c r="I238" i="20"/>
  <c r="E54" i="21"/>
  <c r="E205" i="21"/>
  <c r="I239" i="20"/>
  <c r="E245" i="52095"/>
  <c r="E223" i="52095"/>
  <c r="I203" i="52095"/>
  <c r="E222" i="52095"/>
  <c r="E254" i="52095" s="1"/>
  <c r="I239" i="32"/>
  <c r="J178" i="233"/>
  <c r="F51" i="233"/>
  <c r="N95" i="233"/>
  <c r="F238" i="52097"/>
  <c r="Q152" i="111"/>
  <c r="V152" i="111" s="1"/>
  <c r="D152" i="233"/>
  <c r="D154" i="111"/>
  <c r="D241" i="111" s="1"/>
  <c r="F245" i="52071"/>
  <c r="F245" i="77"/>
  <c r="M161" i="52104"/>
  <c r="N161" i="52104"/>
  <c r="R96" i="111"/>
  <c r="L149" i="52077"/>
  <c r="T145" i="111"/>
  <c r="M160" i="52102"/>
  <c r="M149" i="52102"/>
  <c r="G241" i="52100"/>
  <c r="H154" i="52100"/>
  <c r="L154" i="52100" s="1"/>
  <c r="B153" i="52102"/>
  <c r="C87" i="233"/>
  <c r="N87" i="52097"/>
  <c r="N81" i="52097"/>
  <c r="C81" i="233"/>
  <c r="F17" i="9"/>
  <c r="H17" i="233" s="1"/>
  <c r="B17" i="233"/>
  <c r="I17" i="233"/>
  <c r="I103" i="21"/>
  <c r="F238" i="21"/>
  <c r="I238" i="21" s="1"/>
  <c r="F203" i="21"/>
  <c r="F103" i="52098"/>
  <c r="N98" i="52097"/>
  <c r="C98" i="233"/>
  <c r="C205" i="52087"/>
  <c r="C236" i="52087"/>
  <c r="B184" i="52076"/>
  <c r="B242" i="52076" s="1"/>
  <c r="N95" i="52097"/>
  <c r="C95" i="233"/>
  <c r="Q95" i="52097"/>
  <c r="B116" i="110"/>
  <c r="B239" i="110" s="1"/>
  <c r="C184" i="52077"/>
  <c r="C241" i="52077" s="1"/>
  <c r="L72" i="52077"/>
  <c r="E146" i="233"/>
  <c r="K146" i="110"/>
  <c r="L241" i="91"/>
  <c r="K143" i="110"/>
  <c r="H143" i="233" s="1"/>
  <c r="E143" i="233"/>
  <c r="L51" i="52100"/>
  <c r="L233" i="52100"/>
  <c r="C236" i="52100"/>
  <c r="C205" i="52100"/>
  <c r="G239" i="52100"/>
  <c r="J239" i="52100" s="1"/>
  <c r="L239" i="52100" s="1"/>
  <c r="H116" i="52100"/>
  <c r="H116" i="110"/>
  <c r="H239" i="110" s="1"/>
  <c r="H161" i="233"/>
  <c r="C33" i="52098"/>
  <c r="C47" i="52098"/>
  <c r="C51" i="52098"/>
  <c r="H165" i="233"/>
  <c r="L65" i="110"/>
  <c r="F70" i="110"/>
  <c r="F103" i="110" s="1"/>
  <c r="C218" i="77"/>
  <c r="L160" i="52077"/>
  <c r="M159" i="52102"/>
  <c r="M99" i="52102"/>
  <c r="G240" i="52102"/>
  <c r="K153" i="52102"/>
  <c r="K240" i="52102" s="1"/>
  <c r="C218" i="52090"/>
  <c r="C205" i="52090"/>
  <c r="C236" i="52090"/>
  <c r="C236" i="52092"/>
  <c r="C205" i="52092"/>
  <c r="H85" i="233"/>
  <c r="F236" i="148"/>
  <c r="H62" i="52082"/>
  <c r="F205" i="148"/>
  <c r="F247" i="148" s="1"/>
  <c r="M62" i="52097"/>
  <c r="J51" i="52089"/>
  <c r="J233" i="52089" s="1"/>
  <c r="L233" i="52089" s="1"/>
  <c r="B184" i="52077"/>
  <c r="N145" i="110"/>
  <c r="K185" i="111"/>
  <c r="K243" i="111" s="1"/>
  <c r="I175" i="233"/>
  <c r="H175" i="233"/>
  <c r="L74" i="52077"/>
  <c r="M112" i="52103"/>
  <c r="C247" i="52089"/>
  <c r="C209" i="52089"/>
  <c r="B205" i="52089"/>
  <c r="B103" i="52103"/>
  <c r="M95" i="52103"/>
  <c r="M84" i="52103"/>
  <c r="M242" i="52097"/>
  <c r="P168" i="52097"/>
  <c r="P242" i="52097" s="1"/>
  <c r="D184" i="52103"/>
  <c r="D241" i="52103" s="1"/>
  <c r="J185" i="52081"/>
  <c r="Q49" i="111"/>
  <c r="H49" i="233" s="1"/>
  <c r="D49" i="233"/>
  <c r="L174" i="52077"/>
  <c r="N157" i="110"/>
  <c r="L174" i="110"/>
  <c r="B107" i="233"/>
  <c r="B116" i="233" s="1"/>
  <c r="B239" i="233" s="1"/>
  <c r="F107" i="9"/>
  <c r="I107" i="233"/>
  <c r="K107" i="233" s="1"/>
  <c r="G242" i="52083"/>
  <c r="L243" i="52095"/>
  <c r="S185" i="111"/>
  <c r="H154" i="9"/>
  <c r="H241" i="9" s="1"/>
  <c r="E53" i="52084"/>
  <c r="E231" i="52084"/>
  <c r="J116" i="52103"/>
  <c r="J237" i="52103" s="1"/>
  <c r="G36" i="52089"/>
  <c r="J87" i="233"/>
  <c r="J184" i="52102"/>
  <c r="J242" i="52102" s="1"/>
  <c r="H116" i="9"/>
  <c r="H239" i="9" s="1"/>
  <c r="J167" i="52103"/>
  <c r="J240" i="52103" s="1"/>
  <c r="E245" i="91"/>
  <c r="E223" i="91"/>
  <c r="I203" i="91"/>
  <c r="E222" i="91"/>
  <c r="E254" i="91" s="1"/>
  <c r="I238" i="52089"/>
  <c r="I200" i="52084"/>
  <c r="I241" i="52084" s="1"/>
  <c r="J153" i="52075"/>
  <c r="J239" i="52075" s="1"/>
  <c r="Q88" i="111"/>
  <c r="D88" i="233"/>
  <c r="T88" i="111"/>
  <c r="I239" i="52095"/>
  <c r="I103" i="108"/>
  <c r="I239" i="52090"/>
  <c r="L239" i="52090" s="1"/>
  <c r="F237" i="52074"/>
  <c r="I116" i="52074"/>
  <c r="I237" i="52074" s="1"/>
  <c r="H116" i="52074"/>
  <c r="H237" i="52074" s="1"/>
  <c r="H116" i="115"/>
  <c r="L116" i="115" s="1"/>
  <c r="G239" i="115"/>
  <c r="J239" i="115" s="1"/>
  <c r="E116" i="52104"/>
  <c r="E237" i="52104" s="1"/>
  <c r="I116" i="52104"/>
  <c r="I237" i="52104" s="1"/>
  <c r="G240" i="52083"/>
  <c r="J153" i="52083"/>
  <c r="J240" i="52083" s="1"/>
  <c r="K153" i="52083"/>
  <c r="K240" i="52083" s="1"/>
  <c r="M147" i="52104"/>
  <c r="N147" i="52104"/>
  <c r="N86" i="52104"/>
  <c r="M86" i="52104"/>
  <c r="L90" i="52077"/>
  <c r="L70" i="115"/>
  <c r="F238" i="115"/>
  <c r="F203" i="115"/>
  <c r="J103" i="115"/>
  <c r="I103" i="115"/>
  <c r="G103" i="52104"/>
  <c r="J70" i="52104"/>
  <c r="M70" i="52104" s="1"/>
  <c r="L70" i="12"/>
  <c r="G238" i="52104"/>
  <c r="J129" i="52104"/>
  <c r="J238" i="52104" s="1"/>
  <c r="L154" i="115"/>
  <c r="L241" i="115"/>
  <c r="H253" i="52104"/>
  <c r="M253" i="52104" s="1"/>
  <c r="H253" i="52103"/>
  <c r="M253" i="52103" s="1"/>
  <c r="H254" i="52083"/>
  <c r="H253" i="52075"/>
  <c r="G254" i="52098"/>
  <c r="H254" i="52102"/>
  <c r="M254" i="52102" s="1"/>
  <c r="G238" i="101"/>
  <c r="J238" i="101" s="1"/>
  <c r="H103" i="101"/>
  <c r="H116" i="52081"/>
  <c r="G239" i="52081"/>
  <c r="J239" i="52081" s="1"/>
  <c r="G239" i="12"/>
  <c r="J239" i="12" s="1"/>
  <c r="L239" i="12" s="1"/>
  <c r="H116" i="12"/>
  <c r="L116" i="12" s="1"/>
  <c r="E116" i="111"/>
  <c r="E239" i="111" s="1"/>
  <c r="H116" i="52076"/>
  <c r="J105" i="52076"/>
  <c r="L67" i="52077"/>
  <c r="J249" i="52094"/>
  <c r="L67" i="52094"/>
  <c r="M112" i="52102"/>
  <c r="M93" i="52102"/>
  <c r="H169" i="52098"/>
  <c r="B184" i="52098"/>
  <c r="I118" i="233"/>
  <c r="E118" i="233"/>
  <c r="K118" i="110"/>
  <c r="H118" i="233" s="1"/>
  <c r="L68" i="110"/>
  <c r="M68" i="52102"/>
  <c r="F62" i="52076"/>
  <c r="F103" i="52074"/>
  <c r="J70" i="52074"/>
  <c r="I70" i="52074"/>
  <c r="H154" i="52066"/>
  <c r="L154" i="52066" s="1"/>
  <c r="G241" i="52066"/>
  <c r="C153" i="52103"/>
  <c r="C239" i="52103" s="1"/>
  <c r="C153" i="52084"/>
  <c r="C239" i="52084" s="1"/>
  <c r="N124" i="52097"/>
  <c r="C124" i="233"/>
  <c r="Q124" i="52097"/>
  <c r="N124" i="52104"/>
  <c r="M124" i="52104"/>
  <c r="T124" i="111"/>
  <c r="Q124" i="111"/>
  <c r="V124" i="111" s="1"/>
  <c r="D124" i="233"/>
  <c r="M85" i="52103"/>
  <c r="L164" i="52077"/>
  <c r="D51" i="52077"/>
  <c r="D231" i="52077" s="1"/>
  <c r="I21" i="52077"/>
  <c r="G28" i="52093"/>
  <c r="G24" i="52093"/>
  <c r="L30" i="52093"/>
  <c r="G36" i="52093"/>
  <c r="G35" i="52093"/>
  <c r="G127" i="52093"/>
  <c r="J51" i="52093"/>
  <c r="G233" i="52093"/>
  <c r="P62" i="111"/>
  <c r="F205" i="52095"/>
  <c r="L185" i="52080"/>
  <c r="J243" i="52080"/>
  <c r="C236" i="91"/>
  <c r="C205" i="91"/>
  <c r="M109" i="52103"/>
  <c r="J70" i="52072"/>
  <c r="L70" i="52072" s="1"/>
  <c r="J243" i="115"/>
  <c r="C185" i="111"/>
  <c r="C243" i="111" s="1"/>
  <c r="M81" i="52104"/>
  <c r="B51" i="110"/>
  <c r="B233" i="110" s="1"/>
  <c r="I61" i="110"/>
  <c r="L165" i="52077"/>
  <c r="B184" i="52103"/>
  <c r="M169" i="52103"/>
  <c r="F236" i="52077"/>
  <c r="F202" i="52077"/>
  <c r="F243" i="52077" s="1"/>
  <c r="K66" i="52103"/>
  <c r="M66" i="52103" s="1"/>
  <c r="M174" i="52102"/>
  <c r="D18" i="233"/>
  <c r="Q18" i="111"/>
  <c r="V18" i="111" s="1"/>
  <c r="B241" i="9"/>
  <c r="G154" i="9"/>
  <c r="G185" i="233"/>
  <c r="G243" i="233" s="1"/>
  <c r="L243" i="114"/>
  <c r="D185" i="111"/>
  <c r="D243" i="111" s="1"/>
  <c r="E92" i="233"/>
  <c r="K92" i="110"/>
  <c r="K191" i="110"/>
  <c r="H191" i="233" s="1"/>
  <c r="E191" i="233"/>
  <c r="I191" i="233"/>
  <c r="B150" i="233"/>
  <c r="F150" i="9"/>
  <c r="I150" i="233"/>
  <c r="K150" i="233" s="1"/>
  <c r="I150" i="9"/>
  <c r="K159" i="110"/>
  <c r="H159" i="233" s="1"/>
  <c r="E159" i="233"/>
  <c r="I159" i="233"/>
  <c r="K159" i="233" s="1"/>
  <c r="K120" i="110"/>
  <c r="H120" i="233" s="1"/>
  <c r="E120" i="233"/>
  <c r="I120" i="233"/>
  <c r="K120" i="233" s="1"/>
  <c r="M120" i="52102"/>
  <c r="B51" i="52102"/>
  <c r="G241" i="52090"/>
  <c r="L241" i="52090" s="1"/>
  <c r="H154" i="52090"/>
  <c r="L154" i="52090" s="1"/>
  <c r="J241" i="52090"/>
  <c r="N178" i="52097"/>
  <c r="C178" i="233"/>
  <c r="M109" i="52102"/>
  <c r="B238" i="52083"/>
  <c r="H116" i="52083"/>
  <c r="H238" i="52083" s="1"/>
  <c r="I116" i="52083"/>
  <c r="R173" i="111"/>
  <c r="R170" i="111"/>
  <c r="H185" i="111"/>
  <c r="H243" i="111" s="1"/>
  <c r="G243" i="52090"/>
  <c r="J243" i="52090" s="1"/>
  <c r="L185" i="52090"/>
  <c r="K70" i="111"/>
  <c r="M174" i="52104"/>
  <c r="B51" i="52103"/>
  <c r="B231" i="52103" s="1"/>
  <c r="M21" i="52103"/>
  <c r="H155" i="52084"/>
  <c r="F156" i="110"/>
  <c r="F168" i="110" s="1"/>
  <c r="F242" i="110" s="1"/>
  <c r="J156" i="48"/>
  <c r="L156" i="48" s="1"/>
  <c r="B155" i="52103"/>
  <c r="B167" i="52103" s="1"/>
  <c r="B240" i="52103" s="1"/>
  <c r="G168" i="48"/>
  <c r="B155" i="52084"/>
  <c r="B167" i="52084" s="1"/>
  <c r="B240" i="52084" s="1"/>
  <c r="G127" i="48"/>
  <c r="G233" i="48"/>
  <c r="L51" i="48"/>
  <c r="H140" i="233"/>
  <c r="J21" i="52082"/>
  <c r="F236" i="101"/>
  <c r="F205" i="101"/>
  <c r="N86" i="52097"/>
  <c r="C86" i="233"/>
  <c r="Q86" i="52097"/>
  <c r="F236" i="105"/>
  <c r="G62" i="52083"/>
  <c r="N101" i="52097"/>
  <c r="C101" i="233"/>
  <c r="I73" i="9"/>
  <c r="B73" i="233"/>
  <c r="F73" i="9"/>
  <c r="I73" i="233"/>
  <c r="K73" i="233" s="1"/>
  <c r="E103" i="52102"/>
  <c r="L95" i="110"/>
  <c r="E51" i="110"/>
  <c r="C51" i="52084"/>
  <c r="J156" i="91"/>
  <c r="L156" i="91" s="1"/>
  <c r="E155" i="52103"/>
  <c r="E167" i="52103" s="1"/>
  <c r="E240" i="52103" s="1"/>
  <c r="C156" i="110"/>
  <c r="C168" i="110" s="1"/>
  <c r="C242" i="110" s="1"/>
  <c r="G168" i="91"/>
  <c r="I155" i="52103"/>
  <c r="G32" i="91"/>
  <c r="V122" i="111"/>
  <c r="L92" i="52077"/>
  <c r="E70" i="52103"/>
  <c r="E103" i="52103" s="1"/>
  <c r="L101" i="110"/>
  <c r="I101" i="233" s="1"/>
  <c r="F203" i="52064"/>
  <c r="J103" i="52064"/>
  <c r="F238" i="52064"/>
  <c r="J238" i="52064" s="1"/>
  <c r="B137" i="233"/>
  <c r="F137" i="9"/>
  <c r="F32" i="52097"/>
  <c r="F33" i="52097" s="1"/>
  <c r="F46" i="52097"/>
  <c r="F47" i="52097" s="1"/>
  <c r="F51" i="52097"/>
  <c r="F100" i="9"/>
  <c r="H100" i="233" s="1"/>
  <c r="B100" i="233"/>
  <c r="I100" i="233"/>
  <c r="K100" i="233" s="1"/>
  <c r="I100" i="9"/>
  <c r="G233" i="105"/>
  <c r="G127" i="105"/>
  <c r="G62" i="105"/>
  <c r="C51" i="52097"/>
  <c r="C46" i="52097"/>
  <c r="C47" i="52097" s="1"/>
  <c r="C32" i="52097"/>
  <c r="C33" i="52097" s="1"/>
  <c r="C137" i="233"/>
  <c r="N137" i="52097"/>
  <c r="Q137" i="52097"/>
  <c r="Q144" i="52097"/>
  <c r="N144" i="52097"/>
  <c r="C144" i="233"/>
  <c r="M241" i="52097"/>
  <c r="D142" i="233"/>
  <c r="Q142" i="111"/>
  <c r="T142" i="111"/>
  <c r="E223" i="52064"/>
  <c r="I203" i="52064"/>
  <c r="E245" i="52064"/>
  <c r="E222" i="52064"/>
  <c r="E254" i="52064" s="1"/>
  <c r="F237" i="52083"/>
  <c r="J103" i="52083"/>
  <c r="J237" i="52083" s="1"/>
  <c r="F202" i="52083"/>
  <c r="I236" i="52088"/>
  <c r="E54" i="12"/>
  <c r="E205" i="12"/>
  <c r="E236" i="12"/>
  <c r="I236" i="12" s="1"/>
  <c r="E62" i="52076"/>
  <c r="I62" i="12"/>
  <c r="L30" i="20"/>
  <c r="J70" i="52075"/>
  <c r="S70" i="111"/>
  <c r="I239" i="52091"/>
  <c r="L239" i="52091" s="1"/>
  <c r="E54" i="77"/>
  <c r="E205" i="77"/>
  <c r="E54" i="52066"/>
  <c r="E205" i="52066"/>
  <c r="E236" i="52092"/>
  <c r="I236" i="52092" s="1"/>
  <c r="I62" i="52092"/>
  <c r="E54" i="52092"/>
  <c r="E205" i="52092"/>
  <c r="I238" i="110"/>
  <c r="I203" i="110"/>
  <c r="M103" i="110"/>
  <c r="M238" i="110" s="1"/>
  <c r="I62" i="52064"/>
  <c r="E236" i="52064"/>
  <c r="I236" i="52064" s="1"/>
  <c r="D62" i="9"/>
  <c r="I238" i="52072"/>
  <c r="E236" i="32"/>
  <c r="I236" i="32" s="1"/>
  <c r="I62" i="32"/>
  <c r="E54" i="32"/>
  <c r="E205" i="32"/>
  <c r="E205" i="52095"/>
  <c r="E54" i="52095"/>
  <c r="L35" i="52080"/>
  <c r="I241" i="32"/>
  <c r="N73" i="52097"/>
  <c r="Q73" i="52097"/>
  <c r="C73" i="233"/>
  <c r="Q138" i="52097"/>
  <c r="C138" i="233"/>
  <c r="N138" i="52097"/>
  <c r="R67" i="111"/>
  <c r="D237" i="52098"/>
  <c r="B103" i="52083"/>
  <c r="H64" i="52083"/>
  <c r="D70" i="52083"/>
  <c r="D103" i="52083" s="1"/>
  <c r="I64" i="52083"/>
  <c r="K64" i="52083" s="1"/>
  <c r="I242" i="115"/>
  <c r="N91" i="52104"/>
  <c r="M91" i="52104"/>
  <c r="I70" i="52075"/>
  <c r="J70" i="52095"/>
  <c r="L70" i="52095" s="1"/>
  <c r="G103" i="52095"/>
  <c r="R177" i="111"/>
  <c r="F237" i="52076"/>
  <c r="F202" i="52076"/>
  <c r="F244" i="52076" s="1"/>
  <c r="G237" i="52075"/>
  <c r="K116" i="52075"/>
  <c r="K237" i="52075" s="1"/>
  <c r="G239" i="52095"/>
  <c r="J239" i="52095" s="1"/>
  <c r="H116" i="52095"/>
  <c r="L116" i="52095" s="1"/>
  <c r="G103" i="110"/>
  <c r="H103" i="52081"/>
  <c r="G203" i="52081"/>
  <c r="G238" i="52081"/>
  <c r="J238" i="52081" s="1"/>
  <c r="F238" i="52081"/>
  <c r="I238" i="52081" s="1"/>
  <c r="F203" i="52081"/>
  <c r="J103" i="52081"/>
  <c r="D153" i="52104"/>
  <c r="D239" i="52104" s="1"/>
  <c r="E197" i="233"/>
  <c r="K197" i="110"/>
  <c r="H197" i="233" s="1"/>
  <c r="I197" i="233"/>
  <c r="K197" i="233" s="1"/>
  <c r="L119" i="110"/>
  <c r="M119" i="52102"/>
  <c r="L97" i="110"/>
  <c r="I97" i="233" s="1"/>
  <c r="K97" i="233" s="1"/>
  <c r="F238" i="52100"/>
  <c r="F203" i="52100"/>
  <c r="J103" i="52100"/>
  <c r="L103" i="52100" s="1"/>
  <c r="K64" i="52102"/>
  <c r="M64" i="52102" s="1"/>
  <c r="F138" i="9"/>
  <c r="B138" i="233"/>
  <c r="I138" i="233"/>
  <c r="K138" i="233" s="1"/>
  <c r="C236" i="101"/>
  <c r="C205" i="101"/>
  <c r="B183" i="233"/>
  <c r="F183" i="9"/>
  <c r="I183" i="233"/>
  <c r="V150" i="111"/>
  <c r="C116" i="52084"/>
  <c r="C237" i="52084" s="1"/>
  <c r="C236" i="52095"/>
  <c r="C205" i="52095"/>
  <c r="C218" i="52095"/>
  <c r="N135" i="52097"/>
  <c r="H135" i="233" s="1"/>
  <c r="C135" i="233"/>
  <c r="Q135" i="52097"/>
  <c r="J51" i="52071"/>
  <c r="J233" i="52071" s="1"/>
  <c r="F236" i="52071"/>
  <c r="J62" i="52071"/>
  <c r="F205" i="52071"/>
  <c r="D155" i="52098"/>
  <c r="D167" i="52098" s="1"/>
  <c r="D241" i="52098" s="1"/>
  <c r="I156" i="52097"/>
  <c r="I168" i="52097" s="1"/>
  <c r="I242" i="52097" s="1"/>
  <c r="G168" i="52071"/>
  <c r="J156" i="52071"/>
  <c r="C236" i="105"/>
  <c r="C205" i="105"/>
  <c r="L95" i="91"/>
  <c r="J51" i="91"/>
  <c r="F236" i="91"/>
  <c r="F205" i="91"/>
  <c r="G62" i="52103"/>
  <c r="B239" i="52103"/>
  <c r="M239" i="52103" s="1"/>
  <c r="N88" i="110"/>
  <c r="M145" i="52103"/>
  <c r="J243" i="52067"/>
  <c r="B203" i="52089"/>
  <c r="C223" i="52089"/>
  <c r="C245" i="52089"/>
  <c r="C222" i="52089"/>
  <c r="C254" i="52089" s="1"/>
  <c r="H90" i="233"/>
  <c r="C51" i="52076"/>
  <c r="N197" i="110"/>
  <c r="N162" i="52104"/>
  <c r="C103" i="52084"/>
  <c r="C103" i="52103"/>
  <c r="F238" i="52066"/>
  <c r="J238" i="52066" s="1"/>
  <c r="F203" i="52066"/>
  <c r="I203" i="52066" s="1"/>
  <c r="J103" i="52066"/>
  <c r="T146" i="111"/>
  <c r="J239" i="91"/>
  <c r="L239" i="91" s="1"/>
  <c r="L172" i="110"/>
  <c r="L125" i="110"/>
  <c r="I125" i="233" s="1"/>
  <c r="N72" i="52097"/>
  <c r="C72" i="233"/>
  <c r="Q72" i="52097"/>
  <c r="E185" i="111"/>
  <c r="E243" i="111" s="1"/>
  <c r="G233" i="52067"/>
  <c r="G127" i="52067"/>
  <c r="G62" i="52067"/>
  <c r="F240" i="52084"/>
  <c r="G127" i="148"/>
  <c r="G62" i="148"/>
  <c r="G236" i="148" s="1"/>
  <c r="J236" i="148" s="1"/>
  <c r="G233" i="148"/>
  <c r="C180" i="233"/>
  <c r="N180" i="52097"/>
  <c r="M163" i="52104"/>
  <c r="B51" i="52077"/>
  <c r="B231" i="52077" s="1"/>
  <c r="L21" i="52077"/>
  <c r="J70" i="52080"/>
  <c r="L70" i="52080" s="1"/>
  <c r="M92" i="52103"/>
  <c r="H51" i="52077"/>
  <c r="H231" i="52077" s="1"/>
  <c r="L51" i="32"/>
  <c r="L233" i="32"/>
  <c r="L81" i="110"/>
  <c r="K134" i="110"/>
  <c r="E134" i="233"/>
  <c r="N80" i="52097"/>
  <c r="C80" i="233"/>
  <c r="Q80" i="52097"/>
  <c r="M125" i="52103"/>
  <c r="M181" i="52103"/>
  <c r="M78" i="52103"/>
  <c r="G243" i="52072"/>
  <c r="J243" i="52072" s="1"/>
  <c r="L243" i="52072" s="1"/>
  <c r="L185" i="52072"/>
  <c r="F142" i="9"/>
  <c r="H142" i="233" s="1"/>
  <c r="B142" i="233"/>
  <c r="I142" i="233"/>
  <c r="K142" i="233" s="1"/>
  <c r="I142" i="9"/>
  <c r="L99" i="110"/>
  <c r="I99" i="233" s="1"/>
  <c r="K99" i="233" s="1"/>
  <c r="M87" i="52103"/>
  <c r="C209" i="52066"/>
  <c r="C247" i="52066"/>
  <c r="B205" i="52066"/>
  <c r="O154" i="52097"/>
  <c r="O241" i="52097" s="1"/>
  <c r="C133" i="233"/>
  <c r="Q133" i="52097"/>
  <c r="N133" i="52097"/>
  <c r="B32" i="9"/>
  <c r="B33" i="9" s="1"/>
  <c r="B46" i="9"/>
  <c r="B47" i="9" s="1"/>
  <c r="B51" i="9"/>
  <c r="G21" i="9"/>
  <c r="K51" i="52098"/>
  <c r="K232" i="52098" s="1"/>
  <c r="B156" i="9"/>
  <c r="B155" i="52098"/>
  <c r="K155" i="52098"/>
  <c r="K167" i="52098" s="1"/>
  <c r="K241" i="52098" s="1"/>
  <c r="G155" i="52098"/>
  <c r="G168" i="21"/>
  <c r="J156" i="21"/>
  <c r="I143" i="233"/>
  <c r="K143" i="233" s="1"/>
  <c r="H82" i="233"/>
  <c r="J239" i="101"/>
  <c r="J184" i="52075"/>
  <c r="J241" i="52075" s="1"/>
  <c r="E54" i="52094"/>
  <c r="E205" i="52094"/>
  <c r="G36" i="52094"/>
  <c r="P201" i="52097"/>
  <c r="E205" i="52090"/>
  <c r="E54" i="52090"/>
  <c r="M64" i="52103"/>
  <c r="J70" i="52102"/>
  <c r="F231" i="52104"/>
  <c r="M231" i="52104" s="1"/>
  <c r="F53" i="52104"/>
  <c r="F54" i="52104" s="1"/>
  <c r="E236" i="52081"/>
  <c r="I62" i="52081"/>
  <c r="J116" i="52075"/>
  <c r="J237" i="52075" s="1"/>
  <c r="I240" i="77"/>
  <c r="L241" i="52094"/>
  <c r="J239" i="52088"/>
  <c r="I239" i="52088"/>
  <c r="R91" i="111"/>
  <c r="G241" i="12"/>
  <c r="J241" i="12" s="1"/>
  <c r="H154" i="12"/>
  <c r="L154" i="12" s="1"/>
  <c r="B70" i="111"/>
  <c r="B103" i="111" s="1"/>
  <c r="R64" i="111"/>
  <c r="L116" i="52094"/>
  <c r="J239" i="52094"/>
  <c r="V148" i="111"/>
  <c r="F238" i="105"/>
  <c r="I238" i="105" s="1"/>
  <c r="F203" i="105"/>
  <c r="J103" i="105"/>
  <c r="I103" i="105"/>
  <c r="N90" i="52104"/>
  <c r="M90" i="52104"/>
  <c r="J154" i="52095"/>
  <c r="P241" i="111"/>
  <c r="M161" i="52102"/>
  <c r="E144" i="233"/>
  <c r="K144" i="110"/>
  <c r="C125" i="233"/>
  <c r="N125" i="52097"/>
  <c r="R166" i="111"/>
  <c r="J116" i="12"/>
  <c r="J70" i="52092"/>
  <c r="L70" i="52092" s="1"/>
  <c r="Q14" i="111"/>
  <c r="H14" i="233" s="1"/>
  <c r="D14" i="233"/>
  <c r="T14" i="111"/>
  <c r="I14" i="233"/>
  <c r="K14" i="233" s="1"/>
  <c r="L150" i="110"/>
  <c r="D16" i="233"/>
  <c r="Q16" i="111"/>
  <c r="M97" i="52103"/>
  <c r="B70" i="110"/>
  <c r="B103" i="110" s="1"/>
  <c r="B238" i="110" s="1"/>
  <c r="D116" i="110"/>
  <c r="D239" i="110" s="1"/>
  <c r="J116" i="52072"/>
  <c r="L116" i="52072" s="1"/>
  <c r="C236" i="20"/>
  <c r="C205" i="20"/>
  <c r="J51" i="20"/>
  <c r="J233" i="20" s="1"/>
  <c r="L233" i="20" s="1"/>
  <c r="D10" i="233"/>
  <c r="Q10" i="111"/>
  <c r="V10" i="111" s="1"/>
  <c r="L170" i="110"/>
  <c r="B185" i="110"/>
  <c r="B243" i="110" s="1"/>
  <c r="L185" i="32"/>
  <c r="J243" i="32"/>
  <c r="L243" i="32" s="1"/>
  <c r="M114" i="52102"/>
  <c r="F236" i="108"/>
  <c r="F205" i="108"/>
  <c r="J62" i="108"/>
  <c r="E32" i="52083"/>
  <c r="E33" i="52083" s="1"/>
  <c r="E51" i="52083"/>
  <c r="E46" i="52083"/>
  <c r="E47" i="52083" s="1"/>
  <c r="D156" i="52097"/>
  <c r="D168" i="52097" s="1"/>
  <c r="D242" i="52097" s="1"/>
  <c r="G168" i="108"/>
  <c r="E155" i="52083"/>
  <c r="E167" i="52083" s="1"/>
  <c r="E241" i="52083" s="1"/>
  <c r="J156" i="108"/>
  <c r="L116" i="52082"/>
  <c r="L239" i="52082" s="1"/>
  <c r="H239" i="52082"/>
  <c r="K116" i="52082"/>
  <c r="K239" i="52082" s="1"/>
  <c r="F205" i="52079"/>
  <c r="J51" i="52097"/>
  <c r="J32" i="52097"/>
  <c r="J33" i="52097" s="1"/>
  <c r="J46" i="52097"/>
  <c r="J47" i="52097" s="1"/>
  <c r="G127" i="52079"/>
  <c r="G233" i="52079"/>
  <c r="J51" i="52079"/>
  <c r="J233" i="52079" s="1"/>
  <c r="G62" i="52079"/>
  <c r="J156" i="52097"/>
  <c r="J168" i="52097" s="1"/>
  <c r="J242" i="52097" s="1"/>
  <c r="J156" i="52079"/>
  <c r="G168" i="52079"/>
  <c r="C155" i="52083"/>
  <c r="C167" i="52083" s="1"/>
  <c r="B12" i="233"/>
  <c r="F12" i="9"/>
  <c r="H12" i="233" s="1"/>
  <c r="I12" i="233"/>
  <c r="I178" i="233"/>
  <c r="L185" i="114"/>
  <c r="H116" i="52084"/>
  <c r="H237" i="52084" s="1"/>
  <c r="L105" i="110"/>
  <c r="F116" i="110"/>
  <c r="F239" i="110" s="1"/>
  <c r="M105" i="52103"/>
  <c r="B116" i="52103"/>
  <c r="N156" i="111"/>
  <c r="N168" i="111" s="1"/>
  <c r="N242" i="111" s="1"/>
  <c r="E155" i="52075"/>
  <c r="E167" i="52075" s="1"/>
  <c r="E240" i="52075" s="1"/>
  <c r="G168" i="52080"/>
  <c r="J156" i="52080"/>
  <c r="L156" i="52080" s="1"/>
  <c r="J239" i="110"/>
  <c r="J241" i="108"/>
  <c r="M173" i="52104"/>
  <c r="L111" i="110"/>
  <c r="M243" i="52097"/>
  <c r="J185" i="148"/>
  <c r="K118" i="233"/>
  <c r="J118" i="233"/>
  <c r="N94" i="52097"/>
  <c r="C94" i="233"/>
  <c r="E62" i="9"/>
  <c r="Q9" i="111"/>
  <c r="Q21" i="111" s="1"/>
  <c r="D9" i="233"/>
  <c r="R21" i="111"/>
  <c r="R51" i="111" s="1"/>
  <c r="R233" i="111" s="1"/>
  <c r="F62" i="52077"/>
  <c r="L72" i="110"/>
  <c r="N98" i="52104"/>
  <c r="M98" i="52104"/>
  <c r="C93" i="233"/>
  <c r="N93" i="52097"/>
  <c r="Q93" i="52097"/>
  <c r="K114" i="52103"/>
  <c r="M114" i="52103" s="1"/>
  <c r="I184" i="52103"/>
  <c r="I241" i="52103" s="1"/>
  <c r="J184" i="52103"/>
  <c r="J241" i="52103" s="1"/>
  <c r="K184" i="52103"/>
  <c r="K241" i="52103" s="1"/>
  <c r="G241" i="52103"/>
  <c r="D139" i="233"/>
  <c r="Q139" i="111"/>
  <c r="V139" i="111" s="1"/>
  <c r="I139" i="52077"/>
  <c r="L139" i="52077"/>
  <c r="L78" i="52077"/>
  <c r="V78" i="111"/>
  <c r="H11" i="233"/>
  <c r="D167" i="52084"/>
  <c r="D240" i="52084" s="1"/>
  <c r="H116" i="52080"/>
  <c r="L116" i="52080" s="1"/>
  <c r="G239" i="52080"/>
  <c r="J239" i="52080" s="1"/>
  <c r="J70" i="32"/>
  <c r="L70" i="32" s="1"/>
  <c r="N160" i="110"/>
  <c r="N149" i="52104"/>
  <c r="M149" i="52104"/>
  <c r="B203" i="91"/>
  <c r="C245" i="91"/>
  <c r="C222" i="91"/>
  <c r="C254" i="91" s="1"/>
  <c r="C223" i="91"/>
  <c r="F236" i="52081"/>
  <c r="K103" i="52098"/>
  <c r="C142" i="233"/>
  <c r="N142" i="52097"/>
  <c r="Q142" i="52097"/>
  <c r="H70" i="9"/>
  <c r="E222" i="48"/>
  <c r="E254" i="48" s="1"/>
  <c r="E245" i="48"/>
  <c r="E223" i="48"/>
  <c r="L30" i="32"/>
  <c r="G35" i="52089"/>
  <c r="D233" i="9"/>
  <c r="D53" i="9"/>
  <c r="S21" i="111"/>
  <c r="I243" i="52080"/>
  <c r="I103" i="52080"/>
  <c r="I203" i="52080"/>
  <c r="E223" i="52080"/>
  <c r="E245" i="52080"/>
  <c r="E222" i="52080"/>
  <c r="E254" i="52080" s="1"/>
  <c r="L233" i="52080"/>
  <c r="E54" i="52080"/>
  <c r="E205" i="52080"/>
  <c r="I239" i="52094"/>
  <c r="I238" i="77"/>
  <c r="P185" i="52097"/>
  <c r="P243" i="52097" s="1"/>
  <c r="E238" i="52082"/>
  <c r="C70" i="52076"/>
  <c r="C103" i="52076" s="1"/>
  <c r="F70" i="111"/>
  <c r="F103" i="111" s="1"/>
  <c r="G239" i="77"/>
  <c r="J239" i="77" s="1"/>
  <c r="L239" i="77" s="1"/>
  <c r="H116" i="77"/>
  <c r="L116" i="77" s="1"/>
  <c r="C116" i="52076"/>
  <c r="C238" i="52076" s="1"/>
  <c r="R68" i="111"/>
  <c r="C99" i="233"/>
  <c r="N99" i="52097"/>
  <c r="Q99" i="52097"/>
  <c r="L91" i="52077"/>
  <c r="H70" i="111"/>
  <c r="I153" i="52104"/>
  <c r="I239" i="52104" s="1"/>
  <c r="L112" i="52077"/>
  <c r="L161" i="52077"/>
  <c r="L68" i="52077"/>
  <c r="M176" i="52102"/>
  <c r="M157" i="52102"/>
  <c r="C207" i="93"/>
  <c r="F180" i="9"/>
  <c r="B180" i="233"/>
  <c r="I180" i="233"/>
  <c r="K180" i="233" s="1"/>
  <c r="I192" i="233"/>
  <c r="E192" i="233"/>
  <c r="K192" i="110"/>
  <c r="H192" i="233" s="1"/>
  <c r="M191" i="52102"/>
  <c r="M179" i="52102"/>
  <c r="M100" i="52102"/>
  <c r="F236" i="114"/>
  <c r="F205" i="114"/>
  <c r="J70" i="21"/>
  <c r="G70" i="52098"/>
  <c r="G103" i="21"/>
  <c r="G64" i="9"/>
  <c r="B70" i="9"/>
  <c r="M81" i="52103"/>
  <c r="M100" i="52103"/>
  <c r="C218" i="52071"/>
  <c r="C236" i="52071"/>
  <c r="C205" i="52071"/>
  <c r="L149" i="110"/>
  <c r="I149" i="233" s="1"/>
  <c r="K149" i="233" s="1"/>
  <c r="R111" i="111"/>
  <c r="L78" i="110"/>
  <c r="J241" i="52066"/>
  <c r="L241" i="52066" s="1"/>
  <c r="M101" i="52104"/>
  <c r="N101" i="52104"/>
  <c r="G241" i="48"/>
  <c r="J241" i="48" s="1"/>
  <c r="L241" i="48" s="1"/>
  <c r="H154" i="48"/>
  <c r="L154" i="48" s="1"/>
  <c r="B200" i="52102"/>
  <c r="I200" i="52102"/>
  <c r="K200" i="52102" s="1"/>
  <c r="K186" i="52102"/>
  <c r="M125" i="52102"/>
  <c r="J116" i="52100"/>
  <c r="J116" i="52102"/>
  <c r="J238" i="52102" s="1"/>
  <c r="K116" i="52102"/>
  <c r="K238" i="52102" s="1"/>
  <c r="G238" i="52102"/>
  <c r="J154" i="52093"/>
  <c r="L154" i="52093" s="1"/>
  <c r="G70" i="111"/>
  <c r="G103" i="111" s="1"/>
  <c r="L80" i="110"/>
  <c r="I80" i="233" s="1"/>
  <c r="K80" i="233" s="1"/>
  <c r="V98" i="111"/>
  <c r="M140" i="52102"/>
  <c r="M121" i="52102"/>
  <c r="M169" i="52102"/>
  <c r="B184" i="52102"/>
  <c r="J243" i="52100"/>
  <c r="L243" i="52100" s="1"/>
  <c r="J241" i="52100"/>
  <c r="L241" i="52100" s="1"/>
  <c r="J243" i="52094"/>
  <c r="L243" i="52094"/>
  <c r="T140" i="111"/>
  <c r="M165" i="52104"/>
  <c r="G239" i="52093"/>
  <c r="J239" i="52093" s="1"/>
  <c r="L239" i="52093" s="1"/>
  <c r="H116" i="52093"/>
  <c r="L116" i="52093" s="1"/>
  <c r="K116" i="111"/>
  <c r="L233" i="48"/>
  <c r="M147" i="52103"/>
  <c r="J185" i="52093"/>
  <c r="L185" i="52093" s="1"/>
  <c r="I16" i="233"/>
  <c r="C184" i="52104"/>
  <c r="C241" i="52104" s="1"/>
  <c r="J70" i="52094"/>
  <c r="L70" i="52094" s="1"/>
  <c r="F203" i="48"/>
  <c r="F238" i="48"/>
  <c r="J103" i="48"/>
  <c r="L103" i="48" s="1"/>
  <c r="H103" i="48"/>
  <c r="G238" i="48"/>
  <c r="J64" i="52084"/>
  <c r="H70" i="52084"/>
  <c r="V76" i="111"/>
  <c r="N118" i="110"/>
  <c r="L109" i="110"/>
  <c r="L166" i="110"/>
  <c r="L178" i="110"/>
  <c r="G62" i="52088"/>
  <c r="J62" i="52088" s="1"/>
  <c r="G127" i="52088"/>
  <c r="G233" i="52088"/>
  <c r="J185" i="52088"/>
  <c r="M65" i="52104"/>
  <c r="N125" i="52104"/>
  <c r="M125" i="52104"/>
  <c r="D137" i="233"/>
  <c r="Q137" i="111"/>
  <c r="V137" i="111" s="1"/>
  <c r="L163" i="52077"/>
  <c r="M150" i="52103"/>
  <c r="I173" i="233"/>
  <c r="K173" i="233" s="1"/>
  <c r="B238" i="52098"/>
  <c r="H116" i="52098"/>
  <c r="I145" i="233"/>
  <c r="K145" i="233" s="1"/>
  <c r="O170" i="52097"/>
  <c r="C185" i="52097"/>
  <c r="C243" i="52097" s="1"/>
  <c r="I165" i="233"/>
  <c r="K165" i="233" s="1"/>
  <c r="L164" i="110"/>
  <c r="I238" i="52090"/>
  <c r="I243" i="52093"/>
  <c r="M168" i="110"/>
  <c r="M242" i="110" s="1"/>
  <c r="I243" i="48"/>
  <c r="L243" i="48" s="1"/>
  <c r="I62" i="48"/>
  <c r="E236" i="48"/>
  <c r="I236" i="48" s="1"/>
  <c r="E62" i="52084"/>
  <c r="G36" i="52090"/>
  <c r="J168" i="233"/>
  <c r="F242" i="233"/>
  <c r="J242" i="233" s="1"/>
  <c r="E54" i="105"/>
  <c r="E205" i="105"/>
  <c r="E236" i="105"/>
  <c r="I62" i="105"/>
  <c r="F62" i="52083"/>
  <c r="E54" i="52091"/>
  <c r="E205" i="52091"/>
  <c r="I51" i="52091"/>
  <c r="M243" i="110"/>
  <c r="I103" i="52094"/>
  <c r="I243" i="52066"/>
  <c r="E236" i="20"/>
  <c r="I236" i="20" s="1"/>
  <c r="I62" i="20"/>
  <c r="E62" i="52074"/>
  <c r="I242" i="52091"/>
  <c r="L242" i="52091" s="1"/>
  <c r="I243" i="52071"/>
  <c r="E236" i="52067"/>
  <c r="I236" i="52067" s="1"/>
  <c r="I62" i="52067"/>
  <c r="J75" i="233"/>
  <c r="L30" i="52072"/>
  <c r="I243" i="148"/>
  <c r="I62" i="52089"/>
  <c r="F62" i="52102"/>
  <c r="E236" i="52089"/>
  <c r="I236" i="52089" s="1"/>
  <c r="E54" i="52089"/>
  <c r="E205" i="52089"/>
  <c r="J21" i="52102"/>
  <c r="M21" i="52102" s="1"/>
  <c r="J184" i="52083"/>
  <c r="J242" i="52083" s="1"/>
  <c r="S201" i="111"/>
  <c r="V201" i="111" s="1"/>
  <c r="J129" i="52075"/>
  <c r="J238" i="52075" s="1"/>
  <c r="P70" i="52097"/>
  <c r="B129" i="111"/>
  <c r="B240" i="111" s="1"/>
  <c r="R123" i="111"/>
  <c r="E245" i="101"/>
  <c r="E222" i="101"/>
  <c r="E254" i="101" s="1"/>
  <c r="I203" i="101"/>
  <c r="E223" i="101"/>
  <c r="I238" i="101"/>
  <c r="L67" i="52093"/>
  <c r="D46" i="52103"/>
  <c r="D47" i="52103" s="1"/>
  <c r="D53" i="52103"/>
  <c r="D54" i="52103" s="1"/>
  <c r="G46" i="110"/>
  <c r="G47" i="110" s="1"/>
  <c r="G53" i="110"/>
  <c r="G54" i="110" s="1"/>
  <c r="D53" i="52084"/>
  <c r="D54" i="52084" s="1"/>
  <c r="D46" i="52084"/>
  <c r="D47" i="52084" s="1"/>
  <c r="G174" i="93"/>
  <c r="I172" i="93"/>
  <c r="I27" i="52096"/>
  <c r="F211" i="52100" s="1"/>
  <c r="I10" i="52096"/>
  <c r="F211" i="105" s="1"/>
  <c r="I12" i="52096"/>
  <c r="F211" i="52087" s="1"/>
  <c r="I33" i="52096"/>
  <c r="F211" i="12" s="1"/>
  <c r="I41" i="52096"/>
  <c r="F211" i="52095" s="1"/>
  <c r="I17" i="52096"/>
  <c r="F211" i="52079" s="1"/>
  <c r="I42" i="52096"/>
  <c r="F211" i="52080" s="1"/>
  <c r="I35" i="52096"/>
  <c r="F211" i="52089" s="1"/>
  <c r="I11" i="52096"/>
  <c r="F211" i="108" s="1"/>
  <c r="I23" i="52096"/>
  <c r="F211" i="48" s="1"/>
  <c r="I32" i="52096"/>
  <c r="F211" i="20" s="1"/>
  <c r="I15" i="52096"/>
  <c r="F211" i="52067" s="1"/>
  <c r="I36" i="52096"/>
  <c r="F211" i="52090" s="1"/>
  <c r="I39" i="52096"/>
  <c r="F211" i="52093" s="1"/>
  <c r="I13" i="52096"/>
  <c r="F211" i="52088" s="1"/>
  <c r="I31" i="52096"/>
  <c r="F211" i="115" s="1"/>
  <c r="I14" i="52096"/>
  <c r="F211" i="101" s="1"/>
  <c r="I25" i="52096"/>
  <c r="F211" i="52072" s="1"/>
  <c r="I5" i="52096"/>
  <c r="I6" i="52096"/>
  <c r="F211" i="52064" s="1"/>
  <c r="I34" i="52096"/>
  <c r="F211" i="77" s="1"/>
  <c r="I16" i="52096"/>
  <c r="F211" i="52071" s="1"/>
  <c r="I21" i="52096"/>
  <c r="I38" i="52096"/>
  <c r="F211" i="52092" s="1"/>
  <c r="I40" i="52096"/>
  <c r="F211" i="52094" s="1"/>
  <c r="I18" i="52096"/>
  <c r="F211" i="52099" s="1"/>
  <c r="I30" i="52096"/>
  <c r="I26" i="52096"/>
  <c r="F211" i="52081" s="1"/>
  <c r="I9" i="52096"/>
  <c r="I24" i="52096"/>
  <c r="F211" i="52066" s="1"/>
  <c r="I22" i="52096"/>
  <c r="F211" i="91" s="1"/>
  <c r="J44" i="52096"/>
  <c r="J12" i="52096"/>
  <c r="F212" i="52087" s="1"/>
  <c r="I212" i="52087" s="1"/>
  <c r="J11" i="52096"/>
  <c r="F212" i="108" s="1"/>
  <c r="I212" i="108" s="1"/>
  <c r="J17" i="52096"/>
  <c r="F212" i="52079" s="1"/>
  <c r="I212" i="52079" s="1"/>
  <c r="J41" i="52096"/>
  <c r="F212" i="52095" s="1"/>
  <c r="I212" i="52095" s="1"/>
  <c r="J33" i="52096"/>
  <c r="F212" i="12" s="1"/>
  <c r="J18" i="52096"/>
  <c r="F212" i="52099" s="1"/>
  <c r="J35" i="52096"/>
  <c r="F212" i="52089" s="1"/>
  <c r="I212" i="52089" s="1"/>
  <c r="J5" i="52096"/>
  <c r="J20" i="52096"/>
  <c r="J6" i="52096"/>
  <c r="F212" i="52064" s="1"/>
  <c r="J37" i="52096"/>
  <c r="F212" i="52091" s="1"/>
  <c r="J34" i="52096"/>
  <c r="F212" i="77" s="1"/>
  <c r="I212" i="77" s="1"/>
  <c r="J22" i="52096"/>
  <c r="F212" i="91" s="1"/>
  <c r="J30" i="52096"/>
  <c r="J40" i="52096"/>
  <c r="F212" i="52094" s="1"/>
  <c r="J9" i="52096"/>
  <c r="J31" i="52096"/>
  <c r="F212" i="115" s="1"/>
  <c r="J13" i="52096"/>
  <c r="F212" i="52088" s="1"/>
  <c r="I212" i="52088" s="1"/>
  <c r="J29" i="52096"/>
  <c r="J21" i="52096"/>
  <c r="J27" i="52096"/>
  <c r="F212" i="52100" s="1"/>
  <c r="J39" i="52096"/>
  <c r="F212" i="52093" s="1"/>
  <c r="I212" i="52093" s="1"/>
  <c r="J14" i="52096"/>
  <c r="F212" i="101" s="1"/>
  <c r="I212" i="101" s="1"/>
  <c r="J38" i="52096"/>
  <c r="F212" i="52092" s="1"/>
  <c r="I212" i="52092" s="1"/>
  <c r="J36" i="52096"/>
  <c r="F212" i="52090" s="1"/>
  <c r="I212" i="52090" s="1"/>
  <c r="J25" i="52096"/>
  <c r="F212" i="52072" s="1"/>
  <c r="I212" i="52072" s="1"/>
  <c r="J26" i="52096"/>
  <c r="F212" i="52081" s="1"/>
  <c r="I212" i="52081" s="1"/>
  <c r="J15" i="52096"/>
  <c r="F212" i="52067" s="1"/>
  <c r="I212" i="52067" s="1"/>
  <c r="J42" i="52096"/>
  <c r="F212" i="52080" s="1"/>
  <c r="I212" i="52080" s="1"/>
  <c r="J23" i="52096"/>
  <c r="F212" i="48" s="1"/>
  <c r="J24" i="52096"/>
  <c r="F212" i="52066" s="1"/>
  <c r="I212" i="52066" s="1"/>
  <c r="J16" i="52096"/>
  <c r="F212" i="52071" s="1"/>
  <c r="I212" i="52071" s="1"/>
  <c r="J8" i="52096"/>
  <c r="J10" i="52096"/>
  <c r="F212" i="105" s="1"/>
  <c r="J32" i="52096"/>
  <c r="F212" i="20" s="1"/>
  <c r="L95" i="52077"/>
  <c r="E244" i="52098"/>
  <c r="E209" i="115"/>
  <c r="E217" i="115" s="1"/>
  <c r="E247" i="115"/>
  <c r="G54" i="52082"/>
  <c r="G205" i="52082"/>
  <c r="E247" i="52071"/>
  <c r="E209" i="52071"/>
  <c r="E217" i="52071" s="1"/>
  <c r="E251" i="52071" s="1"/>
  <c r="J238" i="52093"/>
  <c r="L238" i="52093"/>
  <c r="E243" i="52074"/>
  <c r="F243" i="52104"/>
  <c r="C241" i="52083"/>
  <c r="E209" i="52087"/>
  <c r="E217" i="52087" s="1"/>
  <c r="I205" i="52087"/>
  <c r="E247" i="52087"/>
  <c r="I247" i="52087" s="1"/>
  <c r="E247" i="52088"/>
  <c r="I205" i="52088"/>
  <c r="E209" i="52088"/>
  <c r="E217" i="52088" s="1"/>
  <c r="E251" i="52088" s="1"/>
  <c r="E251" i="52100"/>
  <c r="I251" i="52100" s="1"/>
  <c r="E5" i="52100"/>
  <c r="I217" i="52100"/>
  <c r="J251" i="9"/>
  <c r="L251" i="233" s="1"/>
  <c r="L217" i="233"/>
  <c r="G245" i="52082"/>
  <c r="E204" i="52098"/>
  <c r="E246" i="52098" s="1"/>
  <c r="L103" i="52093"/>
  <c r="B60" i="111"/>
  <c r="C60" i="52075"/>
  <c r="G235" i="114"/>
  <c r="L235" i="114" s="1"/>
  <c r="L60" i="114"/>
  <c r="J236" i="114"/>
  <c r="M127" i="21"/>
  <c r="M168" i="21"/>
  <c r="M233" i="21"/>
  <c r="M62" i="21"/>
  <c r="H47" i="52098" l="1"/>
  <c r="J21" i="52098"/>
  <c r="B21" i="233"/>
  <c r="B46" i="233" s="1"/>
  <c r="B47" i="233" s="1"/>
  <c r="B154" i="233"/>
  <c r="B241" i="233" s="1"/>
  <c r="G238" i="111"/>
  <c r="G62" i="233"/>
  <c r="J236" i="110"/>
  <c r="F247" i="20"/>
  <c r="F209" i="20"/>
  <c r="C236" i="52077"/>
  <c r="F238" i="110"/>
  <c r="D238" i="110"/>
  <c r="D237" i="52102"/>
  <c r="B236" i="52084"/>
  <c r="G103" i="52098"/>
  <c r="H103" i="21"/>
  <c r="G238" i="21"/>
  <c r="J238" i="21" s="1"/>
  <c r="Q68" i="111"/>
  <c r="D68" i="233"/>
  <c r="T68" i="111"/>
  <c r="E236" i="9"/>
  <c r="E60" i="9"/>
  <c r="E235" i="9" s="1"/>
  <c r="E205" i="9"/>
  <c r="J62" i="52079"/>
  <c r="G236" i="52079"/>
  <c r="J236" i="52079" s="1"/>
  <c r="J53" i="52097"/>
  <c r="J54" i="52097" s="1"/>
  <c r="J62" i="52097"/>
  <c r="J233" i="52097"/>
  <c r="E62" i="52083"/>
  <c r="E232" i="52083"/>
  <c r="E53" i="52083"/>
  <c r="E54" i="52083" s="1"/>
  <c r="L51" i="20"/>
  <c r="Q166" i="111"/>
  <c r="V166" i="111" s="1"/>
  <c r="D166" i="233"/>
  <c r="H168" i="21"/>
  <c r="G242" i="21"/>
  <c r="G167" i="52098"/>
  <c r="J168" i="21"/>
  <c r="B168" i="9"/>
  <c r="G156" i="9"/>
  <c r="G32" i="9"/>
  <c r="G33" i="9" s="1"/>
  <c r="G51" i="9"/>
  <c r="I21" i="9"/>
  <c r="G46" i="9"/>
  <c r="G47" i="9" s="1"/>
  <c r="G61" i="9"/>
  <c r="B61" i="233" s="1"/>
  <c r="N154" i="52097"/>
  <c r="N241" i="52097" s="1"/>
  <c r="J127" i="52067"/>
  <c r="H127" i="52097"/>
  <c r="H129" i="52097" s="1"/>
  <c r="D127" i="52083"/>
  <c r="D129" i="52083" s="1"/>
  <c r="D239" i="52083" s="1"/>
  <c r="G129" i="52067"/>
  <c r="J233" i="91"/>
  <c r="L233" i="91" s="1"/>
  <c r="L51" i="91"/>
  <c r="F245" i="52081"/>
  <c r="J203" i="52081"/>
  <c r="B237" i="52083"/>
  <c r="I103" i="52083"/>
  <c r="H103" i="52083"/>
  <c r="H237" i="52083" s="1"/>
  <c r="D67" i="233"/>
  <c r="Q67" i="111"/>
  <c r="V67" i="111" s="1"/>
  <c r="T67" i="111"/>
  <c r="I67" i="233"/>
  <c r="K67" i="233" s="1"/>
  <c r="E209" i="32"/>
  <c r="E217" i="32" s="1"/>
  <c r="E247" i="32"/>
  <c r="E235" i="52076"/>
  <c r="E60" i="52076"/>
  <c r="E234" i="52076" s="1"/>
  <c r="E236" i="52103"/>
  <c r="G33" i="91"/>
  <c r="L33" i="91" s="1"/>
  <c r="L32" i="91"/>
  <c r="G242" i="91"/>
  <c r="J242" i="91" s="1"/>
  <c r="L242" i="91" s="1"/>
  <c r="H168" i="91"/>
  <c r="J168" i="91"/>
  <c r="L168" i="91"/>
  <c r="C231" i="52084"/>
  <c r="E95" i="233"/>
  <c r="K95" i="110"/>
  <c r="N95" i="110"/>
  <c r="I236" i="105"/>
  <c r="F247" i="101"/>
  <c r="F209" i="101"/>
  <c r="J168" i="48"/>
  <c r="G242" i="48"/>
  <c r="J242" i="48" s="1"/>
  <c r="L242" i="48" s="1"/>
  <c r="H168" i="48"/>
  <c r="L168" i="48"/>
  <c r="H167" i="52084"/>
  <c r="J155" i="52084"/>
  <c r="B241" i="52103"/>
  <c r="M184" i="52103"/>
  <c r="P60" i="111"/>
  <c r="P235" i="111" s="1"/>
  <c r="P236" i="111"/>
  <c r="J233" i="52093"/>
  <c r="L51" i="52093"/>
  <c r="F60" i="52076"/>
  <c r="F234" i="52076" s="1"/>
  <c r="F204" i="52076"/>
  <c r="F235" i="52076"/>
  <c r="E68" i="233"/>
  <c r="K68" i="110"/>
  <c r="N68" i="110"/>
  <c r="H238" i="52076"/>
  <c r="J116" i="52076"/>
  <c r="J238" i="52076" s="1"/>
  <c r="J238" i="115"/>
  <c r="I238" i="115"/>
  <c r="J116" i="52074"/>
  <c r="J237" i="52074" s="1"/>
  <c r="E204" i="52084"/>
  <c r="E54" i="52084"/>
  <c r="S243" i="111"/>
  <c r="F116" i="9"/>
  <c r="F239" i="9" s="1"/>
  <c r="E174" i="233"/>
  <c r="K174" i="110"/>
  <c r="B236" i="52103"/>
  <c r="B209" i="52089"/>
  <c r="C217" i="52089"/>
  <c r="B241" i="52077"/>
  <c r="J62" i="148"/>
  <c r="C247" i="52090"/>
  <c r="B205" i="52090"/>
  <c r="C209" i="52090"/>
  <c r="E65" i="233"/>
  <c r="K65" i="110"/>
  <c r="H65" i="233" s="1"/>
  <c r="I65" i="233"/>
  <c r="K65" i="233" s="1"/>
  <c r="C232" i="52098"/>
  <c r="C62" i="52098"/>
  <c r="J103" i="21"/>
  <c r="F202" i="52098"/>
  <c r="F245" i="21"/>
  <c r="B240" i="52102"/>
  <c r="M240" i="52102" s="1"/>
  <c r="M153" i="52102"/>
  <c r="I96" i="233"/>
  <c r="K96" i="233" s="1"/>
  <c r="Q96" i="111"/>
  <c r="D96" i="233"/>
  <c r="T96" i="111"/>
  <c r="E222" i="21"/>
  <c r="E254" i="21" s="1"/>
  <c r="E223" i="21"/>
  <c r="G236" i="52082"/>
  <c r="K62" i="52082"/>
  <c r="K236" i="52082" s="1"/>
  <c r="G60" i="52082"/>
  <c r="H10" i="233"/>
  <c r="F236" i="52091"/>
  <c r="F205" i="52091"/>
  <c r="J62" i="52091"/>
  <c r="G242" i="52072"/>
  <c r="J242" i="52072" s="1"/>
  <c r="L242" i="52072" s="1"/>
  <c r="H168" i="52072"/>
  <c r="L168" i="52072"/>
  <c r="J168" i="52072"/>
  <c r="D127" i="52102"/>
  <c r="D129" i="52102" s="1"/>
  <c r="D239" i="52102" s="1"/>
  <c r="J127" i="52072"/>
  <c r="L127" i="52072" s="1"/>
  <c r="D127" i="110"/>
  <c r="D129" i="110" s="1"/>
  <c r="D240" i="110" s="1"/>
  <c r="G129" i="52072"/>
  <c r="G234" i="52104"/>
  <c r="G60" i="52104"/>
  <c r="G233" i="52104" s="1"/>
  <c r="K133" i="110"/>
  <c r="E133" i="233"/>
  <c r="L154" i="110"/>
  <c r="N133" i="110"/>
  <c r="H240" i="52076"/>
  <c r="J153" i="52076"/>
  <c r="J240" i="52076" s="1"/>
  <c r="J116" i="52084"/>
  <c r="J237" i="52084" s="1"/>
  <c r="G103" i="233"/>
  <c r="C247" i="52094"/>
  <c r="C209" i="52094"/>
  <c r="B205" i="52094"/>
  <c r="D62" i="52097"/>
  <c r="D233" i="52097"/>
  <c r="D53" i="52097"/>
  <c r="D54" i="52097" s="1"/>
  <c r="G206" i="52083"/>
  <c r="J206" i="52083" s="1"/>
  <c r="I207" i="105"/>
  <c r="I207" i="48"/>
  <c r="F206" i="52084"/>
  <c r="I206" i="52084" s="1"/>
  <c r="F209" i="52087"/>
  <c r="I209" i="52087" s="1"/>
  <c r="I207" i="52087"/>
  <c r="F207" i="148"/>
  <c r="K19" i="52096"/>
  <c r="G206" i="52103"/>
  <c r="J206" i="52103" s="1"/>
  <c r="I207" i="91"/>
  <c r="H138" i="233"/>
  <c r="L35" i="52095"/>
  <c r="B35" i="52075"/>
  <c r="M35" i="111"/>
  <c r="G41" i="52095"/>
  <c r="B24" i="52075"/>
  <c r="L24" i="52095"/>
  <c r="M24" i="111"/>
  <c r="J127" i="52095"/>
  <c r="L127" i="52095" s="1"/>
  <c r="G129" i="52095"/>
  <c r="M127" i="111"/>
  <c r="M129" i="111" s="1"/>
  <c r="M240" i="111" s="1"/>
  <c r="B127" i="52075"/>
  <c r="B129" i="52075" s="1"/>
  <c r="B238" i="52075" s="1"/>
  <c r="I127" i="52075"/>
  <c r="B231" i="52074"/>
  <c r="B36" i="52104"/>
  <c r="E36" i="111"/>
  <c r="B36" i="52076"/>
  <c r="L36" i="12"/>
  <c r="H36" i="52076"/>
  <c r="E35" i="111"/>
  <c r="L35" i="12"/>
  <c r="H35" i="52076"/>
  <c r="B35" i="52076"/>
  <c r="B35" i="52104"/>
  <c r="B28" i="52104"/>
  <c r="B28" i="52076"/>
  <c r="H28" i="52076"/>
  <c r="G42" i="12"/>
  <c r="E28" i="111"/>
  <c r="L28" i="12"/>
  <c r="G253" i="12"/>
  <c r="J155" i="52076"/>
  <c r="H167" i="52076"/>
  <c r="B35" i="52077"/>
  <c r="H35" i="52077"/>
  <c r="L35" i="111"/>
  <c r="L35" i="52094"/>
  <c r="F234" i="52104"/>
  <c r="F60" i="52104"/>
  <c r="J62" i="52104"/>
  <c r="J234" i="52104" s="1"/>
  <c r="I236" i="115"/>
  <c r="C35" i="52084"/>
  <c r="E35" i="110"/>
  <c r="C35" i="52103"/>
  <c r="L35" i="52066"/>
  <c r="E209" i="114"/>
  <c r="E217" i="114" s="1"/>
  <c r="E247" i="114"/>
  <c r="I205" i="114"/>
  <c r="H35" i="52084"/>
  <c r="L64" i="52082"/>
  <c r="J70" i="52082"/>
  <c r="C231" i="52077"/>
  <c r="L231" i="52077" s="1"/>
  <c r="G253" i="52092"/>
  <c r="G42" i="52092"/>
  <c r="C28" i="52077"/>
  <c r="J28" i="111"/>
  <c r="L28" i="52092"/>
  <c r="B24" i="52077"/>
  <c r="G41" i="52094"/>
  <c r="L24" i="52094"/>
  <c r="L24" i="111"/>
  <c r="H24" i="52077"/>
  <c r="D24" i="52074"/>
  <c r="G41" i="52089"/>
  <c r="G24" i="111"/>
  <c r="L24" i="52089"/>
  <c r="C24" i="52102"/>
  <c r="F209" i="52067"/>
  <c r="F247" i="52067"/>
  <c r="F247" i="77"/>
  <c r="F209" i="77"/>
  <c r="L116" i="52089"/>
  <c r="F240" i="52100"/>
  <c r="J127" i="52102"/>
  <c r="G129" i="52102"/>
  <c r="B127" i="52102"/>
  <c r="B129" i="52102" s="1"/>
  <c r="H127" i="110"/>
  <c r="H129" i="110" s="1"/>
  <c r="H240" i="110" s="1"/>
  <c r="I127" i="52102"/>
  <c r="I129" i="52102" s="1"/>
  <c r="I239" i="52102" s="1"/>
  <c r="G129" i="52100"/>
  <c r="J129" i="52100" s="1"/>
  <c r="D74" i="233"/>
  <c r="Q74" i="111"/>
  <c r="I74" i="233"/>
  <c r="K74" i="233" s="1"/>
  <c r="T74" i="111"/>
  <c r="V99" i="111"/>
  <c r="H238" i="110"/>
  <c r="H203" i="110"/>
  <c r="H245" i="110" s="1"/>
  <c r="L54" i="52097"/>
  <c r="L236" i="52097"/>
  <c r="L205" i="52097"/>
  <c r="E247" i="52093"/>
  <c r="E209" i="52093"/>
  <c r="P62" i="52097"/>
  <c r="P236" i="52097" s="1"/>
  <c r="L60" i="52097"/>
  <c r="I236" i="148"/>
  <c r="E204" i="52074"/>
  <c r="E54" i="52074"/>
  <c r="G60" i="52091"/>
  <c r="G205" i="52091"/>
  <c r="G236" i="52091"/>
  <c r="H67" i="233"/>
  <c r="H168" i="52066"/>
  <c r="G242" i="52066"/>
  <c r="J242" i="52066" s="1"/>
  <c r="L242" i="52066" s="1"/>
  <c r="L168" i="52066"/>
  <c r="J168" i="52066"/>
  <c r="G127" i="52097"/>
  <c r="G129" i="52097" s="1"/>
  <c r="D127" i="52082"/>
  <c r="D129" i="52082" s="1"/>
  <c r="G129" i="101"/>
  <c r="J127" i="101"/>
  <c r="G236" i="101"/>
  <c r="J236" i="101" s="1"/>
  <c r="J62" i="101"/>
  <c r="H168" i="52064"/>
  <c r="G242" i="52064"/>
  <c r="J242" i="52064" s="1"/>
  <c r="J168" i="52064"/>
  <c r="G242" i="52087"/>
  <c r="J242" i="52087" s="1"/>
  <c r="J168" i="52087"/>
  <c r="H168" i="52087"/>
  <c r="L36" i="32"/>
  <c r="B36" i="110"/>
  <c r="E36" i="52102"/>
  <c r="B28" i="110"/>
  <c r="E28" i="52102"/>
  <c r="G42" i="32"/>
  <c r="L28" i="32"/>
  <c r="G253" i="32"/>
  <c r="B168" i="110"/>
  <c r="B242" i="110" s="1"/>
  <c r="L156" i="110"/>
  <c r="D127" i="111"/>
  <c r="D129" i="111" s="1"/>
  <c r="D240" i="111" s="1"/>
  <c r="B127" i="52074"/>
  <c r="B129" i="52074" s="1"/>
  <c r="B238" i="52074" s="1"/>
  <c r="D127" i="52104"/>
  <c r="D129" i="52104" s="1"/>
  <c r="D238" i="52104" s="1"/>
  <c r="J127" i="20"/>
  <c r="L127" i="20" s="1"/>
  <c r="H127" i="52074"/>
  <c r="G129" i="20"/>
  <c r="L238" i="52091"/>
  <c r="D236" i="52104"/>
  <c r="D202" i="52104"/>
  <c r="D243" i="52104" s="1"/>
  <c r="L241" i="32"/>
  <c r="L245" i="52097"/>
  <c r="F204" i="52102"/>
  <c r="F54" i="52102"/>
  <c r="I205" i="52067"/>
  <c r="E247" i="52067"/>
  <c r="I247" i="52067" s="1"/>
  <c r="E209" i="52067"/>
  <c r="E247" i="20"/>
  <c r="I247" i="20" s="1"/>
  <c r="E209" i="20"/>
  <c r="I205" i="20"/>
  <c r="I62" i="52091"/>
  <c r="F204" i="52103"/>
  <c r="F54" i="52103"/>
  <c r="I84" i="233"/>
  <c r="K84" i="233" s="1"/>
  <c r="K84" i="110"/>
  <c r="H84" i="233" s="1"/>
  <c r="E84" i="233"/>
  <c r="N84" i="110"/>
  <c r="T107" i="111"/>
  <c r="D107" i="233"/>
  <c r="Q107" i="111"/>
  <c r="V107" i="111" s="1"/>
  <c r="F205" i="52094"/>
  <c r="F245" i="52094"/>
  <c r="Q87" i="111"/>
  <c r="V87" i="111" s="1"/>
  <c r="D87" i="233"/>
  <c r="I87" i="233"/>
  <c r="K87" i="233" s="1"/>
  <c r="L243" i="52093"/>
  <c r="B205" i="48"/>
  <c r="C247" i="48"/>
  <c r="C209" i="48"/>
  <c r="D238" i="52076"/>
  <c r="I116" i="52076"/>
  <c r="I238" i="52076" s="1"/>
  <c r="D237" i="52077"/>
  <c r="I116" i="52077"/>
  <c r="I237" i="52077" s="1"/>
  <c r="D81" i="233"/>
  <c r="Q81" i="111"/>
  <c r="L241" i="52093"/>
  <c r="K187" i="110"/>
  <c r="E187" i="233"/>
  <c r="E201" i="233" s="1"/>
  <c r="I187" i="233"/>
  <c r="L201" i="110"/>
  <c r="N201" i="110" s="1"/>
  <c r="N187" i="110"/>
  <c r="E114" i="233"/>
  <c r="K114" i="110"/>
  <c r="N114" i="110"/>
  <c r="H70" i="52098"/>
  <c r="J70" i="52098" s="1"/>
  <c r="B103" i="52098"/>
  <c r="L239" i="52095"/>
  <c r="F245" i="12"/>
  <c r="F205" i="12"/>
  <c r="J70" i="52076"/>
  <c r="H103" i="52076"/>
  <c r="G238" i="77"/>
  <c r="J238" i="77" s="1"/>
  <c r="L238" i="77" s="1"/>
  <c r="H103" i="77"/>
  <c r="J103" i="77"/>
  <c r="O205" i="111"/>
  <c r="O54" i="111"/>
  <c r="O223" i="111" s="1"/>
  <c r="I54" i="110"/>
  <c r="I205" i="110"/>
  <c r="D245" i="9"/>
  <c r="H203" i="9"/>
  <c r="H245" i="9" s="1"/>
  <c r="V144" i="111"/>
  <c r="T21" i="111"/>
  <c r="F205" i="32"/>
  <c r="I205" i="32" s="1"/>
  <c r="C233" i="52082"/>
  <c r="C62" i="52082"/>
  <c r="C236" i="52082" s="1"/>
  <c r="C53" i="52082"/>
  <c r="C54" i="52082" s="1"/>
  <c r="L170" i="52082"/>
  <c r="J185" i="52082"/>
  <c r="H242" i="52076"/>
  <c r="J184" i="52076"/>
  <c r="J242" i="52076" s="1"/>
  <c r="N28" i="111"/>
  <c r="E28" i="52075"/>
  <c r="G253" i="52080"/>
  <c r="G42" i="52080"/>
  <c r="L28" i="52080"/>
  <c r="N127" i="111"/>
  <c r="N129" i="111" s="1"/>
  <c r="N240" i="111" s="1"/>
  <c r="J127" i="52080"/>
  <c r="L127" i="52080" s="1"/>
  <c r="E127" i="52075"/>
  <c r="E129" i="52075" s="1"/>
  <c r="E238" i="52075" s="1"/>
  <c r="G129" i="52080"/>
  <c r="L116" i="48"/>
  <c r="C237" i="52098"/>
  <c r="G236" i="108"/>
  <c r="J236" i="108" s="1"/>
  <c r="K139" i="110"/>
  <c r="E139" i="233"/>
  <c r="I139" i="233"/>
  <c r="F234" i="52074"/>
  <c r="F60" i="52074"/>
  <c r="F233" i="52074" s="1"/>
  <c r="E162" i="233"/>
  <c r="K162" i="110"/>
  <c r="N162" i="110"/>
  <c r="B205" i="114"/>
  <c r="C247" i="114"/>
  <c r="C209" i="114"/>
  <c r="L154" i="52095"/>
  <c r="C236" i="52075"/>
  <c r="C202" i="52075"/>
  <c r="C243" i="52075" s="1"/>
  <c r="J201" i="233"/>
  <c r="E247" i="91"/>
  <c r="E209" i="91"/>
  <c r="I205" i="91"/>
  <c r="G62" i="52098"/>
  <c r="G60" i="52098" s="1"/>
  <c r="G236" i="21"/>
  <c r="K62" i="52098"/>
  <c r="C247" i="32"/>
  <c r="C209" i="32"/>
  <c r="B205" i="32"/>
  <c r="J238" i="52080"/>
  <c r="L238" i="52080"/>
  <c r="B168" i="52097"/>
  <c r="B242" i="52097" s="1"/>
  <c r="O156" i="52097"/>
  <c r="B233" i="52082"/>
  <c r="B62" i="52082"/>
  <c r="B53" i="52082"/>
  <c r="B54" i="52082" s="1"/>
  <c r="B241" i="52104"/>
  <c r="M241" i="52104" s="1"/>
  <c r="N184" i="52104"/>
  <c r="M184" i="52104"/>
  <c r="C247" i="115"/>
  <c r="B205" i="115"/>
  <c r="C209" i="115"/>
  <c r="E238" i="110"/>
  <c r="C238" i="110"/>
  <c r="I53" i="52097"/>
  <c r="I54" i="52097" s="1"/>
  <c r="I62" i="52097"/>
  <c r="I233" i="52097"/>
  <c r="G236" i="52071"/>
  <c r="J236" i="52071" s="1"/>
  <c r="G237" i="52102"/>
  <c r="D202" i="52103"/>
  <c r="D243" i="52103" s="1"/>
  <c r="D236" i="52103"/>
  <c r="I105" i="233"/>
  <c r="Q105" i="111"/>
  <c r="R116" i="111"/>
  <c r="D105" i="233"/>
  <c r="T105" i="111"/>
  <c r="F204" i="52075"/>
  <c r="F54" i="52075"/>
  <c r="F243" i="52075"/>
  <c r="J202" i="52075"/>
  <c r="J243" i="52075" s="1"/>
  <c r="V143" i="111"/>
  <c r="B167" i="52083"/>
  <c r="I155" i="52083"/>
  <c r="K155" i="52083" s="1"/>
  <c r="H155" i="52083"/>
  <c r="G238" i="91"/>
  <c r="J238" i="91" s="1"/>
  <c r="L238" i="91" s="1"/>
  <c r="J103" i="91"/>
  <c r="H103" i="91"/>
  <c r="V140" i="111"/>
  <c r="G41" i="91"/>
  <c r="E24" i="52103"/>
  <c r="L24" i="91"/>
  <c r="C24" i="110"/>
  <c r="I24" i="52103"/>
  <c r="E21" i="233"/>
  <c r="E51" i="233" s="1"/>
  <c r="E233" i="233" s="1"/>
  <c r="B28" i="52084"/>
  <c r="G253" i="48"/>
  <c r="H28" i="52084"/>
  <c r="B28" i="52103"/>
  <c r="G42" i="48"/>
  <c r="F28" i="110"/>
  <c r="L28" i="48"/>
  <c r="I70" i="52077"/>
  <c r="D103" i="52077"/>
  <c r="I70" i="52076"/>
  <c r="D103" i="52076"/>
  <c r="C53" i="9"/>
  <c r="C54" i="9" s="1"/>
  <c r="C62" i="9"/>
  <c r="C233" i="9"/>
  <c r="H134" i="233"/>
  <c r="F154" i="9"/>
  <c r="F241" i="9" s="1"/>
  <c r="E147" i="233"/>
  <c r="K147" i="110"/>
  <c r="H147" i="233" s="1"/>
  <c r="N147" i="110"/>
  <c r="J238" i="52072"/>
  <c r="L238" i="52072" s="1"/>
  <c r="D167" i="52076"/>
  <c r="I155" i="52076"/>
  <c r="G242" i="52093"/>
  <c r="J242" i="52093" s="1"/>
  <c r="L242" i="52093" s="1"/>
  <c r="J168" i="52093"/>
  <c r="H168" i="52093"/>
  <c r="L168" i="52093" s="1"/>
  <c r="B170" i="233"/>
  <c r="B185" i="233" s="1"/>
  <c r="F170" i="9"/>
  <c r="I170" i="233"/>
  <c r="K87" i="110"/>
  <c r="E87" i="233"/>
  <c r="N87" i="110"/>
  <c r="K153" i="52104"/>
  <c r="K239" i="52104" s="1"/>
  <c r="Q80" i="111"/>
  <c r="D80" i="233"/>
  <c r="T80" i="111"/>
  <c r="G62" i="52081"/>
  <c r="G53" i="52081"/>
  <c r="J62" i="21"/>
  <c r="F205" i="21"/>
  <c r="G241" i="233"/>
  <c r="J241" i="233" s="1"/>
  <c r="E236" i="52082"/>
  <c r="D242" i="52076"/>
  <c r="I184" i="52076"/>
  <c r="I242" i="52076" s="1"/>
  <c r="H241" i="52077"/>
  <c r="J184" i="52077"/>
  <c r="J241" i="52077" s="1"/>
  <c r="C247" i="77"/>
  <c r="C209" i="77"/>
  <c r="B205" i="77"/>
  <c r="L239" i="52089"/>
  <c r="B236" i="52074"/>
  <c r="B202" i="52074"/>
  <c r="B243" i="52074" s="1"/>
  <c r="I174" i="233"/>
  <c r="F245" i="52090"/>
  <c r="F205" i="52090"/>
  <c r="R95" i="111"/>
  <c r="I203" i="12"/>
  <c r="I236" i="52071"/>
  <c r="L239" i="48"/>
  <c r="I62" i="52098"/>
  <c r="I235" i="52098" s="1"/>
  <c r="E235" i="52098"/>
  <c r="J70" i="233"/>
  <c r="K64" i="110"/>
  <c r="E64" i="233"/>
  <c r="L70" i="110"/>
  <c r="N64" i="110"/>
  <c r="E77" i="233"/>
  <c r="K77" i="110"/>
  <c r="H77" i="233" s="1"/>
  <c r="N77" i="110"/>
  <c r="F234" i="52084"/>
  <c r="F60" i="52084"/>
  <c r="F233" i="52084" s="1"/>
  <c r="F204" i="52084"/>
  <c r="D36" i="52102"/>
  <c r="L36" i="52072"/>
  <c r="D36" i="110"/>
  <c r="D28" i="52102"/>
  <c r="G253" i="52072"/>
  <c r="D28" i="110"/>
  <c r="G42" i="52072"/>
  <c r="L28" i="52072"/>
  <c r="J168" i="52090"/>
  <c r="H168" i="52090"/>
  <c r="L168" i="52090" s="1"/>
  <c r="G242" i="52090"/>
  <c r="J242" i="52090" s="1"/>
  <c r="L242" i="52090" s="1"/>
  <c r="L233" i="52090"/>
  <c r="I167" i="52104"/>
  <c r="K155" i="52104"/>
  <c r="M155" i="52104" s="1"/>
  <c r="C168" i="111"/>
  <c r="C242" i="111" s="1"/>
  <c r="R156" i="111"/>
  <c r="I35" i="52104"/>
  <c r="C35" i="111"/>
  <c r="C35" i="52074"/>
  <c r="L35" i="115"/>
  <c r="E35" i="52104"/>
  <c r="E24" i="52104"/>
  <c r="C24" i="52074"/>
  <c r="L24" i="115"/>
  <c r="C24" i="111"/>
  <c r="G41" i="115"/>
  <c r="I24" i="52104"/>
  <c r="C209" i="12"/>
  <c r="C247" i="12"/>
  <c r="B205" i="12"/>
  <c r="K241" i="111"/>
  <c r="Q133" i="111"/>
  <c r="H133" i="233" s="1"/>
  <c r="D133" i="233"/>
  <c r="D154" i="233" s="1"/>
  <c r="D241" i="233" s="1"/>
  <c r="R154" i="111"/>
  <c r="T133" i="111"/>
  <c r="L116" i="32"/>
  <c r="I77" i="233"/>
  <c r="K77" i="233" s="1"/>
  <c r="M95" i="52102"/>
  <c r="K126" i="110"/>
  <c r="E126" i="233"/>
  <c r="K155" i="52075"/>
  <c r="I167" i="52075"/>
  <c r="H103" i="52092"/>
  <c r="L103" i="52092" s="1"/>
  <c r="G238" i="52092"/>
  <c r="J238" i="52092" s="1"/>
  <c r="L238" i="52092" s="1"/>
  <c r="N173" i="110"/>
  <c r="E173" i="233"/>
  <c r="K173" i="110"/>
  <c r="H237" i="52077"/>
  <c r="J116" i="52077"/>
  <c r="J237" i="52077" s="1"/>
  <c r="N70" i="52104"/>
  <c r="B103" i="52104"/>
  <c r="F245" i="148"/>
  <c r="I203" i="148"/>
  <c r="O70" i="52097"/>
  <c r="C64" i="233"/>
  <c r="C70" i="233" s="1"/>
  <c r="C103" i="233" s="1"/>
  <c r="C238" i="233" s="1"/>
  <c r="N64" i="52097"/>
  <c r="N70" i="52097" s="1"/>
  <c r="N103" i="52097" s="1"/>
  <c r="N238" i="52097" s="1"/>
  <c r="Q64" i="52097"/>
  <c r="I166" i="233"/>
  <c r="K107" i="110"/>
  <c r="E107" i="233"/>
  <c r="B127" i="52077"/>
  <c r="B129" i="52077" s="1"/>
  <c r="B238" i="52077" s="1"/>
  <c r="L127" i="111"/>
  <c r="L129" i="111" s="1"/>
  <c r="L240" i="111" s="1"/>
  <c r="H127" i="52077"/>
  <c r="J127" i="52094"/>
  <c r="L127" i="52094" s="1"/>
  <c r="G129" i="52094"/>
  <c r="J168" i="52094"/>
  <c r="G242" i="52094"/>
  <c r="J242" i="52094" s="1"/>
  <c r="L242" i="52094" s="1"/>
  <c r="H168" i="52094"/>
  <c r="L168" i="52094" s="1"/>
  <c r="L95" i="52094"/>
  <c r="H168" i="52089"/>
  <c r="G242" i="52089"/>
  <c r="J242" i="52089" s="1"/>
  <c r="L242" i="52089" s="1"/>
  <c r="J168" i="52089"/>
  <c r="C127" i="52102"/>
  <c r="C129" i="52102" s="1"/>
  <c r="C239" i="52102" s="1"/>
  <c r="G129" i="52089"/>
  <c r="G127" i="111"/>
  <c r="G129" i="111" s="1"/>
  <c r="G240" i="111" s="1"/>
  <c r="J127" i="52089"/>
  <c r="L127" i="52089" s="1"/>
  <c r="D127" i="52074"/>
  <c r="D129" i="52074" s="1"/>
  <c r="D238" i="52074" s="1"/>
  <c r="L116" i="91"/>
  <c r="K116" i="52103"/>
  <c r="K237" i="52103" s="1"/>
  <c r="L36" i="77"/>
  <c r="F36" i="111"/>
  <c r="C36" i="52076"/>
  <c r="C36" i="52104"/>
  <c r="L24" i="77"/>
  <c r="C24" i="52076"/>
  <c r="C24" i="52104"/>
  <c r="F24" i="111"/>
  <c r="G41" i="77"/>
  <c r="H168" i="77"/>
  <c r="L168" i="77" s="1"/>
  <c r="G242" i="77"/>
  <c r="J242" i="77" s="1"/>
  <c r="L242" i="77" s="1"/>
  <c r="J168" i="77"/>
  <c r="N21" i="110"/>
  <c r="G239" i="233"/>
  <c r="I116" i="9"/>
  <c r="I239" i="9" s="1"/>
  <c r="M103" i="111"/>
  <c r="B202" i="52102"/>
  <c r="B244" i="52102" s="1"/>
  <c r="B237" i="52102"/>
  <c r="G243" i="52075"/>
  <c r="G204" i="52075"/>
  <c r="G245" i="52075" s="1"/>
  <c r="I110" i="233"/>
  <c r="K110" i="233" s="1"/>
  <c r="D110" i="233"/>
  <c r="Q110" i="111"/>
  <c r="T110" i="111"/>
  <c r="J238" i="105"/>
  <c r="Q114" i="111"/>
  <c r="D114" i="233"/>
  <c r="T114" i="111"/>
  <c r="I114" i="233"/>
  <c r="K114" i="233" s="1"/>
  <c r="I205" i="52079"/>
  <c r="E247" i="52079"/>
  <c r="E209" i="52079"/>
  <c r="I205" i="108"/>
  <c r="E247" i="108"/>
  <c r="E209" i="108"/>
  <c r="E247" i="148"/>
  <c r="I247" i="148" s="1"/>
  <c r="E209" i="148"/>
  <c r="E217" i="148" s="1"/>
  <c r="E251" i="148" s="1"/>
  <c r="I205" i="148"/>
  <c r="J185" i="233"/>
  <c r="V49" i="111"/>
  <c r="B35" i="52074"/>
  <c r="D35" i="111"/>
  <c r="D35" i="52104"/>
  <c r="H35" i="52074"/>
  <c r="L35" i="20"/>
  <c r="H88" i="233"/>
  <c r="H46" i="52083"/>
  <c r="H47" i="52083" s="1"/>
  <c r="H51" i="52083"/>
  <c r="H61" i="52083"/>
  <c r="B33" i="52083"/>
  <c r="I32" i="52083"/>
  <c r="I33" i="52083" s="1"/>
  <c r="H32" i="52083"/>
  <c r="H33" i="52083" s="1"/>
  <c r="K103" i="52103"/>
  <c r="K236" i="52103" s="1"/>
  <c r="G236" i="52103"/>
  <c r="G202" i="52103"/>
  <c r="G243" i="52103" s="1"/>
  <c r="L233" i="52066"/>
  <c r="C36" i="52084"/>
  <c r="C36" i="52103"/>
  <c r="E36" i="110"/>
  <c r="L36" i="52066"/>
  <c r="C28" i="52084"/>
  <c r="C28" i="52103"/>
  <c r="E28" i="110"/>
  <c r="G42" i="52066"/>
  <c r="G253" i="52066"/>
  <c r="L28" i="52066"/>
  <c r="H162" i="233"/>
  <c r="B35" i="52102"/>
  <c r="L35" i="52100"/>
  <c r="H35" i="110"/>
  <c r="B24" i="52102"/>
  <c r="H24" i="110"/>
  <c r="G41" i="52100"/>
  <c r="L24" i="52100"/>
  <c r="C127" i="52082"/>
  <c r="C129" i="52082" s="1"/>
  <c r="J127" i="52087"/>
  <c r="G129" i="52087"/>
  <c r="E127" i="52097"/>
  <c r="E129" i="52097" s="1"/>
  <c r="J168" i="20"/>
  <c r="G242" i="20"/>
  <c r="J242" i="20" s="1"/>
  <c r="L242" i="20" s="1"/>
  <c r="H168" i="20"/>
  <c r="L168" i="20" s="1"/>
  <c r="D28" i="52104"/>
  <c r="G253" i="20"/>
  <c r="G42" i="20"/>
  <c r="D28" i="111"/>
  <c r="B28" i="52074"/>
  <c r="L28" i="20"/>
  <c r="L103" i="52072"/>
  <c r="D203" i="111"/>
  <c r="D245" i="111" s="1"/>
  <c r="D238" i="111"/>
  <c r="J238" i="20"/>
  <c r="L238" i="20" s="1"/>
  <c r="H126" i="233"/>
  <c r="J70" i="52077"/>
  <c r="H103" i="52077"/>
  <c r="L116" i="52090"/>
  <c r="C238" i="111"/>
  <c r="K116" i="52104"/>
  <c r="K237" i="52104" s="1"/>
  <c r="K70" i="110"/>
  <c r="L241" i="77"/>
  <c r="M153" i="52104"/>
  <c r="M239" i="52104"/>
  <c r="N239" i="52104"/>
  <c r="V72" i="111"/>
  <c r="V84" i="111"/>
  <c r="I103" i="52104"/>
  <c r="I236" i="52104" s="1"/>
  <c r="V66" i="111"/>
  <c r="V86" i="111"/>
  <c r="H124" i="233"/>
  <c r="L241" i="12"/>
  <c r="F235" i="52102"/>
  <c r="F60" i="52102"/>
  <c r="E247" i="52091"/>
  <c r="E209" i="52091"/>
  <c r="E217" i="52091" s="1"/>
  <c r="I205" i="52091"/>
  <c r="J62" i="52083"/>
  <c r="J235" i="52083" s="1"/>
  <c r="F235" i="52083"/>
  <c r="F60" i="52083"/>
  <c r="F234" i="52083" s="1"/>
  <c r="I62" i="52084"/>
  <c r="I234" i="52084" s="1"/>
  <c r="E234" i="52084"/>
  <c r="E60" i="52084"/>
  <c r="E233" i="52084" s="1"/>
  <c r="C170" i="233"/>
  <c r="C185" i="233" s="1"/>
  <c r="C243" i="233" s="1"/>
  <c r="N170" i="52097"/>
  <c r="N185" i="52097" s="1"/>
  <c r="N243" i="52097" s="1"/>
  <c r="O185" i="52097"/>
  <c r="Q170" i="52097"/>
  <c r="G238" i="52098"/>
  <c r="H238" i="52098"/>
  <c r="G236" i="52088"/>
  <c r="J236" i="52088" s="1"/>
  <c r="E166" i="233"/>
  <c r="K166" i="110"/>
  <c r="H103" i="52084"/>
  <c r="J70" i="52084"/>
  <c r="F205" i="48"/>
  <c r="F245" i="48"/>
  <c r="B242" i="52102"/>
  <c r="Q111" i="111"/>
  <c r="D111" i="233"/>
  <c r="I111" i="233"/>
  <c r="K111" i="233" s="1"/>
  <c r="T111" i="111"/>
  <c r="C247" i="52071"/>
  <c r="B205" i="52071"/>
  <c r="C209" i="52071"/>
  <c r="G70" i="9"/>
  <c r="I70" i="9" s="1"/>
  <c r="B103" i="9"/>
  <c r="F238" i="111"/>
  <c r="K72" i="110"/>
  <c r="E72" i="233"/>
  <c r="N72" i="110"/>
  <c r="Q51" i="111"/>
  <c r="V21" i="111"/>
  <c r="B237" i="52103"/>
  <c r="M116" i="52103"/>
  <c r="L239" i="52094"/>
  <c r="R70" i="111"/>
  <c r="D64" i="233"/>
  <c r="D70" i="233" s="1"/>
  <c r="Q64" i="111"/>
  <c r="T64" i="111"/>
  <c r="D91" i="233"/>
  <c r="Q91" i="111"/>
  <c r="I91" i="233"/>
  <c r="K91" i="233" s="1"/>
  <c r="T91" i="111"/>
  <c r="I205" i="52094"/>
  <c r="E209" i="52094"/>
  <c r="E247" i="52094"/>
  <c r="K81" i="110"/>
  <c r="E81" i="233"/>
  <c r="N81" i="110"/>
  <c r="E125" i="233"/>
  <c r="K125" i="110"/>
  <c r="C236" i="52084"/>
  <c r="F247" i="91"/>
  <c r="F209" i="91"/>
  <c r="B205" i="105"/>
  <c r="C209" i="105"/>
  <c r="C247" i="105"/>
  <c r="F247" i="52071"/>
  <c r="F209" i="52071"/>
  <c r="C247" i="52095"/>
  <c r="C209" i="52095"/>
  <c r="B205" i="52095"/>
  <c r="Q177" i="111"/>
  <c r="D177" i="233"/>
  <c r="I177" i="233"/>
  <c r="K177" i="233" s="1"/>
  <c r="T177" i="111"/>
  <c r="E209" i="12"/>
  <c r="I205" i="12"/>
  <c r="E247" i="12"/>
  <c r="G236" i="105"/>
  <c r="J236" i="105" s="1"/>
  <c r="F245" i="52064"/>
  <c r="F205" i="52064"/>
  <c r="G60" i="52083"/>
  <c r="G234" i="52083" s="1"/>
  <c r="G235" i="52083"/>
  <c r="G204" i="52083"/>
  <c r="J32" i="52082"/>
  <c r="J33" i="52082" s="1"/>
  <c r="J51" i="52082"/>
  <c r="J233" i="52082" s="1"/>
  <c r="J46" i="52082"/>
  <c r="J47" i="52082" s="1"/>
  <c r="L21" i="52082"/>
  <c r="H127" i="52084"/>
  <c r="B127" i="52103"/>
  <c r="B129" i="52103" s="1"/>
  <c r="B238" i="52103" s="1"/>
  <c r="B127" i="52084"/>
  <c r="B129" i="52084" s="1"/>
  <c r="B238" i="52084" s="1"/>
  <c r="G129" i="48"/>
  <c r="J127" i="48"/>
  <c r="L127" i="48" s="1"/>
  <c r="F127" i="110"/>
  <c r="F129" i="110" s="1"/>
  <c r="F240" i="110" s="1"/>
  <c r="Q173" i="111"/>
  <c r="D173" i="233"/>
  <c r="T173" i="111"/>
  <c r="D35" i="52076"/>
  <c r="D35" i="52077"/>
  <c r="L35" i="52093"/>
  <c r="K35" i="111"/>
  <c r="G42" i="52093"/>
  <c r="D28" i="52077"/>
  <c r="K28" i="111"/>
  <c r="D28" i="52076"/>
  <c r="G253" i="52093"/>
  <c r="L28" i="52093"/>
  <c r="H184" i="52098"/>
  <c r="B242" i="52098"/>
  <c r="G236" i="52104"/>
  <c r="G202" i="52104"/>
  <c r="J103" i="52104"/>
  <c r="J236" i="52104" s="1"/>
  <c r="F209" i="148"/>
  <c r="F204" i="52104"/>
  <c r="K103" i="52104"/>
  <c r="K236" i="52104" s="1"/>
  <c r="I205" i="52071"/>
  <c r="I247" i="52071"/>
  <c r="Q123" i="111"/>
  <c r="I123" i="233"/>
  <c r="K123" i="233" s="1"/>
  <c r="D123" i="233"/>
  <c r="T123" i="111"/>
  <c r="E247" i="52089"/>
  <c r="I205" i="52089"/>
  <c r="E209" i="52089"/>
  <c r="E60" i="52074"/>
  <c r="E234" i="52074"/>
  <c r="I62" i="52074"/>
  <c r="I234" i="52074" s="1"/>
  <c r="I233" i="52091"/>
  <c r="L233" i="52091" s="1"/>
  <c r="L51" i="52091"/>
  <c r="E209" i="105"/>
  <c r="E247" i="105"/>
  <c r="L36" i="52090"/>
  <c r="H36" i="111"/>
  <c r="D36" i="52075"/>
  <c r="K164" i="110"/>
  <c r="E164" i="233"/>
  <c r="N164" i="110"/>
  <c r="E127" i="52082"/>
  <c r="E129" i="52082" s="1"/>
  <c r="F127" i="52097"/>
  <c r="F129" i="52097" s="1"/>
  <c r="G129" i="52088"/>
  <c r="J127" i="52088"/>
  <c r="K178" i="110"/>
  <c r="H178" i="233" s="1"/>
  <c r="E178" i="233"/>
  <c r="E109" i="233"/>
  <c r="K109" i="110"/>
  <c r="N109" i="110"/>
  <c r="I238" i="48"/>
  <c r="J238" i="48"/>
  <c r="K239" i="111"/>
  <c r="K80" i="110"/>
  <c r="E80" i="233"/>
  <c r="N80" i="110"/>
  <c r="M200" i="52102"/>
  <c r="E78" i="233"/>
  <c r="K78" i="110"/>
  <c r="H78" i="233" s="1"/>
  <c r="N78" i="110"/>
  <c r="I78" i="233"/>
  <c r="K78" i="233" s="1"/>
  <c r="K149" i="110"/>
  <c r="H149" i="233" s="1"/>
  <c r="E149" i="233"/>
  <c r="N149" i="110"/>
  <c r="B64" i="233"/>
  <c r="B70" i="233" s="1"/>
  <c r="B103" i="233" s="1"/>
  <c r="B238" i="233" s="1"/>
  <c r="F64" i="9"/>
  <c r="H64" i="233" s="1"/>
  <c r="I64" i="233"/>
  <c r="I64" i="9"/>
  <c r="F247" i="114"/>
  <c r="C237" i="52076"/>
  <c r="E209" i="52080"/>
  <c r="E247" i="52080"/>
  <c r="D54" i="9"/>
  <c r="D223" i="9" s="1"/>
  <c r="D205" i="9"/>
  <c r="D35" i="52074"/>
  <c r="L35" i="52089"/>
  <c r="C35" i="52102"/>
  <c r="G35" i="111"/>
  <c r="I203" i="48"/>
  <c r="K237" i="52098"/>
  <c r="F205" i="52081"/>
  <c r="M241" i="52103"/>
  <c r="F234" i="52077"/>
  <c r="F204" i="52077"/>
  <c r="F60" i="52077"/>
  <c r="F233" i="52077" s="1"/>
  <c r="D21" i="233"/>
  <c r="D51" i="233" s="1"/>
  <c r="D233" i="233" s="1"/>
  <c r="K111" i="110"/>
  <c r="H111" i="233" s="1"/>
  <c r="E111" i="233"/>
  <c r="N111" i="110"/>
  <c r="H168" i="52080"/>
  <c r="G242" i="52080"/>
  <c r="J168" i="52080"/>
  <c r="L168" i="52080" s="1"/>
  <c r="E105" i="233"/>
  <c r="K105" i="110"/>
  <c r="K116" i="110" s="1"/>
  <c r="K239" i="110" s="1"/>
  <c r="L116" i="110"/>
  <c r="N105" i="110"/>
  <c r="H168" i="52079"/>
  <c r="G242" i="52079"/>
  <c r="J242" i="52079" s="1"/>
  <c r="J168" i="52079"/>
  <c r="J127" i="52097"/>
  <c r="J129" i="52097" s="1"/>
  <c r="J127" i="52079"/>
  <c r="G129" i="52079"/>
  <c r="C127" i="52083"/>
  <c r="C129" i="52083" s="1"/>
  <c r="F247" i="52079"/>
  <c r="F209" i="52079"/>
  <c r="H168" i="108"/>
  <c r="G242" i="108"/>
  <c r="J242" i="108" s="1"/>
  <c r="J168" i="108"/>
  <c r="F247" i="108"/>
  <c r="F209" i="108"/>
  <c r="K170" i="110"/>
  <c r="L185" i="110"/>
  <c r="E170" i="233"/>
  <c r="C247" i="20"/>
  <c r="B205" i="20"/>
  <c r="C209" i="20"/>
  <c r="E150" i="233"/>
  <c r="K150" i="110"/>
  <c r="N150" i="110"/>
  <c r="H144" i="233"/>
  <c r="F245" i="105"/>
  <c r="I203" i="105"/>
  <c r="B238" i="111"/>
  <c r="B203" i="111"/>
  <c r="B245" i="111" s="1"/>
  <c r="I236" i="52081"/>
  <c r="E247" i="52090"/>
  <c r="E209" i="52090"/>
  <c r="I205" i="52090"/>
  <c r="L36" i="52094"/>
  <c r="L36" i="111"/>
  <c r="H36" i="52077"/>
  <c r="B36" i="52077"/>
  <c r="B167" i="52098"/>
  <c r="H155" i="52098"/>
  <c r="J155" i="52098" s="1"/>
  <c r="B62" i="9"/>
  <c r="B53" i="9"/>
  <c r="B54" i="9" s="1"/>
  <c r="B233" i="9"/>
  <c r="I133" i="233"/>
  <c r="B209" i="52066"/>
  <c r="C217" i="52066"/>
  <c r="K99" i="110"/>
  <c r="E99" i="233"/>
  <c r="N99" i="110"/>
  <c r="H80" i="233"/>
  <c r="H180" i="233"/>
  <c r="B127" i="52082"/>
  <c r="G129" i="148"/>
  <c r="B127" i="52097"/>
  <c r="J127" i="148"/>
  <c r="G236" i="52067"/>
  <c r="J62" i="52067"/>
  <c r="I72" i="233"/>
  <c r="K72" i="233" s="1"/>
  <c r="H72" i="233"/>
  <c r="K172" i="110"/>
  <c r="E172" i="233"/>
  <c r="F245" i="52066"/>
  <c r="C236" i="52103"/>
  <c r="C232" i="52076"/>
  <c r="M153" i="52103"/>
  <c r="G234" i="52103"/>
  <c r="G60" i="52103"/>
  <c r="G233" i="52103" s="1"/>
  <c r="G204" i="52103"/>
  <c r="H168" i="52071"/>
  <c r="G242" i="52071"/>
  <c r="J242" i="52071" s="1"/>
  <c r="J168" i="52071"/>
  <c r="C154" i="233"/>
  <c r="C241" i="233" s="1"/>
  <c r="B205" i="101"/>
  <c r="C247" i="101"/>
  <c r="C209" i="101"/>
  <c r="F245" i="52100"/>
  <c r="E97" i="233"/>
  <c r="K97" i="110"/>
  <c r="H97" i="233" s="1"/>
  <c r="N97" i="110"/>
  <c r="E119" i="233"/>
  <c r="K119" i="110"/>
  <c r="H119" i="233" s="1"/>
  <c r="I119" i="233"/>
  <c r="K119" i="233" s="1"/>
  <c r="G245" i="52081"/>
  <c r="H203" i="52081"/>
  <c r="G203" i="110"/>
  <c r="G245" i="110" s="1"/>
  <c r="G238" i="110"/>
  <c r="G203" i="52095"/>
  <c r="H103" i="52095"/>
  <c r="G238" i="52095"/>
  <c r="J238" i="52095" s="1"/>
  <c r="L238" i="52095" s="1"/>
  <c r="J103" i="52095"/>
  <c r="K70" i="52075"/>
  <c r="I103" i="52075"/>
  <c r="D237" i="52083"/>
  <c r="D202" i="52083"/>
  <c r="D244" i="52083" s="1"/>
  <c r="H70" i="52083"/>
  <c r="I70" i="52083"/>
  <c r="K70" i="52083" s="1"/>
  <c r="E209" i="52095"/>
  <c r="I205" i="52095"/>
  <c r="E247" i="52095"/>
  <c r="D236" i="9"/>
  <c r="D60" i="9"/>
  <c r="D235" i="9" s="1"/>
  <c r="H62" i="9"/>
  <c r="H236" i="9" s="1"/>
  <c r="I223" i="110"/>
  <c r="I245" i="110"/>
  <c r="E247" i="52092"/>
  <c r="I205" i="52092"/>
  <c r="E209" i="52092"/>
  <c r="E209" i="52066"/>
  <c r="E247" i="52066"/>
  <c r="E247" i="77"/>
  <c r="I247" i="77" s="1"/>
  <c r="E209" i="77"/>
  <c r="E217" i="77" s="1"/>
  <c r="I205" i="77"/>
  <c r="J202" i="52083"/>
  <c r="J244" i="52083" s="1"/>
  <c r="F244" i="52083"/>
  <c r="F222" i="52083"/>
  <c r="V142" i="111"/>
  <c r="Q154" i="52097"/>
  <c r="Q241" i="52097" s="1"/>
  <c r="C233" i="52097"/>
  <c r="C62" i="52097"/>
  <c r="C53" i="52097"/>
  <c r="C54" i="52097" s="1"/>
  <c r="B127" i="52083"/>
  <c r="C127" i="52097"/>
  <c r="C129" i="52097" s="1"/>
  <c r="J127" i="105"/>
  <c r="G129" i="105"/>
  <c r="F62" i="52097"/>
  <c r="F233" i="52097"/>
  <c r="F53" i="52097"/>
  <c r="F54" i="52097" s="1"/>
  <c r="E101" i="233"/>
  <c r="K101" i="110"/>
  <c r="H101" i="233" s="1"/>
  <c r="I167" i="52103"/>
  <c r="K155" i="52103"/>
  <c r="M155" i="52103" s="1"/>
  <c r="E233" i="110"/>
  <c r="E237" i="52102"/>
  <c r="H73" i="233"/>
  <c r="F205" i="105"/>
  <c r="J62" i="105"/>
  <c r="K103" i="111"/>
  <c r="D170" i="233"/>
  <c r="Q170" i="111"/>
  <c r="R185" i="111"/>
  <c r="I238" i="52083"/>
  <c r="K116" i="52083"/>
  <c r="K238" i="52083" s="1"/>
  <c r="B232" i="52102"/>
  <c r="M232" i="52102" s="1"/>
  <c r="H150" i="233"/>
  <c r="G241" i="9"/>
  <c r="I154" i="9"/>
  <c r="I241" i="9" s="1"/>
  <c r="C209" i="91"/>
  <c r="B205" i="91"/>
  <c r="C247" i="91"/>
  <c r="L243" i="52080"/>
  <c r="F247" i="52095"/>
  <c r="F209" i="52095"/>
  <c r="L233" i="52093"/>
  <c r="D127" i="52076"/>
  <c r="J127" i="52093"/>
  <c r="L127" i="52093"/>
  <c r="G129" i="52093"/>
  <c r="K127" i="111"/>
  <c r="K129" i="111" s="1"/>
  <c r="K240" i="111" s="1"/>
  <c r="D127" i="52077"/>
  <c r="D36" i="52077"/>
  <c r="K36" i="111"/>
  <c r="L36" i="52093"/>
  <c r="D36" i="52076"/>
  <c r="K24" i="111"/>
  <c r="K30" i="111" s="1"/>
  <c r="D24" i="52077"/>
  <c r="D30" i="52077" s="1"/>
  <c r="D32" i="52077" s="1"/>
  <c r="D33" i="52077" s="1"/>
  <c r="L24" i="52093"/>
  <c r="D24" i="52076"/>
  <c r="D30" i="52076" s="1"/>
  <c r="D32" i="52076" s="1"/>
  <c r="D33" i="52076" s="1"/>
  <c r="G41" i="52093"/>
  <c r="J103" i="52074"/>
  <c r="J236" i="52074" s="1"/>
  <c r="F202" i="52074"/>
  <c r="F236" i="52074"/>
  <c r="I103" i="52074"/>
  <c r="I236" i="52074" s="1"/>
  <c r="L103" i="115"/>
  <c r="F245" i="115"/>
  <c r="I203" i="115"/>
  <c r="V88" i="111"/>
  <c r="G36" i="111"/>
  <c r="L36" i="52089"/>
  <c r="C36" i="52102"/>
  <c r="D36" i="52074"/>
  <c r="M60" i="52097"/>
  <c r="M235" i="52097" s="1"/>
  <c r="M236" i="52097"/>
  <c r="H60" i="52082"/>
  <c r="H235" i="52082" s="1"/>
  <c r="H236" i="52082"/>
  <c r="B205" i="52092"/>
  <c r="C209" i="52092"/>
  <c r="C247" i="52092"/>
  <c r="L116" i="52100"/>
  <c r="C247" i="52100"/>
  <c r="C209" i="52100"/>
  <c r="B205" i="52100"/>
  <c r="C209" i="52087"/>
  <c r="C247" i="52087"/>
  <c r="B205" i="52087"/>
  <c r="F237" i="52098"/>
  <c r="I103" i="52098"/>
  <c r="I237" i="52098" s="1"/>
  <c r="F53" i="233"/>
  <c r="F233" i="233"/>
  <c r="E209" i="21"/>
  <c r="E217" i="21" s="1"/>
  <c r="E251" i="21" s="1"/>
  <c r="E247" i="21"/>
  <c r="I205" i="21"/>
  <c r="T164" i="111"/>
  <c r="D164" i="233"/>
  <c r="Q164" i="111"/>
  <c r="V164" i="111" s="1"/>
  <c r="G41" i="52090"/>
  <c r="H24" i="111"/>
  <c r="D24" i="52075"/>
  <c r="L24" i="52090"/>
  <c r="G42" i="52090"/>
  <c r="H28" i="111"/>
  <c r="L28" i="52090"/>
  <c r="D28" i="52075"/>
  <c r="G253" i="52090"/>
  <c r="C127" i="52074"/>
  <c r="C129" i="52074" s="1"/>
  <c r="C127" i="111"/>
  <c r="J127" i="115"/>
  <c r="E127" i="52104"/>
  <c r="E129" i="52104" s="1"/>
  <c r="E238" i="52104" s="1"/>
  <c r="L127" i="115"/>
  <c r="G129" i="115"/>
  <c r="I127" i="52104"/>
  <c r="F205" i="115"/>
  <c r="I153" i="52077"/>
  <c r="I239" i="52077" s="1"/>
  <c r="D239" i="52077"/>
  <c r="L239" i="52077" s="1"/>
  <c r="C53" i="52083"/>
  <c r="C54" i="52083" s="1"/>
  <c r="C232" i="52083"/>
  <c r="C62" i="52083"/>
  <c r="C235" i="52083" s="1"/>
  <c r="J207" i="52091"/>
  <c r="I207" i="52091"/>
  <c r="L207" i="52091"/>
  <c r="K28" i="52096"/>
  <c r="F207" i="32"/>
  <c r="K43" i="52096"/>
  <c r="F207" i="114"/>
  <c r="I207" i="52064"/>
  <c r="I207" i="20"/>
  <c r="F206" i="52074"/>
  <c r="F207" i="21"/>
  <c r="K7" i="52096"/>
  <c r="K45" i="52096" s="1"/>
  <c r="K47" i="52096" s="1"/>
  <c r="F206" i="52077"/>
  <c r="I207" i="52094"/>
  <c r="I207" i="115"/>
  <c r="G206" i="52104"/>
  <c r="L36" i="52095"/>
  <c r="M36" i="111"/>
  <c r="B36" i="52075"/>
  <c r="M28" i="111"/>
  <c r="B28" i="52075"/>
  <c r="G253" i="52095"/>
  <c r="G42" i="52095"/>
  <c r="L28" i="52095"/>
  <c r="L51" i="52095"/>
  <c r="J233" i="52095"/>
  <c r="L233" i="52095" s="1"/>
  <c r="D172" i="233"/>
  <c r="Q172" i="111"/>
  <c r="I172" i="233"/>
  <c r="K172" i="233" s="1"/>
  <c r="B24" i="52104"/>
  <c r="G41" i="12"/>
  <c r="H24" i="52076"/>
  <c r="H30" i="52076" s="1"/>
  <c r="B24" i="52076"/>
  <c r="B30" i="52076" s="1"/>
  <c r="B32" i="52076" s="1"/>
  <c r="B33" i="52076" s="1"/>
  <c r="E24" i="111"/>
  <c r="E30" i="111" s="1"/>
  <c r="L24" i="12"/>
  <c r="G242" i="12"/>
  <c r="J242" i="12" s="1"/>
  <c r="L242" i="12" s="1"/>
  <c r="H168" i="12"/>
  <c r="J168" i="12"/>
  <c r="N155" i="52104"/>
  <c r="B167" i="52104"/>
  <c r="D232" i="52083"/>
  <c r="D53" i="52083"/>
  <c r="D54" i="52083" s="1"/>
  <c r="D62" i="52083"/>
  <c r="B237" i="52077"/>
  <c r="L116" i="52077"/>
  <c r="V141" i="111"/>
  <c r="G238" i="12"/>
  <c r="J238" i="12" s="1"/>
  <c r="L238" i="12" s="1"/>
  <c r="J103" i="12"/>
  <c r="H103" i="12"/>
  <c r="L103" i="12" s="1"/>
  <c r="F243" i="52103"/>
  <c r="J202" i="52103"/>
  <c r="J243" i="52103" s="1"/>
  <c r="I238" i="52066"/>
  <c r="L238" i="52066" s="1"/>
  <c r="I236" i="114"/>
  <c r="L236" i="114" s="1"/>
  <c r="I21" i="52098"/>
  <c r="E51" i="52098"/>
  <c r="B62" i="52098"/>
  <c r="B232" i="52098"/>
  <c r="L95" i="52072"/>
  <c r="F245" i="108"/>
  <c r="I203" i="108"/>
  <c r="K181" i="110"/>
  <c r="H181" i="233" s="1"/>
  <c r="E181" i="233"/>
  <c r="C35" i="52077"/>
  <c r="J35" i="111"/>
  <c r="L35" i="52092"/>
  <c r="J24" i="111"/>
  <c r="J30" i="111" s="1"/>
  <c r="C24" i="52077"/>
  <c r="C30" i="52077" s="1"/>
  <c r="G41" i="52092"/>
  <c r="L24" i="52092"/>
  <c r="F247" i="52092"/>
  <c r="F209" i="52092"/>
  <c r="N238" i="111"/>
  <c r="N203" i="111"/>
  <c r="N245" i="111" s="1"/>
  <c r="G42" i="52094"/>
  <c r="B28" i="52077"/>
  <c r="G253" i="52094"/>
  <c r="L28" i="111"/>
  <c r="L28" i="52094"/>
  <c r="H28" i="52077"/>
  <c r="H28" i="52074"/>
  <c r="G28" i="111"/>
  <c r="C28" i="52102"/>
  <c r="G42" i="52089"/>
  <c r="D28" i="52074"/>
  <c r="L28" i="52089"/>
  <c r="G253" i="52089"/>
  <c r="C209" i="52067"/>
  <c r="C247" i="52067"/>
  <c r="B205" i="52067"/>
  <c r="J236" i="52067"/>
  <c r="F127" i="111"/>
  <c r="F129" i="111" s="1"/>
  <c r="F240" i="111" s="1"/>
  <c r="C127" i="52076"/>
  <c r="C129" i="52076" s="1"/>
  <c r="C239" i="52076" s="1"/>
  <c r="C127" i="52104"/>
  <c r="C129" i="52104" s="1"/>
  <c r="C238" i="52104" s="1"/>
  <c r="J127" i="77"/>
  <c r="L127" i="77" s="1"/>
  <c r="G129" i="77"/>
  <c r="M127" i="110"/>
  <c r="G127" i="233"/>
  <c r="J129" i="110"/>
  <c r="F236" i="52100"/>
  <c r="G62" i="52102"/>
  <c r="F205" i="52100"/>
  <c r="C217" i="21"/>
  <c r="B209" i="21"/>
  <c r="J238" i="52100"/>
  <c r="L238" i="52100" s="1"/>
  <c r="F245" i="52067"/>
  <c r="I203" i="52067"/>
  <c r="L239" i="52080"/>
  <c r="I236" i="108"/>
  <c r="L243" i="52090"/>
  <c r="C231" i="52103"/>
  <c r="O46" i="52097"/>
  <c r="O47" i="52097" s="1"/>
  <c r="O51" i="52097"/>
  <c r="O32" i="52097"/>
  <c r="O33" i="52097" s="1"/>
  <c r="N21" i="52097"/>
  <c r="Q21" i="52097"/>
  <c r="C21" i="233"/>
  <c r="F245" i="52093"/>
  <c r="F205" i="52093"/>
  <c r="I203" i="52093"/>
  <c r="C209" i="108"/>
  <c r="C247" i="108"/>
  <c r="B205" i="108"/>
  <c r="B205" i="52064"/>
  <c r="C209" i="52064"/>
  <c r="C247" i="52064"/>
  <c r="C247" i="52072"/>
  <c r="B205" i="52072"/>
  <c r="C209" i="52072"/>
  <c r="K86" i="110"/>
  <c r="H86" i="233" s="1"/>
  <c r="E86" i="233"/>
  <c r="N86" i="110"/>
  <c r="G41" i="32"/>
  <c r="G44" i="32" s="1"/>
  <c r="E24" i="52102"/>
  <c r="E30" i="52102" s="1"/>
  <c r="B24" i="110"/>
  <c r="L24" i="32"/>
  <c r="J127" i="32"/>
  <c r="E127" i="52102"/>
  <c r="E129" i="52102" s="1"/>
  <c r="E239" i="52102" s="1"/>
  <c r="L127" i="32"/>
  <c r="G129" i="32"/>
  <c r="B127" i="110"/>
  <c r="G242" i="32"/>
  <c r="J242" i="32" s="1"/>
  <c r="L242" i="32" s="1"/>
  <c r="H168" i="32"/>
  <c r="J168" i="32"/>
  <c r="L168" i="32" s="1"/>
  <c r="F245" i="52091"/>
  <c r="J203" i="52091"/>
  <c r="F245" i="20"/>
  <c r="H99" i="233"/>
  <c r="V145" i="111"/>
  <c r="V165" i="111"/>
  <c r="L239" i="115"/>
  <c r="J240" i="114"/>
  <c r="L240" i="114" s="1"/>
  <c r="E247" i="52072"/>
  <c r="E209" i="52072"/>
  <c r="C36" i="52077"/>
  <c r="J36" i="111"/>
  <c r="L36" i="52092"/>
  <c r="I236" i="52091"/>
  <c r="E247" i="48"/>
  <c r="I205" i="48"/>
  <c r="E209" i="48"/>
  <c r="M231" i="52103"/>
  <c r="H184" i="52083"/>
  <c r="H242" i="52083" s="1"/>
  <c r="I184" i="52083"/>
  <c r="B242" i="52083"/>
  <c r="Q171" i="111"/>
  <c r="D171" i="233"/>
  <c r="T171" i="111"/>
  <c r="G242" i="52088"/>
  <c r="J242" i="52088" s="1"/>
  <c r="H168" i="52088"/>
  <c r="J168" i="52088"/>
  <c r="F247" i="52088"/>
  <c r="I247" i="52088" s="1"/>
  <c r="F209" i="52088"/>
  <c r="I209" i="52088" s="1"/>
  <c r="G238" i="52089"/>
  <c r="J238" i="52089" s="1"/>
  <c r="L238" i="52089" s="1"/>
  <c r="J103" i="52089"/>
  <c r="H103" i="52089"/>
  <c r="L103" i="52089" s="1"/>
  <c r="G203" i="52089"/>
  <c r="C202" i="52102"/>
  <c r="C244" i="52102" s="1"/>
  <c r="C237" i="52102"/>
  <c r="B238" i="52102"/>
  <c r="M238" i="52102" s="1"/>
  <c r="M116" i="52102"/>
  <c r="I242" i="52102"/>
  <c r="G238" i="52094"/>
  <c r="J238" i="52094" s="1"/>
  <c r="L238" i="52094" s="1"/>
  <c r="J103" i="52094"/>
  <c r="H103" i="52094"/>
  <c r="L103" i="52094" s="1"/>
  <c r="J103" i="52090"/>
  <c r="H103" i="52090"/>
  <c r="L103" i="52090" s="1"/>
  <c r="G238" i="52090"/>
  <c r="J238" i="52090" s="1"/>
  <c r="L238" i="52090" s="1"/>
  <c r="C202" i="52104"/>
  <c r="C243" i="52104" s="1"/>
  <c r="C236" i="52104"/>
  <c r="E204" i="52076"/>
  <c r="E54" i="52076"/>
  <c r="I238" i="32"/>
  <c r="J238" i="32"/>
  <c r="L238" i="32" s="1"/>
  <c r="L241" i="52080"/>
  <c r="J21" i="233"/>
  <c r="G51" i="233"/>
  <c r="G233" i="233" s="1"/>
  <c r="I137" i="233"/>
  <c r="K137" i="233" s="1"/>
  <c r="E137" i="233"/>
  <c r="E154" i="233" s="1"/>
  <c r="E241" i="233" s="1"/>
  <c r="K137" i="110"/>
  <c r="H137" i="233" s="1"/>
  <c r="D236" i="52074"/>
  <c r="D202" i="52074"/>
  <c r="D243" i="52074" s="1"/>
  <c r="L203" i="52091"/>
  <c r="G41" i="52080"/>
  <c r="L24" i="52080"/>
  <c r="N24" i="111"/>
  <c r="N30" i="111" s="1"/>
  <c r="E24" i="52075"/>
  <c r="E30" i="52075" s="1"/>
  <c r="E127" i="52083"/>
  <c r="E129" i="52083" s="1"/>
  <c r="J127" i="108"/>
  <c r="G129" i="108"/>
  <c r="D127" i="52097"/>
  <c r="D129" i="52097" s="1"/>
  <c r="J241" i="52092"/>
  <c r="L241" i="52092" s="1"/>
  <c r="F245" i="52092"/>
  <c r="H139" i="233"/>
  <c r="H62" i="52097"/>
  <c r="H53" i="52097"/>
  <c r="H54" i="52097" s="1"/>
  <c r="H233" i="52097"/>
  <c r="G238" i="114"/>
  <c r="H103" i="114"/>
  <c r="G203" i="114"/>
  <c r="J103" i="114"/>
  <c r="E247" i="52081"/>
  <c r="E209" i="52081"/>
  <c r="I205" i="52081"/>
  <c r="F244" i="52102"/>
  <c r="F54" i="52083"/>
  <c r="F204" i="52083"/>
  <c r="E54" i="52077"/>
  <c r="E204" i="52077"/>
  <c r="E234" i="52077"/>
  <c r="E60" i="52077"/>
  <c r="F60" i="52103"/>
  <c r="F233" i="52103" s="1"/>
  <c r="F234" i="52103"/>
  <c r="J62" i="52103"/>
  <c r="J234" i="52103" s="1"/>
  <c r="I236" i="91"/>
  <c r="I236" i="101"/>
  <c r="E247" i="101"/>
  <c r="I247" i="101" s="1"/>
  <c r="I205" i="101"/>
  <c r="E209" i="101"/>
  <c r="B127" i="52098"/>
  <c r="B127" i="9"/>
  <c r="K127" i="52098"/>
  <c r="K129" i="52098" s="1"/>
  <c r="K239" i="52098" s="1"/>
  <c r="G129" i="21"/>
  <c r="J127" i="21"/>
  <c r="G127" i="52098"/>
  <c r="I21" i="233"/>
  <c r="H9" i="233"/>
  <c r="F21" i="9"/>
  <c r="H238" i="52082"/>
  <c r="H203" i="52082"/>
  <c r="K103" i="52082"/>
  <c r="K238" i="52082" s="1"/>
  <c r="M238" i="52097"/>
  <c r="M203" i="52097"/>
  <c r="M245" i="52097" s="1"/>
  <c r="K91" i="110"/>
  <c r="E91" i="233"/>
  <c r="N91" i="110"/>
  <c r="F245" i="52080"/>
  <c r="J156" i="52082"/>
  <c r="B168" i="52082"/>
  <c r="B242" i="52082" s="1"/>
  <c r="H168" i="148"/>
  <c r="G242" i="148"/>
  <c r="J242" i="148" s="1"/>
  <c r="J168" i="148"/>
  <c r="J168" i="52067"/>
  <c r="G242" i="52067"/>
  <c r="J242" i="52067" s="1"/>
  <c r="H168" i="52067"/>
  <c r="L103" i="52066"/>
  <c r="D127" i="52098"/>
  <c r="D129" i="52098" s="1"/>
  <c r="I127" i="52097"/>
  <c r="I129" i="52097" s="1"/>
  <c r="J127" i="52071"/>
  <c r="G129" i="52071"/>
  <c r="M70" i="52102"/>
  <c r="D236" i="52084"/>
  <c r="D202" i="52084"/>
  <c r="D243" i="52084" s="1"/>
  <c r="J103" i="52067"/>
  <c r="H103" i="52067"/>
  <c r="G238" i="52067"/>
  <c r="J238" i="52067" s="1"/>
  <c r="F234" i="52075"/>
  <c r="J62" i="52075"/>
  <c r="J234" i="52075" s="1"/>
  <c r="F60" i="52075"/>
  <c r="E247" i="52064"/>
  <c r="I205" i="52064"/>
  <c r="E209" i="52064"/>
  <c r="I236" i="77"/>
  <c r="I202" i="52084"/>
  <c r="I243" i="52084" s="1"/>
  <c r="E243" i="52084"/>
  <c r="E221" i="52084"/>
  <c r="O245" i="111"/>
  <c r="I238" i="52064"/>
  <c r="H168" i="105"/>
  <c r="G242" i="105"/>
  <c r="J242" i="105" s="1"/>
  <c r="J168" i="105"/>
  <c r="H125" i="233"/>
  <c r="C209" i="52081"/>
  <c r="B205" i="52081"/>
  <c r="C247" i="52081"/>
  <c r="C28" i="110"/>
  <c r="L28" i="91"/>
  <c r="I28" i="52103"/>
  <c r="G42" i="91"/>
  <c r="G253" i="91"/>
  <c r="E28" i="52103"/>
  <c r="E35" i="52103"/>
  <c r="L35" i="91"/>
  <c r="C35" i="110"/>
  <c r="G44" i="91"/>
  <c r="E36" i="52103"/>
  <c r="C36" i="110"/>
  <c r="L36" i="91"/>
  <c r="E127" i="52103"/>
  <c r="E129" i="52103" s="1"/>
  <c r="E238" i="52103" s="1"/>
  <c r="J127" i="91"/>
  <c r="L127" i="91" s="1"/>
  <c r="G129" i="91"/>
  <c r="G203" i="91" s="1"/>
  <c r="C127" i="110"/>
  <c r="C129" i="110" s="1"/>
  <c r="C240" i="110" s="1"/>
  <c r="I127" i="52103"/>
  <c r="K21" i="110"/>
  <c r="D53" i="52082"/>
  <c r="D54" i="52082" s="1"/>
  <c r="D62" i="52082"/>
  <c r="D236" i="52082" s="1"/>
  <c r="D233" i="52082"/>
  <c r="L24" i="48"/>
  <c r="H24" i="52084"/>
  <c r="H30" i="52084" s="1"/>
  <c r="B24" i="52084"/>
  <c r="B30" i="52084" s="1"/>
  <c r="F24" i="110"/>
  <c r="F30" i="110" s="1"/>
  <c r="B24" i="52103"/>
  <c r="B30" i="52103" s="1"/>
  <c r="G41" i="48"/>
  <c r="D92" i="233"/>
  <c r="Q92" i="111"/>
  <c r="V92" i="111" s="1"/>
  <c r="F205" i="52080"/>
  <c r="K183" i="110"/>
  <c r="E183" i="233"/>
  <c r="N241" i="52104"/>
  <c r="F245" i="52072"/>
  <c r="D167" i="52077"/>
  <c r="I155" i="52077"/>
  <c r="H94" i="233"/>
  <c r="C209" i="52079"/>
  <c r="C247" i="52079"/>
  <c r="B205" i="52079"/>
  <c r="B243" i="9"/>
  <c r="G185" i="9"/>
  <c r="J241" i="52081"/>
  <c r="B237" i="52104"/>
  <c r="N237" i="52104" s="1"/>
  <c r="N116" i="52104"/>
  <c r="M116" i="52104"/>
  <c r="I238" i="108"/>
  <c r="F235" i="52098"/>
  <c r="F60" i="52098"/>
  <c r="F234" i="52098" s="1"/>
  <c r="F247" i="52089"/>
  <c r="F209" i="52089"/>
  <c r="K184" i="52102"/>
  <c r="K242" i="52102" s="1"/>
  <c r="M242" i="52102" s="1"/>
  <c r="B205" i="52080"/>
  <c r="C209" i="52080"/>
  <c r="C247" i="52080"/>
  <c r="F185" i="9"/>
  <c r="F243" i="9" s="1"/>
  <c r="H174" i="233"/>
  <c r="T106" i="111"/>
  <c r="D106" i="233"/>
  <c r="I106" i="233"/>
  <c r="K106" i="233" s="1"/>
  <c r="Q106" i="111"/>
  <c r="E244" i="52076"/>
  <c r="E222" i="52076"/>
  <c r="I203" i="32"/>
  <c r="I236" i="21"/>
  <c r="I203" i="20"/>
  <c r="J103" i="233"/>
  <c r="F238" i="233"/>
  <c r="F203" i="233"/>
  <c r="N103" i="233"/>
  <c r="F70" i="9"/>
  <c r="F103" i="9" s="1"/>
  <c r="H68" i="233"/>
  <c r="I68" i="233"/>
  <c r="K68" i="233" s="1"/>
  <c r="F205" i="52066"/>
  <c r="E93" i="233"/>
  <c r="K93" i="110"/>
  <c r="H93" i="233" s="1"/>
  <c r="D24" i="52102"/>
  <c r="D30" i="52102" s="1"/>
  <c r="D24" i="110"/>
  <c r="D30" i="110" s="1"/>
  <c r="D32" i="110" s="1"/>
  <c r="D33" i="110" s="1"/>
  <c r="G41" i="52072"/>
  <c r="L24" i="52072"/>
  <c r="D35" i="110"/>
  <c r="D35" i="52102"/>
  <c r="L35" i="52072"/>
  <c r="D127" i="52075"/>
  <c r="D129" i="52075" s="1"/>
  <c r="H127" i="111"/>
  <c r="H129" i="111" s="1"/>
  <c r="G129" i="52090"/>
  <c r="J127" i="52090"/>
  <c r="L127" i="52090" s="1"/>
  <c r="E62" i="52097"/>
  <c r="E236" i="52097" s="1"/>
  <c r="E233" i="52097"/>
  <c r="E53" i="52097"/>
  <c r="E54" i="52097" s="1"/>
  <c r="H168" i="115"/>
  <c r="G242" i="115"/>
  <c r="J242" i="115" s="1"/>
  <c r="L242" i="115" s="1"/>
  <c r="J168" i="115"/>
  <c r="L168" i="115" s="1"/>
  <c r="L36" i="115"/>
  <c r="I36" i="52104"/>
  <c r="E36" i="52104"/>
  <c r="C36" i="111"/>
  <c r="C36" i="52074"/>
  <c r="G253" i="115"/>
  <c r="E28" i="52104"/>
  <c r="C28" i="111"/>
  <c r="G42" i="115"/>
  <c r="C28" i="52074"/>
  <c r="L28" i="115"/>
  <c r="I28" i="52104"/>
  <c r="D240" i="52076"/>
  <c r="I153" i="52076"/>
  <c r="I240" i="52076" s="1"/>
  <c r="L239" i="32"/>
  <c r="H70" i="233"/>
  <c r="D241" i="52077"/>
  <c r="I184" i="52077"/>
  <c r="I241" i="52077" s="1"/>
  <c r="H168" i="52095"/>
  <c r="G242" i="52095"/>
  <c r="J168" i="52095"/>
  <c r="L245" i="52091"/>
  <c r="J238" i="111"/>
  <c r="C247" i="52088"/>
  <c r="B205" i="52088"/>
  <c r="C209" i="52088"/>
  <c r="J116" i="52098"/>
  <c r="J238" i="52098" s="1"/>
  <c r="B127" i="52104"/>
  <c r="E127" i="111"/>
  <c r="E129" i="111" s="1"/>
  <c r="H127" i="52076"/>
  <c r="J127" i="12"/>
  <c r="L127" i="12" s="1"/>
  <c r="B127" i="52076"/>
  <c r="B129" i="52076" s="1"/>
  <c r="G129" i="12"/>
  <c r="L105" i="52077"/>
  <c r="I203" i="52081"/>
  <c r="I203" i="21"/>
  <c r="H18" i="233"/>
  <c r="H146" i="233"/>
  <c r="H152" i="233"/>
  <c r="C247" i="148"/>
  <c r="B205" i="148"/>
  <c r="C209" i="148"/>
  <c r="D183" i="233"/>
  <c r="Q183" i="111"/>
  <c r="V183" i="111" s="1"/>
  <c r="H166" i="233"/>
  <c r="H168" i="52092"/>
  <c r="G242" i="52092"/>
  <c r="J168" i="52092"/>
  <c r="L168" i="52092" s="1"/>
  <c r="C127" i="52077"/>
  <c r="C129" i="52077" s="1"/>
  <c r="C238" i="52077" s="1"/>
  <c r="J127" i="111"/>
  <c r="J129" i="111" s="1"/>
  <c r="J240" i="111" s="1"/>
  <c r="J127" i="52092"/>
  <c r="L127" i="52092" s="1"/>
  <c r="G129" i="52092"/>
  <c r="G203" i="52092" s="1"/>
  <c r="E236" i="52075"/>
  <c r="E202" i="52075"/>
  <c r="E243" i="52075" s="1"/>
  <c r="J233" i="52094"/>
  <c r="L233" i="52094" s="1"/>
  <c r="L51" i="52094"/>
  <c r="H167" i="52077"/>
  <c r="J155" i="52077"/>
  <c r="L155" i="52077" s="1"/>
  <c r="B236" i="52077"/>
  <c r="B202" i="52077"/>
  <c r="B243" i="52077" s="1"/>
  <c r="L103" i="111"/>
  <c r="B62" i="52097"/>
  <c r="B53" i="52097"/>
  <c r="B54" i="52097" s="1"/>
  <c r="B233" i="52097"/>
  <c r="L51" i="52089"/>
  <c r="K163" i="110"/>
  <c r="E163" i="233"/>
  <c r="N163" i="110"/>
  <c r="L243" i="52066"/>
  <c r="F35" i="111"/>
  <c r="C35" i="52104"/>
  <c r="C35" i="52076"/>
  <c r="L35" i="77"/>
  <c r="G253" i="77"/>
  <c r="F28" i="111"/>
  <c r="G42" i="77"/>
  <c r="C28" i="52076"/>
  <c r="C30" i="52076" s="1"/>
  <c r="C28" i="52104"/>
  <c r="C30" i="52104" s="1"/>
  <c r="C32" i="52104" s="1"/>
  <c r="C33" i="52104" s="1"/>
  <c r="L28" i="77"/>
  <c r="F233" i="111"/>
  <c r="J153" i="52084"/>
  <c r="J239" i="52084" s="1"/>
  <c r="B103" i="52075"/>
  <c r="I103" i="52102"/>
  <c r="P238" i="111"/>
  <c r="P203" i="111"/>
  <c r="P245" i="111" s="1"/>
  <c r="N95" i="52104"/>
  <c r="M95" i="52104"/>
  <c r="J243" i="233"/>
  <c r="D36" i="111"/>
  <c r="B36" i="52074"/>
  <c r="D36" i="52104"/>
  <c r="H36" i="52074"/>
  <c r="L36" i="20"/>
  <c r="E175" i="93"/>
  <c r="H175" i="93" s="1"/>
  <c r="H174" i="93"/>
  <c r="I46" i="52083"/>
  <c r="I47" i="52083" s="1"/>
  <c r="I61" i="52083"/>
  <c r="I51" i="52083"/>
  <c r="K21" i="52083"/>
  <c r="B62" i="52083"/>
  <c r="B53" i="52083"/>
  <c r="B54" i="52083" s="1"/>
  <c r="B232" i="52083"/>
  <c r="I171" i="233"/>
  <c r="K171" i="233" s="1"/>
  <c r="K70" i="52103"/>
  <c r="M70" i="52103" s="1"/>
  <c r="E127" i="110"/>
  <c r="E129" i="110" s="1"/>
  <c r="E240" i="110" s="1"/>
  <c r="C127" i="52084"/>
  <c r="C129" i="52084" s="1"/>
  <c r="C238" i="52084" s="1"/>
  <c r="C127" i="52103"/>
  <c r="C129" i="52103" s="1"/>
  <c r="C238" i="52103" s="1"/>
  <c r="J127" i="52066"/>
  <c r="L127" i="52066" s="1"/>
  <c r="G129" i="52066"/>
  <c r="G41" i="52066"/>
  <c r="C24" i="52084"/>
  <c r="C30" i="52084" s="1"/>
  <c r="E24" i="110"/>
  <c r="E30" i="110" s="1"/>
  <c r="E32" i="110" s="1"/>
  <c r="E33" i="110" s="1"/>
  <c r="C24" i="52103"/>
  <c r="C30" i="52103" s="1"/>
  <c r="C32" i="52103" s="1"/>
  <c r="C33" i="52103" s="1"/>
  <c r="L24" i="52066"/>
  <c r="H168" i="101"/>
  <c r="G242" i="101"/>
  <c r="J242" i="101" s="1"/>
  <c r="J168" i="101"/>
  <c r="G233" i="52097"/>
  <c r="G62" i="52097"/>
  <c r="G53" i="52097"/>
  <c r="G54" i="52097" s="1"/>
  <c r="C209" i="52093"/>
  <c r="C247" i="52093"/>
  <c r="B205" i="52093"/>
  <c r="C247" i="52091"/>
  <c r="B205" i="52091"/>
  <c r="C209" i="52091"/>
  <c r="I162" i="233"/>
  <c r="K162" i="233" s="1"/>
  <c r="C127" i="52098"/>
  <c r="C129" i="52098" s="1"/>
  <c r="C239" i="52098" s="1"/>
  <c r="G129" i="52064"/>
  <c r="C127" i="9"/>
  <c r="C129" i="9" s="1"/>
  <c r="J127" i="52064"/>
  <c r="F62" i="9"/>
  <c r="G236" i="52064"/>
  <c r="J236" i="52064" s="1"/>
  <c r="J62" i="52064"/>
  <c r="H36" i="110"/>
  <c r="L36" i="52100"/>
  <c r="B36" i="52102"/>
  <c r="B28" i="52102"/>
  <c r="G42" i="52100"/>
  <c r="G253" i="52100"/>
  <c r="H28" i="110"/>
  <c r="L28" i="52100"/>
  <c r="I167" i="52102"/>
  <c r="K155" i="52102"/>
  <c r="M155" i="52102" s="1"/>
  <c r="H168" i="52100"/>
  <c r="G242" i="52100"/>
  <c r="J242" i="52100" s="1"/>
  <c r="L242" i="52100" s="1"/>
  <c r="J168" i="52100"/>
  <c r="L168" i="52100" s="1"/>
  <c r="B241" i="52102"/>
  <c r="J184" i="52074"/>
  <c r="J241" i="52074" s="1"/>
  <c r="D62" i="52098"/>
  <c r="D232" i="52098"/>
  <c r="H240" i="52098"/>
  <c r="J153" i="52098"/>
  <c r="J240" i="52098" s="1"/>
  <c r="G240" i="52098"/>
  <c r="J62" i="52087"/>
  <c r="G236" i="52087"/>
  <c r="J236" i="52087" s="1"/>
  <c r="H167" i="52074"/>
  <c r="J155" i="52074"/>
  <c r="D24" i="111"/>
  <c r="D30" i="111" s="1"/>
  <c r="D24" i="52104"/>
  <c r="D30" i="52104" s="1"/>
  <c r="D32" i="52104" s="1"/>
  <c r="D33" i="52104" s="1"/>
  <c r="B24" i="52074"/>
  <c r="B30" i="52074" s="1"/>
  <c r="B32" i="52074" s="1"/>
  <c r="B33" i="52074" s="1"/>
  <c r="L24" i="20"/>
  <c r="G41" i="20"/>
  <c r="G44" i="20" s="1"/>
  <c r="H24" i="52074"/>
  <c r="H30" i="52074" s="1"/>
  <c r="D233" i="111"/>
  <c r="F205" i="52072"/>
  <c r="I205" i="52072" s="1"/>
  <c r="I126" i="233"/>
  <c r="K126" i="233" s="1"/>
  <c r="V146" i="111"/>
  <c r="E236" i="52104"/>
  <c r="E202" i="52104"/>
  <c r="E243" i="52104" s="1"/>
  <c r="H163" i="233"/>
  <c r="V163" i="111"/>
  <c r="E47" i="52098"/>
  <c r="E70" i="233"/>
  <c r="E103" i="233" s="1"/>
  <c r="E238" i="233" s="1"/>
  <c r="N153" i="52104"/>
  <c r="I164" i="233"/>
  <c r="K164" i="233" s="1"/>
  <c r="H98" i="233"/>
  <c r="L35" i="110"/>
  <c r="E35" i="233" s="1"/>
  <c r="H109" i="233"/>
  <c r="I109" i="233"/>
  <c r="K109" i="233" s="1"/>
  <c r="I86" i="233"/>
  <c r="K86" i="233" s="1"/>
  <c r="L70" i="52077"/>
  <c r="I81" i="233"/>
  <c r="K81" i="233" s="1"/>
  <c r="H232" i="52098"/>
  <c r="G232" i="52098"/>
  <c r="L241" i="20"/>
  <c r="V97" i="111"/>
  <c r="E208" i="52098"/>
  <c r="I209" i="52071"/>
  <c r="I212" i="20"/>
  <c r="F211" i="52074"/>
  <c r="I211" i="52074" s="1"/>
  <c r="G211" i="52104"/>
  <c r="I212" i="115"/>
  <c r="F211" i="52077"/>
  <c r="I212" i="52094"/>
  <c r="I212" i="91"/>
  <c r="G211" i="52103"/>
  <c r="I212" i="52091"/>
  <c r="J212" i="52091"/>
  <c r="F215" i="52091"/>
  <c r="I212" i="12"/>
  <c r="F211" i="52076"/>
  <c r="I211" i="52066"/>
  <c r="F215" i="52066"/>
  <c r="I211" i="52081"/>
  <c r="F215" i="52081"/>
  <c r="I211" i="52092"/>
  <c r="F215" i="52092"/>
  <c r="I211" i="52071"/>
  <c r="F215" i="52071"/>
  <c r="I211" i="52064"/>
  <c r="F215" i="52064"/>
  <c r="I211" i="52072"/>
  <c r="F215" i="52072"/>
  <c r="G210" i="52104"/>
  <c r="I211" i="115"/>
  <c r="F215" i="115"/>
  <c r="I211" i="52093"/>
  <c r="F215" i="52093"/>
  <c r="I211" i="52067"/>
  <c r="F215" i="52067"/>
  <c r="F210" i="52084"/>
  <c r="I211" i="48"/>
  <c r="F215" i="48"/>
  <c r="I211" i="52089"/>
  <c r="F215" i="52089"/>
  <c r="I211" i="52079"/>
  <c r="F215" i="52079"/>
  <c r="I211" i="12"/>
  <c r="F210" i="52076"/>
  <c r="F215" i="12"/>
  <c r="G210" i="52083"/>
  <c r="I211" i="105"/>
  <c r="F215" i="105"/>
  <c r="G175" i="93"/>
  <c r="I174" i="93"/>
  <c r="O46" i="52096"/>
  <c r="F215" i="52099"/>
  <c r="G211" i="52083"/>
  <c r="J211" i="52083" s="1"/>
  <c r="I212" i="105"/>
  <c r="I212" i="48"/>
  <c r="F211" i="52084"/>
  <c r="I211" i="52084" s="1"/>
  <c r="J28" i="52096"/>
  <c r="F212" i="32"/>
  <c r="J19" i="52096"/>
  <c r="F212" i="148"/>
  <c r="J43" i="52096"/>
  <c r="F212" i="114"/>
  <c r="I212" i="52064"/>
  <c r="F212" i="21"/>
  <c r="E212" i="9" s="1"/>
  <c r="H212" i="9" s="1"/>
  <c r="J7" i="52096"/>
  <c r="J45" i="52096" s="1"/>
  <c r="J47" i="52096" s="1"/>
  <c r="I211" i="91"/>
  <c r="G210" i="52103"/>
  <c r="F215" i="91"/>
  <c r="I19" i="52096"/>
  <c r="F211" i="148"/>
  <c r="F211" i="114"/>
  <c r="I43" i="52096"/>
  <c r="I211" i="52094"/>
  <c r="F210" i="52077"/>
  <c r="F215" i="52094"/>
  <c r="I28" i="52096"/>
  <c r="F211" i="32"/>
  <c r="I211" i="77"/>
  <c r="F215" i="77"/>
  <c r="I7" i="52096"/>
  <c r="I45" i="52096" s="1"/>
  <c r="F211" i="21"/>
  <c r="I211" i="101"/>
  <c r="F215" i="101"/>
  <c r="I211" i="52088"/>
  <c r="F215" i="52088"/>
  <c r="I211" i="52090"/>
  <c r="F215" i="52090"/>
  <c r="F210" i="52074"/>
  <c r="I211" i="20"/>
  <c r="F215" i="20"/>
  <c r="I211" i="108"/>
  <c r="F215" i="108"/>
  <c r="I211" i="52080"/>
  <c r="F215" i="52080"/>
  <c r="I211" i="52095"/>
  <c r="P211" i="111"/>
  <c r="S211" i="111" s="1"/>
  <c r="G210" i="52075"/>
  <c r="J210" i="52075" s="1"/>
  <c r="F215" i="52095"/>
  <c r="I211" i="52087"/>
  <c r="F215" i="52087"/>
  <c r="F215" i="52100"/>
  <c r="K32" i="111"/>
  <c r="K33" i="111" s="1"/>
  <c r="E251" i="52087"/>
  <c r="M103" i="52104"/>
  <c r="F245" i="52104"/>
  <c r="F208" i="52104"/>
  <c r="H32" i="52076"/>
  <c r="H33" i="52076" s="1"/>
  <c r="C239" i="52083"/>
  <c r="C202" i="52083"/>
  <c r="E32" i="111"/>
  <c r="E33" i="111" s="1"/>
  <c r="G247" i="52082"/>
  <c r="G209" i="52082"/>
  <c r="G217" i="52082" s="1"/>
  <c r="G251" i="52082" s="1"/>
  <c r="E5" i="115"/>
  <c r="E251" i="115"/>
  <c r="I209" i="148"/>
  <c r="C233" i="52075"/>
  <c r="C62" i="52075"/>
  <c r="B62" i="111"/>
  <c r="B235" i="111"/>
  <c r="M242" i="21"/>
  <c r="M236" i="21"/>
  <c r="M129" i="21"/>
  <c r="B32" i="233" l="1"/>
  <c r="B33" i="233" s="1"/>
  <c r="J236" i="21"/>
  <c r="J242" i="21"/>
  <c r="B51" i="233"/>
  <c r="L44" i="20"/>
  <c r="G62" i="20"/>
  <c r="H203" i="52092"/>
  <c r="G245" i="52092"/>
  <c r="J203" i="52092"/>
  <c r="L203" i="52092" s="1"/>
  <c r="G245" i="91"/>
  <c r="L245" i="91" s="1"/>
  <c r="H203" i="91"/>
  <c r="J203" i="91"/>
  <c r="L203" i="91" s="1"/>
  <c r="L245" i="52092"/>
  <c r="G62" i="32"/>
  <c r="L44" i="32"/>
  <c r="G53" i="32"/>
  <c r="H154" i="233"/>
  <c r="H241" i="233" s="1"/>
  <c r="D235" i="52098"/>
  <c r="I241" i="52102"/>
  <c r="K167" i="52102"/>
  <c r="H42" i="110"/>
  <c r="L42" i="52100"/>
  <c r="B42" i="52102"/>
  <c r="F236" i="9"/>
  <c r="C240" i="9"/>
  <c r="C203" i="9"/>
  <c r="C245" i="9" s="1"/>
  <c r="B209" i="52091"/>
  <c r="C217" i="52091"/>
  <c r="C41" i="52084"/>
  <c r="E41" i="110"/>
  <c r="C41" i="52103"/>
  <c r="L41" i="52066"/>
  <c r="B235" i="52083"/>
  <c r="I62" i="52083"/>
  <c r="H62" i="52083"/>
  <c r="I53" i="52083"/>
  <c r="I54" i="52083" s="1"/>
  <c r="I232" i="52083"/>
  <c r="I237" i="52102"/>
  <c r="I202" i="52102"/>
  <c r="I244" i="52102" s="1"/>
  <c r="L42" i="77"/>
  <c r="F42" i="111"/>
  <c r="C42" i="52104"/>
  <c r="C42" i="52076"/>
  <c r="F253" i="111"/>
  <c r="G213" i="77"/>
  <c r="C251" i="52104"/>
  <c r="L238" i="111"/>
  <c r="L203" i="111"/>
  <c r="L245" i="111" s="1"/>
  <c r="J167" i="52077"/>
  <c r="J240" i="52077" s="1"/>
  <c r="H240" i="52077"/>
  <c r="C217" i="148"/>
  <c r="B209" i="148"/>
  <c r="H129" i="12"/>
  <c r="G203" i="12"/>
  <c r="J129" i="12"/>
  <c r="G240" i="12"/>
  <c r="J240" i="12" s="1"/>
  <c r="L240" i="12" s="1"/>
  <c r="E203" i="111"/>
  <c r="E245" i="111" s="1"/>
  <c r="E240" i="111"/>
  <c r="J203" i="111"/>
  <c r="J245" i="111" s="1"/>
  <c r="J242" i="52095"/>
  <c r="L242" i="52095" s="1"/>
  <c r="R28" i="111"/>
  <c r="C253" i="111"/>
  <c r="G213" i="115"/>
  <c r="E251" i="52104"/>
  <c r="R36" i="111"/>
  <c r="H240" i="111"/>
  <c r="H203" i="111"/>
  <c r="H245" i="111" s="1"/>
  <c r="G44" i="52072"/>
  <c r="D41" i="110"/>
  <c r="D41" i="52102"/>
  <c r="L41" i="52072"/>
  <c r="D32" i="52102"/>
  <c r="D33" i="52102" s="1"/>
  <c r="F238" i="9"/>
  <c r="F245" i="233"/>
  <c r="E223" i="52076"/>
  <c r="E253" i="52076"/>
  <c r="H106" i="233"/>
  <c r="V106" i="111"/>
  <c r="D240" i="52077"/>
  <c r="I167" i="52077"/>
  <c r="F247" i="52080"/>
  <c r="F209" i="52080"/>
  <c r="B32" i="52103"/>
  <c r="B33" i="52103" s="1"/>
  <c r="B32" i="52084"/>
  <c r="B33" i="52084" s="1"/>
  <c r="E251" i="52103"/>
  <c r="C253" i="110"/>
  <c r="G213" i="91"/>
  <c r="F233" i="52075"/>
  <c r="F221" i="52075"/>
  <c r="F222" i="52075" s="1"/>
  <c r="F252" i="52075" s="1"/>
  <c r="D239" i="52098"/>
  <c r="D202" i="52098"/>
  <c r="D244" i="52098" s="1"/>
  <c r="H245" i="52082"/>
  <c r="K203" i="52082"/>
  <c r="K245" i="52082" s="1"/>
  <c r="I51" i="233"/>
  <c r="I233" i="233" s="1"/>
  <c r="Q35" i="52096"/>
  <c r="G207" i="52089" s="1"/>
  <c r="Q8" i="52096"/>
  <c r="F207" i="9" s="1"/>
  <c r="Q5" i="52096"/>
  <c r="Q6" i="52096"/>
  <c r="G207" i="52064" s="1"/>
  <c r="Q31" i="52096"/>
  <c r="G207" i="115" s="1"/>
  <c r="Q15" i="52096"/>
  <c r="G207" i="52067" s="1"/>
  <c r="Q10" i="52096"/>
  <c r="G207" i="105" s="1"/>
  <c r="Q42" i="52096"/>
  <c r="G207" i="52080" s="1"/>
  <c r="Q25" i="52096"/>
  <c r="G207" i="52072" s="1"/>
  <c r="Q22" i="52096"/>
  <c r="G207" i="91" s="1"/>
  <c r="Q12" i="52096"/>
  <c r="G207" i="52087" s="1"/>
  <c r="Q23" i="52096"/>
  <c r="G207" i="48" s="1"/>
  <c r="Q17" i="52096"/>
  <c r="G207" i="52079" s="1"/>
  <c r="Q16" i="52096"/>
  <c r="G207" i="52071" s="1"/>
  <c r="Q34" i="52096"/>
  <c r="G207" i="77" s="1"/>
  <c r="Q41" i="52096"/>
  <c r="G207" i="52095" s="1"/>
  <c r="Q14" i="52096"/>
  <c r="G207" i="101" s="1"/>
  <c r="Q44" i="52096"/>
  <c r="Q26" i="52096"/>
  <c r="G207" i="52081" s="1"/>
  <c r="Q29" i="52096"/>
  <c r="K207" i="110" s="1"/>
  <c r="Q20" i="52096"/>
  <c r="N207" i="52097" s="1"/>
  <c r="Q13" i="52096"/>
  <c r="G207" i="52088" s="1"/>
  <c r="Q40" i="52096"/>
  <c r="G207" i="52094" s="1"/>
  <c r="Q33" i="52096"/>
  <c r="G207" i="12" s="1"/>
  <c r="Q39" i="52096"/>
  <c r="G207" i="52093" s="1"/>
  <c r="Q11" i="52096"/>
  <c r="G207" i="108" s="1"/>
  <c r="Q27" i="52096"/>
  <c r="G207" i="52100" s="1"/>
  <c r="Q9" i="52096"/>
  <c r="Q24" i="52096"/>
  <c r="G207" i="52066" s="1"/>
  <c r="Q32" i="52096"/>
  <c r="G207" i="20" s="1"/>
  <c r="Q18" i="52096"/>
  <c r="G207" i="52099" s="1"/>
  <c r="Q21" i="52096"/>
  <c r="Q36" i="52096"/>
  <c r="G207" i="52090" s="1"/>
  <c r="Q38" i="52096"/>
  <c r="G207" i="52092" s="1"/>
  <c r="Q30" i="52096"/>
  <c r="H127" i="52098"/>
  <c r="J127" i="52098" s="1"/>
  <c r="B129" i="52098"/>
  <c r="E217" i="52081"/>
  <c r="L103" i="114"/>
  <c r="H236" i="52097"/>
  <c r="D240" i="52097"/>
  <c r="D203" i="52097"/>
  <c r="D245" i="52097" s="1"/>
  <c r="E32" i="52075"/>
  <c r="E33" i="52075" s="1"/>
  <c r="K233" i="233"/>
  <c r="G245" i="52089"/>
  <c r="L245" i="52089" s="1"/>
  <c r="H203" i="52089"/>
  <c r="L203" i="52089" s="1"/>
  <c r="J203" i="52089"/>
  <c r="V171" i="111"/>
  <c r="I242" i="52083"/>
  <c r="K184" i="52083"/>
  <c r="K242" i="52083" s="1"/>
  <c r="E217" i="52072"/>
  <c r="J129" i="32"/>
  <c r="G240" i="32"/>
  <c r="J240" i="32" s="1"/>
  <c r="L240" i="32" s="1"/>
  <c r="G203" i="32"/>
  <c r="H129" i="32"/>
  <c r="L129" i="32" s="1"/>
  <c r="E32" i="52102"/>
  <c r="E33" i="52102" s="1"/>
  <c r="G60" i="52102"/>
  <c r="G234" i="52102" s="1"/>
  <c r="G235" i="52102"/>
  <c r="J240" i="110"/>
  <c r="M129" i="110"/>
  <c r="M240" i="110" s="1"/>
  <c r="J203" i="110"/>
  <c r="G213" i="52089"/>
  <c r="C252" i="52102"/>
  <c r="G253" i="111"/>
  <c r="G213" i="52094"/>
  <c r="B251" i="52077"/>
  <c r="L253" i="111"/>
  <c r="B42" i="52077"/>
  <c r="L42" i="52094"/>
  <c r="H42" i="52077"/>
  <c r="L42" i="111"/>
  <c r="C32" i="52077"/>
  <c r="C33" i="52077" s="1"/>
  <c r="E232" i="52098"/>
  <c r="E53" i="52098"/>
  <c r="E54" i="52098" s="1"/>
  <c r="F222" i="52103"/>
  <c r="B240" i="52104"/>
  <c r="N167" i="52104"/>
  <c r="B30" i="52104"/>
  <c r="N24" i="52104"/>
  <c r="V172" i="111"/>
  <c r="H172" i="233"/>
  <c r="G213" i="52095"/>
  <c r="B251" i="52075"/>
  <c r="M253" i="111"/>
  <c r="J206" i="52104"/>
  <c r="I206" i="52074"/>
  <c r="P207" i="111"/>
  <c r="S207" i="111" s="1"/>
  <c r="I207" i="114"/>
  <c r="F209" i="114"/>
  <c r="I209" i="114" s="1"/>
  <c r="G206" i="52075"/>
  <c r="G206" i="52102"/>
  <c r="I207" i="32"/>
  <c r="J207" i="110"/>
  <c r="I129" i="52104"/>
  <c r="K127" i="52104"/>
  <c r="M127" i="52104" s="1"/>
  <c r="C238" i="52074"/>
  <c r="C202" i="52074"/>
  <c r="C243" i="52074" s="1"/>
  <c r="H30" i="111"/>
  <c r="J233" i="233"/>
  <c r="M205" i="52097"/>
  <c r="F243" i="52074"/>
  <c r="I202" i="52074"/>
  <c r="I243" i="52074" s="1"/>
  <c r="L41" i="52093"/>
  <c r="D41" i="52077"/>
  <c r="K41" i="111"/>
  <c r="D41" i="52076"/>
  <c r="I127" i="52076"/>
  <c r="D129" i="52076"/>
  <c r="V170" i="111"/>
  <c r="Q185" i="111"/>
  <c r="E202" i="52102"/>
  <c r="E244" i="52102" s="1"/>
  <c r="K167" i="52103"/>
  <c r="K240" i="52103" s="1"/>
  <c r="I240" i="52103"/>
  <c r="M240" i="52103" s="1"/>
  <c r="M167" i="52103"/>
  <c r="G240" i="105"/>
  <c r="J240" i="105" s="1"/>
  <c r="H129" i="105"/>
  <c r="J129" i="105"/>
  <c r="G203" i="105"/>
  <c r="C240" i="52097"/>
  <c r="C203" i="52097"/>
  <c r="C245" i="52097" s="1"/>
  <c r="E217" i="52092"/>
  <c r="I209" i="52092"/>
  <c r="I247" i="52092"/>
  <c r="I236" i="52075"/>
  <c r="K103" i="52075"/>
  <c r="K236" i="52075" s="1"/>
  <c r="L103" i="52095"/>
  <c r="H183" i="233"/>
  <c r="O127" i="52097"/>
  <c r="B129" i="52097"/>
  <c r="B129" i="52082"/>
  <c r="J127" i="52082"/>
  <c r="B217" i="52066"/>
  <c r="C251" i="52066"/>
  <c r="K133" i="233"/>
  <c r="I154" i="233"/>
  <c r="H170" i="233"/>
  <c r="K185" i="110"/>
  <c r="L239" i="110"/>
  <c r="N116" i="110"/>
  <c r="N239" i="110" s="1"/>
  <c r="E116" i="233"/>
  <c r="E239" i="233" s="1"/>
  <c r="F245" i="52077"/>
  <c r="F208" i="52077"/>
  <c r="K202" i="52098"/>
  <c r="K244" i="52098" s="1"/>
  <c r="H205" i="9"/>
  <c r="H247" i="9" s="1"/>
  <c r="D209" i="9"/>
  <c r="D247" i="9"/>
  <c r="I247" i="52080"/>
  <c r="I209" i="52080"/>
  <c r="E217" i="52080"/>
  <c r="I70" i="233"/>
  <c r="K64" i="233"/>
  <c r="L238" i="48"/>
  <c r="H129" i="52088"/>
  <c r="G240" i="52088"/>
  <c r="J240" i="52088" s="1"/>
  <c r="J129" i="52088"/>
  <c r="G203" i="52088"/>
  <c r="E240" i="52082"/>
  <c r="E203" i="52082"/>
  <c r="E217" i="105"/>
  <c r="E221" i="52074"/>
  <c r="E233" i="52074"/>
  <c r="G44" i="52093"/>
  <c r="G243" i="52104"/>
  <c r="J202" i="52104"/>
  <c r="J243" i="52104" s="1"/>
  <c r="G240" i="48"/>
  <c r="J240" i="48" s="1"/>
  <c r="L240" i="48" s="1"/>
  <c r="G203" i="48"/>
  <c r="J129" i="48"/>
  <c r="H129" i="48"/>
  <c r="G246" i="52083"/>
  <c r="G208" i="52083"/>
  <c r="F247" i="52064"/>
  <c r="F209" i="52064"/>
  <c r="E217" i="12"/>
  <c r="H177" i="233"/>
  <c r="V177" i="111"/>
  <c r="C217" i="52095"/>
  <c r="B209" i="52095"/>
  <c r="C217" i="105"/>
  <c r="B209" i="105"/>
  <c r="C202" i="52084"/>
  <c r="C243" i="52084" s="1"/>
  <c r="E217" i="52094"/>
  <c r="V91" i="111"/>
  <c r="H91" i="233"/>
  <c r="F203" i="111"/>
  <c r="F245" i="111" s="1"/>
  <c r="V111" i="111"/>
  <c r="M184" i="52102"/>
  <c r="D253" i="111"/>
  <c r="G213" i="20"/>
  <c r="D251" i="52104"/>
  <c r="E240" i="52097"/>
  <c r="E203" i="52097"/>
  <c r="H30" i="110"/>
  <c r="E42" i="110"/>
  <c r="C42" i="52084"/>
  <c r="C42" i="52103"/>
  <c r="L42" i="52066"/>
  <c r="G44" i="52066"/>
  <c r="H232" i="52083"/>
  <c r="H53" i="52083"/>
  <c r="H54" i="52083" s="1"/>
  <c r="I247" i="108"/>
  <c r="E217" i="52079"/>
  <c r="E251" i="52079" s="1"/>
  <c r="I209" i="52079"/>
  <c r="V114" i="111"/>
  <c r="H114" i="233"/>
  <c r="M238" i="111"/>
  <c r="M203" i="111"/>
  <c r="M245" i="111" s="1"/>
  <c r="F30" i="111"/>
  <c r="F32" i="111" s="1"/>
  <c r="F33" i="111" s="1"/>
  <c r="M237" i="52103"/>
  <c r="J129" i="52089"/>
  <c r="H129" i="52089"/>
  <c r="G240" i="52089"/>
  <c r="J240" i="52089" s="1"/>
  <c r="L240" i="52089" s="1"/>
  <c r="L168" i="52089"/>
  <c r="J129" i="52094"/>
  <c r="L129" i="52094" s="1"/>
  <c r="H129" i="52094"/>
  <c r="G240" i="52094"/>
  <c r="J240" i="52094" s="1"/>
  <c r="L240" i="52094" s="1"/>
  <c r="G203" i="52094"/>
  <c r="J127" i="52077"/>
  <c r="H129" i="52077"/>
  <c r="O103" i="52097"/>
  <c r="Q70" i="52097"/>
  <c r="B209" i="12"/>
  <c r="C217" i="12"/>
  <c r="E41" i="52104"/>
  <c r="C41" i="111"/>
  <c r="L41" i="115"/>
  <c r="C41" i="52074"/>
  <c r="G44" i="115"/>
  <c r="I41" i="52104"/>
  <c r="E30" i="52104"/>
  <c r="E32" i="52104" s="1"/>
  <c r="E33" i="52104" s="1"/>
  <c r="R35" i="111"/>
  <c r="D156" i="233"/>
  <c r="D168" i="233" s="1"/>
  <c r="D242" i="233" s="1"/>
  <c r="Q156" i="111"/>
  <c r="T156" i="111"/>
  <c r="R168" i="111"/>
  <c r="F245" i="52084"/>
  <c r="F208" i="52084"/>
  <c r="E60" i="52098"/>
  <c r="F247" i="52090"/>
  <c r="I247" i="52090" s="1"/>
  <c r="F209" i="52090"/>
  <c r="C217" i="77"/>
  <c r="B209" i="77"/>
  <c r="F247" i="21"/>
  <c r="I247" i="21" s="1"/>
  <c r="F204" i="52098"/>
  <c r="F209" i="21"/>
  <c r="K170" i="233"/>
  <c r="I185" i="233"/>
  <c r="C236" i="9"/>
  <c r="C205" i="9"/>
  <c r="C247" i="9" s="1"/>
  <c r="I103" i="52076"/>
  <c r="I237" i="52076" s="1"/>
  <c r="D237" i="52076"/>
  <c r="I103" i="52077"/>
  <c r="D236" i="52077"/>
  <c r="B42" i="52084"/>
  <c r="F42" i="110"/>
  <c r="L42" i="48"/>
  <c r="B42" i="52103"/>
  <c r="H42" i="52084"/>
  <c r="C41" i="110"/>
  <c r="L41" i="91"/>
  <c r="E41" i="52103"/>
  <c r="L103" i="91"/>
  <c r="B241" i="52083"/>
  <c r="H167" i="52083"/>
  <c r="H241" i="52083" s="1"/>
  <c r="I167" i="52083"/>
  <c r="J204" i="52075"/>
  <c r="J245" i="52075" s="1"/>
  <c r="F208" i="52075"/>
  <c r="F216" i="52075" s="1"/>
  <c r="F245" i="52075"/>
  <c r="D116" i="233"/>
  <c r="D239" i="233" s="1"/>
  <c r="Q116" i="111"/>
  <c r="H105" i="233"/>
  <c r="V105" i="111"/>
  <c r="K103" i="52102"/>
  <c r="K237" i="52102" s="1"/>
  <c r="M237" i="52102" s="1"/>
  <c r="E203" i="110"/>
  <c r="E245" i="110" s="1"/>
  <c r="B236" i="52082"/>
  <c r="J62" i="52082"/>
  <c r="O168" i="52097"/>
  <c r="Q156" i="52097"/>
  <c r="N156" i="52097"/>
  <c r="N168" i="52097" s="1"/>
  <c r="N242" i="52097" s="1"/>
  <c r="C156" i="233"/>
  <c r="C168" i="233" s="1"/>
  <c r="K235" i="52098"/>
  <c r="K60" i="52098"/>
  <c r="E217" i="91"/>
  <c r="I209" i="91"/>
  <c r="B209" i="114"/>
  <c r="C217" i="114"/>
  <c r="C202" i="52098"/>
  <c r="C244" i="52098" s="1"/>
  <c r="E42" i="52075"/>
  <c r="N42" i="111"/>
  <c r="L42" i="52080"/>
  <c r="J243" i="52082"/>
  <c r="L185" i="52082"/>
  <c r="L243" i="52082" s="1"/>
  <c r="I209" i="110"/>
  <c r="I217" i="110" s="1"/>
  <c r="I247" i="110"/>
  <c r="O224" i="111"/>
  <c r="O254" i="111"/>
  <c r="L103" i="77"/>
  <c r="H237" i="52076"/>
  <c r="J103" i="52076"/>
  <c r="J237" i="52076" s="1"/>
  <c r="F247" i="12"/>
  <c r="I247" i="12" s="1"/>
  <c r="F209" i="12"/>
  <c r="I209" i="12" s="1"/>
  <c r="K187" i="233"/>
  <c r="I201" i="233"/>
  <c r="K201" i="233" s="1"/>
  <c r="H187" i="233"/>
  <c r="H201" i="233" s="1"/>
  <c r="K201" i="110"/>
  <c r="V81" i="111"/>
  <c r="H81" i="233"/>
  <c r="L237" i="52077"/>
  <c r="C217" i="48"/>
  <c r="B209" i="48"/>
  <c r="F247" i="52094"/>
  <c r="F209" i="52094"/>
  <c r="I209" i="52094" s="1"/>
  <c r="F208" i="52103"/>
  <c r="F245" i="52103"/>
  <c r="J204" i="52103"/>
  <c r="J245" i="52103" s="1"/>
  <c r="J129" i="20"/>
  <c r="H129" i="20"/>
  <c r="L129" i="20" s="1"/>
  <c r="G240" i="20"/>
  <c r="J240" i="20" s="1"/>
  <c r="L240" i="20" s="1"/>
  <c r="G203" i="20"/>
  <c r="N156" i="110"/>
  <c r="E156" i="233"/>
  <c r="E168" i="233" s="1"/>
  <c r="E242" i="233" s="1"/>
  <c r="K156" i="110"/>
  <c r="K168" i="110" s="1"/>
  <c r="K242" i="110" s="1"/>
  <c r="L168" i="110"/>
  <c r="E252" i="52102"/>
  <c r="G213" i="32"/>
  <c r="B253" i="110"/>
  <c r="B42" i="110"/>
  <c r="L42" i="32"/>
  <c r="E42" i="52102"/>
  <c r="L28" i="110"/>
  <c r="E28" i="233" s="1"/>
  <c r="L36" i="110"/>
  <c r="E36" i="233" s="1"/>
  <c r="J129" i="101"/>
  <c r="G203" i="101"/>
  <c r="H129" i="101"/>
  <c r="G240" i="101"/>
  <c r="J240" i="101" s="1"/>
  <c r="G203" i="52097"/>
  <c r="G245" i="52097" s="1"/>
  <c r="G240" i="52097"/>
  <c r="G223" i="52091"/>
  <c r="G235" i="52091"/>
  <c r="L235" i="52091" s="1"/>
  <c r="G222" i="52091"/>
  <c r="G254" i="52091" s="1"/>
  <c r="L60" i="52091"/>
  <c r="E245" i="52074"/>
  <c r="E208" i="52074"/>
  <c r="E217" i="52093"/>
  <c r="B239" i="52102"/>
  <c r="G202" i="52102"/>
  <c r="G204" i="52102" s="1"/>
  <c r="G239" i="52102"/>
  <c r="J129" i="52102"/>
  <c r="J239" i="52102" s="1"/>
  <c r="K129" i="52102"/>
  <c r="K239" i="52102" s="1"/>
  <c r="I209" i="77"/>
  <c r="C30" i="52102"/>
  <c r="G30" i="111"/>
  <c r="D30" i="52074"/>
  <c r="L30" i="111"/>
  <c r="L41" i="52094"/>
  <c r="B41" i="52077"/>
  <c r="L41" i="111"/>
  <c r="G44" i="52094"/>
  <c r="H41" i="52077"/>
  <c r="G213" i="52092"/>
  <c r="C251" i="52077"/>
  <c r="J253" i="111"/>
  <c r="E5" i="114"/>
  <c r="E251" i="114"/>
  <c r="F233" i="52104"/>
  <c r="F221" i="52104"/>
  <c r="H241" i="52076"/>
  <c r="J167" i="52076"/>
  <c r="J241" i="52076" s="1"/>
  <c r="G213" i="12"/>
  <c r="B251" i="52104"/>
  <c r="E253" i="111"/>
  <c r="N28" i="52104"/>
  <c r="H129" i="52095"/>
  <c r="J129" i="52095"/>
  <c r="G240" i="52095"/>
  <c r="J240" i="52095" s="1"/>
  <c r="L240" i="52095" s="1"/>
  <c r="M30" i="111"/>
  <c r="B30" i="52075"/>
  <c r="D236" i="52097"/>
  <c r="D205" i="52097"/>
  <c r="B209" i="52094"/>
  <c r="C217" i="52094"/>
  <c r="L241" i="110"/>
  <c r="N154" i="110"/>
  <c r="N241" i="110" s="1"/>
  <c r="K154" i="110"/>
  <c r="K241" i="110" s="1"/>
  <c r="G240" i="52072"/>
  <c r="J240" i="52072" s="1"/>
  <c r="L240" i="52072" s="1"/>
  <c r="J129" i="52072"/>
  <c r="H129" i="52072"/>
  <c r="L129" i="52072"/>
  <c r="G203" i="52072"/>
  <c r="L62" i="52091"/>
  <c r="J236" i="52091"/>
  <c r="L236" i="52091" s="1"/>
  <c r="G235" i="52082"/>
  <c r="G223" i="52082"/>
  <c r="B209" i="52090"/>
  <c r="C217" i="52090"/>
  <c r="L184" i="52077"/>
  <c r="C251" i="52089"/>
  <c r="B217" i="52089"/>
  <c r="M103" i="52103"/>
  <c r="M236" i="52103"/>
  <c r="E185" i="233"/>
  <c r="L238" i="115"/>
  <c r="P205" i="111"/>
  <c r="H240" i="52084"/>
  <c r="J167" i="52084"/>
  <c r="J240" i="52084" s="1"/>
  <c r="E251" i="32"/>
  <c r="E5" i="32"/>
  <c r="K103" i="52083"/>
  <c r="K237" i="52083" s="1"/>
  <c r="I237" i="52083"/>
  <c r="G53" i="9"/>
  <c r="G54" i="9" s="1"/>
  <c r="G233" i="9"/>
  <c r="B156" i="233"/>
  <c r="B168" i="233" s="1"/>
  <c r="B242" i="233" s="1"/>
  <c r="F156" i="9"/>
  <c r="I156" i="9"/>
  <c r="I156" i="233"/>
  <c r="V68" i="111"/>
  <c r="M103" i="52102"/>
  <c r="L153" i="52077"/>
  <c r="H87" i="233"/>
  <c r="B53" i="233"/>
  <c r="B54" i="233" s="1"/>
  <c r="B233" i="233"/>
  <c r="G203" i="111"/>
  <c r="G245" i="111" s="1"/>
  <c r="F247" i="52072"/>
  <c r="F209" i="52072"/>
  <c r="D41" i="111"/>
  <c r="B41" i="52074"/>
  <c r="D41" i="52104"/>
  <c r="L41" i="20"/>
  <c r="H41" i="52074"/>
  <c r="H44" i="52074" s="1"/>
  <c r="H46" i="52074" s="1"/>
  <c r="H47" i="52074" s="1"/>
  <c r="D32" i="111"/>
  <c r="D33" i="111" s="1"/>
  <c r="H240" i="52074"/>
  <c r="J167" i="52074"/>
  <c r="J240" i="52074" s="1"/>
  <c r="B252" i="52102"/>
  <c r="G213" i="52100"/>
  <c r="G203" i="52064"/>
  <c r="H129" i="52064"/>
  <c r="G240" i="52064"/>
  <c r="J240" i="52064" s="1"/>
  <c r="J129" i="52064"/>
  <c r="B209" i="52093"/>
  <c r="C217" i="52093"/>
  <c r="G205" i="52097"/>
  <c r="G236" i="52097"/>
  <c r="C44" i="52084"/>
  <c r="C32" i="52084"/>
  <c r="C33" i="52084" s="1"/>
  <c r="G240" i="52066"/>
  <c r="J240" i="52066" s="1"/>
  <c r="L240" i="52066" s="1"/>
  <c r="J129" i="52066"/>
  <c r="H129" i="52066"/>
  <c r="L129" i="52066" s="1"/>
  <c r="G203" i="52066"/>
  <c r="B202" i="52075"/>
  <c r="B243" i="52075" s="1"/>
  <c r="B236" i="52075"/>
  <c r="C32" i="52076"/>
  <c r="C33" i="52076" s="1"/>
  <c r="G44" i="77"/>
  <c r="B236" i="52097"/>
  <c r="O62" i="52097"/>
  <c r="H129" i="52092"/>
  <c r="G240" i="52092"/>
  <c r="J240" i="52092" s="1"/>
  <c r="L240" i="52092" s="1"/>
  <c r="J129" i="52092"/>
  <c r="L129" i="52092" s="1"/>
  <c r="J242" i="52092"/>
  <c r="L242" i="52092"/>
  <c r="B239" i="52076"/>
  <c r="B202" i="52076"/>
  <c r="B244" i="52076" s="1"/>
  <c r="J127" i="52076"/>
  <c r="H129" i="52076"/>
  <c r="N127" i="52104"/>
  <c r="B129" i="52104"/>
  <c r="C217" i="52088"/>
  <c r="B209" i="52088"/>
  <c r="L168" i="52095"/>
  <c r="E42" i="52104"/>
  <c r="C42" i="52074"/>
  <c r="C42" i="111"/>
  <c r="L42" i="115"/>
  <c r="I42" i="52104"/>
  <c r="E44" i="52104"/>
  <c r="H129" i="52090"/>
  <c r="G240" i="52090"/>
  <c r="J240" i="52090" s="1"/>
  <c r="L240" i="52090" s="1"/>
  <c r="J129" i="52090"/>
  <c r="L129" i="52090"/>
  <c r="D238" i="52075"/>
  <c r="D202" i="52075"/>
  <c r="D243" i="52075" s="1"/>
  <c r="F247" i="52066"/>
  <c r="I247" i="52066" s="1"/>
  <c r="F209" i="52066"/>
  <c r="C217" i="52080"/>
  <c r="B209" i="52080"/>
  <c r="I185" i="9"/>
  <c r="G243" i="9"/>
  <c r="I243" i="9" s="1"/>
  <c r="C217" i="52079"/>
  <c r="B209" i="52079"/>
  <c r="H41" i="52084"/>
  <c r="G44" i="48"/>
  <c r="F41" i="110"/>
  <c r="F44" i="110" s="1"/>
  <c r="L41" i="48"/>
  <c r="B41" i="52084"/>
  <c r="B44" i="52084" s="1"/>
  <c r="B41" i="52103"/>
  <c r="B44" i="52103" s="1"/>
  <c r="F32" i="110"/>
  <c r="F33" i="110" s="1"/>
  <c r="H44" i="52084"/>
  <c r="H46" i="52084" s="1"/>
  <c r="H47" i="52084" s="1"/>
  <c r="K127" i="52103"/>
  <c r="M127" i="52103" s="1"/>
  <c r="I129" i="52103"/>
  <c r="H129" i="91"/>
  <c r="G240" i="91"/>
  <c r="J240" i="91" s="1"/>
  <c r="L240" i="91" s="1"/>
  <c r="J129" i="91"/>
  <c r="L129" i="91"/>
  <c r="G62" i="91"/>
  <c r="L44" i="91"/>
  <c r="E42" i="52103"/>
  <c r="M42" i="52103" s="1"/>
  <c r="C42" i="110"/>
  <c r="L42" i="91"/>
  <c r="C217" i="52081"/>
  <c r="B209" i="52081"/>
  <c r="S203" i="111"/>
  <c r="S245" i="111" s="1"/>
  <c r="E252" i="52084"/>
  <c r="E222" i="52084"/>
  <c r="E217" i="52064"/>
  <c r="I209" i="52064"/>
  <c r="I247" i="52064"/>
  <c r="G240" i="52071"/>
  <c r="J240" i="52071" s="1"/>
  <c r="H129" i="52071"/>
  <c r="J129" i="52071"/>
  <c r="G203" i="52071"/>
  <c r="I240" i="52097"/>
  <c r="I203" i="52097"/>
  <c r="I245" i="52097" s="1"/>
  <c r="L156" i="52082"/>
  <c r="J168" i="52082"/>
  <c r="H21" i="233"/>
  <c r="H51" i="233" s="1"/>
  <c r="H233" i="233" s="1"/>
  <c r="G240" i="21"/>
  <c r="H129" i="21"/>
  <c r="J129" i="21"/>
  <c r="G129" i="52098"/>
  <c r="B129" i="9"/>
  <c r="G127" i="9"/>
  <c r="E217" i="101"/>
  <c r="I209" i="101"/>
  <c r="E233" i="52077"/>
  <c r="E221" i="52077"/>
  <c r="E245" i="52077"/>
  <c r="E208" i="52077"/>
  <c r="E216" i="52077" s="1"/>
  <c r="J204" i="52083"/>
  <c r="J246" i="52083" s="1"/>
  <c r="F208" i="52083"/>
  <c r="F246" i="52083"/>
  <c r="G205" i="114"/>
  <c r="G245" i="114"/>
  <c r="L245" i="114" s="1"/>
  <c r="H203" i="114"/>
  <c r="J203" i="114"/>
  <c r="J238" i="114"/>
  <c r="L238" i="114"/>
  <c r="G240" i="108"/>
  <c r="J240" i="108" s="1"/>
  <c r="G203" i="108"/>
  <c r="H129" i="108"/>
  <c r="J129" i="108"/>
  <c r="E202" i="52083"/>
  <c r="E244" i="52083" s="1"/>
  <c r="E239" i="52083"/>
  <c r="N32" i="111"/>
  <c r="N33" i="111" s="1"/>
  <c r="L41" i="52080"/>
  <c r="N41" i="111"/>
  <c r="N44" i="111" s="1"/>
  <c r="E41" i="52075"/>
  <c r="E44" i="52075" s="1"/>
  <c r="G44" i="52080"/>
  <c r="K21" i="233"/>
  <c r="E246" i="52076"/>
  <c r="E208" i="52076"/>
  <c r="E216" i="52076" s="1"/>
  <c r="G203" i="52090"/>
  <c r="E217" i="48"/>
  <c r="I247" i="52072"/>
  <c r="B129" i="110"/>
  <c r="L127" i="110"/>
  <c r="L24" i="110"/>
  <c r="B30" i="110"/>
  <c r="E41" i="52102"/>
  <c r="E44" i="52102" s="1"/>
  <c r="L41" i="32"/>
  <c r="B41" i="110"/>
  <c r="B209" i="52072"/>
  <c r="C217" i="52072"/>
  <c r="C217" i="52064"/>
  <c r="B209" i="52064"/>
  <c r="C217" i="108"/>
  <c r="B209" i="108"/>
  <c r="F247" i="52093"/>
  <c r="I247" i="52093" s="1"/>
  <c r="F209" i="52093"/>
  <c r="I209" i="52093" s="1"/>
  <c r="C32" i="233"/>
  <c r="C33" i="233" s="1"/>
  <c r="C51" i="233"/>
  <c r="C46" i="233"/>
  <c r="C47" i="233" s="1"/>
  <c r="O233" i="52097"/>
  <c r="O53" i="52097"/>
  <c r="O54" i="52097" s="1"/>
  <c r="B217" i="21"/>
  <c r="C251" i="21"/>
  <c r="F247" i="52100"/>
  <c r="F209" i="52100"/>
  <c r="J127" i="233"/>
  <c r="G129" i="233"/>
  <c r="G240" i="77"/>
  <c r="J240" i="77" s="1"/>
  <c r="L240" i="77" s="1"/>
  <c r="H129" i="77"/>
  <c r="L129" i="77"/>
  <c r="J129" i="77"/>
  <c r="B209" i="52067"/>
  <c r="C217" i="52067"/>
  <c r="D42" i="52074"/>
  <c r="L42" i="52089"/>
  <c r="G42" i="111"/>
  <c r="C42" i="52102"/>
  <c r="J41" i="111"/>
  <c r="C41" i="52077"/>
  <c r="C44" i="52077" s="1"/>
  <c r="L41" i="52092"/>
  <c r="G44" i="52092"/>
  <c r="J32" i="111"/>
  <c r="J33" i="111" s="1"/>
  <c r="H62" i="52098"/>
  <c r="B235" i="52098"/>
  <c r="D235" i="52083"/>
  <c r="D204" i="52083"/>
  <c r="L168" i="12"/>
  <c r="E41" i="111"/>
  <c r="B41" i="52076"/>
  <c r="H41" i="52076"/>
  <c r="B41" i="52104"/>
  <c r="L41" i="12"/>
  <c r="G44" i="12"/>
  <c r="D185" i="233"/>
  <c r="M42" i="111"/>
  <c r="B42" i="52075"/>
  <c r="L42" i="52095"/>
  <c r="I207" i="21"/>
  <c r="F206" i="52098"/>
  <c r="I206" i="52098" s="1"/>
  <c r="E207" i="9"/>
  <c r="H207" i="9" s="1"/>
  <c r="F247" i="115"/>
  <c r="F209" i="115"/>
  <c r="I205" i="115"/>
  <c r="G240" i="115"/>
  <c r="J240" i="115" s="1"/>
  <c r="L240" i="115" s="1"/>
  <c r="J129" i="115"/>
  <c r="L129" i="115" s="1"/>
  <c r="H129" i="115"/>
  <c r="G203" i="115"/>
  <c r="R127" i="111"/>
  <c r="C129" i="111"/>
  <c r="H253" i="111"/>
  <c r="D251" i="52075"/>
  <c r="G213" i="52090"/>
  <c r="D42" i="52075"/>
  <c r="L42" i="52090"/>
  <c r="H42" i="111"/>
  <c r="D30" i="52075"/>
  <c r="H41" i="111"/>
  <c r="G44" i="52090"/>
  <c r="D41" i="52075"/>
  <c r="L41" i="52090"/>
  <c r="F54" i="233"/>
  <c r="F223" i="233" s="1"/>
  <c r="F224" i="233" s="1"/>
  <c r="F205" i="233"/>
  <c r="C217" i="52087"/>
  <c r="B209" i="52087"/>
  <c r="C217" i="52100"/>
  <c r="B209" i="52100"/>
  <c r="C217" i="52092"/>
  <c r="B209" i="52092"/>
  <c r="H205" i="52082"/>
  <c r="D129" i="52077"/>
  <c r="D202" i="52077" s="1"/>
  <c r="I127" i="52077"/>
  <c r="L127" i="52077" s="1"/>
  <c r="H129" i="52093"/>
  <c r="J129" i="52093"/>
  <c r="G240" i="52093"/>
  <c r="J240" i="52093" s="1"/>
  <c r="L240" i="52093" s="1"/>
  <c r="G203" i="52093"/>
  <c r="B209" i="91"/>
  <c r="C217" i="91"/>
  <c r="R243" i="111"/>
  <c r="T185" i="111"/>
  <c r="T243" i="111" s="1"/>
  <c r="K238" i="111"/>
  <c r="K203" i="111"/>
  <c r="K245" i="111" s="1"/>
  <c r="F247" i="105"/>
  <c r="F209" i="105"/>
  <c r="F236" i="52097"/>
  <c r="B129" i="52083"/>
  <c r="H127" i="52083"/>
  <c r="I127" i="52083"/>
  <c r="K127" i="52083" s="1"/>
  <c r="C236" i="52097"/>
  <c r="C205" i="52097"/>
  <c r="F253" i="52083"/>
  <c r="F223" i="52083"/>
  <c r="E5" i="77"/>
  <c r="E251" i="77"/>
  <c r="I205" i="52066"/>
  <c r="E217" i="52066"/>
  <c r="I209" i="52066"/>
  <c r="I224" i="110"/>
  <c r="I254" i="110"/>
  <c r="I247" i="52095"/>
  <c r="E217" i="52095"/>
  <c r="I209" i="52095"/>
  <c r="H203" i="52095"/>
  <c r="J203" i="52095"/>
  <c r="L203" i="52095" s="1"/>
  <c r="G245" i="52095"/>
  <c r="L245" i="52095" s="1"/>
  <c r="C217" i="101"/>
  <c r="B209" i="101"/>
  <c r="G245" i="52103"/>
  <c r="G208" i="52103"/>
  <c r="C202" i="52103"/>
  <c r="C243" i="52103" s="1"/>
  <c r="G240" i="148"/>
  <c r="J240" i="148" s="1"/>
  <c r="J129" i="148"/>
  <c r="H129" i="148"/>
  <c r="G203" i="148"/>
  <c r="B236" i="9"/>
  <c r="G62" i="9"/>
  <c r="B241" i="52098"/>
  <c r="H167" i="52098"/>
  <c r="E217" i="52090"/>
  <c r="I209" i="52090"/>
  <c r="C217" i="20"/>
  <c r="B209" i="20"/>
  <c r="L243" i="110"/>
  <c r="N185" i="110"/>
  <c r="J129" i="52079"/>
  <c r="H129" i="52079"/>
  <c r="G203" i="52079"/>
  <c r="G240" i="52079"/>
  <c r="J240" i="52079" s="1"/>
  <c r="J203" i="52097"/>
  <c r="J245" i="52097" s="1"/>
  <c r="J240" i="52097"/>
  <c r="J242" i="52080"/>
  <c r="L242" i="52080" s="1"/>
  <c r="F247" i="52081"/>
  <c r="I247" i="52081" s="1"/>
  <c r="F209" i="52081"/>
  <c r="G44" i="52089"/>
  <c r="D224" i="9"/>
  <c r="D254" i="9"/>
  <c r="I205" i="52080"/>
  <c r="C202" i="52076"/>
  <c r="C244" i="52076" s="1"/>
  <c r="F240" i="52097"/>
  <c r="F203" i="52097"/>
  <c r="F245" i="52097" s="1"/>
  <c r="I247" i="105"/>
  <c r="I205" i="105"/>
  <c r="E217" i="52089"/>
  <c r="I209" i="52089"/>
  <c r="I247" i="52089"/>
  <c r="H123" i="233"/>
  <c r="V123" i="111"/>
  <c r="H242" i="52098"/>
  <c r="J184" i="52098"/>
  <c r="J242" i="52098" s="1"/>
  <c r="G242" i="52098"/>
  <c r="K253" i="111"/>
  <c r="D251" i="52077"/>
  <c r="G213" i="52093"/>
  <c r="D42" i="52077"/>
  <c r="K42" i="111"/>
  <c r="D42" i="52076"/>
  <c r="L42" i="52093"/>
  <c r="V173" i="111"/>
  <c r="H173" i="233"/>
  <c r="J127" i="52084"/>
  <c r="H129" i="52084"/>
  <c r="I247" i="52094"/>
  <c r="Q70" i="111"/>
  <c r="V64" i="111"/>
  <c r="R103" i="111"/>
  <c r="T70" i="111"/>
  <c r="V51" i="111"/>
  <c r="Q233" i="111"/>
  <c r="V233" i="111" s="1"/>
  <c r="B238" i="9"/>
  <c r="G103" i="9"/>
  <c r="C217" i="52071"/>
  <c r="B209" i="52071"/>
  <c r="F247" i="48"/>
  <c r="I247" i="48" s="1"/>
  <c r="F209" i="48"/>
  <c r="I209" i="48" s="1"/>
  <c r="H236" i="52084"/>
  <c r="J103" i="52084"/>
  <c r="J236" i="52084" s="1"/>
  <c r="H202" i="52084"/>
  <c r="O243" i="52097"/>
  <c r="Q185" i="52097"/>
  <c r="Q243" i="52097" s="1"/>
  <c r="E251" i="52091"/>
  <c r="E5" i="52091"/>
  <c r="F234" i="52102"/>
  <c r="F222" i="52102"/>
  <c r="F223" i="52102" s="1"/>
  <c r="F253" i="52102" s="1"/>
  <c r="J62" i="52102"/>
  <c r="J235" i="52102" s="1"/>
  <c r="K103" i="110"/>
  <c r="M237" i="52104"/>
  <c r="J103" i="52077"/>
  <c r="J236" i="52077" s="1"/>
  <c r="H236" i="52077"/>
  <c r="B42" i="52074"/>
  <c r="L42" i="20"/>
  <c r="D42" i="111"/>
  <c r="D44" i="111" s="1"/>
  <c r="D42" i="52104"/>
  <c r="H42" i="52074"/>
  <c r="J129" i="52087"/>
  <c r="H129" i="52087"/>
  <c r="G203" i="52087"/>
  <c r="G240" i="52087"/>
  <c r="J240" i="52087" s="1"/>
  <c r="C240" i="52082"/>
  <c r="C203" i="52082"/>
  <c r="B41" i="52102"/>
  <c r="L41" i="52100"/>
  <c r="H41" i="110"/>
  <c r="B30" i="52102"/>
  <c r="G213" i="52066"/>
  <c r="D253" i="110"/>
  <c r="C251" i="52103"/>
  <c r="H171" i="233"/>
  <c r="E217" i="108"/>
  <c r="E251" i="108" s="1"/>
  <c r="I209" i="108"/>
  <c r="I247" i="52079"/>
  <c r="H110" i="233"/>
  <c r="V110" i="111"/>
  <c r="C41" i="52104"/>
  <c r="C44" i="52104" s="1"/>
  <c r="C41" i="52076"/>
  <c r="C44" i="52076" s="1"/>
  <c r="F41" i="111"/>
  <c r="F44" i="111" s="1"/>
  <c r="L41" i="77"/>
  <c r="M239" i="52102"/>
  <c r="N103" i="52104"/>
  <c r="B202" i="52104"/>
  <c r="B236" i="52104"/>
  <c r="I240" i="52075"/>
  <c r="K167" i="52075"/>
  <c r="K240" i="52075" s="1"/>
  <c r="R241" i="111"/>
  <c r="T154" i="111"/>
  <c r="T241" i="111" s="1"/>
  <c r="Q154" i="111"/>
  <c r="V133" i="111"/>
  <c r="C30" i="111"/>
  <c r="R24" i="111"/>
  <c r="C30" i="52074"/>
  <c r="C32" i="52074" s="1"/>
  <c r="C33" i="52074" s="1"/>
  <c r="I240" i="52104"/>
  <c r="K167" i="52104"/>
  <c r="D42" i="52102"/>
  <c r="D44" i="52102" s="1"/>
  <c r="D42" i="110"/>
  <c r="L42" i="52072"/>
  <c r="E253" i="110"/>
  <c r="G213" i="52072"/>
  <c r="D252" i="52102"/>
  <c r="L103" i="110"/>
  <c r="N70" i="110"/>
  <c r="D95" i="233"/>
  <c r="D103" i="233" s="1"/>
  <c r="D238" i="233" s="1"/>
  <c r="I95" i="233"/>
  <c r="K95" i="233" s="1"/>
  <c r="Q95" i="111"/>
  <c r="T95" i="111"/>
  <c r="B243" i="233"/>
  <c r="J62" i="52081"/>
  <c r="G236" i="52081"/>
  <c r="J236" i="52081" s="1"/>
  <c r="G205" i="52081"/>
  <c r="G60" i="52081"/>
  <c r="V80" i="111"/>
  <c r="I167" i="52076"/>
  <c r="I241" i="52076" s="1"/>
  <c r="D241" i="52076"/>
  <c r="B251" i="52103"/>
  <c r="I251" i="52103" s="1"/>
  <c r="M251" i="52103" s="1"/>
  <c r="H253" i="110"/>
  <c r="G253" i="110"/>
  <c r="G213" i="48"/>
  <c r="C30" i="110"/>
  <c r="E30" i="52103"/>
  <c r="R239" i="111"/>
  <c r="T116" i="111"/>
  <c r="T239" i="111" s="1"/>
  <c r="I116" i="233"/>
  <c r="K105" i="233"/>
  <c r="I236" i="52097"/>
  <c r="I205" i="52097"/>
  <c r="C203" i="110"/>
  <c r="C245" i="110" s="1"/>
  <c r="B209" i="115"/>
  <c r="C217" i="115"/>
  <c r="B209" i="32"/>
  <c r="C217" i="32"/>
  <c r="I247" i="91"/>
  <c r="F204" i="52074"/>
  <c r="F245" i="52074" s="1"/>
  <c r="H129" i="52080"/>
  <c r="L129" i="52080" s="1"/>
  <c r="J129" i="52080"/>
  <c r="G240" i="52080"/>
  <c r="J240" i="52080" s="1"/>
  <c r="L240" i="52080" s="1"/>
  <c r="G203" i="52080"/>
  <c r="N253" i="111"/>
  <c r="G213" i="52080"/>
  <c r="E251" i="52075"/>
  <c r="F247" i="32"/>
  <c r="F209" i="32"/>
  <c r="I209" i="32" s="1"/>
  <c r="S205" i="111"/>
  <c r="S247" i="111" s="1"/>
  <c r="O247" i="111"/>
  <c r="O209" i="111"/>
  <c r="G203" i="77"/>
  <c r="B237" i="52098"/>
  <c r="H103" i="52098"/>
  <c r="B202" i="52098"/>
  <c r="E217" i="20"/>
  <c r="I209" i="20"/>
  <c r="E217" i="52067"/>
  <c r="E251" i="52067" s="1"/>
  <c r="I209" i="52067"/>
  <c r="F208" i="52102"/>
  <c r="F246" i="52102"/>
  <c r="P203" i="52097"/>
  <c r="P245" i="52097" s="1"/>
  <c r="H129" i="52074"/>
  <c r="J127" i="52074"/>
  <c r="D203" i="52082"/>
  <c r="D240" i="52082"/>
  <c r="G209" i="52091"/>
  <c r="G247" i="52091"/>
  <c r="H205" i="52091"/>
  <c r="L205" i="52091" s="1"/>
  <c r="I205" i="52093"/>
  <c r="L209" i="52097"/>
  <c r="L217" i="52097" s="1"/>
  <c r="L247" i="52097"/>
  <c r="P205" i="52097"/>
  <c r="P247" i="52097" s="1"/>
  <c r="L235" i="52097"/>
  <c r="L223" i="52097"/>
  <c r="H74" i="233"/>
  <c r="V74" i="111"/>
  <c r="H129" i="52100"/>
  <c r="L129" i="52100" s="1"/>
  <c r="G240" i="52100"/>
  <c r="G203" i="52100"/>
  <c r="K127" i="52102"/>
  <c r="M127" i="52102" s="1"/>
  <c r="J240" i="52100"/>
  <c r="L240" i="52100" s="1"/>
  <c r="H92" i="233"/>
  <c r="D41" i="52074"/>
  <c r="G41" i="111"/>
  <c r="C41" i="52102"/>
  <c r="L41" i="52089"/>
  <c r="H30" i="52077"/>
  <c r="B30" i="52077"/>
  <c r="J42" i="111"/>
  <c r="J44" i="111" s="1"/>
  <c r="C42" i="52077"/>
  <c r="L42" i="52092"/>
  <c r="J103" i="52082"/>
  <c r="L70" i="52082"/>
  <c r="I247" i="114"/>
  <c r="J239" i="233"/>
  <c r="L42" i="12"/>
  <c r="H42" i="52076"/>
  <c r="B42" i="52076"/>
  <c r="E42" i="111"/>
  <c r="R42" i="111" s="1"/>
  <c r="B42" i="52104"/>
  <c r="M42" i="52104" s="1"/>
  <c r="K127" i="52075"/>
  <c r="I129" i="52075"/>
  <c r="L41" i="52095"/>
  <c r="M41" i="111"/>
  <c r="B41" i="52075"/>
  <c r="G44" i="52095"/>
  <c r="H207" i="52082"/>
  <c r="K207" i="52082" s="1"/>
  <c r="M207" i="52097"/>
  <c r="P207" i="52097" s="1"/>
  <c r="I207" i="148"/>
  <c r="G238" i="233"/>
  <c r="J238" i="233" s="1"/>
  <c r="G203" i="233"/>
  <c r="G245" i="233" s="1"/>
  <c r="G204" i="52104"/>
  <c r="F247" i="52091"/>
  <c r="I247" i="52091" s="1"/>
  <c r="F209" i="52091"/>
  <c r="J205" i="52091"/>
  <c r="H96" i="233"/>
  <c r="V96" i="111"/>
  <c r="F244" i="52098"/>
  <c r="I202" i="52098"/>
  <c r="I244" i="52098" s="1"/>
  <c r="C235" i="52098"/>
  <c r="C204" i="52098"/>
  <c r="L241" i="52077"/>
  <c r="B202" i="52103"/>
  <c r="B243" i="52103" s="1"/>
  <c r="H107" i="233"/>
  <c r="E208" i="52084"/>
  <c r="I204" i="52084"/>
  <c r="I245" i="52084" s="1"/>
  <c r="E245" i="52084"/>
  <c r="F208" i="52076"/>
  <c r="F246" i="52076"/>
  <c r="E202" i="52103"/>
  <c r="E243" i="52103" s="1"/>
  <c r="I247" i="32"/>
  <c r="J129" i="52067"/>
  <c r="G203" i="52067"/>
  <c r="H129" i="52067"/>
  <c r="G240" i="52067"/>
  <c r="J240" i="52067" s="1"/>
  <c r="H240" i="52097"/>
  <c r="H203" i="52097"/>
  <c r="H245" i="52097" s="1"/>
  <c r="B242" i="9"/>
  <c r="G168" i="9"/>
  <c r="E235" i="52083"/>
  <c r="E204" i="52083"/>
  <c r="J205" i="52097"/>
  <c r="J236" i="52097"/>
  <c r="E247" i="9"/>
  <c r="E209" i="9"/>
  <c r="G203" i="21"/>
  <c r="G44" i="52100"/>
  <c r="B202" i="52084"/>
  <c r="B243" i="52084" s="1"/>
  <c r="D202" i="52102"/>
  <c r="D203" i="110"/>
  <c r="D245" i="110" s="1"/>
  <c r="H164" i="233"/>
  <c r="F203" i="110"/>
  <c r="F245" i="110" s="1"/>
  <c r="C202" i="52077"/>
  <c r="C243" i="52077" s="1"/>
  <c r="G236" i="233"/>
  <c r="G60" i="233"/>
  <c r="G235" i="233" s="1"/>
  <c r="G205" i="233"/>
  <c r="F214" i="52076"/>
  <c r="F222" i="52076" s="1"/>
  <c r="L212" i="52091"/>
  <c r="F249" i="52087"/>
  <c r="F222" i="52087"/>
  <c r="F254" i="52087" s="1"/>
  <c r="F217" i="52087"/>
  <c r="F223" i="52087"/>
  <c r="I215" i="52087"/>
  <c r="F249" i="52095"/>
  <c r="F222" i="52095"/>
  <c r="F254" i="52095" s="1"/>
  <c r="I215" i="52095"/>
  <c r="F217" i="52095"/>
  <c r="F223" i="52095"/>
  <c r="I215" i="52080"/>
  <c r="F222" i="52080"/>
  <c r="F217" i="52080"/>
  <c r="F249" i="52080"/>
  <c r="F223" i="52080"/>
  <c r="F249" i="108"/>
  <c r="F222" i="108"/>
  <c r="F254" i="108" s="1"/>
  <c r="F217" i="108"/>
  <c r="I215" i="108"/>
  <c r="F223" i="108"/>
  <c r="F222" i="20"/>
  <c r="F223" i="20"/>
  <c r="I215" i="20"/>
  <c r="F249" i="20"/>
  <c r="F217" i="20"/>
  <c r="I210" i="52074"/>
  <c r="F214" i="52074"/>
  <c r="H211" i="52082"/>
  <c r="M211" i="52097"/>
  <c r="I211" i="148"/>
  <c r="F215" i="148"/>
  <c r="F249" i="91"/>
  <c r="F222" i="91"/>
  <c r="F223" i="91"/>
  <c r="F217" i="91"/>
  <c r="I215" i="91"/>
  <c r="I212" i="114"/>
  <c r="P212" i="111"/>
  <c r="S212" i="111" s="1"/>
  <c r="G211" i="52075"/>
  <c r="M212" i="52097"/>
  <c r="P212" i="52097" s="1"/>
  <c r="H212" i="52082"/>
  <c r="I212" i="148"/>
  <c r="I212" i="32"/>
  <c r="J212" i="110"/>
  <c r="G211" i="52102"/>
  <c r="J211" i="52102" s="1"/>
  <c r="O13" i="52096"/>
  <c r="G211" i="52088" s="1"/>
  <c r="O22" i="52096"/>
  <c r="G211" i="91" s="1"/>
  <c r="O17" i="52096"/>
  <c r="G211" i="52079" s="1"/>
  <c r="O27" i="52096"/>
  <c r="G211" i="52100" s="1"/>
  <c r="O36" i="52096"/>
  <c r="G211" i="52090" s="1"/>
  <c r="O40" i="52096"/>
  <c r="G211" i="52094" s="1"/>
  <c r="O10" i="52096"/>
  <c r="G211" i="105" s="1"/>
  <c r="O12" i="52096"/>
  <c r="G211" i="52087" s="1"/>
  <c r="O31" i="52096"/>
  <c r="G211" i="115" s="1"/>
  <c r="O34" i="52096"/>
  <c r="G211" i="77" s="1"/>
  <c r="O42" i="52096"/>
  <c r="G211" i="52080" s="1"/>
  <c r="O38" i="52096"/>
  <c r="G211" i="52092" s="1"/>
  <c r="O21" i="52096"/>
  <c r="O5" i="52096"/>
  <c r="O6" i="52096"/>
  <c r="G211" i="52064" s="1"/>
  <c r="O39" i="52096"/>
  <c r="G211" i="52093" s="1"/>
  <c r="O41" i="52096"/>
  <c r="G211" i="52095" s="1"/>
  <c r="O25" i="52096"/>
  <c r="G211" i="52072" s="1"/>
  <c r="O33" i="52096"/>
  <c r="G211" i="12" s="1"/>
  <c r="O35" i="52096"/>
  <c r="G211" i="52089" s="1"/>
  <c r="O24" i="52096"/>
  <c r="G211" i="52066" s="1"/>
  <c r="O16" i="52096"/>
  <c r="G211" i="52071" s="1"/>
  <c r="O30" i="52096"/>
  <c r="O15" i="52096"/>
  <c r="G211" i="52067" s="1"/>
  <c r="O26" i="52096"/>
  <c r="G211" i="52081" s="1"/>
  <c r="O32" i="52096"/>
  <c r="G211" i="20" s="1"/>
  <c r="O11" i="52096"/>
  <c r="G211" i="108" s="1"/>
  <c r="O14" i="52096"/>
  <c r="G211" i="101" s="1"/>
  <c r="O23" i="52096"/>
  <c r="G211" i="48" s="1"/>
  <c r="O18" i="52096"/>
  <c r="G211" i="52099" s="1"/>
  <c r="O9" i="52096"/>
  <c r="I175" i="93"/>
  <c r="P46" i="52096"/>
  <c r="F249" i="12"/>
  <c r="F222" i="12"/>
  <c r="F254" i="12" s="1"/>
  <c r="F217" i="12"/>
  <c r="I215" i="12"/>
  <c r="F223" i="12"/>
  <c r="F249" i="52067"/>
  <c r="F222" i="52067"/>
  <c r="F254" i="52067" s="1"/>
  <c r="F217" i="52067"/>
  <c r="F223" i="52067"/>
  <c r="I215" i="52067"/>
  <c r="F249" i="52093"/>
  <c r="F217" i="52093"/>
  <c r="F223" i="52093"/>
  <c r="F222" i="52093"/>
  <c r="F254" i="52093" s="1"/>
  <c r="I215" i="52093"/>
  <c r="F249" i="115"/>
  <c r="F223" i="115"/>
  <c r="F222" i="115"/>
  <c r="F254" i="115" s="1"/>
  <c r="F217" i="115"/>
  <c r="I215" i="115"/>
  <c r="J210" i="52104"/>
  <c r="G214" i="52104"/>
  <c r="F248" i="52076"/>
  <c r="F249" i="52091"/>
  <c r="L249" i="52091" s="1"/>
  <c r="I215" i="52091"/>
  <c r="F222" i="52091"/>
  <c r="J215" i="52091"/>
  <c r="F217" i="52091"/>
  <c r="F223" i="52091"/>
  <c r="L223" i="52091" s="1"/>
  <c r="L215" i="52091"/>
  <c r="J211" i="52104"/>
  <c r="F249" i="52100"/>
  <c r="F217" i="52100"/>
  <c r="F222" i="52100"/>
  <c r="F254" i="52100" s="1"/>
  <c r="F223" i="52100"/>
  <c r="F222" i="52090"/>
  <c r="F223" i="52090"/>
  <c r="I215" i="52090"/>
  <c r="F217" i="52090"/>
  <c r="F249" i="52090"/>
  <c r="F217" i="52088"/>
  <c r="F222" i="52088"/>
  <c r="F254" i="52088" s="1"/>
  <c r="I215" i="52088"/>
  <c r="F223" i="52088"/>
  <c r="F249" i="52088"/>
  <c r="F222" i="101"/>
  <c r="F254" i="101" s="1"/>
  <c r="F223" i="101"/>
  <c r="F249" i="101"/>
  <c r="I215" i="101"/>
  <c r="F217" i="101"/>
  <c r="E211" i="9"/>
  <c r="F210" i="52098"/>
  <c r="I210" i="52098" s="1"/>
  <c r="I211" i="21"/>
  <c r="F215" i="21"/>
  <c r="F249" i="77"/>
  <c r="I215" i="77"/>
  <c r="F217" i="77"/>
  <c r="F222" i="77"/>
  <c r="F254" i="77" s="1"/>
  <c r="F223" i="77"/>
  <c r="G210" i="52102"/>
  <c r="I211" i="32"/>
  <c r="J211" i="110"/>
  <c r="F215" i="32"/>
  <c r="F222" i="52094"/>
  <c r="F254" i="52094" s="1"/>
  <c r="F223" i="52094"/>
  <c r="I215" i="52094"/>
  <c r="F249" i="52094"/>
  <c r="F217" i="52094"/>
  <c r="I211" i="114"/>
  <c r="F215" i="114"/>
  <c r="J210" i="52103"/>
  <c r="G214" i="52103"/>
  <c r="I212" i="21"/>
  <c r="F211" i="52098"/>
  <c r="F222" i="52099"/>
  <c r="F254" i="52099" s="1"/>
  <c r="F223" i="52099"/>
  <c r="F217" i="52099"/>
  <c r="F249" i="52099"/>
  <c r="F223" i="105"/>
  <c r="I215" i="105"/>
  <c r="F217" i="105"/>
  <c r="F222" i="105"/>
  <c r="F254" i="105" s="1"/>
  <c r="F249" i="105"/>
  <c r="J210" i="52083"/>
  <c r="G214" i="52083"/>
  <c r="F249" i="52079"/>
  <c r="I215" i="52079"/>
  <c r="F223" i="52079"/>
  <c r="F222" i="52079"/>
  <c r="F254" i="52079" s="1"/>
  <c r="F217" i="52079"/>
  <c r="F249" i="52089"/>
  <c r="F217" i="52089"/>
  <c r="I215" i="52089"/>
  <c r="F223" i="52089"/>
  <c r="F222" i="52089"/>
  <c r="F254" i="52089" s="1"/>
  <c r="I215" i="48"/>
  <c r="F217" i="48"/>
  <c r="F223" i="48"/>
  <c r="F222" i="48"/>
  <c r="F249" i="48"/>
  <c r="I210" i="52084"/>
  <c r="F214" i="52084"/>
  <c r="F249" i="52072"/>
  <c r="F223" i="52072"/>
  <c r="F222" i="52072"/>
  <c r="F217" i="52072"/>
  <c r="I215" i="52072"/>
  <c r="F249" i="52064"/>
  <c r="F217" i="52064"/>
  <c r="F223" i="52064"/>
  <c r="F222" i="52064"/>
  <c r="F254" i="52064" s="1"/>
  <c r="I215" i="52064"/>
  <c r="F217" i="52071"/>
  <c r="I215" i="52071"/>
  <c r="F222" i="52071"/>
  <c r="F254" i="52071" s="1"/>
  <c r="F249" i="52071"/>
  <c r="F223" i="52071"/>
  <c r="F249" i="52092"/>
  <c r="I215" i="52092"/>
  <c r="F217" i="52092"/>
  <c r="F223" i="52092"/>
  <c r="F222" i="52092"/>
  <c r="I215" i="52081"/>
  <c r="F223" i="52081"/>
  <c r="F249" i="52081"/>
  <c r="F222" i="52081"/>
  <c r="F254" i="52081" s="1"/>
  <c r="F217" i="52081"/>
  <c r="F249" i="52066"/>
  <c r="F217" i="52066"/>
  <c r="F222" i="52066"/>
  <c r="I215" i="52066"/>
  <c r="F223" i="52066"/>
  <c r="J211" i="52103"/>
  <c r="F214" i="52077"/>
  <c r="G212" i="233"/>
  <c r="C244" i="52083"/>
  <c r="C204" i="52083"/>
  <c r="F216" i="52104"/>
  <c r="F249" i="52075"/>
  <c r="F5" i="52075"/>
  <c r="J212" i="233"/>
  <c r="C234" i="52075"/>
  <c r="C204" i="52075"/>
  <c r="L251" i="52097"/>
  <c r="L5" i="52097"/>
  <c r="B205" i="111"/>
  <c r="B236" i="111"/>
  <c r="M240" i="21"/>
  <c r="M203" i="21"/>
  <c r="K204" i="52098" l="1"/>
  <c r="K246" i="52098" s="1"/>
  <c r="J240" i="21"/>
  <c r="J53" i="111"/>
  <c r="J54" i="111" s="1"/>
  <c r="J46" i="111"/>
  <c r="J47" i="111" s="1"/>
  <c r="D53" i="52102"/>
  <c r="D54" i="52102" s="1"/>
  <c r="D46" i="52102"/>
  <c r="D47" i="52102" s="1"/>
  <c r="C46" i="52076"/>
  <c r="C47" i="52076" s="1"/>
  <c r="C53" i="52076"/>
  <c r="C54" i="52076" s="1"/>
  <c r="C46" i="52077"/>
  <c r="C47" i="52077" s="1"/>
  <c r="C53" i="52077"/>
  <c r="C54" i="52077" s="1"/>
  <c r="N53" i="111"/>
  <c r="N54" i="111" s="1"/>
  <c r="N46" i="111"/>
  <c r="N47" i="111" s="1"/>
  <c r="B53" i="52103"/>
  <c r="B54" i="52103" s="1"/>
  <c r="B46" i="52103"/>
  <c r="B47" i="52103" s="1"/>
  <c r="G246" i="52102"/>
  <c r="G208" i="52102"/>
  <c r="J204" i="52102"/>
  <c r="J246" i="52102" s="1"/>
  <c r="F46" i="111"/>
  <c r="F47" i="111" s="1"/>
  <c r="F53" i="111"/>
  <c r="F54" i="111" s="1"/>
  <c r="C53" i="52104"/>
  <c r="C54" i="52104" s="1"/>
  <c r="C46" i="52104"/>
  <c r="C47" i="52104" s="1"/>
  <c r="D46" i="111"/>
  <c r="D47" i="111" s="1"/>
  <c r="D53" i="111"/>
  <c r="D54" i="111" s="1"/>
  <c r="D243" i="52077"/>
  <c r="I202" i="52077"/>
  <c r="I243" i="52077" s="1"/>
  <c r="E53" i="52102"/>
  <c r="E54" i="52102" s="1"/>
  <c r="E46" i="52102"/>
  <c r="E47" i="52102" s="1"/>
  <c r="E46" i="52075"/>
  <c r="E47" i="52075" s="1"/>
  <c r="E53" i="52075"/>
  <c r="E54" i="52075" s="1"/>
  <c r="B46" i="52084"/>
  <c r="B47" i="52084" s="1"/>
  <c r="B53" i="52084"/>
  <c r="B54" i="52084" s="1"/>
  <c r="F46" i="110"/>
  <c r="F47" i="110" s="1"/>
  <c r="F53" i="110"/>
  <c r="F54" i="110" s="1"/>
  <c r="D244" i="52102"/>
  <c r="L44" i="52100"/>
  <c r="G62" i="52100"/>
  <c r="E246" i="52083"/>
  <c r="G242" i="9"/>
  <c r="I168" i="9"/>
  <c r="I242" i="9" s="1"/>
  <c r="G205" i="52067"/>
  <c r="G245" i="52067"/>
  <c r="J203" i="52067"/>
  <c r="H203" i="52067"/>
  <c r="E216" i="52084"/>
  <c r="I208" i="52084"/>
  <c r="C246" i="52098"/>
  <c r="D42" i="233"/>
  <c r="Q42" i="111"/>
  <c r="V42" i="111" s="1"/>
  <c r="H32" i="52077"/>
  <c r="H33" i="52077" s="1"/>
  <c r="H44" i="52077"/>
  <c r="H46" i="52077" s="1"/>
  <c r="H47" i="52077" s="1"/>
  <c r="H203" i="52100"/>
  <c r="G245" i="52100"/>
  <c r="L245" i="52100" s="1"/>
  <c r="J203" i="52100"/>
  <c r="L203" i="52100"/>
  <c r="J247" i="52091"/>
  <c r="L247" i="52091" s="1"/>
  <c r="B244" i="52098"/>
  <c r="H202" i="52098"/>
  <c r="O217" i="111"/>
  <c r="J213" i="52080"/>
  <c r="L213" i="52080" s="1"/>
  <c r="N213" i="111"/>
  <c r="E212" i="52075"/>
  <c r="H203" i="52080"/>
  <c r="G245" i="52080"/>
  <c r="L245" i="52080" s="1"/>
  <c r="J203" i="52080"/>
  <c r="L203" i="52080"/>
  <c r="I247" i="52097"/>
  <c r="E44" i="52103"/>
  <c r="E32" i="52103"/>
  <c r="E33" i="52103" s="1"/>
  <c r="J213" i="48"/>
  <c r="L213" i="48" s="1"/>
  <c r="B212" i="52103"/>
  <c r="F213" i="110"/>
  <c r="B212" i="52084"/>
  <c r="H212" i="52084"/>
  <c r="J212" i="52084" s="1"/>
  <c r="K240" i="52104"/>
  <c r="M167" i="52104"/>
  <c r="C32" i="111"/>
  <c r="C33" i="111" s="1"/>
  <c r="C44" i="111"/>
  <c r="Q241" i="111"/>
  <c r="V241" i="111" s="1"/>
  <c r="V154" i="111"/>
  <c r="B243" i="52104"/>
  <c r="N243" i="52104" s="1"/>
  <c r="N202" i="52104"/>
  <c r="B44" i="52102"/>
  <c r="B32" i="52102"/>
  <c r="B33" i="52102" s="1"/>
  <c r="C245" i="52082"/>
  <c r="C205" i="52082"/>
  <c r="K238" i="110"/>
  <c r="J202" i="52084"/>
  <c r="J243" i="52084" s="1"/>
  <c r="H243" i="52084"/>
  <c r="B217" i="52071"/>
  <c r="C251" i="52071"/>
  <c r="R238" i="111"/>
  <c r="T103" i="111"/>
  <c r="T238" i="111" s="1"/>
  <c r="Q103" i="111"/>
  <c r="V70" i="111"/>
  <c r="J129" i="52084"/>
  <c r="J238" i="52084" s="1"/>
  <c r="H238" i="52084"/>
  <c r="J213" i="52093"/>
  <c r="L213" i="52093" s="1"/>
  <c r="K213" i="111"/>
  <c r="D212" i="52077"/>
  <c r="I212" i="52077" s="1"/>
  <c r="D212" i="52076"/>
  <c r="I212" i="52076" s="1"/>
  <c r="E251" i="52089"/>
  <c r="E5" i="52089"/>
  <c r="F217" i="52102"/>
  <c r="B217" i="20"/>
  <c r="C251" i="20"/>
  <c r="E251" i="52090"/>
  <c r="E5" i="52090"/>
  <c r="G60" i="9"/>
  <c r="G236" i="9"/>
  <c r="I62" i="9"/>
  <c r="I236" i="9" s="1"/>
  <c r="G245" i="148"/>
  <c r="H203" i="148"/>
  <c r="J203" i="148"/>
  <c r="G205" i="148"/>
  <c r="C251" i="101"/>
  <c r="B217" i="101"/>
  <c r="E5" i="52066"/>
  <c r="E251" i="52066"/>
  <c r="C247" i="52097"/>
  <c r="B239" i="52083"/>
  <c r="H129" i="52083"/>
  <c r="B202" i="52083"/>
  <c r="I129" i="52083"/>
  <c r="B217" i="91"/>
  <c r="C251" i="91"/>
  <c r="G245" i="52093"/>
  <c r="L245" i="52093" s="1"/>
  <c r="J203" i="52093"/>
  <c r="H203" i="52093"/>
  <c r="L203" i="52093" s="1"/>
  <c r="H247" i="52082"/>
  <c r="K205" i="52082"/>
  <c r="K247" i="52082" s="1"/>
  <c r="H209" i="52082"/>
  <c r="K209" i="52082" s="1"/>
  <c r="C251" i="52092"/>
  <c r="B217" i="52092"/>
  <c r="B217" i="52100"/>
  <c r="C251" i="52100"/>
  <c r="B217" i="52087"/>
  <c r="C251" i="52087"/>
  <c r="C240" i="111"/>
  <c r="C203" i="111"/>
  <c r="C245" i="111" s="1"/>
  <c r="G245" i="115"/>
  <c r="L245" i="115" s="1"/>
  <c r="H203" i="115"/>
  <c r="J203" i="115"/>
  <c r="I247" i="115"/>
  <c r="L44" i="12"/>
  <c r="G62" i="12"/>
  <c r="M41" i="52104"/>
  <c r="B44" i="52076"/>
  <c r="L44" i="52092"/>
  <c r="G53" i="52092"/>
  <c r="G62" i="52092"/>
  <c r="C251" i="108"/>
  <c r="B217" i="108"/>
  <c r="C251" i="52064"/>
  <c r="B217" i="52064"/>
  <c r="B32" i="110"/>
  <c r="B33" i="110" s="1"/>
  <c r="B44" i="110"/>
  <c r="K127" i="110"/>
  <c r="K129" i="110" s="1"/>
  <c r="K240" i="110" s="1"/>
  <c r="N127" i="110"/>
  <c r="E127" i="233"/>
  <c r="E129" i="233" s="1"/>
  <c r="E240" i="233" s="1"/>
  <c r="L129" i="110"/>
  <c r="G245" i="52090"/>
  <c r="L245" i="52090" s="1"/>
  <c r="H203" i="52090"/>
  <c r="J203" i="52090"/>
  <c r="L203" i="52090" s="1"/>
  <c r="G62" i="52080"/>
  <c r="L44" i="52080"/>
  <c r="G245" i="108"/>
  <c r="H203" i="108"/>
  <c r="G205" i="108"/>
  <c r="J203" i="108"/>
  <c r="J208" i="52083"/>
  <c r="F216" i="52083"/>
  <c r="E5" i="52077"/>
  <c r="E249" i="52077"/>
  <c r="E222" i="52077"/>
  <c r="E252" i="52077"/>
  <c r="B127" i="233"/>
  <c r="B129" i="233" s="1"/>
  <c r="F127" i="9"/>
  <c r="I127" i="9"/>
  <c r="I127" i="233"/>
  <c r="C251" i="52081"/>
  <c r="B217" i="52081"/>
  <c r="I238" i="52103"/>
  <c r="K129" i="52103"/>
  <c r="K238" i="52103" s="1"/>
  <c r="M238" i="52103" s="1"/>
  <c r="I202" i="52103"/>
  <c r="M129" i="52103"/>
  <c r="C251" i="52079"/>
  <c r="B217" i="52079"/>
  <c r="E46" i="52104"/>
  <c r="E47" i="52104" s="1"/>
  <c r="E53" i="52104"/>
  <c r="E54" i="52104" s="1"/>
  <c r="B238" i="52104"/>
  <c r="N238" i="52104" s="1"/>
  <c r="N129" i="52104"/>
  <c r="H239" i="52076"/>
  <c r="J129" i="52076"/>
  <c r="J239" i="52076" s="1"/>
  <c r="H202" i="52076"/>
  <c r="L44" i="77"/>
  <c r="G53" i="77"/>
  <c r="G62" i="77"/>
  <c r="B217" i="52093"/>
  <c r="C251" i="52093"/>
  <c r="H213" i="110"/>
  <c r="J213" i="52100"/>
  <c r="L213" i="52100" s="1"/>
  <c r="B212" i="52102"/>
  <c r="I212" i="52102"/>
  <c r="K212" i="52102" s="1"/>
  <c r="D44" i="52104"/>
  <c r="M32" i="111"/>
  <c r="M33" i="111" s="1"/>
  <c r="M44" i="111"/>
  <c r="I251" i="52104"/>
  <c r="M251" i="52104" s="1"/>
  <c r="N251" i="52104"/>
  <c r="F252" i="52104"/>
  <c r="F222" i="52104"/>
  <c r="J213" i="111"/>
  <c r="C212" i="52077"/>
  <c r="J213" i="52092"/>
  <c r="L213" i="52092" s="1"/>
  <c r="G53" i="52094"/>
  <c r="G62" i="52094"/>
  <c r="L44" i="52094"/>
  <c r="L41" i="52077"/>
  <c r="L44" i="111"/>
  <c r="L32" i="111"/>
  <c r="L33" i="111" s="1"/>
  <c r="G44" i="111"/>
  <c r="G32" i="111"/>
  <c r="G33" i="111" s="1"/>
  <c r="M129" i="52102"/>
  <c r="E5" i="52093"/>
  <c r="E251" i="52093"/>
  <c r="E216" i="52074"/>
  <c r="G245" i="101"/>
  <c r="H203" i="101"/>
  <c r="J203" i="101"/>
  <c r="G205" i="101"/>
  <c r="L42" i="110"/>
  <c r="E42" i="233" s="1"/>
  <c r="B213" i="110"/>
  <c r="E212" i="52102"/>
  <c r="J213" i="32"/>
  <c r="L213" i="32" s="1"/>
  <c r="N168" i="110"/>
  <c r="N242" i="110" s="1"/>
  <c r="L242" i="110"/>
  <c r="H203" i="20"/>
  <c r="G245" i="20"/>
  <c r="L245" i="20" s="1"/>
  <c r="J203" i="20"/>
  <c r="E251" i="91"/>
  <c r="E5" i="91"/>
  <c r="I218" i="110"/>
  <c r="F217" i="52103"/>
  <c r="C242" i="233"/>
  <c r="J60" i="52082"/>
  <c r="J235" i="52082" s="1"/>
  <c r="J236" i="52082"/>
  <c r="L62" i="52082"/>
  <c r="L236" i="52082" s="1"/>
  <c r="Q239" i="111"/>
  <c r="V239" i="111" s="1"/>
  <c r="V116" i="111"/>
  <c r="I243" i="233"/>
  <c r="K243" i="233" s="1"/>
  <c r="K185" i="233"/>
  <c r="F246" i="52098"/>
  <c r="I204" i="52098"/>
  <c r="I246" i="52098" s="1"/>
  <c r="E222" i="52098"/>
  <c r="E234" i="52098"/>
  <c r="L44" i="115"/>
  <c r="G62" i="115"/>
  <c r="O238" i="52097"/>
  <c r="Q103" i="52097"/>
  <c r="Q238" i="52097" s="1"/>
  <c r="L44" i="52066"/>
  <c r="G53" i="52066"/>
  <c r="G62" i="52066"/>
  <c r="E245" i="52097"/>
  <c r="E205" i="52097"/>
  <c r="L129" i="48"/>
  <c r="H203" i="48"/>
  <c r="G245" i="48"/>
  <c r="L245" i="48" s="1"/>
  <c r="J203" i="48"/>
  <c r="L203" i="48"/>
  <c r="G53" i="52093"/>
  <c r="L44" i="52093"/>
  <c r="G62" i="52093"/>
  <c r="E252" i="52074"/>
  <c r="E222" i="52074"/>
  <c r="E251" i="105"/>
  <c r="F217" i="52083"/>
  <c r="L218" i="52097"/>
  <c r="E5" i="52080"/>
  <c r="E251" i="52080"/>
  <c r="H209" i="9"/>
  <c r="D217" i="9"/>
  <c r="K243" i="110"/>
  <c r="N243" i="110" s="1"/>
  <c r="B203" i="52082"/>
  <c r="B240" i="52082"/>
  <c r="C127" i="233"/>
  <c r="C129" i="233" s="1"/>
  <c r="C240" i="233" s="1"/>
  <c r="Q127" i="52097"/>
  <c r="N127" i="52097"/>
  <c r="N129" i="52097" s="1"/>
  <c r="O129" i="52097"/>
  <c r="H203" i="105"/>
  <c r="G245" i="105"/>
  <c r="G205" i="105"/>
  <c r="J203" i="105"/>
  <c r="Q243" i="111"/>
  <c r="V243" i="111" s="1"/>
  <c r="V185" i="111"/>
  <c r="D239" i="52076"/>
  <c r="D202" i="52076"/>
  <c r="I129" i="52076"/>
  <c r="I239" i="52076" s="1"/>
  <c r="D44" i="52076"/>
  <c r="D44" i="52077"/>
  <c r="M247" i="52097"/>
  <c r="M209" i="52097"/>
  <c r="P209" i="52097" s="1"/>
  <c r="G207" i="233"/>
  <c r="J207" i="233" s="1"/>
  <c r="M207" i="110"/>
  <c r="G208" i="52075"/>
  <c r="J208" i="52075" s="1"/>
  <c r="J206" i="52075"/>
  <c r="J213" i="52095"/>
  <c r="L213" i="52095" s="1"/>
  <c r="M213" i="111"/>
  <c r="I212" i="52075"/>
  <c r="K212" i="52075" s="1"/>
  <c r="B212" i="52075"/>
  <c r="B44" i="52104"/>
  <c r="B32" i="52104"/>
  <c r="B33" i="52104" s="1"/>
  <c r="N30" i="52104"/>
  <c r="M240" i="52104"/>
  <c r="N240" i="52104"/>
  <c r="Q213" i="111"/>
  <c r="B212" i="52077"/>
  <c r="L213" i="111"/>
  <c r="H212" i="52077"/>
  <c r="J212" i="52077" s="1"/>
  <c r="J213" i="52094"/>
  <c r="L213" i="52094" s="1"/>
  <c r="J245" i="110"/>
  <c r="J205" i="110"/>
  <c r="M203" i="110"/>
  <c r="M245" i="110" s="1"/>
  <c r="H203" i="32"/>
  <c r="L203" i="32" s="1"/>
  <c r="G245" i="32"/>
  <c r="L245" i="32" s="1"/>
  <c r="J203" i="32"/>
  <c r="E5" i="52072"/>
  <c r="E251" i="52072"/>
  <c r="I209" i="52081"/>
  <c r="H129" i="52098"/>
  <c r="B239" i="52098"/>
  <c r="Q43" i="52096"/>
  <c r="Q207" i="111" s="1"/>
  <c r="H207" i="233" s="1"/>
  <c r="G207" i="114"/>
  <c r="D206" i="52075"/>
  <c r="H207" i="52090"/>
  <c r="H207" i="111"/>
  <c r="J207" i="52090"/>
  <c r="F207" i="52082"/>
  <c r="F209" i="52082" s="1"/>
  <c r="G209" i="52099"/>
  <c r="J207" i="52099"/>
  <c r="K207" i="52097"/>
  <c r="K209" i="52097" s="1"/>
  <c r="H207" i="52099"/>
  <c r="C206" i="52103"/>
  <c r="E207" i="110"/>
  <c r="H207" i="52066"/>
  <c r="C206" i="52084"/>
  <c r="J207" i="52066"/>
  <c r="L207" i="52066" s="1"/>
  <c r="H207" i="52100"/>
  <c r="H207" i="110"/>
  <c r="B206" i="52102"/>
  <c r="J207" i="52100"/>
  <c r="L207" i="52100" s="1"/>
  <c r="D206" i="52076"/>
  <c r="I206" i="52076" s="1"/>
  <c r="D206" i="52077"/>
  <c r="I206" i="52077" s="1"/>
  <c r="J207" i="52093"/>
  <c r="H207" i="52093"/>
  <c r="K207" i="111"/>
  <c r="H206" i="52077"/>
  <c r="J206" i="52077" s="1"/>
  <c r="B206" i="52077"/>
  <c r="H207" i="52094"/>
  <c r="L207" i="111"/>
  <c r="J207" i="52094"/>
  <c r="G207" i="110"/>
  <c r="D206" i="52084"/>
  <c r="J207" i="52081"/>
  <c r="H207" i="52081"/>
  <c r="D206" i="52103"/>
  <c r="J207" i="101"/>
  <c r="G207" i="52097"/>
  <c r="H207" i="101"/>
  <c r="D207" i="52082"/>
  <c r="J207" i="77"/>
  <c r="C206" i="52076"/>
  <c r="H207" i="77"/>
  <c r="L207" i="77" s="1"/>
  <c r="C206" i="52104"/>
  <c r="F207" i="111"/>
  <c r="H207" i="52079"/>
  <c r="C206" i="52083"/>
  <c r="J207" i="52079"/>
  <c r="J207" i="52097"/>
  <c r="E207" i="52097"/>
  <c r="C207" i="52082"/>
  <c r="J207" i="52087"/>
  <c r="H207" i="52087"/>
  <c r="H207" i="52072"/>
  <c r="D207" i="110"/>
  <c r="D206" i="52102"/>
  <c r="J207" i="52072"/>
  <c r="L207" i="52072" s="1"/>
  <c r="J207" i="105"/>
  <c r="H207" i="105"/>
  <c r="B206" i="52083"/>
  <c r="C207" i="52097"/>
  <c r="C209" i="52097" s="1"/>
  <c r="C206" i="52074"/>
  <c r="E206" i="52104"/>
  <c r="J207" i="115"/>
  <c r="H207" i="115"/>
  <c r="L207" i="115" s="1"/>
  <c r="I206" i="52104"/>
  <c r="K206" i="52104" s="1"/>
  <c r="C207" i="111"/>
  <c r="G207" i="21"/>
  <c r="Q7" i="52096"/>
  <c r="J207" i="52089"/>
  <c r="H207" i="52089"/>
  <c r="G207" i="111"/>
  <c r="C206" i="52102"/>
  <c r="D206" i="52074"/>
  <c r="C213" i="110"/>
  <c r="I212" i="52103"/>
  <c r="K212" i="52103" s="1"/>
  <c r="E212" i="52103"/>
  <c r="J213" i="91"/>
  <c r="L213" i="91" s="1"/>
  <c r="I240" i="52077"/>
  <c r="L167" i="52077"/>
  <c r="J203" i="233"/>
  <c r="J245" i="233"/>
  <c r="L44" i="52072"/>
  <c r="G62" i="52072"/>
  <c r="G53" i="52072"/>
  <c r="R253" i="111"/>
  <c r="L129" i="12"/>
  <c r="C251" i="148"/>
  <c r="B217" i="148"/>
  <c r="K62" i="52083"/>
  <c r="K235" i="52083" s="1"/>
  <c r="I60" i="52083"/>
  <c r="I234" i="52083" s="1"/>
  <c r="I235" i="52083"/>
  <c r="C44" i="52103"/>
  <c r="K241" i="52102"/>
  <c r="M241" i="52102" s="1"/>
  <c r="M167" i="52102"/>
  <c r="D204" i="52098"/>
  <c r="G205" i="32"/>
  <c r="G236" i="32"/>
  <c r="J236" i="32" s="1"/>
  <c r="L236" i="32" s="1"/>
  <c r="G60" i="32"/>
  <c r="J62" i="32"/>
  <c r="L62" i="32" s="1"/>
  <c r="G205" i="20"/>
  <c r="G236" i="20"/>
  <c r="J236" i="20" s="1"/>
  <c r="L236" i="20" s="1"/>
  <c r="G60" i="20"/>
  <c r="D62" i="52104"/>
  <c r="J62" i="20"/>
  <c r="L62" i="20" s="1"/>
  <c r="G209" i="233"/>
  <c r="G247" i="233"/>
  <c r="H203" i="21"/>
  <c r="G245" i="21"/>
  <c r="G202" i="52098"/>
  <c r="J203" i="21"/>
  <c r="G205" i="21"/>
  <c r="J247" i="52097"/>
  <c r="J209" i="52097"/>
  <c r="I209" i="52091"/>
  <c r="J209" i="52091"/>
  <c r="G208" i="52104"/>
  <c r="J208" i="52104" s="1"/>
  <c r="G245" i="52104"/>
  <c r="J204" i="52104"/>
  <c r="J245" i="52104" s="1"/>
  <c r="G62" i="52095"/>
  <c r="L44" i="52095"/>
  <c r="G53" i="52095"/>
  <c r="I238" i="52075"/>
  <c r="K129" i="52075"/>
  <c r="K238" i="52075" s="1"/>
  <c r="I202" i="52075"/>
  <c r="J238" i="52082"/>
  <c r="L103" i="52082"/>
  <c r="L238" i="52082" s="1"/>
  <c r="B44" i="52077"/>
  <c r="B32" i="52077"/>
  <c r="B33" i="52077" s="1"/>
  <c r="L254" i="52097"/>
  <c r="L224" i="52097"/>
  <c r="G217" i="52091"/>
  <c r="H209" i="52091"/>
  <c r="L209" i="52091" s="1"/>
  <c r="D245" i="52082"/>
  <c r="D205" i="52082"/>
  <c r="J129" i="52074"/>
  <c r="J238" i="52074" s="1"/>
  <c r="H238" i="52074"/>
  <c r="H202" i="52074"/>
  <c r="F216" i="52102"/>
  <c r="J208" i="52102"/>
  <c r="E217" i="52074"/>
  <c r="E251" i="20"/>
  <c r="F217" i="52104"/>
  <c r="E5" i="20"/>
  <c r="G237" i="52098"/>
  <c r="H237" i="52098"/>
  <c r="J103" i="52098"/>
  <c r="J237" i="52098" s="1"/>
  <c r="G245" i="77"/>
  <c r="L245" i="77" s="1"/>
  <c r="H203" i="77"/>
  <c r="J203" i="77"/>
  <c r="B217" i="32"/>
  <c r="C251" i="32"/>
  <c r="B217" i="115"/>
  <c r="C251" i="115"/>
  <c r="I239" i="233"/>
  <c r="K239" i="233" s="1"/>
  <c r="K116" i="233"/>
  <c r="C32" i="110"/>
  <c r="C33" i="110" s="1"/>
  <c r="C44" i="110"/>
  <c r="D60" i="52084"/>
  <c r="G235" i="52081"/>
  <c r="G60" i="110"/>
  <c r="D60" i="52103"/>
  <c r="G209" i="52081"/>
  <c r="H209" i="52081" s="1"/>
  <c r="J205" i="52081"/>
  <c r="G247" i="52081"/>
  <c r="H205" i="52081"/>
  <c r="V95" i="111"/>
  <c r="H95" i="233"/>
  <c r="H103" i="233" s="1"/>
  <c r="L238" i="110"/>
  <c r="N103" i="110"/>
  <c r="N238" i="110" s="1"/>
  <c r="L203" i="110"/>
  <c r="L245" i="110" s="1"/>
  <c r="D212" i="52102"/>
  <c r="D213" i="110"/>
  <c r="J213" i="52072"/>
  <c r="L213" i="52072" s="1"/>
  <c r="Q24" i="111"/>
  <c r="V24" i="111" s="1"/>
  <c r="D24" i="233"/>
  <c r="R30" i="111"/>
  <c r="N236" i="52104"/>
  <c r="M236" i="52104"/>
  <c r="C212" i="52103"/>
  <c r="J213" i="52066"/>
  <c r="L213" i="52066" s="1"/>
  <c r="C212" i="52084"/>
  <c r="E213" i="110"/>
  <c r="M41" i="52102"/>
  <c r="J203" i="52087"/>
  <c r="H203" i="52087"/>
  <c r="G245" i="52087"/>
  <c r="G205" i="52087"/>
  <c r="G238" i="9"/>
  <c r="I103" i="9"/>
  <c r="I238" i="9" s="1"/>
  <c r="F254" i="233"/>
  <c r="L44" i="52089"/>
  <c r="G62" i="52089"/>
  <c r="G53" i="52089"/>
  <c r="G245" i="52079"/>
  <c r="H203" i="52079"/>
  <c r="J203" i="52079"/>
  <c r="G205" i="52079"/>
  <c r="G241" i="52098"/>
  <c r="H241" i="52098"/>
  <c r="J167" i="52098"/>
  <c r="J241" i="52098" s="1"/>
  <c r="E5" i="52095"/>
  <c r="O218" i="111"/>
  <c r="E251" i="52095"/>
  <c r="F217" i="52075"/>
  <c r="F205" i="52097"/>
  <c r="L129" i="52093"/>
  <c r="D238" i="52077"/>
  <c r="I129" i="52077"/>
  <c r="I238" i="52077" s="1"/>
  <c r="F247" i="233"/>
  <c r="J247" i="233" s="1"/>
  <c r="F209" i="233"/>
  <c r="J205" i="233"/>
  <c r="L44" i="52090"/>
  <c r="G62" i="52090"/>
  <c r="G53" i="52090"/>
  <c r="D44" i="52075"/>
  <c r="D32" i="52075"/>
  <c r="D33" i="52075" s="1"/>
  <c r="D212" i="52075"/>
  <c r="J213" i="52090"/>
  <c r="L213" i="52090" s="1"/>
  <c r="H213" i="111"/>
  <c r="D127" i="233"/>
  <c r="D129" i="233" s="1"/>
  <c r="D240" i="233" s="1"/>
  <c r="Q127" i="111"/>
  <c r="T127" i="111"/>
  <c r="R129" i="111"/>
  <c r="I209" i="115"/>
  <c r="D243" i="233"/>
  <c r="D203" i="233"/>
  <c r="D245" i="233" s="1"/>
  <c r="H44" i="52076"/>
  <c r="H53" i="52076" s="1"/>
  <c r="H54" i="52076" s="1"/>
  <c r="E44" i="111"/>
  <c r="D246" i="52083"/>
  <c r="B204" i="52098"/>
  <c r="J62" i="52098"/>
  <c r="J235" i="52098" s="1"/>
  <c r="G235" i="52098"/>
  <c r="H60" i="52098"/>
  <c r="H235" i="52098"/>
  <c r="M42" i="52102"/>
  <c r="C251" i="52067"/>
  <c r="B217" i="52067"/>
  <c r="J129" i="233"/>
  <c r="G240" i="233"/>
  <c r="J240" i="233" s="1"/>
  <c r="C233" i="233"/>
  <c r="C53" i="233"/>
  <c r="C54" i="233" s="1"/>
  <c r="C251" i="52072"/>
  <c r="B217" i="52072"/>
  <c r="L41" i="110"/>
  <c r="E41" i="233" s="1"/>
  <c r="E24" i="233"/>
  <c r="E30" i="233" s="1"/>
  <c r="L30" i="110"/>
  <c r="B240" i="110"/>
  <c r="B203" i="110"/>
  <c r="B245" i="110" s="1"/>
  <c r="E251" i="48"/>
  <c r="E5" i="48"/>
  <c r="E217" i="52084"/>
  <c r="E5" i="52076"/>
  <c r="E250" i="52076"/>
  <c r="L203" i="114"/>
  <c r="H205" i="114"/>
  <c r="G247" i="114"/>
  <c r="J247" i="114" s="1"/>
  <c r="L247" i="114" s="1"/>
  <c r="J205" i="114"/>
  <c r="G209" i="114"/>
  <c r="E251" i="101"/>
  <c r="G218" i="52082"/>
  <c r="B240" i="9"/>
  <c r="G129" i="9"/>
  <c r="B203" i="9"/>
  <c r="J242" i="52082"/>
  <c r="L168" i="52082"/>
  <c r="L242" i="52082" s="1"/>
  <c r="H203" i="52071"/>
  <c r="G245" i="52071"/>
  <c r="J203" i="52071"/>
  <c r="G205" i="52071"/>
  <c r="D218" i="9"/>
  <c r="F218" i="233" s="1"/>
  <c r="E251" i="52064"/>
  <c r="E216" i="52098"/>
  <c r="C62" i="110"/>
  <c r="G60" i="91"/>
  <c r="G205" i="91"/>
  <c r="J62" i="91"/>
  <c r="L62" i="91" s="1"/>
  <c r="G236" i="91"/>
  <c r="J236" i="91" s="1"/>
  <c r="L236" i="91" s="1"/>
  <c r="I62" i="52103"/>
  <c r="G53" i="48"/>
  <c r="H53" i="52084" s="1"/>
  <c r="H54" i="52084" s="1"/>
  <c r="L44" i="48"/>
  <c r="G62" i="48"/>
  <c r="G203" i="9"/>
  <c r="B217" i="52080"/>
  <c r="C251" i="52080"/>
  <c r="C44" i="52074"/>
  <c r="C251" i="52088"/>
  <c r="B217" i="52088"/>
  <c r="N62" i="52097"/>
  <c r="N236" i="52097" s="1"/>
  <c r="O236" i="52097"/>
  <c r="O60" i="52097"/>
  <c r="Q62" i="52097"/>
  <c r="Q236" i="52097" s="1"/>
  <c r="G245" i="52066"/>
  <c r="L245" i="52066" s="1"/>
  <c r="H203" i="52066"/>
  <c r="J203" i="52066"/>
  <c r="C46" i="52084"/>
  <c r="C47" i="52084" s="1"/>
  <c r="C53" i="52084"/>
  <c r="C54" i="52084" s="1"/>
  <c r="G247" i="52097"/>
  <c r="G209" i="52097"/>
  <c r="H203" i="52064"/>
  <c r="G245" i="52064"/>
  <c r="J203" i="52064"/>
  <c r="G205" i="52064"/>
  <c r="I252" i="52102"/>
  <c r="M252" i="52102" s="1"/>
  <c r="B44" i="52074"/>
  <c r="K156" i="233"/>
  <c r="I168" i="233"/>
  <c r="F168" i="9"/>
  <c r="F242" i="9" s="1"/>
  <c r="H156" i="233"/>
  <c r="H168" i="233" s="1"/>
  <c r="H242" i="233" s="1"/>
  <c r="P247" i="111"/>
  <c r="P209" i="111"/>
  <c r="S209" i="111" s="1"/>
  <c r="E243" i="233"/>
  <c r="E203" i="233"/>
  <c r="E245" i="233" s="1"/>
  <c r="C251" i="52090"/>
  <c r="B217" i="52090"/>
  <c r="G224" i="52082"/>
  <c r="G254" i="52082"/>
  <c r="H203" i="52072"/>
  <c r="G245" i="52072"/>
  <c r="L245" i="52072" s="1"/>
  <c r="J203" i="52072"/>
  <c r="L203" i="52072" s="1"/>
  <c r="B217" i="52094"/>
  <c r="C251" i="52094"/>
  <c r="D247" i="52097"/>
  <c r="B32" i="52075"/>
  <c r="B33" i="52075" s="1"/>
  <c r="B44" i="52075"/>
  <c r="L129" i="52095"/>
  <c r="B212" i="52076"/>
  <c r="B212" i="52104"/>
  <c r="H212" i="52076"/>
  <c r="J212" i="52076" s="1"/>
  <c r="J213" i="12"/>
  <c r="L213" i="12" s="1"/>
  <c r="E213" i="111"/>
  <c r="D32" i="52074"/>
  <c r="D33" i="52074" s="1"/>
  <c r="D44" i="52074"/>
  <c r="C32" i="52102"/>
  <c r="C33" i="52102" s="1"/>
  <c r="C44" i="52102"/>
  <c r="G244" i="52102"/>
  <c r="K202" i="52102"/>
  <c r="K244" i="52102" s="1"/>
  <c r="J202" i="52102"/>
  <c r="J244" i="52102" s="1"/>
  <c r="I204" i="52074"/>
  <c r="I245" i="52074" s="1"/>
  <c r="L253" i="110"/>
  <c r="E253" i="233" s="1"/>
  <c r="F216" i="52103"/>
  <c r="J208" i="52103"/>
  <c r="C251" i="48"/>
  <c r="B217" i="48"/>
  <c r="I251" i="110"/>
  <c r="I5" i="110"/>
  <c r="B217" i="114"/>
  <c r="C251" i="114"/>
  <c r="O242" i="52097"/>
  <c r="Q168" i="52097"/>
  <c r="Q242" i="52097" s="1"/>
  <c r="H116" i="233"/>
  <c r="H239" i="233" s="1"/>
  <c r="I241" i="52083"/>
  <c r="K167" i="52083"/>
  <c r="K241" i="52083" s="1"/>
  <c r="M41" i="52103"/>
  <c r="L236" i="52077"/>
  <c r="I236" i="52077"/>
  <c r="L103" i="52077"/>
  <c r="F208" i="52098"/>
  <c r="I208" i="52098" s="1"/>
  <c r="I209" i="21"/>
  <c r="B217" i="77"/>
  <c r="C251" i="77"/>
  <c r="R242" i="111"/>
  <c r="T168" i="111"/>
  <c r="T242" i="111" s="1"/>
  <c r="Q168" i="111"/>
  <c r="V156" i="111"/>
  <c r="Q35" i="111"/>
  <c r="V35" i="111" s="1"/>
  <c r="D35" i="233"/>
  <c r="R41" i="111"/>
  <c r="B217" i="12"/>
  <c r="C251" i="12"/>
  <c r="H238" i="52077"/>
  <c r="J129" i="52077"/>
  <c r="J238" i="52077" s="1"/>
  <c r="H202" i="52077"/>
  <c r="J203" i="52094"/>
  <c r="G245" i="52094"/>
  <c r="L245" i="52094" s="1"/>
  <c r="H203" i="52094"/>
  <c r="L203" i="52094" s="1"/>
  <c r="L129" i="52089"/>
  <c r="H44" i="110"/>
  <c r="H32" i="110"/>
  <c r="H33" i="110" s="1"/>
  <c r="J213" i="20"/>
  <c r="D212" i="52104"/>
  <c r="B212" i="52074"/>
  <c r="D213" i="111"/>
  <c r="L213" i="20"/>
  <c r="E251" i="52094"/>
  <c r="E5" i="52094"/>
  <c r="E217" i="52077"/>
  <c r="C251" i="105"/>
  <c r="B217" i="105"/>
  <c r="C251" i="52095"/>
  <c r="B217" i="52095"/>
  <c r="E5" i="12"/>
  <c r="E217" i="52076"/>
  <c r="E251" i="12"/>
  <c r="I209" i="105"/>
  <c r="E245" i="52082"/>
  <c r="E205" i="52082"/>
  <c r="J203" i="52088"/>
  <c r="G245" i="52088"/>
  <c r="H203" i="52088"/>
  <c r="G205" i="52088"/>
  <c r="I103" i="233"/>
  <c r="K70" i="233"/>
  <c r="I241" i="233"/>
  <c r="K241" i="233" s="1"/>
  <c r="K154" i="233"/>
  <c r="J129" i="52082"/>
  <c r="J203" i="52082" s="1"/>
  <c r="L127" i="52082"/>
  <c r="B203" i="52097"/>
  <c r="B240" i="52097"/>
  <c r="E5" i="52092"/>
  <c r="E251" i="52092"/>
  <c r="K44" i="111"/>
  <c r="L203" i="115"/>
  <c r="H44" i="111"/>
  <c r="H32" i="111"/>
  <c r="H33" i="111" s="1"/>
  <c r="K129" i="52104"/>
  <c r="I202" i="52104"/>
  <c r="I238" i="52104"/>
  <c r="J206" i="52102"/>
  <c r="F208" i="52074"/>
  <c r="I208" i="52074" s="1"/>
  <c r="I251" i="52075"/>
  <c r="H185" i="233"/>
  <c r="H243" i="233" s="1"/>
  <c r="F223" i="52103"/>
  <c r="F252" i="52103"/>
  <c r="L42" i="52077"/>
  <c r="H251" i="52077"/>
  <c r="L251" i="52077" s="1"/>
  <c r="H212" i="52074"/>
  <c r="J212" i="52074" s="1"/>
  <c r="G213" i="111"/>
  <c r="D212" i="52074"/>
  <c r="J213" i="52089"/>
  <c r="L213" i="52089" s="1"/>
  <c r="C212" i="52102"/>
  <c r="I209" i="52072"/>
  <c r="H205" i="52097"/>
  <c r="E251" i="52081"/>
  <c r="E5" i="52081"/>
  <c r="C206" i="52077"/>
  <c r="H207" i="52092"/>
  <c r="J207" i="111"/>
  <c r="J207" i="52092"/>
  <c r="L207" i="52092" s="1"/>
  <c r="G207" i="32"/>
  <c r="Q28" i="52096"/>
  <c r="D206" i="52104"/>
  <c r="D207" i="111"/>
  <c r="B206" i="52074"/>
  <c r="H206" i="52074"/>
  <c r="J206" i="52074" s="1"/>
  <c r="H207" i="20"/>
  <c r="J207" i="20"/>
  <c r="G207" i="148"/>
  <c r="Q19" i="52096"/>
  <c r="H207" i="108"/>
  <c r="J207" i="108"/>
  <c r="E206" i="52083"/>
  <c r="E208" i="52083" s="1"/>
  <c r="D207" i="52097"/>
  <c r="D209" i="52097" s="1"/>
  <c r="B206" i="52076"/>
  <c r="E207" i="111"/>
  <c r="B206" i="52104"/>
  <c r="H207" i="12"/>
  <c r="H206" i="52076"/>
  <c r="J206" i="52076" s="1"/>
  <c r="J207" i="12"/>
  <c r="L207" i="12" s="1"/>
  <c r="F207" i="52097"/>
  <c r="J207" i="52088"/>
  <c r="E207" i="52082"/>
  <c r="H207" i="52088"/>
  <c r="J207" i="52095"/>
  <c r="H207" i="52095"/>
  <c r="B206" i="52075"/>
  <c r="M207" i="111"/>
  <c r="J207" i="52071"/>
  <c r="D206" i="52098"/>
  <c r="H207" i="52071"/>
  <c r="I207" i="52097"/>
  <c r="I209" i="52097" s="1"/>
  <c r="H207" i="48"/>
  <c r="F207" i="110"/>
  <c r="J207" i="48"/>
  <c r="B206" i="52084"/>
  <c r="B206" i="52103"/>
  <c r="H206" i="52084"/>
  <c r="J206" i="52084" s="1"/>
  <c r="E206" i="52103"/>
  <c r="C207" i="110"/>
  <c r="J207" i="91"/>
  <c r="I206" i="52103"/>
  <c r="K206" i="52103" s="1"/>
  <c r="H207" i="91"/>
  <c r="L207" i="91" s="1"/>
  <c r="J207" i="52080"/>
  <c r="N207" i="111"/>
  <c r="E206" i="52075"/>
  <c r="H207" i="52080"/>
  <c r="J207" i="52067"/>
  <c r="H207" i="52067"/>
  <c r="H207" i="52097"/>
  <c r="D206" i="52083"/>
  <c r="D208" i="52083" s="1"/>
  <c r="J207" i="52064"/>
  <c r="C207" i="9"/>
  <c r="C209" i="9" s="1"/>
  <c r="H207" i="52064"/>
  <c r="C206" i="52098"/>
  <c r="C208" i="52098" s="1"/>
  <c r="L240" i="52077"/>
  <c r="D44" i="110"/>
  <c r="D36" i="233"/>
  <c r="Q36" i="111"/>
  <c r="V36" i="111" s="1"/>
  <c r="C212" i="52074"/>
  <c r="E212" i="52104"/>
  <c r="J213" i="115"/>
  <c r="L213" i="115" s="1"/>
  <c r="C213" i="111"/>
  <c r="I212" i="52104"/>
  <c r="K212" i="52104" s="1"/>
  <c r="Q28" i="111"/>
  <c r="V28" i="111" s="1"/>
  <c r="D28" i="233"/>
  <c r="G245" i="12"/>
  <c r="L245" i="12" s="1"/>
  <c r="H203" i="12"/>
  <c r="L203" i="12" s="1"/>
  <c r="J203" i="12"/>
  <c r="J213" i="77"/>
  <c r="F213" i="111"/>
  <c r="L213" i="77"/>
  <c r="C212" i="52104"/>
  <c r="C212" i="52076"/>
  <c r="H60" i="52083"/>
  <c r="H234" i="52083" s="1"/>
  <c r="H235" i="52083"/>
  <c r="E44" i="110"/>
  <c r="B217" i="52091"/>
  <c r="C251" i="52091"/>
  <c r="P215" i="111"/>
  <c r="F216" i="52076"/>
  <c r="F5" i="52076" s="1"/>
  <c r="F221" i="52077"/>
  <c r="F247" i="52077"/>
  <c r="F216" i="52077"/>
  <c r="F254" i="52066"/>
  <c r="F254" i="52072"/>
  <c r="F254" i="48"/>
  <c r="I217" i="48"/>
  <c r="F217" i="52084"/>
  <c r="F5" i="48"/>
  <c r="F251" i="48"/>
  <c r="I251" i="48" s="1"/>
  <c r="F5" i="52089"/>
  <c r="I217" i="52089"/>
  <c r="F251" i="52089"/>
  <c r="I251" i="52089" s="1"/>
  <c r="F251" i="52079"/>
  <c r="I251" i="52079" s="1"/>
  <c r="I217" i="52079"/>
  <c r="F249" i="32"/>
  <c r="I215" i="32"/>
  <c r="F222" i="32"/>
  <c r="F254" i="32" s="1"/>
  <c r="F217" i="32"/>
  <c r="G217" i="52102" s="1"/>
  <c r="F223" i="32"/>
  <c r="F251" i="77"/>
  <c r="I251" i="77" s="1"/>
  <c r="F5" i="77"/>
  <c r="I217" i="77"/>
  <c r="H211" i="9"/>
  <c r="G211" i="233"/>
  <c r="E215" i="9"/>
  <c r="I217" i="52088"/>
  <c r="F251" i="52088"/>
  <c r="I251" i="52088" s="1"/>
  <c r="F251" i="52090"/>
  <c r="I251" i="52090" s="1"/>
  <c r="I217" i="52090"/>
  <c r="F5" i="52090"/>
  <c r="F250" i="52076"/>
  <c r="F223" i="52076"/>
  <c r="F253" i="52076"/>
  <c r="I217" i="115"/>
  <c r="F5" i="115"/>
  <c r="G217" i="52104"/>
  <c r="F251" i="115"/>
  <c r="I251" i="115" s="1"/>
  <c r="F211" i="52082"/>
  <c r="J211" i="52099"/>
  <c r="K211" i="52097"/>
  <c r="D211" i="52082"/>
  <c r="J211" i="101"/>
  <c r="G211" i="52097"/>
  <c r="D211" i="111"/>
  <c r="B210" i="52074"/>
  <c r="J211" i="20"/>
  <c r="L211" i="20" s="1"/>
  <c r="D210" i="52104"/>
  <c r="H210" i="52074"/>
  <c r="H211" i="52097"/>
  <c r="D210" i="52083"/>
  <c r="J211" i="52067"/>
  <c r="I211" i="52097"/>
  <c r="D210" i="52098"/>
  <c r="J211" i="52071"/>
  <c r="G211" i="111"/>
  <c r="D210" i="52074"/>
  <c r="C210" i="52102"/>
  <c r="J211" i="52089"/>
  <c r="L211" i="52089" s="1"/>
  <c r="D211" i="110"/>
  <c r="D210" i="52102"/>
  <c r="J211" i="52072"/>
  <c r="L211" i="52072" s="1"/>
  <c r="K211" i="111"/>
  <c r="D210" i="52076"/>
  <c r="D210" i="52077"/>
  <c r="J211" i="52093"/>
  <c r="L211" i="52093" s="1"/>
  <c r="G211" i="21"/>
  <c r="O7" i="52096"/>
  <c r="C210" i="52077"/>
  <c r="J211" i="111"/>
  <c r="J211" i="52092"/>
  <c r="L211" i="52092" s="1"/>
  <c r="C210" i="52076"/>
  <c r="C210" i="52104"/>
  <c r="J211" i="77"/>
  <c r="L211" i="77" s="1"/>
  <c r="F211" i="111"/>
  <c r="E211" i="52097"/>
  <c r="C211" i="52082"/>
  <c r="J211" i="52087"/>
  <c r="B210" i="52077"/>
  <c r="L211" i="111"/>
  <c r="J211" i="52094"/>
  <c r="L211" i="52094" s="1"/>
  <c r="H210" i="52077"/>
  <c r="J211" i="52100"/>
  <c r="L211" i="52100" s="1"/>
  <c r="B210" i="52102"/>
  <c r="H211" i="110"/>
  <c r="I210" i="52103"/>
  <c r="C211" i="110"/>
  <c r="E210" i="52103"/>
  <c r="J211" i="91"/>
  <c r="L211" i="91" s="1"/>
  <c r="M212" i="110"/>
  <c r="K211" i="52082"/>
  <c r="H215" i="52082"/>
  <c r="F251" i="108"/>
  <c r="I251" i="108" s="1"/>
  <c r="I217" i="108"/>
  <c r="F254" i="52080"/>
  <c r="I217" i="52066"/>
  <c r="F251" i="52066"/>
  <c r="I251" i="52066" s="1"/>
  <c r="F5" i="52081"/>
  <c r="I217" i="52081"/>
  <c r="F251" i="52081"/>
  <c r="I251" i="52081" s="1"/>
  <c r="F254" i="52092"/>
  <c r="I217" i="52092"/>
  <c r="F251" i="52092"/>
  <c r="F251" i="52071"/>
  <c r="I217" i="52071"/>
  <c r="F251" i="52064"/>
  <c r="I251" i="52064" s="1"/>
  <c r="I217" i="52064"/>
  <c r="F251" i="52072"/>
  <c r="F5" i="52072"/>
  <c r="I217" i="52072"/>
  <c r="F247" i="52084"/>
  <c r="F221" i="52084"/>
  <c r="I214" i="52084"/>
  <c r="I247" i="52084" s="1"/>
  <c r="F216" i="52084"/>
  <c r="G248" i="52083"/>
  <c r="G216" i="52083"/>
  <c r="G222" i="52083"/>
  <c r="J214" i="52083"/>
  <c r="J248" i="52083" s="1"/>
  <c r="G217" i="52083"/>
  <c r="F251" i="105"/>
  <c r="I251" i="105" s="1"/>
  <c r="I217" i="105"/>
  <c r="F251" i="52099"/>
  <c r="I211" i="52098"/>
  <c r="G247" i="52103"/>
  <c r="J214" i="52103"/>
  <c r="J247" i="52103" s="1"/>
  <c r="G222" i="52103"/>
  <c r="G216" i="52103"/>
  <c r="F217" i="114"/>
  <c r="P218" i="111" s="1"/>
  <c r="I215" i="114"/>
  <c r="F249" i="114"/>
  <c r="F222" i="114"/>
  <c r="F254" i="114" s="1"/>
  <c r="F223" i="114"/>
  <c r="F251" i="52094"/>
  <c r="I251" i="52094" s="1"/>
  <c r="F217" i="52077"/>
  <c r="F5" i="52094"/>
  <c r="I217" i="52094"/>
  <c r="M211" i="110"/>
  <c r="J215" i="110"/>
  <c r="J210" i="52102"/>
  <c r="G214" i="52102"/>
  <c r="F214" i="52098"/>
  <c r="F222" i="21"/>
  <c r="F254" i="21" s="1"/>
  <c r="F217" i="21"/>
  <c r="E218" i="9" s="1"/>
  <c r="I215" i="21"/>
  <c r="F223" i="21"/>
  <c r="F249" i="21"/>
  <c r="F251" i="101"/>
  <c r="I251" i="101" s="1"/>
  <c r="I217" i="101"/>
  <c r="F254" i="52090"/>
  <c r="F5" i="52100"/>
  <c r="F251" i="52100"/>
  <c r="F251" i="52091"/>
  <c r="I217" i="52091"/>
  <c r="J217" i="52091"/>
  <c r="F254" i="52091"/>
  <c r="L222" i="52091"/>
  <c r="G247" i="52104"/>
  <c r="G221" i="52104"/>
  <c r="J214" i="52104"/>
  <c r="J247" i="52104" s="1"/>
  <c r="G216" i="52104"/>
  <c r="J216" i="52104" s="1"/>
  <c r="J249" i="52104" s="1"/>
  <c r="F251" i="52093"/>
  <c r="I251" i="52093" s="1"/>
  <c r="F5" i="52093"/>
  <c r="I217" i="52093"/>
  <c r="F251" i="52067"/>
  <c r="I251" i="52067" s="1"/>
  <c r="I217" i="52067"/>
  <c r="I217" i="12"/>
  <c r="F5" i="12"/>
  <c r="F217" i="52076"/>
  <c r="F251" i="12"/>
  <c r="I251" i="12" s="1"/>
  <c r="P34" i="52096"/>
  <c r="G212" i="77" s="1"/>
  <c r="P23" i="52096"/>
  <c r="G212" i="48" s="1"/>
  <c r="G215" i="48" s="1"/>
  <c r="P30" i="52096"/>
  <c r="P42" i="52096"/>
  <c r="G212" i="52080" s="1"/>
  <c r="P14" i="52096"/>
  <c r="G212" i="101" s="1"/>
  <c r="P10" i="52096"/>
  <c r="G212" i="105" s="1"/>
  <c r="P41" i="52096"/>
  <c r="G212" i="52095" s="1"/>
  <c r="G215" i="52095" s="1"/>
  <c r="P26" i="52096"/>
  <c r="G212" i="52081" s="1"/>
  <c r="G215" i="52081" s="1"/>
  <c r="P36" i="52096"/>
  <c r="G212" i="52090" s="1"/>
  <c r="P27" i="52096"/>
  <c r="G212" i="52100" s="1"/>
  <c r="G215" i="52100" s="1"/>
  <c r="P44" i="52096"/>
  <c r="Q212" i="111" s="1"/>
  <c r="P5" i="52096"/>
  <c r="P17" i="52096"/>
  <c r="G212" i="52079" s="1"/>
  <c r="P11" i="52096"/>
  <c r="G212" i="108" s="1"/>
  <c r="G215" i="108" s="1"/>
  <c r="P29" i="52096"/>
  <c r="K212" i="110" s="1"/>
  <c r="P12" i="52096"/>
  <c r="G212" i="52087" s="1"/>
  <c r="G215" i="52087" s="1"/>
  <c r="P13" i="52096"/>
  <c r="G212" i="52088" s="1"/>
  <c r="P33" i="52096"/>
  <c r="G212" i="12" s="1"/>
  <c r="P25" i="52096"/>
  <c r="G212" i="52072" s="1"/>
  <c r="P35" i="52096"/>
  <c r="G212" i="52089" s="1"/>
  <c r="P39" i="52096"/>
  <c r="G212" i="52093" s="1"/>
  <c r="P9" i="52096"/>
  <c r="P32" i="52096"/>
  <c r="G212" i="20" s="1"/>
  <c r="P8" i="52096"/>
  <c r="F212" i="9" s="1"/>
  <c r="P40" i="52096"/>
  <c r="G212" i="52094" s="1"/>
  <c r="P15" i="52096"/>
  <c r="G212" i="52067" s="1"/>
  <c r="P18" i="52096"/>
  <c r="G212" i="52099" s="1"/>
  <c r="P38" i="52096"/>
  <c r="G212" i="52092" s="1"/>
  <c r="G215" i="52092" s="1"/>
  <c r="P24" i="52096"/>
  <c r="G212" i="52066" s="1"/>
  <c r="P6" i="52096"/>
  <c r="G212" i="52064" s="1"/>
  <c r="P21" i="52096"/>
  <c r="P16" i="52096"/>
  <c r="G212" i="52071" s="1"/>
  <c r="P22" i="52096"/>
  <c r="G212" i="91" s="1"/>
  <c r="P31" i="52096"/>
  <c r="G212" i="115" s="1"/>
  <c r="P20" i="52096"/>
  <c r="G211" i="148"/>
  <c r="O19" i="52096"/>
  <c r="F211" i="110"/>
  <c r="J211" i="48"/>
  <c r="L211" i="48" s="1"/>
  <c r="B210" i="52103"/>
  <c r="H210" i="52084"/>
  <c r="B210" i="52084"/>
  <c r="D211" i="52097"/>
  <c r="J211" i="108"/>
  <c r="E210" i="52083"/>
  <c r="D210" i="52084"/>
  <c r="G211" i="110"/>
  <c r="D210" i="52103"/>
  <c r="J211" i="52081"/>
  <c r="G211" i="114"/>
  <c r="I210" i="52075" s="1"/>
  <c r="O43" i="52096"/>
  <c r="Q211" i="111" s="1"/>
  <c r="C210" i="52084"/>
  <c r="E211" i="110"/>
  <c r="J211" i="52066"/>
  <c r="L211" i="52066" s="1"/>
  <c r="C210" i="52103"/>
  <c r="G215" i="52066"/>
  <c r="B210" i="52076"/>
  <c r="B210" i="52104"/>
  <c r="G215" i="12"/>
  <c r="H210" i="52076"/>
  <c r="E211" i="111"/>
  <c r="J211" i="12"/>
  <c r="L211" i="12" s="1"/>
  <c r="M211" i="111"/>
  <c r="J211" i="52095"/>
  <c r="L211" i="52095" s="1"/>
  <c r="B210" i="52075"/>
  <c r="C211" i="9"/>
  <c r="G215" i="52064"/>
  <c r="C210" i="52098"/>
  <c r="J211" i="52064"/>
  <c r="O28" i="52096"/>
  <c r="K211" i="110" s="1"/>
  <c r="G211" i="32"/>
  <c r="E210" i="52075"/>
  <c r="G215" i="52080"/>
  <c r="N211" i="111"/>
  <c r="J211" i="52080"/>
  <c r="L211" i="52080" s="1"/>
  <c r="E210" i="52104"/>
  <c r="I210" i="52104"/>
  <c r="J211" i="115"/>
  <c r="C210" i="52074"/>
  <c r="C211" i="111"/>
  <c r="G215" i="115"/>
  <c r="L211" i="115"/>
  <c r="B210" i="52083"/>
  <c r="C211" i="52097"/>
  <c r="G215" i="105"/>
  <c r="J211" i="105"/>
  <c r="H211" i="111"/>
  <c r="J211" i="52090"/>
  <c r="L211" i="52090" s="1"/>
  <c r="D210" i="52075"/>
  <c r="G215" i="52090"/>
  <c r="J211" i="52097"/>
  <c r="J211" i="52079"/>
  <c r="C210" i="52083"/>
  <c r="G215" i="52079"/>
  <c r="E211" i="52082"/>
  <c r="G215" i="52088"/>
  <c r="F211" i="52097"/>
  <c r="J211" i="52088"/>
  <c r="K212" i="52082"/>
  <c r="J211" i="52075"/>
  <c r="G214" i="52075"/>
  <c r="G217" i="52103"/>
  <c r="F251" i="91"/>
  <c r="I251" i="91" s="1"/>
  <c r="F5" i="91"/>
  <c r="I217" i="91"/>
  <c r="F254" i="91"/>
  <c r="F249" i="148"/>
  <c r="F222" i="148"/>
  <c r="F254" i="148" s="1"/>
  <c r="F223" i="148"/>
  <c r="F217" i="148"/>
  <c r="I215" i="148"/>
  <c r="P211" i="52097"/>
  <c r="M215" i="52097"/>
  <c r="F247" i="52074"/>
  <c r="I214" i="52074"/>
  <c r="I247" i="52074" s="1"/>
  <c r="F221" i="52074"/>
  <c r="F216" i="52074"/>
  <c r="F217" i="52074"/>
  <c r="I217" i="20"/>
  <c r="F5" i="20"/>
  <c r="F251" i="20"/>
  <c r="F254" i="20"/>
  <c r="F5" i="52080"/>
  <c r="F251" i="52080"/>
  <c r="I251" i="52080" s="1"/>
  <c r="I217" i="52080"/>
  <c r="F251" i="52095"/>
  <c r="I251" i="52095" s="1"/>
  <c r="G217" i="52075"/>
  <c r="F5" i="52095"/>
  <c r="I217" i="52095"/>
  <c r="F251" i="52087"/>
  <c r="I217" i="52087"/>
  <c r="F249" i="52104"/>
  <c r="F5" i="52104"/>
  <c r="C246" i="52083"/>
  <c r="C208" i="52083"/>
  <c r="B247" i="111"/>
  <c r="C245" i="52075"/>
  <c r="M207" i="21"/>
  <c r="M205" i="21"/>
  <c r="M245" i="21"/>
  <c r="L207" i="52089" l="1"/>
  <c r="L207" i="52093"/>
  <c r="L207" i="52080"/>
  <c r="L207" i="52095"/>
  <c r="L207" i="20"/>
  <c r="L207" i="52090"/>
  <c r="L203" i="52082"/>
  <c r="L245" i="52082" s="1"/>
  <c r="J245" i="52082"/>
  <c r="J205" i="52082"/>
  <c r="E46" i="110"/>
  <c r="E47" i="110" s="1"/>
  <c r="E53" i="110"/>
  <c r="E54" i="110" s="1"/>
  <c r="R213" i="111"/>
  <c r="D53" i="110"/>
  <c r="D54" i="110" s="1"/>
  <c r="D46" i="110"/>
  <c r="D47" i="110" s="1"/>
  <c r="I206" i="52102"/>
  <c r="K206" i="52102" s="1"/>
  <c r="E206" i="52102"/>
  <c r="H207" i="32"/>
  <c r="B207" i="110"/>
  <c r="L207" i="110" s="1"/>
  <c r="J207" i="32"/>
  <c r="K238" i="52104"/>
  <c r="M238" i="52104" s="1"/>
  <c r="M129" i="52104"/>
  <c r="H46" i="111"/>
  <c r="H47" i="111" s="1"/>
  <c r="H53" i="111"/>
  <c r="H54" i="111" s="1"/>
  <c r="K53" i="111"/>
  <c r="K54" i="111" s="1"/>
  <c r="K46" i="111"/>
  <c r="K47" i="111" s="1"/>
  <c r="G247" i="52088"/>
  <c r="J247" i="52088" s="1"/>
  <c r="J205" i="52088"/>
  <c r="G209" i="52088"/>
  <c r="H205" i="52088"/>
  <c r="E247" i="52082"/>
  <c r="E209" i="52082"/>
  <c r="H243" i="52077"/>
  <c r="J202" i="52077"/>
  <c r="M212" i="52104"/>
  <c r="B46" i="52074"/>
  <c r="B47" i="52074" s="1"/>
  <c r="B53" i="52074"/>
  <c r="B54" i="52074" s="1"/>
  <c r="G247" i="52064"/>
  <c r="J247" i="52064" s="1"/>
  <c r="H205" i="52064"/>
  <c r="G209" i="52064"/>
  <c r="J205" i="52064"/>
  <c r="L203" i="52066"/>
  <c r="N60" i="52097"/>
  <c r="O235" i="52097"/>
  <c r="H62" i="52084"/>
  <c r="J62" i="48"/>
  <c r="L62" i="48" s="1"/>
  <c r="G205" i="48"/>
  <c r="G236" i="48"/>
  <c r="J236" i="48" s="1"/>
  <c r="L236" i="48" s="1"/>
  <c r="G60" i="48"/>
  <c r="J205" i="91"/>
  <c r="G209" i="91"/>
  <c r="H205" i="91"/>
  <c r="L205" i="91" s="1"/>
  <c r="G247" i="91"/>
  <c r="J247" i="91" s="1"/>
  <c r="L247" i="91" s="1"/>
  <c r="C236" i="110"/>
  <c r="C205" i="110"/>
  <c r="G247" i="52071"/>
  <c r="J247" i="52071" s="1"/>
  <c r="H205" i="52071"/>
  <c r="G209" i="52071"/>
  <c r="J205" i="52071"/>
  <c r="B245" i="9"/>
  <c r="B205" i="9"/>
  <c r="L205" i="114"/>
  <c r="E32" i="233"/>
  <c r="E33" i="233" s="1"/>
  <c r="E44" i="233"/>
  <c r="B246" i="52098"/>
  <c r="H204" i="52098"/>
  <c r="D46" i="52075"/>
  <c r="D47" i="52075" s="1"/>
  <c r="D53" i="52075"/>
  <c r="D54" i="52075" s="1"/>
  <c r="G60" i="52090"/>
  <c r="G205" i="52090"/>
  <c r="J62" i="52090"/>
  <c r="L62" i="52090" s="1"/>
  <c r="G236" i="52090"/>
  <c r="J236" i="52090" s="1"/>
  <c r="L236" i="52090" s="1"/>
  <c r="G60" i="52089"/>
  <c r="J62" i="52089"/>
  <c r="L62" i="52089" s="1"/>
  <c r="G236" i="52089"/>
  <c r="J236" i="52089" s="1"/>
  <c r="L236" i="52089" s="1"/>
  <c r="G205" i="52089"/>
  <c r="V30" i="111"/>
  <c r="R32" i="111"/>
  <c r="R44" i="111"/>
  <c r="J247" i="52081"/>
  <c r="C53" i="110"/>
  <c r="C54" i="110" s="1"/>
  <c r="C46" i="110"/>
  <c r="C47" i="110" s="1"/>
  <c r="H243" i="52074"/>
  <c r="J202" i="52074"/>
  <c r="J243" i="52074" s="1"/>
  <c r="H217" i="52091"/>
  <c r="L217" i="52091" s="1"/>
  <c r="G5" i="52091"/>
  <c r="G251" i="52091"/>
  <c r="B46" i="52077"/>
  <c r="B47" i="52077" s="1"/>
  <c r="B53" i="52077"/>
  <c r="B54" i="52077" s="1"/>
  <c r="I243" i="52075"/>
  <c r="K202" i="52075"/>
  <c r="K243" i="52075" s="1"/>
  <c r="H62" i="52074"/>
  <c r="D234" i="52104"/>
  <c r="D204" i="52104"/>
  <c r="D245" i="52104" s="1"/>
  <c r="D246" i="52098"/>
  <c r="D208" i="52098"/>
  <c r="D253" i="233"/>
  <c r="I253" i="233"/>
  <c r="V253" i="111"/>
  <c r="G205" i="52072"/>
  <c r="J62" i="52072"/>
  <c r="L62" i="52072" s="1"/>
  <c r="G60" i="52072"/>
  <c r="G236" i="52072"/>
  <c r="J236" i="52072" s="1"/>
  <c r="L236" i="52072" s="1"/>
  <c r="Q45" i="52096"/>
  <c r="H206" i="52083"/>
  <c r="I206" i="52083"/>
  <c r="K206" i="52083" s="1"/>
  <c r="L206" i="52077"/>
  <c r="I206" i="52075"/>
  <c r="K206" i="52075" s="1"/>
  <c r="H207" i="114"/>
  <c r="B207" i="111"/>
  <c r="C206" i="52075"/>
  <c r="C208" i="52075" s="1"/>
  <c r="J207" i="114"/>
  <c r="N203" i="110"/>
  <c r="N245" i="110" s="1"/>
  <c r="B53" i="52104"/>
  <c r="B54" i="52104" s="1"/>
  <c r="B46" i="52104"/>
  <c r="B47" i="52104" s="1"/>
  <c r="D53" i="52077"/>
  <c r="D54" i="52077" s="1"/>
  <c r="D46" i="52077"/>
  <c r="D47" i="52077" s="1"/>
  <c r="H205" i="105"/>
  <c r="G247" i="105"/>
  <c r="J247" i="105" s="1"/>
  <c r="G209" i="105"/>
  <c r="J205" i="105"/>
  <c r="N240" i="52097"/>
  <c r="N203" i="52097"/>
  <c r="B205" i="52082"/>
  <c r="B245" i="52082"/>
  <c r="D251" i="9"/>
  <c r="D5" i="9"/>
  <c r="E247" i="52097"/>
  <c r="E209" i="52097"/>
  <c r="G205" i="52066"/>
  <c r="J62" i="52066"/>
  <c r="G236" i="52066"/>
  <c r="J236" i="52066" s="1"/>
  <c r="L236" i="52066" s="1"/>
  <c r="L62" i="52066"/>
  <c r="G60" i="52066"/>
  <c r="G205" i="115"/>
  <c r="J62" i="115"/>
  <c r="L62" i="115" s="1"/>
  <c r="E62" i="52104"/>
  <c r="G60" i="115"/>
  <c r="G236" i="115"/>
  <c r="J236" i="115" s="1"/>
  <c r="L236" i="115" s="1"/>
  <c r="I62" i="52104"/>
  <c r="L213" i="110"/>
  <c r="G247" i="101"/>
  <c r="J247" i="101" s="1"/>
  <c r="G209" i="101"/>
  <c r="J205" i="101"/>
  <c r="H205" i="101"/>
  <c r="E5" i="52074"/>
  <c r="E249" i="52074"/>
  <c r="G53" i="111"/>
  <c r="G54" i="111" s="1"/>
  <c r="G46" i="111"/>
  <c r="G47" i="111" s="1"/>
  <c r="L53" i="111"/>
  <c r="L54" i="111" s="1"/>
  <c r="L46" i="111"/>
  <c r="L47" i="111" s="1"/>
  <c r="M53" i="111"/>
  <c r="M54" i="111" s="1"/>
  <c r="M46" i="111"/>
  <c r="M47" i="111" s="1"/>
  <c r="J202" i="52076"/>
  <c r="J244" i="52076" s="1"/>
  <c r="H244" i="52076"/>
  <c r="K127" i="233"/>
  <c r="I129" i="233"/>
  <c r="F129" i="9"/>
  <c r="H127" i="233"/>
  <c r="H129" i="233" s="1"/>
  <c r="H240" i="233" s="1"/>
  <c r="F5" i="52083"/>
  <c r="F250" i="52083"/>
  <c r="B46" i="52076"/>
  <c r="B47" i="52076" s="1"/>
  <c r="B53" i="52076"/>
  <c r="B54" i="52076" s="1"/>
  <c r="G236" i="12"/>
  <c r="J236" i="12" s="1"/>
  <c r="L236" i="12" s="1"/>
  <c r="H62" i="52076"/>
  <c r="J62" i="12"/>
  <c r="L62" i="12" s="1"/>
  <c r="B62" i="52104"/>
  <c r="G60" i="12"/>
  <c r="G205" i="12"/>
  <c r="B244" i="52083"/>
  <c r="B204" i="52083"/>
  <c r="G235" i="9"/>
  <c r="B60" i="233"/>
  <c r="L212" i="52077"/>
  <c r="Q238" i="111"/>
  <c r="V238" i="111" s="1"/>
  <c r="V103" i="111"/>
  <c r="K203" i="110"/>
  <c r="K245" i="110" s="1"/>
  <c r="C247" i="52082"/>
  <c r="C209" i="52082"/>
  <c r="C46" i="111"/>
  <c r="C47" i="111" s="1"/>
  <c r="C53" i="111"/>
  <c r="C54" i="111" s="1"/>
  <c r="E46" i="52103"/>
  <c r="E47" i="52103" s="1"/>
  <c r="E53" i="52103"/>
  <c r="E54" i="52103" s="1"/>
  <c r="O5" i="111"/>
  <c r="O251" i="111"/>
  <c r="J202" i="52098"/>
  <c r="J244" i="52098" s="1"/>
  <c r="G244" i="52098"/>
  <c r="H244" i="52098"/>
  <c r="E249" i="52084"/>
  <c r="E5" i="52084"/>
  <c r="G247" i="52067"/>
  <c r="J247" i="52067" s="1"/>
  <c r="H205" i="52067"/>
  <c r="J205" i="52067"/>
  <c r="G209" i="52067"/>
  <c r="M244" i="52102"/>
  <c r="M206" i="52103"/>
  <c r="L207" i="48"/>
  <c r="N206" i="52104"/>
  <c r="M206" i="52104"/>
  <c r="B207" i="52097"/>
  <c r="O207" i="52097" s="1"/>
  <c r="B207" i="52082"/>
  <c r="J207" i="52082" s="1"/>
  <c r="L207" i="52082" s="1"/>
  <c r="H207" i="148"/>
  <c r="J207" i="148"/>
  <c r="H247" i="52097"/>
  <c r="H209" i="52097"/>
  <c r="I243" i="52104"/>
  <c r="K202" i="52104"/>
  <c r="B205" i="52097"/>
  <c r="B245" i="52097"/>
  <c r="J240" i="52082"/>
  <c r="L129" i="52082"/>
  <c r="L240" i="52082" s="1"/>
  <c r="I238" i="233"/>
  <c r="K238" i="233" s="1"/>
  <c r="I203" i="233"/>
  <c r="K103" i="233"/>
  <c r="H53" i="110"/>
  <c r="H54" i="110" s="1"/>
  <c r="H46" i="110"/>
  <c r="H47" i="110" s="1"/>
  <c r="D41" i="233"/>
  <c r="Q41" i="111"/>
  <c r="V41" i="111" s="1"/>
  <c r="V168" i="111"/>
  <c r="Q242" i="111"/>
  <c r="V242" i="111" s="1"/>
  <c r="F5" i="52103"/>
  <c r="F249" i="52103"/>
  <c r="C53" i="52102"/>
  <c r="C54" i="52102" s="1"/>
  <c r="C46" i="52102"/>
  <c r="C47" i="52102" s="1"/>
  <c r="D46" i="52074"/>
  <c r="D47" i="52074" s="1"/>
  <c r="D53" i="52074"/>
  <c r="D54" i="52074" s="1"/>
  <c r="B46" i="52075"/>
  <c r="B47" i="52075" s="1"/>
  <c r="B53" i="52075"/>
  <c r="B54" i="52075" s="1"/>
  <c r="K168" i="233"/>
  <c r="I242" i="233"/>
  <c r="K242" i="233" s="1"/>
  <c r="C53" i="52074"/>
  <c r="C54" i="52074" s="1"/>
  <c r="C46" i="52074"/>
  <c r="C47" i="52074" s="1"/>
  <c r="I203" i="9"/>
  <c r="I245" i="9" s="1"/>
  <c r="G245" i="9"/>
  <c r="I60" i="52103"/>
  <c r="I233" i="52103" s="1"/>
  <c r="K62" i="52103"/>
  <c r="K234" i="52103" s="1"/>
  <c r="I234" i="52103"/>
  <c r="I204" i="52103"/>
  <c r="E60" i="52103"/>
  <c r="C60" i="110"/>
  <c r="C235" i="110" s="1"/>
  <c r="G235" i="91"/>
  <c r="L235" i="91" s="1"/>
  <c r="L60" i="91"/>
  <c r="E250" i="52098"/>
  <c r="E5" i="52098"/>
  <c r="I129" i="9"/>
  <c r="I240" i="9" s="1"/>
  <c r="G240" i="9"/>
  <c r="J209" i="114"/>
  <c r="H209" i="114"/>
  <c r="L44" i="110"/>
  <c r="L32" i="110"/>
  <c r="L33" i="110" s="1"/>
  <c r="G234" i="52098"/>
  <c r="H234" i="52098"/>
  <c r="E53" i="111"/>
  <c r="E54" i="111" s="1"/>
  <c r="E46" i="111"/>
  <c r="E47" i="111" s="1"/>
  <c r="R240" i="111"/>
  <c r="T129" i="111"/>
  <c r="T240" i="111" s="1"/>
  <c r="V127" i="111"/>
  <c r="Q129" i="111"/>
  <c r="F217" i="233"/>
  <c r="J209" i="233"/>
  <c r="L129" i="52077"/>
  <c r="L238" i="52077"/>
  <c r="F247" i="52097"/>
  <c r="F209" i="52097"/>
  <c r="H205" i="52079"/>
  <c r="J205" i="52079"/>
  <c r="G247" i="52079"/>
  <c r="J247" i="52079" s="1"/>
  <c r="G209" i="52079"/>
  <c r="H205" i="52087"/>
  <c r="G209" i="52087"/>
  <c r="G247" i="52087"/>
  <c r="J247" i="52087" s="1"/>
  <c r="J205" i="52087"/>
  <c r="D30" i="233"/>
  <c r="D32" i="233" s="1"/>
  <c r="D33" i="233" s="1"/>
  <c r="H238" i="233"/>
  <c r="H203" i="233"/>
  <c r="H245" i="233" s="1"/>
  <c r="D62" i="52103"/>
  <c r="D233" i="52103"/>
  <c r="G62" i="110"/>
  <c r="G235" i="110"/>
  <c r="D233" i="52084"/>
  <c r="D62" i="52084"/>
  <c r="L203" i="77"/>
  <c r="F250" i="52102"/>
  <c r="F5" i="52102"/>
  <c r="D247" i="52082"/>
  <c r="D209" i="52082"/>
  <c r="I62" i="52075"/>
  <c r="G205" i="52095"/>
  <c r="J62" i="52095"/>
  <c r="L62" i="52095" s="1"/>
  <c r="G60" i="52095"/>
  <c r="G236" i="52095"/>
  <c r="J236" i="52095" s="1"/>
  <c r="L236" i="52095" s="1"/>
  <c r="H205" i="21"/>
  <c r="G247" i="21"/>
  <c r="G204" i="52098"/>
  <c r="G209" i="21"/>
  <c r="J205" i="21"/>
  <c r="B60" i="52074"/>
  <c r="L60" i="20"/>
  <c r="D60" i="52104"/>
  <c r="D233" i="52104" s="1"/>
  <c r="G235" i="20"/>
  <c r="L235" i="20" s="1"/>
  <c r="D60" i="111"/>
  <c r="G247" i="20"/>
  <c r="H205" i="20"/>
  <c r="G209" i="20"/>
  <c r="J205" i="20"/>
  <c r="B60" i="110"/>
  <c r="L60" i="32"/>
  <c r="G235" i="32"/>
  <c r="L235" i="32" s="1"/>
  <c r="E60" i="52102"/>
  <c r="G247" i="32"/>
  <c r="G209" i="32"/>
  <c r="H205" i="32"/>
  <c r="J205" i="32"/>
  <c r="C46" i="52103"/>
  <c r="C47" i="52103" s="1"/>
  <c r="C53" i="52103"/>
  <c r="C54" i="52103" s="1"/>
  <c r="K206" i="52098"/>
  <c r="K208" i="52098" s="1"/>
  <c r="B206" i="52098"/>
  <c r="H206" i="52098" s="1"/>
  <c r="J206" i="52098" s="1"/>
  <c r="J207" i="21"/>
  <c r="H207" i="21"/>
  <c r="G206" i="52098"/>
  <c r="B207" i="9"/>
  <c r="G207" i="9" s="1"/>
  <c r="L207" i="52094"/>
  <c r="M206" i="52102"/>
  <c r="J209" i="52099"/>
  <c r="H209" i="52099"/>
  <c r="G239" i="52098"/>
  <c r="J129" i="52098"/>
  <c r="J239" i="52098" s="1"/>
  <c r="H239" i="52098"/>
  <c r="J247" i="110"/>
  <c r="J209" i="110"/>
  <c r="M209" i="110" s="1"/>
  <c r="M205" i="110"/>
  <c r="M247" i="110" s="1"/>
  <c r="D46" i="52076"/>
  <c r="D47" i="52076" s="1"/>
  <c r="D53" i="52076"/>
  <c r="D54" i="52076" s="1"/>
  <c r="I202" i="52076"/>
  <c r="I244" i="52076" s="1"/>
  <c r="D244" i="52076"/>
  <c r="O240" i="52097"/>
  <c r="Q129" i="52097"/>
  <c r="Q240" i="52097" s="1"/>
  <c r="G205" i="52093"/>
  <c r="G60" i="52093"/>
  <c r="J62" i="52093"/>
  <c r="L62" i="52093" s="1"/>
  <c r="G236" i="52093"/>
  <c r="J236" i="52093" s="1"/>
  <c r="L236" i="52093" s="1"/>
  <c r="O203" i="52097"/>
  <c r="E253" i="52098"/>
  <c r="E223" i="52098"/>
  <c r="C203" i="233"/>
  <c r="C245" i="233" s="1"/>
  <c r="L203" i="20"/>
  <c r="G205" i="52094"/>
  <c r="G60" i="52094"/>
  <c r="J62" i="52094"/>
  <c r="L62" i="52094" s="1"/>
  <c r="G236" i="52094"/>
  <c r="J236" i="52094" s="1"/>
  <c r="L236" i="52094" s="1"/>
  <c r="H62" i="52077"/>
  <c r="D46" i="52104"/>
  <c r="D47" i="52104" s="1"/>
  <c r="D53" i="52104"/>
  <c r="D54" i="52104" s="1"/>
  <c r="M212" i="52102"/>
  <c r="G205" i="77"/>
  <c r="G236" i="77"/>
  <c r="J236" i="77" s="1"/>
  <c r="L236" i="77" s="1"/>
  <c r="G60" i="77"/>
  <c r="C62" i="52104"/>
  <c r="J62" i="77"/>
  <c r="L62" i="77" s="1"/>
  <c r="I243" i="52103"/>
  <c r="M243" i="52103" s="1"/>
  <c r="K202" i="52103"/>
  <c r="K243" i="52103" s="1"/>
  <c r="M202" i="52103"/>
  <c r="B240" i="233"/>
  <c r="B203" i="233"/>
  <c r="B245" i="233" s="1"/>
  <c r="J205" i="108"/>
  <c r="H205" i="108"/>
  <c r="G247" i="108"/>
  <c r="J247" i="108" s="1"/>
  <c r="G209" i="108"/>
  <c r="G205" i="52080"/>
  <c r="G236" i="52080"/>
  <c r="J236" i="52080" s="1"/>
  <c r="L236" i="52080" s="1"/>
  <c r="J62" i="52080"/>
  <c r="L62" i="52080" s="1"/>
  <c r="G60" i="52080"/>
  <c r="L240" i="110"/>
  <c r="N129" i="110"/>
  <c r="N240" i="110" s="1"/>
  <c r="B46" i="110"/>
  <c r="B47" i="110" s="1"/>
  <c r="B53" i="110"/>
  <c r="B54" i="110" s="1"/>
  <c r="G205" i="52092"/>
  <c r="G236" i="52092"/>
  <c r="J236" i="52092" s="1"/>
  <c r="L236" i="52092" s="1"/>
  <c r="G60" i="52092"/>
  <c r="J62" i="52092"/>
  <c r="L62" i="52092" s="1"/>
  <c r="I202" i="52083"/>
  <c r="K129" i="52083"/>
  <c r="K239" i="52083" s="1"/>
  <c r="I239" i="52083"/>
  <c r="H239" i="52083"/>
  <c r="H202" i="52083"/>
  <c r="G209" i="148"/>
  <c r="J205" i="148"/>
  <c r="G247" i="148"/>
  <c r="J247" i="148" s="1"/>
  <c r="H205" i="148"/>
  <c r="G205" i="9"/>
  <c r="J209" i="52081"/>
  <c r="R203" i="111"/>
  <c r="B46" i="52102"/>
  <c r="B47" i="52102" s="1"/>
  <c r="B53" i="52102"/>
  <c r="B54" i="52102" s="1"/>
  <c r="M212" i="52103"/>
  <c r="G236" i="52100"/>
  <c r="J236" i="52100" s="1"/>
  <c r="L236" i="52100" s="1"/>
  <c r="G60" i="52100"/>
  <c r="G205" i="52100"/>
  <c r="J62" i="52100"/>
  <c r="L62" i="52100" s="1"/>
  <c r="I62" i="52102"/>
  <c r="M202" i="52102"/>
  <c r="P217" i="111"/>
  <c r="P223" i="111"/>
  <c r="S215" i="111"/>
  <c r="S249" i="111" s="1"/>
  <c r="P249" i="111"/>
  <c r="Q215" i="111"/>
  <c r="Q249" i="111" s="1"/>
  <c r="J215" i="52092"/>
  <c r="H215" i="52092"/>
  <c r="G223" i="52092"/>
  <c r="G222" i="52092"/>
  <c r="G249" i="52092"/>
  <c r="L249" i="52092" s="1"/>
  <c r="G223" i="52087"/>
  <c r="G222" i="52087"/>
  <c r="G254" i="52087" s="1"/>
  <c r="G217" i="52087"/>
  <c r="H215" i="52087"/>
  <c r="G249" i="52087"/>
  <c r="J215" i="52087"/>
  <c r="G223" i="52100"/>
  <c r="G222" i="52100"/>
  <c r="J215" i="52100"/>
  <c r="G249" i="52100"/>
  <c r="L249" i="52100" s="1"/>
  <c r="H215" i="52100"/>
  <c r="F222" i="52074"/>
  <c r="F252" i="52074"/>
  <c r="M249" i="52097"/>
  <c r="P215" i="52097"/>
  <c r="P249" i="52097" s="1"/>
  <c r="M217" i="52097"/>
  <c r="M223" i="52097"/>
  <c r="M218" i="52097"/>
  <c r="F251" i="148"/>
  <c r="I251" i="148" s="1"/>
  <c r="H218" i="52082"/>
  <c r="I217" i="148"/>
  <c r="G216" i="52075"/>
  <c r="G221" i="52075"/>
  <c r="G222" i="52075" s="1"/>
  <c r="G252" i="52075" s="1"/>
  <c r="J214" i="52075"/>
  <c r="J247" i="52075" s="1"/>
  <c r="G247" i="52075"/>
  <c r="J215" i="52088"/>
  <c r="G217" i="52088"/>
  <c r="G222" i="52088"/>
  <c r="G254" i="52088" s="1"/>
  <c r="G249" i="52088"/>
  <c r="H215" i="52088"/>
  <c r="G223" i="52088"/>
  <c r="H215" i="52079"/>
  <c r="J215" i="52079"/>
  <c r="G223" i="52079"/>
  <c r="G222" i="52079"/>
  <c r="G254" i="52079" s="1"/>
  <c r="J254" i="52097" s="1"/>
  <c r="G249" i="52079"/>
  <c r="J215" i="52090"/>
  <c r="G223" i="52090"/>
  <c r="G249" i="52090"/>
  <c r="L249" i="52090" s="1"/>
  <c r="H215" i="52090"/>
  <c r="G222" i="52090"/>
  <c r="J210" i="52076"/>
  <c r="N210" i="52104"/>
  <c r="G222" i="52066"/>
  <c r="G249" i="52066"/>
  <c r="L249" i="52066" s="1"/>
  <c r="H215" i="52066"/>
  <c r="G223" i="52066"/>
  <c r="J215" i="52066"/>
  <c r="B211" i="111"/>
  <c r="J211" i="114"/>
  <c r="L211" i="114" s="1"/>
  <c r="C210" i="52075"/>
  <c r="H215" i="52081"/>
  <c r="G222" i="52081"/>
  <c r="G249" i="52081"/>
  <c r="G223" i="52081"/>
  <c r="G217" i="52081"/>
  <c r="J215" i="52081"/>
  <c r="J215" i="108"/>
  <c r="G223" i="108"/>
  <c r="G222" i="108"/>
  <c r="G254" i="108" s="1"/>
  <c r="D254" i="52097" s="1"/>
  <c r="G217" i="108"/>
  <c r="H215" i="108"/>
  <c r="G249" i="108"/>
  <c r="G249" i="48"/>
  <c r="L249" i="48" s="1"/>
  <c r="H215" i="48"/>
  <c r="G222" i="48"/>
  <c r="G223" i="48"/>
  <c r="J215" i="48"/>
  <c r="J212" i="91"/>
  <c r="L212" i="91" s="1"/>
  <c r="E211" i="52103"/>
  <c r="E214" i="52103" s="1"/>
  <c r="E247" i="52103" s="1"/>
  <c r="I211" i="52103"/>
  <c r="K211" i="52103" s="1"/>
  <c r="C212" i="110"/>
  <c r="C215" i="110" s="1"/>
  <c r="G212" i="32"/>
  <c r="G215" i="32" s="1"/>
  <c r="P28" i="52096"/>
  <c r="J212" i="52066"/>
  <c r="C211" i="52103"/>
  <c r="C214" i="52103" s="1"/>
  <c r="C247" i="52103" s="1"/>
  <c r="E212" i="110"/>
  <c r="E215" i="110" s="1"/>
  <c r="C211" i="52084"/>
  <c r="L212" i="52066"/>
  <c r="F212" i="52082"/>
  <c r="K212" i="52097"/>
  <c r="J212" i="52099"/>
  <c r="B211" i="52077"/>
  <c r="B214" i="52077" s="1"/>
  <c r="H211" i="52077"/>
  <c r="J211" i="52077" s="1"/>
  <c r="J212" i="52094"/>
  <c r="L212" i="52094" s="1"/>
  <c r="L212" i="111"/>
  <c r="D212" i="111"/>
  <c r="H211" i="52074"/>
  <c r="J211" i="52074" s="1"/>
  <c r="J212" i="20"/>
  <c r="L212" i="20" s="1"/>
  <c r="D211" i="52104"/>
  <c r="B211" i="52074"/>
  <c r="B214" i="52074" s="1"/>
  <c r="B247" i="52074" s="1"/>
  <c r="D211" i="52077"/>
  <c r="I211" i="52077" s="1"/>
  <c r="J212" i="52093"/>
  <c r="L212" i="52093" s="1"/>
  <c r="K212" i="111"/>
  <c r="D211" i="52076"/>
  <c r="I211" i="52076" s="1"/>
  <c r="D212" i="110"/>
  <c r="J212" i="52072"/>
  <c r="L212" i="52072" s="1"/>
  <c r="D211" i="52102"/>
  <c r="D214" i="52102" s="1"/>
  <c r="E212" i="52082"/>
  <c r="E215" i="52082" s="1"/>
  <c r="F212" i="52097"/>
  <c r="J212" i="52088"/>
  <c r="C211" i="52083"/>
  <c r="J212" i="52097"/>
  <c r="J215" i="52097" s="1"/>
  <c r="J212" i="52079"/>
  <c r="D211" i="52075"/>
  <c r="D214" i="52075" s="1"/>
  <c r="D247" i="52075" s="1"/>
  <c r="H212" i="111"/>
  <c r="H215" i="111" s="1"/>
  <c r="J212" i="52090"/>
  <c r="L212" i="52090" s="1"/>
  <c r="M212" i="111"/>
  <c r="M215" i="111" s="1"/>
  <c r="B211" i="52075"/>
  <c r="B214" i="52075" s="1"/>
  <c r="B247" i="52075" s="1"/>
  <c r="J212" i="52095"/>
  <c r="L212" i="52095" s="1"/>
  <c r="G212" i="52097"/>
  <c r="G215" i="52097" s="1"/>
  <c r="D212" i="52082"/>
  <c r="J212" i="101"/>
  <c r="P43" i="52096"/>
  <c r="G212" i="114"/>
  <c r="C211" i="52076"/>
  <c r="F212" i="111"/>
  <c r="F215" i="111" s="1"/>
  <c r="C211" i="52104"/>
  <c r="J212" i="77"/>
  <c r="L212" i="77" s="1"/>
  <c r="G249" i="52104"/>
  <c r="G5" i="52104"/>
  <c r="G222" i="52104"/>
  <c r="G252" i="52104"/>
  <c r="J251" i="52091"/>
  <c r="I251" i="52091"/>
  <c r="L251" i="52091" s="1"/>
  <c r="I217" i="114"/>
  <c r="F251" i="114"/>
  <c r="F5" i="114"/>
  <c r="G252" i="52103"/>
  <c r="G223" i="52103"/>
  <c r="G223" i="52083"/>
  <c r="G253" i="52083"/>
  <c r="I251" i="52092"/>
  <c r="H223" i="52082"/>
  <c r="H217" i="52082"/>
  <c r="K215" i="52082"/>
  <c r="K249" i="52082" s="1"/>
  <c r="H249" i="52082"/>
  <c r="K210" i="52103"/>
  <c r="M210" i="52103" s="1"/>
  <c r="J210" i="52077"/>
  <c r="B210" i="52098"/>
  <c r="K210" i="52098"/>
  <c r="B211" i="9"/>
  <c r="J211" i="21"/>
  <c r="G210" i="52098"/>
  <c r="D214" i="52077"/>
  <c r="I210" i="52077"/>
  <c r="H214" i="52074"/>
  <c r="J210" i="52074"/>
  <c r="H215" i="9"/>
  <c r="E223" i="9"/>
  <c r="E217" i="9"/>
  <c r="E249" i="9"/>
  <c r="H249" i="9" s="1"/>
  <c r="F5" i="32"/>
  <c r="I217" i="32"/>
  <c r="F251" i="32"/>
  <c r="I251" i="32" s="1"/>
  <c r="J218" i="110"/>
  <c r="F5" i="52077"/>
  <c r="F249" i="52077"/>
  <c r="F252" i="52077"/>
  <c r="F222" i="52077"/>
  <c r="C214" i="52084"/>
  <c r="C247" i="52084" s="1"/>
  <c r="L215" i="111"/>
  <c r="G215" i="77"/>
  <c r="C214" i="52076"/>
  <c r="G215" i="52093"/>
  <c r="G215" i="52072"/>
  <c r="D215" i="111"/>
  <c r="D215" i="52082"/>
  <c r="K215" i="52097"/>
  <c r="F215" i="52082"/>
  <c r="I251" i="52087"/>
  <c r="I251" i="20"/>
  <c r="F249" i="52074"/>
  <c r="F5" i="52074"/>
  <c r="I216" i="52074"/>
  <c r="I249" i="52074" s="1"/>
  <c r="J215" i="105"/>
  <c r="G217" i="105"/>
  <c r="H215" i="105"/>
  <c r="G223" i="105"/>
  <c r="G222" i="105"/>
  <c r="G254" i="105" s="1"/>
  <c r="G249" i="105"/>
  <c r="H210" i="52083"/>
  <c r="I210" i="52083"/>
  <c r="K210" i="52083" s="1"/>
  <c r="H215" i="115"/>
  <c r="G222" i="115"/>
  <c r="G249" i="115"/>
  <c r="L249" i="115" s="1"/>
  <c r="G223" i="115"/>
  <c r="J215" i="115"/>
  <c r="K210" i="52104"/>
  <c r="M210" i="52104" s="1"/>
  <c r="H215" i="52080"/>
  <c r="G223" i="52080"/>
  <c r="G249" i="52080"/>
  <c r="L249" i="52080" s="1"/>
  <c r="G222" i="52080"/>
  <c r="J215" i="52080"/>
  <c r="I210" i="52102"/>
  <c r="B211" i="110"/>
  <c r="E210" i="52102"/>
  <c r="J211" i="32"/>
  <c r="L211" i="32" s="1"/>
  <c r="G222" i="52064"/>
  <c r="G254" i="52064" s="1"/>
  <c r="C254" i="9" s="1"/>
  <c r="G223" i="52064"/>
  <c r="J215" i="52064"/>
  <c r="G217" i="52064"/>
  <c r="G249" i="52064"/>
  <c r="H215" i="52064"/>
  <c r="J215" i="52095"/>
  <c r="G249" i="52095"/>
  <c r="L249" i="52095" s="1"/>
  <c r="G222" i="52095"/>
  <c r="G223" i="52095"/>
  <c r="H215" i="52095"/>
  <c r="L215" i="52095" s="1"/>
  <c r="K210" i="52075"/>
  <c r="G249" i="12"/>
  <c r="L249" i="12" s="1"/>
  <c r="H215" i="12"/>
  <c r="J215" i="12"/>
  <c r="J210" i="52084"/>
  <c r="B211" i="52082"/>
  <c r="B211" i="52097"/>
  <c r="J211" i="148"/>
  <c r="C211" i="52074"/>
  <c r="E211" i="52104"/>
  <c r="E214" i="52104" s="1"/>
  <c r="C212" i="111"/>
  <c r="C215" i="111" s="1"/>
  <c r="I211" i="52104"/>
  <c r="K211" i="52104" s="1"/>
  <c r="J212" i="115"/>
  <c r="L212" i="115" s="1"/>
  <c r="I212" i="52097"/>
  <c r="I215" i="52097" s="1"/>
  <c r="J212" i="52071"/>
  <c r="D211" i="52098"/>
  <c r="D214" i="52098" s="1"/>
  <c r="J212" i="52064"/>
  <c r="C212" i="9"/>
  <c r="C215" i="9" s="1"/>
  <c r="C211" i="52098"/>
  <c r="C214" i="52098" s="1"/>
  <c r="J212" i="52092"/>
  <c r="J212" i="111"/>
  <c r="J215" i="111" s="1"/>
  <c r="L212" i="52092"/>
  <c r="C211" i="52077"/>
  <c r="C214" i="52077" s="1"/>
  <c r="D211" i="52083"/>
  <c r="D214" i="52083" s="1"/>
  <c r="J212" i="52067"/>
  <c r="H212" i="52097"/>
  <c r="H215" i="52097" s="1"/>
  <c r="P19" i="52096"/>
  <c r="G212" i="148"/>
  <c r="G215" i="148" s="1"/>
  <c r="G212" i="111"/>
  <c r="G215" i="111" s="1"/>
  <c r="C211" i="52102"/>
  <c r="J212" i="52089"/>
  <c r="L212" i="52089" s="1"/>
  <c r="D211" i="52074"/>
  <c r="D214" i="52074" s="1"/>
  <c r="D247" i="52074" s="1"/>
  <c r="J212" i="12"/>
  <c r="L212" i="12" s="1"/>
  <c r="H211" i="52076"/>
  <c r="J211" i="52076" s="1"/>
  <c r="B211" i="52076"/>
  <c r="B214" i="52076" s="1"/>
  <c r="B248" i="52076" s="1"/>
  <c r="B211" i="52104"/>
  <c r="E212" i="111"/>
  <c r="E215" i="111" s="1"/>
  <c r="C212" i="52082"/>
  <c r="C215" i="52082" s="1"/>
  <c r="J212" i="52087"/>
  <c r="E212" i="52097"/>
  <c r="E211" i="52083"/>
  <c r="E214" i="52083" s="1"/>
  <c r="J212" i="108"/>
  <c r="D212" i="52097"/>
  <c r="D215" i="52097" s="1"/>
  <c r="G212" i="21"/>
  <c r="P7" i="52096"/>
  <c r="B211" i="52102"/>
  <c r="B214" i="52102" s="1"/>
  <c r="J212" i="52100"/>
  <c r="L212" i="52100" s="1"/>
  <c r="H212" i="110"/>
  <c r="I211" i="52102"/>
  <c r="K211" i="52102" s="1"/>
  <c r="G212" i="110"/>
  <c r="G215" i="110" s="1"/>
  <c r="D211" i="52103"/>
  <c r="D214" i="52103" s="1"/>
  <c r="D211" i="52084"/>
  <c r="J212" i="52081"/>
  <c r="C212" i="52097"/>
  <c r="C215" i="52097" s="1"/>
  <c r="B211" i="52083"/>
  <c r="B214" i="52083" s="1"/>
  <c r="J212" i="105"/>
  <c r="E211" i="52075"/>
  <c r="E214" i="52075" s="1"/>
  <c r="E247" i="52075" s="1"/>
  <c r="N212" i="111"/>
  <c r="N215" i="111" s="1"/>
  <c r="J212" i="52080"/>
  <c r="L212" i="52080" s="1"/>
  <c r="B211" i="52103"/>
  <c r="B211" i="52084"/>
  <c r="B214" i="52084" s="1"/>
  <c r="B247" i="52084" s="1"/>
  <c r="J212" i="48"/>
  <c r="L212" i="48" s="1"/>
  <c r="F212" i="110"/>
  <c r="F215" i="110" s="1"/>
  <c r="H211" i="52084"/>
  <c r="J211" i="52084" s="1"/>
  <c r="F216" i="52098"/>
  <c r="I217" i="21"/>
  <c r="F251" i="21"/>
  <c r="I251" i="21" s="1"/>
  <c r="F217" i="52098"/>
  <c r="F248" i="52098"/>
  <c r="F222" i="52098"/>
  <c r="I214" i="52098"/>
  <c r="I248" i="52098" s="1"/>
  <c r="G216" i="52102"/>
  <c r="J214" i="52102"/>
  <c r="J248" i="52102" s="1"/>
  <c r="G248" i="52102"/>
  <c r="G222" i="52102"/>
  <c r="G223" i="52102" s="1"/>
  <c r="G253" i="52102" s="1"/>
  <c r="J223" i="110"/>
  <c r="M215" i="110"/>
  <c r="J249" i="110"/>
  <c r="M249" i="110" s="1"/>
  <c r="J217" i="110"/>
  <c r="G5" i="52103"/>
  <c r="G249" i="52103"/>
  <c r="J216" i="52103"/>
  <c r="J249" i="52103" s="1"/>
  <c r="G250" i="52083"/>
  <c r="J216" i="52083"/>
  <c r="J250" i="52083" s="1"/>
  <c r="G5" i="52083"/>
  <c r="I216" i="52084"/>
  <c r="I249" i="52084" s="1"/>
  <c r="F249" i="52084"/>
  <c r="F5" i="52084"/>
  <c r="F252" i="52084"/>
  <c r="F222" i="52084"/>
  <c r="I251" i="52072"/>
  <c r="I251" i="52071"/>
  <c r="F211" i="9"/>
  <c r="F215" i="9" s="1"/>
  <c r="O45" i="52096"/>
  <c r="D214" i="52076"/>
  <c r="I210" i="52076"/>
  <c r="J211" i="233"/>
  <c r="G215" i="233"/>
  <c r="F215" i="52097"/>
  <c r="C214" i="52083"/>
  <c r="C214" i="52074"/>
  <c r="C247" i="52074" s="1"/>
  <c r="D214" i="52084"/>
  <c r="G215" i="91"/>
  <c r="H215" i="110"/>
  <c r="G215" i="52094"/>
  <c r="E215" i="52097"/>
  <c r="C214" i="52104"/>
  <c r="K215" i="111"/>
  <c r="K249" i="111" s="1"/>
  <c r="D215" i="110"/>
  <c r="C214" i="52102"/>
  <c r="C248" i="52102" s="1"/>
  <c r="G215" i="52089"/>
  <c r="G215" i="52071"/>
  <c r="G215" i="52067"/>
  <c r="G215" i="20"/>
  <c r="D214" i="52104"/>
  <c r="G215" i="101"/>
  <c r="G215" i="52099"/>
  <c r="M247" i="21"/>
  <c r="M209" i="21"/>
  <c r="M212" i="21"/>
  <c r="J247" i="21" l="1"/>
  <c r="L207" i="114"/>
  <c r="L205" i="20"/>
  <c r="L209" i="114"/>
  <c r="L215" i="52080"/>
  <c r="L215" i="52100"/>
  <c r="I60" i="52102"/>
  <c r="I234" i="52102" s="1"/>
  <c r="I235" i="52102"/>
  <c r="I204" i="52102"/>
  <c r="K62" i="52102"/>
  <c r="K235" i="52102" s="1"/>
  <c r="G247" i="52100"/>
  <c r="J247" i="52100" s="1"/>
  <c r="L247" i="52100" s="1"/>
  <c r="H205" i="52100"/>
  <c r="G209" i="52100"/>
  <c r="J205" i="52100"/>
  <c r="L205" i="52100"/>
  <c r="R245" i="111"/>
  <c r="T203" i="111"/>
  <c r="T245" i="111" s="1"/>
  <c r="G247" i="9"/>
  <c r="I205" i="9"/>
  <c r="I247" i="9" s="1"/>
  <c r="G209" i="9"/>
  <c r="I209" i="9" s="1"/>
  <c r="J209" i="148"/>
  <c r="H209" i="148"/>
  <c r="G235" i="52092"/>
  <c r="L235" i="52092" s="1"/>
  <c r="J60" i="111"/>
  <c r="C60" i="52077"/>
  <c r="L60" i="52092"/>
  <c r="H205" i="52092"/>
  <c r="L205" i="52092" s="1"/>
  <c r="G247" i="52092"/>
  <c r="G209" i="52092"/>
  <c r="J205" i="52092"/>
  <c r="G209" i="52080"/>
  <c r="G247" i="52080"/>
  <c r="J247" i="52080" s="1"/>
  <c r="L247" i="52080" s="1"/>
  <c r="H205" i="52080"/>
  <c r="J205" i="52080"/>
  <c r="F60" i="111"/>
  <c r="L60" i="77"/>
  <c r="C60" i="52076"/>
  <c r="G235" i="77"/>
  <c r="L235" i="77" s="1"/>
  <c r="C60" i="52104"/>
  <c r="C233" i="52104" s="1"/>
  <c r="H205" i="77"/>
  <c r="G247" i="77"/>
  <c r="G209" i="77"/>
  <c r="J205" i="77"/>
  <c r="H234" i="52077"/>
  <c r="J62" i="52077"/>
  <c r="J234" i="52077" s="1"/>
  <c r="H60" i="52077"/>
  <c r="H233" i="52077" s="1"/>
  <c r="H204" i="52077"/>
  <c r="H205" i="52094"/>
  <c r="G209" i="52094"/>
  <c r="J205" i="52094"/>
  <c r="G247" i="52094"/>
  <c r="J247" i="52094" s="1"/>
  <c r="L247" i="52094" s="1"/>
  <c r="D60" i="52076"/>
  <c r="L60" i="52093"/>
  <c r="D60" i="52077"/>
  <c r="G235" i="52093"/>
  <c r="L235" i="52093" s="1"/>
  <c r="K60" i="111"/>
  <c r="B207" i="233"/>
  <c r="I207" i="9"/>
  <c r="L205" i="32"/>
  <c r="J209" i="32"/>
  <c r="H209" i="32"/>
  <c r="E62" i="52102"/>
  <c r="E234" i="52102"/>
  <c r="J209" i="20"/>
  <c r="H209" i="20"/>
  <c r="J247" i="20"/>
  <c r="L247" i="20"/>
  <c r="G235" i="52095"/>
  <c r="L235" i="52095" s="1"/>
  <c r="B60" i="52075"/>
  <c r="M60" i="111"/>
  <c r="L60" i="52095"/>
  <c r="G247" i="52095"/>
  <c r="J247" i="52095" s="1"/>
  <c r="L247" i="52095" s="1"/>
  <c r="H205" i="52095"/>
  <c r="J205" i="52095"/>
  <c r="G209" i="52095"/>
  <c r="G236" i="110"/>
  <c r="G205" i="110"/>
  <c r="D234" i="52103"/>
  <c r="D204" i="52103"/>
  <c r="H209" i="52087"/>
  <c r="J209" i="52087"/>
  <c r="G217" i="52079"/>
  <c r="J209" i="52079"/>
  <c r="H209" i="52079"/>
  <c r="Q240" i="111"/>
  <c r="V240" i="111" s="1"/>
  <c r="V129" i="111"/>
  <c r="E62" i="52103"/>
  <c r="E233" i="52103"/>
  <c r="D44" i="233"/>
  <c r="I245" i="233"/>
  <c r="K245" i="233" s="1"/>
  <c r="K203" i="233"/>
  <c r="K243" i="52104"/>
  <c r="M202" i="52104"/>
  <c r="B60" i="52076"/>
  <c r="G235" i="12"/>
  <c r="L235" i="12" s="1"/>
  <c r="L60" i="12"/>
  <c r="G223" i="12"/>
  <c r="B60" i="52104"/>
  <c r="E60" i="111"/>
  <c r="G222" i="12"/>
  <c r="F240" i="9"/>
  <c r="F203" i="9"/>
  <c r="I234" i="52104"/>
  <c r="I204" i="52104"/>
  <c r="K62" i="52104"/>
  <c r="K234" i="52104" s="1"/>
  <c r="I60" i="52104"/>
  <c r="I233" i="52104" s="1"/>
  <c r="E60" i="52104"/>
  <c r="E233" i="52104" s="1"/>
  <c r="C60" i="52074"/>
  <c r="L60" i="115"/>
  <c r="G235" i="115"/>
  <c r="L235" i="115" s="1"/>
  <c r="C60" i="111"/>
  <c r="E60" i="110"/>
  <c r="C60" i="52084"/>
  <c r="G235" i="52066"/>
  <c r="L235" i="52066" s="1"/>
  <c r="L60" i="52066"/>
  <c r="C60" i="52103"/>
  <c r="H205" i="52066"/>
  <c r="G247" i="52066"/>
  <c r="J247" i="52066" s="1"/>
  <c r="L247" i="52066" s="1"/>
  <c r="G209" i="52066"/>
  <c r="J205" i="52066"/>
  <c r="L205" i="52066" s="1"/>
  <c r="B247" i="52082"/>
  <c r="B209" i="52082"/>
  <c r="H209" i="105"/>
  <c r="J209" i="105"/>
  <c r="R207" i="111"/>
  <c r="B209" i="111"/>
  <c r="L60" i="52072"/>
  <c r="G235" i="52072"/>
  <c r="L235" i="52072" s="1"/>
  <c r="D60" i="110"/>
  <c r="D60" i="52102"/>
  <c r="G247" i="52072"/>
  <c r="J247" i="52072" s="1"/>
  <c r="L247" i="52072" s="1"/>
  <c r="G209" i="52072"/>
  <c r="H205" i="52072"/>
  <c r="J205" i="52072"/>
  <c r="L205" i="52072" s="1"/>
  <c r="H204" i="52074"/>
  <c r="H234" i="52074"/>
  <c r="H60" i="52074"/>
  <c r="H233" i="52074" s="1"/>
  <c r="J62" i="52074"/>
  <c r="J234" i="52074" s="1"/>
  <c r="R33" i="111"/>
  <c r="V33" i="111" s="1"/>
  <c r="V32" i="111"/>
  <c r="G247" i="52089"/>
  <c r="J247" i="52089" s="1"/>
  <c r="L247" i="52089" s="1"/>
  <c r="H205" i="52089"/>
  <c r="G209" i="52089"/>
  <c r="J205" i="52089"/>
  <c r="L60" i="52089"/>
  <c r="D60" i="52074"/>
  <c r="G235" i="52089"/>
  <c r="L235" i="52089" s="1"/>
  <c r="G60" i="111"/>
  <c r="C60" i="52102"/>
  <c r="G209" i="52090"/>
  <c r="J205" i="52090"/>
  <c r="G247" i="52090"/>
  <c r="H205" i="52090"/>
  <c r="L205" i="52090" s="1"/>
  <c r="B208" i="52098"/>
  <c r="H208" i="52098" s="1"/>
  <c r="J208" i="52098" s="1"/>
  <c r="B247" i="9"/>
  <c r="B209" i="9"/>
  <c r="C247" i="110"/>
  <c r="C209" i="110"/>
  <c r="H209" i="91"/>
  <c r="J209" i="91"/>
  <c r="L60" i="48"/>
  <c r="B60" i="52103"/>
  <c r="F60" i="110"/>
  <c r="G235" i="48"/>
  <c r="L235" i="48" s="1"/>
  <c r="B60" i="52084"/>
  <c r="G209" i="48"/>
  <c r="H205" i="48"/>
  <c r="G247" i="48"/>
  <c r="J247" i="48" s="1"/>
  <c r="L247" i="48" s="1"/>
  <c r="J205" i="48"/>
  <c r="L205" i="48" s="1"/>
  <c r="H204" i="52084"/>
  <c r="J62" i="52084"/>
  <c r="J234" i="52084" s="1"/>
  <c r="H60" i="52084"/>
  <c r="H233" i="52084" s="1"/>
  <c r="H234" i="52084"/>
  <c r="C60" i="233"/>
  <c r="N235" i="52097"/>
  <c r="J209" i="52088"/>
  <c r="H209" i="52088"/>
  <c r="E207" i="233"/>
  <c r="N207" i="110"/>
  <c r="D208" i="52104"/>
  <c r="G235" i="52100"/>
  <c r="L235" i="52100" s="1"/>
  <c r="H60" i="110"/>
  <c r="L60" i="52100"/>
  <c r="B60" i="52102"/>
  <c r="H244" i="52083"/>
  <c r="H204" i="52083"/>
  <c r="I244" i="52083"/>
  <c r="K202" i="52083"/>
  <c r="K244" i="52083" s="1"/>
  <c r="I204" i="52083"/>
  <c r="N60" i="111"/>
  <c r="G235" i="52080"/>
  <c r="L235" i="52080" s="1"/>
  <c r="E60" i="52075"/>
  <c r="L60" i="52080"/>
  <c r="H209" i="108"/>
  <c r="J209" i="108"/>
  <c r="C234" i="52104"/>
  <c r="C204" i="52104"/>
  <c r="L60" i="111"/>
  <c r="G235" i="52094"/>
  <c r="L235" i="52094" s="1"/>
  <c r="L60" i="52094"/>
  <c r="B60" i="52077"/>
  <c r="O245" i="52097"/>
  <c r="O205" i="52097"/>
  <c r="Q203" i="52097"/>
  <c r="Q245" i="52097" s="1"/>
  <c r="H205" i="52093"/>
  <c r="L205" i="52093" s="1"/>
  <c r="G209" i="52093"/>
  <c r="G247" i="52093"/>
  <c r="J247" i="52093" s="1"/>
  <c r="L247" i="52093" s="1"/>
  <c r="J205" i="52093"/>
  <c r="L247" i="32"/>
  <c r="J247" i="32"/>
  <c r="B235" i="110"/>
  <c r="B62" i="110"/>
  <c r="D62" i="111"/>
  <c r="D235" i="111"/>
  <c r="B62" i="52074"/>
  <c r="B233" i="52074"/>
  <c r="H209" i="21"/>
  <c r="G208" i="52098"/>
  <c r="J209" i="21"/>
  <c r="I60" i="52075"/>
  <c r="I233" i="52075" s="1"/>
  <c r="I204" i="52075"/>
  <c r="K62" i="52075"/>
  <c r="K234" i="52075" s="1"/>
  <c r="I234" i="52075"/>
  <c r="D234" i="52084"/>
  <c r="D204" i="52084"/>
  <c r="F251" i="233"/>
  <c r="F5" i="233"/>
  <c r="L46" i="110"/>
  <c r="L47" i="110" s="1"/>
  <c r="L53" i="110"/>
  <c r="L54" i="110" s="1"/>
  <c r="I245" i="52103"/>
  <c r="K204" i="52103"/>
  <c r="K245" i="52103" s="1"/>
  <c r="I208" i="52103"/>
  <c r="K208" i="52103" s="1"/>
  <c r="B247" i="52097"/>
  <c r="B209" i="52097"/>
  <c r="M243" i="52104"/>
  <c r="Q207" i="52097"/>
  <c r="C207" i="233"/>
  <c r="J209" i="52067"/>
  <c r="H209" i="52067"/>
  <c r="Q203" i="111"/>
  <c r="B62" i="233"/>
  <c r="B235" i="233"/>
  <c r="B246" i="52083"/>
  <c r="B208" i="52083"/>
  <c r="H205" i="12"/>
  <c r="G247" i="12"/>
  <c r="J247" i="12" s="1"/>
  <c r="L247" i="12" s="1"/>
  <c r="J205" i="12"/>
  <c r="G209" i="12"/>
  <c r="N62" i="52104"/>
  <c r="M62" i="52104"/>
  <c r="B234" i="52104"/>
  <c r="B204" i="52104"/>
  <c r="J62" i="52076"/>
  <c r="J235" i="52076" s="1"/>
  <c r="H204" i="52076"/>
  <c r="H235" i="52076"/>
  <c r="H60" i="52076"/>
  <c r="H234" i="52076" s="1"/>
  <c r="I240" i="233"/>
  <c r="K240" i="233" s="1"/>
  <c r="K129" i="233"/>
  <c r="J209" i="101"/>
  <c r="H209" i="101"/>
  <c r="E213" i="233"/>
  <c r="K213" i="110"/>
  <c r="N213" i="110"/>
  <c r="E204" i="52104"/>
  <c r="E234" i="52104"/>
  <c r="H205" i="115"/>
  <c r="G247" i="115"/>
  <c r="J247" i="115" s="1"/>
  <c r="L247" i="115" s="1"/>
  <c r="G209" i="115"/>
  <c r="L205" i="115"/>
  <c r="J205" i="115"/>
  <c r="N245" i="52097"/>
  <c r="N205" i="52097"/>
  <c r="R53" i="111"/>
  <c r="R54" i="111" s="1"/>
  <c r="V44" i="111"/>
  <c r="R46" i="111"/>
  <c r="G235" i="52090"/>
  <c r="L235" i="52090" s="1"/>
  <c r="H60" i="111"/>
  <c r="D60" i="52075"/>
  <c r="L60" i="52090"/>
  <c r="G246" i="52098"/>
  <c r="J204" i="52098"/>
  <c r="J246" i="52098" s="1"/>
  <c r="H246" i="52098"/>
  <c r="E46" i="233"/>
  <c r="E47" i="233" s="1"/>
  <c r="E53" i="233"/>
  <c r="E54" i="233" s="1"/>
  <c r="H209" i="52071"/>
  <c r="J209" i="52071"/>
  <c r="H209" i="52064"/>
  <c r="J209" i="52064"/>
  <c r="J243" i="52077"/>
  <c r="L243" i="52077" s="1"/>
  <c r="L202" i="52077"/>
  <c r="L207" i="32"/>
  <c r="T213" i="111"/>
  <c r="V213" i="111" s="1"/>
  <c r="I213" i="233"/>
  <c r="K213" i="233" s="1"/>
  <c r="D213" i="233"/>
  <c r="J209" i="52082"/>
  <c r="L209" i="52082" s="1"/>
  <c r="J247" i="52082"/>
  <c r="L205" i="52082"/>
  <c r="L247" i="52082" s="1"/>
  <c r="E249" i="111"/>
  <c r="E223" i="111"/>
  <c r="E224" i="111" s="1"/>
  <c r="P251" i="111"/>
  <c r="S217" i="111"/>
  <c r="S251" i="111" s="1"/>
  <c r="P5" i="111"/>
  <c r="P254" i="111"/>
  <c r="P224" i="111"/>
  <c r="G218" i="233"/>
  <c r="M211" i="52103"/>
  <c r="L215" i="12"/>
  <c r="L215" i="115"/>
  <c r="I214" i="52103"/>
  <c r="L215" i="48"/>
  <c r="H214" i="52076"/>
  <c r="H222" i="52076" s="1"/>
  <c r="D247" i="52103"/>
  <c r="G249" i="111"/>
  <c r="G223" i="111"/>
  <c r="G224" i="111" s="1"/>
  <c r="C247" i="52077"/>
  <c r="J223" i="111"/>
  <c r="J224" i="111" s="1"/>
  <c r="J249" i="111"/>
  <c r="C222" i="52098"/>
  <c r="C223" i="52098" s="1"/>
  <c r="C248" i="52098"/>
  <c r="C216" i="52098"/>
  <c r="C250" i="52098" s="1"/>
  <c r="C223" i="111"/>
  <c r="C224" i="111" s="1"/>
  <c r="C249" i="111"/>
  <c r="F223" i="111"/>
  <c r="F224" i="111" s="1"/>
  <c r="F249" i="111"/>
  <c r="G249" i="52097"/>
  <c r="G223" i="52097"/>
  <c r="G224" i="52097" s="1"/>
  <c r="G217" i="52097"/>
  <c r="G251" i="52097" s="1"/>
  <c r="N223" i="111"/>
  <c r="N224" i="111" s="1"/>
  <c r="N249" i="111"/>
  <c r="C249" i="52097"/>
  <c r="C223" i="52097"/>
  <c r="C224" i="52097" s="1"/>
  <c r="C217" i="52097"/>
  <c r="C251" i="52097" s="1"/>
  <c r="G223" i="110"/>
  <c r="G224" i="110" s="1"/>
  <c r="G249" i="110"/>
  <c r="B248" i="52102"/>
  <c r="C223" i="52082"/>
  <c r="C224" i="52082" s="1"/>
  <c r="C249" i="52082"/>
  <c r="C217" i="52082"/>
  <c r="C251" i="52082" s="1"/>
  <c r="H223" i="52097"/>
  <c r="H224" i="52097" s="1"/>
  <c r="H249" i="52097"/>
  <c r="H217" i="52097"/>
  <c r="H251" i="52097" s="1"/>
  <c r="C223" i="9"/>
  <c r="C224" i="9" s="1"/>
  <c r="C249" i="9"/>
  <c r="C217" i="9"/>
  <c r="C251" i="9" s="1"/>
  <c r="I223" i="52097"/>
  <c r="I224" i="52097" s="1"/>
  <c r="I217" i="52097"/>
  <c r="I251" i="52097" s="1"/>
  <c r="I249" i="52097"/>
  <c r="E247" i="52104"/>
  <c r="M249" i="111"/>
  <c r="M223" i="111"/>
  <c r="M224" i="111" s="1"/>
  <c r="H249" i="111"/>
  <c r="H223" i="111"/>
  <c r="H224" i="111" s="1"/>
  <c r="D248" i="52102"/>
  <c r="C249" i="110"/>
  <c r="C223" i="110"/>
  <c r="C224" i="110" s="1"/>
  <c r="C217" i="110"/>
  <c r="C251" i="110" s="1"/>
  <c r="D216" i="52104"/>
  <c r="D249" i="52104" s="1"/>
  <c r="D247" i="52104"/>
  <c r="G249" i="52089"/>
  <c r="L249" i="52089" s="1"/>
  <c r="H215" i="52089"/>
  <c r="G222" i="52089"/>
  <c r="J215" i="52089"/>
  <c r="G223" i="52089"/>
  <c r="G217" i="52089"/>
  <c r="D223" i="110"/>
  <c r="D224" i="110" s="1"/>
  <c r="D249" i="110"/>
  <c r="C247" i="52104"/>
  <c r="B247" i="52077"/>
  <c r="G249" i="91"/>
  <c r="L249" i="91" s="1"/>
  <c r="G222" i="91"/>
  <c r="G223" i="91"/>
  <c r="H215" i="91"/>
  <c r="J215" i="91"/>
  <c r="G217" i="91"/>
  <c r="D247" i="52084"/>
  <c r="C222" i="52083"/>
  <c r="C223" i="52083" s="1"/>
  <c r="C248" i="52083"/>
  <c r="I214" i="52076"/>
  <c r="I248" i="52076" s="1"/>
  <c r="D248" i="52076"/>
  <c r="F223" i="52098"/>
  <c r="F253" i="52098"/>
  <c r="K211" i="52098"/>
  <c r="B212" i="9"/>
  <c r="G212" i="9" s="1"/>
  <c r="G211" i="52098"/>
  <c r="B211" i="52098"/>
  <c r="H211" i="52098" s="1"/>
  <c r="J211" i="52098" s="1"/>
  <c r="J212" i="21"/>
  <c r="J211" i="52082"/>
  <c r="G249" i="32"/>
  <c r="L249" i="32" s="1"/>
  <c r="G217" i="32"/>
  <c r="G222" i="32"/>
  <c r="G223" i="32"/>
  <c r="H215" i="32"/>
  <c r="J215" i="32"/>
  <c r="E222" i="52075"/>
  <c r="L223" i="52080"/>
  <c r="B248" i="52083"/>
  <c r="H214" i="52083"/>
  <c r="B216" i="52083"/>
  <c r="B250" i="52083" s="1"/>
  <c r="B222" i="52083"/>
  <c r="B223" i="52083" s="1"/>
  <c r="I214" i="52083"/>
  <c r="C254" i="52097"/>
  <c r="B253" i="52083"/>
  <c r="D249" i="52082"/>
  <c r="D223" i="52082"/>
  <c r="D224" i="52082" s="1"/>
  <c r="D217" i="52082"/>
  <c r="D251" i="52082" s="1"/>
  <c r="D222" i="52083"/>
  <c r="D223" i="52083" s="1"/>
  <c r="D248" i="52083"/>
  <c r="D216" i="52083"/>
  <c r="D250" i="52083" s="1"/>
  <c r="D222" i="52098"/>
  <c r="D223" i="52098" s="1"/>
  <c r="D248" i="52098"/>
  <c r="D216" i="52098"/>
  <c r="D250" i="52098" s="1"/>
  <c r="J215" i="52093"/>
  <c r="H215" i="52093"/>
  <c r="G249" i="52093"/>
  <c r="L249" i="52093" s="1"/>
  <c r="G222" i="52093"/>
  <c r="G223" i="52093"/>
  <c r="L249" i="111"/>
  <c r="L223" i="111"/>
  <c r="L224" i="111" s="1"/>
  <c r="I214" i="52077"/>
  <c r="I247" i="52077" s="1"/>
  <c r="D247" i="52077"/>
  <c r="K214" i="52103"/>
  <c r="K247" i="52103" s="1"/>
  <c r="I247" i="52103"/>
  <c r="I222" i="52103"/>
  <c r="B222" i="52103"/>
  <c r="B221" i="52084"/>
  <c r="G254" i="48"/>
  <c r="L222" i="48"/>
  <c r="P217" i="52097"/>
  <c r="P251" i="52097" s="1"/>
  <c r="M5" i="52097"/>
  <c r="M251" i="52097"/>
  <c r="C222" i="52077"/>
  <c r="L223" i="52092"/>
  <c r="C216" i="52083"/>
  <c r="C250" i="52083" s="1"/>
  <c r="H214" i="52084"/>
  <c r="G215" i="21"/>
  <c r="J215" i="101"/>
  <c r="G249" i="101"/>
  <c r="G223" i="101"/>
  <c r="G222" i="101"/>
  <c r="G254" i="101" s="1"/>
  <c r="H215" i="101"/>
  <c r="G217" i="101"/>
  <c r="G249" i="52067"/>
  <c r="G217" i="52067"/>
  <c r="H215" i="52067"/>
  <c r="G223" i="52067"/>
  <c r="G222" i="52067"/>
  <c r="G254" i="52067" s="1"/>
  <c r="H254" i="52097" s="1"/>
  <c r="J215" i="52067"/>
  <c r="E223" i="52097"/>
  <c r="E224" i="52097" s="1"/>
  <c r="E249" i="52097"/>
  <c r="E217" i="52097"/>
  <c r="E251" i="52097" s="1"/>
  <c r="H223" i="110"/>
  <c r="H224" i="110" s="1"/>
  <c r="H249" i="110"/>
  <c r="D223" i="52097"/>
  <c r="D224" i="52097" s="1"/>
  <c r="D217" i="52097"/>
  <c r="D251" i="52097" s="1"/>
  <c r="D249" i="52097"/>
  <c r="E223" i="110"/>
  <c r="E224" i="110" s="1"/>
  <c r="E249" i="110"/>
  <c r="F223" i="52097"/>
  <c r="F224" i="52097" s="1"/>
  <c r="F249" i="52097"/>
  <c r="F217" i="52097"/>
  <c r="F251" i="52097" s="1"/>
  <c r="F223" i="9"/>
  <c r="F249" i="9"/>
  <c r="J254" i="110"/>
  <c r="M254" i="110" s="1"/>
  <c r="J224" i="110"/>
  <c r="G250" i="52102"/>
  <c r="J216" i="52102"/>
  <c r="J250" i="52102" s="1"/>
  <c r="G5" i="52102"/>
  <c r="M211" i="52104"/>
  <c r="N211" i="52104"/>
  <c r="G249" i="148"/>
  <c r="G217" i="148"/>
  <c r="H215" i="148"/>
  <c r="G223" i="148"/>
  <c r="G222" i="148"/>
  <c r="G254" i="148" s="1"/>
  <c r="J215" i="148"/>
  <c r="G254" i="52095"/>
  <c r="B221" i="52075"/>
  <c r="L222" i="52095"/>
  <c r="L211" i="110"/>
  <c r="F223" i="52082"/>
  <c r="F224" i="52082" s="1"/>
  <c r="F249" i="52082"/>
  <c r="F217" i="52082"/>
  <c r="F251" i="52082" s="1"/>
  <c r="D223" i="111"/>
  <c r="D224" i="111" s="1"/>
  <c r="D249" i="111"/>
  <c r="C248" i="52076"/>
  <c r="E5" i="9"/>
  <c r="H217" i="9"/>
  <c r="H251" i="9" s="1"/>
  <c r="E251" i="9"/>
  <c r="H247" i="52074"/>
  <c r="H221" i="52074"/>
  <c r="J214" i="52074"/>
  <c r="J247" i="52074" s="1"/>
  <c r="H210" i="52098"/>
  <c r="J210" i="52098" s="1"/>
  <c r="B214" i="52098"/>
  <c r="H224" i="52082"/>
  <c r="H254" i="52082"/>
  <c r="J212" i="114"/>
  <c r="B212" i="111"/>
  <c r="R212" i="111" s="1"/>
  <c r="L212" i="114"/>
  <c r="C211" i="52075"/>
  <c r="C214" i="52075" s="1"/>
  <c r="J217" i="52081"/>
  <c r="H217" i="52081"/>
  <c r="G251" i="52081"/>
  <c r="G5" i="52081"/>
  <c r="G218" i="110"/>
  <c r="D217" i="52103"/>
  <c r="D217" i="52084"/>
  <c r="R211" i="111"/>
  <c r="C222" i="52084"/>
  <c r="C223" i="52103"/>
  <c r="L223" i="52066"/>
  <c r="H248" i="52076"/>
  <c r="J214" i="52076"/>
  <c r="J248" i="52076" s="1"/>
  <c r="D221" i="52075"/>
  <c r="G254" i="52090"/>
  <c r="L222" i="52090"/>
  <c r="G251" i="52088"/>
  <c r="J251" i="52088" s="1"/>
  <c r="E218" i="52082"/>
  <c r="H217" i="52088"/>
  <c r="F218" i="52097"/>
  <c r="J217" i="52088"/>
  <c r="B223" i="52102"/>
  <c r="L223" i="52100"/>
  <c r="J217" i="52087"/>
  <c r="E218" i="52097"/>
  <c r="C218" i="52082"/>
  <c r="H217" i="52087"/>
  <c r="G251" i="52087"/>
  <c r="J251" i="52087" s="1"/>
  <c r="J215" i="52099"/>
  <c r="G217" i="52099"/>
  <c r="G222" i="52099"/>
  <c r="G254" i="52099" s="1"/>
  <c r="H215" i="52099"/>
  <c r="G223" i="52099"/>
  <c r="G249" i="52099"/>
  <c r="G223" i="20"/>
  <c r="G217" i="20"/>
  <c r="H215" i="20"/>
  <c r="G222" i="20"/>
  <c r="G249" i="20"/>
  <c r="L249" i="20" s="1"/>
  <c r="J215" i="20"/>
  <c r="G249" i="52071"/>
  <c r="G222" i="52071"/>
  <c r="G254" i="52071" s="1"/>
  <c r="I254" i="52097" s="1"/>
  <c r="G223" i="52071"/>
  <c r="G217" i="52071"/>
  <c r="H215" i="52071"/>
  <c r="J215" i="52071"/>
  <c r="G249" i="52094"/>
  <c r="L249" i="52094" s="1"/>
  <c r="J215" i="52094"/>
  <c r="G223" i="52094"/>
  <c r="H215" i="52094"/>
  <c r="L215" i="52094" s="1"/>
  <c r="G222" i="52094"/>
  <c r="F249" i="110"/>
  <c r="F223" i="110"/>
  <c r="F224" i="110" s="1"/>
  <c r="E222" i="52083"/>
  <c r="E223" i="52083" s="1"/>
  <c r="E248" i="52083"/>
  <c r="E216" i="52083"/>
  <c r="E250" i="52083" s="1"/>
  <c r="J223" i="52097"/>
  <c r="J224" i="52097" s="1"/>
  <c r="J249" i="52097"/>
  <c r="J217" i="52097"/>
  <c r="J251" i="52097" s="1"/>
  <c r="E223" i="52082"/>
  <c r="E224" i="52082" s="1"/>
  <c r="E249" i="52082"/>
  <c r="E217" i="52082"/>
  <c r="E251" i="52082" s="1"/>
  <c r="J215" i="233"/>
  <c r="G217" i="233"/>
  <c r="G223" i="233"/>
  <c r="G224" i="233" s="1"/>
  <c r="G249" i="233"/>
  <c r="J249" i="233" s="1"/>
  <c r="J251" i="110"/>
  <c r="J5" i="110"/>
  <c r="M217" i="110"/>
  <c r="M251" i="110" s="1"/>
  <c r="I216" i="52098"/>
  <c r="I250" i="52098" s="1"/>
  <c r="F5" i="52098"/>
  <c r="F250" i="52098"/>
  <c r="I211" i="52083"/>
  <c r="K211" i="52083" s="1"/>
  <c r="H211" i="52083"/>
  <c r="B212" i="52082"/>
  <c r="J212" i="52082" s="1"/>
  <c r="L212" i="52082" s="1"/>
  <c r="B212" i="52097"/>
  <c r="O212" i="52097" s="1"/>
  <c r="J212" i="148"/>
  <c r="O211" i="52097"/>
  <c r="B215" i="52097"/>
  <c r="B222" i="52075"/>
  <c r="L223" i="52095"/>
  <c r="C217" i="52098"/>
  <c r="H217" i="52064"/>
  <c r="C218" i="9"/>
  <c r="G251" i="52064"/>
  <c r="J251" i="52064" s="1"/>
  <c r="J217" i="52064"/>
  <c r="I214" i="52102"/>
  <c r="K210" i="52102"/>
  <c r="E221" i="52075"/>
  <c r="G254" i="52080"/>
  <c r="L222" i="52080"/>
  <c r="C222" i="52074"/>
  <c r="E222" i="52104"/>
  <c r="L223" i="115"/>
  <c r="G254" i="115"/>
  <c r="L222" i="115"/>
  <c r="C221" i="52074"/>
  <c r="E221" i="52104"/>
  <c r="C218" i="52097"/>
  <c r="H217" i="105"/>
  <c r="G251" i="105"/>
  <c r="J251" i="105" s="1"/>
  <c r="B217" i="52083"/>
  <c r="J217" i="105"/>
  <c r="K223" i="52097"/>
  <c r="K224" i="52097" s="1"/>
  <c r="K217" i="52097"/>
  <c r="K251" i="52097" s="1"/>
  <c r="K249" i="52097"/>
  <c r="G249" i="52072"/>
  <c r="L249" i="52072" s="1"/>
  <c r="H215" i="52072"/>
  <c r="G217" i="52072"/>
  <c r="G223" i="52072"/>
  <c r="G222" i="52072"/>
  <c r="J215" i="52072"/>
  <c r="H215" i="77"/>
  <c r="G249" i="77"/>
  <c r="L249" i="77" s="1"/>
  <c r="G223" i="77"/>
  <c r="G222" i="77"/>
  <c r="G217" i="77"/>
  <c r="J215" i="77"/>
  <c r="E254" i="9"/>
  <c r="E224" i="9"/>
  <c r="B215" i="9"/>
  <c r="G211" i="9"/>
  <c r="K217" i="52082"/>
  <c r="K251" i="52082" s="1"/>
  <c r="H251" i="52082"/>
  <c r="I251" i="114"/>
  <c r="B212" i="110"/>
  <c r="L212" i="110" s="1"/>
  <c r="E211" i="52102"/>
  <c r="J212" i="32"/>
  <c r="L212" i="32" s="1"/>
  <c r="B222" i="52084"/>
  <c r="B223" i="52103"/>
  <c r="L223" i="48"/>
  <c r="H217" i="108"/>
  <c r="G251" i="108"/>
  <c r="J251" i="108" s="1"/>
  <c r="E217" i="52083"/>
  <c r="D218" i="52097"/>
  <c r="J217" i="108"/>
  <c r="D222" i="52084"/>
  <c r="D223" i="52103"/>
  <c r="D222" i="52103"/>
  <c r="D221" i="52084"/>
  <c r="G254" i="52081"/>
  <c r="C222" i="52103"/>
  <c r="C221" i="52084"/>
  <c r="G254" i="52066"/>
  <c r="L222" i="52066"/>
  <c r="D222" i="52075"/>
  <c r="L223" i="52090"/>
  <c r="F254" i="52097"/>
  <c r="E254" i="52082"/>
  <c r="G5" i="52075"/>
  <c r="G249" i="52075"/>
  <c r="J216" i="52075"/>
  <c r="J249" i="52075" s="1"/>
  <c r="M224" i="52097"/>
  <c r="M254" i="52097"/>
  <c r="P254" i="52097" s="1"/>
  <c r="G254" i="52100"/>
  <c r="B253" i="52102" s="1"/>
  <c r="L222" i="52100"/>
  <c r="B222" i="52102"/>
  <c r="E254" i="52097"/>
  <c r="C254" i="52082"/>
  <c r="G254" i="52092"/>
  <c r="C221" i="52077"/>
  <c r="L222" i="52092"/>
  <c r="I216" i="52103"/>
  <c r="G217" i="52094"/>
  <c r="M211" i="52102"/>
  <c r="P45" i="52096"/>
  <c r="E214" i="52102"/>
  <c r="E248" i="52102" s="1"/>
  <c r="I214" i="52104"/>
  <c r="L210" i="52077"/>
  <c r="K214" i="52098"/>
  <c r="H214" i="52077"/>
  <c r="M210" i="52102"/>
  <c r="I211" i="52075"/>
  <c r="L211" i="52077"/>
  <c r="B214" i="52103"/>
  <c r="G215" i="114"/>
  <c r="L215" i="52066"/>
  <c r="B214" i="52104"/>
  <c r="L215" i="52090"/>
  <c r="L215" i="52092"/>
  <c r="H223" i="52076"/>
  <c r="H253" i="52076"/>
  <c r="I249" i="52103"/>
  <c r="I5" i="52103"/>
  <c r="K216" i="52103"/>
  <c r="K249" i="52103" s="1"/>
  <c r="M215" i="21"/>
  <c r="L215" i="91" l="1"/>
  <c r="L209" i="20"/>
  <c r="L209" i="32"/>
  <c r="L205" i="52089"/>
  <c r="L205" i="77"/>
  <c r="L215" i="77"/>
  <c r="D62" i="52075"/>
  <c r="D233" i="52075"/>
  <c r="N247" i="52097"/>
  <c r="N209" i="52097"/>
  <c r="H209" i="115"/>
  <c r="J209" i="115"/>
  <c r="G217" i="115"/>
  <c r="E208" i="52104"/>
  <c r="E216" i="52104" s="1"/>
  <c r="E249" i="52104" s="1"/>
  <c r="E245" i="52104"/>
  <c r="H213" i="233"/>
  <c r="K215" i="110"/>
  <c r="K249" i="110" s="1"/>
  <c r="N249" i="110" s="1"/>
  <c r="H208" i="52076"/>
  <c r="H246" i="52076"/>
  <c r="J204" i="52076"/>
  <c r="J246" i="52076" s="1"/>
  <c r="B245" i="52104"/>
  <c r="B208" i="52104"/>
  <c r="N204" i="52104"/>
  <c r="G217" i="12"/>
  <c r="H209" i="12"/>
  <c r="J209" i="12"/>
  <c r="Q245" i="111"/>
  <c r="V245" i="111" s="1"/>
  <c r="V203" i="111"/>
  <c r="B205" i="110"/>
  <c r="B236" i="110"/>
  <c r="G217" i="52093"/>
  <c r="H209" i="52093"/>
  <c r="J209" i="52093"/>
  <c r="L235" i="111"/>
  <c r="L62" i="111"/>
  <c r="E233" i="52075"/>
  <c r="E62" i="52075"/>
  <c r="N62" i="111"/>
  <c r="N235" i="111"/>
  <c r="H208" i="52083"/>
  <c r="H216" i="52083" s="1"/>
  <c r="H246" i="52083"/>
  <c r="B234" i="52102"/>
  <c r="B62" i="52102"/>
  <c r="M60" i="52102"/>
  <c r="H62" i="110"/>
  <c r="H235" i="110"/>
  <c r="C235" i="233"/>
  <c r="C62" i="233"/>
  <c r="J204" i="52084"/>
  <c r="J245" i="52084" s="1"/>
  <c r="H208" i="52084"/>
  <c r="J208" i="52084" s="1"/>
  <c r="H245" i="52084"/>
  <c r="B62" i="52084"/>
  <c r="B233" i="52084"/>
  <c r="F62" i="110"/>
  <c r="F235" i="110"/>
  <c r="L209" i="91"/>
  <c r="J247" i="52090"/>
  <c r="L247" i="52090" s="1"/>
  <c r="G217" i="52090"/>
  <c r="H209" i="52090"/>
  <c r="J209" i="52090"/>
  <c r="G62" i="111"/>
  <c r="G235" i="111"/>
  <c r="D62" i="52074"/>
  <c r="D233" i="52074"/>
  <c r="H209" i="52089"/>
  <c r="J209" i="52089"/>
  <c r="H245" i="52074"/>
  <c r="H208" i="52074"/>
  <c r="J204" i="52074"/>
  <c r="J245" i="52074" s="1"/>
  <c r="D235" i="110"/>
  <c r="D62" i="110"/>
  <c r="T207" i="111"/>
  <c r="V207" i="111" s="1"/>
  <c r="D207" i="233"/>
  <c r="H209" i="52066"/>
  <c r="J209" i="52066"/>
  <c r="G217" i="52066"/>
  <c r="C233" i="52084"/>
  <c r="C62" i="52084"/>
  <c r="C235" i="111"/>
  <c r="C62" i="111"/>
  <c r="E235" i="111"/>
  <c r="E62" i="111"/>
  <c r="B221" i="52104"/>
  <c r="B222" i="52104" s="1"/>
  <c r="B222" i="52076"/>
  <c r="B223" i="52076" s="1"/>
  <c r="L223" i="12"/>
  <c r="D46" i="233"/>
  <c r="D47" i="233" s="1"/>
  <c r="D53" i="233"/>
  <c r="D54" i="233" s="1"/>
  <c r="E204" i="52103"/>
  <c r="E234" i="52103"/>
  <c r="D208" i="52103"/>
  <c r="D216" i="52103" s="1"/>
  <c r="D249" i="52103" s="1"/>
  <c r="D245" i="52103"/>
  <c r="G209" i="110"/>
  <c r="G217" i="110" s="1"/>
  <c r="G251" i="110" s="1"/>
  <c r="G247" i="110"/>
  <c r="J209" i="52095"/>
  <c r="H209" i="52095"/>
  <c r="G217" i="52095"/>
  <c r="L205" i="52095"/>
  <c r="B233" i="52075"/>
  <c r="B62" i="52075"/>
  <c r="K235" i="111"/>
  <c r="K62" i="111"/>
  <c r="K223" i="111"/>
  <c r="K224" i="111" s="1"/>
  <c r="D233" i="52077"/>
  <c r="D62" i="52077"/>
  <c r="D62" i="52076"/>
  <c r="D234" i="52076"/>
  <c r="L205" i="52094"/>
  <c r="H209" i="77"/>
  <c r="J209" i="77"/>
  <c r="L205" i="52080"/>
  <c r="J247" i="52092"/>
  <c r="L247" i="52092" s="1"/>
  <c r="J62" i="111"/>
  <c r="J235" i="111"/>
  <c r="H235" i="111"/>
  <c r="H62" i="111"/>
  <c r="R47" i="111"/>
  <c r="V47" i="111" s="1"/>
  <c r="V46" i="111"/>
  <c r="N234" i="52104"/>
  <c r="M234" i="52104"/>
  <c r="L205" i="12"/>
  <c r="B236" i="233"/>
  <c r="B205" i="233"/>
  <c r="D208" i="52084"/>
  <c r="D216" i="52084" s="1"/>
  <c r="D249" i="52084" s="1"/>
  <c r="D245" i="52084"/>
  <c r="I208" i="52075"/>
  <c r="K208" i="52075" s="1"/>
  <c r="I245" i="52075"/>
  <c r="K204" i="52075"/>
  <c r="K245" i="52075" s="1"/>
  <c r="B234" i="52074"/>
  <c r="B204" i="52074"/>
  <c r="D236" i="111"/>
  <c r="D205" i="111"/>
  <c r="Q205" i="52097"/>
  <c r="Q247" i="52097" s="1"/>
  <c r="O247" i="52097"/>
  <c r="O209" i="52097"/>
  <c r="Q209" i="52097" s="1"/>
  <c r="B233" i="52077"/>
  <c r="B62" i="52077"/>
  <c r="L60" i="52077"/>
  <c r="C245" i="52104"/>
  <c r="C208" i="52104"/>
  <c r="C216" i="52104" s="1"/>
  <c r="C249" i="52104" s="1"/>
  <c r="I208" i="52083"/>
  <c r="K204" i="52083"/>
  <c r="K246" i="52083" s="1"/>
  <c r="I246" i="52083"/>
  <c r="H209" i="48"/>
  <c r="J209" i="48"/>
  <c r="G217" i="48"/>
  <c r="B233" i="52103"/>
  <c r="B62" i="52103"/>
  <c r="M60" i="52103"/>
  <c r="C234" i="52102"/>
  <c r="M234" i="52102" s="1"/>
  <c r="C62" i="52102"/>
  <c r="H209" i="52072"/>
  <c r="J209" i="52072"/>
  <c r="D62" i="52102"/>
  <c r="D234" i="52102"/>
  <c r="C233" i="52103"/>
  <c r="C62" i="52103"/>
  <c r="E62" i="110"/>
  <c r="E235" i="110"/>
  <c r="C62" i="52074"/>
  <c r="C233" i="52074"/>
  <c r="K204" i="52104"/>
  <c r="I208" i="52104"/>
  <c r="I245" i="52104"/>
  <c r="F245" i="9"/>
  <c r="F205" i="9"/>
  <c r="L222" i="12"/>
  <c r="G254" i="12"/>
  <c r="N60" i="52104"/>
  <c r="B233" i="52104"/>
  <c r="M60" i="52104"/>
  <c r="B234" i="52076"/>
  <c r="B62" i="52076"/>
  <c r="M233" i="52103"/>
  <c r="H217" i="52079"/>
  <c r="J218" i="52097"/>
  <c r="J217" i="52079"/>
  <c r="C217" i="52083"/>
  <c r="G251" i="52079"/>
  <c r="J251" i="52079" s="1"/>
  <c r="M235" i="111"/>
  <c r="M62" i="111"/>
  <c r="E204" i="52102"/>
  <c r="E235" i="52102"/>
  <c r="I207" i="233"/>
  <c r="K207" i="233" s="1"/>
  <c r="J209" i="52094"/>
  <c r="H209" i="52094"/>
  <c r="H208" i="52077"/>
  <c r="H245" i="52077"/>
  <c r="J204" i="52077"/>
  <c r="J245" i="52077" s="1"/>
  <c r="J247" i="77"/>
  <c r="L247" i="77" s="1"/>
  <c r="C62" i="52076"/>
  <c r="C234" i="52076"/>
  <c r="F62" i="111"/>
  <c r="F235" i="111"/>
  <c r="J209" i="52080"/>
  <c r="H209" i="52080"/>
  <c r="G217" i="52080"/>
  <c r="H209" i="52092"/>
  <c r="J209" i="52092"/>
  <c r="G217" i="52092"/>
  <c r="C233" i="52077"/>
  <c r="C62" i="52077"/>
  <c r="H209" i="52100"/>
  <c r="L209" i="52100" s="1"/>
  <c r="J209" i="52100"/>
  <c r="G217" i="52100"/>
  <c r="I208" i="52102"/>
  <c r="K208" i="52102" s="1"/>
  <c r="K204" i="52102"/>
  <c r="K246" i="52102" s="1"/>
  <c r="I246" i="52102"/>
  <c r="L215" i="52093"/>
  <c r="C247" i="52075"/>
  <c r="C216" i="52075"/>
  <c r="B247" i="52104"/>
  <c r="N214" i="52104"/>
  <c r="H215" i="114"/>
  <c r="G217" i="114"/>
  <c r="G222" i="114"/>
  <c r="G223" i="114"/>
  <c r="G249" i="114"/>
  <c r="L249" i="114" s="1"/>
  <c r="J215" i="114"/>
  <c r="K248" i="52098"/>
  <c r="K222" i="52098"/>
  <c r="K216" i="52098"/>
  <c r="K250" i="52098" s="1"/>
  <c r="I247" i="52104"/>
  <c r="K214" i="52104"/>
  <c r="K247" i="52104" s="1"/>
  <c r="I221" i="52104"/>
  <c r="L218" i="111"/>
  <c r="G251" i="52094"/>
  <c r="J251" i="52094" s="1"/>
  <c r="L251" i="52094" s="1"/>
  <c r="H217" i="52094"/>
  <c r="G5" i="52094"/>
  <c r="H5" i="52094" s="1"/>
  <c r="B217" i="52077"/>
  <c r="J217" i="52094"/>
  <c r="H250" i="52083"/>
  <c r="H5" i="52083"/>
  <c r="C252" i="52077"/>
  <c r="J254" i="111"/>
  <c r="F254" i="110"/>
  <c r="D252" i="52103"/>
  <c r="E212" i="233"/>
  <c r="N212" i="110"/>
  <c r="G215" i="9"/>
  <c r="B249" i="9"/>
  <c r="B223" i="9"/>
  <c r="B224" i="9" s="1"/>
  <c r="B217" i="9"/>
  <c r="B251" i="9" s="1"/>
  <c r="H254" i="9"/>
  <c r="G254" i="233"/>
  <c r="J254" i="233" s="1"/>
  <c r="G5" i="77"/>
  <c r="H217" i="77"/>
  <c r="F218" i="111"/>
  <c r="G251" i="77"/>
  <c r="C217" i="52104"/>
  <c r="J217" i="77"/>
  <c r="C221" i="52104"/>
  <c r="C222" i="52076"/>
  <c r="C223" i="52076" s="1"/>
  <c r="L223" i="77"/>
  <c r="G254" i="52072"/>
  <c r="D222" i="52102"/>
  <c r="L222" i="52072"/>
  <c r="J217" i="52072"/>
  <c r="H217" i="52072"/>
  <c r="L217" i="52072" s="1"/>
  <c r="D218" i="110"/>
  <c r="G251" i="52072"/>
  <c r="D217" i="52102"/>
  <c r="G5" i="52072"/>
  <c r="E252" i="52104"/>
  <c r="C254" i="111"/>
  <c r="K214" i="52102"/>
  <c r="K248" i="52102" s="1"/>
  <c r="I248" i="52102"/>
  <c r="I222" i="52102"/>
  <c r="I223" i="52102" s="1"/>
  <c r="I253" i="52102" s="1"/>
  <c r="I216" i="52102"/>
  <c r="O215" i="52097"/>
  <c r="Q211" i="52097"/>
  <c r="C211" i="233"/>
  <c r="N211" i="52097"/>
  <c r="Q212" i="52097"/>
  <c r="N212" i="52097"/>
  <c r="H212" i="233" s="1"/>
  <c r="C212" i="233"/>
  <c r="G5" i="233"/>
  <c r="G251" i="233"/>
  <c r="J251" i="233" s="1"/>
  <c r="J217" i="233"/>
  <c r="H217" i="52071"/>
  <c r="I218" i="52097"/>
  <c r="J217" i="52071"/>
  <c r="D217" i="52098"/>
  <c r="G251" i="52071"/>
  <c r="J251" i="52071" s="1"/>
  <c r="D221" i="52104"/>
  <c r="B221" i="52074"/>
  <c r="G254" i="20"/>
  <c r="L222" i="20"/>
  <c r="B217" i="52074"/>
  <c r="G5" i="20"/>
  <c r="H217" i="20"/>
  <c r="D217" i="52104"/>
  <c r="G251" i="20"/>
  <c r="J251" i="20" s="1"/>
  <c r="L251" i="20" s="1"/>
  <c r="D218" i="111"/>
  <c r="J217" i="20"/>
  <c r="L217" i="20" s="1"/>
  <c r="H217" i="52074"/>
  <c r="H217" i="52099"/>
  <c r="F218" i="52082"/>
  <c r="G251" i="52099"/>
  <c r="J251" i="52099" s="1"/>
  <c r="K218" i="52097"/>
  <c r="J217" i="52099"/>
  <c r="J251" i="52081"/>
  <c r="H252" i="52074"/>
  <c r="H222" i="52074"/>
  <c r="B252" i="52075"/>
  <c r="M254" i="111"/>
  <c r="B254" i="52082"/>
  <c r="B254" i="52097"/>
  <c r="G251" i="52067"/>
  <c r="J251" i="52067" s="1"/>
  <c r="H218" i="52097"/>
  <c r="H217" i="52067"/>
  <c r="D217" i="52083"/>
  <c r="J217" i="52067"/>
  <c r="J217" i="101"/>
  <c r="G218" i="52097"/>
  <c r="H217" i="101"/>
  <c r="D218" i="52082"/>
  <c r="G251" i="101"/>
  <c r="J251" i="101" s="1"/>
  <c r="D254" i="52082"/>
  <c r="G254" i="52097"/>
  <c r="G249" i="21"/>
  <c r="H215" i="21"/>
  <c r="G222" i="21"/>
  <c r="G217" i="21"/>
  <c r="G214" i="52098"/>
  <c r="G222" i="52098" s="1"/>
  <c r="G223" i="21"/>
  <c r="J215" i="21"/>
  <c r="B252" i="52103"/>
  <c r="G254" i="110"/>
  <c r="H254" i="110"/>
  <c r="L223" i="52093"/>
  <c r="D222" i="52076"/>
  <c r="D223" i="52076" s="1"/>
  <c r="D222" i="52077"/>
  <c r="I248" i="52083"/>
  <c r="K214" i="52083"/>
  <c r="K248" i="52083" s="1"/>
  <c r="I222" i="52083"/>
  <c r="G254" i="32"/>
  <c r="L222" i="32"/>
  <c r="E222" i="52102"/>
  <c r="B212" i="233"/>
  <c r="I212" i="9"/>
  <c r="I212" i="233"/>
  <c r="K212" i="233" s="1"/>
  <c r="K218" i="110"/>
  <c r="E217" i="52103"/>
  <c r="H217" i="91"/>
  <c r="C218" i="110"/>
  <c r="J217" i="91"/>
  <c r="L217" i="91" s="1"/>
  <c r="G5" i="91"/>
  <c r="I217" i="52103"/>
  <c r="G251" i="91"/>
  <c r="J251" i="91" s="1"/>
  <c r="L251" i="91" s="1"/>
  <c r="E223" i="52103"/>
  <c r="L223" i="91"/>
  <c r="G218" i="111"/>
  <c r="H217" i="52089"/>
  <c r="G5" i="52089"/>
  <c r="C217" i="52102"/>
  <c r="J217" i="52089"/>
  <c r="D217" i="52074"/>
  <c r="G251" i="52089"/>
  <c r="J251" i="52089" s="1"/>
  <c r="L251" i="52089" s="1"/>
  <c r="I217" i="52102"/>
  <c r="L215" i="20"/>
  <c r="B215" i="111"/>
  <c r="B215" i="110"/>
  <c r="L215" i="32"/>
  <c r="B215" i="52082"/>
  <c r="L215" i="52089"/>
  <c r="M214" i="52102"/>
  <c r="B247" i="52103"/>
  <c r="M247" i="52103" s="1"/>
  <c r="M214" i="52103"/>
  <c r="K211" i="52075"/>
  <c r="I214" i="52075"/>
  <c r="H247" i="52077"/>
  <c r="J214" i="52077"/>
  <c r="J247" i="52077" s="1"/>
  <c r="L247" i="52077" s="1"/>
  <c r="H221" i="52077"/>
  <c r="D254" i="110"/>
  <c r="C252" i="52103"/>
  <c r="I211" i="233"/>
  <c r="B211" i="233"/>
  <c r="B215" i="233" s="1"/>
  <c r="I211" i="9"/>
  <c r="G254" i="77"/>
  <c r="L222" i="77"/>
  <c r="D223" i="52102"/>
  <c r="L223" i="52072"/>
  <c r="E252" i="52075"/>
  <c r="N254" i="111"/>
  <c r="B223" i="52097"/>
  <c r="B224" i="52097" s="1"/>
  <c r="B249" i="52097"/>
  <c r="B217" i="52097"/>
  <c r="B221" i="52077"/>
  <c r="L222" i="52094"/>
  <c r="G254" i="52094"/>
  <c r="B222" i="52077"/>
  <c r="L223" i="52094"/>
  <c r="D222" i="52104"/>
  <c r="B222" i="52074"/>
  <c r="L223" i="20"/>
  <c r="F254" i="52082"/>
  <c r="K254" i="52097"/>
  <c r="D252" i="52075"/>
  <c r="H254" i="111"/>
  <c r="R215" i="111"/>
  <c r="T211" i="111"/>
  <c r="V211" i="111" s="1"/>
  <c r="D211" i="233"/>
  <c r="H6" i="52081"/>
  <c r="H5" i="52081"/>
  <c r="D212" i="233"/>
  <c r="T212" i="111"/>
  <c r="V212" i="111" s="1"/>
  <c r="B216" i="52098"/>
  <c r="B222" i="52098"/>
  <c r="B223" i="52098" s="1"/>
  <c r="B248" i="52098"/>
  <c r="H214" i="52098"/>
  <c r="E211" i="233"/>
  <c r="E215" i="233" s="1"/>
  <c r="E249" i="233" s="1"/>
  <c r="N211" i="110"/>
  <c r="L215" i="110"/>
  <c r="B218" i="52082"/>
  <c r="J218" i="52082" s="1"/>
  <c r="G251" i="148"/>
  <c r="J251" i="148" s="1"/>
  <c r="N218" i="52097"/>
  <c r="B218" i="52097"/>
  <c r="H217" i="148"/>
  <c r="J217" i="148"/>
  <c r="F254" i="9"/>
  <c r="F224" i="9"/>
  <c r="H221" i="52084"/>
  <c r="H247" i="52084"/>
  <c r="J214" i="52084"/>
  <c r="J247" i="52084" s="1"/>
  <c r="H216" i="52084"/>
  <c r="I223" i="52103"/>
  <c r="M223" i="52103" s="1"/>
  <c r="I252" i="52103"/>
  <c r="D221" i="52077"/>
  <c r="L221" i="52077" s="1"/>
  <c r="G254" i="52093"/>
  <c r="L222" i="52093"/>
  <c r="H222" i="52083"/>
  <c r="H248" i="52083"/>
  <c r="E223" i="52102"/>
  <c r="L223" i="32"/>
  <c r="J217" i="32"/>
  <c r="E217" i="52102"/>
  <c r="G251" i="32"/>
  <c r="J251" i="32" s="1"/>
  <c r="L251" i="32" s="1"/>
  <c r="B218" i="110"/>
  <c r="G5" i="32"/>
  <c r="H217" i="32"/>
  <c r="J215" i="52082"/>
  <c r="L211" i="52082"/>
  <c r="G254" i="91"/>
  <c r="E222" i="52103"/>
  <c r="M222" i="52103" s="1"/>
  <c r="L222" i="91"/>
  <c r="D222" i="52074"/>
  <c r="C223" i="52102"/>
  <c r="M223" i="52102" s="1"/>
  <c r="L223" i="52089"/>
  <c r="D221" i="52074"/>
  <c r="C222" i="52102"/>
  <c r="M222" i="52102" s="1"/>
  <c r="G254" i="52089"/>
  <c r="L222" i="52089"/>
  <c r="L215" i="52072"/>
  <c r="L214" i="52077"/>
  <c r="M217" i="21"/>
  <c r="M223" i="21"/>
  <c r="M249" i="21"/>
  <c r="M222" i="21"/>
  <c r="L209" i="52080" l="1"/>
  <c r="L209" i="52092"/>
  <c r="L209" i="52095"/>
  <c r="G254" i="21"/>
  <c r="L209" i="48"/>
  <c r="L209" i="52089"/>
  <c r="L209" i="115"/>
  <c r="L209" i="77"/>
  <c r="L209" i="52093"/>
  <c r="L209" i="52094"/>
  <c r="L209" i="52072"/>
  <c r="L209" i="52090"/>
  <c r="L217" i="52094"/>
  <c r="G5" i="52080"/>
  <c r="E217" i="52075"/>
  <c r="H217" i="52080"/>
  <c r="J217" i="52080"/>
  <c r="G251" i="52080"/>
  <c r="J251" i="52080" s="1"/>
  <c r="L251" i="52080" s="1"/>
  <c r="N218" i="111"/>
  <c r="H216" i="52077"/>
  <c r="J208" i="52077"/>
  <c r="M236" i="111"/>
  <c r="M205" i="111"/>
  <c r="B204" i="52076"/>
  <c r="B235" i="52076"/>
  <c r="I216" i="52104"/>
  <c r="K208" i="52104"/>
  <c r="M208" i="52104" s="1"/>
  <c r="C204" i="52103"/>
  <c r="C234" i="52103"/>
  <c r="C235" i="52102"/>
  <c r="C204" i="52102"/>
  <c r="L233" i="52077"/>
  <c r="D247" i="111"/>
  <c r="D209" i="111"/>
  <c r="D217" i="111" s="1"/>
  <c r="D251" i="111" s="1"/>
  <c r="B245" i="52074"/>
  <c r="B208" i="52074"/>
  <c r="B216" i="52074" s="1"/>
  <c r="B249" i="52074" s="1"/>
  <c r="H205" i="111"/>
  <c r="H236" i="111"/>
  <c r="D204" i="52077"/>
  <c r="D234" i="52077"/>
  <c r="I62" i="52077"/>
  <c r="L209" i="52066"/>
  <c r="D236" i="110"/>
  <c r="D205" i="110"/>
  <c r="H217" i="52090"/>
  <c r="H218" i="111"/>
  <c r="D217" i="52075"/>
  <c r="G251" i="52090"/>
  <c r="J251" i="52090" s="1"/>
  <c r="L251" i="52090" s="1"/>
  <c r="G5" i="52090"/>
  <c r="J217" i="52090"/>
  <c r="H236" i="110"/>
  <c r="H205" i="110"/>
  <c r="B204" i="52102"/>
  <c r="B235" i="52102"/>
  <c r="M62" i="52102"/>
  <c r="E204" i="52075"/>
  <c r="E234" i="52075"/>
  <c r="L236" i="111"/>
  <c r="L205" i="111"/>
  <c r="J217" i="52093"/>
  <c r="G5" i="52093"/>
  <c r="K218" i="111"/>
  <c r="G251" i="52093"/>
  <c r="J251" i="52093" s="1"/>
  <c r="L251" i="52093" s="1"/>
  <c r="H217" i="52093"/>
  <c r="L217" i="52093" s="1"/>
  <c r="D217" i="52077"/>
  <c r="B247" i="110"/>
  <c r="B209" i="110"/>
  <c r="L209" i="12"/>
  <c r="N245" i="52104"/>
  <c r="H217" i="115"/>
  <c r="G251" i="115"/>
  <c r="J251" i="115" s="1"/>
  <c r="L251" i="115" s="1"/>
  <c r="G5" i="115"/>
  <c r="C218" i="111"/>
  <c r="I217" i="52104"/>
  <c r="E217" i="52104"/>
  <c r="J217" i="115"/>
  <c r="L217" i="115" s="1"/>
  <c r="C217" i="52074"/>
  <c r="H218" i="110"/>
  <c r="H217" i="52100"/>
  <c r="G251" i="52100"/>
  <c r="J251" i="52100" s="1"/>
  <c r="L251" i="52100" s="1"/>
  <c r="B217" i="52102"/>
  <c r="G5" i="52100"/>
  <c r="J217" i="52100"/>
  <c r="C204" i="52077"/>
  <c r="C234" i="52077"/>
  <c r="C217" i="52077"/>
  <c r="G5" i="52092"/>
  <c r="J217" i="52092"/>
  <c r="H217" i="52077"/>
  <c r="H217" i="52092"/>
  <c r="G251" i="52092"/>
  <c r="J251" i="52092" s="1"/>
  <c r="L251" i="52092" s="1"/>
  <c r="J218" i="111"/>
  <c r="F205" i="111"/>
  <c r="F236" i="111"/>
  <c r="C204" i="52076"/>
  <c r="C235" i="52076"/>
  <c r="E246" i="52102"/>
  <c r="E208" i="52102"/>
  <c r="E216" i="52102" s="1"/>
  <c r="E250" i="52102" s="1"/>
  <c r="M233" i="52104"/>
  <c r="N233" i="52104"/>
  <c r="B252" i="52104"/>
  <c r="E254" i="111"/>
  <c r="F247" i="9"/>
  <c r="F209" i="9"/>
  <c r="F217" i="9" s="1"/>
  <c r="K245" i="52104"/>
  <c r="M245" i="52104" s="1"/>
  <c r="M204" i="52104"/>
  <c r="C234" i="52074"/>
  <c r="C204" i="52074"/>
  <c r="E205" i="110"/>
  <c r="E236" i="110"/>
  <c r="D204" i="52102"/>
  <c r="D235" i="52102"/>
  <c r="B204" i="52103"/>
  <c r="B234" i="52103"/>
  <c r="M234" i="52103" s="1"/>
  <c r="M62" i="52103"/>
  <c r="G5" i="48"/>
  <c r="H5" i="48" s="1"/>
  <c r="H217" i="52084"/>
  <c r="H217" i="48"/>
  <c r="G251" i="48"/>
  <c r="J251" i="48" s="1"/>
  <c r="L251" i="48" s="1"/>
  <c r="B217" i="52103"/>
  <c r="B217" i="52084"/>
  <c r="F218" i="110"/>
  <c r="J217" i="48"/>
  <c r="I216" i="52083"/>
  <c r="K208" i="52083"/>
  <c r="B234" i="52077"/>
  <c r="B204" i="52077"/>
  <c r="B247" i="233"/>
  <c r="B209" i="233"/>
  <c r="J236" i="111"/>
  <c r="J205" i="111"/>
  <c r="D204" i="52076"/>
  <c r="D235" i="52076"/>
  <c r="I62" i="52076"/>
  <c r="I235" i="52076" s="1"/>
  <c r="R62" i="111"/>
  <c r="K205" i="111"/>
  <c r="K236" i="111"/>
  <c r="B204" i="52075"/>
  <c r="B234" i="52075"/>
  <c r="G5" i="52095"/>
  <c r="B217" i="52075"/>
  <c r="J217" i="52095"/>
  <c r="G251" i="52095"/>
  <c r="J251" i="52095" s="1"/>
  <c r="L251" i="52095" s="1"/>
  <c r="M218" i="111"/>
  <c r="H217" i="52095"/>
  <c r="E245" i="52103"/>
  <c r="E208" i="52103"/>
  <c r="E216" i="52103" s="1"/>
  <c r="E236" i="111"/>
  <c r="E205" i="111"/>
  <c r="C205" i="111"/>
  <c r="C236" i="111"/>
  <c r="O62" i="111"/>
  <c r="C234" i="52084"/>
  <c r="C204" i="52084"/>
  <c r="C217" i="52084"/>
  <c r="H217" i="52066"/>
  <c r="G5" i="52066"/>
  <c r="J217" i="52066"/>
  <c r="C217" i="52103"/>
  <c r="E218" i="110"/>
  <c r="G251" i="52066"/>
  <c r="J208" i="52074"/>
  <c r="H216" i="52074"/>
  <c r="D234" i="52074"/>
  <c r="D204" i="52074"/>
  <c r="G205" i="111"/>
  <c r="G236" i="111"/>
  <c r="F236" i="110"/>
  <c r="F205" i="110"/>
  <c r="B234" i="52084"/>
  <c r="B204" i="52084"/>
  <c r="C236" i="233"/>
  <c r="C205" i="233"/>
  <c r="N205" i="111"/>
  <c r="N236" i="111"/>
  <c r="I62" i="110"/>
  <c r="L62" i="110"/>
  <c r="E218" i="111"/>
  <c r="G5" i="12"/>
  <c r="G251" i="12"/>
  <c r="J251" i="12" s="1"/>
  <c r="L251" i="12" s="1"/>
  <c r="J217" i="12"/>
  <c r="H217" i="52076"/>
  <c r="H217" i="12"/>
  <c r="B217" i="52104"/>
  <c r="L217" i="12"/>
  <c r="B216" i="52104"/>
  <c r="N208" i="52104"/>
  <c r="H216" i="52076"/>
  <c r="J208" i="52076"/>
  <c r="D234" i="52075"/>
  <c r="D204" i="52075"/>
  <c r="L215" i="114"/>
  <c r="C253" i="52102"/>
  <c r="G254" i="111"/>
  <c r="E252" i="52103"/>
  <c r="C254" i="110"/>
  <c r="J249" i="52082"/>
  <c r="J217" i="52082"/>
  <c r="L215" i="52082"/>
  <c r="L249" i="52082" s="1"/>
  <c r="J223" i="52082"/>
  <c r="H223" i="52083"/>
  <c r="H253" i="52083"/>
  <c r="K254" i="111"/>
  <c r="D252" i="52077"/>
  <c r="H5" i="52084"/>
  <c r="H249" i="52084"/>
  <c r="J216" i="52084"/>
  <c r="J249" i="52084" s="1"/>
  <c r="L219" i="110"/>
  <c r="L249" i="110"/>
  <c r="N215" i="110"/>
  <c r="B250" i="52098"/>
  <c r="H216" i="52098"/>
  <c r="O218" i="52097"/>
  <c r="C218" i="233" s="1"/>
  <c r="B251" i="52097"/>
  <c r="F254" i="111"/>
  <c r="C252" i="52104"/>
  <c r="B223" i="233"/>
  <c r="B224" i="233" s="1"/>
  <c r="B249" i="233"/>
  <c r="B217" i="233"/>
  <c r="B251" i="233" s="1"/>
  <c r="H252" i="52077"/>
  <c r="H222" i="52077"/>
  <c r="L222" i="52077" s="1"/>
  <c r="B223" i="110"/>
  <c r="B224" i="110" s="1"/>
  <c r="B249" i="110"/>
  <c r="B217" i="110"/>
  <c r="B251" i="110" s="1"/>
  <c r="B223" i="111"/>
  <c r="B224" i="111" s="1"/>
  <c r="B249" i="111"/>
  <c r="B217" i="111"/>
  <c r="B251" i="111" s="1"/>
  <c r="E253" i="52102"/>
  <c r="B254" i="110"/>
  <c r="G223" i="52098"/>
  <c r="G253" i="52098"/>
  <c r="B253" i="52098"/>
  <c r="B254" i="9"/>
  <c r="O249" i="52097"/>
  <c r="O217" i="52097"/>
  <c r="O223" i="52097"/>
  <c r="Q215" i="52097"/>
  <c r="Q249" i="52097" s="1"/>
  <c r="J251" i="52072"/>
  <c r="L251" i="52072" s="1"/>
  <c r="E254" i="110"/>
  <c r="D253" i="52102"/>
  <c r="J251" i="77"/>
  <c r="L251" i="77" s="1"/>
  <c r="L222" i="114"/>
  <c r="G254" i="114"/>
  <c r="C221" i="52075"/>
  <c r="C6" i="52075"/>
  <c r="C249" i="52075"/>
  <c r="C215" i="233"/>
  <c r="L217" i="77"/>
  <c r="H252" i="52084"/>
  <c r="H222" i="52084"/>
  <c r="H248" i="52098"/>
  <c r="J214" i="52098"/>
  <c r="J248" i="52098" s="1"/>
  <c r="G248" i="52098"/>
  <c r="H222" i="52098"/>
  <c r="R249" i="111"/>
  <c r="T215" i="111"/>
  <c r="B252" i="52077"/>
  <c r="L254" i="111"/>
  <c r="I215" i="233"/>
  <c r="K211" i="233"/>
  <c r="I216" i="52075"/>
  <c r="I221" i="52075"/>
  <c r="I222" i="52075" s="1"/>
  <c r="I252" i="52075" s="1"/>
  <c r="I247" i="52075"/>
  <c r="K214" i="52075"/>
  <c r="K247" i="52075" s="1"/>
  <c r="B223" i="52082"/>
  <c r="B224" i="52082" s="1"/>
  <c r="B217" i="52082"/>
  <c r="B251" i="52082" s="1"/>
  <c r="B249" i="52082"/>
  <c r="I223" i="52083"/>
  <c r="I253" i="52083"/>
  <c r="H217" i="21"/>
  <c r="G216" i="52098"/>
  <c r="G5" i="52098" s="1"/>
  <c r="B218" i="9"/>
  <c r="G218" i="9" s="1"/>
  <c r="G251" i="21"/>
  <c r="B217" i="52098"/>
  <c r="H217" i="52098" s="1"/>
  <c r="J217" i="21"/>
  <c r="F218" i="9"/>
  <c r="I217" i="52083"/>
  <c r="H217" i="52083"/>
  <c r="D252" i="52104"/>
  <c r="D254" i="111"/>
  <c r="N215" i="52097"/>
  <c r="H211" i="233"/>
  <c r="H215" i="233" s="1"/>
  <c r="H249" i="233" s="1"/>
  <c r="I5" i="52102"/>
  <c r="I250" i="52102"/>
  <c r="K216" i="52102"/>
  <c r="K250" i="52102" s="1"/>
  <c r="C222" i="52104"/>
  <c r="N221" i="52104"/>
  <c r="M221" i="52104"/>
  <c r="G249" i="9"/>
  <c r="I249" i="9" s="1"/>
  <c r="I215" i="9"/>
  <c r="G223" i="9"/>
  <c r="G217" i="9"/>
  <c r="I222" i="52104"/>
  <c r="I252" i="52104"/>
  <c r="K223" i="52098"/>
  <c r="K253" i="52098"/>
  <c r="C222" i="52075"/>
  <c r="L223" i="114"/>
  <c r="G5" i="114"/>
  <c r="G251" i="114"/>
  <c r="H217" i="114"/>
  <c r="C217" i="52075"/>
  <c r="B218" i="111"/>
  <c r="R218" i="111" s="1"/>
  <c r="D218" i="233" s="1"/>
  <c r="J217" i="114"/>
  <c r="I217" i="52075"/>
  <c r="R219" i="111" s="1"/>
  <c r="V219" i="111" s="1"/>
  <c r="Q218" i="111"/>
  <c r="M247" i="52104"/>
  <c r="N247" i="52104"/>
  <c r="L217" i="32"/>
  <c r="D215" i="233"/>
  <c r="D249" i="233" s="1"/>
  <c r="M217" i="52102"/>
  <c r="L217" i="52089"/>
  <c r="L218" i="110"/>
  <c r="E218" i="233" s="1"/>
  <c r="M217" i="52103"/>
  <c r="M252" i="52103"/>
  <c r="M248" i="52102"/>
  <c r="M214" i="52104"/>
  <c r="E249" i="52103"/>
  <c r="M254" i="21"/>
  <c r="M251" i="21"/>
  <c r="L217" i="52090" l="1"/>
  <c r="J251" i="21"/>
  <c r="L217" i="52095"/>
  <c r="D208" i="52075"/>
  <c r="D216" i="52075" s="1"/>
  <c r="D245" i="52075"/>
  <c r="K62" i="110"/>
  <c r="L205" i="110"/>
  <c r="L60" i="110"/>
  <c r="L236" i="110"/>
  <c r="N62" i="110"/>
  <c r="N236" i="110" s="1"/>
  <c r="C247" i="233"/>
  <c r="C209" i="233"/>
  <c r="B245" i="52084"/>
  <c r="B208" i="52084"/>
  <c r="B216" i="52084" s="1"/>
  <c r="B249" i="52084" s="1"/>
  <c r="F247" i="110"/>
  <c r="F209" i="110"/>
  <c r="F217" i="110" s="1"/>
  <c r="F251" i="110" s="1"/>
  <c r="D245" i="52074"/>
  <c r="D208" i="52074"/>
  <c r="D216" i="52074" s="1"/>
  <c r="D249" i="52074" s="1"/>
  <c r="H5" i="52074"/>
  <c r="H249" i="52074"/>
  <c r="J216" i="52074"/>
  <c r="J249" i="52074" s="1"/>
  <c r="J251" i="52066"/>
  <c r="L251" i="52066" s="1"/>
  <c r="E209" i="111"/>
  <c r="E217" i="111" s="1"/>
  <c r="E251" i="111" s="1"/>
  <c r="E247" i="111"/>
  <c r="I62" i="233"/>
  <c r="R205" i="111"/>
  <c r="Q62" i="111"/>
  <c r="R60" i="111"/>
  <c r="T62" i="111"/>
  <c r="T236" i="111" s="1"/>
  <c r="R236" i="111"/>
  <c r="J247" i="111"/>
  <c r="J209" i="111"/>
  <c r="J217" i="111" s="1"/>
  <c r="J251" i="111" s="1"/>
  <c r="B245" i="52077"/>
  <c r="B208" i="52077"/>
  <c r="B216" i="52077" s="1"/>
  <c r="B249" i="52077" s="1"/>
  <c r="B208" i="52103"/>
  <c r="M204" i="52103"/>
  <c r="B245" i="52103"/>
  <c r="D208" i="52102"/>
  <c r="D216" i="52102" s="1"/>
  <c r="D250" i="52102" s="1"/>
  <c r="D246" i="52102"/>
  <c r="E247" i="110"/>
  <c r="E209" i="110"/>
  <c r="E217" i="110" s="1"/>
  <c r="E251" i="110" s="1"/>
  <c r="C246" i="52076"/>
  <c r="C208" i="52076"/>
  <c r="C216" i="52076" s="1"/>
  <c r="C250" i="52076" s="1"/>
  <c r="F247" i="111"/>
  <c r="F209" i="111"/>
  <c r="F217" i="111" s="1"/>
  <c r="F251" i="111" s="1"/>
  <c r="L217" i="52100"/>
  <c r="E245" i="52075"/>
  <c r="E208" i="52075"/>
  <c r="E216" i="52075" s="1"/>
  <c r="H209" i="110"/>
  <c r="H217" i="110" s="1"/>
  <c r="H251" i="110" s="1"/>
  <c r="H247" i="110"/>
  <c r="D209" i="110"/>
  <c r="D217" i="110" s="1"/>
  <c r="D251" i="110" s="1"/>
  <c r="D247" i="110"/>
  <c r="M235" i="52102"/>
  <c r="C208" i="52103"/>
  <c r="C216" i="52103" s="1"/>
  <c r="C249" i="52103" s="1"/>
  <c r="C245" i="52103"/>
  <c r="K216" i="52104"/>
  <c r="K249" i="52104" s="1"/>
  <c r="I5" i="52104"/>
  <c r="I249" i="52104"/>
  <c r="B246" i="52076"/>
  <c r="B208" i="52076"/>
  <c r="B216" i="52076" s="1"/>
  <c r="B250" i="52076" s="1"/>
  <c r="H249" i="52077"/>
  <c r="J216" i="52077"/>
  <c r="J249" i="52077" s="1"/>
  <c r="H5" i="52077"/>
  <c r="L217" i="52080"/>
  <c r="H250" i="52076"/>
  <c r="J216" i="52076"/>
  <c r="J250" i="52076" s="1"/>
  <c r="H5" i="52076"/>
  <c r="M216" i="52104"/>
  <c r="B249" i="52104"/>
  <c r="N216" i="52104"/>
  <c r="N217" i="52104"/>
  <c r="M217" i="52104"/>
  <c r="M62" i="110"/>
  <c r="M236" i="110" s="1"/>
  <c r="I60" i="110"/>
  <c r="I235" i="110" s="1"/>
  <c r="I236" i="110"/>
  <c r="F62" i="233"/>
  <c r="N209" i="111"/>
  <c r="N217" i="111" s="1"/>
  <c r="N251" i="111" s="1"/>
  <c r="N247" i="111"/>
  <c r="G209" i="111"/>
  <c r="G217" i="111" s="1"/>
  <c r="G251" i="111" s="1"/>
  <c r="G247" i="111"/>
  <c r="L217" i="52066"/>
  <c r="C208" i="52084"/>
  <c r="C216" i="52084" s="1"/>
  <c r="C249" i="52084" s="1"/>
  <c r="C245" i="52084"/>
  <c r="S62" i="111"/>
  <c r="S236" i="111" s="1"/>
  <c r="O236" i="111"/>
  <c r="O60" i="111"/>
  <c r="C247" i="111"/>
  <c r="C209" i="111"/>
  <c r="C217" i="111" s="1"/>
  <c r="C251" i="111" s="1"/>
  <c r="M245" i="52103"/>
  <c r="B208" i="52075"/>
  <c r="B216" i="52075" s="1"/>
  <c r="B245" i="52075"/>
  <c r="K247" i="111"/>
  <c r="K209" i="111"/>
  <c r="K217" i="111" s="1"/>
  <c r="K251" i="111" s="1"/>
  <c r="I204" i="52076"/>
  <c r="I246" i="52076" s="1"/>
  <c r="D246" i="52076"/>
  <c r="D208" i="52076"/>
  <c r="I5" i="52083"/>
  <c r="I250" i="52083"/>
  <c r="K216" i="52083"/>
  <c r="K250" i="52083" s="1"/>
  <c r="L217" i="48"/>
  <c r="C208" i="52074"/>
  <c r="C216" i="52074" s="1"/>
  <c r="C249" i="52074" s="1"/>
  <c r="C245" i="52074"/>
  <c r="F251" i="9"/>
  <c r="F5" i="9"/>
  <c r="L217" i="52092"/>
  <c r="L217" i="52077"/>
  <c r="C245" i="52077"/>
  <c r="C208" i="52077"/>
  <c r="C216" i="52077" s="1"/>
  <c r="C249" i="52077" s="1"/>
  <c r="L247" i="111"/>
  <c r="L209" i="111"/>
  <c r="L217" i="111" s="1"/>
  <c r="L251" i="111" s="1"/>
  <c r="B208" i="52102"/>
  <c r="B246" i="52102"/>
  <c r="M204" i="52102"/>
  <c r="I234" i="52077"/>
  <c r="L234" i="52077" s="1"/>
  <c r="L62" i="52077"/>
  <c r="I204" i="52077"/>
  <c r="I245" i="52077" s="1"/>
  <c r="D245" i="52077"/>
  <c r="D208" i="52077"/>
  <c r="H247" i="111"/>
  <c r="H209" i="111"/>
  <c r="H217" i="111" s="1"/>
  <c r="H251" i="111" s="1"/>
  <c r="C246" i="52102"/>
  <c r="C208" i="52102"/>
  <c r="C216" i="52102" s="1"/>
  <c r="C250" i="52102" s="1"/>
  <c r="M247" i="111"/>
  <c r="M209" i="111"/>
  <c r="M217" i="111" s="1"/>
  <c r="M251" i="111" s="1"/>
  <c r="L252" i="52077"/>
  <c r="V218" i="111"/>
  <c r="J251" i="114"/>
  <c r="L251" i="114" s="1"/>
  <c r="G251" i="9"/>
  <c r="I217" i="9"/>
  <c r="I251" i="9" s="1"/>
  <c r="G5" i="9"/>
  <c r="N222" i="52104"/>
  <c r="M222" i="52104"/>
  <c r="B218" i="233"/>
  <c r="I218" i="233"/>
  <c r="V215" i="111"/>
  <c r="T249" i="111"/>
  <c r="V249" i="111" s="1"/>
  <c r="H223" i="52098"/>
  <c r="H253" i="52098"/>
  <c r="C249" i="233"/>
  <c r="C223" i="233"/>
  <c r="C224" i="233" s="1"/>
  <c r="C217" i="233"/>
  <c r="C251" i="233" s="1"/>
  <c r="C252" i="52075"/>
  <c r="B254" i="111"/>
  <c r="O5" i="52097"/>
  <c r="Q217" i="52097"/>
  <c r="Q251" i="52097" s="1"/>
  <c r="O251" i="52097"/>
  <c r="J224" i="52082"/>
  <c r="J254" i="52082"/>
  <c r="L217" i="52082"/>
  <c r="L251" i="52082" s="1"/>
  <c r="J251" i="52082"/>
  <c r="G254" i="9"/>
  <c r="G224" i="9"/>
  <c r="N223" i="52097"/>
  <c r="N217" i="52097"/>
  <c r="N249" i="52097"/>
  <c r="I249" i="52075"/>
  <c r="I5" i="52075"/>
  <c r="J5" i="52075" s="1"/>
  <c r="K216" i="52075"/>
  <c r="K249" i="52075" s="1"/>
  <c r="K215" i="233"/>
  <c r="I249" i="233"/>
  <c r="K249" i="233" s="1"/>
  <c r="O254" i="52097"/>
  <c r="C254" i="233" s="1"/>
  <c r="O224" i="52097"/>
  <c r="N252" i="52104"/>
  <c r="M252" i="52104"/>
  <c r="H5" i="52098"/>
  <c r="J216" i="52098"/>
  <c r="J250" i="52098" s="1"/>
  <c r="H250" i="52098"/>
  <c r="G250" i="52098"/>
  <c r="G219" i="9"/>
  <c r="H218" i="233"/>
  <c r="L217" i="114"/>
  <c r="O219" i="52097"/>
  <c r="M253" i="52102"/>
  <c r="I208" i="52077" l="1"/>
  <c r="L208" i="52077" s="1"/>
  <c r="D216" i="52077"/>
  <c r="O235" i="111"/>
  <c r="F60" i="233"/>
  <c r="F235" i="233" s="1"/>
  <c r="J235" i="233" s="1"/>
  <c r="J62" i="233"/>
  <c r="F236" i="233"/>
  <c r="J236" i="233" s="1"/>
  <c r="E249" i="52075"/>
  <c r="E6" i="52075"/>
  <c r="L204" i="52077"/>
  <c r="Q236" i="111"/>
  <c r="V236" i="111" s="1"/>
  <c r="Q60" i="111"/>
  <c r="Q205" i="111"/>
  <c r="I236" i="233"/>
  <c r="K236" i="233" s="1"/>
  <c r="I205" i="233"/>
  <c r="I60" i="233"/>
  <c r="K62" i="233"/>
  <c r="L235" i="110"/>
  <c r="E60" i="233"/>
  <c r="L223" i="110"/>
  <c r="K205" i="110"/>
  <c r="K236" i="110"/>
  <c r="K60" i="110"/>
  <c r="H62" i="233"/>
  <c r="D6" i="52075"/>
  <c r="D249" i="52075"/>
  <c r="M246" i="52102"/>
  <c r="L245" i="52077"/>
  <c r="B216" i="52102"/>
  <c r="M208" i="52102"/>
  <c r="D216" i="52076"/>
  <c r="I208" i="52076"/>
  <c r="B6" i="52075"/>
  <c r="B249" i="52075"/>
  <c r="V62" i="111"/>
  <c r="M249" i="52104"/>
  <c r="N249" i="52104"/>
  <c r="M208" i="52103"/>
  <c r="B216" i="52103"/>
  <c r="R235" i="111"/>
  <c r="R223" i="111"/>
  <c r="D60" i="233"/>
  <c r="R247" i="111"/>
  <c r="R209" i="111"/>
  <c r="T205" i="111"/>
  <c r="T247" i="111" s="1"/>
  <c r="L247" i="110"/>
  <c r="N205" i="110"/>
  <c r="N247" i="110" s="1"/>
  <c r="L209" i="110"/>
  <c r="N254" i="52097"/>
  <c r="Q254" i="52097" s="1"/>
  <c r="N224" i="52097"/>
  <c r="B254" i="233"/>
  <c r="I254" i="9"/>
  <c r="N5" i="52097"/>
  <c r="N229" i="52097" s="1"/>
  <c r="N251" i="52097"/>
  <c r="R254" i="111" l="1"/>
  <c r="R224" i="111"/>
  <c r="B249" i="52103"/>
  <c r="M249" i="52103" s="1"/>
  <c r="M216" i="52103"/>
  <c r="I216" i="52076"/>
  <c r="I250" i="52076" s="1"/>
  <c r="D250" i="52076"/>
  <c r="B250" i="52102"/>
  <c r="M250" i="52102" s="1"/>
  <c r="M216" i="52102"/>
  <c r="K235" i="110"/>
  <c r="K223" i="110"/>
  <c r="K209" i="110"/>
  <c r="K217" i="110" s="1"/>
  <c r="K247" i="110"/>
  <c r="E235" i="233"/>
  <c r="E223" i="233"/>
  <c r="E224" i="233" s="1"/>
  <c r="E62" i="233"/>
  <c r="I247" i="233"/>
  <c r="K247" i="233" s="1"/>
  <c r="K205" i="233"/>
  <c r="I209" i="233"/>
  <c r="Q247" i="111"/>
  <c r="V247" i="111" s="1"/>
  <c r="V205" i="111"/>
  <c r="Q209" i="111"/>
  <c r="L217" i="110"/>
  <c r="N209" i="110"/>
  <c r="R217" i="111"/>
  <c r="T209" i="111"/>
  <c r="D62" i="233"/>
  <c r="D235" i="233"/>
  <c r="D223" i="233"/>
  <c r="D224" i="233" s="1"/>
  <c r="H236" i="233"/>
  <c r="H205" i="233"/>
  <c r="H60" i="233"/>
  <c r="L224" i="110"/>
  <c r="L254" i="110"/>
  <c r="E254" i="233" s="1"/>
  <c r="I235" i="233"/>
  <c r="K235" i="233" s="1"/>
  <c r="I223" i="233"/>
  <c r="I224" i="233" s="1"/>
  <c r="Q235" i="111"/>
  <c r="V235" i="111" s="1"/>
  <c r="Q223" i="111"/>
  <c r="V60" i="111"/>
  <c r="D249" i="52077"/>
  <c r="I216" i="52077"/>
  <c r="I249" i="52077" s="1"/>
  <c r="L249" i="52077" l="1"/>
  <c r="Q224" i="111"/>
  <c r="V224" i="111" s="1"/>
  <c r="V223" i="111"/>
  <c r="Q254" i="111"/>
  <c r="H235" i="233"/>
  <c r="H223" i="233"/>
  <c r="H224" i="233" s="1"/>
  <c r="K209" i="233"/>
  <c r="I217" i="233"/>
  <c r="K254" i="110"/>
  <c r="N254" i="110" s="1"/>
  <c r="K224" i="110"/>
  <c r="H247" i="233"/>
  <c r="H209" i="233"/>
  <c r="H217" i="233" s="1"/>
  <c r="D205" i="233"/>
  <c r="D236" i="233"/>
  <c r="R251" i="111"/>
  <c r="R5" i="111"/>
  <c r="T217" i="111"/>
  <c r="T251" i="111" s="1"/>
  <c r="L5" i="110"/>
  <c r="L251" i="110"/>
  <c r="N217" i="110"/>
  <c r="N251" i="110" s="1"/>
  <c r="Q217" i="111"/>
  <c r="V209" i="111"/>
  <c r="E205" i="233"/>
  <c r="E236" i="233"/>
  <c r="K5" i="110"/>
  <c r="K251" i="110"/>
  <c r="I254" i="233"/>
  <c r="K254" i="233" s="1"/>
  <c r="D254" i="233"/>
  <c r="H251" i="233" l="1"/>
  <c r="H5" i="233"/>
  <c r="I5" i="233"/>
  <c r="K217" i="233"/>
  <c r="I251" i="233"/>
  <c r="K251" i="233" s="1"/>
  <c r="V254" i="111"/>
  <c r="H254" i="233"/>
  <c r="E247" i="233"/>
  <c r="E209" i="233"/>
  <c r="E217" i="233" s="1"/>
  <c r="E251" i="233" s="1"/>
  <c r="Q5" i="111"/>
  <c r="Q229" i="111" s="1"/>
  <c r="V229" i="111" s="1"/>
  <c r="V217" i="111"/>
  <c r="Q251" i="111"/>
  <c r="V251" i="111" s="1"/>
  <c r="D247" i="233"/>
  <c r="D209" i="233"/>
  <c r="D217" i="233" s="1"/>
  <c r="D251" i="233" s="1"/>
</calcChain>
</file>

<file path=xl/comments1.xml><?xml version="1.0" encoding="utf-8"?>
<comments xmlns="http://schemas.openxmlformats.org/spreadsheetml/2006/main">
  <authors>
    <author>Bati Peintre</author>
  </authors>
  <commentList>
    <comment ref="B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la balance</t>
        </r>
      </text>
    </comment>
    <comment ref="D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Boulogne</t>
        </r>
      </text>
    </comment>
    <comment ref="F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Roanne</t>
        </r>
      </text>
    </comment>
    <comment ref="H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Lille</t>
        </r>
      </text>
    </comment>
    <comment ref="B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Brest</t>
        </r>
      </text>
    </comment>
    <comment ref="D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Compiègne</t>
        </r>
      </text>
    </comment>
    <comment ref="F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Montpellier</t>
        </r>
      </text>
    </comment>
    <comment ref="H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région Bretagne</t>
        </r>
      </text>
    </comment>
    <comment ref="B1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Vannes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Amiens</t>
        </r>
      </text>
    </comment>
    <comment ref="F1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Grenoble</t>
        </r>
      </text>
    </comment>
    <comment ref="H1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région Centre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Rennes</t>
        </r>
      </text>
    </comment>
    <comment ref="D12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Cambrai</t>
        </r>
      </text>
    </comment>
    <comment ref="F12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ST Marcellin</t>
        </r>
      </text>
    </comment>
    <comment ref="H12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région Nord</t>
        </r>
      </text>
    </comment>
    <comment ref="D14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Caudry
</t>
        </r>
      </text>
    </comment>
    <comment ref="F14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ST Marcellin</t>
        </r>
      </text>
    </comment>
    <comment ref="H14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région Sud</t>
        </r>
      </text>
    </comment>
    <comment ref="B1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Orléans</t>
        </r>
      </text>
    </comment>
    <comment ref="D1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Caudry
</t>
        </r>
      </text>
    </comment>
    <comment ref="H1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consolidation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Angers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Caudry
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stock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Thouars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Caudry
</t>
        </r>
      </text>
    </comment>
    <comment ref="H20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stock</t>
        </r>
      </text>
    </comment>
    <comment ref="B22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Châteauroux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Chartres
</t>
        </r>
      </text>
    </comment>
    <comment ref="B26" authorId="0">
      <text>
        <r>
          <rPr>
            <b/>
            <sz val="8"/>
            <color indexed="81"/>
            <rFont val="Tahoma"/>
            <family val="2"/>
          </rPr>
          <t>Bati Peintre:</t>
        </r>
        <r>
          <rPr>
            <sz val="8"/>
            <color indexed="81"/>
            <rFont val="Tahoma"/>
            <family val="2"/>
          </rPr>
          <t xml:space="preserve">
Accès à Bosc</t>
        </r>
      </text>
    </comment>
  </commentList>
</comments>
</file>

<file path=xl/sharedStrings.xml><?xml version="1.0" encoding="utf-8"?>
<sst xmlns="http://schemas.openxmlformats.org/spreadsheetml/2006/main" count="13624" uniqueCount="874">
  <si>
    <t>REP PROV DEPRECIATION IMMO FIN</t>
  </si>
  <si>
    <t>PRODUITS D'ENTRETIEN</t>
  </si>
  <si>
    <t>PROVISION POUR RISQUES &amp; CHARGES</t>
  </si>
  <si>
    <t>MARGE NETTE ISSUE STOCK AGENCE</t>
  </si>
  <si>
    <t>TAUX MARGE NET ISSU STOCK AGENCE</t>
  </si>
  <si>
    <t>Calais</t>
  </si>
  <si>
    <t>CALAIS</t>
  </si>
  <si>
    <t>FRAIS DE MISSIONS</t>
  </si>
  <si>
    <t>25% BRUT INCAPACITE TRAVAIL</t>
  </si>
  <si>
    <t>REPRISES PROVISIONS RISQUES &amp; CHARGES</t>
  </si>
  <si>
    <t>SERVICES BANCAIRES TAXABLES</t>
  </si>
  <si>
    <t>INTERESSEMENT</t>
  </si>
  <si>
    <t>CA</t>
  </si>
  <si>
    <t>Projection</t>
  </si>
  <si>
    <t>TOURCOING</t>
  </si>
  <si>
    <t>Tourcoing</t>
  </si>
  <si>
    <t>La Madeleine</t>
  </si>
  <si>
    <t>LENS</t>
  </si>
  <si>
    <t>Lens</t>
  </si>
  <si>
    <t>Bois Grenier</t>
  </si>
  <si>
    <t>BOIS GRENIER</t>
  </si>
  <si>
    <t>Valenciennes</t>
  </si>
  <si>
    <t>BETHUNE</t>
  </si>
  <si>
    <t>Béthune</t>
  </si>
  <si>
    <t>BOIS</t>
  </si>
  <si>
    <t>GRENIER</t>
  </si>
  <si>
    <t>BET</t>
  </si>
  <si>
    <t>BOI</t>
  </si>
  <si>
    <t>LEN</t>
  </si>
  <si>
    <t>MAD</t>
  </si>
  <si>
    <t>CANTINE LILLE</t>
  </si>
  <si>
    <t>REPARTITION DES FRAIS DE LILLE</t>
  </si>
  <si>
    <t>Nbre Ag.</t>
  </si>
  <si>
    <t xml:space="preserve">Frais Fixes </t>
  </si>
  <si>
    <t>Frais Variables</t>
  </si>
  <si>
    <t>Frais financiers</t>
  </si>
  <si>
    <t>Orleans</t>
  </si>
  <si>
    <t xml:space="preserve">Chartres </t>
  </si>
  <si>
    <t>Bois grenier</t>
  </si>
  <si>
    <t>Bethune</t>
  </si>
  <si>
    <t>REMcambRSEMENTS ASSURANCES</t>
  </si>
  <si>
    <t>FRAIS CONTENTIEUX</t>
  </si>
  <si>
    <t xml:space="preserve">FRAIS ACTES </t>
  </si>
  <si>
    <t>Contrôle</t>
  </si>
  <si>
    <t>Controle</t>
  </si>
  <si>
    <t>Résultat Région</t>
  </si>
  <si>
    <t>VENTES INTRACOMMUNAUTAIRES</t>
  </si>
  <si>
    <t>REVENUS DES PRETS</t>
  </si>
  <si>
    <t>Beziers</t>
  </si>
  <si>
    <t>St Marcelin</t>
  </si>
  <si>
    <t>CHAMBRAY LES TOURS</t>
  </si>
  <si>
    <t>CHAMBRAY</t>
  </si>
  <si>
    <t>CHAM</t>
  </si>
  <si>
    <t>TOU</t>
  </si>
  <si>
    <t xml:space="preserve">REEL A FIN </t>
  </si>
  <si>
    <t>REEL</t>
  </si>
  <si>
    <t>REEL N</t>
  </si>
  <si>
    <t>REEL N-1</t>
  </si>
  <si>
    <t>AUTRES CHARGES DE PERSONNEL</t>
  </si>
  <si>
    <t>VENTES EXO</t>
  </si>
  <si>
    <t>INDEMNISATION SFAC</t>
  </si>
  <si>
    <t>FRAIS REM ESCOMPTE</t>
  </si>
  <si>
    <t>ST MARCELLIN</t>
  </si>
  <si>
    <t>TAXES DIVERSES</t>
  </si>
  <si>
    <t>FRAIS FI SUR MOBILISATION DE BALANCE</t>
  </si>
  <si>
    <t>MARGE OLYMP</t>
  </si>
  <si>
    <t>Seuil de Rentabilité Mensuel</t>
  </si>
  <si>
    <t>Seuil de Rentabilité Annuel</t>
  </si>
  <si>
    <t>CAUDEBEC</t>
  </si>
  <si>
    <t>VILLENEUVE D'ASCQ</t>
  </si>
  <si>
    <t>TRANSFERT DE CHARGES FINANCIERES</t>
  </si>
  <si>
    <t>Achats Olymp</t>
  </si>
  <si>
    <t>PDTS CESSIONS ACTIF FINANCIER</t>
  </si>
  <si>
    <t>VNC IMMOBILISATIONS FINANCIERES CEDEES</t>
  </si>
  <si>
    <t>COUTS CLIENTS (hors prime d'assurance)</t>
  </si>
  <si>
    <t>% Marge Olymp</t>
  </si>
  <si>
    <t>REVENUS SUR CREANCES RATTACHEES A TITRES DE PART</t>
  </si>
  <si>
    <t>REPRISE SUR AMORTISSEMENTS DEROGATOIRES</t>
  </si>
  <si>
    <t>DOTATIONS AUX AMORTISSEMENTS DEROGATOIRES</t>
  </si>
  <si>
    <t>REPRISES SUR AMORTISSEMENTS  DEROGATOIRES</t>
  </si>
  <si>
    <t>Chambray</t>
  </si>
  <si>
    <t>Tours</t>
  </si>
  <si>
    <t>CHARGES FINANCIERES SIRCAM</t>
  </si>
  <si>
    <t>IFA</t>
  </si>
  <si>
    <t>VENTES EXPORT</t>
  </si>
  <si>
    <t>PARTICIPATIONS FOIRES REFACTUREES</t>
  </si>
  <si>
    <t>RESULTAT PREVISIONNEL</t>
  </si>
  <si>
    <t>PRESTATIONS DE SERVICES</t>
  </si>
  <si>
    <t>VENTES ANNEXES TAXABLES</t>
  </si>
  <si>
    <t>VENTES ANNEXES NON TAXABLES</t>
  </si>
  <si>
    <t>LOCATIONS DIVERSES</t>
  </si>
  <si>
    <t>RFA ACCORDEES AUX CLIENTS</t>
  </si>
  <si>
    <t>ACHATS D'EMBALLAGES</t>
  </si>
  <si>
    <t>ACHATS HORS TLC</t>
  </si>
  <si>
    <t>ACHATS INTRACOMMUNAUTAIRES</t>
  </si>
  <si>
    <t>ACHATS TLC</t>
  </si>
  <si>
    <t>PORTS SUR ACHATS</t>
  </si>
  <si>
    <t>PORTS SUR ACHATS INTER DEPOTS</t>
  </si>
  <si>
    <t>FRAIS DE STOCKAGE</t>
  </si>
  <si>
    <t>VARIATION DE STOCK</t>
  </si>
  <si>
    <t>STOCK FIN DE PERIODE</t>
  </si>
  <si>
    <t>PRESTATIONS EXTERIEURES</t>
  </si>
  <si>
    <t>LOYERS</t>
  </si>
  <si>
    <t>LOCATION MACHINE A TIMBRER</t>
  </si>
  <si>
    <t>LOCATIONS VEHICULES</t>
  </si>
  <si>
    <t>LOCATIONS  MATERIEL DE BUREAU &amp; INF.</t>
  </si>
  <si>
    <t>ENTRETIENS MATERIELS DIVERS</t>
  </si>
  <si>
    <t>ENTRETIENS VEHICULES</t>
  </si>
  <si>
    <t>ENTRETIENS DES BATIMENTS</t>
  </si>
  <si>
    <t>ENTRETIENS MATERIELS BUREAU &amp; INF.</t>
  </si>
  <si>
    <t>ASSURANCES VEHICULES</t>
  </si>
  <si>
    <t>ASSURANCES MULTIRISQUES</t>
  </si>
  <si>
    <t>DOCUMENTATIONS</t>
  </si>
  <si>
    <t>FRAIS SEMINAIRES</t>
  </si>
  <si>
    <t>PERSONNEL INTERIMAIRE</t>
  </si>
  <si>
    <t>HONORAIRES</t>
  </si>
  <si>
    <t>FRAIS ACTES &amp; CONTENTIEUX</t>
  </si>
  <si>
    <t>TRANSPORTS SUR VENTES</t>
  </si>
  <si>
    <t>FRAIS DE DEPLACEMENTS</t>
  </si>
  <si>
    <t>TELEPHONE</t>
  </si>
  <si>
    <t>AFFRANCHISSEMENTS</t>
  </si>
  <si>
    <t>FRAIS RECRUTEMENT DE PERSONNEL</t>
  </si>
  <si>
    <t>AUTRES ACHATS &amp; CHARGES EXTERNES</t>
  </si>
  <si>
    <t>ELECTRICITE &amp; EAUX</t>
  </si>
  <si>
    <t>CHAUFFAGE</t>
  </si>
  <si>
    <t>CARBURANTS</t>
  </si>
  <si>
    <t>PETITS OUTILLAGES</t>
  </si>
  <si>
    <t>FOURNITURES DE BUREAU</t>
  </si>
  <si>
    <t>sous-total coûts véhicules hors vignettes et cartes grises</t>
  </si>
  <si>
    <t>ANNONCES &amp; INSERTIONS</t>
  </si>
  <si>
    <t>COLLECTIONS</t>
  </si>
  <si>
    <t>AMORTISSEMENTS COLLECTIONS</t>
  </si>
  <si>
    <t>FOIRES EXPO.</t>
  </si>
  <si>
    <t>PUBLICITE</t>
  </si>
  <si>
    <t>CADEAUX</t>
  </si>
  <si>
    <t>DONS</t>
  </si>
  <si>
    <t>VOYAGES</t>
  </si>
  <si>
    <t>RECEPTIONS</t>
  </si>
  <si>
    <t>PARTICIPATIONS /  MACHINE A TEINTER</t>
  </si>
  <si>
    <t>FORMATION CONTINUE</t>
  </si>
  <si>
    <t>0,45% LOGEMENT</t>
  </si>
  <si>
    <t>TAXE APPRENTISSAGE</t>
  </si>
  <si>
    <t>TAXE PROFESSIONNELLE</t>
  </si>
  <si>
    <t>IMPOTS FONCIERS</t>
  </si>
  <si>
    <t>AUTRES IMPOTS LOCAUX</t>
  </si>
  <si>
    <t>TAXES SUR VEHICULES</t>
  </si>
  <si>
    <t>ORGANIC</t>
  </si>
  <si>
    <t>IMPOTS ET TAXES</t>
  </si>
  <si>
    <t>SALAIRES</t>
  </si>
  <si>
    <t>SALAIRES A REGULARISER</t>
  </si>
  <si>
    <t>GRATIFICATIONS STAGIAIRES EXO DE CHARGES</t>
  </si>
  <si>
    <t>CONGES PAYES</t>
  </si>
  <si>
    <t>CHARGES SOCIALES / CONGES PAYES</t>
  </si>
  <si>
    <t>AVANTAGES EN NATURE</t>
  </si>
  <si>
    <t>CHARGES CONNEXES</t>
  </si>
  <si>
    <t>URSSAF</t>
  </si>
  <si>
    <t>MUTUELLE</t>
  </si>
  <si>
    <t>CAISSE DE RETRAITE</t>
  </si>
  <si>
    <t>ASSEDIC</t>
  </si>
  <si>
    <t>IRREP IRPVRP</t>
  </si>
  <si>
    <t>CHARGES SUR COMMISSIONS</t>
  </si>
  <si>
    <t>FOURNITURES AU PERSONNEL</t>
  </si>
  <si>
    <t>ŒUVRES SOCIALES</t>
  </si>
  <si>
    <t>MEDECINE DU TRAVAIL</t>
  </si>
  <si>
    <t>CHARGES DE PERSONNEL</t>
  </si>
  <si>
    <t>REPRISES SUR CREANCES CLIENTS</t>
  </si>
  <si>
    <t>CREANCES IRRECOUVRABLES</t>
  </si>
  <si>
    <t>REDEVANCES CONCESSIONS BREVETS</t>
  </si>
  <si>
    <t>DROITS AUTEURS ET REPRODUCTION</t>
  </si>
  <si>
    <t>PENALITES &amp; AMENDES</t>
  </si>
  <si>
    <t>AUTRES CHARGES / OP. DE GESTION</t>
  </si>
  <si>
    <t>CHARGES / EXERCICES ANTERIEURS</t>
  </si>
  <si>
    <t>VNC IMMOBILISATIONS INCORP. CEDEES</t>
  </si>
  <si>
    <t>VNC IMMOBILISATIONS CORP. CEDEES</t>
  </si>
  <si>
    <t>DOTATIONS AUX AMORTISSEMENTS IMMOB. INCORP.</t>
  </si>
  <si>
    <t>DOTATIONS AUX AMORTISSEMENTS IMMOB. CORP.</t>
  </si>
  <si>
    <t>REPRISES PROV. DEPREC. STOCKS</t>
  </si>
  <si>
    <t>DOTATIONS PROV. DEPREC.  STOCKS</t>
  </si>
  <si>
    <t>AUTRES CHARGES</t>
  </si>
  <si>
    <t>SUBVENTIONS EXPLOIT. A RECEVOIR</t>
  </si>
  <si>
    <t>REMBOURSEMENTS ASSURANCES</t>
  </si>
  <si>
    <t>REVENUS CREANCES DIVERSES</t>
  </si>
  <si>
    <t>ESCOMPTES OBTENUS</t>
  </si>
  <si>
    <t>RENTREES / CREANCES AMORTIES</t>
  </si>
  <si>
    <t>PDTS EXCEP. / OP. GESTION</t>
  </si>
  <si>
    <t>PDTS / EXERCICES ANTERIEURS</t>
  </si>
  <si>
    <t>PDTS CESSIONS IMMOB. INCORP.</t>
  </si>
  <si>
    <t>PDTS CESSIONS IMMOB. CORP.</t>
  </si>
  <si>
    <t>AUTRES PRODUITS</t>
  </si>
  <si>
    <t>TOTAL CHARGES SF ACHATS - AUTRES PRODUITS</t>
  </si>
  <si>
    <t>RESULTAT AVANT FRAIS REPARTIS</t>
  </si>
  <si>
    <t>FRAIS REPARTIS FIXES</t>
  </si>
  <si>
    <t>FRAIS REPARTIS VARIABLES</t>
  </si>
  <si>
    <t>BONIFICATIONS / ACHATS TLC</t>
  </si>
  <si>
    <t>TOTAL FRAIS REPARTIS</t>
  </si>
  <si>
    <t>REEL A FIN</t>
  </si>
  <si>
    <t>BUDGET</t>
  </si>
  <si>
    <t>ANNUEL</t>
  </si>
  <si>
    <t>%</t>
  </si>
  <si>
    <t>PERTES SUR CREANCES CLIENTS</t>
  </si>
  <si>
    <t>ESCOMPTES ACCORDES</t>
  </si>
  <si>
    <t>AGIOS FACTURES</t>
  </si>
  <si>
    <t>VANNES</t>
  </si>
  <si>
    <t>RENNES</t>
  </si>
  <si>
    <t>ORLEANS</t>
  </si>
  <si>
    <t>ANGERS</t>
  </si>
  <si>
    <t>THOUARS</t>
  </si>
  <si>
    <t>CHATEAUROUX</t>
  </si>
  <si>
    <t>BOULOGNE</t>
  </si>
  <si>
    <t>COMPIEGNE</t>
  </si>
  <si>
    <t>AMIENS</t>
  </si>
  <si>
    <t>CAMBRAI</t>
  </si>
  <si>
    <t>ROANNE</t>
  </si>
  <si>
    <t>MONTPELLIER</t>
  </si>
  <si>
    <t>GRENOBLE</t>
  </si>
  <si>
    <t>TOTAL PRODUITS</t>
  </si>
  <si>
    <t>TOTAL CHARGES</t>
  </si>
  <si>
    <t>BRETAGNE</t>
  </si>
  <si>
    <t>CONSOLIDATION REGION</t>
  </si>
  <si>
    <t>TOTAL</t>
  </si>
  <si>
    <t>COUTS CLIENTS HORS FRAIS DE CONTENTIEUX</t>
  </si>
  <si>
    <t>VENTES</t>
  </si>
  <si>
    <t>CHIFFRES D'AFFAIRES HORS RFA CLIENTS</t>
  </si>
  <si>
    <t>CHIFFRES D'AFFAIRES RFA CLIENTS DEDUITES</t>
  </si>
  <si>
    <t>PRORATISE</t>
  </si>
  <si>
    <t>ECARTS</t>
  </si>
  <si>
    <t xml:space="preserve"> / C.A.</t>
  </si>
  <si>
    <t>DOTATIONS AUX PROVISIONS / CREANCES CLIENTS</t>
  </si>
  <si>
    <t>RESULTAT AVANT FRAIS FINANCIERS  &amp; REPARTIS</t>
  </si>
  <si>
    <t>LILLE</t>
  </si>
  <si>
    <t>REDEVANCES CONCESSIONS ROAVETS</t>
  </si>
  <si>
    <t>CENTRE</t>
  </si>
  <si>
    <t>CHÂTEAU</t>
  </si>
  <si>
    <t>NORD</t>
  </si>
  <si>
    <t>SUD</t>
  </si>
  <si>
    <t>MONTPE.</t>
  </si>
  <si>
    <t>BATI PEINTRE</t>
  </si>
  <si>
    <t>COUT ACHAT MARCH.VENDUES</t>
  </si>
  <si>
    <t>CHIFFRES D'AFFAIRES</t>
  </si>
  <si>
    <t>VERSEMENT AU COMITE D'ENTREPRISE</t>
  </si>
  <si>
    <t>REVENUS TITRES DE PARTICIPATION</t>
  </si>
  <si>
    <t>REVENUS CREANCES RATTACHEES A TITRES PART.</t>
  </si>
  <si>
    <t>AGIOS SUR IMPAYES</t>
  </si>
  <si>
    <t>JETONS DE PRESENCE</t>
  </si>
  <si>
    <t>IMPOT SUR LES SOCIETES</t>
  </si>
  <si>
    <t>FRAIS NETS A REPARTIR HORS FRAIS FI.</t>
  </si>
  <si>
    <t>INTERETS DES EMPRUNTS BANCAIRES</t>
  </si>
  <si>
    <t>INTERETS EMPRUNTS RATTACHES A PART.</t>
  </si>
  <si>
    <t>INTERETS COMPTES COURANTS</t>
  </si>
  <si>
    <t>AGIOS TRIMESTRIELS</t>
  </si>
  <si>
    <t>CHARGES SUR OPERATIONS NON TAXABLES</t>
  </si>
  <si>
    <t>TOTAL FRAIS FINANCIERS</t>
  </si>
  <si>
    <t>CONSOLIDATION REGIONS</t>
  </si>
  <si>
    <t>laisser blc</t>
  </si>
  <si>
    <t>(1)-(2)</t>
  </si>
  <si>
    <t>Stocks</t>
  </si>
  <si>
    <t>STOCK</t>
  </si>
  <si>
    <t>Orléans</t>
  </si>
  <si>
    <t>Angers</t>
  </si>
  <si>
    <t>Brest</t>
  </si>
  <si>
    <t>Vannes</t>
  </si>
  <si>
    <t>Rennes</t>
  </si>
  <si>
    <t>Boulogne</t>
  </si>
  <si>
    <t>Thouars</t>
  </si>
  <si>
    <t>Chateauroux</t>
  </si>
  <si>
    <t>FRAIS ACTES ET CONTENTIEUX</t>
  </si>
  <si>
    <t>DEPENSES LIEES AU CHSCT</t>
  </si>
  <si>
    <t>VENTES EXONEREES</t>
  </si>
  <si>
    <t>VENTES TAXABLES A 5,5%</t>
  </si>
  <si>
    <t>PORTS SUR VENTES TAXABLES</t>
  </si>
  <si>
    <t>FRAIS DE FACTURATION</t>
  </si>
  <si>
    <t>FRAIS D'IMPAYES REFACTURES</t>
  </si>
  <si>
    <t>REDEVANCES CONCESSIONS ANGVETS</t>
  </si>
  <si>
    <t>VENTES ANNEXES TAXABLES A 5,5%</t>
  </si>
  <si>
    <t>PORT SUR VENTES TAXABLES</t>
  </si>
  <si>
    <t>Compiegne</t>
  </si>
  <si>
    <t>Amiens</t>
  </si>
  <si>
    <t>Cambrai</t>
  </si>
  <si>
    <t>Roanne</t>
  </si>
  <si>
    <t>Montpellier</t>
  </si>
  <si>
    <t>Grenoble</t>
  </si>
  <si>
    <t>Bosc</t>
  </si>
  <si>
    <t>FIN PERIODE</t>
  </si>
  <si>
    <t>AU 01/01</t>
  </si>
  <si>
    <t>Budgets charges</t>
  </si>
  <si>
    <t>proratisés à</t>
  </si>
  <si>
    <t xml:space="preserve">AUTRES IMPOTS </t>
  </si>
  <si>
    <t>LOCATIONS MATERIELS DIVERS</t>
  </si>
  <si>
    <t>ACHATS INTER DEPOTS ENTRANTS</t>
  </si>
  <si>
    <t>ACHATS INTER DEPOTS SORTANTS</t>
  </si>
  <si>
    <t xml:space="preserve">STOCK AU 1er JANVIER </t>
  </si>
  <si>
    <t xml:space="preserve">COUT ACHAT MARCH.VENDUES </t>
  </si>
  <si>
    <t>Sous total achats</t>
  </si>
  <si>
    <t>ACHATS RETROCEDES</t>
  </si>
  <si>
    <t>Compiègne</t>
  </si>
  <si>
    <t>% MARGE PREVISIONNEL</t>
  </si>
  <si>
    <t>MARGE PREVISIONNELLE</t>
  </si>
  <si>
    <t>SOMMAIRE</t>
  </si>
  <si>
    <t>Balance</t>
  </si>
  <si>
    <t>Retour au sommaire</t>
  </si>
  <si>
    <t>Châteauroux</t>
  </si>
  <si>
    <t>Lille</t>
  </si>
  <si>
    <t>Région Bretagne</t>
  </si>
  <si>
    <t>Région Centre</t>
  </si>
  <si>
    <t>Région Nord</t>
  </si>
  <si>
    <t>Région Sud</t>
  </si>
  <si>
    <t>Consolidation</t>
  </si>
  <si>
    <t>FRAIS DE DEMENAGEMENT</t>
  </si>
  <si>
    <t>TRANSFERT CHARGES EXPLOITATION</t>
  </si>
  <si>
    <t>COMMISSIONS ET COURTAGES / VENTES</t>
  </si>
  <si>
    <t>REDEVANCES CONCESSIONS RENVETS</t>
  </si>
  <si>
    <t>Caudry</t>
  </si>
  <si>
    <t>REVENUS VMP</t>
  </si>
  <si>
    <t>PRODUITS NETS / CESSIONS VMP</t>
  </si>
  <si>
    <t>CREDIT BAIL</t>
  </si>
  <si>
    <t>ASSURANCE CREDIT</t>
  </si>
  <si>
    <t>net</t>
  </si>
  <si>
    <t>RFA OBTENUS DIVERS</t>
  </si>
  <si>
    <t>RFA OBTENUS THEOLAUR</t>
  </si>
  <si>
    <t>RFA OBTENUES THEOLAUR</t>
  </si>
  <si>
    <t>RFA OBTENUES DIVERS</t>
  </si>
  <si>
    <t>N - N-1</t>
  </si>
  <si>
    <t>CHARTRES</t>
  </si>
  <si>
    <t>Chartres</t>
  </si>
  <si>
    <t>CAUDRY</t>
  </si>
  <si>
    <t>CHARGES DE COPROPRIETE</t>
  </si>
  <si>
    <t>GAN ARTICLE 83</t>
  </si>
  <si>
    <t>INTERETS SUR VERSEMENTS PARTICIPATION</t>
  </si>
  <si>
    <t>TRANSFERTS CHARGES EXPLOIT. (Namur + Intergros)</t>
  </si>
  <si>
    <t>TRANSFERTS CHARGES EXPLOIT. (Intergros)</t>
  </si>
  <si>
    <t xml:space="preserve"> - RFA TLC</t>
  </si>
  <si>
    <t>PROVISIONS POUR RISQUES &amp; CHARGES</t>
  </si>
  <si>
    <t>RESULTAT</t>
  </si>
  <si>
    <t>CHARGES EXCEP. / OP. EN CAPITAL</t>
  </si>
  <si>
    <t>EU</t>
  </si>
  <si>
    <t>PARTICIPATION SALARIES FRUITS EXPANSION</t>
  </si>
  <si>
    <t xml:space="preserve">MARGE ISSUE STOCK AGENCE HORS RFA  &amp; HORS PORTS/ACHATS </t>
  </si>
  <si>
    <t>% MARGE ISSUE STOCK AGENCE HORS RFA &amp; HORS PORTS/ACHATS</t>
  </si>
  <si>
    <t>PERSONNEL DETACHE</t>
  </si>
  <si>
    <t xml:space="preserve">MARGE ISSUE STOCK AGENCE HORS RFA CLTS AVEC PORTS/ACHATS </t>
  </si>
  <si>
    <t>% MARGE ISSUE STOCK AGENCE HORS RFA CLTS AVEC PORTS SUR ACHATS</t>
  </si>
  <si>
    <t xml:space="preserve">CHARGES / EXERCICES ANTERIEURS </t>
  </si>
  <si>
    <t xml:space="preserve">PDTS / EXERCICES ANTERIEURS </t>
  </si>
  <si>
    <t xml:space="preserve">RECEPTIONS </t>
  </si>
  <si>
    <t>REPRISES PROV. RIQUES &amp; CHARGES EXPLOITATION</t>
  </si>
  <si>
    <t>INTERETS SUR DETTES COMMERCIALES</t>
  </si>
  <si>
    <t xml:space="preserve">STOCK REEL EN NOMBRE DE JOURS </t>
  </si>
  <si>
    <t>Stock non utilisé, saisie à partir du fichier Véronique</t>
  </si>
  <si>
    <t>Compléter :</t>
  </si>
  <si>
    <t>Fin période</t>
  </si>
  <si>
    <t>Prorata budget</t>
  </si>
  <si>
    <t>Nbre jrs</t>
  </si>
  <si>
    <t>balance clts</t>
  </si>
  <si>
    <t>Balance clts</t>
  </si>
  <si>
    <t>CREDIT CLIENTS EN JOURS HORS EENE</t>
  </si>
  <si>
    <t>FRAIS DE FACTURATION NON REGLES</t>
  </si>
  <si>
    <t>DROITS D'ENREGISTREMENT</t>
  </si>
  <si>
    <t>Eu</t>
  </si>
  <si>
    <t xml:space="preserve">PERSONNEL DETACHE </t>
  </si>
  <si>
    <t>REVENUS TITRES IMMOBILISES</t>
  </si>
  <si>
    <t>COMBUSTIBLES</t>
  </si>
  <si>
    <t>DROITS ENREGISTREMENT ET DE TIMBRES</t>
  </si>
  <si>
    <t xml:space="preserve">% MARGE PREVISIONNEL </t>
  </si>
  <si>
    <t>ENTRETIEN VETEMENTS DE TRAVAIL</t>
  </si>
  <si>
    <t>PREV</t>
  </si>
  <si>
    <t>NANCY</t>
  </si>
  <si>
    <t>DEC</t>
  </si>
  <si>
    <t>N-1/N</t>
  </si>
  <si>
    <t>N/N+1</t>
  </si>
  <si>
    <t xml:space="preserve">AUTRES </t>
  </si>
  <si>
    <t>TOTAL FRAIS FINANCIERS ET REPARTIS</t>
  </si>
  <si>
    <t>SEUIL DE RENTABILITE</t>
  </si>
  <si>
    <t>INVESTISSEMENTS</t>
  </si>
  <si>
    <t>LE MANS</t>
  </si>
  <si>
    <t>Mans</t>
  </si>
  <si>
    <t>Nancy</t>
  </si>
  <si>
    <t>Mars</t>
  </si>
  <si>
    <t>CAMBRAISI</t>
  </si>
  <si>
    <t>EST</t>
  </si>
  <si>
    <t>SUD EST</t>
  </si>
  <si>
    <t>Janvier</t>
  </si>
  <si>
    <t>Février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</si>
  <si>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</si>
  <si>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</si>
  <si>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</si>
  <si>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</si>
  <si>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</si>
  <si>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</si>
  <si>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</si>
  <si>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</si>
  <si>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</si>
  <si>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Objectif</t>
  </si>
  <si>
    <t>ELBEUF</t>
  </si>
  <si>
    <t>LA CHAPELLE ST AUBIN</t>
  </si>
  <si>
    <t>TOTAL CENTRE</t>
  </si>
  <si>
    <t>TOTAL BRETAGNE</t>
  </si>
  <si>
    <t>TOTAL NORD</t>
  </si>
  <si>
    <t>TOTAL SUD</t>
  </si>
  <si>
    <t>TOTAL BATI PEINTRE</t>
  </si>
  <si>
    <t>D.P.N</t>
  </si>
  <si>
    <t>PSA</t>
  </si>
  <si>
    <t>SUPER PEINTURE</t>
  </si>
  <si>
    <t>Patrick Andrade</t>
  </si>
  <si>
    <t>Rodolphe Laval</t>
  </si>
  <si>
    <t xml:space="preserve">Pro </t>
  </si>
  <si>
    <t>Mastic Vitrier</t>
  </si>
  <si>
    <t>PEINTOPAPIE</t>
  </si>
  <si>
    <t>BOURGOGNE PEINTURE</t>
  </si>
  <si>
    <t>Carlos NETO</t>
  </si>
  <si>
    <t>Olivier BONNAMOUR</t>
  </si>
  <si>
    <t>Magasin Bourgogne</t>
  </si>
  <si>
    <t>Laurent MATHEY</t>
  </si>
  <si>
    <t>Kevin SERFASS</t>
  </si>
  <si>
    <t>MANDRAND PEINTURES</t>
  </si>
  <si>
    <t>AUTRES AGENCES</t>
  </si>
  <si>
    <t>AUTRES PRODUITS FINANCIERS</t>
  </si>
  <si>
    <t>Chapelle St Aubain</t>
  </si>
  <si>
    <t>ORGANIC AGHEFIP</t>
  </si>
  <si>
    <t>SAUMUR</t>
  </si>
  <si>
    <t>CST</t>
  </si>
  <si>
    <t>Saumur</t>
  </si>
  <si>
    <t>St Omer</t>
  </si>
  <si>
    <t>VENTES PARTICULIERS</t>
  </si>
  <si>
    <t>PICARDIE</t>
  </si>
  <si>
    <t>ST OMER</t>
  </si>
  <si>
    <t>Clermont</t>
  </si>
  <si>
    <t>GENTILLY</t>
  </si>
  <si>
    <t>Christophe Mahcer</t>
  </si>
  <si>
    <t>TOTAL GENERAL</t>
  </si>
  <si>
    <t>PERIM.IDEM 2008</t>
  </si>
  <si>
    <t>CLERMONT</t>
  </si>
  <si>
    <t>PAYS DE LA LOIRE</t>
  </si>
  <si>
    <t>PERIMETRE</t>
  </si>
  <si>
    <t>IDENTIQUE</t>
  </si>
  <si>
    <t>SOUS REGION CENTRE</t>
  </si>
  <si>
    <t xml:space="preserve">VILLENEUVE </t>
  </si>
  <si>
    <t>D'ASCQ</t>
  </si>
  <si>
    <t>SOUS REGION SUD</t>
  </si>
  <si>
    <t>ST MARCELIN</t>
  </si>
  <si>
    <t>CLERMONT FERRAND</t>
  </si>
  <si>
    <t>FRAIS DE TRANSPORT PRIS EN CHARGE</t>
  </si>
  <si>
    <t>ATT Frais Repartis forcés</t>
  </si>
  <si>
    <t>FERRAND</t>
  </si>
  <si>
    <t>tot</t>
  </si>
  <si>
    <t>Moyenne</t>
  </si>
  <si>
    <t>AM</t>
  </si>
  <si>
    <t>AN</t>
  </si>
  <si>
    <t>BO</t>
  </si>
  <si>
    <t>CD</t>
  </si>
  <si>
    <t>CH</t>
  </si>
  <si>
    <t>CO</t>
  </si>
  <si>
    <t>CR</t>
  </si>
  <si>
    <t>CS</t>
  </si>
  <si>
    <t>FA</t>
  </si>
  <si>
    <t>GR</t>
  </si>
  <si>
    <t>MA</t>
  </si>
  <si>
    <t>MO</t>
  </si>
  <si>
    <t>OR</t>
  </si>
  <si>
    <t>RE</t>
  </si>
  <si>
    <t>RN</t>
  </si>
  <si>
    <t>RO</t>
  </si>
  <si>
    <t>TH</t>
  </si>
  <si>
    <t>VA</t>
  </si>
  <si>
    <t>WA</t>
  </si>
  <si>
    <t>NA</t>
  </si>
  <si>
    <t>TO</t>
  </si>
  <si>
    <t>PPP</t>
  </si>
  <si>
    <t>SPE</t>
  </si>
  <si>
    <t>AY</t>
  </si>
  <si>
    <t>STM</t>
  </si>
  <si>
    <t>CLT</t>
  </si>
  <si>
    <t>SAU</t>
  </si>
  <si>
    <t>GEN</t>
  </si>
  <si>
    <t>SOM</t>
  </si>
  <si>
    <t>Psa</t>
  </si>
  <si>
    <t>Total</t>
  </si>
  <si>
    <t>F:\Excel\Sauvegarde Cécile C\Bati Peintre\tableaux de bord\2009\Situations\Sit0904.xls</t>
  </si>
  <si>
    <t>brest</t>
  </si>
  <si>
    <t>01</t>
  </si>
  <si>
    <t>02</t>
  </si>
  <si>
    <t>03</t>
  </si>
  <si>
    <t>04</t>
  </si>
  <si>
    <t>06</t>
  </si>
  <si>
    <t>07</t>
  </si>
  <si>
    <t>08</t>
  </si>
  <si>
    <t>09</t>
  </si>
  <si>
    <t>10</t>
  </si>
  <si>
    <t>11</t>
  </si>
  <si>
    <t>12</t>
  </si>
  <si>
    <t>13</t>
  </si>
  <si>
    <t>15</t>
  </si>
  <si>
    <t>16</t>
  </si>
  <si>
    <t>17</t>
  </si>
  <si>
    <t>19</t>
  </si>
  <si>
    <t>20</t>
  </si>
  <si>
    <t>21</t>
  </si>
  <si>
    <t>25</t>
  </si>
  <si>
    <t>26</t>
  </si>
  <si>
    <t>27</t>
  </si>
  <si>
    <t>28</t>
  </si>
  <si>
    <t>29</t>
  </si>
  <si>
    <t>30</t>
  </si>
  <si>
    <t>32</t>
  </si>
  <si>
    <t>33</t>
  </si>
  <si>
    <t>36</t>
  </si>
  <si>
    <t>39</t>
  </si>
  <si>
    <t>40</t>
  </si>
  <si>
    <t>41</t>
  </si>
  <si>
    <t>42</t>
  </si>
  <si>
    <t>Total 00</t>
  </si>
  <si>
    <t>Total 05</t>
  </si>
  <si>
    <t>Total 14</t>
  </si>
  <si>
    <t>Total 35</t>
  </si>
  <si>
    <t>Total 37</t>
  </si>
  <si>
    <t>CREDIT BAILl IBM</t>
  </si>
  <si>
    <t>F:\Excel\Sauvegarde Cécile C\Bati Peintre\tableaux de bord\2009\Situations\Sit0909.xls</t>
  </si>
  <si>
    <t>CHAPELLE</t>
  </si>
  <si>
    <t>ST AUBIN</t>
  </si>
  <si>
    <t>AMI</t>
  </si>
  <si>
    <t>ANG</t>
  </si>
  <si>
    <t>BOS</t>
  </si>
  <si>
    <t>BOU</t>
  </si>
  <si>
    <t>CAL</t>
  </si>
  <si>
    <t>CAM</t>
  </si>
  <si>
    <t>CAU</t>
  </si>
  <si>
    <t>CHA</t>
  </si>
  <si>
    <t>COM</t>
  </si>
  <si>
    <t>GRE</t>
  </si>
  <si>
    <t>LIL</t>
  </si>
  <si>
    <t>MAR</t>
  </si>
  <si>
    <t>MON</t>
  </si>
  <si>
    <t>ORL</t>
  </si>
  <si>
    <t>REN</t>
  </si>
  <si>
    <t>ROA</t>
  </si>
  <si>
    <t>THO</t>
  </si>
  <si>
    <t>TOURC</t>
  </si>
  <si>
    <t>VAN</t>
  </si>
  <si>
    <t>CLE</t>
  </si>
  <si>
    <t>NAN</t>
  </si>
  <si>
    <t>CHART</t>
  </si>
  <si>
    <t>AUTRES IMPOTS LOCAUX(dt TLPE)</t>
  </si>
  <si>
    <t>Région Bretagne +</t>
  </si>
  <si>
    <t>MANS</t>
  </si>
  <si>
    <t>BUDGET 2010</t>
  </si>
  <si>
    <t>N/N-1</t>
  </si>
  <si>
    <r>
      <t>DOTATIONS AUX PROVISIONS / CREANCES CLIENTS                                   %Pro</t>
    </r>
    <r>
      <rPr>
        <sz val="8"/>
        <rFont val="Calibri"/>
        <family val="2"/>
      </rPr>
      <t>→</t>
    </r>
  </si>
  <si>
    <t>FRAIS RECRUTEMENT DE PERSONNEL(cotisation)</t>
  </si>
  <si>
    <t>tlpe (50€/agence+5000globale)</t>
  </si>
  <si>
    <t>Gerbeur</t>
  </si>
  <si>
    <t>COMPTES</t>
  </si>
  <si>
    <t>CHALETTE</t>
  </si>
  <si>
    <t>SUR LOING</t>
  </si>
  <si>
    <t>DIJON</t>
  </si>
  <si>
    <t>Analytique 1</t>
  </si>
  <si>
    <t>Compte</t>
  </si>
  <si>
    <t>Libellé</t>
  </si>
  <si>
    <t>Solde précédent</t>
  </si>
  <si>
    <t>Débit</t>
  </si>
  <si>
    <t>Crédit</t>
  </si>
  <si>
    <t>Nouveau solde</t>
  </si>
  <si>
    <t>Participation</t>
  </si>
  <si>
    <t>neutralisation is</t>
  </si>
  <si>
    <t>Béziers</t>
  </si>
  <si>
    <t>PSA(passe en plus des pdts fi)</t>
  </si>
  <si>
    <t>PO sud</t>
  </si>
  <si>
    <t>PO SUD</t>
  </si>
  <si>
    <t>W2 approximatif</t>
  </si>
  <si>
    <t>VAL,</t>
  </si>
  <si>
    <t>clt</t>
  </si>
  <si>
    <t>BEZI</t>
  </si>
  <si>
    <t>CREDIT IMPOT EN FAVEUR DE L'APPRENTISSAGE</t>
  </si>
  <si>
    <t>Magasin DPN</t>
  </si>
  <si>
    <t>Mathieu FAGHEL</t>
  </si>
  <si>
    <t>Philippe Seminerio</t>
  </si>
  <si>
    <t>Magasin Super Peinture</t>
  </si>
  <si>
    <t>Magasin Peintopapie</t>
  </si>
  <si>
    <t>Julien Martini</t>
  </si>
  <si>
    <t>Magasin Gentilly</t>
  </si>
  <si>
    <t>Jean-Claude Revault</t>
  </si>
  <si>
    <t>Suivi magasin Orléans</t>
  </si>
  <si>
    <t>Sébastien Chereau</t>
  </si>
  <si>
    <t>Magasin Orléans</t>
  </si>
  <si>
    <t>David Paillat</t>
  </si>
  <si>
    <t xml:space="preserve">Arnaud Berger </t>
  </si>
  <si>
    <t>Louis Moreau</t>
  </si>
  <si>
    <t>Non suivi</t>
  </si>
  <si>
    <t>Dépôt groupement</t>
  </si>
  <si>
    <t>Magasin Angers</t>
  </si>
  <si>
    <t>Clochard Dolor</t>
  </si>
  <si>
    <t>Suivi Cyril Buttet</t>
  </si>
  <si>
    <t>Magasin Thouars</t>
  </si>
  <si>
    <t>Thierry Baluteau</t>
  </si>
  <si>
    <t>Magasin Chateauroux</t>
  </si>
  <si>
    <t>Lionel Cardinault</t>
  </si>
  <si>
    <t>Jean françois Camelin</t>
  </si>
  <si>
    <t>Laurent Bertheau</t>
  </si>
  <si>
    <t>Wenceslas Durand</t>
  </si>
  <si>
    <t>Agence Chartres</t>
  </si>
  <si>
    <t>Magasin Chartres</t>
  </si>
  <si>
    <t>Lormel Rousseau</t>
  </si>
  <si>
    <t>Magasin Chambray</t>
  </si>
  <si>
    <t>Cédric Mercier</t>
  </si>
  <si>
    <t>Tanguy Joly</t>
  </si>
  <si>
    <t>Joël Treard</t>
  </si>
  <si>
    <t>Magasin Elbeuf</t>
  </si>
  <si>
    <t>Christophe Glemarec</t>
  </si>
  <si>
    <t>Didier Forges</t>
  </si>
  <si>
    <t>Dominique Tiphangne</t>
  </si>
  <si>
    <t>Christine De Calonne</t>
  </si>
  <si>
    <t>Magasin Le Mans</t>
  </si>
  <si>
    <t>Quentin Coquema</t>
  </si>
  <si>
    <t>Patrice Bodin</t>
  </si>
  <si>
    <t>Magasin saumur</t>
  </si>
  <si>
    <t>Bertrand Pourchasse</t>
  </si>
  <si>
    <t>Magasin Vannes</t>
  </si>
  <si>
    <t>Suivi clients Vannes</t>
  </si>
  <si>
    <t>Jérome Gruel</t>
  </si>
  <si>
    <t>Suivi clients Rennes</t>
  </si>
  <si>
    <t>Magasin Rennes</t>
  </si>
  <si>
    <t>Magasin Boulogne</t>
  </si>
  <si>
    <t>Mickael Tisserand</t>
  </si>
  <si>
    <t>Christophe Blanpain</t>
  </si>
  <si>
    <t>Yves Michel</t>
  </si>
  <si>
    <t>Suivi John</t>
  </si>
  <si>
    <t>Non affecté</t>
  </si>
  <si>
    <t>Magasin Amiens</t>
  </si>
  <si>
    <t>Guillaume</t>
  </si>
  <si>
    <t>Yann Maison</t>
  </si>
  <si>
    <t>André Pitteman</t>
  </si>
  <si>
    <t>Suivi Joël</t>
  </si>
  <si>
    <t>Magasin Compiegne</t>
  </si>
  <si>
    <t>Thierry Strozyk</t>
  </si>
  <si>
    <t>Magasin Cambrai</t>
  </si>
  <si>
    <t>Suivi Michel</t>
  </si>
  <si>
    <t>Julien Morneau</t>
  </si>
  <si>
    <t>Magasin Caudry</t>
  </si>
  <si>
    <t>Suivi Anne-Marie</t>
  </si>
  <si>
    <t>Magasin Eu</t>
  </si>
  <si>
    <t>Sophie Fournier</t>
  </si>
  <si>
    <t>Bertrand Graux</t>
  </si>
  <si>
    <t>Grégory D'Hallaine</t>
  </si>
  <si>
    <t>Magasin Calais</t>
  </si>
  <si>
    <t>Karim Souiou</t>
  </si>
  <si>
    <t>Pascal Blanchon</t>
  </si>
  <si>
    <t>Magasin Lens</t>
  </si>
  <si>
    <t>Suivi Pascal</t>
  </si>
  <si>
    <t>Mathieu Faghel</t>
  </si>
  <si>
    <t>Suivi David Calonne</t>
  </si>
  <si>
    <t>Magasin Villeneuve d'Ascq</t>
  </si>
  <si>
    <t>Frédéric Ciesielczyk</t>
  </si>
  <si>
    <t>Magasin Bois Grenier</t>
  </si>
  <si>
    <t>Didier Pecquery</t>
  </si>
  <si>
    <t>Magasin Béthune</t>
  </si>
  <si>
    <t>Suivi David Duquenne</t>
  </si>
  <si>
    <t>Suivi Jean-Luc</t>
  </si>
  <si>
    <t>Benjamin Faelens</t>
  </si>
  <si>
    <t>Magasin Tourcoing</t>
  </si>
  <si>
    <t>Bertrand Vancayezeele</t>
  </si>
  <si>
    <t>Magasin St Omer</t>
  </si>
  <si>
    <t>Gilles Lassaigne</t>
  </si>
  <si>
    <t>Magasin Roanne</t>
  </si>
  <si>
    <t>P St Joanis Comptant</t>
  </si>
  <si>
    <t>Gilles L. Comptant</t>
  </si>
  <si>
    <t>Baptiste Mercier</t>
  </si>
  <si>
    <t>Philippe ST Joanis</t>
  </si>
  <si>
    <t>Suivi Comptoir</t>
  </si>
  <si>
    <t>Magasin Montepllier</t>
  </si>
  <si>
    <t>Maxime Rogeaux</t>
  </si>
  <si>
    <t>Suivi magasin</t>
  </si>
  <si>
    <t>Yves Doumenge</t>
  </si>
  <si>
    <t>Michel Goncalves</t>
  </si>
  <si>
    <t>Cédric Mathieu</t>
  </si>
  <si>
    <t>Suivi Tuncay</t>
  </si>
  <si>
    <t>Magasin Grenoble</t>
  </si>
  <si>
    <t>Magasin St Marcellin</t>
  </si>
  <si>
    <t>Franck Schurrle</t>
  </si>
  <si>
    <t>Suivi Didier Marchand</t>
  </si>
  <si>
    <t>Roberto Riva</t>
  </si>
  <si>
    <t>Travaux</t>
  </si>
  <si>
    <t>Magasin Nancy</t>
  </si>
  <si>
    <t>Thierry Cleopatre</t>
  </si>
  <si>
    <t>Laurent Muret</t>
  </si>
  <si>
    <t>Retrocession</t>
  </si>
  <si>
    <t>David Favario</t>
  </si>
  <si>
    <t>Philippe Da Costa</t>
  </si>
  <si>
    <t>Magasin PSA</t>
  </si>
  <si>
    <t>Magasin Dijon</t>
  </si>
  <si>
    <t>François Garimbay</t>
  </si>
  <si>
    <t>Hervé Sollering</t>
  </si>
  <si>
    <t>François-Xavier DEKERSER</t>
  </si>
  <si>
    <t>IVRY</t>
  </si>
  <si>
    <t>Franck Gary</t>
  </si>
  <si>
    <t>Magasin Ivry</t>
  </si>
  <si>
    <t>BOURGOGNE MONTCHANIN</t>
  </si>
  <si>
    <t>CUMULS</t>
  </si>
  <si>
    <t>CA 2010</t>
  </si>
  <si>
    <t>CA 2009</t>
  </si>
  <si>
    <t>ca</t>
  </si>
  <si>
    <t>Prév</t>
  </si>
  <si>
    <t>REPARTITION DES FRAIS DE LILLE au 31/12/10</t>
  </si>
  <si>
    <t>REPARTITION DES FRAIS DE LILLE budget 2011</t>
  </si>
  <si>
    <t>Chalette</t>
  </si>
  <si>
    <t>Dijon</t>
  </si>
  <si>
    <t>diff arrondi</t>
  </si>
  <si>
    <t>Sept (TUP)</t>
  </si>
  <si>
    <t>CFE SIEGE +CVAE STE( ExTAXE PROFESSIONNELLE)</t>
  </si>
  <si>
    <t>CFE (EX  PARTIE DE TAXE PROFESSIONNELLE)</t>
  </si>
  <si>
    <t>lens</t>
  </si>
  <si>
    <t>Frais OV 100% acteo</t>
  </si>
  <si>
    <t>a contoler</t>
  </si>
  <si>
    <t>DAVID FAVARIO</t>
  </si>
  <si>
    <t>CT</t>
  </si>
  <si>
    <t>P Blanchon</t>
  </si>
  <si>
    <t>C Blanpain</t>
  </si>
  <si>
    <t>climreversible show room</t>
  </si>
  <si>
    <t>Clim reversible</t>
  </si>
  <si>
    <t>Reprise véhicule saumur</t>
  </si>
  <si>
    <t>aerotherme gaz</t>
  </si>
  <si>
    <t>panneau permanant</t>
  </si>
  <si>
    <t>(Le mans)</t>
  </si>
  <si>
    <t>chauffage gaz</t>
  </si>
  <si>
    <t>gaz</t>
  </si>
  <si>
    <t>convecteur electrique</t>
  </si>
  <si>
    <t>conevecteurs</t>
  </si>
  <si>
    <t>sur 9 mois</t>
  </si>
  <si>
    <t>clim reversible</t>
  </si>
  <si>
    <t>CHALETTE/LOING</t>
  </si>
  <si>
    <t>0,16%+aghefip 20000</t>
  </si>
  <si>
    <t>FRAIS DE FACTURATION -B</t>
  </si>
  <si>
    <t>LOCATIONS DIVERSES -B</t>
  </si>
  <si>
    <t>PARTICIPATIONS FOIRES REFACTUREES -B</t>
  </si>
  <si>
    <t>PORTS SUR VENTES TAXABLES -B</t>
  </si>
  <si>
    <t>RFA ACCORDEES AUX CLIENTS -B</t>
  </si>
  <si>
    <t>VENTES -B</t>
  </si>
  <si>
    <t>VENTES EXONEREES -B</t>
  </si>
  <si>
    <t>VENTES EXPORT -B</t>
  </si>
  <si>
    <t>VENTES INTRACOMMUNAUTAIRES -B</t>
  </si>
  <si>
    <t>VENTES PARTICULIERS -B</t>
  </si>
  <si>
    <t>VENTES TAXABLES A 5,5% -B</t>
  </si>
  <si>
    <t>VENTES ANNEXES NON TAXABLES -B</t>
  </si>
  <si>
    <t>VENTES ANNEXES TAXABLES -B</t>
  </si>
  <si>
    <t>DOTATIONS PROV. DEPREC.  STOCKS -B</t>
  </si>
  <si>
    <t>FRAIS DE STOCKAGE -B</t>
  </si>
  <si>
    <t>PORTS SUR ACHATS -B</t>
  </si>
  <si>
    <t>PORTS SUR ACHATS INTER DEPOTS -B</t>
  </si>
  <si>
    <t>REPRISES PROV. DEPREC. STOCKS -B</t>
  </si>
  <si>
    <t>RFA OBTENUS DIVERS -B</t>
  </si>
  <si>
    <t>VARIATION DE STOCK -B</t>
  </si>
  <si>
    <t>ACHATS D'EMBALLAGES -B</t>
  </si>
  <si>
    <t>ACHATS HORS TLC -B</t>
  </si>
  <si>
    <t>ACHATS INTER DEPOTS ENTRANTS -B</t>
  </si>
  <si>
    <t>ACHATS INTER DEPOTS SORTANTS -B</t>
  </si>
  <si>
    <t>ACHATS INTRACOMMUNAUTAIRES -B</t>
  </si>
  <si>
    <t>ACHATS RETROCEDES -B</t>
  </si>
  <si>
    <t>ACHATS TLC -B</t>
  </si>
  <si>
    <t>RFA OBTENUS THEOLAUR -B</t>
  </si>
  <si>
    <t>AFFRANCHISSEMENTS -B</t>
  </si>
  <si>
    <t>ASSURANCE CREDIT -B</t>
  </si>
  <si>
    <t>ASSURANCES MULTIRISQUES -B</t>
  </si>
  <si>
    <t>CHARGES DE COPROPRIETE -B</t>
  </si>
  <si>
    <t>CHAUFFAGE -B</t>
  </si>
  <si>
    <t>COMBUSTIBLES -B</t>
  </si>
  <si>
    <t>COMMISSIONS ET COURTAGES / VENTES -B</t>
  </si>
  <si>
    <t>DOCUMENTATIONS -B</t>
  </si>
  <si>
    <t>ELECTRICITE &amp; EAUX -B</t>
  </si>
  <si>
    <t>ENTRETIEN VETEMENTS DE TRAVAIL -B</t>
  </si>
  <si>
    <t>ENTRETIENS DES BATIMENTS -B</t>
  </si>
  <si>
    <t>ENTRETIENS MATERIELS BUREAU &amp; INF. -B</t>
  </si>
  <si>
    <t>ENTRETIENS MATERIELS DIVERS -B</t>
  </si>
  <si>
    <t>FOURNITURES DE BUREAU -B</t>
  </si>
  <si>
    <t>FRAIS ACTES -B</t>
  </si>
  <si>
    <t>FRAIS DE DEMENAGEMENT -B</t>
  </si>
  <si>
    <t>FRAIS DE DEPLACEMENTS -B</t>
  </si>
  <si>
    <t>FRAIS DE MISSIONS -B</t>
  </si>
  <si>
    <t>FRAIS RECRUTEMENT DE PERSONNEL -B</t>
  </si>
  <si>
    <t>FRAIS SEMINAIRES -B</t>
  </si>
  <si>
    <t>HONORAIRES -B</t>
  </si>
  <si>
    <t>LOCATION MACHINE A TIMBRER -B</t>
  </si>
  <si>
    <t>LOCATIONS  MATERIEL DE BUREAU &amp; INF. -B</t>
  </si>
  <si>
    <t>LOCATIONS MATERIELS DIVERS -B</t>
  </si>
  <si>
    <t>LOYERS -B</t>
  </si>
  <si>
    <t>PETITS OUTILLAGES -B</t>
  </si>
  <si>
    <t>PRESTATIONS EXTERIEURES -B</t>
  </si>
  <si>
    <t>PRODUITS D'ENTRETIEN -B</t>
  </si>
  <si>
    <t>TELEPHONE -B</t>
  </si>
  <si>
    <t>TRANSPORTS SUR VENTES -B</t>
  </si>
  <si>
    <t>AUTRES CHARGES / OP. DE GESTION -B</t>
  </si>
  <si>
    <t>CHARGES / EXERCICES ANTERIEURS -B</t>
  </si>
  <si>
    <t>CHARGES FINANCIERES SIRCAM -B</t>
  </si>
  <si>
    <t>DOTATIONS AUX AMORTISSEMENTS DEROGATOIRES -B</t>
  </si>
  <si>
    <t>DOTATIONS AUX AMORTISSEMENTS IMMOB. CORP. -B</t>
  </si>
  <si>
    <t>DOTATIONS AUX AMORTISSEMENTS IMMOB. INCORP. -B</t>
  </si>
  <si>
    <t>DROITS AUTEURS ET REPRODUCTION -B</t>
  </si>
  <si>
    <t>INTERETS SUR VERSEMENTS PARTICIPATION -B</t>
  </si>
  <si>
    <t>PENALITES &amp; AMENDES -B</t>
  </si>
  <si>
    <t>PROVISIONS POUR RISQUES &amp; CHARGES -B</t>
  </si>
  <si>
    <t>TRANSFERT CHARGES EXPLOITATION -B</t>
  </si>
  <si>
    <t>VNC IMMOBILISATIONS CORP. CEDEES -B</t>
  </si>
  <si>
    <t>VNC IMMOBILISATIONS INCORP. CEDEES -B</t>
  </si>
  <si>
    <t>ESCOMPTES OBTENUS -B</t>
  </si>
  <si>
    <t>PDTS / EXERCICES ANTERIEURS -B</t>
  </si>
  <si>
    <t>PDTS CESSIONS IMMOB. CORP. -B</t>
  </si>
  <si>
    <t>PDTS CESSIONS IMMOB. INCORP. -B</t>
  </si>
  <si>
    <t>PDTS EXCEP. / OP. GESTION -B</t>
  </si>
  <si>
    <t>REMBOURSEMENTS ASSURANCES -B</t>
  </si>
  <si>
    <t>RENTREES / CREANCES AMORTIES -B</t>
  </si>
  <si>
    <t>REPRISE SUR AMORTISSEMENTS DEROGATOIRES -B</t>
  </si>
  <si>
    <t>REPRISES PROV. RIQUES &amp; CHARGES EXPLOITATION -B</t>
  </si>
  <si>
    <t>REVENUS CREANCES DIVERSES -B</t>
  </si>
  <si>
    <t>SUBVENTIONS EXPLOIT. A RECEVOIR -B</t>
  </si>
  <si>
    <t>TRANSFERTS CHARGES EXPLOIT. (Namur + Intergros) -B</t>
  </si>
  <si>
    <t>0,45% LOGEMENT -B</t>
  </si>
  <si>
    <t>ASSEDIC -B</t>
  </si>
  <si>
    <t>AUTRES CHARGES DE PERSONNEL -B</t>
  </si>
  <si>
    <t>AUTRES IMPOTS -B</t>
  </si>
  <si>
    <t>AUTRES IMPOTS LOCAUX -B</t>
  </si>
  <si>
    <t>AVANTAGES EN NATURE -B</t>
  </si>
  <si>
    <t>cfe -B</t>
  </si>
  <si>
    <t>CHARGES CONNEXES -B</t>
  </si>
  <si>
    <t>CHARGES SOCIALES / CONGES PAYES -B</t>
  </si>
  <si>
    <t>CHARGES SUR COMMISSIONS -B</t>
  </si>
  <si>
    <t>CONGES PAYES -B</t>
  </si>
  <si>
    <t>DROITS ENREGISTREMENT ET DE TIMBRES -B</t>
  </si>
  <si>
    <t>FORMATION CONTINUE -B</t>
  </si>
  <si>
    <t>FOURNITURES AU PERSONNEL -B</t>
  </si>
  <si>
    <t>GAN ARTICLE 83 -B</t>
  </si>
  <si>
    <t>GRATIFICATIONS STAGIAIRES EXO DE CHARGES -B</t>
  </si>
  <si>
    <t>IMPOTS ET TAXES -B</t>
  </si>
  <si>
    <t>IMPOTS FONCIERS -B</t>
  </si>
  <si>
    <t>IRREP IRPVRP -B</t>
  </si>
  <si>
    <t>MEDECINE DU TRAVAIL -B</t>
  </si>
  <si>
    <t>MUTUELLE -B</t>
  </si>
  <si>
    <t>OEUVRES SOCIALES -B</t>
  </si>
  <si>
    <t>ORGANIC -B</t>
  </si>
  <si>
    <t>PERSONNEL DETACHE -B</t>
  </si>
  <si>
    <t>PERSONNEL INTERIMAIRE -B</t>
  </si>
  <si>
    <t>PRESTATIONS DE SERVICES -B</t>
  </si>
  <si>
    <t>SALAIRES -B</t>
  </si>
  <si>
    <t>SALAIRES A REGULARISER -B</t>
  </si>
  <si>
    <t>TAXE APPRENTISSAGE -B</t>
  </si>
  <si>
    <t>TAXES SUR VEHICULES -B</t>
  </si>
  <si>
    <t>URSSAF -B</t>
  </si>
  <si>
    <t>AGIOS FACTURES -B</t>
  </si>
  <si>
    <t>AGIOS SUR IMPAYES -B</t>
  </si>
  <si>
    <t>CREANCES IRRECOUVRABLES -B</t>
  </si>
  <si>
    <t>ESCOMPTES ACCORDES -B</t>
  </si>
  <si>
    <t>FRAIS CONTENTIEUX -B</t>
  </si>
  <si>
    <t>FRAIS DE FACTURATION NON REGLES -B</t>
  </si>
  <si>
    <t>FRAIS D'IMPAYES REFACTURES -B</t>
  </si>
  <si>
    <t>INDEMNISATION SFAC -B</t>
  </si>
  <si>
    <t>PERTES SUR CREANCES CLIENTS -B</t>
  </si>
  <si>
    <t>REPRISES SUR CREANCES CLIENTS -B</t>
  </si>
  <si>
    <t>AMORTISSEMENTS COLLECTIONS -B</t>
  </si>
  <si>
    <t>ANNONCES &amp; INSERTIONS -B</t>
  </si>
  <si>
    <t>CADEAUX -B</t>
  </si>
  <si>
    <t>COLLECTIONS -B</t>
  </si>
  <si>
    <t>DONS -B</t>
  </si>
  <si>
    <t>FOIRES EXPO. -B</t>
  </si>
  <si>
    <t>PARTICIPATIONS /  MACHINE A TEINTER -B</t>
  </si>
  <si>
    <t>PUBLICITE -B</t>
  </si>
  <si>
    <t>RECEPTIONS -B</t>
  </si>
  <si>
    <t>VOYAGES -B</t>
  </si>
  <si>
    <t>ASSURANCES VEHICULES -B</t>
  </si>
  <si>
    <t>CARBURANTS -B</t>
  </si>
  <si>
    <t>CREDIT BAIL -B</t>
  </si>
  <si>
    <t>ENTRETIENS VEHICULES -B</t>
  </si>
  <si>
    <t>LOCATIONS VEHICULES -B</t>
  </si>
  <si>
    <t xml:space="preserve"> -B</t>
  </si>
  <si>
    <t>STOCK AU 1er JANVIER  -B</t>
  </si>
  <si>
    <t>STOCK FIN DE PERIODE -B</t>
  </si>
  <si>
    <t>MARGE OLYMP -B</t>
  </si>
  <si>
    <t>CAISSE DE RETRAITE -B</t>
  </si>
  <si>
    <t>Alimentation</t>
  </si>
  <si>
    <t>Restitution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</si>
</sst>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"/>
    <numFmt numFmtId="165" formatCode="#,##0\ &quot;€&quot;"/>
    <numFmt numFmtId="166" formatCode="_-* #,##0\ _€_-;\-* #,##0\ _€_-;_-* &quot;-&quot;??\ _€_-;_-@_-"/>
    <numFmt numFmtId="167" formatCode="#,##0.0"/>
    <numFmt numFmtId="168" formatCode="_-* #,##0\ [$€-40C]_-;\-* #,##0\ [$€-40C]_-;_-* &quot;-&quot;??\ [$€-40C]_-;_-@_-"/>
    <numFmt numFmtId="169" formatCode="#,##0_ ;\-#,##0\ "/>
  </numFmts>
  <fonts count="92">
    <font>
      <sz val="10"/>
      <name val="Arial"/>
    </font>
    <font>
      <sz val="10"/>
      <name val="Arial"/>
      <family val="2"/>
    </font>
    <font>
      <sz val="5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b/>
      <sz val="8"/>
      <color indexed="63"/>
      <name val="Arial"/>
      <family val="2"/>
    </font>
    <font>
      <b/>
      <sz val="8"/>
      <color indexed="10"/>
      <name val="Arial"/>
      <family val="2"/>
    </font>
    <font>
      <b/>
      <sz val="8"/>
      <color indexed="12"/>
      <name val="Arial"/>
      <family val="2"/>
    </font>
    <font>
      <b/>
      <sz val="10"/>
      <name val="Arial"/>
      <family val="2"/>
    </font>
    <font>
      <b/>
      <sz val="8"/>
      <color indexed="8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"/>
      <name val="Arial"/>
      <family val="2"/>
    </font>
    <font>
      <b/>
      <u/>
      <sz val="8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i/>
      <sz val="8"/>
      <color indexed="12"/>
      <name val="Arial"/>
      <family val="2"/>
    </font>
    <font>
      <b/>
      <i/>
      <sz val="8"/>
      <color indexed="8"/>
      <name val="Arial"/>
      <family val="2"/>
    </font>
    <font>
      <b/>
      <i/>
      <sz val="8"/>
      <color indexed="10"/>
      <name val="Arial"/>
      <family val="2"/>
    </font>
    <font>
      <b/>
      <i/>
      <sz val="8"/>
      <color indexed="63"/>
      <name val="Arial"/>
      <family val="2"/>
    </font>
    <font>
      <i/>
      <sz val="8"/>
      <color indexed="10"/>
      <name val="Arial"/>
      <family val="2"/>
    </font>
    <font>
      <sz val="10"/>
      <color indexed="40"/>
      <name val="Arial"/>
      <family val="2"/>
    </font>
    <font>
      <sz val="8"/>
      <color indexed="10"/>
      <name val="Arial"/>
      <family val="2"/>
    </font>
    <font>
      <sz val="8"/>
      <color indexed="48"/>
      <name val="Arial"/>
      <family val="2"/>
    </font>
    <font>
      <i/>
      <sz val="8"/>
      <color indexed="48"/>
      <name val="Arial"/>
      <family val="2"/>
    </font>
    <font>
      <sz val="8"/>
      <color indexed="12"/>
      <name val="Arial"/>
      <family val="2"/>
    </font>
    <font>
      <b/>
      <sz val="8"/>
      <color indexed="57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6"/>
      <name val="Arial"/>
      <family val="2"/>
    </font>
    <font>
      <sz val="12"/>
      <name val="Geneva"/>
    </font>
    <font>
      <b/>
      <sz val="12"/>
      <name val="Geneva"/>
    </font>
    <font>
      <b/>
      <sz val="10"/>
      <name val="Geneva"/>
    </font>
    <font>
      <sz val="10"/>
      <name val="Geneva"/>
    </font>
    <font>
      <i/>
      <sz val="8"/>
      <color indexed="12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color indexed="10"/>
      <name val="Arial"/>
      <family val="2"/>
    </font>
    <font>
      <sz val="11"/>
      <color indexed="17"/>
      <name val="Calibri"/>
      <family val="2"/>
    </font>
    <font>
      <i/>
      <sz val="8"/>
      <color indexed="30"/>
      <name val="Arial"/>
      <family val="2"/>
    </font>
    <font>
      <i/>
      <sz val="8"/>
      <color indexed="62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i/>
      <sz val="8"/>
      <color indexed="60"/>
      <name val="Arial"/>
      <family val="2"/>
    </font>
    <font>
      <i/>
      <sz val="8"/>
      <color indexed="17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i/>
      <sz val="9"/>
      <color indexed="10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b/>
      <i/>
      <sz val="11"/>
      <color indexed="10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i/>
      <sz val="11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8"/>
      <color rgb="FF00B050"/>
      <name val="Arial"/>
      <family val="2"/>
    </font>
    <font>
      <b/>
      <i/>
      <sz val="8"/>
      <color rgb="FF00B050"/>
      <name val="Arial"/>
      <family val="2"/>
    </font>
    <font>
      <b/>
      <i/>
      <sz val="8"/>
      <color rgb="FFFF0000"/>
      <name val="Arial"/>
      <family val="2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rgb="FFFF0000"/>
      <name val="Arial"/>
      <family val="2"/>
    </font>
    <font>
      <i/>
      <sz val="8"/>
      <color rgb="FFFF0000"/>
      <name val="Arial"/>
      <family val="2"/>
    </font>
    <font>
      <b/>
      <i/>
      <sz val="11"/>
      <color rgb="FFFF000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sz val="8"/>
      <color rgb="FF00B05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double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double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double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</borders>
  <cellStyleXfs count="51">
    <xf numFmtId="0" fontId="0" fillId="0" borderId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35" borderId="95" applyNumberFormat="0" applyAlignment="0" applyProtection="0"/>
    <xf numFmtId="0" fontId="66" fillId="0" borderId="96" applyNumberFormat="0" applyFill="0" applyAlignment="0" applyProtection="0"/>
    <xf numFmtId="0" fontId="41" fillId="36" borderId="97" applyNumberFormat="0" applyFont="0" applyAlignment="0" applyProtection="0"/>
    <xf numFmtId="0" fontId="41" fillId="36" borderId="97" applyNumberFormat="0" applyFont="0" applyAlignment="0" applyProtection="0"/>
    <xf numFmtId="0" fontId="67" fillId="37" borderId="95" applyNumberFormat="0" applyAlignment="0" applyProtection="0"/>
    <xf numFmtId="164" fontId="1" fillId="0" borderId="0" applyFont="0" applyFill="0" applyBorder="0" applyAlignment="0" applyProtection="0"/>
    <xf numFmtId="0" fontId="68" fillId="38" borderId="0" applyNumberFormat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9" fillId="39" borderId="0" applyNumberFormat="0" applyBorder="0" applyAlignment="0" applyProtection="0"/>
    <xf numFmtId="0" fontId="62" fillId="0" borderId="0"/>
    <xf numFmtId="0" fontId="62" fillId="0" borderId="0"/>
    <xf numFmtId="9" fontId="1" fillId="0" borderId="0" applyFont="0" applyFill="0" applyBorder="0" applyAlignment="0" applyProtection="0"/>
    <xf numFmtId="0" fontId="70" fillId="40" borderId="0" applyNumberFormat="0" applyBorder="0" applyAlignment="0" applyProtection="0"/>
    <xf numFmtId="0" fontId="71" fillId="35" borderId="98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99" applyNumberFormat="0" applyFill="0" applyAlignment="0" applyProtection="0"/>
    <xf numFmtId="0" fontId="75" fillId="0" borderId="100" applyNumberFormat="0" applyFill="0" applyAlignment="0" applyProtection="0"/>
    <xf numFmtId="0" fontId="76" fillId="0" borderId="101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102" applyNumberFormat="0" applyFill="0" applyAlignment="0" applyProtection="0"/>
    <xf numFmtId="0" fontId="78" fillId="41" borderId="103" applyNumberFormat="0" applyAlignment="0" applyProtection="0"/>
    <xf numFmtId="3" fontId="1" fillId="3" borderId="104"/>
  </cellStyleXfs>
  <cellXfs count="1457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1" xfId="0" applyFont="1" applyFill="1" applyBorder="1"/>
    <xf numFmtId="0" fontId="4" fillId="2" borderId="2" xfId="0" applyFont="1" applyFill="1" applyBorder="1" applyAlignment="1">
      <alignment horizontal="center"/>
    </xf>
    <xf numFmtId="0" fontId="3" fillId="0" borderId="1" xfId="0" applyFont="1" applyBorder="1"/>
    <xf numFmtId="0" fontId="5" fillId="2" borderId="3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17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10" fontId="8" fillId="2" borderId="4" xfId="39" applyNumberFormat="1" applyFont="1" applyFill="1" applyBorder="1"/>
    <xf numFmtId="0" fontId="8" fillId="2" borderId="4" xfId="0" applyFont="1" applyFill="1" applyBorder="1" applyAlignment="1">
      <alignment horizontal="left"/>
    </xf>
    <xf numFmtId="3" fontId="3" fillId="0" borderId="0" xfId="0" applyNumberFormat="1" applyFont="1"/>
    <xf numFmtId="3" fontId="3" fillId="0" borderId="1" xfId="0" applyNumberFormat="1" applyFont="1" applyBorder="1"/>
    <xf numFmtId="4" fontId="0" fillId="0" borderId="0" xfId="0" applyNumberFormat="1"/>
    <xf numFmtId="0" fontId="11" fillId="5" borderId="4" xfId="0" applyFont="1" applyFill="1" applyBorder="1" applyAlignment="1">
      <alignment horizontal="center"/>
    </xf>
    <xf numFmtId="0" fontId="3" fillId="0" borderId="5" xfId="0" applyFont="1" applyBorder="1"/>
    <xf numFmtId="10" fontId="2" fillId="0" borderId="0" xfId="0" applyNumberFormat="1" applyFont="1"/>
    <xf numFmtId="10" fontId="3" fillId="0" borderId="1" xfId="0" applyNumberFormat="1" applyFont="1" applyBorder="1"/>
    <xf numFmtId="10" fontId="3" fillId="0" borderId="0" xfId="0" applyNumberFormat="1" applyFont="1"/>
    <xf numFmtId="0" fontId="3" fillId="0" borderId="0" xfId="0" applyFont="1" applyBorder="1"/>
    <xf numFmtId="3" fontId="0" fillId="0" borderId="0" xfId="0" applyNumberFormat="1"/>
    <xf numFmtId="3" fontId="4" fillId="0" borderId="0" xfId="0" applyNumberFormat="1" applyFont="1"/>
    <xf numFmtId="3" fontId="10" fillId="0" borderId="0" xfId="0" applyNumberFormat="1" applyFont="1"/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/>
    <xf numFmtId="4" fontId="3" fillId="0" borderId="0" xfId="0" applyNumberFormat="1" applyFont="1"/>
    <xf numFmtId="4" fontId="4" fillId="0" borderId="0" xfId="0" applyNumberFormat="1" applyFont="1"/>
    <xf numFmtId="4" fontId="3" fillId="0" borderId="6" xfId="0" applyNumberFormat="1" applyFont="1" applyBorder="1"/>
    <xf numFmtId="4" fontId="3" fillId="0" borderId="0" xfId="0" applyNumberFormat="1" applyFont="1" applyBorder="1"/>
    <xf numFmtId="2" fontId="3" fillId="0" borderId="0" xfId="0" applyNumberFormat="1" applyFont="1"/>
    <xf numFmtId="0" fontId="10" fillId="0" borderId="0" xfId="0" applyFont="1"/>
    <xf numFmtId="0" fontId="4" fillId="0" borderId="0" xfId="0" applyNumberFormat="1" applyFont="1"/>
    <xf numFmtId="0" fontId="2" fillId="0" borderId="0" xfId="0" applyFont="1" applyBorder="1"/>
    <xf numFmtId="0" fontId="11" fillId="3" borderId="4" xfId="0" applyFont="1" applyFill="1" applyBorder="1" applyAlignment="1">
      <alignment horizontal="center"/>
    </xf>
    <xf numFmtId="0" fontId="11" fillId="0" borderId="0" xfId="0" applyFont="1"/>
    <xf numFmtId="0" fontId="12" fillId="0" borderId="0" xfId="33" applyAlignment="1" applyProtection="1"/>
    <xf numFmtId="3" fontId="12" fillId="0" borderId="0" xfId="33" applyNumberFormat="1" applyAlignment="1" applyProtection="1"/>
    <xf numFmtId="0" fontId="12" fillId="2" borderId="0" xfId="33" applyFill="1" applyAlignment="1" applyProtection="1"/>
    <xf numFmtId="0" fontId="0" fillId="2" borderId="0" xfId="0" applyFill="1"/>
    <xf numFmtId="0" fontId="0" fillId="3" borderId="0" xfId="0" applyFill="1"/>
    <xf numFmtId="0" fontId="12" fillId="5" borderId="0" xfId="33" applyFill="1" applyAlignment="1" applyProtection="1"/>
    <xf numFmtId="0" fontId="0" fillId="5" borderId="0" xfId="0" applyFill="1"/>
    <xf numFmtId="0" fontId="0" fillId="6" borderId="0" xfId="0" applyFill="1"/>
    <xf numFmtId="0" fontId="12" fillId="6" borderId="0" xfId="33" applyFill="1" applyAlignment="1" applyProtection="1"/>
    <xf numFmtId="0" fontId="12" fillId="4" borderId="0" xfId="33" applyFill="1" applyAlignment="1" applyProtection="1"/>
    <xf numFmtId="0" fontId="0" fillId="4" borderId="0" xfId="0" applyFill="1"/>
    <xf numFmtId="3" fontId="12" fillId="0" borderId="0" xfId="33" applyNumberFormat="1" applyFont="1" applyAlignment="1" applyProtection="1"/>
    <xf numFmtId="0" fontId="11" fillId="3" borderId="4" xfId="0" applyFont="1" applyFill="1" applyBorder="1" applyAlignment="1">
      <alignment horizontal="left"/>
    </xf>
    <xf numFmtId="0" fontId="16" fillId="3" borderId="0" xfId="0" applyFont="1" applyFill="1"/>
    <xf numFmtId="1" fontId="3" fillId="0" borderId="0" xfId="0" applyNumberFormat="1" applyFont="1"/>
    <xf numFmtId="0" fontId="4" fillId="0" borderId="0" xfId="0" applyFont="1" applyBorder="1"/>
    <xf numFmtId="3" fontId="17" fillId="0" borderId="0" xfId="33" applyNumberFormat="1" applyFont="1" applyAlignment="1" applyProtection="1"/>
    <xf numFmtId="0" fontId="4" fillId="4" borderId="0" xfId="0" applyFont="1" applyFill="1" applyBorder="1"/>
    <xf numFmtId="0" fontId="4" fillId="4" borderId="0" xfId="0" applyFont="1" applyFill="1"/>
    <xf numFmtId="0" fontId="4" fillId="5" borderId="4" xfId="0" applyFont="1" applyFill="1" applyBorder="1" applyAlignment="1">
      <alignment horizontal="center"/>
    </xf>
    <xf numFmtId="0" fontId="18" fillId="0" borderId="0" xfId="0" applyFont="1"/>
    <xf numFmtId="0" fontId="12" fillId="6" borderId="0" xfId="33" applyFont="1" applyFill="1" applyAlignment="1" applyProtection="1"/>
    <xf numFmtId="10" fontId="19" fillId="0" borderId="0" xfId="0" applyNumberFormat="1" applyFont="1"/>
    <xf numFmtId="0" fontId="6" fillId="3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" fontId="4" fillId="5" borderId="4" xfId="0" applyNumberFormat="1" applyFont="1" applyFill="1" applyBorder="1" applyAlignment="1">
      <alignment horizontal="left"/>
    </xf>
    <xf numFmtId="0" fontId="0" fillId="5" borderId="7" xfId="0" applyFill="1" applyBorder="1"/>
    <xf numFmtId="0" fontId="0" fillId="5" borderId="8" xfId="0" applyFill="1" applyBorder="1"/>
    <xf numFmtId="4" fontId="4" fillId="3" borderId="0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4" xfId="0" applyFill="1" applyBorder="1"/>
    <xf numFmtId="0" fontId="0" fillId="2" borderId="4" xfId="0" applyFill="1" applyBorder="1" applyAlignment="1">
      <alignment horizontal="center"/>
    </xf>
    <xf numFmtId="0" fontId="0" fillId="0" borderId="1" xfId="0" applyBorder="1"/>
    <xf numFmtId="4" fontId="0" fillId="0" borderId="1" xfId="0" applyNumberFormat="1" applyBorder="1"/>
    <xf numFmtId="0" fontId="0" fillId="4" borderId="3" xfId="0" applyFill="1" applyBorder="1"/>
    <xf numFmtId="4" fontId="0" fillId="4" borderId="3" xfId="0" applyNumberFormat="1" applyFill="1" applyBorder="1"/>
    <xf numFmtId="0" fontId="0" fillId="4" borderId="2" xfId="0" applyFill="1" applyBorder="1"/>
    <xf numFmtId="4" fontId="0" fillId="4" borderId="2" xfId="0" applyNumberFormat="1" applyFill="1" applyBorder="1"/>
    <xf numFmtId="0" fontId="0" fillId="2" borderId="3" xfId="0" applyFill="1" applyBorder="1"/>
    <xf numFmtId="4" fontId="0" fillId="2" borderId="3" xfId="0" applyNumberFormat="1" applyFill="1" applyBorder="1"/>
    <xf numFmtId="0" fontId="0" fillId="2" borderId="2" xfId="0" applyFill="1" applyBorder="1"/>
    <xf numFmtId="4" fontId="0" fillId="2" borderId="2" xfId="0" applyNumberFormat="1" applyFill="1" applyBorder="1"/>
    <xf numFmtId="3" fontId="26" fillId="0" borderId="0" xfId="0" applyNumberFormat="1" applyFont="1"/>
    <xf numFmtId="1" fontId="25" fillId="0" borderId="0" xfId="0" applyNumberFormat="1" applyFont="1"/>
    <xf numFmtId="0" fontId="3" fillId="0" borderId="1" xfId="0" applyFont="1" applyFill="1" applyBorder="1"/>
    <xf numFmtId="0" fontId="3" fillId="0" borderId="0" xfId="0" applyFont="1" applyAlignment="1">
      <alignment horizontal="left"/>
    </xf>
    <xf numFmtId="10" fontId="4" fillId="2" borderId="9" xfId="0" applyNumberFormat="1" applyFont="1" applyFill="1" applyBorder="1" applyAlignment="1">
      <alignment horizontal="center"/>
    </xf>
    <xf numFmtId="10" fontId="4" fillId="2" borderId="10" xfId="0" applyNumberFormat="1" applyFont="1" applyFill="1" applyBorder="1"/>
    <xf numFmtId="10" fontId="3" fillId="0" borderId="9" xfId="0" applyNumberFormat="1" applyFont="1" applyBorder="1"/>
    <xf numFmtId="10" fontId="9" fillId="4" borderId="11" xfId="0" applyNumberFormat="1" applyFont="1" applyFill="1" applyBorder="1" applyAlignment="1">
      <alignment horizontal="center"/>
    </xf>
    <xf numFmtId="10" fontId="11" fillId="3" borderId="11" xfId="0" applyNumberFormat="1" applyFont="1" applyFill="1" applyBorder="1" applyAlignment="1">
      <alignment horizontal="center"/>
    </xf>
    <xf numFmtId="10" fontId="11" fillId="3" borderId="11" xfId="0" applyNumberFormat="1" applyFont="1" applyFill="1" applyBorder="1" applyAlignment="1">
      <alignment horizontal="left"/>
    </xf>
    <xf numFmtId="10" fontId="8" fillId="2" borderId="11" xfId="0" applyNumberFormat="1" applyFont="1" applyFill="1" applyBorder="1" applyAlignment="1">
      <alignment horizontal="left"/>
    </xf>
    <xf numFmtId="10" fontId="3" fillId="0" borderId="12" xfId="0" applyNumberFormat="1" applyFont="1" applyBorder="1"/>
    <xf numFmtId="10" fontId="3" fillId="3" borderId="11" xfId="0" applyNumberFormat="1" applyFont="1" applyFill="1" applyBorder="1" applyAlignment="1">
      <alignment horizontal="center"/>
    </xf>
    <xf numFmtId="10" fontId="7" fillId="5" borderId="11" xfId="0" applyNumberFormat="1" applyFont="1" applyFill="1" applyBorder="1" applyAlignment="1">
      <alignment horizontal="center"/>
    </xf>
    <xf numFmtId="10" fontId="8" fillId="2" borderId="11" xfId="0" applyNumberFormat="1" applyFont="1" applyFill="1" applyBorder="1" applyAlignment="1">
      <alignment horizontal="center"/>
    </xf>
    <xf numFmtId="10" fontId="4" fillId="5" borderId="11" xfId="0" applyNumberFormat="1" applyFont="1" applyFill="1" applyBorder="1"/>
    <xf numFmtId="10" fontId="4" fillId="2" borderId="13" xfId="0" applyNumberFormat="1" applyFont="1" applyFill="1" applyBorder="1" applyAlignment="1">
      <alignment horizontal="center"/>
    </xf>
    <xf numFmtId="10" fontId="11" fillId="5" borderId="11" xfId="0" applyNumberFormat="1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7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/>
    <xf numFmtId="0" fontId="3" fillId="3" borderId="0" xfId="0" applyFont="1" applyFill="1"/>
    <xf numFmtId="10" fontId="0" fillId="0" borderId="0" xfId="0" applyNumberFormat="1"/>
    <xf numFmtId="1" fontId="27" fillId="0" borderId="0" xfId="0" applyNumberFormat="1" applyFont="1"/>
    <xf numFmtId="3" fontId="16" fillId="3" borderId="0" xfId="0" applyNumberFormat="1" applyFont="1" applyFill="1"/>
    <xf numFmtId="3" fontId="4" fillId="5" borderId="4" xfId="0" applyNumberFormat="1" applyFont="1" applyFill="1" applyBorder="1" applyAlignment="1">
      <alignment horizontal="center"/>
    </xf>
    <xf numFmtId="3" fontId="3" fillId="0" borderId="0" xfId="0" applyNumberFormat="1" applyFont="1" applyBorder="1"/>
    <xf numFmtId="3" fontId="0" fillId="0" borderId="0" xfId="39" applyNumberFormat="1" applyFont="1"/>
    <xf numFmtId="0" fontId="19" fillId="0" borderId="15" xfId="0" applyFont="1" applyBorder="1"/>
    <xf numFmtId="4" fontId="19" fillId="0" borderId="15" xfId="0" applyNumberFormat="1" applyFont="1" applyBorder="1"/>
    <xf numFmtId="3" fontId="19" fillId="0" borderId="15" xfId="0" applyNumberFormat="1" applyFont="1" applyBorder="1"/>
    <xf numFmtId="3" fontId="21" fillId="4" borderId="8" xfId="0" applyNumberFormat="1" applyFont="1" applyFill="1" applyBorder="1"/>
    <xf numFmtId="3" fontId="22" fillId="3" borderId="8" xfId="0" applyNumberFormat="1" applyFont="1" applyFill="1" applyBorder="1"/>
    <xf numFmtId="0" fontId="22" fillId="3" borderId="8" xfId="0" applyFont="1" applyFill="1" applyBorder="1"/>
    <xf numFmtId="0" fontId="21" fillId="4" borderId="8" xfId="0" applyFont="1" applyFill="1" applyBorder="1"/>
    <xf numFmtId="3" fontId="23" fillId="2" borderId="8" xfId="39" applyNumberFormat="1" applyFont="1" applyFill="1" applyBorder="1"/>
    <xf numFmtId="10" fontId="23" fillId="2" borderId="8" xfId="39" applyNumberFormat="1" applyFont="1" applyFill="1" applyBorder="1"/>
    <xf numFmtId="0" fontId="19" fillId="0" borderId="17" xfId="0" applyFont="1" applyBorder="1"/>
    <xf numFmtId="3" fontId="19" fillId="3" borderId="8" xfId="0" applyNumberFormat="1" applyFont="1" applyFill="1" applyBorder="1"/>
    <xf numFmtId="3" fontId="24" fillId="5" borderId="8" xfId="0" applyNumberFormat="1" applyFont="1" applyFill="1" applyBorder="1"/>
    <xf numFmtId="3" fontId="23" fillId="2" borderId="8" xfId="0" applyNumberFormat="1" applyFont="1" applyFill="1" applyBorder="1"/>
    <xf numFmtId="3" fontId="20" fillId="5" borderId="8" xfId="0" applyNumberFormat="1" applyFont="1" applyFill="1" applyBorder="1"/>
    <xf numFmtId="3" fontId="22" fillId="5" borderId="8" xfId="0" applyNumberFormat="1" applyFont="1" applyFill="1" applyBorder="1"/>
    <xf numFmtId="0" fontId="4" fillId="2" borderId="18" xfId="0" applyFont="1" applyFill="1" applyBorder="1" applyAlignment="1">
      <alignment horizontal="center"/>
    </xf>
    <xf numFmtId="17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19" fillId="0" borderId="0" xfId="0" applyFont="1" applyBorder="1"/>
    <xf numFmtId="3" fontId="19" fillId="0" borderId="0" xfId="0" applyNumberFormat="1" applyFont="1" applyBorder="1"/>
    <xf numFmtId="3" fontId="21" fillId="4" borderId="7" xfId="0" applyNumberFormat="1" applyFont="1" applyFill="1" applyBorder="1"/>
    <xf numFmtId="3" fontId="22" fillId="3" borderId="7" xfId="0" applyNumberFormat="1" applyFont="1" applyFill="1" applyBorder="1"/>
    <xf numFmtId="0" fontId="22" fillId="3" borderId="7" xfId="0" applyFont="1" applyFill="1" applyBorder="1"/>
    <xf numFmtId="0" fontId="21" fillId="4" borderId="7" xfId="0" applyFont="1" applyFill="1" applyBorder="1"/>
    <xf numFmtId="3" fontId="23" fillId="2" borderId="7" xfId="39" applyNumberFormat="1" applyFont="1" applyFill="1" applyBorder="1"/>
    <xf numFmtId="10" fontId="23" fillId="2" borderId="7" xfId="39" applyNumberFormat="1" applyFont="1" applyFill="1" applyBorder="1"/>
    <xf numFmtId="0" fontId="19" fillId="0" borderId="19" xfId="0" applyFont="1" applyBorder="1"/>
    <xf numFmtId="10" fontId="19" fillId="0" borderId="0" xfId="0" applyNumberFormat="1" applyFont="1" applyBorder="1"/>
    <xf numFmtId="3" fontId="19" fillId="3" borderId="7" xfId="0" applyNumberFormat="1" applyFont="1" applyFill="1" applyBorder="1"/>
    <xf numFmtId="3" fontId="24" fillId="5" borderId="7" xfId="0" applyNumberFormat="1" applyFont="1" applyFill="1" applyBorder="1"/>
    <xf numFmtId="3" fontId="23" fillId="2" borderId="7" xfId="0" applyNumberFormat="1" applyFont="1" applyFill="1" applyBorder="1"/>
    <xf numFmtId="4" fontId="20" fillId="5" borderId="7" xfId="0" applyNumberFormat="1" applyFont="1" applyFill="1" applyBorder="1"/>
    <xf numFmtId="3" fontId="22" fillId="5" borderId="7" xfId="0" applyNumberFormat="1" applyFont="1" applyFill="1" applyBorder="1"/>
    <xf numFmtId="10" fontId="3" fillId="0" borderId="0" xfId="0" applyNumberFormat="1" applyFont="1" applyBorder="1"/>
    <xf numFmtId="3" fontId="20" fillId="5" borderId="7" xfId="0" applyNumberFormat="1" applyFont="1" applyFill="1" applyBorder="1"/>
    <xf numFmtId="10" fontId="4" fillId="2" borderId="18" xfId="0" applyNumberFormat="1" applyFont="1" applyFill="1" applyBorder="1" applyAlignment="1">
      <alignment horizontal="center"/>
    </xf>
    <xf numFmtId="10" fontId="4" fillId="2" borderId="0" xfId="0" applyNumberFormat="1" applyFont="1" applyFill="1" applyBorder="1" applyAlignment="1">
      <alignment horizontal="center"/>
    </xf>
    <xf numFmtId="10" fontId="4" fillId="2" borderId="6" xfId="0" applyNumberFormat="1" applyFont="1" applyFill="1" applyBorder="1" applyAlignment="1">
      <alignment horizontal="center"/>
    </xf>
    <xf numFmtId="0" fontId="3" fillId="0" borderId="15" xfId="0" applyFont="1" applyBorder="1"/>
    <xf numFmtId="3" fontId="4" fillId="2" borderId="13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4" fillId="2" borderId="10" xfId="0" applyNumberFormat="1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3" fontId="3" fillId="0" borderId="9" xfId="0" applyNumberFormat="1" applyFont="1" applyBorder="1"/>
    <xf numFmtId="3" fontId="28" fillId="0" borderId="15" xfId="0" applyNumberFormat="1" applyFont="1" applyBorder="1"/>
    <xf numFmtId="3" fontId="3" fillId="0" borderId="15" xfId="0" applyNumberFormat="1" applyFont="1" applyBorder="1"/>
    <xf numFmtId="3" fontId="9" fillId="4" borderId="11" xfId="0" applyNumberFormat="1" applyFont="1" applyFill="1" applyBorder="1"/>
    <xf numFmtId="3" fontId="11" fillId="3" borderId="11" xfId="0" applyNumberFormat="1" applyFont="1" applyFill="1" applyBorder="1"/>
    <xf numFmtId="3" fontId="11" fillId="3" borderId="8" xfId="0" applyNumberFormat="1" applyFont="1" applyFill="1" applyBorder="1"/>
    <xf numFmtId="3" fontId="11" fillId="3" borderId="11" xfId="39" applyNumberFormat="1" applyFont="1" applyFill="1" applyBorder="1"/>
    <xf numFmtId="3" fontId="11" fillId="3" borderId="8" xfId="39" applyNumberFormat="1" applyFont="1" applyFill="1" applyBorder="1"/>
    <xf numFmtId="3" fontId="9" fillId="4" borderId="8" xfId="0" applyNumberFormat="1" applyFont="1" applyFill="1" applyBorder="1"/>
    <xf numFmtId="3" fontId="8" fillId="2" borderId="11" xfId="39" applyNumberFormat="1" applyFont="1" applyFill="1" applyBorder="1"/>
    <xf numFmtId="3" fontId="8" fillId="2" borderId="8" xfId="39" applyNumberFormat="1" applyFont="1" applyFill="1" applyBorder="1"/>
    <xf numFmtId="3" fontId="3" fillId="0" borderId="12" xfId="0" applyNumberFormat="1" applyFont="1" applyBorder="1"/>
    <xf numFmtId="3" fontId="3" fillId="0" borderId="17" xfId="0" applyNumberFormat="1" applyFont="1" applyBorder="1"/>
    <xf numFmtId="3" fontId="3" fillId="3" borderId="11" xfId="0" applyNumberFormat="1" applyFont="1" applyFill="1" applyBorder="1"/>
    <xf numFmtId="3" fontId="28" fillId="0" borderId="8" xfId="0" applyNumberFormat="1" applyFont="1" applyBorder="1"/>
    <xf numFmtId="3" fontId="7" fillId="5" borderId="11" xfId="0" applyNumberFormat="1" applyFont="1" applyFill="1" applyBorder="1"/>
    <xf numFmtId="3" fontId="7" fillId="5" borderId="8" xfId="0" applyNumberFormat="1" applyFont="1" applyFill="1" applyBorder="1"/>
    <xf numFmtId="3" fontId="8" fillId="2" borderId="11" xfId="0" applyNumberFormat="1" applyFont="1" applyFill="1" applyBorder="1"/>
    <xf numFmtId="3" fontId="8" fillId="2" borderId="8" xfId="0" applyNumberFormat="1" applyFont="1" applyFill="1" applyBorder="1"/>
    <xf numFmtId="3" fontId="4" fillId="5" borderId="11" xfId="0" applyNumberFormat="1" applyFont="1" applyFill="1" applyBorder="1"/>
    <xf numFmtId="3" fontId="11" fillId="5" borderId="11" xfId="0" applyNumberFormat="1" applyFont="1" applyFill="1" applyBorder="1"/>
    <xf numFmtId="3" fontId="11" fillId="5" borderId="8" xfId="0" applyNumberFormat="1" applyFont="1" applyFill="1" applyBorder="1"/>
    <xf numFmtId="1" fontId="3" fillId="0" borderId="15" xfId="0" applyNumberFormat="1" applyFont="1" applyBorder="1"/>
    <xf numFmtId="10" fontId="4" fillId="2" borderId="14" xfId="0" applyNumberFormat="1" applyFont="1" applyFill="1" applyBorder="1" applyAlignment="1">
      <alignment horizontal="center"/>
    </xf>
    <xf numFmtId="10" fontId="4" fillId="2" borderId="15" xfId="0" applyNumberFormat="1" applyFont="1" applyFill="1" applyBorder="1" applyAlignment="1">
      <alignment horizontal="center"/>
    </xf>
    <xf numFmtId="10" fontId="4" fillId="2" borderId="16" xfId="0" applyNumberFormat="1" applyFont="1" applyFill="1" applyBorder="1" applyAlignment="1">
      <alignment horizontal="center"/>
    </xf>
    <xf numFmtId="10" fontId="3" fillId="0" borderId="15" xfId="0" applyNumberFormat="1" applyFont="1" applyBorder="1"/>
    <xf numFmtId="10" fontId="28" fillId="0" borderId="15" xfId="0" applyNumberFormat="1" applyFont="1" applyBorder="1"/>
    <xf numFmtId="10" fontId="21" fillId="4" borderId="8" xfId="0" applyNumberFormat="1" applyFont="1" applyFill="1" applyBorder="1"/>
    <xf numFmtId="10" fontId="11" fillId="3" borderId="8" xfId="39" applyNumberFormat="1" applyFont="1" applyFill="1" applyBorder="1"/>
    <xf numFmtId="10" fontId="9" fillId="4" borderId="8" xfId="0" applyNumberFormat="1" applyFont="1" applyFill="1" applyBorder="1"/>
    <xf numFmtId="10" fontId="8" fillId="2" borderId="8" xfId="39" applyNumberFormat="1" applyFont="1" applyFill="1" applyBorder="1"/>
    <xf numFmtId="10" fontId="7" fillId="5" borderId="8" xfId="0" applyNumberFormat="1" applyFont="1" applyFill="1" applyBorder="1"/>
    <xf numFmtId="10" fontId="8" fillId="2" borderId="8" xfId="0" applyNumberFormat="1" applyFont="1" applyFill="1" applyBorder="1"/>
    <xf numFmtId="10" fontId="20" fillId="5" borderId="8" xfId="0" applyNumberFormat="1" applyFont="1" applyFill="1" applyBorder="1"/>
    <xf numFmtId="10" fontId="11" fillId="5" borderId="8" xfId="0" applyNumberFormat="1" applyFont="1" applyFill="1" applyBorder="1"/>
    <xf numFmtId="10" fontId="11" fillId="3" borderId="11" xfId="39" applyNumberFormat="1" applyFont="1" applyFill="1" applyBorder="1"/>
    <xf numFmtId="10" fontId="8" fillId="2" borderId="11" xfId="39" applyNumberFormat="1" applyFont="1" applyFill="1" applyBorder="1"/>
    <xf numFmtId="0" fontId="3" fillId="0" borderId="17" xfId="0" applyFont="1" applyBorder="1"/>
    <xf numFmtId="1" fontId="8" fillId="2" borderId="8" xfId="39" applyNumberFormat="1" applyFont="1" applyFill="1" applyBorder="1"/>
    <xf numFmtId="3" fontId="4" fillId="2" borderId="14" xfId="0" applyNumberFormat="1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horizontal="center"/>
    </xf>
    <xf numFmtId="3" fontId="4" fillId="2" borderId="16" xfId="0" applyNumberFormat="1" applyFont="1" applyFill="1" applyBorder="1" applyAlignment="1">
      <alignment horizontal="center"/>
    </xf>
    <xf numFmtId="3" fontId="9" fillId="0" borderId="15" xfId="0" applyNumberFormat="1" applyFont="1" applyBorder="1"/>
    <xf numFmtId="3" fontId="9" fillId="4" borderId="7" xfId="0" applyNumberFormat="1" applyFont="1" applyFill="1" applyBorder="1"/>
    <xf numFmtId="3" fontId="3" fillId="0" borderId="19" xfId="0" applyNumberFormat="1" applyFont="1" applyBorder="1"/>
    <xf numFmtId="3" fontId="7" fillId="5" borderId="7" xfId="0" applyNumberFormat="1" applyFont="1" applyFill="1" applyBorder="1"/>
    <xf numFmtId="10" fontId="3" fillId="0" borderId="17" xfId="0" applyNumberFormat="1" applyFont="1" applyBorder="1"/>
    <xf numFmtId="10" fontId="7" fillId="5" borderId="11" xfId="0" applyNumberFormat="1" applyFont="1" applyFill="1" applyBorder="1"/>
    <xf numFmtId="3" fontId="3" fillId="3" borderId="8" xfId="0" applyNumberFormat="1" applyFont="1" applyFill="1" applyBorder="1"/>
    <xf numFmtId="3" fontId="4" fillId="5" borderId="8" xfId="0" applyNumberFormat="1" applyFont="1" applyFill="1" applyBorder="1"/>
    <xf numFmtId="3" fontId="4" fillId="2" borderId="18" xfId="0" applyNumberFormat="1" applyFont="1" applyFill="1" applyBorder="1" applyAlignment="1">
      <alignment horizontal="center"/>
    </xf>
    <xf numFmtId="3" fontId="10" fillId="2" borderId="9" xfId="0" applyNumberFormat="1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3" fontId="10" fillId="2" borderId="15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4" fillId="3" borderId="9" xfId="0" applyNumberFormat="1" applyFont="1" applyFill="1" applyBorder="1" applyAlignment="1">
      <alignment horizontal="center"/>
    </xf>
    <xf numFmtId="3" fontId="4" fillId="3" borderId="0" xfId="0" applyNumberFormat="1" applyFont="1" applyFill="1" applyBorder="1" applyAlignment="1">
      <alignment horizontal="center"/>
    </xf>
    <xf numFmtId="3" fontId="4" fillId="3" borderId="15" xfId="0" applyNumberFormat="1" applyFont="1" applyFill="1" applyBorder="1" applyAlignment="1">
      <alignment horizontal="center"/>
    </xf>
    <xf numFmtId="3" fontId="11" fillId="3" borderId="7" xfId="0" applyNumberFormat="1" applyFont="1" applyFill="1" applyBorder="1"/>
    <xf numFmtId="3" fontId="11" fillId="3" borderId="7" xfId="39" applyNumberFormat="1" applyFont="1" applyFill="1" applyBorder="1"/>
    <xf numFmtId="10" fontId="11" fillId="3" borderId="7" xfId="39" applyNumberFormat="1" applyFont="1" applyFill="1" applyBorder="1"/>
    <xf numFmtId="3" fontId="8" fillId="2" borderId="7" xfId="39" applyNumberFormat="1" applyFont="1" applyFill="1" applyBorder="1"/>
    <xf numFmtId="10" fontId="8" fillId="2" borderId="7" xfId="39" applyNumberFormat="1" applyFont="1" applyFill="1" applyBorder="1"/>
    <xf numFmtId="10" fontId="8" fillId="2" borderId="11" xfId="0" applyNumberFormat="1" applyFont="1" applyFill="1" applyBorder="1"/>
    <xf numFmtId="10" fontId="8" fillId="2" borderId="7" xfId="0" applyNumberFormat="1" applyFont="1" applyFill="1" applyBorder="1"/>
    <xf numFmtId="3" fontId="3" fillId="3" borderId="7" xfId="0" applyNumberFormat="1" applyFont="1" applyFill="1" applyBorder="1"/>
    <xf numFmtId="3" fontId="8" fillId="2" borderId="7" xfId="0" applyNumberFormat="1" applyFont="1" applyFill="1" applyBorder="1"/>
    <xf numFmtId="3" fontId="4" fillId="5" borderId="7" xfId="0" applyNumberFormat="1" applyFont="1" applyFill="1" applyBorder="1"/>
    <xf numFmtId="3" fontId="11" fillId="5" borderId="7" xfId="0" applyNumberFormat="1" applyFont="1" applyFill="1" applyBorder="1"/>
    <xf numFmtId="3" fontId="3" fillId="2" borderId="6" xfId="0" applyNumberFormat="1" applyFont="1" applyFill="1" applyBorder="1"/>
    <xf numFmtId="3" fontId="4" fillId="4" borderId="11" xfId="0" applyNumberFormat="1" applyFont="1" applyFill="1" applyBorder="1"/>
    <xf numFmtId="3" fontId="4" fillId="4" borderId="7" xfId="0" applyNumberFormat="1" applyFont="1" applyFill="1" applyBorder="1"/>
    <xf numFmtId="3" fontId="10" fillId="2" borderId="6" xfId="0" applyNumberFormat="1" applyFont="1" applyFill="1" applyBorder="1" applyAlignment="1">
      <alignment horizontal="center"/>
    </xf>
    <xf numFmtId="3" fontId="10" fillId="2" borderId="16" xfId="0" applyNumberFormat="1" applyFont="1" applyFill="1" applyBorder="1" applyAlignment="1">
      <alignment horizontal="center"/>
    </xf>
    <xf numFmtId="10" fontId="3" fillId="0" borderId="19" xfId="0" applyNumberFormat="1" applyFont="1" applyBorder="1"/>
    <xf numFmtId="0" fontId="3" fillId="0" borderId="9" xfId="0" applyFont="1" applyBorder="1"/>
    <xf numFmtId="0" fontId="3" fillId="0" borderId="12" xfId="0" applyFont="1" applyBorder="1"/>
    <xf numFmtId="0" fontId="5" fillId="2" borderId="13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3" fillId="0" borderId="13" xfId="0" applyFont="1" applyBorder="1"/>
    <xf numFmtId="0" fontId="9" fillId="4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/>
    </xf>
    <xf numFmtId="0" fontId="7" fillId="5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center"/>
    </xf>
    <xf numFmtId="3" fontId="3" fillId="0" borderId="13" xfId="0" applyNumberFormat="1" applyFont="1" applyBorder="1"/>
    <xf numFmtId="3" fontId="3" fillId="0" borderId="18" xfId="0" applyNumberFormat="1" applyFont="1" applyBorder="1"/>
    <xf numFmtId="3" fontId="3" fillId="0" borderId="14" xfId="0" applyNumberFormat="1" applyFont="1" applyBorder="1"/>
    <xf numFmtId="3" fontId="27" fillId="0" borderId="0" xfId="0" applyNumberFormat="1" applyFont="1" applyBorder="1"/>
    <xf numFmtId="1" fontId="3" fillId="0" borderId="9" xfId="0" applyNumberFormat="1" applyFont="1" applyBorder="1"/>
    <xf numFmtId="10" fontId="3" fillId="0" borderId="18" xfId="0" applyNumberFormat="1" applyFont="1" applyBorder="1"/>
    <xf numFmtId="10" fontId="19" fillId="0" borderId="15" xfId="0" applyNumberFormat="1" applyFont="1" applyBorder="1"/>
    <xf numFmtId="0" fontId="26" fillId="5" borderId="0" xfId="0" applyFont="1" applyFill="1"/>
    <xf numFmtId="0" fontId="12" fillId="3" borderId="0" xfId="33" applyFill="1" applyAlignment="1" applyProtection="1"/>
    <xf numFmtId="3" fontId="28" fillId="0" borderId="0" xfId="0" applyNumberFormat="1" applyFont="1"/>
    <xf numFmtId="17" fontId="31" fillId="2" borderId="1" xfId="0" applyNumberFormat="1" applyFont="1" applyFill="1" applyBorder="1" applyAlignment="1">
      <alignment horizontal="center"/>
    </xf>
    <xf numFmtId="0" fontId="31" fillId="2" borderId="1" xfId="0" applyNumberFormat="1" applyFont="1" applyFill="1" applyBorder="1" applyAlignment="1"/>
    <xf numFmtId="17" fontId="4" fillId="2" borderId="9" xfId="0" applyNumberFormat="1" applyFont="1" applyFill="1" applyBorder="1" applyAlignment="1">
      <alignment horizontal="center"/>
    </xf>
    <xf numFmtId="0" fontId="32" fillId="0" borderId="0" xfId="0" applyFont="1"/>
    <xf numFmtId="3" fontId="3" fillId="0" borderId="0" xfId="39" applyNumberFormat="1" applyFont="1"/>
    <xf numFmtId="3" fontId="8" fillId="0" borderId="0" xfId="0" applyNumberFormat="1" applyFont="1"/>
    <xf numFmtId="0" fontId="3" fillId="7" borderId="0" xfId="0" applyFont="1" applyFill="1"/>
    <xf numFmtId="3" fontId="3" fillId="7" borderId="0" xfId="0" applyNumberFormat="1" applyFont="1" applyFill="1"/>
    <xf numFmtId="0" fontId="34" fillId="0" borderId="9" xfId="0" applyFont="1" applyBorder="1"/>
    <xf numFmtId="0" fontId="4" fillId="2" borderId="13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3" fontId="28" fillId="0" borderId="0" xfId="0" applyNumberFormat="1" applyFont="1" applyBorder="1"/>
    <xf numFmtId="10" fontId="29" fillId="0" borderId="15" xfId="0" applyNumberFormat="1" applyFont="1" applyBorder="1"/>
    <xf numFmtId="10" fontId="9" fillId="4" borderId="7" xfId="0" applyNumberFormat="1" applyFont="1" applyFill="1" applyBorder="1"/>
    <xf numFmtId="10" fontId="11" fillId="3" borderId="7" xfId="0" applyNumberFormat="1" applyFont="1" applyFill="1" applyBorder="1"/>
    <xf numFmtId="10" fontId="22" fillId="3" borderId="8" xfId="39" applyNumberFormat="1" applyFont="1" applyFill="1" applyBorder="1"/>
    <xf numFmtId="10" fontId="29" fillId="0" borderId="17" xfId="0" applyNumberFormat="1" applyFont="1" applyBorder="1"/>
    <xf numFmtId="3" fontId="3" fillId="0" borderId="11" xfId="0" applyNumberFormat="1" applyFont="1" applyBorder="1"/>
    <xf numFmtId="3" fontId="29" fillId="0" borderId="8" xfId="0" applyNumberFormat="1" applyFont="1" applyBorder="1"/>
    <xf numFmtId="10" fontId="3" fillId="3" borderId="7" xfId="0" applyNumberFormat="1" applyFont="1" applyFill="1" applyBorder="1"/>
    <xf numFmtId="10" fontId="29" fillId="0" borderId="8" xfId="0" applyNumberFormat="1" applyFont="1" applyBorder="1"/>
    <xf numFmtId="3" fontId="21" fillId="4" borderId="11" xfId="0" applyNumberFormat="1" applyFont="1" applyFill="1" applyBorder="1"/>
    <xf numFmtId="10" fontId="7" fillId="5" borderId="7" xfId="0" applyNumberFormat="1" applyFont="1" applyFill="1" applyBorder="1"/>
    <xf numFmtId="10" fontId="24" fillId="5" borderId="8" xfId="0" applyNumberFormat="1" applyFont="1" applyFill="1" applyBorder="1"/>
    <xf numFmtId="10" fontId="23" fillId="2" borderId="8" xfId="0" applyNumberFormat="1" applyFont="1" applyFill="1" applyBorder="1"/>
    <xf numFmtId="3" fontId="20" fillId="5" borderId="11" xfId="0" applyNumberFormat="1" applyFont="1" applyFill="1" applyBorder="1"/>
    <xf numFmtId="10" fontId="4" fillId="5" borderId="7" xfId="0" applyNumberFormat="1" applyFont="1" applyFill="1" applyBorder="1"/>
    <xf numFmtId="0" fontId="3" fillId="0" borderId="14" xfId="0" applyFont="1" applyBorder="1"/>
    <xf numFmtId="1" fontId="3" fillId="0" borderId="18" xfId="0" applyNumberFormat="1" applyFont="1" applyBorder="1"/>
    <xf numFmtId="10" fontId="3" fillId="0" borderId="13" xfId="0" applyNumberFormat="1" applyFont="1" applyBorder="1"/>
    <xf numFmtId="10" fontId="3" fillId="0" borderId="14" xfId="0" applyNumberFormat="1" applyFont="1" applyBorder="1"/>
    <xf numFmtId="9" fontId="8" fillId="2" borderId="11" xfId="39" applyNumberFormat="1" applyFont="1" applyFill="1" applyBorder="1"/>
    <xf numFmtId="9" fontId="8" fillId="2" borderId="8" xfId="39" applyNumberFormat="1" applyFont="1" applyFill="1" applyBorder="1"/>
    <xf numFmtId="0" fontId="30" fillId="3" borderId="9" xfId="0" applyFont="1" applyFill="1" applyBorder="1" applyAlignment="1">
      <alignment horizontal="center"/>
    </xf>
    <xf numFmtId="3" fontId="30" fillId="3" borderId="9" xfId="0" applyNumberFormat="1" applyFont="1" applyFill="1" applyBorder="1"/>
    <xf numFmtId="3" fontId="30" fillId="3" borderId="15" xfId="0" applyNumberFormat="1" applyFont="1" applyFill="1" applyBorder="1"/>
    <xf numFmtId="3" fontId="30" fillId="3" borderId="0" xfId="0" applyNumberFormat="1" applyFont="1" applyFill="1" applyBorder="1"/>
    <xf numFmtId="10" fontId="30" fillId="3" borderId="9" xfId="0" applyNumberFormat="1" applyFont="1" applyFill="1" applyBorder="1"/>
    <xf numFmtId="10" fontId="30" fillId="3" borderId="15" xfId="0" applyNumberFormat="1" applyFont="1" applyFill="1" applyBorder="1"/>
    <xf numFmtId="0" fontId="4" fillId="3" borderId="0" xfId="0" applyFont="1" applyFill="1" applyBorder="1"/>
    <xf numFmtId="3" fontId="7" fillId="5" borderId="11" xfId="0" applyNumberFormat="1" applyFont="1" applyFill="1" applyBorder="1" applyAlignment="1">
      <alignment horizontal="right"/>
    </xf>
    <xf numFmtId="3" fontId="7" fillId="5" borderId="8" xfId="0" applyNumberFormat="1" applyFont="1" applyFill="1" applyBorder="1" applyAlignment="1">
      <alignment horizontal="right"/>
    </xf>
    <xf numFmtId="3" fontId="7" fillId="5" borderId="7" xfId="0" applyNumberFormat="1" applyFont="1" applyFill="1" applyBorder="1" applyAlignment="1">
      <alignment horizontal="right"/>
    </xf>
    <xf numFmtId="10" fontId="7" fillId="5" borderId="11" xfId="0" applyNumberFormat="1" applyFont="1" applyFill="1" applyBorder="1" applyAlignment="1">
      <alignment horizontal="right"/>
    </xf>
    <xf numFmtId="10" fontId="7" fillId="5" borderId="8" xfId="0" applyNumberFormat="1" applyFont="1" applyFill="1" applyBorder="1" applyAlignment="1">
      <alignment horizontal="right"/>
    </xf>
    <xf numFmtId="10" fontId="11" fillId="5" borderId="11" xfId="0" applyNumberFormat="1" applyFont="1" applyFill="1" applyBorder="1"/>
    <xf numFmtId="3" fontId="9" fillId="4" borderId="4" xfId="0" applyNumberFormat="1" applyFont="1" applyFill="1" applyBorder="1"/>
    <xf numFmtId="3" fontId="11" fillId="3" borderId="4" xfId="0" applyNumberFormat="1" applyFont="1" applyFill="1" applyBorder="1"/>
    <xf numFmtId="3" fontId="11" fillId="3" borderId="4" xfId="39" applyNumberFormat="1" applyFont="1" applyFill="1" applyBorder="1"/>
    <xf numFmtId="10" fontId="11" fillId="3" borderId="4" xfId="39" applyNumberFormat="1" applyFont="1" applyFill="1" applyBorder="1"/>
    <xf numFmtId="3" fontId="8" fillId="2" borderId="4" xfId="39" applyNumberFormat="1" applyFont="1" applyFill="1" applyBorder="1"/>
    <xf numFmtId="3" fontId="3" fillId="0" borderId="5" xfId="0" applyNumberFormat="1" applyFont="1" applyBorder="1"/>
    <xf numFmtId="3" fontId="3" fillId="0" borderId="4" xfId="0" applyNumberFormat="1" applyFont="1" applyBorder="1"/>
    <xf numFmtId="3" fontId="21" fillId="4" borderId="4" xfId="0" applyNumberFormat="1" applyFont="1" applyFill="1" applyBorder="1"/>
    <xf numFmtId="3" fontId="7" fillId="5" borderId="4" xfId="0" applyNumberFormat="1" applyFont="1" applyFill="1" applyBorder="1"/>
    <xf numFmtId="3" fontId="8" fillId="2" borderId="4" xfId="0" applyNumberFormat="1" applyFont="1" applyFill="1" applyBorder="1"/>
    <xf numFmtId="3" fontId="20" fillId="5" borderId="4" xfId="0" applyNumberFormat="1" applyFont="1" applyFill="1" applyBorder="1"/>
    <xf numFmtId="3" fontId="11" fillId="5" borderId="4" xfId="0" applyNumberFormat="1" applyFont="1" applyFill="1" applyBorder="1"/>
    <xf numFmtId="3" fontId="29" fillId="0" borderId="0" xfId="0" applyNumberFormat="1" applyFont="1" applyBorder="1"/>
    <xf numFmtId="3" fontId="19" fillId="0" borderId="7" xfId="0" applyNumberFormat="1" applyFont="1" applyBorder="1"/>
    <xf numFmtId="3" fontId="36" fillId="0" borderId="20" xfId="0" applyNumberFormat="1" applyFont="1" applyBorder="1" applyAlignment="1">
      <alignment horizontal="center"/>
    </xf>
    <xf numFmtId="3" fontId="35" fillId="0" borderId="21" xfId="0" applyNumberFormat="1" applyFont="1" applyBorder="1"/>
    <xf numFmtId="3" fontId="36" fillId="0" borderId="22" xfId="0" applyNumberFormat="1" applyFont="1" applyBorder="1" applyAlignment="1">
      <alignment horizontal="center"/>
    </xf>
    <xf numFmtId="3" fontId="0" fillId="0" borderId="0" xfId="0" applyNumberFormat="1" applyBorder="1"/>
    <xf numFmtId="3" fontId="10" fillId="0" borderId="23" xfId="0" applyNumberFormat="1" applyFont="1" applyFill="1" applyBorder="1" applyAlignment="1">
      <alignment horizontal="center"/>
    </xf>
    <xf numFmtId="3" fontId="10" fillId="0" borderId="22" xfId="0" applyNumberFormat="1" applyFont="1" applyFill="1" applyBorder="1"/>
    <xf numFmtId="3" fontId="10" fillId="0" borderId="24" xfId="0" applyNumberFormat="1" applyFont="1" applyBorder="1"/>
    <xf numFmtId="0" fontId="8" fillId="0" borderId="6" xfId="0" applyFont="1" applyBorder="1"/>
    <xf numFmtId="3" fontId="10" fillId="2" borderId="0" xfId="0" applyNumberFormat="1" applyFont="1" applyFill="1" applyBorder="1" applyAlignment="1">
      <alignment horizontal="center" vertical="center" wrapText="1"/>
    </xf>
    <xf numFmtId="1" fontId="27" fillId="0" borderId="0" xfId="0" applyNumberFormat="1" applyFont="1" applyBorder="1"/>
    <xf numFmtId="3" fontId="3" fillId="7" borderId="0" xfId="0" applyNumberFormat="1" applyFont="1" applyFill="1" applyBorder="1"/>
    <xf numFmtId="2" fontId="0" fillId="0" borderId="0" xfId="0" applyNumberFormat="1"/>
    <xf numFmtId="3" fontId="10" fillId="2" borderId="0" xfId="0" applyNumberFormat="1" applyFont="1" applyFill="1" applyBorder="1" applyAlignment="1">
      <alignment horizontal="center" wrapText="1"/>
    </xf>
    <xf numFmtId="4" fontId="3" fillId="0" borderId="3" xfId="0" applyNumberFormat="1" applyFont="1" applyBorder="1"/>
    <xf numFmtId="3" fontId="30" fillId="0" borderId="0" xfId="0" applyNumberFormat="1" applyFont="1" applyBorder="1"/>
    <xf numFmtId="3" fontId="30" fillId="0" borderId="1" xfId="0" applyNumberFormat="1" applyFont="1" applyBorder="1"/>
    <xf numFmtId="3" fontId="10" fillId="0" borderId="0" xfId="0" applyNumberFormat="1" applyFont="1" applyBorder="1"/>
    <xf numFmtId="3" fontId="26" fillId="0" borderId="0" xfId="0" applyNumberFormat="1" applyFont="1" applyBorder="1"/>
    <xf numFmtId="0" fontId="3" fillId="0" borderId="19" xfId="0" applyFont="1" applyBorder="1"/>
    <xf numFmtId="3" fontId="13" fillId="0" borderId="0" xfId="33" applyNumberFormat="1" applyFont="1" applyBorder="1" applyAlignment="1" applyProtection="1"/>
    <xf numFmtId="10" fontId="3" fillId="3" borderId="7" xfId="39" applyNumberFormat="1" applyFont="1" applyFill="1" applyBorder="1"/>
    <xf numFmtId="3" fontId="4" fillId="3" borderId="0" xfId="0" applyNumberFormat="1" applyFont="1" applyFill="1" applyBorder="1"/>
    <xf numFmtId="3" fontId="29" fillId="0" borderId="15" xfId="0" applyNumberFormat="1" applyFont="1" applyBorder="1"/>
    <xf numFmtId="10" fontId="22" fillId="3" borderId="8" xfId="0" applyNumberFormat="1" applyFont="1" applyFill="1" applyBorder="1"/>
    <xf numFmtId="3" fontId="28" fillId="0" borderId="7" xfId="0" applyNumberFormat="1" applyFont="1" applyBorder="1"/>
    <xf numFmtId="3" fontId="19" fillId="0" borderId="9" xfId="0" applyNumberFormat="1" applyFont="1" applyBorder="1"/>
    <xf numFmtId="3" fontId="28" fillId="3" borderId="7" xfId="0" applyNumberFormat="1" applyFont="1" applyFill="1" applyBorder="1"/>
    <xf numFmtId="4" fontId="4" fillId="5" borderId="8" xfId="0" applyNumberFormat="1" applyFont="1" applyFill="1" applyBorder="1"/>
    <xf numFmtId="3" fontId="19" fillId="0" borderId="18" xfId="0" applyNumberFormat="1" applyFont="1" applyBorder="1"/>
    <xf numFmtId="3" fontId="43" fillId="0" borderId="0" xfId="0" applyNumberFormat="1" applyFont="1" applyBorder="1"/>
    <xf numFmtId="1" fontId="22" fillId="3" borderId="7" xfId="0" applyNumberFormat="1" applyFont="1" applyFill="1" applyBorder="1"/>
    <xf numFmtId="1" fontId="11" fillId="3" borderId="7" xfId="0" applyNumberFormat="1" applyFont="1" applyFill="1" applyBorder="1"/>
    <xf numFmtId="1" fontId="11" fillId="3" borderId="18" xfId="0" applyNumberFormat="1" applyFont="1" applyFill="1" applyBorder="1"/>
    <xf numFmtId="49" fontId="3" fillId="0" borderId="0" xfId="0" applyNumberFormat="1" applyFont="1"/>
    <xf numFmtId="0" fontId="1" fillId="0" borderId="0" xfId="0" applyFont="1"/>
    <xf numFmtId="0" fontId="62" fillId="0" borderId="0" xfId="37"/>
    <xf numFmtId="0" fontId="42" fillId="0" borderId="0" xfId="0" applyNumberFormat="1" applyFont="1"/>
    <xf numFmtId="0" fontId="44" fillId="0" borderId="0" xfId="37" applyFont="1"/>
    <xf numFmtId="3" fontId="28" fillId="0" borderId="9" xfId="0" applyNumberFormat="1" applyFont="1" applyBorder="1"/>
    <xf numFmtId="9" fontId="3" fillId="0" borderId="9" xfId="39" applyFont="1" applyBorder="1"/>
    <xf numFmtId="3" fontId="45" fillId="3" borderId="7" xfId="0" applyNumberFormat="1" applyFont="1" applyFill="1" applyBorder="1"/>
    <xf numFmtId="10" fontId="3" fillId="0" borderId="3" xfId="0" applyNumberFormat="1" applyFont="1" applyBorder="1"/>
    <xf numFmtId="1" fontId="3" fillId="0" borderId="13" xfId="0" applyNumberFormat="1" applyFont="1" applyBorder="1"/>
    <xf numFmtId="1" fontId="3" fillId="0" borderId="14" xfId="0" applyNumberFormat="1" applyFont="1" applyBorder="1"/>
    <xf numFmtId="10" fontId="7" fillId="5" borderId="4" xfId="0" applyNumberFormat="1" applyFont="1" applyFill="1" applyBorder="1" applyAlignment="1">
      <alignment horizontal="center"/>
    </xf>
    <xf numFmtId="10" fontId="8" fillId="2" borderId="4" xfId="0" applyNumberFormat="1" applyFont="1" applyFill="1" applyBorder="1" applyAlignment="1">
      <alignment horizontal="left"/>
    </xf>
    <xf numFmtId="10" fontId="30" fillId="3" borderId="1" xfId="0" applyNumberFormat="1" applyFont="1" applyFill="1" applyBorder="1" applyAlignment="1">
      <alignment horizontal="center"/>
    </xf>
    <xf numFmtId="10" fontId="8" fillId="2" borderId="4" xfId="0" applyNumberFormat="1" applyFont="1" applyFill="1" applyBorder="1" applyAlignment="1">
      <alignment horizontal="center"/>
    </xf>
    <xf numFmtId="10" fontId="11" fillId="5" borderId="4" xfId="0" applyNumberFormat="1" applyFont="1" applyFill="1" applyBorder="1" applyAlignment="1">
      <alignment horizontal="center"/>
    </xf>
    <xf numFmtId="3" fontId="46" fillId="0" borderId="0" xfId="0" applyNumberFormat="1" applyFont="1" applyBorder="1"/>
    <xf numFmtId="3" fontId="46" fillId="0" borderId="15" xfId="0" applyNumberFormat="1" applyFont="1" applyBorder="1"/>
    <xf numFmtId="3" fontId="46" fillId="3" borderId="7" xfId="0" applyNumberFormat="1" applyFont="1" applyFill="1" applyBorder="1"/>
    <xf numFmtId="3" fontId="3" fillId="0" borderId="16" xfId="0" applyNumberFormat="1" applyFont="1" applyBorder="1"/>
    <xf numFmtId="3" fontId="47" fillId="0" borderId="15" xfId="0" applyNumberFormat="1" applyFont="1" applyBorder="1"/>
    <xf numFmtId="3" fontId="47" fillId="0" borderId="0" xfId="0" applyNumberFormat="1" applyFont="1" applyBorder="1"/>
    <xf numFmtId="3" fontId="19" fillId="0" borderId="12" xfId="0" applyNumberFormat="1" applyFont="1" applyBorder="1"/>
    <xf numFmtId="0" fontId="10" fillId="2" borderId="0" xfId="0" applyFont="1" applyFill="1" applyAlignment="1">
      <alignment horizontal="center" wrapText="1"/>
    </xf>
    <xf numFmtId="3" fontId="19" fillId="0" borderId="0" xfId="0" applyNumberFormat="1" applyFont="1"/>
    <xf numFmtId="4" fontId="30" fillId="3" borderId="15" xfId="0" applyNumberFormat="1" applyFont="1" applyFill="1" applyBorder="1"/>
    <xf numFmtId="10" fontId="30" fillId="0" borderId="0" xfId="0" applyNumberFormat="1" applyFont="1" applyBorder="1"/>
    <xf numFmtId="10" fontId="39" fillId="0" borderId="15" xfId="0" applyNumberFormat="1" applyFont="1" applyBorder="1"/>
    <xf numFmtId="10" fontId="11" fillId="5" borderId="7" xfId="0" applyNumberFormat="1" applyFont="1" applyFill="1" applyBorder="1"/>
    <xf numFmtId="10" fontId="22" fillId="5" borderId="8" xfId="0" applyNumberFormat="1" applyFont="1" applyFill="1" applyBorder="1"/>
    <xf numFmtId="4" fontId="19" fillId="0" borderId="0" xfId="0" applyNumberFormat="1" applyFont="1"/>
    <xf numFmtId="3" fontId="30" fillId="0" borderId="9" xfId="0" applyNumberFormat="1" applyFont="1" applyBorder="1"/>
    <xf numFmtId="10" fontId="3" fillId="0" borderId="7" xfId="0" applyNumberFormat="1" applyFont="1" applyBorder="1"/>
    <xf numFmtId="0" fontId="3" fillId="0" borderId="18" xfId="0" applyFont="1" applyBorder="1"/>
    <xf numFmtId="3" fontId="3" fillId="0" borderId="7" xfId="0" applyNumberFormat="1" applyFont="1" applyBorder="1"/>
    <xf numFmtId="0" fontId="3" fillId="0" borderId="3" xfId="0" applyFont="1" applyBorder="1"/>
    <xf numFmtId="3" fontId="30" fillId="3" borderId="1" xfId="0" applyNumberFormat="1" applyFont="1" applyFill="1" applyBorder="1"/>
    <xf numFmtId="3" fontId="7" fillId="5" borderId="4" xfId="0" applyNumberFormat="1" applyFont="1" applyFill="1" applyBorder="1" applyAlignment="1">
      <alignment horizontal="right"/>
    </xf>
    <xf numFmtId="10" fontId="19" fillId="0" borderId="9" xfId="0" applyNumberFormat="1" applyFont="1" applyBorder="1"/>
    <xf numFmtId="1" fontId="10" fillId="0" borderId="0" xfId="0" applyNumberFormat="1" applyFont="1"/>
    <xf numFmtId="0" fontId="10" fillId="0" borderId="0" xfId="0" applyFont="1" applyBorder="1"/>
    <xf numFmtId="0" fontId="19" fillId="0" borderId="0" xfId="0" applyFont="1"/>
    <xf numFmtId="9" fontId="3" fillId="0" borderId="15" xfId="39" applyFont="1" applyBorder="1"/>
    <xf numFmtId="3" fontId="48" fillId="0" borderId="0" xfId="0" applyNumberFormat="1" applyFont="1" applyBorder="1"/>
    <xf numFmtId="3" fontId="45" fillId="0" borderId="0" xfId="0" applyNumberFormat="1" applyFont="1" applyBorder="1"/>
    <xf numFmtId="3" fontId="49" fillId="0" borderId="0" xfId="0" applyNumberFormat="1" applyFont="1" applyBorder="1"/>
    <xf numFmtId="1" fontId="25" fillId="0" borderId="0" xfId="0" applyNumberFormat="1" applyFont="1" applyBorder="1"/>
    <xf numFmtId="3" fontId="43" fillId="3" borderId="0" xfId="0" applyNumberFormat="1" applyFont="1" applyFill="1" applyBorder="1"/>
    <xf numFmtId="0" fontId="19" fillId="0" borderId="1" xfId="0" applyFont="1" applyBorder="1"/>
    <xf numFmtId="3" fontId="48" fillId="0" borderId="1" xfId="0" applyNumberFormat="1" applyFont="1" applyBorder="1"/>
    <xf numFmtId="3" fontId="22" fillId="3" borderId="4" xfId="0" applyNumberFormat="1" applyFont="1" applyFill="1" applyBorder="1"/>
    <xf numFmtId="0" fontId="22" fillId="3" borderId="4" xfId="0" applyFont="1" applyFill="1" applyBorder="1"/>
    <xf numFmtId="0" fontId="21" fillId="4" borderId="4" xfId="0" applyFont="1" applyFill="1" applyBorder="1"/>
    <xf numFmtId="3" fontId="23" fillId="2" borderId="4" xfId="39" applyNumberFormat="1" applyFont="1" applyFill="1" applyBorder="1"/>
    <xf numFmtId="10" fontId="23" fillId="2" borderId="4" xfId="39" applyNumberFormat="1" applyFont="1" applyFill="1" applyBorder="1"/>
    <xf numFmtId="0" fontId="19" fillId="0" borderId="5" xfId="0" applyFont="1" applyBorder="1"/>
    <xf numFmtId="3" fontId="19" fillId="0" borderId="1" xfId="0" applyNumberFormat="1" applyFont="1" applyBorder="1"/>
    <xf numFmtId="3" fontId="45" fillId="0" borderId="1" xfId="0" applyNumberFormat="1" applyFont="1" applyBorder="1"/>
    <xf numFmtId="3" fontId="46" fillId="0" borderId="1" xfId="0" applyNumberFormat="1" applyFont="1" applyBorder="1"/>
    <xf numFmtId="10" fontId="19" fillId="0" borderId="1" xfId="0" applyNumberFormat="1" applyFont="1" applyBorder="1"/>
    <xf numFmtId="3" fontId="45" fillId="3" borderId="4" xfId="0" applyNumberFormat="1" applyFont="1" applyFill="1" applyBorder="1"/>
    <xf numFmtId="3" fontId="49" fillId="0" borderId="1" xfId="0" applyNumberFormat="1" applyFont="1" applyBorder="1"/>
    <xf numFmtId="1" fontId="25" fillId="0" borderId="1" xfId="0" applyNumberFormat="1" applyFont="1" applyBorder="1"/>
    <xf numFmtId="10" fontId="30" fillId="3" borderId="0" xfId="0" applyNumberFormat="1" applyFont="1" applyFill="1" applyBorder="1"/>
    <xf numFmtId="9" fontId="3" fillId="0" borderId="0" xfId="39" applyFont="1" applyBorder="1"/>
    <xf numFmtId="1" fontId="3" fillId="0" borderId="3" xfId="0" applyNumberFormat="1" applyFont="1" applyBorder="1"/>
    <xf numFmtId="3" fontId="43" fillId="3" borderId="1" xfId="0" applyNumberFormat="1" applyFont="1" applyFill="1" applyBorder="1"/>
    <xf numFmtId="9" fontId="19" fillId="0" borderId="1" xfId="39" applyNumberFormat="1" applyFont="1" applyBorder="1"/>
    <xf numFmtId="10" fontId="45" fillId="0" borderId="1" xfId="39" applyNumberFormat="1" applyFont="1" applyBorder="1"/>
    <xf numFmtId="10" fontId="21" fillId="4" borderId="4" xfId="39" applyNumberFormat="1" applyFont="1" applyFill="1" applyBorder="1"/>
    <xf numFmtId="10" fontId="24" fillId="5" borderId="4" xfId="39" applyNumberFormat="1" applyFont="1" applyFill="1" applyBorder="1"/>
    <xf numFmtId="10" fontId="20" fillId="5" borderId="4" xfId="39" applyNumberFormat="1" applyFont="1" applyFill="1" applyBorder="1"/>
    <xf numFmtId="10" fontId="22" fillId="5" borderId="4" xfId="39" applyNumberFormat="1" applyFont="1" applyFill="1" applyBorder="1"/>
    <xf numFmtId="3" fontId="50" fillId="0" borderId="0" xfId="0" applyNumberFormat="1" applyFont="1" applyBorder="1"/>
    <xf numFmtId="3" fontId="50" fillId="0" borderId="15" xfId="0" applyNumberFormat="1" applyFont="1" applyBorder="1"/>
    <xf numFmtId="10" fontId="3" fillId="0" borderId="0" xfId="39" applyNumberFormat="1" applyFont="1"/>
    <xf numFmtId="0" fontId="50" fillId="0" borderId="0" xfId="0" applyFont="1" applyBorder="1"/>
    <xf numFmtId="10" fontId="0" fillId="0" borderId="15" xfId="0" applyNumberFormat="1" applyBorder="1"/>
    <xf numFmtId="3" fontId="3" fillId="7" borderId="15" xfId="0" applyNumberFormat="1" applyFont="1" applyFill="1" applyBorder="1"/>
    <xf numFmtId="1" fontId="3" fillId="0" borderId="0" xfId="0" applyNumberFormat="1" applyFont="1" applyBorder="1"/>
    <xf numFmtId="3" fontId="12" fillId="0" borderId="0" xfId="33" applyNumberFormat="1" applyBorder="1" applyAlignment="1" applyProtection="1"/>
    <xf numFmtId="3" fontId="4" fillId="0" borderId="0" xfId="0" applyNumberFormat="1" applyFont="1" applyBorder="1"/>
    <xf numFmtId="1" fontId="0" fillId="0" borderId="0" xfId="0" applyNumberFormat="1"/>
    <xf numFmtId="3" fontId="3" fillId="0" borderId="0" xfId="0" applyNumberFormat="1" applyFont="1" applyAlignment="1">
      <alignment horizontal="center"/>
    </xf>
    <xf numFmtId="1" fontId="4" fillId="0" borderId="0" xfId="0" applyNumberFormat="1" applyFont="1"/>
    <xf numFmtId="3" fontId="3" fillId="0" borderId="0" xfId="0" applyNumberFormat="1" applyFont="1" applyFill="1" applyBorder="1"/>
    <xf numFmtId="3" fontId="3" fillId="0" borderId="0" xfId="0" applyNumberFormat="1" applyFont="1" applyBorder="1" applyAlignment="1">
      <alignment horizontal="center"/>
    </xf>
    <xf numFmtId="4" fontId="1" fillId="0" borderId="0" xfId="0" applyNumberFormat="1" applyFont="1" applyBorder="1"/>
    <xf numFmtId="3" fontId="51" fillId="0" borderId="0" xfId="0" applyNumberFormat="1" applyFont="1"/>
    <xf numFmtId="0" fontId="62" fillId="0" borderId="0" xfId="38" applyFill="1"/>
    <xf numFmtId="0" fontId="3" fillId="3" borderId="0" xfId="0" applyFont="1" applyFill="1" applyBorder="1"/>
    <xf numFmtId="3" fontId="19" fillId="3" borderId="0" xfId="0" applyNumberFormat="1" applyFont="1" applyFill="1" applyBorder="1"/>
    <xf numFmtId="0" fontId="19" fillId="3" borderId="0" xfId="0" applyFont="1" applyFill="1" applyBorder="1"/>
    <xf numFmtId="3" fontId="21" fillId="3" borderId="0" xfId="0" applyNumberFormat="1" applyFont="1" applyFill="1" applyBorder="1"/>
    <xf numFmtId="3" fontId="22" fillId="3" borderId="0" xfId="0" applyNumberFormat="1" applyFont="1" applyFill="1" applyBorder="1"/>
    <xf numFmtId="0" fontId="22" fillId="3" borderId="0" xfId="0" applyFont="1" applyFill="1" applyBorder="1"/>
    <xf numFmtId="0" fontId="21" fillId="3" borderId="0" xfId="0" applyFont="1" applyFill="1" applyBorder="1"/>
    <xf numFmtId="3" fontId="23" fillId="3" borderId="0" xfId="39" applyNumberFormat="1" applyFont="1" applyFill="1" applyBorder="1"/>
    <xf numFmtId="10" fontId="23" fillId="3" borderId="0" xfId="39" applyNumberFormat="1" applyFont="1" applyFill="1" applyBorder="1"/>
    <xf numFmtId="3" fontId="24" fillId="3" borderId="0" xfId="0" applyNumberFormat="1" applyFont="1" applyFill="1" applyBorder="1"/>
    <xf numFmtId="3" fontId="23" fillId="3" borderId="0" xfId="0" applyNumberFormat="1" applyFont="1" applyFill="1" applyBorder="1"/>
    <xf numFmtId="3" fontId="20" fillId="3" borderId="0" xfId="0" applyNumberFormat="1" applyFont="1" applyFill="1" applyBorder="1"/>
    <xf numFmtId="3" fontId="35" fillId="0" borderId="25" xfId="0" applyNumberFormat="1" applyFont="1" applyBorder="1"/>
    <xf numFmtId="167" fontId="38" fillId="0" borderId="0" xfId="0" applyNumberFormat="1" applyFont="1"/>
    <xf numFmtId="3" fontId="37" fillId="0" borderId="26" xfId="0" applyNumberFormat="1" applyFont="1" applyBorder="1" applyAlignment="1">
      <alignment horizontal="center"/>
    </xf>
    <xf numFmtId="3" fontId="37" fillId="0" borderId="27" xfId="0" applyNumberFormat="1" applyFont="1" applyBorder="1" applyAlignment="1">
      <alignment horizontal="center"/>
    </xf>
    <xf numFmtId="3" fontId="37" fillId="0" borderId="28" xfId="0" applyNumberFormat="1" applyFont="1" applyBorder="1" applyAlignment="1">
      <alignment horizontal="center"/>
    </xf>
    <xf numFmtId="3" fontId="38" fillId="0" borderId="29" xfId="0" applyNumberFormat="1" applyFont="1" applyBorder="1" applyAlignment="1">
      <alignment horizontal="center"/>
    </xf>
    <xf numFmtId="3" fontId="38" fillId="0" borderId="30" xfId="0" applyNumberFormat="1" applyFont="1" applyBorder="1" applyAlignment="1">
      <alignment horizontal="center"/>
    </xf>
    <xf numFmtId="3" fontId="38" fillId="0" borderId="31" xfId="0" applyNumberFormat="1" applyFont="1" applyBorder="1" applyAlignment="1">
      <alignment horizontal="center"/>
    </xf>
    <xf numFmtId="3" fontId="38" fillId="0" borderId="32" xfId="0" applyNumberFormat="1" applyFont="1" applyBorder="1" applyAlignment="1">
      <alignment horizontal="center"/>
    </xf>
    <xf numFmtId="167" fontId="1" fillId="0" borderId="0" xfId="0" applyNumberFormat="1" applyFont="1"/>
    <xf numFmtId="3" fontId="1" fillId="0" borderId="33" xfId="0" applyNumberFormat="1" applyFont="1" applyBorder="1"/>
    <xf numFmtId="3" fontId="38" fillId="0" borderId="34" xfId="0" applyNumberFormat="1" applyFont="1" applyBorder="1" applyAlignment="1">
      <alignment horizontal="center"/>
    </xf>
    <xf numFmtId="3" fontId="38" fillId="0" borderId="4" xfId="0" applyNumberFormat="1" applyFont="1" applyBorder="1" applyAlignment="1">
      <alignment horizontal="center"/>
    </xf>
    <xf numFmtId="3" fontId="38" fillId="0" borderId="35" xfId="0" applyNumberFormat="1" applyFont="1" applyBorder="1" applyAlignment="1">
      <alignment horizontal="center"/>
    </xf>
    <xf numFmtId="3" fontId="1" fillId="8" borderId="33" xfId="0" applyNumberFormat="1" applyFont="1" applyFill="1" applyBorder="1"/>
    <xf numFmtId="3" fontId="38" fillId="0" borderId="33" xfId="0" applyNumberFormat="1" applyFont="1" applyBorder="1" applyAlignment="1">
      <alignment horizontal="center"/>
    </xf>
    <xf numFmtId="3" fontId="38" fillId="0" borderId="33" xfId="0" applyNumberFormat="1" applyFont="1" applyBorder="1" applyAlignment="1">
      <alignment horizontal="left"/>
    </xf>
    <xf numFmtId="3" fontId="38" fillId="0" borderId="33" xfId="0" applyNumberFormat="1" applyFont="1" applyFill="1" applyBorder="1" applyAlignment="1">
      <alignment horizontal="center"/>
    </xf>
    <xf numFmtId="3" fontId="1" fillId="0" borderId="33" xfId="0" applyNumberFormat="1" applyFont="1" applyFill="1" applyBorder="1"/>
    <xf numFmtId="167" fontId="1" fillId="0" borderId="0" xfId="0" applyNumberFormat="1" applyFont="1" applyBorder="1"/>
    <xf numFmtId="3" fontId="38" fillId="8" borderId="33" xfId="0" applyNumberFormat="1" applyFont="1" applyFill="1" applyBorder="1" applyAlignment="1">
      <alignment horizontal="left"/>
    </xf>
    <xf numFmtId="167" fontId="10" fillId="0" borderId="0" xfId="0" applyNumberFormat="1" applyFont="1"/>
    <xf numFmtId="3" fontId="38" fillId="0" borderId="36" xfId="0" applyNumberFormat="1" applyFont="1" applyBorder="1" applyAlignment="1">
      <alignment horizontal="center"/>
    </xf>
    <xf numFmtId="3" fontId="38" fillId="0" borderId="37" xfId="0" applyNumberFormat="1" applyFont="1" applyBorder="1" applyAlignment="1">
      <alignment horizontal="center"/>
    </xf>
    <xf numFmtId="3" fontId="38" fillId="0" borderId="38" xfId="0" applyNumberFormat="1" applyFont="1" applyBorder="1" applyAlignment="1">
      <alignment horizontal="center"/>
    </xf>
    <xf numFmtId="3" fontId="38" fillId="0" borderId="39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3" fontId="1" fillId="0" borderId="40" xfId="0" applyNumberFormat="1" applyFont="1" applyBorder="1"/>
    <xf numFmtId="3" fontId="38" fillId="0" borderId="41" xfId="0" applyNumberFormat="1" applyFont="1" applyBorder="1" applyAlignment="1">
      <alignment horizontal="center"/>
    </xf>
    <xf numFmtId="3" fontId="38" fillId="0" borderId="42" xfId="0" applyNumberFormat="1" applyFont="1" applyBorder="1" applyAlignment="1">
      <alignment horizontal="center"/>
    </xf>
    <xf numFmtId="3" fontId="38" fillId="0" borderId="43" xfId="0" applyNumberFormat="1" applyFont="1" applyBorder="1" applyAlignment="1">
      <alignment horizontal="center"/>
    </xf>
    <xf numFmtId="3" fontId="1" fillId="0" borderId="44" xfId="0" applyNumberFormat="1" applyFont="1" applyBorder="1"/>
    <xf numFmtId="3" fontId="38" fillId="0" borderId="45" xfId="0" applyNumberFormat="1" applyFont="1" applyBorder="1" applyAlignment="1">
      <alignment horizontal="center"/>
    </xf>
    <xf numFmtId="3" fontId="38" fillId="0" borderId="46" xfId="0" applyNumberFormat="1" applyFont="1" applyBorder="1" applyAlignment="1">
      <alignment horizontal="center"/>
    </xf>
    <xf numFmtId="3" fontId="38" fillId="0" borderId="47" xfId="0" applyNumberFormat="1" applyFont="1" applyBorder="1" applyAlignment="1">
      <alignment horizontal="center"/>
    </xf>
    <xf numFmtId="3" fontId="1" fillId="8" borderId="48" xfId="0" applyNumberFormat="1" applyFont="1" applyFill="1" applyBorder="1"/>
    <xf numFmtId="3" fontId="38" fillId="0" borderId="49" xfId="0" applyNumberFormat="1" applyFont="1" applyBorder="1" applyAlignment="1">
      <alignment horizontal="center"/>
    </xf>
    <xf numFmtId="3" fontId="38" fillId="0" borderId="50" xfId="0" applyNumberFormat="1" applyFont="1" applyBorder="1" applyAlignment="1">
      <alignment horizontal="center"/>
    </xf>
    <xf numFmtId="3" fontId="38" fillId="0" borderId="51" xfId="0" applyNumberFormat="1" applyFont="1" applyBorder="1" applyAlignment="1">
      <alignment horizontal="center"/>
    </xf>
    <xf numFmtId="3" fontId="37" fillId="0" borderId="52" xfId="0" applyNumberFormat="1" applyFont="1" applyBorder="1" applyAlignment="1">
      <alignment horizontal="center"/>
    </xf>
    <xf numFmtId="3" fontId="37" fillId="0" borderId="53" xfId="0" applyNumberFormat="1" applyFont="1" applyBorder="1" applyAlignment="1">
      <alignment horizontal="center"/>
    </xf>
    <xf numFmtId="3" fontId="37" fillId="0" borderId="54" xfId="0" applyNumberFormat="1" applyFont="1" applyBorder="1" applyAlignment="1">
      <alignment horizontal="center"/>
    </xf>
    <xf numFmtId="3" fontId="38" fillId="0" borderId="0" xfId="0" applyNumberFormat="1" applyFont="1" applyBorder="1" applyAlignment="1">
      <alignment horizontal="center"/>
    </xf>
    <xf numFmtId="167" fontId="37" fillId="0" borderId="0" xfId="0" applyNumberFormat="1" applyFont="1" applyAlignment="1">
      <alignment horizontal="center"/>
    </xf>
    <xf numFmtId="167" fontId="1" fillId="0" borderId="55" xfId="0" applyNumberFormat="1" applyFont="1" applyBorder="1"/>
    <xf numFmtId="3" fontId="1" fillId="0" borderId="56" xfId="0" applyNumberFormat="1" applyFont="1" applyFill="1" applyBorder="1"/>
    <xf numFmtId="3" fontId="1" fillId="0" borderId="57" xfId="0" applyNumberFormat="1" applyFont="1" applyFill="1" applyBorder="1"/>
    <xf numFmtId="3" fontId="1" fillId="8" borderId="58" xfId="0" applyNumberFormat="1" applyFont="1" applyFill="1" applyBorder="1"/>
    <xf numFmtId="167" fontId="1" fillId="0" borderId="0" xfId="0" applyNumberFormat="1" applyFont="1" applyAlignment="1">
      <alignment horizontal="center"/>
    </xf>
    <xf numFmtId="167" fontId="38" fillId="0" borderId="0" xfId="0" applyNumberFormat="1" applyFont="1" applyFill="1"/>
    <xf numFmtId="3" fontId="38" fillId="0" borderId="33" xfId="0" applyNumberFormat="1" applyFont="1" applyFill="1" applyBorder="1" applyAlignment="1">
      <alignment horizontal="left"/>
    </xf>
    <xf numFmtId="3" fontId="38" fillId="0" borderId="36" xfId="0" applyNumberFormat="1" applyFont="1" applyFill="1" applyBorder="1" applyAlignment="1">
      <alignment horizontal="center"/>
    </xf>
    <xf numFmtId="3" fontId="38" fillId="0" borderId="59" xfId="0" applyNumberFormat="1" applyFont="1" applyFill="1" applyBorder="1" applyAlignment="1">
      <alignment horizontal="left"/>
    </xf>
    <xf numFmtId="3" fontId="38" fillId="0" borderId="60" xfId="0" applyNumberFormat="1" applyFont="1" applyBorder="1" applyAlignment="1">
      <alignment horizontal="center"/>
    </xf>
    <xf numFmtId="3" fontId="38" fillId="0" borderId="61" xfId="0" applyNumberFormat="1" applyFont="1" applyBorder="1" applyAlignment="1">
      <alignment horizontal="center"/>
    </xf>
    <xf numFmtId="3" fontId="38" fillId="0" borderId="62" xfId="0" applyNumberFormat="1" applyFont="1" applyBorder="1" applyAlignment="1">
      <alignment horizontal="center"/>
    </xf>
    <xf numFmtId="3" fontId="38" fillId="8" borderId="63" xfId="0" applyNumberFormat="1" applyFont="1" applyFill="1" applyBorder="1" applyAlignment="1">
      <alignment horizontal="left"/>
    </xf>
    <xf numFmtId="3" fontId="38" fillId="0" borderId="64" xfId="0" applyNumberFormat="1" applyFont="1" applyBorder="1" applyAlignment="1">
      <alignment horizontal="center"/>
    </xf>
    <xf numFmtId="3" fontId="38" fillId="0" borderId="65" xfId="0" applyNumberFormat="1" applyFont="1" applyBorder="1" applyAlignment="1">
      <alignment horizontal="center"/>
    </xf>
    <xf numFmtId="3" fontId="38" fillId="0" borderId="66" xfId="0" applyNumberFormat="1" applyFont="1" applyBorder="1" applyAlignment="1">
      <alignment horizontal="center"/>
    </xf>
    <xf numFmtId="3" fontId="38" fillId="0" borderId="67" xfId="0" applyNumberFormat="1" applyFont="1" applyFill="1" applyBorder="1" applyAlignment="1">
      <alignment horizontal="left"/>
    </xf>
    <xf numFmtId="3" fontId="38" fillId="0" borderId="68" xfId="0" applyNumberFormat="1" applyFont="1" applyBorder="1" applyAlignment="1">
      <alignment horizontal="center"/>
    </xf>
    <xf numFmtId="3" fontId="38" fillId="0" borderId="69" xfId="0" applyNumberFormat="1" applyFont="1" applyBorder="1" applyAlignment="1">
      <alignment horizontal="center"/>
    </xf>
    <xf numFmtId="3" fontId="38" fillId="0" borderId="70" xfId="0" applyNumberFormat="1" applyFont="1" applyBorder="1" applyAlignment="1">
      <alignment horizontal="center"/>
    </xf>
    <xf numFmtId="3" fontId="37" fillId="0" borderId="71" xfId="0" applyNumberFormat="1" applyFont="1" applyFill="1" applyBorder="1" applyAlignment="1">
      <alignment horizontal="center"/>
    </xf>
    <xf numFmtId="3" fontId="37" fillId="0" borderId="72" xfId="0" applyNumberFormat="1" applyFont="1" applyBorder="1" applyAlignment="1">
      <alignment horizontal="center"/>
    </xf>
    <xf numFmtId="3" fontId="37" fillId="0" borderId="73" xfId="0" applyNumberFormat="1" applyFont="1" applyBorder="1" applyAlignment="1">
      <alignment horizontal="center"/>
    </xf>
    <xf numFmtId="3" fontId="37" fillId="0" borderId="74" xfId="0" applyNumberFormat="1" applyFont="1" applyBorder="1" applyAlignment="1">
      <alignment horizontal="center"/>
    </xf>
    <xf numFmtId="0" fontId="0" fillId="0" borderId="0" xfId="0" applyBorder="1"/>
    <xf numFmtId="3" fontId="37" fillId="0" borderId="0" xfId="0" applyNumberFormat="1" applyFont="1" applyBorder="1" applyAlignment="1">
      <alignment horizontal="center"/>
    </xf>
    <xf numFmtId="3" fontId="1" fillId="8" borderId="40" xfId="0" applyNumberFormat="1" applyFont="1" applyFill="1" applyBorder="1"/>
    <xf numFmtId="3" fontId="1" fillId="0" borderId="48" xfId="0" applyNumberFormat="1" applyFont="1" applyBorder="1"/>
    <xf numFmtId="3" fontId="38" fillId="0" borderId="75" xfId="0" applyNumberFormat="1" applyFont="1" applyBorder="1" applyAlignment="1">
      <alignment horizontal="center"/>
    </xf>
    <xf numFmtId="3" fontId="38" fillId="0" borderId="76" xfId="0" applyNumberFormat="1" applyFont="1" applyBorder="1" applyAlignment="1">
      <alignment horizontal="center"/>
    </xf>
    <xf numFmtId="3" fontId="38" fillId="0" borderId="77" xfId="0" applyNumberFormat="1" applyFont="1" applyBorder="1" applyAlignment="1">
      <alignment horizontal="center"/>
    </xf>
    <xf numFmtId="3" fontId="37" fillId="0" borderId="78" xfId="0" applyNumberFormat="1" applyFont="1" applyBorder="1" applyAlignment="1">
      <alignment horizontal="center"/>
    </xf>
    <xf numFmtId="3" fontId="37" fillId="0" borderId="79" xfId="0" applyNumberFormat="1" applyFont="1" applyBorder="1" applyAlignment="1">
      <alignment horizontal="center"/>
    </xf>
    <xf numFmtId="3" fontId="37" fillId="0" borderId="80" xfId="0" applyNumberFormat="1" applyFont="1" applyBorder="1" applyAlignment="1">
      <alignment horizontal="center"/>
    </xf>
    <xf numFmtId="3" fontId="37" fillId="0" borderId="81" xfId="0" applyNumberFormat="1" applyFont="1" applyBorder="1" applyAlignment="1">
      <alignment horizontal="center"/>
    </xf>
    <xf numFmtId="3" fontId="38" fillId="0" borderId="82" xfId="0" applyNumberFormat="1" applyFont="1" applyBorder="1" applyAlignment="1">
      <alignment horizontal="center"/>
    </xf>
    <xf numFmtId="3" fontId="38" fillId="0" borderId="83" xfId="0" applyNumberFormat="1" applyFont="1" applyBorder="1" applyAlignment="1">
      <alignment horizontal="center"/>
    </xf>
    <xf numFmtId="3" fontId="38" fillId="0" borderId="84" xfId="0" applyNumberFormat="1" applyFont="1" applyBorder="1" applyAlignment="1">
      <alignment horizontal="center"/>
    </xf>
    <xf numFmtId="3" fontId="1" fillId="0" borderId="34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35" xfId="0" applyNumberFormat="1" applyFont="1" applyBorder="1" applyAlignment="1">
      <alignment horizontal="center"/>
    </xf>
    <xf numFmtId="3" fontId="38" fillId="0" borderId="85" xfId="0" applyNumberFormat="1" applyFont="1" applyBorder="1" applyAlignment="1">
      <alignment horizontal="left"/>
    </xf>
    <xf numFmtId="3" fontId="38" fillId="0" borderId="86" xfId="0" applyNumberFormat="1" applyFont="1" applyBorder="1" applyAlignment="1">
      <alignment horizontal="left"/>
    </xf>
    <xf numFmtId="3" fontId="38" fillId="8" borderId="87" xfId="0" applyNumberFormat="1" applyFont="1" applyFill="1" applyBorder="1" applyAlignment="1">
      <alignment horizontal="left"/>
    </xf>
    <xf numFmtId="3" fontId="38" fillId="0" borderId="87" xfId="0" applyNumberFormat="1" applyFont="1" applyBorder="1" applyAlignment="1">
      <alignment horizontal="left"/>
    </xf>
    <xf numFmtId="3" fontId="1" fillId="0" borderId="87" xfId="0" applyNumberFormat="1" applyFont="1" applyBorder="1"/>
    <xf numFmtId="3" fontId="1" fillId="0" borderId="87" xfId="0" applyNumberFormat="1" applyFont="1" applyBorder="1" applyAlignment="1">
      <alignment horizontal="center"/>
    </xf>
    <xf numFmtId="3" fontId="1" fillId="0" borderId="88" xfId="0" applyNumberFormat="1" applyFont="1" applyBorder="1" applyAlignment="1">
      <alignment horizontal="center"/>
    </xf>
    <xf numFmtId="3" fontId="1" fillId="0" borderId="89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3" fontId="10" fillId="0" borderId="71" xfId="0" applyNumberFormat="1" applyFont="1" applyBorder="1" applyAlignment="1">
      <alignment horizontal="center"/>
    </xf>
    <xf numFmtId="3" fontId="10" fillId="0" borderId="72" xfId="0" applyNumberFormat="1" applyFont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0" fillId="0" borderId="91" xfId="0" applyNumberFormat="1" applyFont="1" applyBorder="1"/>
    <xf numFmtId="3" fontId="10" fillId="0" borderId="92" xfId="0" applyNumberFormat="1" applyFont="1" applyBorder="1" applyAlignment="1">
      <alignment horizontal="center"/>
    </xf>
    <xf numFmtId="3" fontId="10" fillId="0" borderId="93" xfId="0" applyNumberFormat="1" applyFont="1" applyBorder="1" applyAlignment="1">
      <alignment horizontal="center"/>
    </xf>
    <xf numFmtId="3" fontId="10" fillId="0" borderId="94" xfId="0" applyNumberFormat="1" applyFont="1" applyBorder="1" applyAlignment="1">
      <alignment horizontal="center"/>
    </xf>
    <xf numFmtId="0" fontId="48" fillId="0" borderId="0" xfId="0" applyFont="1" applyBorder="1"/>
    <xf numFmtId="1" fontId="52" fillId="2" borderId="9" xfId="0" applyNumberFormat="1" applyFont="1" applyFill="1" applyBorder="1" applyAlignment="1">
      <alignment horizontal="center"/>
    </xf>
    <xf numFmtId="9" fontId="53" fillId="9" borderId="1" xfId="39" applyFont="1" applyFill="1" applyBorder="1"/>
    <xf numFmtId="10" fontId="53" fillId="9" borderId="1" xfId="39" applyNumberFormat="1" applyFont="1" applyFill="1" applyBorder="1" applyAlignment="1">
      <alignment horizontal="center"/>
    </xf>
    <xf numFmtId="9" fontId="19" fillId="0" borderId="1" xfId="0" applyNumberFormat="1" applyFont="1" applyBorder="1"/>
    <xf numFmtId="1" fontId="53" fillId="9" borderId="0" xfId="0" applyNumberFormat="1" applyFont="1" applyFill="1" applyBorder="1"/>
    <xf numFmtId="10" fontId="19" fillId="0" borderId="1" xfId="39" applyNumberFormat="1" applyFont="1" applyBorder="1"/>
    <xf numFmtId="9" fontId="49" fillId="0" borderId="1" xfId="39" applyFont="1" applyBorder="1"/>
    <xf numFmtId="3" fontId="8" fillId="0" borderId="9" xfId="0" applyNumberFormat="1" applyFont="1" applyBorder="1"/>
    <xf numFmtId="9" fontId="19" fillId="10" borderId="1" xfId="0" applyNumberFormat="1" applyFont="1" applyFill="1" applyBorder="1"/>
    <xf numFmtId="3" fontId="52" fillId="10" borderId="0" xfId="0" applyNumberFormat="1" applyFont="1" applyFill="1" applyBorder="1" applyAlignment="1">
      <alignment horizontal="center"/>
    </xf>
    <xf numFmtId="43" fontId="3" fillId="0" borderId="0" xfId="34" applyFont="1" applyBorder="1"/>
    <xf numFmtId="3" fontId="79" fillId="0" borderId="0" xfId="0" applyNumberFormat="1" applyFont="1" applyBorder="1"/>
    <xf numFmtId="1" fontId="21" fillId="4" borderId="7" xfId="0" applyNumberFormat="1" applyFont="1" applyFill="1" applyBorder="1"/>
    <xf numFmtId="3" fontId="79" fillId="0" borderId="15" xfId="0" applyNumberFormat="1" applyFont="1" applyBorder="1"/>
    <xf numFmtId="9" fontId="22" fillId="3" borderId="7" xfId="39" applyFont="1" applyFill="1" applyBorder="1" applyAlignment="1">
      <alignment horizontal="center"/>
    </xf>
    <xf numFmtId="9" fontId="22" fillId="3" borderId="4" xfId="39" applyFont="1" applyFill="1" applyBorder="1"/>
    <xf numFmtId="169" fontId="19" fillId="0" borderId="0" xfId="34" applyNumberFormat="1" applyFont="1" applyBorder="1"/>
    <xf numFmtId="10" fontId="19" fillId="0" borderId="0" xfId="39" applyNumberFormat="1" applyFont="1" applyBorder="1" applyAlignment="1"/>
    <xf numFmtId="10" fontId="22" fillId="3" borderId="4" xfId="39" applyNumberFormat="1" applyFont="1" applyFill="1" applyBorder="1"/>
    <xf numFmtId="166" fontId="4" fillId="2" borderId="9" xfId="34" applyNumberFormat="1" applyFont="1" applyFill="1" applyBorder="1" applyAlignment="1">
      <alignment horizontal="center"/>
    </xf>
    <xf numFmtId="1" fontId="19" fillId="0" borderId="0" xfId="0" applyNumberFormat="1" applyFont="1" applyBorder="1"/>
    <xf numFmtId="3" fontId="80" fillId="0" borderId="15" xfId="0" applyNumberFormat="1" applyFont="1" applyBorder="1"/>
    <xf numFmtId="1" fontId="3" fillId="0" borderId="0" xfId="0" applyNumberFormat="1" applyFont="1" applyAlignment="1">
      <alignment horizontal="center"/>
    </xf>
    <xf numFmtId="0" fontId="5" fillId="2" borderId="4" xfId="0" applyFont="1" applyFill="1" applyBorder="1" applyAlignment="1">
      <alignment horizontal="center"/>
    </xf>
    <xf numFmtId="10" fontId="4" fillId="2" borderId="4" xfId="0" applyNumberFormat="1" applyFont="1" applyFill="1" applyBorder="1" applyAlignment="1">
      <alignment horizontal="center"/>
    </xf>
    <xf numFmtId="3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" fontId="4" fillId="2" borderId="4" xfId="0" applyNumberFormat="1" applyFont="1" applyFill="1" applyBorder="1" applyAlignment="1">
      <alignment horizontal="center"/>
    </xf>
    <xf numFmtId="0" fontId="3" fillId="2" borderId="4" xfId="0" applyFont="1" applyFill="1" applyBorder="1"/>
    <xf numFmtId="10" fontId="4" fillId="2" borderId="4" xfId="0" applyNumberFormat="1" applyFont="1" applyFill="1" applyBorder="1"/>
    <xf numFmtId="0" fontId="3" fillId="0" borderId="4" xfId="0" applyFont="1" applyBorder="1"/>
    <xf numFmtId="10" fontId="3" fillId="0" borderId="4" xfId="0" applyNumberFormat="1" applyFont="1" applyBorder="1"/>
    <xf numFmtId="3" fontId="19" fillId="0" borderId="4" xfId="0" applyNumberFormat="1" applyFont="1" applyBorder="1"/>
    <xf numFmtId="3" fontId="46" fillId="0" borderId="4" xfId="0" applyNumberFormat="1" applyFont="1" applyBorder="1" applyAlignment="1">
      <alignment horizontal="center"/>
    </xf>
    <xf numFmtId="3" fontId="48" fillId="0" borderId="4" xfId="0" applyNumberFormat="1" applyFont="1" applyBorder="1"/>
    <xf numFmtId="10" fontId="29" fillId="0" borderId="4" xfId="0" applyNumberFormat="1" applyFont="1" applyBorder="1"/>
    <xf numFmtId="10" fontId="9" fillId="4" borderId="4" xfId="0" applyNumberFormat="1" applyFont="1" applyFill="1" applyBorder="1" applyAlignment="1">
      <alignment horizontal="center"/>
    </xf>
    <xf numFmtId="3" fontId="21" fillId="4" borderId="4" xfId="0" applyNumberFormat="1" applyFont="1" applyFill="1" applyBorder="1" applyAlignment="1">
      <alignment horizontal="center"/>
    </xf>
    <xf numFmtId="10" fontId="9" fillId="4" borderId="4" xfId="0" applyNumberFormat="1" applyFont="1" applyFill="1" applyBorder="1"/>
    <xf numFmtId="10" fontId="21" fillId="4" borderId="4" xfId="0" applyNumberFormat="1" applyFont="1" applyFill="1" applyBorder="1"/>
    <xf numFmtId="0" fontId="19" fillId="0" borderId="4" xfId="0" applyFont="1" applyBorder="1"/>
    <xf numFmtId="0" fontId="19" fillId="0" borderId="4" xfId="0" applyFont="1" applyBorder="1" applyAlignment="1">
      <alignment horizontal="center"/>
    </xf>
    <xf numFmtId="1" fontId="53" fillId="9" borderId="4" xfId="0" applyNumberFormat="1" applyFont="1" applyFill="1" applyBorder="1"/>
    <xf numFmtId="9" fontId="53" fillId="9" borderId="4" xfId="39" applyFont="1" applyFill="1" applyBorder="1"/>
    <xf numFmtId="9" fontId="19" fillId="10" borderId="4" xfId="0" applyNumberFormat="1" applyFont="1" applyFill="1" applyBorder="1"/>
    <xf numFmtId="3" fontId="28" fillId="0" borderId="4" xfId="0" applyNumberFormat="1" applyFont="1" applyBorder="1"/>
    <xf numFmtId="10" fontId="11" fillId="3" borderId="4" xfId="0" applyNumberFormat="1" applyFont="1" applyFill="1" applyBorder="1" applyAlignment="1">
      <alignment horizontal="center"/>
    </xf>
    <xf numFmtId="9" fontId="22" fillId="3" borderId="4" xfId="39" applyFont="1" applyFill="1" applyBorder="1" applyAlignment="1">
      <alignment horizontal="center"/>
    </xf>
    <xf numFmtId="10" fontId="11" fillId="3" borderId="4" xfId="0" applyNumberFormat="1" applyFont="1" applyFill="1" applyBorder="1"/>
    <xf numFmtId="10" fontId="22" fillId="3" borderId="4" xfId="0" applyNumberFormat="1" applyFont="1" applyFill="1" applyBorder="1"/>
    <xf numFmtId="10" fontId="11" fillId="3" borderId="4" xfId="0" applyNumberFormat="1" applyFont="1" applyFill="1" applyBorder="1" applyAlignment="1">
      <alignment horizontal="left"/>
    </xf>
    <xf numFmtId="0" fontId="22" fillId="3" borderId="4" xfId="0" applyFont="1" applyFill="1" applyBorder="1" applyAlignment="1">
      <alignment horizontal="center"/>
    </xf>
    <xf numFmtId="10" fontId="19" fillId="0" borderId="4" xfId="39" applyNumberFormat="1" applyFont="1" applyBorder="1" applyAlignment="1">
      <alignment horizontal="center"/>
    </xf>
    <xf numFmtId="1" fontId="19" fillId="0" borderId="4" xfId="0" applyNumberFormat="1" applyFont="1" applyBorder="1"/>
    <xf numFmtId="10" fontId="53" fillId="9" borderId="4" xfId="39" applyNumberFormat="1" applyFont="1" applyFill="1" applyBorder="1" applyAlignment="1">
      <alignment horizontal="center"/>
    </xf>
    <xf numFmtId="169" fontId="19" fillId="0" borderId="4" xfId="34" applyNumberFormat="1" applyFont="1" applyBorder="1"/>
    <xf numFmtId="9" fontId="19" fillId="0" borderId="4" xfId="0" applyNumberFormat="1" applyFont="1" applyBorder="1"/>
    <xf numFmtId="0" fontId="21" fillId="4" borderId="4" xfId="0" applyFont="1" applyFill="1" applyBorder="1" applyAlignment="1">
      <alignment horizontal="center"/>
    </xf>
    <xf numFmtId="1" fontId="21" fillId="4" borderId="4" xfId="0" applyNumberFormat="1" applyFont="1" applyFill="1" applyBorder="1"/>
    <xf numFmtId="3" fontId="19" fillId="0" borderId="4" xfId="0" applyNumberFormat="1" applyFont="1" applyBorder="1" applyAlignment="1">
      <alignment horizontal="center"/>
    </xf>
    <xf numFmtId="3" fontId="50" fillId="0" borderId="4" xfId="0" applyNumberFormat="1" applyFont="1" applyBorder="1"/>
    <xf numFmtId="10" fontId="19" fillId="0" borderId="4" xfId="39" applyNumberFormat="1" applyFont="1" applyBorder="1"/>
    <xf numFmtId="10" fontId="23" fillId="2" borderId="4" xfId="39" applyNumberFormat="1" applyFont="1" applyFill="1" applyBorder="1" applyAlignment="1">
      <alignment horizontal="center"/>
    </xf>
    <xf numFmtId="10" fontId="19" fillId="0" borderId="4" xfId="0" applyNumberFormat="1" applyFont="1" applyBorder="1"/>
    <xf numFmtId="3" fontId="23" fillId="2" borderId="4" xfId="39" applyNumberFormat="1" applyFont="1" applyFill="1" applyBorder="1" applyAlignment="1">
      <alignment horizontal="center"/>
    </xf>
    <xf numFmtId="3" fontId="46" fillId="0" borderId="4" xfId="0" applyNumberFormat="1" applyFont="1" applyBorder="1"/>
    <xf numFmtId="10" fontId="3" fillId="3" borderId="4" xfId="0" applyNumberFormat="1" applyFont="1" applyFill="1" applyBorder="1" applyAlignment="1">
      <alignment horizontal="center"/>
    </xf>
    <xf numFmtId="3" fontId="3" fillId="3" borderId="4" xfId="0" applyNumberFormat="1" applyFont="1" applyFill="1" applyBorder="1"/>
    <xf numFmtId="3" fontId="19" fillId="3" borderId="4" xfId="0" applyNumberFormat="1" applyFont="1" applyFill="1" applyBorder="1"/>
    <xf numFmtId="3" fontId="46" fillId="3" borderId="4" xfId="0" applyNumberFormat="1" applyFont="1" applyFill="1" applyBorder="1" applyAlignment="1">
      <alignment horizontal="center"/>
    </xf>
    <xf numFmtId="3" fontId="45" fillId="0" borderId="4" xfId="0" applyNumberFormat="1" applyFont="1" applyBorder="1"/>
    <xf numFmtId="3" fontId="50" fillId="0" borderId="4" xfId="0" applyNumberFormat="1" applyFont="1" applyBorder="1" applyAlignment="1">
      <alignment horizontal="center"/>
    </xf>
    <xf numFmtId="3" fontId="49" fillId="0" borderId="4" xfId="0" applyNumberFormat="1" applyFont="1" applyBorder="1"/>
    <xf numFmtId="10" fontId="45" fillId="0" borderId="4" xfId="39" applyNumberFormat="1" applyFont="1" applyBorder="1"/>
    <xf numFmtId="3" fontId="23" fillId="42" borderId="4" xfId="0" applyNumberFormat="1" applyFont="1" applyFill="1" applyBorder="1"/>
    <xf numFmtId="3" fontId="8" fillId="0" borderId="4" xfId="0" applyNumberFormat="1" applyFont="1" applyBorder="1"/>
    <xf numFmtId="3" fontId="79" fillId="0" borderId="4" xfId="0" applyNumberFormat="1" applyFont="1" applyBorder="1" applyAlignment="1">
      <alignment horizontal="center"/>
    </xf>
    <xf numFmtId="3" fontId="79" fillId="0" borderId="4" xfId="0" applyNumberFormat="1" applyFont="1" applyBorder="1"/>
    <xf numFmtId="3" fontId="49" fillId="0" borderId="4" xfId="0" applyNumberFormat="1" applyFont="1" applyBorder="1" applyAlignment="1">
      <alignment horizontal="center"/>
    </xf>
    <xf numFmtId="9" fontId="49" fillId="0" borderId="4" xfId="39" applyFont="1" applyBorder="1"/>
    <xf numFmtId="3" fontId="81" fillId="42" borderId="4" xfId="0" applyNumberFormat="1" applyFont="1" applyFill="1" applyBorder="1"/>
    <xf numFmtId="3" fontId="24" fillId="5" borderId="4" xfId="0" applyNumberFormat="1" applyFont="1" applyFill="1" applyBorder="1"/>
    <xf numFmtId="3" fontId="24" fillId="5" borderId="4" xfId="0" applyNumberFormat="1" applyFont="1" applyFill="1" applyBorder="1" applyAlignment="1">
      <alignment horizontal="center"/>
    </xf>
    <xf numFmtId="10" fontId="7" fillId="5" borderId="4" xfId="0" applyNumberFormat="1" applyFont="1" applyFill="1" applyBorder="1"/>
    <xf numFmtId="10" fontId="24" fillId="5" borderId="4" xfId="0" applyNumberFormat="1" applyFont="1" applyFill="1" applyBorder="1"/>
    <xf numFmtId="3" fontId="23" fillId="2" borderId="4" xfId="0" applyNumberFormat="1" applyFont="1" applyFill="1" applyBorder="1"/>
    <xf numFmtId="3" fontId="23" fillId="2" borderId="4" xfId="0" applyNumberFormat="1" applyFont="1" applyFill="1" applyBorder="1" applyAlignment="1">
      <alignment horizontal="center"/>
    </xf>
    <xf numFmtId="10" fontId="8" fillId="2" borderId="4" xfId="0" applyNumberFormat="1" applyFont="1" applyFill="1" applyBorder="1"/>
    <xf numFmtId="10" fontId="23" fillId="2" borderId="4" xfId="0" applyNumberFormat="1" applyFont="1" applyFill="1" applyBorder="1"/>
    <xf numFmtId="10" fontId="4" fillId="5" borderId="4" xfId="0" applyNumberFormat="1" applyFont="1" applyFill="1" applyBorder="1"/>
    <xf numFmtId="3" fontId="4" fillId="5" borderId="4" xfId="0" applyNumberFormat="1" applyFont="1" applyFill="1" applyBorder="1"/>
    <xf numFmtId="3" fontId="20" fillId="5" borderId="4" xfId="0" applyNumberFormat="1" applyFont="1" applyFill="1" applyBorder="1" applyAlignment="1">
      <alignment horizontal="center"/>
    </xf>
    <xf numFmtId="3" fontId="22" fillId="5" borderId="4" xfId="0" applyNumberFormat="1" applyFont="1" applyFill="1" applyBorder="1"/>
    <xf numFmtId="3" fontId="22" fillId="5" borderId="4" xfId="0" applyNumberFormat="1" applyFont="1" applyFill="1" applyBorder="1" applyAlignment="1">
      <alignment horizontal="center"/>
    </xf>
    <xf numFmtId="0" fontId="3" fillId="7" borderId="4" xfId="0" applyFont="1" applyFill="1" applyBorder="1"/>
    <xf numFmtId="3" fontId="3" fillId="7" borderId="4" xfId="0" applyNumberFormat="1" applyFont="1" applyFill="1" applyBorder="1"/>
    <xf numFmtId="3" fontId="3" fillId="7" borderId="4" xfId="0" applyNumberFormat="1" applyFont="1" applyFill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4" xfId="0" applyNumberFormat="1" applyFont="1" applyBorder="1"/>
    <xf numFmtId="3" fontId="7" fillId="5" borderId="4" xfId="0" applyNumberFormat="1" applyFont="1" applyFill="1" applyBorder="1" applyAlignment="1">
      <alignment horizontal="center"/>
    </xf>
    <xf numFmtId="10" fontId="8" fillId="2" borderId="4" xfId="39" applyNumberFormat="1" applyFont="1" applyFill="1" applyBorder="1" applyAlignment="1">
      <alignment horizontal="center"/>
    </xf>
    <xf numFmtId="3" fontId="8" fillId="2" borderId="4" xfId="39" applyNumberFormat="1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10" fontId="30" fillId="3" borderId="4" xfId="0" applyNumberFormat="1" applyFont="1" applyFill="1" applyBorder="1" applyAlignment="1">
      <alignment horizontal="center"/>
    </xf>
    <xf numFmtId="3" fontId="30" fillId="3" borderId="4" xfId="0" applyNumberFormat="1" applyFont="1" applyFill="1" applyBorder="1"/>
    <xf numFmtId="3" fontId="30" fillId="3" borderId="4" xfId="0" applyNumberFormat="1" applyFont="1" applyFill="1" applyBorder="1" applyAlignment="1">
      <alignment horizontal="center"/>
    </xf>
    <xf numFmtId="10" fontId="30" fillId="3" borderId="4" xfId="0" applyNumberFormat="1" applyFont="1" applyFill="1" applyBorder="1"/>
    <xf numFmtId="3" fontId="8" fillId="2" borderId="4" xfId="0" applyNumberFormat="1" applyFont="1" applyFill="1" applyBorder="1" applyAlignment="1">
      <alignment horizontal="center"/>
    </xf>
    <xf numFmtId="3" fontId="11" fillId="5" borderId="4" xfId="0" applyNumberFormat="1" applyFont="1" applyFill="1" applyBorder="1" applyAlignment="1">
      <alignment horizontal="center"/>
    </xf>
    <xf numFmtId="3" fontId="43" fillId="3" borderId="4" xfId="0" applyNumberFormat="1" applyFont="1" applyFill="1" applyBorder="1"/>
    <xf numFmtId="0" fontId="3" fillId="0" borderId="4" xfId="0" applyFont="1" applyFill="1" applyBorder="1"/>
    <xf numFmtId="3" fontId="30" fillId="0" borderId="4" xfId="0" applyNumberFormat="1" applyFont="1" applyBorder="1"/>
    <xf numFmtId="0" fontId="0" fillId="0" borderId="4" xfId="0" applyBorder="1"/>
    <xf numFmtId="0" fontId="8" fillId="2" borderId="4" xfId="0" applyFont="1" applyFill="1" applyBorder="1" applyAlignment="1">
      <alignment horizontal="center" vertical="center"/>
    </xf>
    <xf numFmtId="3" fontId="8" fillId="2" borderId="4" xfId="0" applyNumberFormat="1" applyFont="1" applyFill="1" applyBorder="1" applyAlignment="1">
      <alignment vertical="center"/>
    </xf>
    <xf numFmtId="3" fontId="23" fillId="2" borderId="4" xfId="0" applyNumberFormat="1" applyFont="1" applyFill="1" applyBorder="1" applyAlignment="1">
      <alignment vertical="center"/>
    </xf>
    <xf numFmtId="10" fontId="8" fillId="2" borderId="4" xfId="0" applyNumberFormat="1" applyFont="1" applyFill="1" applyBorder="1" applyAlignment="1">
      <alignment vertical="center"/>
    </xf>
    <xf numFmtId="10" fontId="23" fillId="2" borderId="4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55" fillId="2" borderId="4" xfId="0" applyFont="1" applyFill="1" applyBorder="1" applyAlignment="1">
      <alignment horizontal="center" vertical="center"/>
    </xf>
    <xf numFmtId="3" fontId="55" fillId="2" borderId="4" xfId="0" applyNumberFormat="1" applyFont="1" applyFill="1" applyBorder="1" applyAlignment="1">
      <alignment vertical="center"/>
    </xf>
    <xf numFmtId="3" fontId="56" fillId="2" borderId="4" xfId="0" applyNumberFormat="1" applyFont="1" applyFill="1" applyBorder="1" applyAlignment="1">
      <alignment vertical="center"/>
    </xf>
    <xf numFmtId="10" fontId="55" fillId="2" borderId="4" xfId="0" applyNumberFormat="1" applyFont="1" applyFill="1" applyBorder="1" applyAlignment="1">
      <alignment vertical="center"/>
    </xf>
    <xf numFmtId="10" fontId="56" fillId="2" borderId="4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3" fontId="4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0" fontId="4" fillId="2" borderId="4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3" fontId="3" fillId="0" borderId="4" xfId="0" applyNumberFormat="1" applyFont="1" applyBorder="1" applyAlignment="1">
      <alignment vertical="center"/>
    </xf>
    <xf numFmtId="3" fontId="19" fillId="0" borderId="4" xfId="0" applyNumberFormat="1" applyFont="1" applyBorder="1" applyAlignment="1">
      <alignment vertical="center"/>
    </xf>
    <xf numFmtId="10" fontId="3" fillId="0" borderId="4" xfId="0" applyNumberFormat="1" applyFont="1" applyBorder="1" applyAlignment="1">
      <alignment vertical="center"/>
    </xf>
    <xf numFmtId="10" fontId="29" fillId="0" borderId="4" xfId="0" applyNumberFormat="1" applyFont="1" applyBorder="1" applyAlignment="1">
      <alignment vertical="center"/>
    </xf>
    <xf numFmtId="0" fontId="9" fillId="4" borderId="4" xfId="0" applyFont="1" applyFill="1" applyBorder="1" applyAlignment="1">
      <alignment horizontal="center" vertical="center"/>
    </xf>
    <xf numFmtId="3" fontId="9" fillId="4" borderId="4" xfId="0" applyNumberFormat="1" applyFont="1" applyFill="1" applyBorder="1" applyAlignment="1">
      <alignment vertical="center"/>
    </xf>
    <xf numFmtId="10" fontId="9" fillId="4" borderId="4" xfId="0" applyNumberFormat="1" applyFont="1" applyFill="1" applyBorder="1" applyAlignment="1">
      <alignment vertical="center"/>
    </xf>
    <xf numFmtId="10" fontId="21" fillId="4" borderId="4" xfId="0" applyNumberFormat="1" applyFont="1" applyFill="1" applyBorder="1" applyAlignment="1">
      <alignment vertical="center"/>
    </xf>
    <xf numFmtId="0" fontId="16" fillId="3" borderId="0" xfId="0" applyFont="1" applyFill="1" applyAlignment="1">
      <alignment vertical="center"/>
    </xf>
    <xf numFmtId="0" fontId="11" fillId="3" borderId="4" xfId="0" applyFont="1" applyFill="1" applyBorder="1" applyAlignment="1">
      <alignment horizontal="center" vertical="center"/>
    </xf>
    <xf numFmtId="3" fontId="11" fillId="3" borderId="4" xfId="0" applyNumberFormat="1" applyFont="1" applyFill="1" applyBorder="1" applyAlignment="1">
      <alignment vertical="center"/>
    </xf>
    <xf numFmtId="10" fontId="11" fillId="3" borderId="4" xfId="0" applyNumberFormat="1" applyFont="1" applyFill="1" applyBorder="1" applyAlignment="1">
      <alignment vertical="center"/>
    </xf>
    <xf numFmtId="10" fontId="22" fillId="3" borderId="4" xfId="0" applyNumberFormat="1" applyFont="1" applyFill="1" applyBorder="1" applyAlignment="1">
      <alignment vertical="center"/>
    </xf>
    <xf numFmtId="3" fontId="21" fillId="4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horizontal="left" vertical="center"/>
    </xf>
    <xf numFmtId="10" fontId="8" fillId="2" borderId="4" xfId="39" applyNumberFormat="1" applyFont="1" applyFill="1" applyBorder="1" applyAlignment="1">
      <alignment vertical="center"/>
    </xf>
    <xf numFmtId="10" fontId="23" fillId="2" borderId="4" xfId="39" applyNumberFormat="1" applyFont="1" applyFill="1" applyBorder="1" applyAlignment="1">
      <alignment vertical="center"/>
    </xf>
    <xf numFmtId="3" fontId="8" fillId="2" borderId="4" xfId="39" applyNumberFormat="1" applyFont="1" applyFill="1" applyBorder="1" applyAlignment="1">
      <alignment vertical="center"/>
    </xf>
    <xf numFmtId="3" fontId="23" fillId="2" borderId="4" xfId="39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3" fontId="3" fillId="3" borderId="4" xfId="0" applyNumberFormat="1" applyFont="1" applyFill="1" applyBorder="1" applyAlignment="1">
      <alignment vertical="center"/>
    </xf>
    <xf numFmtId="3" fontId="19" fillId="3" borderId="4" xfId="0" applyNumberFormat="1" applyFont="1" applyFill="1" applyBorder="1" applyAlignment="1">
      <alignment vertical="center"/>
    </xf>
    <xf numFmtId="0" fontId="7" fillId="5" borderId="4" xfId="0" applyFont="1" applyFill="1" applyBorder="1" applyAlignment="1">
      <alignment horizontal="center" vertical="center"/>
    </xf>
    <xf numFmtId="3" fontId="7" fillId="5" borderId="4" xfId="0" applyNumberFormat="1" applyFont="1" applyFill="1" applyBorder="1" applyAlignment="1">
      <alignment vertical="center"/>
    </xf>
    <xf numFmtId="3" fontId="24" fillId="5" borderId="4" xfId="0" applyNumberFormat="1" applyFont="1" applyFill="1" applyBorder="1" applyAlignment="1">
      <alignment vertical="center"/>
    </xf>
    <xf numFmtId="10" fontId="7" fillId="5" borderId="4" xfId="0" applyNumberFormat="1" applyFont="1" applyFill="1" applyBorder="1" applyAlignment="1">
      <alignment vertical="center"/>
    </xf>
    <xf numFmtId="10" fontId="24" fillId="5" borderId="4" xfId="0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horizontal="center" vertical="center"/>
    </xf>
    <xf numFmtId="3" fontId="20" fillId="5" borderId="4" xfId="0" applyNumberFormat="1" applyFont="1" applyFill="1" applyBorder="1" applyAlignment="1">
      <alignment vertical="center"/>
    </xf>
    <xf numFmtId="10" fontId="4" fillId="5" borderId="4" xfId="0" applyNumberFormat="1" applyFont="1" applyFill="1" applyBorder="1" applyAlignment="1">
      <alignment vertical="center"/>
    </xf>
    <xf numFmtId="0" fontId="11" fillId="5" borderId="4" xfId="0" applyFont="1" applyFill="1" applyBorder="1" applyAlignment="1">
      <alignment horizontal="center" vertical="center"/>
    </xf>
    <xf numFmtId="3" fontId="11" fillId="5" borderId="4" xfId="0" applyNumberFormat="1" applyFont="1" applyFill="1" applyBorder="1" applyAlignment="1">
      <alignment vertical="center"/>
    </xf>
    <xf numFmtId="3" fontId="22" fillId="5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7" borderId="4" xfId="0" applyFont="1" applyFill="1" applyBorder="1" applyAlignment="1">
      <alignment vertical="center"/>
    </xf>
    <xf numFmtId="3" fontId="3" fillId="7" borderId="4" xfId="0" applyNumberFormat="1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3" fillId="2" borderId="4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3" fontId="30" fillId="3" borderId="4" xfId="0" applyNumberFormat="1" applyFont="1" applyFill="1" applyBorder="1" applyAlignment="1">
      <alignment vertical="center"/>
    </xf>
    <xf numFmtId="10" fontId="30" fillId="3" borderId="4" xfId="0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3" fontId="7" fillId="5" borderId="4" xfId="0" applyNumberFormat="1" applyFont="1" applyFill="1" applyBorder="1" applyAlignment="1">
      <alignment horizontal="right" vertical="center"/>
    </xf>
    <xf numFmtId="0" fontId="30" fillId="3" borderId="9" xfId="0" applyFont="1" applyFill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10" fontId="56" fillId="2" borderId="4" xfId="3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55" fillId="42" borderId="4" xfId="0" applyFont="1" applyFill="1" applyBorder="1" applyAlignment="1">
      <alignment horizontal="center" vertical="center"/>
    </xf>
    <xf numFmtId="3" fontId="55" fillId="42" borderId="7" xfId="0" applyNumberFormat="1" applyFont="1" applyFill="1" applyBorder="1" applyAlignment="1">
      <alignment vertical="center"/>
    </xf>
    <xf numFmtId="0" fontId="82" fillId="42" borderId="4" xfId="0" applyFont="1" applyFill="1" applyBorder="1" applyAlignment="1">
      <alignment horizontal="center" vertical="center"/>
    </xf>
    <xf numFmtId="3" fontId="82" fillId="42" borderId="11" xfId="0" applyNumberFormat="1" applyFont="1" applyFill="1" applyBorder="1" applyAlignment="1">
      <alignment vertical="center"/>
    </xf>
    <xf numFmtId="3" fontId="82" fillId="42" borderId="7" xfId="0" applyNumberFormat="1" applyFont="1" applyFill="1" applyBorder="1" applyAlignment="1">
      <alignment vertical="center"/>
    </xf>
    <xf numFmtId="3" fontId="82" fillId="42" borderId="8" xfId="0" applyNumberFormat="1" applyFont="1" applyFill="1" applyBorder="1" applyAlignment="1">
      <alignment vertical="center"/>
    </xf>
    <xf numFmtId="10" fontId="82" fillId="42" borderId="7" xfId="0" applyNumberFormat="1" applyFont="1" applyFill="1" applyBorder="1" applyAlignment="1">
      <alignment vertical="center"/>
    </xf>
    <xf numFmtId="10" fontId="83" fillId="42" borderId="8" xfId="0" applyNumberFormat="1" applyFont="1" applyFill="1" applyBorder="1" applyAlignment="1">
      <alignment vertical="center"/>
    </xf>
    <xf numFmtId="3" fontId="82" fillId="42" borderId="4" xfId="0" applyNumberFormat="1" applyFont="1" applyFill="1" applyBorder="1" applyAlignment="1">
      <alignment vertical="center"/>
    </xf>
    <xf numFmtId="3" fontId="83" fillId="42" borderId="7" xfId="0" applyNumberFormat="1" applyFont="1" applyFill="1" applyBorder="1" applyAlignment="1">
      <alignment vertical="center"/>
    </xf>
    <xf numFmtId="3" fontId="0" fillId="0" borderId="0" xfId="0" applyNumberForma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3" fontId="12" fillId="0" borderId="0" xfId="33" applyNumberFormat="1" applyAlignment="1" applyProtection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center" vertical="center"/>
    </xf>
    <xf numFmtId="10" fontId="29" fillId="0" borderId="4" xfId="0" applyNumberFormat="1" applyFont="1" applyBorder="1" applyAlignment="1">
      <alignment horizontal="center" vertical="center"/>
    </xf>
    <xf numFmtId="3" fontId="9" fillId="4" borderId="4" xfId="0" applyNumberFormat="1" applyFont="1" applyFill="1" applyBorder="1" applyAlignment="1">
      <alignment horizontal="center" vertical="center"/>
    </xf>
    <xf numFmtId="10" fontId="9" fillId="4" borderId="4" xfId="0" applyNumberFormat="1" applyFont="1" applyFill="1" applyBorder="1" applyAlignment="1">
      <alignment horizontal="center" vertical="center"/>
    </xf>
    <xf numFmtId="10" fontId="21" fillId="4" borderId="4" xfId="0" applyNumberFormat="1" applyFont="1" applyFill="1" applyBorder="1" applyAlignment="1">
      <alignment horizontal="center" vertical="center"/>
    </xf>
    <xf numFmtId="3" fontId="11" fillId="3" borderId="4" xfId="0" applyNumberFormat="1" applyFont="1" applyFill="1" applyBorder="1" applyAlignment="1">
      <alignment horizontal="center" vertical="center"/>
    </xf>
    <xf numFmtId="10" fontId="11" fillId="3" borderId="4" xfId="0" applyNumberFormat="1" applyFont="1" applyFill="1" applyBorder="1" applyAlignment="1">
      <alignment horizontal="center" vertical="center"/>
    </xf>
    <xf numFmtId="10" fontId="22" fillId="3" borderId="4" xfId="0" applyNumberFormat="1" applyFont="1" applyFill="1" applyBorder="1" applyAlignment="1">
      <alignment horizontal="center" vertical="center"/>
    </xf>
    <xf numFmtId="3" fontId="21" fillId="4" borderId="4" xfId="0" applyNumberFormat="1" applyFont="1" applyFill="1" applyBorder="1" applyAlignment="1">
      <alignment horizontal="center" vertical="center"/>
    </xf>
    <xf numFmtId="10" fontId="8" fillId="2" borderId="4" xfId="39" applyNumberFormat="1" applyFont="1" applyFill="1" applyBorder="1" applyAlignment="1">
      <alignment horizontal="center" vertical="center"/>
    </xf>
    <xf numFmtId="10" fontId="23" fillId="2" borderId="4" xfId="39" applyNumberFormat="1" applyFont="1" applyFill="1" applyBorder="1" applyAlignment="1">
      <alignment horizontal="center" vertical="center"/>
    </xf>
    <xf numFmtId="3" fontId="8" fillId="2" borderId="4" xfId="39" applyNumberFormat="1" applyFont="1" applyFill="1" applyBorder="1" applyAlignment="1">
      <alignment horizontal="center" vertical="center"/>
    </xf>
    <xf numFmtId="3" fontId="23" fillId="2" borderId="4" xfId="39" applyNumberFormat="1" applyFont="1" applyFill="1" applyBorder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vertical="center"/>
    </xf>
    <xf numFmtId="3" fontId="19" fillId="3" borderId="4" xfId="0" applyNumberFormat="1" applyFont="1" applyFill="1" applyBorder="1" applyAlignment="1">
      <alignment horizontal="center" vertical="center"/>
    </xf>
    <xf numFmtId="3" fontId="29" fillId="0" borderId="4" xfId="0" applyNumberFormat="1" applyFont="1" applyBorder="1" applyAlignment="1">
      <alignment horizontal="center" vertical="center"/>
    </xf>
    <xf numFmtId="10" fontId="3" fillId="3" borderId="4" xfId="0" applyNumberFormat="1" applyFont="1" applyFill="1" applyBorder="1" applyAlignment="1">
      <alignment horizontal="center" vertical="center"/>
    </xf>
    <xf numFmtId="3" fontId="7" fillId="5" borderId="4" xfId="0" applyNumberFormat="1" applyFont="1" applyFill="1" applyBorder="1" applyAlignment="1">
      <alignment horizontal="center" vertical="center"/>
    </xf>
    <xf numFmtId="3" fontId="24" fillId="5" borderId="4" xfId="0" applyNumberFormat="1" applyFont="1" applyFill="1" applyBorder="1" applyAlignment="1">
      <alignment horizontal="center" vertical="center"/>
    </xf>
    <xf numFmtId="10" fontId="7" fillId="5" borderId="4" xfId="0" applyNumberFormat="1" applyFont="1" applyFill="1" applyBorder="1" applyAlignment="1">
      <alignment horizontal="center" vertical="center"/>
    </xf>
    <xf numFmtId="10" fontId="24" fillId="5" borderId="4" xfId="0" applyNumberFormat="1" applyFont="1" applyFill="1" applyBorder="1" applyAlignment="1">
      <alignment horizontal="center" vertical="center"/>
    </xf>
    <xf numFmtId="3" fontId="8" fillId="2" borderId="4" xfId="0" applyNumberFormat="1" applyFont="1" applyFill="1" applyBorder="1" applyAlignment="1">
      <alignment horizontal="center" vertical="center"/>
    </xf>
    <xf numFmtId="3" fontId="23" fillId="2" borderId="4" xfId="0" applyNumberFormat="1" applyFont="1" applyFill="1" applyBorder="1" applyAlignment="1">
      <alignment horizontal="center" vertical="center"/>
    </xf>
    <xf numFmtId="10" fontId="8" fillId="2" borderId="4" xfId="0" applyNumberFormat="1" applyFont="1" applyFill="1" applyBorder="1" applyAlignment="1">
      <alignment horizontal="center" vertical="center"/>
    </xf>
    <xf numFmtId="10" fontId="23" fillId="2" borderId="4" xfId="0" applyNumberFormat="1" applyFont="1" applyFill="1" applyBorder="1" applyAlignment="1">
      <alignment horizontal="center" vertical="center"/>
    </xf>
    <xf numFmtId="3" fontId="4" fillId="4" borderId="4" xfId="0" applyNumberFormat="1" applyFont="1" applyFill="1" applyBorder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10" fontId="4" fillId="5" borderId="4" xfId="0" applyNumberFormat="1" applyFont="1" applyFill="1" applyBorder="1" applyAlignment="1">
      <alignment horizontal="center" vertical="center"/>
    </xf>
    <xf numFmtId="10" fontId="20" fillId="5" borderId="4" xfId="0" applyNumberFormat="1" applyFont="1" applyFill="1" applyBorder="1" applyAlignment="1">
      <alignment horizontal="center" vertical="center"/>
    </xf>
    <xf numFmtId="3" fontId="11" fillId="5" borderId="4" xfId="0" applyNumberFormat="1" applyFont="1" applyFill="1" applyBorder="1" applyAlignment="1">
      <alignment horizontal="center" vertical="center"/>
    </xf>
    <xf numFmtId="3" fontId="22" fillId="5" borderId="4" xfId="0" applyNumberFormat="1" applyFont="1" applyFill="1" applyBorder="1" applyAlignment="1">
      <alignment horizontal="center" vertical="center"/>
    </xf>
    <xf numFmtId="9" fontId="55" fillId="42" borderId="4" xfId="39" applyFont="1" applyFill="1" applyBorder="1" applyAlignment="1">
      <alignment horizontal="center" vertical="center"/>
    </xf>
    <xf numFmtId="3" fontId="55" fillId="2" borderId="4" xfId="0" applyNumberFormat="1" applyFont="1" applyFill="1" applyBorder="1" applyAlignment="1">
      <alignment horizontal="center" vertical="center"/>
    </xf>
    <xf numFmtId="10" fontId="19" fillId="0" borderId="4" xfId="0" applyNumberFormat="1" applyFont="1" applyBorder="1" applyAlignment="1">
      <alignment horizontal="center" vertical="center"/>
    </xf>
    <xf numFmtId="3" fontId="3" fillId="7" borderId="4" xfId="0" applyNumberFormat="1" applyFont="1" applyFill="1" applyBorder="1" applyAlignment="1">
      <alignment horizontal="center" vertical="center"/>
    </xf>
    <xf numFmtId="9" fontId="8" fillId="2" borderId="4" xfId="39" applyNumberFormat="1" applyFont="1" applyFill="1" applyBorder="1" applyAlignment="1">
      <alignment horizontal="center" vertical="center"/>
    </xf>
    <xf numFmtId="3" fontId="30" fillId="3" borderId="4" xfId="0" applyNumberFormat="1" applyFont="1" applyFill="1" applyBorder="1" applyAlignment="1">
      <alignment horizontal="center" vertical="center"/>
    </xf>
    <xf numFmtId="10" fontId="30" fillId="3" borderId="4" xfId="0" applyNumberFormat="1" applyFont="1" applyFill="1" applyBorder="1" applyAlignment="1">
      <alignment horizontal="center" vertical="center"/>
    </xf>
    <xf numFmtId="10" fontId="11" fillId="5" borderId="4" xfId="0" applyNumberFormat="1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30" fillId="3" borderId="0" xfId="0" applyNumberFormat="1" applyFont="1" applyFill="1" applyBorder="1" applyAlignment="1">
      <alignment horizontal="center" vertical="center"/>
    </xf>
    <xf numFmtId="3" fontId="30" fillId="3" borderId="15" xfId="0" applyNumberFormat="1" applyFont="1" applyFill="1" applyBorder="1" applyAlignment="1">
      <alignment horizontal="center" vertical="center"/>
    </xf>
    <xf numFmtId="10" fontId="30" fillId="3" borderId="15" xfId="0" applyNumberFormat="1" applyFont="1" applyFill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/>
    </xf>
    <xf numFmtId="10" fontId="19" fillId="0" borderId="0" xfId="0" applyNumberFormat="1" applyFont="1" applyAlignment="1">
      <alignment horizontal="center"/>
    </xf>
    <xf numFmtId="3" fontId="12" fillId="0" borderId="0" xfId="33" applyNumberFormat="1" applyAlignment="1" applyProtection="1">
      <alignment horizontal="center"/>
    </xf>
    <xf numFmtId="3" fontId="9" fillId="4" borderId="4" xfId="0" applyNumberFormat="1" applyFont="1" applyFill="1" applyBorder="1" applyAlignment="1">
      <alignment horizontal="center"/>
    </xf>
    <xf numFmtId="3" fontId="11" fillId="3" borderId="4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82" fillId="42" borderId="4" xfId="0" applyNumberFormat="1" applyFont="1" applyFill="1" applyBorder="1" applyAlignment="1">
      <alignment horizontal="center" vertical="center"/>
    </xf>
    <xf numFmtId="10" fontId="4" fillId="2" borderId="10" xfId="0" applyNumberFormat="1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55" fillId="42" borderId="4" xfId="0" applyNumberFormat="1" applyFont="1" applyFill="1" applyBorder="1" applyAlignment="1">
      <alignment horizontal="center" vertical="center"/>
    </xf>
    <xf numFmtId="0" fontId="60" fillId="42" borderId="4" xfId="0" applyFont="1" applyFill="1" applyBorder="1" applyAlignment="1">
      <alignment horizontal="center" vertical="center"/>
    </xf>
    <xf numFmtId="3" fontId="60" fillId="42" borderId="4" xfId="0" applyNumberFormat="1" applyFont="1" applyFill="1" applyBorder="1" applyAlignment="1">
      <alignment horizontal="center" vertical="center"/>
    </xf>
    <xf numFmtId="10" fontId="22" fillId="3" borderId="4" xfId="39" applyNumberFormat="1" applyFont="1" applyFill="1" applyBorder="1" applyAlignment="1">
      <alignment horizontal="center"/>
    </xf>
    <xf numFmtId="3" fontId="45" fillId="3" borderId="4" xfId="0" applyNumberFormat="1" applyFont="1" applyFill="1" applyBorder="1" applyAlignment="1">
      <alignment horizontal="center"/>
    </xf>
    <xf numFmtId="10" fontId="21" fillId="4" borderId="4" xfId="39" applyNumberFormat="1" applyFont="1" applyFill="1" applyBorder="1" applyAlignment="1">
      <alignment horizontal="center"/>
    </xf>
    <xf numFmtId="10" fontId="24" fillId="5" borderId="4" xfId="39" applyNumberFormat="1" applyFont="1" applyFill="1" applyBorder="1" applyAlignment="1">
      <alignment horizontal="center"/>
    </xf>
    <xf numFmtId="10" fontId="20" fillId="5" borderId="4" xfId="39" applyNumberFormat="1" applyFont="1" applyFill="1" applyBorder="1" applyAlignment="1">
      <alignment horizontal="center"/>
    </xf>
    <xf numFmtId="10" fontId="22" fillId="5" borderId="4" xfId="39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3" fontId="4" fillId="2" borderId="13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0" fontId="4" fillId="2" borderId="13" xfId="0" applyNumberFormat="1" applyFont="1" applyFill="1" applyBorder="1" applyAlignment="1">
      <alignment horizontal="center" vertical="center"/>
    </xf>
    <xf numFmtId="10" fontId="4" fillId="2" borderId="18" xfId="0" applyNumberFormat="1" applyFont="1" applyFill="1" applyBorder="1" applyAlignment="1">
      <alignment horizontal="center" vertical="center"/>
    </xf>
    <xf numFmtId="10" fontId="4" fillId="2" borderId="14" xfId="0" applyNumberFormat="1" applyFont="1" applyFill="1" applyBorder="1" applyAlignment="1">
      <alignment horizontal="center" vertical="center"/>
    </xf>
    <xf numFmtId="1" fontId="4" fillId="2" borderId="9" xfId="0" applyNumberFormat="1" applyFont="1" applyFill="1" applyBorder="1" applyAlignment="1">
      <alignment horizontal="center" vertical="center"/>
    </xf>
    <xf numFmtId="17" fontId="4" fillId="2" borderId="15" xfId="0" applyNumberFormat="1" applyFont="1" applyFill="1" applyBorder="1" applyAlignment="1">
      <alignment horizontal="center" vertical="center"/>
    </xf>
    <xf numFmtId="17" fontId="4" fillId="2" borderId="9" xfId="0" applyNumberFormat="1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4" fillId="2" borderId="9" xfId="0" applyNumberFormat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10" fontId="4" fillId="2" borderId="15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3" fontId="4" fillId="2" borderId="10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0" fontId="4" fillId="2" borderId="10" xfId="0" applyNumberFormat="1" applyFont="1" applyFill="1" applyBorder="1" applyAlignment="1">
      <alignment horizontal="center" vertical="center"/>
    </xf>
    <xf numFmtId="10" fontId="4" fillId="2" borderId="6" xfId="0" applyNumberFormat="1" applyFont="1" applyFill="1" applyBorder="1" applyAlignment="1">
      <alignment horizontal="center" vertical="center"/>
    </xf>
    <xf numFmtId="10" fontId="4" fillId="2" borderId="16" xfId="0" applyNumberFormat="1" applyFont="1" applyFill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3" fontId="46" fillId="0" borderId="0" xfId="0" applyNumberFormat="1" applyFont="1" applyBorder="1" applyAlignment="1">
      <alignment horizontal="center" vertical="center"/>
    </xf>
    <xf numFmtId="3" fontId="48" fillId="0" borderId="0" xfId="0" applyNumberFormat="1" applyFont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 vertical="center"/>
    </xf>
    <xf numFmtId="10" fontId="3" fillId="0" borderId="0" xfId="0" applyNumberFormat="1" applyFont="1" applyBorder="1" applyAlignment="1">
      <alignment horizontal="center" vertical="center"/>
    </xf>
    <xf numFmtId="10" fontId="29" fillId="0" borderId="15" xfId="0" applyNumberFormat="1" applyFont="1" applyBorder="1" applyAlignment="1">
      <alignment horizontal="center" vertical="center"/>
    </xf>
    <xf numFmtId="3" fontId="9" fillId="4" borderId="11" xfId="0" applyNumberFormat="1" applyFont="1" applyFill="1" applyBorder="1" applyAlignment="1">
      <alignment horizontal="center" vertical="center"/>
    </xf>
    <xf numFmtId="3" fontId="21" fillId="4" borderId="8" xfId="0" applyNumberFormat="1" applyFont="1" applyFill="1" applyBorder="1" applyAlignment="1">
      <alignment horizontal="center" vertical="center"/>
    </xf>
    <xf numFmtId="3" fontId="21" fillId="4" borderId="7" xfId="0" applyNumberFormat="1" applyFont="1" applyFill="1" applyBorder="1" applyAlignment="1">
      <alignment horizontal="center" vertical="center"/>
    </xf>
    <xf numFmtId="10" fontId="9" fillId="4" borderId="7" xfId="0" applyNumberFormat="1" applyFont="1" applyFill="1" applyBorder="1" applyAlignment="1">
      <alignment horizontal="center" vertical="center"/>
    </xf>
    <xf numFmtId="10" fontId="21" fillId="4" borderId="8" xfId="0" applyNumberFormat="1" applyFont="1" applyFill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" fontId="53" fillId="9" borderId="0" xfId="0" applyNumberFormat="1" applyFont="1" applyFill="1" applyBorder="1" applyAlignment="1">
      <alignment horizontal="center" vertical="center"/>
    </xf>
    <xf numFmtId="9" fontId="53" fillId="9" borderId="1" xfId="39" applyFont="1" applyFill="1" applyBorder="1" applyAlignment="1">
      <alignment horizontal="center" vertical="center"/>
    </xf>
    <xf numFmtId="9" fontId="19" fillId="0" borderId="0" xfId="39" applyFont="1" applyBorder="1" applyAlignment="1">
      <alignment horizontal="center" vertical="center"/>
    </xf>
    <xf numFmtId="9" fontId="19" fillId="10" borderId="1" xfId="0" applyNumberFormat="1" applyFont="1" applyFill="1" applyBorder="1" applyAlignment="1">
      <alignment horizontal="center" vertical="center"/>
    </xf>
    <xf numFmtId="3" fontId="11" fillId="3" borderId="11" xfId="0" applyNumberFormat="1" applyFont="1" applyFill="1" applyBorder="1" applyAlignment="1">
      <alignment horizontal="center" vertical="center"/>
    </xf>
    <xf numFmtId="3" fontId="22" fillId="3" borderId="8" xfId="0" applyNumberFormat="1" applyFont="1" applyFill="1" applyBorder="1" applyAlignment="1">
      <alignment horizontal="center" vertical="center"/>
    </xf>
    <xf numFmtId="9" fontId="22" fillId="3" borderId="7" xfId="39" applyFont="1" applyFill="1" applyBorder="1" applyAlignment="1">
      <alignment horizontal="center" vertical="center"/>
    </xf>
    <xf numFmtId="3" fontId="22" fillId="3" borderId="7" xfId="0" applyNumberFormat="1" applyFont="1" applyFill="1" applyBorder="1" applyAlignment="1">
      <alignment horizontal="center" vertical="center"/>
    </xf>
    <xf numFmtId="10" fontId="22" fillId="3" borderId="4" xfId="39" applyNumberFormat="1" applyFont="1" applyFill="1" applyBorder="1" applyAlignment="1">
      <alignment horizontal="center" vertical="center"/>
    </xf>
    <xf numFmtId="10" fontId="11" fillId="3" borderId="7" xfId="0" applyNumberFormat="1" applyFont="1" applyFill="1" applyBorder="1" applyAlignment="1">
      <alignment horizontal="center" vertical="center"/>
    </xf>
    <xf numFmtId="10" fontId="22" fillId="3" borderId="8" xfId="0" applyNumberFormat="1" applyFont="1" applyFill="1" applyBorder="1" applyAlignment="1">
      <alignment horizontal="center" vertical="center"/>
    </xf>
    <xf numFmtId="3" fontId="11" fillId="3" borderId="11" xfId="39" applyNumberFormat="1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10" fontId="22" fillId="3" borderId="8" xfId="39" applyNumberFormat="1" applyFont="1" applyFill="1" applyBorder="1" applyAlignment="1">
      <alignment horizontal="center" vertical="center"/>
    </xf>
    <xf numFmtId="10" fontId="11" fillId="3" borderId="11" xfId="39" applyNumberFormat="1" applyFont="1" applyFill="1" applyBorder="1" applyAlignment="1">
      <alignment horizontal="center" vertical="center"/>
    </xf>
    <xf numFmtId="10" fontId="19" fillId="0" borderId="0" xfId="39" applyNumberFormat="1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0" fontId="53" fillId="9" borderId="1" xfId="39" applyNumberFormat="1" applyFont="1" applyFill="1" applyBorder="1" applyAlignment="1">
      <alignment horizontal="center" vertical="center"/>
    </xf>
    <xf numFmtId="169" fontId="19" fillId="0" borderId="0" xfId="34" applyNumberFormat="1" applyFont="1" applyBorder="1" applyAlignment="1">
      <alignment horizontal="center" vertical="center"/>
    </xf>
    <xf numFmtId="9" fontId="19" fillId="0" borderId="1" xfId="0" applyNumberFormat="1" applyFont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 vertical="center"/>
    </xf>
    <xf numFmtId="1" fontId="21" fillId="4" borderId="7" xfId="0" applyNumberFormat="1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3" fontId="50" fillId="0" borderId="0" xfId="0" applyNumberFormat="1" applyFont="1" applyBorder="1" applyAlignment="1">
      <alignment horizontal="center" vertical="center"/>
    </xf>
    <xf numFmtId="10" fontId="19" fillId="0" borderId="1" xfId="39" applyNumberFormat="1" applyFont="1" applyBorder="1" applyAlignment="1">
      <alignment horizontal="center" vertical="center"/>
    </xf>
    <xf numFmtId="10" fontId="8" fillId="2" borderId="11" xfId="39" applyNumberFormat="1" applyFont="1" applyFill="1" applyBorder="1" applyAlignment="1">
      <alignment horizontal="center" vertical="center"/>
    </xf>
    <xf numFmtId="10" fontId="23" fillId="2" borderId="8" xfId="39" applyNumberFormat="1" applyFont="1" applyFill="1" applyBorder="1" applyAlignment="1">
      <alignment horizontal="center" vertical="center"/>
    </xf>
    <xf numFmtId="10" fontId="23" fillId="2" borderId="7" xfId="39" applyNumberFormat="1" applyFont="1" applyFill="1" applyBorder="1" applyAlignment="1">
      <alignment horizontal="center" vertical="center"/>
    </xf>
    <xf numFmtId="10" fontId="8" fillId="2" borderId="7" xfId="39" applyNumberFormat="1" applyFont="1" applyFill="1" applyBorder="1" applyAlignment="1">
      <alignment horizontal="center" vertical="center"/>
    </xf>
    <xf numFmtId="3" fontId="8" fillId="2" borderId="11" xfId="39" applyNumberFormat="1" applyFont="1" applyFill="1" applyBorder="1" applyAlignment="1">
      <alignment horizontal="center" vertical="center"/>
    </xf>
    <xf numFmtId="3" fontId="23" fillId="2" borderId="8" xfId="39" applyNumberFormat="1" applyFont="1" applyFill="1" applyBorder="1" applyAlignment="1">
      <alignment horizontal="center" vertical="center"/>
    </xf>
    <xf numFmtId="3" fontId="23" fillId="2" borderId="7" xfId="39" applyNumberFormat="1" applyFont="1" applyFill="1" applyBorder="1" applyAlignment="1">
      <alignment horizontal="center" vertical="center"/>
    </xf>
    <xf numFmtId="3" fontId="46" fillId="0" borderId="1" xfId="0" applyNumberFormat="1" applyFont="1" applyBorder="1" applyAlignment="1">
      <alignment horizontal="center" vertical="center"/>
    </xf>
    <xf numFmtId="3" fontId="3" fillId="3" borderId="11" xfId="0" applyNumberFormat="1" applyFont="1" applyFill="1" applyBorder="1" applyAlignment="1">
      <alignment horizontal="center" vertical="center"/>
    </xf>
    <xf numFmtId="3" fontId="19" fillId="3" borderId="8" xfId="0" applyNumberFormat="1" applyFont="1" applyFill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3" fontId="46" fillId="3" borderId="7" xfId="0" applyNumberFormat="1" applyFont="1" applyFill="1" applyBorder="1" applyAlignment="1">
      <alignment horizontal="center" vertical="center"/>
    </xf>
    <xf numFmtId="3" fontId="45" fillId="3" borderId="7" xfId="0" applyNumberFormat="1" applyFont="1" applyFill="1" applyBorder="1" applyAlignment="1">
      <alignment horizontal="center" vertical="center"/>
    </xf>
    <xf numFmtId="3" fontId="45" fillId="3" borderId="4" xfId="0" applyNumberFormat="1" applyFont="1" applyFill="1" applyBorder="1" applyAlignment="1">
      <alignment horizontal="center" vertical="center"/>
    </xf>
    <xf numFmtId="10" fontId="3" fillId="0" borderId="7" xfId="0" applyNumberFormat="1" applyFont="1" applyBorder="1" applyAlignment="1">
      <alignment horizontal="center" vertical="center"/>
    </xf>
    <xf numFmtId="10" fontId="29" fillId="0" borderId="8" xfId="0" applyNumberFormat="1" applyFont="1" applyBorder="1" applyAlignment="1">
      <alignment horizontal="center" vertical="center"/>
    </xf>
    <xf numFmtId="3" fontId="45" fillId="0" borderId="0" xfId="0" applyNumberFormat="1" applyFont="1" applyBorder="1" applyAlignment="1">
      <alignment horizontal="center" vertical="center"/>
    </xf>
    <xf numFmtId="3" fontId="45" fillId="0" borderId="1" xfId="0" applyNumberFormat="1" applyFont="1" applyBorder="1" applyAlignment="1">
      <alignment horizontal="center" vertical="center"/>
    </xf>
    <xf numFmtId="3" fontId="49" fillId="0" borderId="1" xfId="0" applyNumberFormat="1" applyFont="1" applyBorder="1" applyAlignment="1">
      <alignment horizontal="center" vertical="center"/>
    </xf>
    <xf numFmtId="3" fontId="49" fillId="0" borderId="0" xfId="0" applyNumberFormat="1" applyFont="1" applyBorder="1" applyAlignment="1">
      <alignment horizontal="center" vertical="center"/>
    </xf>
    <xf numFmtId="10" fontId="45" fillId="0" borderId="1" xfId="39" applyNumberFormat="1" applyFont="1" applyBorder="1" applyAlignment="1">
      <alignment horizontal="center" vertical="center"/>
    </xf>
    <xf numFmtId="10" fontId="21" fillId="4" borderId="4" xfId="39" applyNumberFormat="1" applyFont="1" applyFill="1" applyBorder="1" applyAlignment="1">
      <alignment horizontal="center" vertical="center"/>
    </xf>
    <xf numFmtId="3" fontId="81" fillId="42" borderId="0" xfId="0" applyNumberFormat="1" applyFont="1" applyFill="1" applyBorder="1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3" fontId="79" fillId="0" borderId="0" xfId="0" applyNumberFormat="1" applyFont="1" applyBorder="1" applyAlignment="1">
      <alignment horizontal="center" vertical="center"/>
    </xf>
    <xf numFmtId="9" fontId="49" fillId="0" borderId="1" xfId="39" applyFont="1" applyBorder="1" applyAlignment="1">
      <alignment horizontal="center" vertical="center"/>
    </xf>
    <xf numFmtId="3" fontId="21" fillId="4" borderId="11" xfId="0" applyNumberFormat="1" applyFont="1" applyFill="1" applyBorder="1" applyAlignment="1">
      <alignment horizontal="center" vertical="center"/>
    </xf>
    <xf numFmtId="3" fontId="7" fillId="5" borderId="11" xfId="0" applyNumberFormat="1" applyFont="1" applyFill="1" applyBorder="1" applyAlignment="1">
      <alignment horizontal="center" vertical="center"/>
    </xf>
    <xf numFmtId="3" fontId="24" fillId="5" borderId="8" xfId="0" applyNumberFormat="1" applyFont="1" applyFill="1" applyBorder="1" applyAlignment="1">
      <alignment horizontal="center" vertical="center"/>
    </xf>
    <xf numFmtId="3" fontId="24" fillId="5" borderId="7" xfId="0" applyNumberFormat="1" applyFont="1" applyFill="1" applyBorder="1" applyAlignment="1">
      <alignment horizontal="center" vertical="center"/>
    </xf>
    <xf numFmtId="10" fontId="24" fillId="5" borderId="4" xfId="39" applyNumberFormat="1" applyFont="1" applyFill="1" applyBorder="1" applyAlignment="1">
      <alignment horizontal="center" vertical="center"/>
    </xf>
    <xf numFmtId="10" fontId="7" fillId="5" borderId="7" xfId="0" applyNumberFormat="1" applyFont="1" applyFill="1" applyBorder="1" applyAlignment="1">
      <alignment horizontal="center" vertical="center"/>
    </xf>
    <xf numFmtId="10" fontId="24" fillId="5" borderId="8" xfId="0" applyNumberFormat="1" applyFont="1" applyFill="1" applyBorder="1" applyAlignment="1">
      <alignment horizontal="center" vertical="center"/>
    </xf>
    <xf numFmtId="3" fontId="8" fillId="2" borderId="11" xfId="0" applyNumberFormat="1" applyFont="1" applyFill="1" applyBorder="1" applyAlignment="1">
      <alignment horizontal="center" vertical="center"/>
    </xf>
    <xf numFmtId="3" fontId="23" fillId="2" borderId="8" xfId="0" applyNumberFormat="1" applyFont="1" applyFill="1" applyBorder="1" applyAlignment="1">
      <alignment horizontal="center" vertical="center"/>
    </xf>
    <xf numFmtId="3" fontId="23" fillId="2" borderId="7" xfId="0" applyNumberFormat="1" applyFont="1" applyFill="1" applyBorder="1" applyAlignment="1">
      <alignment horizontal="center" vertical="center"/>
    </xf>
    <xf numFmtId="10" fontId="8" fillId="2" borderId="7" xfId="0" applyNumberFormat="1" applyFont="1" applyFill="1" applyBorder="1" applyAlignment="1">
      <alignment horizontal="center" vertical="center"/>
    </xf>
    <xf numFmtId="10" fontId="23" fillId="2" borderId="8" xfId="0" applyNumberFormat="1" applyFont="1" applyFill="1" applyBorder="1" applyAlignment="1">
      <alignment horizontal="center" vertical="center"/>
    </xf>
    <xf numFmtId="3" fontId="4" fillId="5" borderId="11" xfId="0" applyNumberFormat="1" applyFont="1" applyFill="1" applyBorder="1" applyAlignment="1">
      <alignment horizontal="center" vertical="center"/>
    </xf>
    <xf numFmtId="3" fontId="20" fillId="5" borderId="8" xfId="0" applyNumberFormat="1" applyFont="1" applyFill="1" applyBorder="1" applyAlignment="1">
      <alignment horizontal="center" vertical="center"/>
    </xf>
    <xf numFmtId="3" fontId="20" fillId="5" borderId="11" xfId="0" applyNumberFormat="1" applyFont="1" applyFill="1" applyBorder="1" applyAlignment="1">
      <alignment horizontal="center" vertical="center"/>
    </xf>
    <xf numFmtId="3" fontId="20" fillId="5" borderId="7" xfId="0" applyNumberFormat="1" applyFont="1" applyFill="1" applyBorder="1" applyAlignment="1">
      <alignment horizontal="center" vertical="center"/>
    </xf>
    <xf numFmtId="10" fontId="20" fillId="5" borderId="4" xfId="39" applyNumberFormat="1" applyFont="1" applyFill="1" applyBorder="1" applyAlignment="1">
      <alignment horizontal="center" vertical="center"/>
    </xf>
    <xf numFmtId="3" fontId="11" fillId="5" borderId="11" xfId="0" applyNumberFormat="1" applyFont="1" applyFill="1" applyBorder="1" applyAlignment="1">
      <alignment horizontal="center" vertical="center"/>
    </xf>
    <xf numFmtId="3" fontId="22" fillId="5" borderId="8" xfId="0" applyNumberFormat="1" applyFont="1" applyFill="1" applyBorder="1" applyAlignment="1">
      <alignment horizontal="center" vertical="center"/>
    </xf>
    <xf numFmtId="3" fontId="22" fillId="5" borderId="7" xfId="0" applyNumberFormat="1" applyFont="1" applyFill="1" applyBorder="1" applyAlignment="1">
      <alignment horizontal="center" vertical="center"/>
    </xf>
    <xf numFmtId="10" fontId="22" fillId="5" borderId="4" xfId="39" applyNumberFormat="1" applyFont="1" applyFill="1" applyBorder="1" applyAlignment="1">
      <alignment horizontal="center" vertical="center"/>
    </xf>
    <xf numFmtId="3" fontId="3" fillId="7" borderId="0" xfId="0" applyNumberFormat="1" applyFont="1" applyFill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3" fontId="7" fillId="5" borderId="8" xfId="0" applyNumberFormat="1" applyFont="1" applyFill="1" applyBorder="1" applyAlignment="1">
      <alignment horizontal="center" vertical="center"/>
    </xf>
    <xf numFmtId="3" fontId="7" fillId="5" borderId="7" xfId="0" applyNumberFormat="1" applyFont="1" applyFill="1" applyBorder="1" applyAlignment="1">
      <alignment horizontal="center" vertical="center"/>
    </xf>
    <xf numFmtId="10" fontId="7" fillId="5" borderId="8" xfId="0" applyNumberFormat="1" applyFont="1" applyFill="1" applyBorder="1" applyAlignment="1">
      <alignment horizontal="center" vertical="center"/>
    </xf>
    <xf numFmtId="10" fontId="8" fillId="2" borderId="8" xfId="39" applyNumberFormat="1" applyFont="1" applyFill="1" applyBorder="1" applyAlignment="1">
      <alignment horizontal="center" vertical="center"/>
    </xf>
    <xf numFmtId="3" fontId="8" fillId="2" borderId="8" xfId="39" applyNumberFormat="1" applyFont="1" applyFill="1" applyBorder="1" applyAlignment="1">
      <alignment horizontal="center" vertical="center"/>
    </xf>
    <xf numFmtId="3" fontId="8" fillId="2" borderId="7" xfId="39" applyNumberFormat="1" applyFont="1" applyFill="1" applyBorder="1" applyAlignment="1">
      <alignment horizontal="center" vertical="center"/>
    </xf>
    <xf numFmtId="3" fontId="30" fillId="3" borderId="1" xfId="0" applyNumberFormat="1" applyFont="1" applyFill="1" applyBorder="1" applyAlignment="1">
      <alignment horizontal="center" vertical="center"/>
    </xf>
    <xf numFmtId="10" fontId="30" fillId="3" borderId="0" xfId="0" applyNumberFormat="1" applyFont="1" applyFill="1" applyBorder="1" applyAlignment="1">
      <alignment horizontal="center" vertical="center"/>
    </xf>
    <xf numFmtId="3" fontId="8" fillId="2" borderId="8" xfId="0" applyNumberFormat="1" applyFont="1" applyFill="1" applyBorder="1" applyAlignment="1">
      <alignment horizontal="center" vertical="center"/>
    </xf>
    <xf numFmtId="3" fontId="8" fillId="2" borderId="7" xfId="0" applyNumberFormat="1" applyFont="1" applyFill="1" applyBorder="1" applyAlignment="1">
      <alignment horizontal="center" vertical="center"/>
    </xf>
    <xf numFmtId="3" fontId="11" fillId="5" borderId="8" xfId="0" applyNumberFormat="1" applyFont="1" applyFill="1" applyBorder="1" applyAlignment="1">
      <alignment horizontal="center" vertical="center"/>
    </xf>
    <xf numFmtId="3" fontId="11" fillId="5" borderId="7" xfId="0" applyNumberFormat="1" applyFont="1" applyFill="1" applyBorder="1" applyAlignment="1">
      <alignment horizontal="center" vertical="center"/>
    </xf>
    <xf numFmtId="3" fontId="43" fillId="3" borderId="0" xfId="0" applyNumberFormat="1" applyFont="1" applyFill="1" applyBorder="1" applyAlignment="1">
      <alignment horizontal="center" vertical="center"/>
    </xf>
    <xf numFmtId="3" fontId="43" fillId="3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11" fillId="3" borderId="4" xfId="0" applyFont="1" applyFill="1" applyBorder="1" applyAlignment="1">
      <alignment horizontal="left" vertical="center"/>
    </xf>
    <xf numFmtId="0" fontId="7" fillId="5" borderId="1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10" fontId="22" fillId="3" borderId="4" xfId="39" applyNumberFormat="1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1" fillId="4" borderId="4" xfId="0" applyFont="1" applyFill="1" applyBorder="1" applyAlignment="1">
      <alignment vertical="center"/>
    </xf>
    <xf numFmtId="3" fontId="45" fillId="3" borderId="4" xfId="0" applyNumberFormat="1" applyFont="1" applyFill="1" applyBorder="1" applyAlignment="1">
      <alignment vertical="center"/>
    </xf>
    <xf numFmtId="10" fontId="21" fillId="4" borderId="4" xfId="39" applyNumberFormat="1" applyFont="1" applyFill="1" applyBorder="1" applyAlignment="1">
      <alignment vertical="center"/>
    </xf>
    <xf numFmtId="10" fontId="24" fillId="5" borderId="4" xfId="39" applyNumberFormat="1" applyFont="1" applyFill="1" applyBorder="1" applyAlignment="1">
      <alignment vertical="center"/>
    </xf>
    <xf numFmtId="10" fontId="20" fillId="5" borderId="4" xfId="39" applyNumberFormat="1" applyFont="1" applyFill="1" applyBorder="1" applyAlignment="1">
      <alignment vertical="center"/>
    </xf>
    <xf numFmtId="10" fontId="22" fillId="5" borderId="4" xfId="39" applyNumberFormat="1" applyFont="1" applyFill="1" applyBorder="1" applyAlignment="1">
      <alignment vertical="center"/>
    </xf>
    <xf numFmtId="10" fontId="58" fillId="42" borderId="4" xfId="39" applyNumberFormat="1" applyFont="1" applyFill="1" applyBorder="1" applyAlignment="1">
      <alignment horizontal="center" vertical="center"/>
    </xf>
    <xf numFmtId="0" fontId="84" fillId="42" borderId="4" xfId="0" applyFont="1" applyFill="1" applyBorder="1" applyAlignment="1">
      <alignment horizontal="center" vertical="center"/>
    </xf>
    <xf numFmtId="10" fontId="85" fillId="42" borderId="4" xfId="39" applyNumberFormat="1" applyFont="1" applyFill="1" applyBorder="1" applyAlignment="1">
      <alignment horizontal="center" vertical="center"/>
    </xf>
    <xf numFmtId="0" fontId="86" fillId="42" borderId="4" xfId="0" applyFont="1" applyFill="1" applyBorder="1" applyAlignment="1">
      <alignment horizontal="center" vertical="center"/>
    </xf>
    <xf numFmtId="9" fontId="19" fillId="0" borderId="4" xfId="39" applyFont="1" applyBorder="1"/>
    <xf numFmtId="10" fontId="19" fillId="0" borderId="4" xfId="39" applyNumberFormat="1" applyFont="1" applyBorder="1" applyAlignment="1"/>
    <xf numFmtId="3" fontId="46" fillId="3" borderId="4" xfId="0" applyNumberFormat="1" applyFont="1" applyFill="1" applyBorder="1"/>
    <xf numFmtId="10" fontId="49" fillId="0" borderId="4" xfId="39" applyNumberFormat="1" applyFont="1" applyBorder="1"/>
    <xf numFmtId="10" fontId="84" fillId="42" borderId="4" xfId="0" applyNumberFormat="1" applyFont="1" applyFill="1" applyBorder="1" applyAlignment="1">
      <alignment horizontal="center" vertical="center"/>
    </xf>
    <xf numFmtId="3" fontId="84" fillId="42" borderId="4" xfId="0" applyNumberFormat="1" applyFont="1" applyFill="1" applyBorder="1" applyAlignment="1">
      <alignment horizontal="center" vertical="center"/>
    </xf>
    <xf numFmtId="3" fontId="85" fillId="42" borderId="4" xfId="0" applyNumberFormat="1" applyFont="1" applyFill="1" applyBorder="1" applyAlignment="1">
      <alignment horizontal="center" vertical="center"/>
    </xf>
    <xf numFmtId="10" fontId="85" fillId="42" borderId="4" xfId="0" applyNumberFormat="1" applyFont="1" applyFill="1" applyBorder="1" applyAlignment="1">
      <alignment horizontal="center" vertical="center"/>
    </xf>
    <xf numFmtId="3" fontId="46" fillId="0" borderId="4" xfId="0" applyNumberFormat="1" applyFont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" fontId="53" fillId="9" borderId="4" xfId="0" applyNumberFormat="1" applyFont="1" applyFill="1" applyBorder="1" applyAlignment="1">
      <alignment horizontal="center" vertical="center"/>
    </xf>
    <xf numFmtId="9" fontId="53" fillId="9" borderId="4" xfId="39" applyFont="1" applyFill="1" applyBorder="1" applyAlignment="1">
      <alignment horizontal="center" vertical="center"/>
    </xf>
    <xf numFmtId="9" fontId="20" fillId="42" borderId="4" xfId="39" applyFont="1" applyFill="1" applyBorder="1" applyAlignment="1">
      <alignment horizontal="center" vertical="center"/>
    </xf>
    <xf numFmtId="9" fontId="19" fillId="10" borderId="4" xfId="0" applyNumberFormat="1" applyFont="1" applyFill="1" applyBorder="1" applyAlignment="1">
      <alignment horizontal="center" vertical="center"/>
    </xf>
    <xf numFmtId="3" fontId="22" fillId="3" borderId="4" xfId="0" applyNumberFormat="1" applyFont="1" applyFill="1" applyBorder="1" applyAlignment="1">
      <alignment horizontal="center" vertical="center"/>
    </xf>
    <xf numFmtId="9" fontId="22" fillId="3" borderId="4" xfId="39" applyFont="1" applyFill="1" applyBorder="1" applyAlignment="1">
      <alignment horizontal="center" vertical="center"/>
    </xf>
    <xf numFmtId="3" fontId="11" fillId="3" borderId="4" xfId="39" applyNumberFormat="1" applyFont="1" applyFill="1" applyBorder="1" applyAlignment="1">
      <alignment horizontal="center" vertical="center"/>
    </xf>
    <xf numFmtId="10" fontId="11" fillId="3" borderId="4" xfId="39" applyNumberFormat="1" applyFont="1" applyFill="1" applyBorder="1" applyAlignment="1">
      <alignment horizontal="center" vertical="center"/>
    </xf>
    <xf numFmtId="10" fontId="19" fillId="0" borderId="4" xfId="39" applyNumberFormat="1" applyFont="1" applyBorder="1" applyAlignment="1">
      <alignment horizontal="center" vertical="center"/>
    </xf>
    <xf numFmtId="1" fontId="19" fillId="0" borderId="4" xfId="0" applyNumberFormat="1" applyFont="1" applyBorder="1" applyAlignment="1">
      <alignment horizontal="center" vertical="center"/>
    </xf>
    <xf numFmtId="10" fontId="53" fillId="9" borderId="4" xfId="39" applyNumberFormat="1" applyFont="1" applyFill="1" applyBorder="1" applyAlignment="1">
      <alignment horizontal="center" vertical="center"/>
    </xf>
    <xf numFmtId="169" fontId="19" fillId="0" borderId="4" xfId="34" applyNumberFormat="1" applyFont="1" applyBorder="1" applyAlignment="1">
      <alignment horizontal="center" vertical="center"/>
    </xf>
    <xf numFmtId="9" fontId="19" fillId="0" borderId="4" xfId="0" applyNumberFormat="1" applyFont="1" applyBorder="1" applyAlignment="1">
      <alignment horizontal="center" vertical="center"/>
    </xf>
    <xf numFmtId="1" fontId="21" fillId="4" borderId="4" xfId="0" applyNumberFormat="1" applyFont="1" applyFill="1" applyBorder="1" applyAlignment="1">
      <alignment horizontal="center" vertical="center"/>
    </xf>
    <xf numFmtId="3" fontId="50" fillId="0" borderId="4" xfId="0" applyNumberFormat="1" applyFont="1" applyBorder="1" applyAlignment="1">
      <alignment horizontal="center" vertical="center"/>
    </xf>
    <xf numFmtId="3" fontId="46" fillId="3" borderId="4" xfId="0" applyNumberFormat="1" applyFont="1" applyFill="1" applyBorder="1" applyAlignment="1">
      <alignment horizontal="center" vertical="center"/>
    </xf>
    <xf numFmtId="3" fontId="45" fillId="0" borderId="4" xfId="0" applyNumberFormat="1" applyFont="1" applyBorder="1" applyAlignment="1">
      <alignment horizontal="center" vertical="center"/>
    </xf>
    <xf numFmtId="3" fontId="49" fillId="0" borderId="4" xfId="0" applyNumberFormat="1" applyFont="1" applyBorder="1" applyAlignment="1">
      <alignment horizontal="center" vertical="center"/>
    </xf>
    <xf numFmtId="10" fontId="45" fillId="0" borderId="4" xfId="39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79" fillId="0" borderId="4" xfId="0" applyNumberFormat="1" applyFont="1" applyBorder="1" applyAlignment="1">
      <alignment horizontal="center" vertical="center"/>
    </xf>
    <xf numFmtId="9" fontId="49" fillId="0" borderId="4" xfId="39" applyFont="1" applyBorder="1" applyAlignment="1">
      <alignment horizontal="center" vertical="center"/>
    </xf>
    <xf numFmtId="3" fontId="4" fillId="5" borderId="4" xfId="0" applyNumberFormat="1" applyFont="1" applyFill="1" applyBorder="1" applyAlignment="1">
      <alignment horizontal="center" vertical="center"/>
    </xf>
    <xf numFmtId="10" fontId="57" fillId="42" borderId="4" xfId="0" applyNumberFormat="1" applyFont="1" applyFill="1" applyBorder="1" applyAlignment="1">
      <alignment horizontal="center" vertical="center"/>
    </xf>
    <xf numFmtId="3" fontId="57" fillId="42" borderId="4" xfId="0" applyNumberFormat="1" applyFont="1" applyFill="1" applyBorder="1" applyAlignment="1">
      <alignment horizontal="center" vertical="center"/>
    </xf>
    <xf numFmtId="3" fontId="58" fillId="42" borderId="4" xfId="0" applyNumberFormat="1" applyFont="1" applyFill="1" applyBorder="1" applyAlignment="1">
      <alignment horizontal="center" vertical="center"/>
    </xf>
    <xf numFmtId="10" fontId="58" fillId="42" borderId="4" xfId="0" applyNumberFormat="1" applyFont="1" applyFill="1" applyBorder="1" applyAlignment="1">
      <alignment horizontal="center" vertical="center"/>
    </xf>
    <xf numFmtId="3" fontId="43" fillId="3" borderId="4" xfId="0" applyNumberFormat="1" applyFont="1" applyFill="1" applyBorder="1" applyAlignment="1">
      <alignment horizontal="center" vertical="center"/>
    </xf>
    <xf numFmtId="3" fontId="27" fillId="3" borderId="4" xfId="0" applyNumberFormat="1" applyFont="1" applyFill="1" applyBorder="1" applyAlignment="1">
      <alignment horizontal="center" vertical="center"/>
    </xf>
    <xf numFmtId="3" fontId="87" fillId="0" borderId="4" xfId="0" applyNumberFormat="1" applyFont="1" applyBorder="1"/>
    <xf numFmtId="3" fontId="48" fillId="0" borderId="4" xfId="0" applyNumberFormat="1" applyFont="1" applyBorder="1" applyAlignment="1">
      <alignment horizontal="center"/>
    </xf>
    <xf numFmtId="10" fontId="3" fillId="0" borderId="4" xfId="0" applyNumberFormat="1" applyFont="1" applyBorder="1" applyAlignment="1">
      <alignment horizontal="center"/>
    </xf>
    <xf numFmtId="10" fontId="29" fillId="0" borderId="4" xfId="0" applyNumberFormat="1" applyFont="1" applyBorder="1" applyAlignment="1">
      <alignment horizontal="center"/>
    </xf>
    <xf numFmtId="10" fontId="21" fillId="4" borderId="4" xfId="0" applyNumberFormat="1" applyFont="1" applyFill="1" applyBorder="1" applyAlignment="1">
      <alignment horizontal="center"/>
    </xf>
    <xf numFmtId="1" fontId="53" fillId="9" borderId="4" xfId="0" applyNumberFormat="1" applyFont="1" applyFill="1" applyBorder="1" applyAlignment="1">
      <alignment horizontal="center"/>
    </xf>
    <xf numFmtId="9" fontId="53" fillId="9" borderId="4" xfId="39" applyFont="1" applyFill="1" applyBorder="1" applyAlignment="1">
      <alignment horizontal="center"/>
    </xf>
    <xf numFmtId="9" fontId="19" fillId="0" borderId="4" xfId="39" applyFont="1" applyBorder="1" applyAlignment="1">
      <alignment horizontal="center"/>
    </xf>
    <xf numFmtId="9" fontId="19" fillId="10" borderId="4" xfId="0" applyNumberFormat="1" applyFont="1" applyFill="1" applyBorder="1" applyAlignment="1">
      <alignment horizontal="center"/>
    </xf>
    <xf numFmtId="3" fontId="22" fillId="3" borderId="4" xfId="0" applyNumberFormat="1" applyFont="1" applyFill="1" applyBorder="1" applyAlignment="1">
      <alignment horizontal="center"/>
    </xf>
    <xf numFmtId="10" fontId="22" fillId="3" borderId="4" xfId="0" applyNumberFormat="1" applyFont="1" applyFill="1" applyBorder="1" applyAlignment="1">
      <alignment horizontal="center"/>
    </xf>
    <xf numFmtId="3" fontId="11" fillId="3" borderId="4" xfId="39" applyNumberFormat="1" applyFont="1" applyFill="1" applyBorder="1" applyAlignment="1">
      <alignment horizontal="center"/>
    </xf>
    <xf numFmtId="10" fontId="11" fillId="3" borderId="4" xfId="39" applyNumberFormat="1" applyFont="1" applyFill="1" applyBorder="1" applyAlignment="1">
      <alignment horizontal="center"/>
    </xf>
    <xf numFmtId="1" fontId="19" fillId="0" borderId="4" xfId="0" applyNumberFormat="1" applyFont="1" applyBorder="1" applyAlignment="1">
      <alignment horizontal="center"/>
    </xf>
    <xf numFmtId="169" fontId="19" fillId="0" borderId="4" xfId="34" applyNumberFormat="1" applyFont="1" applyBorder="1" applyAlignment="1">
      <alignment horizontal="center"/>
    </xf>
    <xf numFmtId="9" fontId="19" fillId="0" borderId="4" xfId="0" applyNumberFormat="1" applyFont="1" applyBorder="1" applyAlignment="1">
      <alignment horizontal="center"/>
    </xf>
    <xf numFmtId="1" fontId="21" fillId="4" borderId="4" xfId="0" applyNumberFormat="1" applyFont="1" applyFill="1" applyBorder="1" applyAlignment="1">
      <alignment horizontal="center"/>
    </xf>
    <xf numFmtId="3" fontId="3" fillId="3" borderId="4" xfId="0" applyNumberFormat="1" applyFont="1" applyFill="1" applyBorder="1" applyAlignment="1">
      <alignment horizontal="center"/>
    </xf>
    <xf numFmtId="3" fontId="19" fillId="3" borderId="4" xfId="0" applyNumberFormat="1" applyFont="1" applyFill="1" applyBorder="1" applyAlignment="1">
      <alignment horizontal="center"/>
    </xf>
    <xf numFmtId="3" fontId="45" fillId="0" borderId="4" xfId="0" applyNumberFormat="1" applyFont="1" applyBorder="1" applyAlignment="1">
      <alignment horizontal="center"/>
    </xf>
    <xf numFmtId="10" fontId="45" fillId="0" borderId="4" xfId="39" applyNumberFormat="1" applyFont="1" applyBorder="1" applyAlignment="1">
      <alignment horizontal="center"/>
    </xf>
    <xf numFmtId="3" fontId="81" fillId="42" borderId="4" xfId="0" applyNumberFormat="1" applyFont="1" applyFill="1" applyBorder="1" applyAlignment="1">
      <alignment horizontal="center"/>
    </xf>
    <xf numFmtId="3" fontId="8" fillId="0" borderId="4" xfId="0" applyNumberFormat="1" applyFont="1" applyBorder="1" applyAlignment="1">
      <alignment horizontal="center"/>
    </xf>
    <xf numFmtId="9" fontId="49" fillId="0" borderId="4" xfId="39" applyFont="1" applyBorder="1" applyAlignment="1">
      <alignment horizontal="center"/>
    </xf>
    <xf numFmtId="10" fontId="24" fillId="5" borderId="4" xfId="0" applyNumberFormat="1" applyFont="1" applyFill="1" applyBorder="1" applyAlignment="1">
      <alignment horizontal="center"/>
    </xf>
    <xf numFmtId="10" fontId="23" fillId="2" borderId="4" xfId="0" applyNumberFormat="1" applyFont="1" applyFill="1" applyBorder="1" applyAlignment="1">
      <alignment horizontal="center"/>
    </xf>
    <xf numFmtId="3" fontId="43" fillId="3" borderId="4" xfId="0" applyNumberFormat="1" applyFont="1" applyFill="1" applyBorder="1" applyAlignment="1">
      <alignment horizontal="center"/>
    </xf>
    <xf numFmtId="0" fontId="19" fillId="0" borderId="4" xfId="0" applyFont="1" applyBorder="1" applyAlignment="1">
      <alignment vertical="center"/>
    </xf>
    <xf numFmtId="1" fontId="53" fillId="9" borderId="4" xfId="0" applyNumberFormat="1" applyFont="1" applyFill="1" applyBorder="1" applyAlignment="1">
      <alignment vertical="center"/>
    </xf>
    <xf numFmtId="9" fontId="53" fillId="9" borderId="4" xfId="39" applyFont="1" applyFill="1" applyBorder="1" applyAlignment="1">
      <alignment vertical="center"/>
    </xf>
    <xf numFmtId="9" fontId="19" fillId="0" borderId="4" xfId="39" applyFont="1" applyBorder="1" applyAlignment="1">
      <alignment horizontal="left" vertical="center"/>
    </xf>
    <xf numFmtId="9" fontId="19" fillId="10" borderId="4" xfId="0" applyNumberFormat="1" applyFont="1" applyFill="1" applyBorder="1" applyAlignment="1">
      <alignment vertical="center"/>
    </xf>
    <xf numFmtId="3" fontId="22" fillId="3" borderId="4" xfId="0" applyNumberFormat="1" applyFont="1" applyFill="1" applyBorder="1" applyAlignment="1">
      <alignment vertical="center"/>
    </xf>
    <xf numFmtId="10" fontId="11" fillId="3" borderId="4" xfId="0" applyNumberFormat="1" applyFont="1" applyFill="1" applyBorder="1" applyAlignment="1">
      <alignment horizontal="left" vertical="center"/>
    </xf>
    <xf numFmtId="3" fontId="11" fillId="3" borderId="4" xfId="39" applyNumberFormat="1" applyFont="1" applyFill="1" applyBorder="1" applyAlignment="1">
      <alignment vertical="center"/>
    </xf>
    <xf numFmtId="10" fontId="11" fillId="3" borderId="4" xfId="39" applyNumberFormat="1" applyFont="1" applyFill="1" applyBorder="1" applyAlignment="1">
      <alignment vertical="center"/>
    </xf>
    <xf numFmtId="10" fontId="19" fillId="0" borderId="4" xfId="39" applyNumberFormat="1" applyFont="1" applyBorder="1" applyAlignment="1">
      <alignment vertical="center"/>
    </xf>
    <xf numFmtId="1" fontId="19" fillId="0" borderId="4" xfId="0" applyNumberFormat="1" applyFont="1" applyBorder="1" applyAlignment="1">
      <alignment vertical="center"/>
    </xf>
    <xf numFmtId="169" fontId="19" fillId="0" borderId="4" xfId="34" applyNumberFormat="1" applyFont="1" applyBorder="1" applyAlignment="1">
      <alignment vertical="center"/>
    </xf>
    <xf numFmtId="9" fontId="19" fillId="0" borderId="4" xfId="0" applyNumberFormat="1" applyFont="1" applyBorder="1" applyAlignment="1">
      <alignment vertical="center"/>
    </xf>
    <xf numFmtId="1" fontId="21" fillId="4" borderId="4" xfId="0" applyNumberFormat="1" applyFont="1" applyFill="1" applyBorder="1" applyAlignment="1">
      <alignment vertical="center"/>
    </xf>
    <xf numFmtId="3" fontId="50" fillId="0" borderId="4" xfId="0" applyNumberFormat="1" applyFont="1" applyBorder="1" applyAlignment="1">
      <alignment vertical="center"/>
    </xf>
    <xf numFmtId="10" fontId="8" fillId="2" borderId="4" xfId="0" applyNumberFormat="1" applyFont="1" applyFill="1" applyBorder="1" applyAlignment="1">
      <alignment horizontal="left" vertical="center"/>
    </xf>
    <xf numFmtId="3" fontId="46" fillId="0" borderId="4" xfId="0" applyNumberFormat="1" applyFont="1" applyBorder="1" applyAlignment="1">
      <alignment vertical="center"/>
    </xf>
    <xf numFmtId="3" fontId="48" fillId="0" borderId="4" xfId="0" applyNumberFormat="1" applyFont="1" applyBorder="1" applyAlignment="1">
      <alignment vertical="center"/>
    </xf>
    <xf numFmtId="3" fontId="79" fillId="0" borderId="4" xfId="0" applyNumberFormat="1" applyFont="1" applyBorder="1" applyAlignment="1">
      <alignment vertical="center"/>
    </xf>
    <xf numFmtId="3" fontId="45" fillId="0" borderId="4" xfId="0" applyNumberFormat="1" applyFont="1" applyBorder="1" applyAlignment="1">
      <alignment vertical="center"/>
    </xf>
    <xf numFmtId="3" fontId="49" fillId="0" borderId="4" xfId="0" applyNumberFormat="1" applyFont="1" applyBorder="1" applyAlignment="1">
      <alignment vertical="center"/>
    </xf>
    <xf numFmtId="10" fontId="45" fillId="0" borderId="4" xfId="39" applyNumberFormat="1" applyFont="1" applyBorder="1" applyAlignment="1">
      <alignment vertical="center"/>
    </xf>
    <xf numFmtId="3" fontId="8" fillId="0" borderId="4" xfId="0" applyNumberFormat="1" applyFont="1" applyBorder="1" applyAlignment="1">
      <alignment vertical="center"/>
    </xf>
    <xf numFmtId="9" fontId="49" fillId="0" borderId="4" xfId="39" applyFont="1" applyBorder="1" applyAlignment="1">
      <alignment vertical="center"/>
    </xf>
    <xf numFmtId="3" fontId="4" fillId="5" borderId="4" xfId="0" applyNumberFormat="1" applyFont="1" applyFill="1" applyBorder="1" applyAlignment="1">
      <alignment vertical="center"/>
    </xf>
    <xf numFmtId="10" fontId="4" fillId="2" borderId="4" xfId="0" applyNumberFormat="1" applyFont="1" applyFill="1" applyBorder="1" applyAlignment="1">
      <alignment vertical="center"/>
    </xf>
    <xf numFmtId="3" fontId="43" fillId="3" borderId="4" xfId="0" applyNumberFormat="1" applyFont="1" applyFill="1" applyBorder="1" applyAlignment="1">
      <alignment vertical="center"/>
    </xf>
    <xf numFmtId="3" fontId="56" fillId="42" borderId="4" xfId="0" applyNumberFormat="1" applyFont="1" applyFill="1" applyBorder="1" applyAlignment="1">
      <alignment horizontal="center" vertical="center"/>
    </xf>
    <xf numFmtId="10" fontId="56" fillId="42" borderId="4" xfId="0" applyNumberFormat="1" applyFont="1" applyFill="1" applyBorder="1" applyAlignment="1">
      <alignment horizontal="center" vertical="center"/>
    </xf>
    <xf numFmtId="1" fontId="25" fillId="0" borderId="4" xfId="0" applyNumberFormat="1" applyFont="1" applyBorder="1"/>
    <xf numFmtId="3" fontId="30" fillId="0" borderId="4" xfId="0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3" fontId="3" fillId="0" borderId="2" xfId="0" applyNumberFormat="1" applyFont="1" applyBorder="1"/>
    <xf numFmtId="0" fontId="3" fillId="0" borderId="2" xfId="0" applyFont="1" applyBorder="1"/>
    <xf numFmtId="10" fontId="3" fillId="0" borderId="2" xfId="0" applyNumberFormat="1" applyFont="1" applyBorder="1"/>
    <xf numFmtId="3" fontId="4" fillId="2" borderId="3" xfId="0" applyNumberFormat="1" applyFont="1" applyFill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/>
    </xf>
    <xf numFmtId="3" fontId="29" fillId="0" borderId="4" xfId="0" applyNumberFormat="1" applyFont="1" applyBorder="1" applyAlignment="1">
      <alignment horizontal="center"/>
    </xf>
    <xf numFmtId="10" fontId="4" fillId="5" borderId="4" xfId="0" applyNumberFormat="1" applyFont="1" applyFill="1" applyBorder="1" applyAlignment="1">
      <alignment horizontal="center"/>
    </xf>
    <xf numFmtId="10" fontId="20" fillId="5" borderId="4" xfId="0" applyNumberFormat="1" applyFont="1" applyFill="1" applyBorder="1" applyAlignment="1">
      <alignment horizontal="center"/>
    </xf>
    <xf numFmtId="10" fontId="19" fillId="0" borderId="4" xfId="0" applyNumberFormat="1" applyFont="1" applyBorder="1" applyAlignment="1">
      <alignment horizontal="center"/>
    </xf>
    <xf numFmtId="9" fontId="8" fillId="2" borderId="4" xfId="39" applyNumberFormat="1" applyFont="1" applyFill="1" applyBorder="1" applyAlignment="1">
      <alignment horizontal="center"/>
    </xf>
    <xf numFmtId="3" fontId="30" fillId="0" borderId="4" xfId="0" applyNumberFormat="1" applyFont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17" fontId="4" fillId="2" borderId="1" xfId="0" applyNumberFormat="1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" fontId="59" fillId="0" borderId="0" xfId="0" applyNumberFormat="1" applyFont="1" applyAlignment="1">
      <alignment vertical="center"/>
    </xf>
    <xf numFmtId="10" fontId="82" fillId="42" borderId="4" xfId="0" applyNumberFormat="1" applyFont="1" applyFill="1" applyBorder="1" applyAlignment="1">
      <alignment horizontal="center" vertical="center"/>
    </xf>
    <xf numFmtId="3" fontId="83" fillId="42" borderId="4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/>
    </xf>
    <xf numFmtId="166" fontId="8" fillId="2" borderId="4" xfId="34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0" fontId="3" fillId="0" borderId="2" xfId="0" applyNumberFormat="1" applyFont="1" applyBorder="1" applyAlignment="1">
      <alignment horizontal="center"/>
    </xf>
    <xf numFmtId="1" fontId="27" fillId="0" borderId="4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4" fontId="3" fillId="0" borderId="4" xfId="0" applyNumberFormat="1" applyFont="1" applyBorder="1" applyAlignment="1">
      <alignment horizontal="center"/>
    </xf>
    <xf numFmtId="10" fontId="3" fillId="0" borderId="0" xfId="0" applyNumberFormat="1" applyFont="1" applyAlignment="1">
      <alignment horizontal="center"/>
    </xf>
    <xf numFmtId="3" fontId="4" fillId="4" borderId="4" xfId="0" applyNumberFormat="1" applyFont="1" applyFill="1" applyBorder="1" applyAlignment="1">
      <alignment horizontal="center"/>
    </xf>
    <xf numFmtId="10" fontId="83" fillId="42" borderId="4" xfId="0" applyNumberFormat="1" applyFont="1" applyFill="1" applyBorder="1" applyAlignment="1">
      <alignment horizontal="center" vertical="center"/>
    </xf>
    <xf numFmtId="3" fontId="19" fillId="0" borderId="2" xfId="0" applyNumberFormat="1" applyFont="1" applyBorder="1"/>
    <xf numFmtId="3" fontId="28" fillId="0" borderId="2" xfId="0" applyNumberFormat="1" applyFont="1" applyBorder="1"/>
    <xf numFmtId="10" fontId="29" fillId="0" borderId="2" xfId="0" applyNumberFormat="1" applyFont="1" applyBorder="1"/>
    <xf numFmtId="4" fontId="3" fillId="0" borderId="1" xfId="0" applyNumberFormat="1" applyFont="1" applyBorder="1"/>
    <xf numFmtId="0" fontId="5" fillId="2" borderId="13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wrapText="1"/>
    </xf>
    <xf numFmtId="10" fontId="4" fillId="2" borderId="1" xfId="0" applyNumberFormat="1" applyFont="1" applyFill="1" applyBorder="1" applyAlignment="1">
      <alignment horizontal="center" vertical="center" wrapText="1"/>
    </xf>
    <xf numFmtId="17" fontId="4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10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10" fontId="55" fillId="42" borderId="4" xfId="0" applyNumberFormat="1" applyFont="1" applyFill="1" applyBorder="1" applyAlignment="1">
      <alignment horizontal="center" vertical="center"/>
    </xf>
    <xf numFmtId="3" fontId="61" fillId="42" borderId="4" xfId="0" applyNumberFormat="1" applyFont="1" applyFill="1" applyBorder="1" applyAlignment="1">
      <alignment horizontal="center" vertical="center"/>
    </xf>
    <xf numFmtId="10" fontId="60" fillId="42" borderId="4" xfId="0" applyNumberFormat="1" applyFont="1" applyFill="1" applyBorder="1" applyAlignment="1">
      <alignment horizontal="center" vertical="center"/>
    </xf>
    <xf numFmtId="10" fontId="61" fillId="42" borderId="4" xfId="0" applyNumberFormat="1" applyFont="1" applyFill="1" applyBorder="1" applyAlignment="1">
      <alignment horizontal="center" vertical="center"/>
    </xf>
    <xf numFmtId="0" fontId="82" fillId="42" borderId="0" xfId="0" applyFont="1" applyFill="1" applyAlignment="1">
      <alignment vertical="center"/>
    </xf>
    <xf numFmtId="3" fontId="0" fillId="0" borderId="0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3" fontId="88" fillId="42" borderId="4" xfId="0" applyNumberFormat="1" applyFont="1" applyFill="1" applyBorder="1" applyAlignment="1">
      <alignment horizontal="center" vertical="center"/>
    </xf>
    <xf numFmtId="0" fontId="89" fillId="42" borderId="4" xfId="0" applyFont="1" applyFill="1" applyBorder="1" applyAlignment="1">
      <alignment horizontal="center" vertical="center"/>
    </xf>
    <xf numFmtId="3" fontId="90" fillId="42" borderId="4" xfId="0" applyNumberFormat="1" applyFont="1" applyFill="1" applyBorder="1" applyAlignment="1">
      <alignment horizontal="center" vertical="center"/>
    </xf>
    <xf numFmtId="1" fontId="19" fillId="0" borderId="4" xfId="34" applyNumberFormat="1" applyFont="1" applyBorder="1"/>
    <xf numFmtId="10" fontId="55" fillId="2" borderId="4" xfId="0" applyNumberFormat="1" applyFont="1" applyFill="1" applyBorder="1" applyAlignment="1">
      <alignment horizontal="center" vertical="center"/>
    </xf>
    <xf numFmtId="3" fontId="56" fillId="42" borderId="4" xfId="0" applyNumberFormat="1" applyFont="1" applyFill="1" applyBorder="1" applyAlignment="1">
      <alignment vertical="center"/>
    </xf>
    <xf numFmtId="1" fontId="54" fillId="9" borderId="4" xfId="0" applyNumberFormat="1" applyFont="1" applyFill="1" applyBorder="1"/>
    <xf numFmtId="9" fontId="7" fillId="5" borderId="4" xfId="39" applyFont="1" applyFill="1" applyBorder="1"/>
    <xf numFmtId="9" fontId="8" fillId="2" borderId="4" xfId="39" applyFont="1" applyFill="1" applyBorder="1"/>
    <xf numFmtId="9" fontId="23" fillId="2" borderId="4" xfId="39" applyFont="1" applyFill="1" applyBorder="1"/>
    <xf numFmtId="9" fontId="30" fillId="3" borderId="4" xfId="39" applyFont="1" applyFill="1" applyBorder="1"/>
    <xf numFmtId="3" fontId="27" fillId="3" borderId="4" xfId="0" applyNumberFormat="1" applyFont="1" applyFill="1" applyBorder="1"/>
    <xf numFmtId="10" fontId="4" fillId="2" borderId="10" xfId="39" applyNumberFormat="1" applyFont="1" applyFill="1" applyBorder="1" applyAlignment="1">
      <alignment horizontal="center"/>
    </xf>
    <xf numFmtId="9" fontId="19" fillId="10" borderId="4" xfId="0" quotePrefix="1" applyNumberFormat="1" applyFont="1" applyFill="1" applyBorder="1" applyAlignment="1">
      <alignment horizontal="center"/>
    </xf>
    <xf numFmtId="3" fontId="52" fillId="0" borderId="4" xfId="0" applyNumberFormat="1" applyFont="1" applyBorder="1" applyAlignment="1">
      <alignment horizontal="center"/>
    </xf>
    <xf numFmtId="10" fontId="49" fillId="0" borderId="4" xfId="39" applyNumberFormat="1" applyFont="1" applyBorder="1" applyAlignment="1">
      <alignment horizontal="center"/>
    </xf>
    <xf numFmtId="10" fontId="49" fillId="0" borderId="1" xfId="39" applyNumberFormat="1" applyFont="1" applyBorder="1" applyAlignment="1">
      <alignment horizontal="center" vertical="center"/>
    </xf>
    <xf numFmtId="10" fontId="49" fillId="0" borderId="4" xfId="39" applyNumberFormat="1" applyFont="1" applyBorder="1" applyAlignment="1">
      <alignment vertical="center"/>
    </xf>
    <xf numFmtId="10" fontId="49" fillId="0" borderId="4" xfId="39" applyNumberFormat="1" applyFont="1" applyBorder="1" applyAlignment="1">
      <alignment horizontal="center" vertical="center"/>
    </xf>
    <xf numFmtId="3" fontId="46" fillId="0" borderId="0" xfId="0" applyNumberFormat="1" applyFont="1" applyBorder="1" applyAlignment="1">
      <alignment horizontal="center"/>
    </xf>
    <xf numFmtId="9" fontId="19" fillId="0" borderId="4" xfId="39" applyFont="1" applyBorder="1" applyAlignment="1">
      <alignment horizontal="center" vertical="center"/>
    </xf>
    <xf numFmtId="10" fontId="87" fillId="42" borderId="4" xfId="39" applyNumberFormat="1" applyFont="1" applyFill="1" applyBorder="1"/>
    <xf numFmtId="3" fontId="23" fillId="42" borderId="4" xfId="0" applyNumberFormat="1" applyFont="1" applyFill="1" applyBorder="1" applyAlignment="1">
      <alignment horizontal="center"/>
    </xf>
    <xf numFmtId="1" fontId="48" fillId="0" borderId="4" xfId="0" applyNumberFormat="1" applyFont="1" applyBorder="1" applyAlignment="1">
      <alignment horizontal="center"/>
    </xf>
    <xf numFmtId="168" fontId="4" fillId="2" borderId="10" xfId="35" applyNumberFormat="1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0" fontId="79" fillId="0" borderId="0" xfId="0" applyFont="1" applyBorder="1"/>
    <xf numFmtId="3" fontId="91" fillId="3" borderId="0" xfId="0" applyNumberFormat="1" applyFont="1" applyFill="1" applyBorder="1"/>
    <xf numFmtId="3" fontId="3" fillId="2" borderId="6" xfId="0" applyNumberFormat="1" applyFont="1" applyFill="1" applyBorder="1" applyAlignment="1">
      <alignment horizontal="center"/>
    </xf>
    <xf numFmtId="3" fontId="87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10" fontId="29" fillId="0" borderId="0" xfId="0" applyNumberFormat="1" applyFont="1" applyBorder="1"/>
    <xf numFmtId="0" fontId="3" fillId="0" borderId="10" xfId="0" applyFont="1" applyBorder="1"/>
    <xf numFmtId="3" fontId="3" fillId="0" borderId="10" xfId="0" applyNumberFormat="1" applyFont="1" applyBorder="1"/>
    <xf numFmtId="3" fontId="3" fillId="0" borderId="6" xfId="0" applyNumberFormat="1" applyFont="1" applyBorder="1"/>
    <xf numFmtId="0" fontId="19" fillId="0" borderId="6" xfId="0" applyFont="1" applyBorder="1"/>
    <xf numFmtId="3" fontId="28" fillId="0" borderId="16" xfId="0" applyNumberFormat="1" applyFont="1" applyBorder="1"/>
    <xf numFmtId="10" fontId="3" fillId="0" borderId="6" xfId="0" applyNumberFormat="1" applyFont="1" applyBorder="1"/>
    <xf numFmtId="10" fontId="29" fillId="0" borderId="16" xfId="0" applyNumberFormat="1" applyFont="1" applyBorder="1"/>
    <xf numFmtId="0" fontId="19" fillId="0" borderId="16" xfId="0" applyFont="1" applyBorder="1"/>
    <xf numFmtId="10" fontId="29" fillId="0" borderId="1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10" fontId="3" fillId="0" borderId="0" xfId="39" applyNumberFormat="1" applyFont="1" applyBorder="1"/>
    <xf numFmtId="3" fontId="27" fillId="0" borderId="18" xfId="0" applyNumberFormat="1" applyFont="1" applyBorder="1"/>
    <xf numFmtId="10" fontId="19" fillId="0" borderId="18" xfId="0" applyNumberFormat="1" applyFont="1" applyBorder="1"/>
    <xf numFmtId="3" fontId="3" fillId="3" borderId="0" xfId="0" applyNumberFormat="1" applyFont="1" applyFill="1" applyBorder="1"/>
    <xf numFmtId="0" fontId="4" fillId="2" borderId="2" xfId="0" applyFont="1" applyFill="1" applyBorder="1"/>
    <xf numFmtId="0" fontId="30" fillId="3" borderId="1" xfId="0" applyFont="1" applyFill="1" applyBorder="1" applyAlignment="1">
      <alignment horizontal="center"/>
    </xf>
    <xf numFmtId="10" fontId="3" fillId="0" borderId="11" xfId="0" applyNumberFormat="1" applyFont="1" applyBorder="1"/>
    <xf numFmtId="10" fontId="3" fillId="0" borderId="8" xfId="0" applyNumberFormat="1" applyFont="1" applyBorder="1"/>
    <xf numFmtId="3" fontId="4" fillId="4" borderId="8" xfId="0" applyNumberFormat="1" applyFont="1" applyFill="1" applyBorder="1"/>
    <xf numFmtId="0" fontId="3" fillId="7" borderId="3" xfId="0" applyFont="1" applyFill="1" applyBorder="1"/>
    <xf numFmtId="3" fontId="3" fillId="7" borderId="13" xfId="0" applyNumberFormat="1" applyFont="1" applyFill="1" applyBorder="1"/>
    <xf numFmtId="3" fontId="3" fillId="7" borderId="18" xfId="0" applyNumberFormat="1" applyFont="1" applyFill="1" applyBorder="1"/>
    <xf numFmtId="3" fontId="3" fillId="7" borderId="14" xfId="0" applyNumberFormat="1" applyFont="1" applyFill="1" applyBorder="1"/>
    <xf numFmtId="3" fontId="3" fillId="7" borderId="3" xfId="0" applyNumberFormat="1" applyFont="1" applyFill="1" applyBorder="1"/>
    <xf numFmtId="0" fontId="3" fillId="7" borderId="2" xfId="0" applyFont="1" applyFill="1" applyBorder="1"/>
    <xf numFmtId="3" fontId="3" fillId="7" borderId="10" xfId="0" applyNumberFormat="1" applyFont="1" applyFill="1" applyBorder="1"/>
    <xf numFmtId="3" fontId="3" fillId="7" borderId="6" xfId="0" applyNumberFormat="1" applyFont="1" applyFill="1" applyBorder="1"/>
    <xf numFmtId="3" fontId="3" fillId="7" borderId="16" xfId="0" applyNumberFormat="1" applyFont="1" applyFill="1" applyBorder="1"/>
    <xf numFmtId="3" fontId="3" fillId="7" borderId="2" xfId="0" applyNumberFormat="1" applyFont="1" applyFill="1" applyBorder="1"/>
    <xf numFmtId="10" fontId="3" fillId="3" borderId="8" xfId="39" applyNumberFormat="1" applyFont="1" applyFill="1" applyBorder="1"/>
    <xf numFmtId="3" fontId="28" fillId="3" borderId="8" xfId="0" applyNumberFormat="1" applyFont="1" applyFill="1" applyBorder="1"/>
    <xf numFmtId="10" fontId="19" fillId="0" borderId="6" xfId="0" applyNumberFormat="1" applyFont="1" applyBorder="1"/>
    <xf numFmtId="10" fontId="19" fillId="0" borderId="16" xfId="0" applyNumberFormat="1" applyFont="1" applyBorder="1"/>
    <xf numFmtId="10" fontId="19" fillId="0" borderId="14" xfId="0" applyNumberFormat="1" applyFont="1" applyBorder="1"/>
    <xf numFmtId="10" fontId="9" fillId="4" borderId="11" xfId="0" applyNumberFormat="1" applyFont="1" applyFill="1" applyBorder="1"/>
    <xf numFmtId="10" fontId="11" fillId="3" borderId="11" xfId="0" applyNumberFormat="1" applyFont="1" applyFill="1" applyBorder="1"/>
    <xf numFmtId="10" fontId="19" fillId="0" borderId="8" xfId="0" applyNumberFormat="1" applyFont="1" applyBorder="1"/>
    <xf numFmtId="10" fontId="3" fillId="3" borderId="11" xfId="0" applyNumberFormat="1" applyFont="1" applyFill="1" applyBorder="1"/>
    <xf numFmtId="10" fontId="3" fillId="0" borderId="10" xfId="0" applyNumberFormat="1" applyFont="1" applyBorder="1"/>
    <xf numFmtId="3" fontId="3" fillId="0" borderId="1" xfId="0" applyNumberFormat="1" applyFont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3" fontId="16" fillId="3" borderId="0" xfId="0" applyNumberFormat="1" applyFont="1" applyFill="1" applyBorder="1"/>
    <xf numFmtId="0" fontId="19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3" fontId="19" fillId="0" borderId="2" xfId="0" applyNumberFormat="1" applyFont="1" applyBorder="1" applyAlignment="1">
      <alignment horizontal="center"/>
    </xf>
    <xf numFmtId="0" fontId="3" fillId="0" borderId="3" xfId="0" applyFont="1" applyFill="1" applyBorder="1"/>
    <xf numFmtId="3" fontId="33" fillId="0" borderId="3" xfId="0" applyNumberFormat="1" applyFon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3" fillId="7" borderId="1" xfId="0" applyFont="1" applyFill="1" applyBorder="1"/>
    <xf numFmtId="3" fontId="3" fillId="7" borderId="1" xfId="0" applyNumberFormat="1" applyFont="1" applyFill="1" applyBorder="1" applyAlignment="1">
      <alignment horizontal="center"/>
    </xf>
    <xf numFmtId="3" fontId="30" fillId="3" borderId="1" xfId="0" applyNumberFormat="1" applyFont="1" applyFill="1" applyBorder="1" applyAlignment="1">
      <alignment horizontal="center"/>
    </xf>
    <xf numFmtId="0" fontId="0" fillId="3" borderId="0" xfId="0" applyFill="1" applyBorder="1"/>
    <xf numFmtId="3" fontId="30" fillId="0" borderId="1" xfId="0" applyNumberFormat="1" applyFont="1" applyBorder="1" applyAlignment="1">
      <alignment horizontal="center"/>
    </xf>
    <xf numFmtId="0" fontId="18" fillId="0" borderId="0" xfId="0" applyFont="1" applyBorder="1"/>
    <xf numFmtId="3" fontId="3" fillId="0" borderId="9" xfId="0" applyNumberFormat="1" applyFont="1" applyBorder="1" applyAlignment="1">
      <alignment horizontal="center"/>
    </xf>
    <xf numFmtId="3" fontId="3" fillId="0" borderId="15" xfId="0" applyNumberFormat="1" applyFont="1" applyBorder="1" applyAlignment="1">
      <alignment horizontal="center"/>
    </xf>
    <xf numFmtId="3" fontId="9" fillId="4" borderId="11" xfId="0" applyNumberFormat="1" applyFont="1" applyFill="1" applyBorder="1" applyAlignment="1">
      <alignment horizontal="center"/>
    </xf>
    <xf numFmtId="3" fontId="9" fillId="4" borderId="7" xfId="0" applyNumberFormat="1" applyFont="1" applyFill="1" applyBorder="1" applyAlignment="1">
      <alignment horizontal="center"/>
    </xf>
    <xf numFmtId="3" fontId="9" fillId="4" borderId="8" xfId="0" applyNumberFormat="1" applyFont="1" applyFill="1" applyBorder="1" applyAlignment="1">
      <alignment horizontal="center"/>
    </xf>
    <xf numFmtId="3" fontId="11" fillId="3" borderId="11" xfId="0" applyNumberFormat="1" applyFont="1" applyFill="1" applyBorder="1" applyAlignment="1">
      <alignment horizontal="center"/>
    </xf>
    <xf numFmtId="3" fontId="11" fillId="3" borderId="7" xfId="0" applyNumberFormat="1" applyFont="1" applyFill="1" applyBorder="1" applyAlignment="1">
      <alignment horizontal="center"/>
    </xf>
    <xf numFmtId="3" fontId="11" fillId="3" borderId="8" xfId="0" applyNumberFormat="1" applyFont="1" applyFill="1" applyBorder="1" applyAlignment="1">
      <alignment horizontal="center"/>
    </xf>
    <xf numFmtId="3" fontId="11" fillId="3" borderId="11" xfId="39" applyNumberFormat="1" applyFont="1" applyFill="1" applyBorder="1" applyAlignment="1">
      <alignment horizontal="center"/>
    </xf>
    <xf numFmtId="3" fontId="11" fillId="3" borderId="7" xfId="39" applyNumberFormat="1" applyFont="1" applyFill="1" applyBorder="1" applyAlignment="1">
      <alignment horizontal="center"/>
    </xf>
    <xf numFmtId="3" fontId="11" fillId="3" borderId="8" xfId="39" applyNumberFormat="1" applyFont="1" applyFill="1" applyBorder="1" applyAlignment="1">
      <alignment horizontal="center"/>
    </xf>
    <xf numFmtId="10" fontId="11" fillId="3" borderId="11" xfId="39" applyNumberFormat="1" applyFont="1" applyFill="1" applyBorder="1" applyAlignment="1">
      <alignment horizontal="center"/>
    </xf>
    <xf numFmtId="10" fontId="11" fillId="3" borderId="7" xfId="39" applyNumberFormat="1" applyFont="1" applyFill="1" applyBorder="1" applyAlignment="1">
      <alignment horizontal="center"/>
    </xf>
    <xf numFmtId="10" fontId="11" fillId="3" borderId="8" xfId="39" applyNumberFormat="1" applyFont="1" applyFill="1" applyBorder="1" applyAlignment="1">
      <alignment horizontal="center"/>
    </xf>
    <xf numFmtId="10" fontId="8" fillId="2" borderId="7" xfId="0" applyNumberFormat="1" applyFont="1" applyFill="1" applyBorder="1" applyAlignment="1">
      <alignment horizontal="center"/>
    </xf>
    <xf numFmtId="10" fontId="8" fillId="2" borderId="8" xfId="0" applyNumberFormat="1" applyFont="1" applyFill="1" applyBorder="1" applyAlignment="1">
      <alignment horizontal="center"/>
    </xf>
    <xf numFmtId="10" fontId="3" fillId="0" borderId="11" xfId="0" applyNumberFormat="1" applyFont="1" applyBorder="1" applyAlignment="1">
      <alignment horizontal="center"/>
    </xf>
    <xf numFmtId="10" fontId="3" fillId="0" borderId="7" xfId="0" applyNumberFormat="1" applyFont="1" applyBorder="1" applyAlignment="1">
      <alignment horizontal="center"/>
    </xf>
    <xf numFmtId="10" fontId="3" fillId="0" borderId="8" xfId="0" applyNumberFormat="1" applyFont="1" applyBorder="1" applyAlignment="1">
      <alignment horizontal="center"/>
    </xf>
    <xf numFmtId="3" fontId="8" fillId="2" borderId="11" xfId="39" applyNumberFormat="1" applyFont="1" applyFill="1" applyBorder="1" applyAlignment="1">
      <alignment horizontal="center"/>
    </xf>
    <xf numFmtId="3" fontId="8" fillId="2" borderId="7" xfId="39" applyNumberFormat="1" applyFont="1" applyFill="1" applyBorder="1" applyAlignment="1">
      <alignment horizontal="center"/>
    </xf>
    <xf numFmtId="3" fontId="8" fillId="2" borderId="8" xfId="39" applyNumberFormat="1" applyFont="1" applyFill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3" fontId="3" fillId="3" borderId="7" xfId="0" applyNumberFormat="1" applyFont="1" applyFill="1" applyBorder="1" applyAlignment="1">
      <alignment horizontal="center"/>
    </xf>
    <xf numFmtId="3" fontId="3" fillId="3" borderId="8" xfId="0" applyNumberFormat="1" applyFont="1" applyFill="1" applyBorder="1" applyAlignment="1">
      <alignment horizontal="center"/>
    </xf>
    <xf numFmtId="4" fontId="3" fillId="0" borderId="9" xfId="0" applyNumberFormat="1" applyFont="1" applyBorder="1" applyAlignment="1">
      <alignment horizontal="center"/>
    </xf>
    <xf numFmtId="4" fontId="3" fillId="0" borderId="0" xfId="0" applyNumberFormat="1" applyFont="1" applyBorder="1" applyAlignment="1">
      <alignment horizontal="center"/>
    </xf>
    <xf numFmtId="4" fontId="3" fillId="0" borderId="10" xfId="0" applyNumberFormat="1" applyFont="1" applyBorder="1" applyAlignment="1">
      <alignment horizontal="center"/>
    </xf>
    <xf numFmtId="4" fontId="3" fillId="0" borderId="6" xfId="0" applyNumberFormat="1" applyFont="1" applyBorder="1" applyAlignment="1">
      <alignment horizontal="center"/>
    </xf>
    <xf numFmtId="3" fontId="3" fillId="0" borderId="16" xfId="0" applyNumberFormat="1" applyFont="1" applyBorder="1" applyAlignment="1">
      <alignment horizontal="center"/>
    </xf>
    <xf numFmtId="3" fontId="7" fillId="5" borderId="11" xfId="0" applyNumberFormat="1" applyFont="1" applyFill="1" applyBorder="1" applyAlignment="1">
      <alignment horizontal="center"/>
    </xf>
    <xf numFmtId="3" fontId="7" fillId="5" borderId="7" xfId="0" applyNumberFormat="1" applyFont="1" applyFill="1" applyBorder="1" applyAlignment="1">
      <alignment horizontal="center"/>
    </xf>
    <xf numFmtId="3" fontId="7" fillId="5" borderId="8" xfId="0" applyNumberFormat="1" applyFont="1" applyFill="1" applyBorder="1" applyAlignment="1">
      <alignment horizontal="center"/>
    </xf>
    <xf numFmtId="3" fontId="8" fillId="2" borderId="11" xfId="0" applyNumberFormat="1" applyFont="1" applyFill="1" applyBorder="1" applyAlignment="1">
      <alignment horizontal="center"/>
    </xf>
    <xf numFmtId="3" fontId="8" fillId="2" borderId="7" xfId="0" applyNumberFormat="1" applyFont="1" applyFill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3" fillId="5" borderId="11" xfId="0" applyNumberFormat="1" applyFont="1" applyFill="1" applyBorder="1" applyAlignment="1">
      <alignment horizontal="center"/>
    </xf>
    <xf numFmtId="3" fontId="3" fillId="5" borderId="7" xfId="0" applyNumberFormat="1" applyFont="1" applyFill="1" applyBorder="1" applyAlignment="1">
      <alignment horizontal="center"/>
    </xf>
    <xf numFmtId="3" fontId="3" fillId="5" borderId="8" xfId="0" applyNumberFormat="1" applyFont="1" applyFill="1" applyBorder="1" applyAlignment="1">
      <alignment horizontal="center"/>
    </xf>
    <xf numFmtId="3" fontId="11" fillId="5" borderId="11" xfId="0" applyNumberFormat="1" applyFont="1" applyFill="1" applyBorder="1" applyAlignment="1">
      <alignment horizontal="center"/>
    </xf>
    <xf numFmtId="3" fontId="11" fillId="5" borderId="7" xfId="0" applyNumberFormat="1" applyFont="1" applyFill="1" applyBorder="1" applyAlignment="1">
      <alignment horizontal="center"/>
    </xf>
    <xf numFmtId="3" fontId="11" fillId="5" borderId="8" xfId="0" applyNumberFormat="1" applyFont="1" applyFill="1" applyBorder="1" applyAlignment="1">
      <alignment horizontal="center"/>
    </xf>
    <xf numFmtId="3" fontId="86" fillId="42" borderId="11" xfId="0" applyNumberFormat="1" applyFont="1" applyFill="1" applyBorder="1" applyAlignment="1">
      <alignment horizontal="center" vertical="center"/>
    </xf>
    <xf numFmtId="3" fontId="86" fillId="42" borderId="7" xfId="0" applyNumberFormat="1" applyFont="1" applyFill="1" applyBorder="1" applyAlignment="1">
      <alignment horizontal="center" vertical="center"/>
    </xf>
    <xf numFmtId="3" fontId="86" fillId="42" borderId="8" xfId="0" applyNumberFormat="1" applyFont="1" applyFill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4" xfId="0" applyNumberFormat="1" applyFont="1" applyBorder="1" applyAlignment="1">
      <alignment horizontal="center"/>
    </xf>
    <xf numFmtId="3" fontId="43" fillId="0" borderId="0" xfId="0" applyNumberFormat="1" applyFont="1" applyBorder="1" applyAlignment="1">
      <alignment horizontal="center"/>
    </xf>
    <xf numFmtId="3" fontId="3" fillId="7" borderId="9" xfId="0" applyNumberFormat="1" applyFont="1" applyFill="1" applyBorder="1" applyAlignment="1">
      <alignment horizontal="center"/>
    </xf>
    <xf numFmtId="3" fontId="3" fillId="7" borderId="0" xfId="0" applyNumberFormat="1" applyFont="1" applyFill="1" applyBorder="1" applyAlignment="1">
      <alignment horizontal="center"/>
    </xf>
    <xf numFmtId="3" fontId="3" fillId="7" borderId="1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10" fontId="8" fillId="2" borderId="11" xfId="39" applyNumberFormat="1" applyFont="1" applyFill="1" applyBorder="1" applyAlignment="1">
      <alignment horizontal="center"/>
    </xf>
    <xf numFmtId="10" fontId="8" fillId="2" borderId="7" xfId="39" applyNumberFormat="1" applyFont="1" applyFill="1" applyBorder="1" applyAlignment="1">
      <alignment horizontal="center"/>
    </xf>
    <xf numFmtId="10" fontId="8" fillId="2" borderId="8" xfId="39" applyNumberFormat="1" applyFont="1" applyFill="1" applyBorder="1" applyAlignment="1">
      <alignment horizontal="center"/>
    </xf>
    <xf numFmtId="3" fontId="30" fillId="3" borderId="9" xfId="0" applyNumberFormat="1" applyFont="1" applyFill="1" applyBorder="1" applyAlignment="1">
      <alignment horizontal="center"/>
    </xf>
    <xf numFmtId="3" fontId="30" fillId="3" borderId="0" xfId="0" applyNumberFormat="1" applyFont="1" applyFill="1" applyBorder="1" applyAlignment="1">
      <alignment horizontal="center"/>
    </xf>
    <xf numFmtId="3" fontId="30" fillId="3" borderId="15" xfId="0" applyNumberFormat="1" applyFont="1" applyFill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12" fillId="0" borderId="0" xfId="33" applyNumberFormat="1" applyBorder="1" applyAlignment="1" applyProtection="1">
      <alignment horizontal="center"/>
    </xf>
    <xf numFmtId="3" fontId="19" fillId="0" borderId="0" xfId="0" applyNumberFormat="1" applyFont="1" applyBorder="1" applyAlignment="1">
      <alignment horizontal="center"/>
    </xf>
    <xf numFmtId="3" fontId="28" fillId="0" borderId="15" xfId="0" applyNumberFormat="1" applyFont="1" applyBorder="1" applyAlignment="1">
      <alignment horizontal="center"/>
    </xf>
    <xf numFmtId="3" fontId="21" fillId="4" borderId="7" xfId="0" applyNumberFormat="1" applyFont="1" applyFill="1" applyBorder="1" applyAlignment="1">
      <alignment horizontal="center"/>
    </xf>
    <xf numFmtId="3" fontId="21" fillId="4" borderId="8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2" fillId="3" borderId="7" xfId="0" applyFont="1" applyFill="1" applyBorder="1" applyAlignment="1">
      <alignment horizontal="center"/>
    </xf>
    <xf numFmtId="10" fontId="3" fillId="0" borderId="11" xfId="39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23" fillId="2" borderId="7" xfId="39" applyNumberFormat="1" applyFont="1" applyFill="1" applyBorder="1" applyAlignment="1">
      <alignment horizontal="center"/>
    </xf>
    <xf numFmtId="3" fontId="23" fillId="2" borderId="8" xfId="39" applyNumberFormat="1" applyFont="1" applyFill="1" applyBorder="1" applyAlignment="1">
      <alignment horizontal="center"/>
    </xf>
    <xf numFmtId="3" fontId="19" fillId="0" borderId="9" xfId="0" applyNumberFormat="1" applyFont="1" applyBorder="1" applyAlignment="1">
      <alignment horizontal="center"/>
    </xf>
    <xf numFmtId="3" fontId="19" fillId="3" borderId="11" xfId="0" applyNumberFormat="1" applyFont="1" applyFill="1" applyBorder="1" applyAlignment="1">
      <alignment horizontal="center"/>
    </xf>
    <xf numFmtId="3" fontId="19" fillId="3" borderId="7" xfId="0" applyNumberFormat="1" applyFont="1" applyFill="1" applyBorder="1" applyAlignment="1">
      <alignment horizontal="center"/>
    </xf>
    <xf numFmtId="3" fontId="28" fillId="0" borderId="8" xfId="0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6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3" fontId="21" fillId="4" borderId="11" xfId="0" applyNumberFormat="1" applyFont="1" applyFill="1" applyBorder="1" applyAlignment="1">
      <alignment horizontal="center"/>
    </xf>
    <xf numFmtId="3" fontId="24" fillId="5" borderId="11" xfId="0" applyNumberFormat="1" applyFont="1" applyFill="1" applyBorder="1" applyAlignment="1">
      <alignment horizontal="center"/>
    </xf>
    <xf numFmtId="3" fontId="24" fillId="5" borderId="7" xfId="0" applyNumberFormat="1" applyFont="1" applyFill="1" applyBorder="1" applyAlignment="1">
      <alignment horizontal="center"/>
    </xf>
    <xf numFmtId="3" fontId="23" fillId="2" borderId="11" xfId="0" applyNumberFormat="1" applyFont="1" applyFill="1" applyBorder="1" applyAlignment="1">
      <alignment horizontal="center"/>
    </xf>
    <xf numFmtId="3" fontId="23" fillId="2" borderId="7" xfId="0" applyNumberFormat="1" applyFont="1" applyFill="1" applyBorder="1" applyAlignment="1">
      <alignment horizontal="center"/>
    </xf>
    <xf numFmtId="3" fontId="20" fillId="5" borderId="11" xfId="0" applyNumberFormat="1" applyFont="1" applyFill="1" applyBorder="1" applyAlignment="1">
      <alignment horizontal="center"/>
    </xf>
    <xf numFmtId="3" fontId="20" fillId="5" borderId="7" xfId="0" applyNumberFormat="1" applyFont="1" applyFill="1" applyBorder="1" applyAlignment="1">
      <alignment horizontal="center"/>
    </xf>
    <xf numFmtId="3" fontId="20" fillId="5" borderId="8" xfId="0" applyNumberFormat="1" applyFont="1" applyFill="1" applyBorder="1" applyAlignment="1">
      <alignment horizontal="center"/>
    </xf>
    <xf numFmtId="3" fontId="22" fillId="5" borderId="11" xfId="0" applyNumberFormat="1" applyFont="1" applyFill="1" applyBorder="1" applyAlignment="1">
      <alignment horizontal="center"/>
    </xf>
    <xf numFmtId="3" fontId="22" fillId="5" borderId="7" xfId="0" applyNumberFormat="1" applyFont="1" applyFill="1" applyBorder="1" applyAlignment="1">
      <alignment horizontal="center"/>
    </xf>
    <xf numFmtId="3" fontId="88" fillId="42" borderId="11" xfId="0" applyNumberFormat="1" applyFont="1" applyFill="1" applyBorder="1" applyAlignment="1">
      <alignment horizontal="center" vertical="center"/>
    </xf>
    <xf numFmtId="3" fontId="88" fillId="42" borderId="7" xfId="0" applyNumberFormat="1" applyFont="1" applyFill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/>
    </xf>
    <xf numFmtId="3" fontId="19" fillId="0" borderId="18" xfId="0" applyNumberFormat="1" applyFont="1" applyBorder="1" applyAlignment="1">
      <alignment horizontal="center"/>
    </xf>
    <xf numFmtId="3" fontId="19" fillId="0" borderId="14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30" fillId="0" borderId="15" xfId="0" applyNumberFormat="1" applyFont="1" applyBorder="1" applyAlignment="1">
      <alignment horizontal="center"/>
    </xf>
    <xf numFmtId="3" fontId="3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10" fontId="19" fillId="0" borderId="0" xfId="0" applyNumberFormat="1" applyFont="1" applyBorder="1" applyAlignment="1">
      <alignment horizontal="center"/>
    </xf>
    <xf numFmtId="10" fontId="3" fillId="0" borderId="9" xfId="0" applyNumberFormat="1" applyFont="1" applyBorder="1" applyAlignment="1">
      <alignment horizontal="center"/>
    </xf>
    <xf numFmtId="10" fontId="29" fillId="0" borderId="15" xfId="0" applyNumberFormat="1" applyFont="1" applyBorder="1" applyAlignment="1">
      <alignment horizontal="center"/>
    </xf>
    <xf numFmtId="10" fontId="21" fillId="4" borderId="8" xfId="0" applyNumberFormat="1" applyFont="1" applyFill="1" applyBorder="1" applyAlignment="1">
      <alignment horizontal="center"/>
    </xf>
    <xf numFmtId="10" fontId="22" fillId="3" borderId="8" xfId="0" applyNumberFormat="1" applyFont="1" applyFill="1" applyBorder="1" applyAlignment="1">
      <alignment horizontal="center"/>
    </xf>
    <xf numFmtId="10" fontId="22" fillId="3" borderId="8" xfId="39" applyNumberFormat="1" applyFont="1" applyFill="1" applyBorder="1" applyAlignment="1">
      <alignment horizontal="center"/>
    </xf>
    <xf numFmtId="10" fontId="23" fillId="2" borderId="8" xfId="39" applyNumberFormat="1" applyFont="1" applyFill="1" applyBorder="1" applyAlignment="1">
      <alignment horizontal="center"/>
    </xf>
    <xf numFmtId="10" fontId="19" fillId="0" borderId="8" xfId="0" applyNumberFormat="1" applyFont="1" applyBorder="1" applyAlignment="1">
      <alignment horizontal="center"/>
    </xf>
    <xf numFmtId="10" fontId="29" fillId="0" borderId="8" xfId="0" applyNumberFormat="1" applyFont="1" applyBorder="1" applyAlignment="1">
      <alignment horizontal="center"/>
    </xf>
    <xf numFmtId="10" fontId="3" fillId="0" borderId="10" xfId="0" applyNumberFormat="1" applyFont="1" applyBorder="1" applyAlignment="1">
      <alignment horizontal="center"/>
    </xf>
    <xf numFmtId="10" fontId="29" fillId="0" borderId="16" xfId="0" applyNumberFormat="1" applyFont="1" applyBorder="1" applyAlignment="1">
      <alignment horizontal="center"/>
    </xf>
    <xf numFmtId="10" fontId="24" fillId="5" borderId="8" xfId="0" applyNumberFormat="1" applyFont="1" applyFill="1" applyBorder="1" applyAlignment="1">
      <alignment horizontal="center"/>
    </xf>
    <xf numFmtId="10" fontId="23" fillId="2" borderId="8" xfId="0" applyNumberFormat="1" applyFont="1" applyFill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10" fontId="20" fillId="5" borderId="8" xfId="0" applyNumberFormat="1" applyFont="1" applyFill="1" applyBorder="1" applyAlignment="1">
      <alignment horizontal="center"/>
    </xf>
    <xf numFmtId="10" fontId="86" fillId="42" borderId="11" xfId="0" applyNumberFormat="1" applyFont="1" applyFill="1" applyBorder="1" applyAlignment="1">
      <alignment horizontal="center" vertical="center"/>
    </xf>
    <xf numFmtId="9" fontId="88" fillId="42" borderId="8" xfId="0" applyNumberFormat="1" applyFont="1" applyFill="1" applyBorder="1" applyAlignment="1">
      <alignment horizontal="center" vertical="center"/>
    </xf>
    <xf numFmtId="10" fontId="19" fillId="0" borderId="13" xfId="0" applyNumberFormat="1" applyFont="1" applyBorder="1" applyAlignment="1">
      <alignment horizontal="center"/>
    </xf>
    <xf numFmtId="10" fontId="19" fillId="0" borderId="14" xfId="0" applyNumberFormat="1" applyFont="1" applyBorder="1" applyAlignment="1">
      <alignment horizontal="center"/>
    </xf>
    <xf numFmtId="10" fontId="19" fillId="0" borderId="9" xfId="0" applyNumberFormat="1" applyFont="1" applyBorder="1" applyAlignment="1">
      <alignment horizontal="center"/>
    </xf>
    <xf numFmtId="10" fontId="19" fillId="0" borderId="15" xfId="0" applyNumberFormat="1" applyFont="1" applyBorder="1" applyAlignment="1">
      <alignment horizontal="center"/>
    </xf>
    <xf numFmtId="10" fontId="7" fillId="5" borderId="8" xfId="0" applyNumberFormat="1" applyFont="1" applyFill="1" applyBorder="1" applyAlignment="1">
      <alignment horizontal="center"/>
    </xf>
    <xf numFmtId="10" fontId="30" fillId="3" borderId="9" xfId="0" applyNumberFormat="1" applyFont="1" applyFill="1" applyBorder="1" applyAlignment="1">
      <alignment horizontal="center"/>
    </xf>
    <xf numFmtId="10" fontId="30" fillId="3" borderId="15" xfId="0" applyNumberFormat="1" applyFont="1" applyFill="1" applyBorder="1" applyAlignment="1">
      <alignment horizontal="center"/>
    </xf>
    <xf numFmtId="10" fontId="11" fillId="5" borderId="8" xfId="0" applyNumberFormat="1" applyFont="1" applyFill="1" applyBorder="1" applyAlignment="1">
      <alignment horizontal="center"/>
    </xf>
    <xf numFmtId="10" fontId="3" fillId="0" borderId="0" xfId="0" applyNumberFormat="1" applyFont="1" applyBorder="1" applyAlignment="1">
      <alignment horizontal="center"/>
    </xf>
    <xf numFmtId="10" fontId="3" fillId="0" borderId="15" xfId="0" applyNumberFormat="1" applyFont="1" applyBorder="1" applyAlignment="1">
      <alignment horizontal="center"/>
    </xf>
    <xf numFmtId="3" fontId="3" fillId="0" borderId="10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10" fontId="3" fillId="0" borderId="12" xfId="0" applyNumberFormat="1" applyFont="1" applyBorder="1" applyAlignment="1">
      <alignment horizontal="center"/>
    </xf>
    <xf numFmtId="10" fontId="3" fillId="0" borderId="19" xfId="0" applyNumberFormat="1" applyFont="1" applyBorder="1" applyAlignment="1">
      <alignment horizontal="center"/>
    </xf>
    <xf numFmtId="10" fontId="3" fillId="0" borderId="17" xfId="0" applyNumberFormat="1" applyFont="1" applyBorder="1" applyAlignment="1">
      <alignment horizontal="center"/>
    </xf>
    <xf numFmtId="10" fontId="3" fillId="0" borderId="13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0" fontId="3" fillId="0" borderId="18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1" fontId="11" fillId="3" borderId="7" xfId="0" applyNumberFormat="1" applyFont="1" applyFill="1" applyBorder="1" applyAlignment="1">
      <alignment horizontal="center"/>
    </xf>
    <xf numFmtId="10" fontId="23" fillId="2" borderId="7" xfId="39" applyNumberFormat="1" applyFont="1" applyFill="1" applyBorder="1" applyAlignment="1">
      <alignment horizontal="center"/>
    </xf>
    <xf numFmtId="3" fontId="3" fillId="0" borderId="12" xfId="0" applyNumberFormat="1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0" fontId="28" fillId="0" borderId="15" xfId="0" applyNumberFormat="1" applyFont="1" applyBorder="1" applyAlignment="1">
      <alignment horizontal="center"/>
    </xf>
    <xf numFmtId="3" fontId="4" fillId="5" borderId="7" xfId="0" applyNumberFormat="1" applyFont="1" applyFill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10" fontId="29" fillId="0" borderId="17" xfId="0" applyNumberFormat="1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10" fontId="3" fillId="0" borderId="14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3" fontId="3" fillId="0" borderId="8" xfId="0" applyNumberFormat="1" applyFont="1" applyBorder="1"/>
    <xf numFmtId="166" fontId="8" fillId="2" borderId="7" xfId="34" applyNumberFormat="1" applyFont="1" applyFill="1" applyBorder="1"/>
    <xf numFmtId="3" fontId="89" fillId="42" borderId="11" xfId="0" applyNumberFormat="1" applyFont="1" applyFill="1" applyBorder="1" applyAlignment="1">
      <alignment horizontal="center" vertical="center"/>
    </xf>
    <xf numFmtId="3" fontId="89" fillId="42" borderId="7" xfId="0" applyNumberFormat="1" applyFont="1" applyFill="1" applyBorder="1" applyAlignment="1">
      <alignment horizontal="center" vertical="center"/>
    </xf>
    <xf numFmtId="3" fontId="89" fillId="42" borderId="8" xfId="0" applyNumberFormat="1" applyFont="1" applyFill="1" applyBorder="1" applyAlignment="1">
      <alignment horizontal="center" vertical="center"/>
    </xf>
    <xf numFmtId="3" fontId="10" fillId="2" borderId="11" xfId="0" applyNumberFormat="1" applyFont="1" applyFill="1" applyBorder="1" applyAlignment="1">
      <alignment horizontal="center"/>
    </xf>
    <xf numFmtId="3" fontId="10" fillId="2" borderId="7" xfId="0" applyNumberFormat="1" applyFont="1" applyFill="1" applyBorder="1" applyAlignment="1">
      <alignment horizontal="center"/>
    </xf>
    <xf numFmtId="3" fontId="10" fillId="2" borderId="8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3" fontId="4" fillId="2" borderId="7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/>
    </xf>
    <xf numFmtId="3" fontId="30" fillId="3" borderId="11" xfId="0" applyNumberFormat="1" applyFont="1" applyFill="1" applyBorder="1"/>
    <xf numFmtId="3" fontId="30" fillId="3" borderId="7" xfId="0" applyNumberFormat="1" applyFont="1" applyFill="1" applyBorder="1"/>
    <xf numFmtId="3" fontId="30" fillId="3" borderId="8" xfId="0" applyNumberFormat="1" applyFont="1" applyFill="1" applyBorder="1"/>
    <xf numFmtId="10" fontId="3" fillId="0" borderId="11" xfId="39" applyNumberFormat="1" applyFont="1" applyBorder="1"/>
    <xf numFmtId="3" fontId="90" fillId="42" borderId="7" xfId="0" applyNumberFormat="1" applyFont="1" applyFill="1" applyBorder="1" applyAlignment="1">
      <alignment horizontal="center" vertical="center"/>
    </xf>
    <xf numFmtId="17" fontId="4" fillId="2" borderId="11" xfId="0" applyNumberFormat="1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8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3" fontId="30" fillId="0" borderId="11" xfId="0" applyNumberFormat="1" applyFont="1" applyBorder="1"/>
    <xf numFmtId="3" fontId="30" fillId="0" borderId="7" xfId="0" applyNumberFormat="1" applyFont="1" applyBorder="1"/>
    <xf numFmtId="3" fontId="39" fillId="0" borderId="0" xfId="0" applyNumberFormat="1" applyFont="1" applyBorder="1"/>
    <xf numFmtId="10" fontId="89" fillId="42" borderId="11" xfId="0" applyNumberFormat="1" applyFont="1" applyFill="1" applyBorder="1" applyAlignment="1">
      <alignment horizontal="center" vertical="center"/>
    </xf>
    <xf numFmtId="10" fontId="90" fillId="42" borderId="8" xfId="0" applyNumberFormat="1" applyFont="1" applyFill="1" applyBorder="1" applyAlignment="1">
      <alignment horizontal="center" vertical="center"/>
    </xf>
    <xf numFmtId="10" fontId="4" fillId="2" borderId="11" xfId="0" applyNumberFormat="1" applyFont="1" applyFill="1" applyBorder="1" applyAlignment="1">
      <alignment horizontal="center"/>
    </xf>
    <xf numFmtId="10" fontId="4" fillId="2" borderId="8" xfId="0" applyNumberFormat="1" applyFont="1" applyFill="1" applyBorder="1" applyAlignment="1">
      <alignment horizontal="center"/>
    </xf>
    <xf numFmtId="10" fontId="30" fillId="3" borderId="11" xfId="0" applyNumberFormat="1" applyFont="1" applyFill="1" applyBorder="1"/>
    <xf numFmtId="10" fontId="30" fillId="3" borderId="8" xfId="0" applyNumberFormat="1" applyFont="1" applyFill="1" applyBorder="1"/>
    <xf numFmtId="3" fontId="28" fillId="0" borderId="14" xfId="0" applyNumberFormat="1" applyFont="1" applyBorder="1"/>
    <xf numFmtId="3" fontId="19" fillId="0" borderId="3" xfId="0" applyNumberFormat="1" applyFont="1" applyBorder="1"/>
    <xf numFmtId="0" fontId="16" fillId="3" borderId="0" xfId="0" applyFont="1" applyFill="1" applyBorder="1"/>
    <xf numFmtId="10" fontId="3" fillId="0" borderId="16" xfId="0" applyNumberFormat="1" applyFont="1" applyBorder="1"/>
    <xf numFmtId="10" fontId="19" fillId="0" borderId="13" xfId="0" applyNumberFormat="1" applyFont="1" applyBorder="1"/>
    <xf numFmtId="3" fontId="0" fillId="0" borderId="3" xfId="39" applyNumberFormat="1" applyFont="1" applyBorder="1"/>
    <xf numFmtId="1" fontId="27" fillId="0" borderId="9" xfId="0" applyNumberFormat="1" applyFont="1" applyBorder="1"/>
    <xf numFmtId="1" fontId="27" fillId="0" borderId="15" xfId="0" applyNumberFormat="1" applyFont="1" applyBorder="1"/>
    <xf numFmtId="3" fontId="27" fillId="0" borderId="1" xfId="0" applyNumberFormat="1" applyFont="1" applyBorder="1"/>
    <xf numFmtId="3" fontId="1" fillId="3" borderId="104" xfId="50"/>
    <xf numFmtId="0" fontId="10" fillId="5" borderId="11" xfId="0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3" fontId="10" fillId="2" borderId="9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3" fontId="10" fillId="2" borderId="0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3" fontId="10" fillId="2" borderId="9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/>
    </xf>
    <xf numFmtId="3" fontId="10" fillId="2" borderId="15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3" fontId="10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3" fontId="10" fillId="2" borderId="4" xfId="0" applyNumberFormat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3" fontId="10" fillId="2" borderId="4" xfId="0" applyNumberFormat="1" applyFont="1" applyFill="1" applyBorder="1" applyAlignment="1">
      <alignment horizontal="center" vertical="center"/>
    </xf>
    <xf numFmtId="3" fontId="10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" fontId="10" fillId="2" borderId="15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3" fontId="37" fillId="0" borderId="24" xfId="0" applyNumberFormat="1" applyFont="1" applyBorder="1" applyAlignment="1">
      <alignment horizontal="center"/>
    </xf>
    <xf numFmtId="3" fontId="37" fillId="0" borderId="84" xfId="0" applyNumberFormat="1" applyFont="1" applyBorder="1" applyAlignment="1">
      <alignment horizontal="center"/>
    </xf>
    <xf numFmtId="3" fontId="79" fillId="0" borderId="0" xfId="0" quotePrefix="1" applyNumberFormat="1" applyFont="1" applyBorder="1"/>
  </cellXfs>
  <cellStyles count="51">
    <cellStyle name="_data" xfId="50"/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 2" xfId="28"/>
    <cellStyle name="Commentaire 3" xfId="29"/>
    <cellStyle name="Entrée" xfId="30" builtinId="20" customBuiltin="1"/>
    <cellStyle name="Euro" xfId="31"/>
    <cellStyle name="Insatisfaisant" xfId="32" builtinId="27" customBuiltin="1"/>
    <cellStyle name="Lien hypertexte" xfId="33" builtinId="8"/>
    <cellStyle name="Milliers" xfId="34" builtinId="3"/>
    <cellStyle name="Monétaire" xfId="35" builtinId="4"/>
    <cellStyle name="Neutre" xfId="36" builtinId="28" customBuiltin="1"/>
    <cellStyle name="Normal" xfId="0" builtinId="0"/>
    <cellStyle name="Normal 5" xfId="37"/>
    <cellStyle name="Normal 6" xfId="38"/>
    <cellStyle name="Pourcentage" xfId="39" builtinId="5"/>
    <cellStyle name="Satisfaisant" xfId="40" builtinId="26" customBuiltin="1"/>
    <cellStyle name="Sortie" xfId="41" builtinId="21" customBuiltin="1"/>
    <cellStyle name="Texte explicatif" xfId="42" builtinId="53" customBuiltin="1"/>
    <cellStyle name="Titre" xfId="43" builtinId="15" customBuiltin="1"/>
    <cellStyle name="Titre 1" xfId="44" builtinId="16" customBuiltin="1"/>
    <cellStyle name="Titre 2" xfId="45" builtinId="17" customBuiltin="1"/>
    <cellStyle name="Titre 3" xfId="46" builtinId="18" customBuiltin="1"/>
    <cellStyle name="Titre 4" xfId="47" builtinId="19" customBuiltin="1"/>
    <cellStyle name="Total" xfId="48" builtinId="25" customBuiltin="1"/>
    <cellStyle name="Vérification" xfId="49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2053</xdr:row>
      <xdr:rowOff>19050</xdr:rowOff>
    </xdr:from>
    <xdr:to>
      <xdr:col>11</xdr:col>
      <xdr:colOff>85725</xdr:colOff>
      <xdr:row>2057</xdr:row>
      <xdr:rowOff>0</xdr:rowOff>
    </xdr:to>
    <xdr:sp macro="" textlink="">
      <xdr:nvSpPr>
        <xdr:cNvPr id="3745" name="AutoShape 1"/>
        <xdr:cNvSpPr>
          <a:spLocks/>
        </xdr:cNvSpPr>
      </xdr:nvSpPr>
      <xdr:spPr bwMode="auto">
        <a:xfrm>
          <a:off x="9296400" y="332451075"/>
          <a:ext cx="76200" cy="628650"/>
        </a:xfrm>
        <a:prstGeom prst="rightBrace">
          <a:avLst>
            <a:gd name="adj1" fmla="val 68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9525</xdr:colOff>
      <xdr:row>2113</xdr:row>
      <xdr:rowOff>19050</xdr:rowOff>
    </xdr:from>
    <xdr:to>
      <xdr:col>11</xdr:col>
      <xdr:colOff>85725</xdr:colOff>
      <xdr:row>2117</xdr:row>
      <xdr:rowOff>0</xdr:rowOff>
    </xdr:to>
    <xdr:sp macro="" textlink="">
      <xdr:nvSpPr>
        <xdr:cNvPr id="3746" name="AutoShape 2"/>
        <xdr:cNvSpPr>
          <a:spLocks/>
        </xdr:cNvSpPr>
      </xdr:nvSpPr>
      <xdr:spPr bwMode="auto">
        <a:xfrm>
          <a:off x="9296400" y="342166575"/>
          <a:ext cx="76200" cy="628650"/>
        </a:xfrm>
        <a:prstGeom prst="rightBrace">
          <a:avLst>
            <a:gd name="adj1" fmla="val 68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1203</xdr:row>
      <xdr:rowOff>95250</xdr:rowOff>
    </xdr:from>
    <xdr:to>
      <xdr:col>4</xdr:col>
      <xdr:colOff>409575</xdr:colOff>
      <xdr:row>1203</xdr:row>
      <xdr:rowOff>95250</xdr:rowOff>
    </xdr:to>
    <xdr:sp macro="" textlink="">
      <xdr:nvSpPr>
        <xdr:cNvPr id="3747" name="Line 21"/>
        <xdr:cNvSpPr>
          <a:spLocks noChangeShapeType="1"/>
        </xdr:cNvSpPr>
      </xdr:nvSpPr>
      <xdr:spPr bwMode="auto">
        <a:xfrm>
          <a:off x="3914775" y="19489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5</xdr:col>
      <xdr:colOff>0</xdr:colOff>
      <xdr:row>2</xdr:row>
      <xdr:rowOff>0</xdr:rowOff>
    </xdr:to>
    <xdr:sp macro="" textlink="">
      <xdr:nvSpPr>
        <xdr:cNvPr id="1025" name="Rectangle 1"/>
        <xdr:cNvSpPr>
          <a:spLocks noChangeArrowheads="1"/>
        </xdr:cNvSpPr>
      </xdr:nvSpPr>
      <xdr:spPr bwMode="auto">
        <a:xfrm>
          <a:off x="1524000" y="161925"/>
          <a:ext cx="2286000" cy="161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/>
        <a:lstStyle/>
        <a:p>
          <a:endParaRPr lang="fr-F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uvegarde%20C&#233;cile%20C\BATI%20PEINTRE\Tableaux%20de%20bord\2009\SITUATIONS\SIT09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uvegarde%20C&#233;cile%20C\BATI%20PEINTRE\Tableaux%20de%20bord\2010\SITUATIONS\SIT1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uvegarde%20C&#233;cile%20C\BATI%20PEINTRE\Tableaux%20de%20bord\2010\budget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anp"/>
      <sheetName val="Sommaire"/>
      <sheetName val="Balance"/>
      <sheetName val="Vannes"/>
      <sheetName val="Rennes"/>
      <sheetName val="Orléans"/>
      <sheetName val="Angers"/>
      <sheetName val="Thouars"/>
      <sheetName val="Château"/>
      <sheetName val="Chartres"/>
      <sheetName val="Bosc"/>
      <sheetName val="Cham"/>
      <sheetName val="Tours"/>
      <sheetName val="Saumur"/>
      <sheetName val="Mans"/>
      <sheetName val="Boulogne"/>
      <sheetName val="Compiègne"/>
      <sheetName val="Amiens"/>
      <sheetName val="Cambrai"/>
      <sheetName val="Caudry"/>
      <sheetName val="Eu"/>
      <sheetName val="Calais"/>
      <sheetName val="Tourcoing"/>
      <sheetName val="Madeleine"/>
      <sheetName val="Lens"/>
      <sheetName val="Bois"/>
      <sheetName val="Béthune"/>
      <sheetName val="StOmer"/>
      <sheetName val="Roanne"/>
      <sheetName val="Montpe"/>
      <sheetName val="Grenoble"/>
      <sheetName val="STMarcelin"/>
      <sheetName val="Beziers"/>
      <sheetName val="Nancy"/>
      <sheetName val="PSA"/>
      <sheetName val="Lille"/>
      <sheetName val="Repart"/>
      <sheetName val="Pays de la Loire"/>
      <sheetName val="Région Centre 2"/>
      <sheetName val="Région Lilloise"/>
      <sheetName val="Cambraisi"/>
      <sheetName val="Pas de Calais"/>
      <sheetName val="Picardie"/>
      <sheetName val="Sous Région Sud"/>
      <sheetName val="Bretagne"/>
      <sheetName val="Centre"/>
      <sheetName val="Nord"/>
      <sheetName val="Sud"/>
      <sheetName val="Conso"/>
      <sheetName val="Projection"/>
      <sheetName val="Progression"/>
      <sheetName val="Clients"/>
      <sheetName val="Marge"/>
      <sheetName val="Stocks"/>
      <sheetName val="CA"/>
    </sheetNames>
    <sheetDataSet>
      <sheetData sheetId="0" refreshError="1"/>
      <sheetData sheetId="1" refreshError="1"/>
      <sheetData sheetId="2" refreshError="1"/>
      <sheetData sheetId="3" refreshError="1">
        <row r="54">
          <cell r="G54">
            <v>0.46489886768878796</v>
          </cell>
        </row>
        <row r="56">
          <cell r="G56">
            <v>137820.57769999999</v>
          </cell>
        </row>
        <row r="57">
          <cell r="G57">
            <v>131750.36179999998</v>
          </cell>
        </row>
        <row r="60">
          <cell r="G60">
            <v>0.45</v>
          </cell>
        </row>
        <row r="207">
          <cell r="G207">
            <v>2051.77173652393</v>
          </cell>
        </row>
        <row r="211">
          <cell r="G211">
            <v>8095.0860719999991</v>
          </cell>
        </row>
        <row r="212">
          <cell r="G212">
            <v>31489.546341785539</v>
          </cell>
        </row>
        <row r="213">
          <cell r="G213">
            <v>-9447.68</v>
          </cell>
        </row>
        <row r="217">
          <cell r="G217">
            <v>58712.645469690477</v>
          </cell>
        </row>
      </sheetData>
      <sheetData sheetId="4" refreshError="1">
        <row r="54">
          <cell r="G54">
            <v>0.42653641386522262</v>
          </cell>
        </row>
        <row r="56">
          <cell r="G56">
            <v>77754.900299999994</v>
          </cell>
        </row>
        <row r="57">
          <cell r="G57">
            <v>66719.305800000002</v>
          </cell>
        </row>
        <row r="207">
          <cell r="G207">
            <v>1294.7300294516858</v>
          </cell>
        </row>
        <row r="211">
          <cell r="G211">
            <v>8095.0860719999991</v>
          </cell>
        </row>
        <row r="212">
          <cell r="G212">
            <v>19870.856263763875</v>
          </cell>
        </row>
        <row r="213">
          <cell r="G213">
            <v>-5334.36</v>
          </cell>
        </row>
        <row r="217">
          <cell r="G217">
            <v>2119.8868147843204</v>
          </cell>
        </row>
      </sheetData>
      <sheetData sheetId="5" refreshError="1">
        <row r="56">
          <cell r="G56">
            <v>102391.2546</v>
          </cell>
        </row>
        <row r="57">
          <cell r="G57">
            <v>100508.2512</v>
          </cell>
        </row>
        <row r="207">
          <cell r="G207">
            <v>2593.6816584039821</v>
          </cell>
        </row>
        <row r="211">
          <cell r="G211">
            <v>8095.0860719999991</v>
          </cell>
        </row>
        <row r="212">
          <cell r="G212">
            <v>39806.503483921442</v>
          </cell>
        </row>
        <row r="213">
          <cell r="G213">
            <v>-9967</v>
          </cell>
        </row>
        <row r="217">
          <cell r="G217">
            <v>82952.950585674524</v>
          </cell>
        </row>
      </sheetData>
      <sheetData sheetId="6" refreshError="1">
        <row r="56">
          <cell r="G56">
            <v>135102.7991</v>
          </cell>
        </row>
        <row r="57">
          <cell r="G57">
            <v>117232.0566</v>
          </cell>
        </row>
        <row r="207">
          <cell r="G207">
            <v>2851.3069060686244</v>
          </cell>
        </row>
        <row r="211">
          <cell r="G211">
            <v>8095.0860719999991</v>
          </cell>
        </row>
        <row r="212">
          <cell r="G212">
            <v>43760.404412927201</v>
          </cell>
        </row>
        <row r="213">
          <cell r="G213">
            <v>-9599.31</v>
          </cell>
        </row>
        <row r="217">
          <cell r="G217">
            <v>89937.351709004288</v>
          </cell>
        </row>
      </sheetData>
      <sheetData sheetId="7" refreshError="1">
        <row r="56">
          <cell r="G56">
            <v>132707.16489999997</v>
          </cell>
        </row>
        <row r="57">
          <cell r="G57">
            <v>105619.5766</v>
          </cell>
        </row>
        <row r="207">
          <cell r="G207">
            <v>1997.9605504218498</v>
          </cell>
        </row>
        <row r="211">
          <cell r="G211">
            <v>8095.0860719999991</v>
          </cell>
        </row>
        <row r="212">
          <cell r="G212">
            <v>30663.679697702279</v>
          </cell>
        </row>
        <row r="213">
          <cell r="G213">
            <v>-9209.92</v>
          </cell>
        </row>
        <row r="217">
          <cell r="G217">
            <v>18270.50417987589</v>
          </cell>
        </row>
      </sheetData>
      <sheetData sheetId="8" refreshError="1">
        <row r="56">
          <cell r="G56">
            <v>83811.712800000008</v>
          </cell>
        </row>
        <row r="57">
          <cell r="G57">
            <v>85953.058900000004</v>
          </cell>
        </row>
        <row r="207">
          <cell r="G207">
            <v>1084.1008631091263</v>
          </cell>
        </row>
        <row r="211">
          <cell r="G211">
            <v>8095.0860719999991</v>
          </cell>
        </row>
        <row r="212">
          <cell r="G212">
            <v>16638.227225938968</v>
          </cell>
        </row>
        <row r="213">
          <cell r="G213">
            <v>-4162.8599999999997</v>
          </cell>
        </row>
        <row r="217">
          <cell r="G217">
            <v>-32131.850061048033</v>
          </cell>
        </row>
      </sheetData>
      <sheetData sheetId="9" refreshError="1">
        <row r="56">
          <cell r="G56">
            <v>149388.61489999999</v>
          </cell>
        </row>
        <row r="57">
          <cell r="G57">
            <v>141383.4155</v>
          </cell>
        </row>
        <row r="207">
          <cell r="G207">
            <v>1848.7002754846158</v>
          </cell>
        </row>
        <row r="211">
          <cell r="G211">
            <v>8095.0860719999991</v>
          </cell>
        </row>
        <row r="212">
          <cell r="G212">
            <v>28372.90911101579</v>
          </cell>
        </row>
        <row r="213">
          <cell r="G213">
            <v>-6989.49</v>
          </cell>
        </row>
        <row r="217">
          <cell r="G217">
            <v>40468.873141499484</v>
          </cell>
        </row>
      </sheetData>
      <sheetData sheetId="10" refreshError="1">
        <row r="56">
          <cell r="G56">
            <v>180098.89910000001</v>
          </cell>
        </row>
        <row r="57">
          <cell r="G57">
            <v>174527.21</v>
          </cell>
        </row>
        <row r="207">
          <cell r="G207">
            <v>3419.719737985246</v>
          </cell>
        </row>
        <row r="211">
          <cell r="G211">
            <v>8095.0860719999991</v>
          </cell>
        </row>
        <row r="212">
          <cell r="G212">
            <v>52484.114703540836</v>
          </cell>
        </row>
        <row r="213">
          <cell r="G213">
            <v>-13593.32</v>
          </cell>
        </row>
        <row r="217">
          <cell r="G217">
            <v>64910.423986474096</v>
          </cell>
        </row>
      </sheetData>
      <sheetData sheetId="11" refreshError="1">
        <row r="56">
          <cell r="G56">
            <v>198165.68859999999</v>
          </cell>
        </row>
        <row r="57">
          <cell r="G57">
            <v>160171.98740000001</v>
          </cell>
        </row>
        <row r="207">
          <cell r="G207">
            <v>1691.457284440876</v>
          </cell>
        </row>
        <row r="211">
          <cell r="G211">
            <v>8095.0860719999991</v>
          </cell>
        </row>
        <row r="212">
          <cell r="G212">
            <v>25959.623868193623</v>
          </cell>
        </row>
        <row r="213">
          <cell r="G213">
            <v>-6452.45</v>
          </cell>
        </row>
        <row r="217">
          <cell r="G217">
            <v>-83719.13242463443</v>
          </cell>
        </row>
      </sheetData>
      <sheetData sheetId="12" refreshError="1"/>
      <sheetData sheetId="13" refreshError="1">
        <row r="56">
          <cell r="G56">
            <v>66524.319799999997</v>
          </cell>
        </row>
        <row r="57">
          <cell r="G57">
            <v>65265.575400000002</v>
          </cell>
        </row>
        <row r="207">
          <cell r="G207">
            <v>648.58155790973126</v>
          </cell>
        </row>
        <row r="211">
          <cell r="G211">
            <v>8095.0860719999991</v>
          </cell>
        </row>
        <row r="212">
          <cell r="G212">
            <v>9954.0990163102106</v>
          </cell>
        </row>
        <row r="213">
          <cell r="G213">
            <v>-3378.8</v>
          </cell>
        </row>
        <row r="217">
          <cell r="G217">
            <v>-52437.507046219966</v>
          </cell>
        </row>
      </sheetData>
      <sheetData sheetId="14" refreshError="1">
        <row r="56">
          <cell r="G56">
            <v>100410.49190000001</v>
          </cell>
        </row>
        <row r="57">
          <cell r="G57">
            <v>92064.33</v>
          </cell>
        </row>
        <row r="207">
          <cell r="G207">
            <v>12439.862243398926</v>
          </cell>
        </row>
        <row r="211">
          <cell r="G211">
            <v>8095.0860719999991</v>
          </cell>
        </row>
        <row r="212">
          <cell r="G212">
            <v>27470.199947942507</v>
          </cell>
        </row>
        <row r="213">
          <cell r="G213">
            <v>-5018.84</v>
          </cell>
        </row>
        <row r="217">
          <cell r="G217">
            <v>19039.78783665851</v>
          </cell>
        </row>
      </sheetData>
      <sheetData sheetId="15" refreshError="1">
        <row r="54">
          <cell r="G54">
            <v>0.32902271883568696</v>
          </cell>
        </row>
        <row r="56">
          <cell r="G56">
            <v>226727.62</v>
          </cell>
        </row>
        <row r="57">
          <cell r="G57">
            <v>216101.45400000003</v>
          </cell>
        </row>
        <row r="207">
          <cell r="G207">
            <v>4676.4484551072819</v>
          </cell>
        </row>
        <row r="211">
          <cell r="G211">
            <v>8095.0860719999991</v>
          </cell>
        </row>
        <row r="212">
          <cell r="G212">
            <v>71771.746203871473</v>
          </cell>
        </row>
        <row r="213">
          <cell r="G213">
            <v>-24329.22</v>
          </cell>
        </row>
        <row r="217">
          <cell r="G217">
            <v>176608.28462902133</v>
          </cell>
        </row>
      </sheetData>
      <sheetData sheetId="16" refreshError="1">
        <row r="54">
          <cell r="G54">
            <v>0.33560477005446487</v>
          </cell>
        </row>
        <row r="56">
          <cell r="G56">
            <v>104930.36380000001</v>
          </cell>
        </row>
        <row r="57">
          <cell r="G57">
            <v>91890.391799999998</v>
          </cell>
        </row>
        <row r="207">
          <cell r="G207">
            <v>1717.3519579369752</v>
          </cell>
        </row>
        <row r="211">
          <cell r="G211">
            <v>8095.0860719999991</v>
          </cell>
        </row>
        <row r="212">
          <cell r="G212">
            <v>26357.042112409359</v>
          </cell>
        </row>
        <row r="213">
          <cell r="G213">
            <v>-6788.72</v>
          </cell>
        </row>
        <row r="217">
          <cell r="G217">
            <v>-39608.700542346356</v>
          </cell>
        </row>
      </sheetData>
      <sheetData sheetId="17" refreshError="1">
        <row r="54">
          <cell r="G54">
            <v>0.39418118401221985</v>
          </cell>
        </row>
        <row r="56">
          <cell r="G56">
            <v>78882.682799999995</v>
          </cell>
        </row>
        <row r="57">
          <cell r="G57">
            <v>60263.156099999993</v>
          </cell>
        </row>
        <row r="207">
          <cell r="G207">
            <v>926.53981499241559</v>
          </cell>
        </row>
        <row r="211">
          <cell r="G211">
            <v>8095.0860719999991</v>
          </cell>
        </row>
        <row r="212">
          <cell r="G212">
            <v>14220.060605349305</v>
          </cell>
        </row>
        <row r="213">
          <cell r="G213">
            <v>-4772.08</v>
          </cell>
        </row>
        <row r="217">
          <cell r="G217">
            <v>-21948.532312341755</v>
          </cell>
        </row>
      </sheetData>
      <sheetData sheetId="18" refreshError="1">
        <row r="54">
          <cell r="G54">
            <v>0.40771514214746563</v>
          </cell>
        </row>
        <row r="56">
          <cell r="G56">
            <v>78841.899600000004</v>
          </cell>
        </row>
        <row r="57">
          <cell r="G57">
            <v>72259.015700000004</v>
          </cell>
        </row>
        <row r="207">
          <cell r="G207">
            <v>1601.4071974778471</v>
          </cell>
        </row>
        <row r="211">
          <cell r="G211">
            <v>8095.0860719999991</v>
          </cell>
        </row>
        <row r="212">
          <cell r="G212">
            <v>24577.581053183316</v>
          </cell>
        </row>
        <row r="213">
          <cell r="G213">
            <v>-8274.33</v>
          </cell>
        </row>
        <row r="217">
          <cell r="G217">
            <v>31361.773057338985</v>
          </cell>
        </row>
      </sheetData>
      <sheetData sheetId="19" refreshError="1">
        <row r="54">
          <cell r="G54">
            <v>0.40103018758794517</v>
          </cell>
        </row>
        <row r="56">
          <cell r="G56">
            <v>78366.645099999994</v>
          </cell>
        </row>
        <row r="57">
          <cell r="G57">
            <v>81031.89959999999</v>
          </cell>
        </row>
        <row r="207">
          <cell r="G207">
            <v>1361.8171248169165</v>
          </cell>
        </row>
        <row r="211">
          <cell r="G211">
            <v>8095.0860719999991</v>
          </cell>
        </row>
        <row r="212">
          <cell r="G212">
            <v>20900.47479336612</v>
          </cell>
        </row>
        <row r="213">
          <cell r="G213">
            <v>-6020.04</v>
          </cell>
        </row>
        <row r="217">
          <cell r="G217">
            <v>-6542.6554101830407</v>
          </cell>
        </row>
      </sheetData>
      <sheetData sheetId="20" refreshError="1">
        <row r="54">
          <cell r="G54">
            <v>0.50616296704790475</v>
          </cell>
        </row>
        <row r="56">
          <cell r="G56">
            <v>198979.24469999998</v>
          </cell>
        </row>
        <row r="57">
          <cell r="G57">
            <v>208367.89469999998</v>
          </cell>
        </row>
        <row r="207">
          <cell r="G207">
            <v>3024.0068025439523</v>
          </cell>
        </row>
        <row r="211">
          <cell r="G211">
            <v>8095.0860719999991</v>
          </cell>
        </row>
        <row r="212">
          <cell r="G212">
            <v>46410.914358295078</v>
          </cell>
        </row>
        <row r="213">
          <cell r="G213">
            <v>-12253.04</v>
          </cell>
        </row>
        <row r="217">
          <cell r="G217">
            <v>164074.15732716094</v>
          </cell>
        </row>
      </sheetData>
      <sheetData sheetId="21" refreshError="1">
        <row r="54">
          <cell r="G54">
            <v>0.27461780077973136</v>
          </cell>
        </row>
        <row r="56">
          <cell r="G56">
            <v>99198.304300000003</v>
          </cell>
        </row>
        <row r="57">
          <cell r="G57">
            <v>85356.945600000006</v>
          </cell>
        </row>
        <row r="207">
          <cell r="G207">
            <v>2565.5077277746491</v>
          </cell>
        </row>
        <row r="211">
          <cell r="G211">
            <v>8095.0860719999991</v>
          </cell>
        </row>
        <row r="212">
          <cell r="G212">
            <v>39374.104363497994</v>
          </cell>
        </row>
        <row r="213">
          <cell r="G213">
            <v>-11768.76</v>
          </cell>
        </row>
        <row r="217">
          <cell r="G217">
            <v>22979.485216727327</v>
          </cell>
        </row>
      </sheetData>
      <sheetData sheetId="22" refreshError="1">
        <row r="54">
          <cell r="G54">
            <v>0.36608344946972454</v>
          </cell>
        </row>
        <row r="56">
          <cell r="G56">
            <v>125739.662</v>
          </cell>
        </row>
        <row r="57">
          <cell r="G57">
            <v>103468.66829999999</v>
          </cell>
        </row>
        <row r="207">
          <cell r="G207">
            <v>1069.7796955305669</v>
          </cell>
        </row>
        <row r="211">
          <cell r="G211">
            <v>8095.0860719999991</v>
          </cell>
        </row>
        <row r="212">
          <cell r="G212">
            <v>16418.433248808968</v>
          </cell>
        </row>
        <row r="213">
          <cell r="G213">
            <v>-5516.57</v>
          </cell>
        </row>
        <row r="217">
          <cell r="G217">
            <v>-100634.11543633947</v>
          </cell>
        </row>
      </sheetData>
      <sheetData sheetId="23" refreshError="1">
        <row r="54">
          <cell r="G54">
            <v>0.3476608093233805</v>
          </cell>
        </row>
        <row r="56">
          <cell r="G56">
            <v>116627.4933</v>
          </cell>
        </row>
        <row r="57">
          <cell r="G57">
            <v>114077.0322</v>
          </cell>
        </row>
        <row r="207">
          <cell r="G207">
            <v>2224.7126235652377</v>
          </cell>
        </row>
        <row r="211">
          <cell r="G211">
            <v>8095.0860719999991</v>
          </cell>
        </row>
        <row r="212">
          <cell r="G212">
            <v>34143.754887470532</v>
          </cell>
        </row>
        <row r="213">
          <cell r="G213">
            <v>-12592.76</v>
          </cell>
        </row>
        <row r="217">
          <cell r="G217">
            <v>-24.187403035706666</v>
          </cell>
        </row>
      </sheetData>
      <sheetData sheetId="24" refreshError="1">
        <row r="54">
          <cell r="G54">
            <v>0.30043789078318983</v>
          </cell>
        </row>
        <row r="56">
          <cell r="G56">
            <v>68996.666599999997</v>
          </cell>
        </row>
        <row r="57">
          <cell r="G57">
            <v>73328.016700000007</v>
          </cell>
        </row>
        <row r="207">
          <cell r="G207">
            <v>1025.5859094332839</v>
          </cell>
        </row>
        <row r="211">
          <cell r="G211">
            <v>8095.0860719999991</v>
          </cell>
        </row>
        <row r="212">
          <cell r="G212">
            <v>15740.169555749699</v>
          </cell>
        </row>
        <row r="213">
          <cell r="G213">
            <v>-5862.35</v>
          </cell>
        </row>
        <row r="217">
          <cell r="G217">
            <v>-41912.863357182927</v>
          </cell>
        </row>
      </sheetData>
      <sheetData sheetId="25" refreshError="1">
        <row r="54">
          <cell r="G54">
            <v>0.40423251908132846</v>
          </cell>
        </row>
        <row r="56">
          <cell r="G56">
            <v>21081.033600000002</v>
          </cell>
        </row>
        <row r="57">
          <cell r="G57">
            <v>24983.200900000003</v>
          </cell>
        </row>
        <row r="207">
          <cell r="G207">
            <v>599.75240134783201</v>
          </cell>
        </row>
        <row r="211">
          <cell r="G211">
            <v>8095.0860719999991</v>
          </cell>
        </row>
        <row r="212">
          <cell r="G212">
            <v>9204.6940210980174</v>
          </cell>
        </row>
        <row r="213">
          <cell r="G213">
            <v>-3545.03</v>
          </cell>
        </row>
        <row r="217">
          <cell r="G217">
            <v>4920.6676855541536</v>
          </cell>
        </row>
      </sheetData>
      <sheetData sheetId="26" refreshError="1">
        <row r="54">
          <cell r="G54">
            <v>0.39633678747945267</v>
          </cell>
        </row>
        <row r="56">
          <cell r="G56">
            <v>65158.966999999997</v>
          </cell>
        </row>
        <row r="57">
          <cell r="G57">
            <v>63150.843199999996</v>
          </cell>
        </row>
        <row r="207">
          <cell r="G207">
            <v>717.07433421130213</v>
          </cell>
        </row>
        <row r="211">
          <cell r="G211">
            <v>8095.0860719999991</v>
          </cell>
        </row>
        <row r="212">
          <cell r="G212">
            <v>11005.291220117388</v>
          </cell>
        </row>
        <row r="213">
          <cell r="G213">
            <v>-4644.9399999999996</v>
          </cell>
        </row>
        <row r="217">
          <cell r="G217">
            <v>-23667.139346328637</v>
          </cell>
        </row>
      </sheetData>
      <sheetData sheetId="27" refreshError="1">
        <row r="54">
          <cell r="G54">
            <v>0.52857111388033362</v>
          </cell>
        </row>
        <row r="56">
          <cell r="G56">
            <v>0</v>
          </cell>
        </row>
        <row r="57">
          <cell r="G57">
            <v>140083.66270000002</v>
          </cell>
        </row>
        <row r="207">
          <cell r="G207">
            <v>1704.807829975503</v>
          </cell>
        </row>
        <row r="211">
          <cell r="G211">
            <v>8095.0860719999991</v>
          </cell>
        </row>
        <row r="212">
          <cell r="G212">
            <v>26164.521233147574</v>
          </cell>
        </row>
        <row r="213">
          <cell r="G213">
            <v>-7948.7</v>
          </cell>
        </row>
        <row r="217">
          <cell r="G217">
            <v>-63805.381955122881</v>
          </cell>
        </row>
      </sheetData>
      <sheetData sheetId="28" refreshError="1">
        <row r="54">
          <cell r="G54">
            <v>0.39855039670500175</v>
          </cell>
        </row>
        <row r="56">
          <cell r="G56">
            <v>170636.53810000001</v>
          </cell>
        </row>
        <row r="57">
          <cell r="G57">
            <v>168726.9069</v>
          </cell>
        </row>
        <row r="60">
          <cell r="G60">
            <v>0.38</v>
          </cell>
        </row>
        <row r="207">
          <cell r="G207">
            <v>3538.3984199276761</v>
          </cell>
        </row>
        <row r="211">
          <cell r="G211">
            <v>8095.0860719999991</v>
          </cell>
        </row>
        <row r="212">
          <cell r="G212">
            <v>54305.534595570127</v>
          </cell>
        </row>
        <row r="213">
          <cell r="G213">
            <v>-16309.56</v>
          </cell>
        </row>
        <row r="217">
          <cell r="G217">
            <v>147367.0113925022</v>
          </cell>
        </row>
      </sheetData>
      <sheetData sheetId="29" refreshError="1">
        <row r="54">
          <cell r="G54">
            <v>0.37053447555353264</v>
          </cell>
        </row>
        <row r="56">
          <cell r="G56">
            <v>136045.82</v>
          </cell>
        </row>
        <row r="57">
          <cell r="G57">
            <v>123561.45439999999</v>
          </cell>
        </row>
        <row r="207">
          <cell r="G207">
            <v>1916.3316968698134</v>
          </cell>
        </row>
        <row r="211">
          <cell r="G211">
            <v>8095.0860719999991</v>
          </cell>
        </row>
        <row r="212">
          <cell r="G212">
            <v>29410.881678801557</v>
          </cell>
        </row>
        <row r="213">
          <cell r="G213">
            <v>-7227.68</v>
          </cell>
        </row>
        <row r="217">
          <cell r="G217">
            <v>-55203.133367671486</v>
          </cell>
        </row>
      </sheetData>
      <sheetData sheetId="30" refreshError="1">
        <row r="54">
          <cell r="G54">
            <v>0.38366804296601392</v>
          </cell>
        </row>
        <row r="56">
          <cell r="G56">
            <v>196445.70759999999</v>
          </cell>
        </row>
        <row r="57">
          <cell r="G57">
            <v>190559.01919999998</v>
          </cell>
        </row>
        <row r="207">
          <cell r="G207">
            <v>4956.1477656273182</v>
          </cell>
        </row>
        <row r="211">
          <cell r="G211">
            <v>8095.0860719999991</v>
          </cell>
        </row>
        <row r="212">
          <cell r="G212">
            <v>76064.428593242817</v>
          </cell>
        </row>
        <row r="213">
          <cell r="G213">
            <v>-20286.310000000001</v>
          </cell>
        </row>
        <row r="217">
          <cell r="G217">
            <v>212393.12084913009</v>
          </cell>
        </row>
      </sheetData>
      <sheetData sheetId="31" refreshError="1">
        <row r="54">
          <cell r="G54">
            <v>0.44856171931864608</v>
          </cell>
        </row>
        <row r="56">
          <cell r="G56">
            <v>62268.053900000006</v>
          </cell>
        </row>
        <row r="57">
          <cell r="G57">
            <v>63938.673600000002</v>
          </cell>
        </row>
        <row r="207">
          <cell r="G207">
            <v>708.67011244891148</v>
          </cell>
        </row>
        <row r="211">
          <cell r="G211">
            <v>8095.0860719999991</v>
          </cell>
        </row>
        <row r="212">
          <cell r="G212">
            <v>10876.307510115708</v>
          </cell>
        </row>
        <row r="213">
          <cell r="G213">
            <v>-2258.04</v>
          </cell>
        </row>
        <row r="217">
          <cell r="G217">
            <v>2090.306085435368</v>
          </cell>
        </row>
      </sheetData>
      <sheetData sheetId="32" refreshError="1"/>
      <sheetData sheetId="33" refreshError="1">
        <row r="54">
          <cell r="G54">
            <v>0.39227402729278038</v>
          </cell>
        </row>
        <row r="56">
          <cell r="G56">
            <v>109285.7445</v>
          </cell>
        </row>
        <row r="57">
          <cell r="G57">
            <v>105157.8854</v>
          </cell>
        </row>
        <row r="207">
          <cell r="G207">
            <v>2219.9033510554341</v>
          </cell>
        </row>
        <row r="211">
          <cell r="G211">
            <v>8095.0860719999991</v>
          </cell>
        </row>
        <row r="212">
          <cell r="G212">
            <v>34069.944625406824</v>
          </cell>
        </row>
        <row r="213">
          <cell r="G213">
            <v>-8645.93</v>
          </cell>
        </row>
        <row r="217">
          <cell r="G217">
            <v>25214.353731537878</v>
          </cell>
        </row>
      </sheetData>
      <sheetData sheetId="34" refreshError="1">
        <row r="54">
          <cell r="G54">
            <v>0.33629226597141837</v>
          </cell>
        </row>
        <row r="56">
          <cell r="G56">
            <v>322783.78000000003</v>
          </cell>
        </row>
        <row r="57">
          <cell r="G57">
            <v>307712.89539999998</v>
          </cell>
        </row>
        <row r="207">
          <cell r="G207">
            <v>3659.6139361584737</v>
          </cell>
        </row>
        <row r="211">
          <cell r="G211">
            <v>8095.0860719999991</v>
          </cell>
        </row>
        <row r="212">
          <cell r="G212">
            <v>83924.279907455464</v>
          </cell>
        </row>
        <row r="213">
          <cell r="G213">
            <v>-13753.57</v>
          </cell>
        </row>
        <row r="217">
          <cell r="G217">
            <v>43549.104364386527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60">
          <cell r="F60">
            <v>0.37602540710062166</v>
          </cell>
        </row>
        <row r="222">
          <cell r="F222">
            <v>27793016.539999999</v>
          </cell>
        </row>
        <row r="223">
          <cell r="F223">
            <v>27019531.205599997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anp"/>
      <sheetName val="Sommaire"/>
      <sheetName val="Balance"/>
      <sheetName val="Vannes"/>
      <sheetName val="Rennes"/>
      <sheetName val="Orléans"/>
      <sheetName val="Angers"/>
      <sheetName val="Thouars"/>
      <sheetName val="Château"/>
      <sheetName val="Chartres"/>
      <sheetName val="Bosc"/>
      <sheetName val="Cham"/>
      <sheetName val="Saumur"/>
      <sheetName val="Mans"/>
      <sheetName val="Boulogne"/>
      <sheetName val="Compiègne"/>
      <sheetName val="Amiens"/>
      <sheetName val="Cambrai"/>
      <sheetName val="Caudry"/>
      <sheetName val="Eu"/>
      <sheetName val="Calais"/>
      <sheetName val="Tourcoing"/>
      <sheetName val="Madeleine"/>
      <sheetName val="Lens"/>
      <sheetName val="Bois"/>
      <sheetName val="Béthune"/>
      <sheetName val="StOmer"/>
      <sheetName val="Roanne"/>
      <sheetName val="Montpe"/>
      <sheetName val="Grenoble"/>
      <sheetName val="STMarcelin"/>
      <sheetName val="Nancy"/>
      <sheetName val="PSA"/>
      <sheetName val="Dijon"/>
      <sheetName val="Lille"/>
      <sheetName val="Repart"/>
      <sheetName val="Région Bretagne +"/>
      <sheetName val="Pays de la Loire"/>
      <sheetName val="Région Centre 2"/>
      <sheetName val="Région Lilloise"/>
      <sheetName val="Cambraisi"/>
      <sheetName val="Pas de Calais"/>
      <sheetName val="Picardie"/>
      <sheetName val="Sous Région Sud"/>
      <sheetName val="Bretagne"/>
      <sheetName val="Centre"/>
      <sheetName val="Nord"/>
      <sheetName val="Sud"/>
      <sheetName val="Conso"/>
      <sheetName val="Progression"/>
      <sheetName val="Projection"/>
      <sheetName val="Clients"/>
      <sheetName val="Marge"/>
      <sheetName val="Stocks"/>
      <sheetName val="CA"/>
    </sheetNames>
    <sheetDataSet>
      <sheetData sheetId="0" refreshError="1"/>
      <sheetData sheetId="1" refreshError="1"/>
      <sheetData sheetId="2" refreshError="1"/>
      <sheetData sheetId="3">
        <row r="21">
          <cell r="C21">
            <v>634146.32999999996</v>
          </cell>
        </row>
        <row r="56">
          <cell r="C56">
            <v>136289.10999999999</v>
          </cell>
        </row>
        <row r="57">
          <cell r="C57">
            <v>188003</v>
          </cell>
        </row>
        <row r="207">
          <cell r="C207">
            <v>1665.9372533450533</v>
          </cell>
        </row>
        <row r="211">
          <cell r="C211">
            <v>6535.0624193548392</v>
          </cell>
        </row>
        <row r="212">
          <cell r="C212">
            <v>24517.25717768617</v>
          </cell>
        </row>
        <row r="213">
          <cell r="C213">
            <v>-9257.24</v>
          </cell>
        </row>
        <row r="217">
          <cell r="H217">
            <v>59976.756201030221</v>
          </cell>
        </row>
      </sheetData>
      <sheetData sheetId="4">
        <row r="8">
          <cell r="H8">
            <v>567000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349253.95</v>
          </cell>
        </row>
        <row r="49">
          <cell r="H49">
            <v>13762.036000000002</v>
          </cell>
        </row>
        <row r="56">
          <cell r="C56">
            <v>69247.64</v>
          </cell>
        </row>
        <row r="57">
          <cell r="C57">
            <v>81006</v>
          </cell>
        </row>
        <row r="60">
          <cell r="C60">
            <v>0.4</v>
          </cell>
          <cell r="H60">
            <v>0.44</v>
          </cell>
        </row>
        <row r="61">
          <cell r="C61">
            <v>0.43</v>
          </cell>
        </row>
        <row r="64">
          <cell r="H64">
            <v>3816</v>
          </cell>
        </row>
        <row r="65">
          <cell r="H65">
            <v>0</v>
          </cell>
        </row>
        <row r="66">
          <cell r="H66">
            <v>796.57441281249999</v>
          </cell>
        </row>
        <row r="67">
          <cell r="H67">
            <v>1500</v>
          </cell>
        </row>
        <row r="68">
          <cell r="H68">
            <v>2008.160056546875</v>
          </cell>
        </row>
        <row r="72">
          <cell r="H72">
            <v>0</v>
          </cell>
        </row>
        <row r="73">
          <cell r="H73">
            <v>1085.619082785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</v>
          </cell>
        </row>
        <row r="77">
          <cell r="H77">
            <v>1400</v>
          </cell>
        </row>
        <row r="78">
          <cell r="H78">
            <v>0</v>
          </cell>
        </row>
        <row r="79">
          <cell r="H79">
            <v>25466.958999999999</v>
          </cell>
        </row>
        <row r="80">
          <cell r="H80">
            <v>4524.3572927083333</v>
          </cell>
        </row>
        <row r="81">
          <cell r="H81">
            <v>0</v>
          </cell>
        </row>
        <row r="82">
          <cell r="H82">
            <v>189.42506833333334</v>
          </cell>
        </row>
        <row r="83">
          <cell r="H83">
            <v>0</v>
          </cell>
        </row>
        <row r="84">
          <cell r="H84">
            <v>683.29159142083336</v>
          </cell>
        </row>
        <row r="85">
          <cell r="H85">
            <v>669.46384425333338</v>
          </cell>
        </row>
        <row r="86">
          <cell r="H86">
            <v>455.00100821666672</v>
          </cell>
        </row>
        <row r="87">
          <cell r="H87">
            <v>0</v>
          </cell>
        </row>
        <row r="88">
          <cell r="H88">
            <v>2676.6274500000004</v>
          </cell>
        </row>
        <row r="89">
          <cell r="H89">
            <v>0</v>
          </cell>
        </row>
        <row r="90">
          <cell r="H90">
            <v>77.613128645833342</v>
          </cell>
        </row>
        <row r="91">
          <cell r="H91">
            <v>600</v>
          </cell>
        </row>
        <row r="92">
          <cell r="H92">
            <v>0</v>
          </cell>
        </row>
        <row r="93">
          <cell r="H93">
            <v>695.88745438249998</v>
          </cell>
        </row>
        <row r="94">
          <cell r="H94">
            <v>0</v>
          </cell>
        </row>
        <row r="95">
          <cell r="H95">
            <v>9736.1632436406253</v>
          </cell>
        </row>
        <row r="96">
          <cell r="H96">
            <v>15000</v>
          </cell>
        </row>
        <row r="97">
          <cell r="H97">
            <v>200</v>
          </cell>
        </row>
        <row r="98">
          <cell r="H98">
            <v>0</v>
          </cell>
        </row>
        <row r="99">
          <cell r="H99">
            <v>3849.0380568175001</v>
          </cell>
        </row>
        <row r="100">
          <cell r="H100">
            <v>527.43359839250002</v>
          </cell>
        </row>
        <row r="101">
          <cell r="H101">
            <v>0</v>
          </cell>
        </row>
        <row r="106">
          <cell r="H106">
            <v>1000</v>
          </cell>
        </row>
        <row r="107">
          <cell r="H107">
            <v>2500</v>
          </cell>
        </row>
        <row r="108">
          <cell r="H108">
            <v>0</v>
          </cell>
        </row>
        <row r="109">
          <cell r="H109">
            <v>500</v>
          </cell>
        </row>
        <row r="110">
          <cell r="H110">
            <v>4800</v>
          </cell>
        </row>
        <row r="111">
          <cell r="H111">
            <v>7000</v>
          </cell>
        </row>
        <row r="112">
          <cell r="H112">
            <v>20</v>
          </cell>
        </row>
        <row r="113">
          <cell r="H113">
            <v>500</v>
          </cell>
        </row>
        <row r="114">
          <cell r="H114">
            <v>5000</v>
          </cell>
        </row>
        <row r="118">
          <cell r="H118">
            <v>412.99999999999994</v>
          </cell>
        </row>
        <row r="119">
          <cell r="H119">
            <v>265.50000000000006</v>
          </cell>
        </row>
        <row r="120">
          <cell r="H120">
            <v>460.20000000000005</v>
          </cell>
        </row>
        <row r="121">
          <cell r="H121">
            <v>5830.6500000000005</v>
          </cell>
        </row>
        <row r="122">
          <cell r="H122">
            <v>5579.8575000000001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885.1807424000001</v>
          </cell>
        </row>
        <row r="131">
          <cell r="H131">
            <v>59000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18192.789109099351</v>
          </cell>
        </row>
        <row r="142">
          <cell r="H142">
            <v>1456.3675395683226</v>
          </cell>
        </row>
        <row r="143">
          <cell r="H143">
            <v>3117.3766984289477</v>
          </cell>
        </row>
        <row r="144">
          <cell r="H144">
            <v>0</v>
          </cell>
        </row>
        <row r="145">
          <cell r="H145">
            <v>1750.3165698676723</v>
          </cell>
        </row>
        <row r="146">
          <cell r="H146">
            <v>0</v>
          </cell>
        </row>
        <row r="147">
          <cell r="H147">
            <v>344.72241056000001</v>
          </cell>
        </row>
        <row r="148">
          <cell r="H148">
            <v>18.677144500000001</v>
          </cell>
        </row>
        <row r="149">
          <cell r="H149">
            <v>79.406985830000011</v>
          </cell>
        </row>
        <row r="150">
          <cell r="H150">
            <v>153.94233113416666</v>
          </cell>
        </row>
        <row r="152">
          <cell r="H152">
            <v>0</v>
          </cell>
        </row>
        <row r="156">
          <cell r="H156">
            <v>8114.5014299999993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158.66435504020833</v>
          </cell>
        </row>
        <row r="162">
          <cell r="H162">
            <v>15.008380182708333</v>
          </cell>
        </row>
        <row r="163">
          <cell r="H163">
            <v>220.68296466499996</v>
          </cell>
        </row>
        <row r="164">
          <cell r="H164">
            <v>-87.628888343750006</v>
          </cell>
        </row>
        <row r="165">
          <cell r="H165">
            <v>394.29238999375002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195.8442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1800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923.57881558878978</v>
          </cell>
          <cell r="H207">
            <v>3380.8696831075836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13482.350974416393</v>
          </cell>
          <cell r="H212">
            <v>21414.635509408359</v>
          </cell>
        </row>
        <row r="213">
          <cell r="C213">
            <v>-4503.6400000000003</v>
          </cell>
          <cell r="H213">
            <v>-5400</v>
          </cell>
        </row>
        <row r="217">
          <cell r="H217">
            <v>9316.1955940613407</v>
          </cell>
        </row>
      </sheetData>
      <sheetData sheetId="5">
        <row r="8">
          <cell r="H8">
            <v>1140000</v>
          </cell>
        </row>
        <row r="9">
          <cell r="H9">
            <v>0</v>
          </cell>
        </row>
        <row r="21">
          <cell r="C21">
            <v>833113.18999999983</v>
          </cell>
        </row>
        <row r="49">
          <cell r="H49">
            <v>15000</v>
          </cell>
        </row>
        <row r="56">
          <cell r="C56">
            <v>104794.41</v>
          </cell>
        </row>
        <row r="57">
          <cell r="C57">
            <v>135281</v>
          </cell>
        </row>
        <row r="60">
          <cell r="C60">
            <v>0.4</v>
          </cell>
          <cell r="H60">
            <v>0.41</v>
          </cell>
        </row>
        <row r="61">
          <cell r="C61">
            <v>0.36499999999999999</v>
          </cell>
        </row>
        <row r="64">
          <cell r="H64">
            <v>6614.1780000000008</v>
          </cell>
        </row>
        <row r="65">
          <cell r="H65">
            <v>0</v>
          </cell>
        </row>
        <row r="66">
          <cell r="H66">
            <v>1994.6535000000001</v>
          </cell>
        </row>
        <row r="67">
          <cell r="H67">
            <v>2000</v>
          </cell>
        </row>
        <row r="68">
          <cell r="H68">
            <v>2751.3875000000003</v>
          </cell>
        </row>
        <row r="72">
          <cell r="H72">
            <v>0</v>
          </cell>
        </row>
        <row r="73">
          <cell r="H73">
            <v>5016.5326000000005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7.9735844201388897</v>
          </cell>
        </row>
        <row r="77">
          <cell r="H77">
            <v>1625.3915</v>
          </cell>
        </row>
        <row r="78">
          <cell r="H78">
            <v>288.94434764633644</v>
          </cell>
        </row>
        <row r="79">
          <cell r="H79">
            <v>34105.0962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189.19741687499999</v>
          </cell>
        </row>
        <row r="83">
          <cell r="H83">
            <v>284.09466008333334</v>
          </cell>
        </row>
        <row r="84">
          <cell r="H84">
            <v>3201.5619496106251</v>
          </cell>
        </row>
        <row r="85">
          <cell r="H85">
            <v>667.74319884687498</v>
          </cell>
        </row>
        <row r="86">
          <cell r="H86">
            <v>629.23011963957322</v>
          </cell>
        </row>
        <row r="87">
          <cell r="H87">
            <v>0</v>
          </cell>
        </row>
        <row r="88">
          <cell r="H88">
            <v>3000</v>
          </cell>
        </row>
        <row r="89">
          <cell r="H89">
            <v>0</v>
          </cell>
        </row>
        <row r="90">
          <cell r="H90">
            <v>441.33235556587499</v>
          </cell>
        </row>
        <row r="91">
          <cell r="H91">
            <v>966.59320000000002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64.993000000000009</v>
          </cell>
        </row>
        <row r="95">
          <cell r="H95">
            <v>10453.696600000001</v>
          </cell>
        </row>
        <row r="96">
          <cell r="H96">
            <v>16000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5867.0860000000002</v>
          </cell>
        </row>
        <row r="100">
          <cell r="H100">
            <v>1044.3511251756979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3000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6500</v>
          </cell>
        </row>
        <row r="110">
          <cell r="H110">
            <v>20000</v>
          </cell>
        </row>
        <row r="111">
          <cell r="H111">
            <v>150</v>
          </cell>
        </row>
        <row r="112">
          <cell r="H112">
            <v>1000</v>
          </cell>
        </row>
        <row r="113">
          <cell r="H113">
            <v>5500</v>
          </cell>
        </row>
        <row r="114">
          <cell r="H114">
            <v>0</v>
          </cell>
        </row>
        <row r="118">
          <cell r="H118">
            <v>685.99999999999989</v>
          </cell>
        </row>
        <row r="119">
          <cell r="H119">
            <v>441.00000000000006</v>
          </cell>
        </row>
        <row r="120">
          <cell r="H120">
            <v>764.40000000000009</v>
          </cell>
        </row>
        <row r="121">
          <cell r="H121">
            <v>4969.6500000000005</v>
          </cell>
        </row>
        <row r="122">
          <cell r="H122">
            <v>6177.0240000000003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1800</v>
          </cell>
        </row>
        <row r="131">
          <cell r="H131">
            <v>98000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28217.114454180752</v>
          </cell>
        </row>
        <row r="142">
          <cell r="H142">
            <v>2872.1691829894721</v>
          </cell>
        </row>
        <row r="143">
          <cell r="H143">
            <v>6407.7099840852052</v>
          </cell>
        </row>
        <row r="144">
          <cell r="H144">
            <v>0</v>
          </cell>
        </row>
        <row r="145">
          <cell r="H145">
            <v>3824.594010068211</v>
          </cell>
        </row>
        <row r="146">
          <cell r="H146">
            <v>0</v>
          </cell>
        </row>
        <row r="147">
          <cell r="H147">
            <v>-75.591302548750008</v>
          </cell>
        </row>
        <row r="148">
          <cell r="H148">
            <v>41.900245500000004</v>
          </cell>
        </row>
        <row r="149">
          <cell r="H149">
            <v>50.777326250000002</v>
          </cell>
        </row>
        <row r="150">
          <cell r="H150">
            <v>43.261733833333338</v>
          </cell>
        </row>
        <row r="152">
          <cell r="H152">
            <v>2041.7646740000002</v>
          </cell>
        </row>
        <row r="156">
          <cell r="H156">
            <v>15742.2258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269.61961862821772</v>
          </cell>
        </row>
        <row r="162">
          <cell r="H162">
            <v>-3.6707918481152779</v>
          </cell>
        </row>
        <row r="163">
          <cell r="H163">
            <v>2019.9346533326823</v>
          </cell>
        </row>
        <row r="164">
          <cell r="H164">
            <v>-18.619947440820837</v>
          </cell>
        </row>
        <row r="165">
          <cell r="H165">
            <v>104.99773263835833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17900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2210.7356291053725</v>
          </cell>
          <cell r="H207">
            <v>6797.5157649782104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32502.895588045074</v>
          </cell>
          <cell r="H212">
            <v>43055.880918387178</v>
          </cell>
        </row>
        <row r="213">
          <cell r="C213">
            <v>-8769.84</v>
          </cell>
          <cell r="H213">
            <v>-10000</v>
          </cell>
        </row>
        <row r="217">
          <cell r="H217">
            <v>85679.681661056908</v>
          </cell>
        </row>
      </sheetData>
      <sheetData sheetId="6">
        <row r="8">
          <cell r="H8">
            <v>1270000</v>
          </cell>
        </row>
        <row r="21">
          <cell r="C21">
            <v>931426.19000000006</v>
          </cell>
        </row>
        <row r="49">
          <cell r="H49">
            <v>11000</v>
          </cell>
        </row>
        <row r="56">
          <cell r="C56">
            <v>120213.26</v>
          </cell>
        </row>
        <row r="57">
          <cell r="C57">
            <v>148440</v>
          </cell>
        </row>
        <row r="60">
          <cell r="C60">
            <v>0.375</v>
          </cell>
          <cell r="H60">
            <v>0.375</v>
          </cell>
        </row>
        <row r="61">
          <cell r="C61">
            <v>0.36599999999999999</v>
          </cell>
        </row>
        <row r="64">
          <cell r="H64">
            <v>7150</v>
          </cell>
        </row>
        <row r="65">
          <cell r="H65">
            <v>0</v>
          </cell>
        </row>
        <row r="66">
          <cell r="H66">
            <v>1849.3545000000001</v>
          </cell>
        </row>
        <row r="67">
          <cell r="H67">
            <v>2082.66</v>
          </cell>
        </row>
        <row r="68">
          <cell r="H68">
            <v>4547.9856000000009</v>
          </cell>
        </row>
        <row r="72">
          <cell r="H72">
            <v>7.1482816890854171</v>
          </cell>
        </row>
        <row r="73">
          <cell r="H73">
            <v>2672.4800649435729</v>
          </cell>
        </row>
        <row r="74">
          <cell r="H74">
            <v>4505.7309584087507</v>
          </cell>
        </row>
        <row r="75">
          <cell r="H75">
            <v>0</v>
          </cell>
        </row>
        <row r="76">
          <cell r="H76">
            <v>27.032218216363891</v>
          </cell>
        </row>
        <row r="77">
          <cell r="H77">
            <v>924.08328854443596</v>
          </cell>
        </row>
        <row r="78">
          <cell r="H78">
            <v>2340.7015634275867</v>
          </cell>
        </row>
        <row r="79">
          <cell r="H79">
            <v>23457.16</v>
          </cell>
        </row>
        <row r="80">
          <cell r="H80">
            <v>31.553818250000003</v>
          </cell>
        </row>
        <row r="81">
          <cell r="H81">
            <v>0</v>
          </cell>
        </row>
        <row r="82">
          <cell r="H82">
            <v>791.82326281333337</v>
          </cell>
        </row>
        <row r="83">
          <cell r="H83">
            <v>319.57535333333334</v>
          </cell>
        </row>
        <row r="84">
          <cell r="H84">
            <v>2490.9045863210745</v>
          </cell>
        </row>
        <row r="85">
          <cell r="H85">
            <v>667.85702457604168</v>
          </cell>
        </row>
        <row r="86">
          <cell r="H86">
            <v>348.67884066886495</v>
          </cell>
        </row>
        <row r="87">
          <cell r="H87">
            <v>0</v>
          </cell>
        </row>
        <row r="88">
          <cell r="H88">
            <v>3065.9422500000005</v>
          </cell>
        </row>
        <row r="89">
          <cell r="H89">
            <v>0</v>
          </cell>
        </row>
        <row r="90">
          <cell r="H90">
            <v>115.6050801670139</v>
          </cell>
        </row>
        <row r="91">
          <cell r="H91">
            <v>1260.8127000000002</v>
          </cell>
        </row>
        <row r="92">
          <cell r="H92">
            <v>0</v>
          </cell>
        </row>
        <row r="93">
          <cell r="H93">
            <v>5.2758225468750002</v>
          </cell>
        </row>
        <row r="94">
          <cell r="H94">
            <v>0</v>
          </cell>
        </row>
        <row r="95">
          <cell r="H95">
            <v>13449.292181749999</v>
          </cell>
        </row>
        <row r="96">
          <cell r="H96">
            <v>11000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5317.5206696510659</v>
          </cell>
        </row>
        <row r="100">
          <cell r="H100">
            <v>1173.1305044632768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5000</v>
          </cell>
        </row>
        <row r="107">
          <cell r="H107">
            <v>0</v>
          </cell>
        </row>
        <row r="108">
          <cell r="H108">
            <v>500</v>
          </cell>
        </row>
        <row r="109">
          <cell r="H109">
            <v>5500</v>
          </cell>
        </row>
        <row r="110">
          <cell r="H110">
            <v>7000</v>
          </cell>
        </row>
        <row r="111">
          <cell r="H111">
            <v>100</v>
          </cell>
        </row>
        <row r="112">
          <cell r="H112">
            <v>2000</v>
          </cell>
        </row>
        <row r="113">
          <cell r="H113">
            <v>7000</v>
          </cell>
        </row>
        <row r="114">
          <cell r="H114">
            <v>0</v>
          </cell>
        </row>
        <row r="118">
          <cell r="H118">
            <v>895.99999999999989</v>
          </cell>
        </row>
        <row r="119">
          <cell r="H119">
            <v>576.00000000000011</v>
          </cell>
        </row>
        <row r="120">
          <cell r="H120">
            <v>998.40000000000009</v>
          </cell>
        </row>
        <row r="121">
          <cell r="H121">
            <v>4887.75</v>
          </cell>
        </row>
        <row r="122">
          <cell r="H122">
            <v>2670.15</v>
          </cell>
        </row>
        <row r="123">
          <cell r="H123">
            <v>21.218000000000004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2014.4</v>
          </cell>
        </row>
        <row r="131">
          <cell r="H131">
            <v>128000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31274.856917459267</v>
          </cell>
        </row>
        <row r="142">
          <cell r="H142">
            <v>3788.7705458025289</v>
          </cell>
        </row>
        <row r="143">
          <cell r="H143">
            <v>9226.0352765420412</v>
          </cell>
        </row>
        <row r="144">
          <cell r="H144">
            <v>0</v>
          </cell>
        </row>
        <row r="145">
          <cell r="H145">
            <v>6239.3088298105222</v>
          </cell>
        </row>
        <row r="146">
          <cell r="H146">
            <v>0</v>
          </cell>
        </row>
        <row r="147">
          <cell r="H147">
            <v>69.504400000000004</v>
          </cell>
        </row>
        <row r="148">
          <cell r="H148">
            <v>50.726933499999994</v>
          </cell>
        </row>
        <row r="149">
          <cell r="H149">
            <v>115.78884049999999</v>
          </cell>
        </row>
        <row r="150">
          <cell r="H150">
            <v>333.63947108508927</v>
          </cell>
        </row>
        <row r="152">
          <cell r="H152">
            <v>1779.7569820000001</v>
          </cell>
        </row>
        <row r="156">
          <cell r="H156">
            <v>16232.873300000001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182.89219517833891</v>
          </cell>
        </row>
        <row r="162">
          <cell r="H162">
            <v>0</v>
          </cell>
        </row>
        <row r="163">
          <cell r="H163">
            <v>2122.4866356145631</v>
          </cell>
        </row>
        <row r="164">
          <cell r="H164">
            <v>0</v>
          </cell>
        </row>
        <row r="165">
          <cell r="H165">
            <v>125.69409049817291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224.49998421986146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13000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321.42180000000002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2469.4147394256784</v>
          </cell>
          <cell r="H207">
            <v>7572.6710715108138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36229.747700913809</v>
          </cell>
          <cell r="H212">
            <v>47965.762075747116</v>
          </cell>
        </row>
        <row r="213">
          <cell r="C213">
            <v>-9082.44</v>
          </cell>
          <cell r="H213">
            <v>-10000</v>
          </cell>
        </row>
        <row r="217">
          <cell r="H217">
            <v>74706.046859220456</v>
          </cell>
        </row>
      </sheetData>
      <sheetData sheetId="7">
        <row r="8">
          <cell r="H8">
            <v>930000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682551.74999999988</v>
          </cell>
        </row>
        <row r="49">
          <cell r="H49">
            <v>10000</v>
          </cell>
        </row>
        <row r="56">
          <cell r="C56">
            <v>108769.2</v>
          </cell>
        </row>
        <row r="57">
          <cell r="C57">
            <v>111486</v>
          </cell>
        </row>
        <row r="60">
          <cell r="C60">
            <v>0.35499999999999998</v>
          </cell>
          <cell r="H60">
            <v>0.38</v>
          </cell>
        </row>
        <row r="61">
          <cell r="C61">
            <v>0.38400000000000001</v>
          </cell>
        </row>
        <row r="64">
          <cell r="H64">
            <v>3972.96</v>
          </cell>
        </row>
        <row r="65">
          <cell r="H65">
            <v>0</v>
          </cell>
        </row>
        <row r="66">
          <cell r="H66">
            <v>1315.3455000000001</v>
          </cell>
        </row>
        <row r="67">
          <cell r="H67">
            <v>1500</v>
          </cell>
        </row>
        <row r="68">
          <cell r="H68">
            <v>2680.3793000000001</v>
          </cell>
        </row>
        <row r="72">
          <cell r="H72">
            <v>43.770385595922917</v>
          </cell>
        </row>
        <row r="73">
          <cell r="H73">
            <v>2191.1372429980697</v>
          </cell>
        </row>
        <row r="74">
          <cell r="H74">
            <v>3870.9041907918013</v>
          </cell>
        </row>
        <row r="75">
          <cell r="H75">
            <v>0</v>
          </cell>
        </row>
        <row r="76">
          <cell r="H76">
            <v>7.0891472987576396</v>
          </cell>
        </row>
        <row r="77">
          <cell r="H77">
            <v>1929.6196472904167</v>
          </cell>
        </row>
        <row r="78">
          <cell r="H78">
            <v>3620.3166507775863</v>
          </cell>
        </row>
        <row r="79">
          <cell r="H79">
            <v>33169.827599999997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351.71959708103122</v>
          </cell>
        </row>
        <row r="83">
          <cell r="H83">
            <v>39.674532363835759</v>
          </cell>
        </row>
        <row r="84">
          <cell r="H84">
            <v>1676.688724040981</v>
          </cell>
        </row>
        <row r="85">
          <cell r="H85">
            <v>664.90075755574799</v>
          </cell>
        </row>
        <row r="86">
          <cell r="H86">
            <v>439.9409785165476</v>
          </cell>
        </row>
        <row r="87">
          <cell r="H87">
            <v>0</v>
          </cell>
        </row>
        <row r="88">
          <cell r="H88">
            <v>2583.1685250000005</v>
          </cell>
        </row>
        <row r="89">
          <cell r="H89">
            <v>0</v>
          </cell>
        </row>
        <row r="90">
          <cell r="H90">
            <v>232.66784824028056</v>
          </cell>
        </row>
        <row r="91">
          <cell r="H91">
            <v>1081.0777000000003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5.5175201001875003</v>
          </cell>
        </row>
        <row r="95">
          <cell r="H95">
            <v>20985.897046359372</v>
          </cell>
        </row>
        <row r="96">
          <cell r="H96">
            <v>8000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4449.7477648087561</v>
          </cell>
        </row>
        <row r="100">
          <cell r="H100">
            <v>923.7451418690531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3000</v>
          </cell>
        </row>
        <row r="107">
          <cell r="H107">
            <v>0</v>
          </cell>
        </row>
        <row r="108">
          <cell r="H108">
            <v>300</v>
          </cell>
        </row>
        <row r="109">
          <cell r="H109">
            <v>4500</v>
          </cell>
        </row>
        <row r="110">
          <cell r="H110">
            <v>8000</v>
          </cell>
        </row>
        <row r="111">
          <cell r="H111">
            <v>150</v>
          </cell>
        </row>
        <row r="112">
          <cell r="H112">
            <v>0</v>
          </cell>
        </row>
        <row r="113">
          <cell r="H113">
            <v>6000</v>
          </cell>
        </row>
        <row r="114">
          <cell r="H114">
            <v>0</v>
          </cell>
        </row>
        <row r="118">
          <cell r="H118">
            <v>594.99999999999989</v>
          </cell>
        </row>
        <row r="119">
          <cell r="H119">
            <v>382.50000000000006</v>
          </cell>
        </row>
        <row r="120">
          <cell r="H120">
            <v>663</v>
          </cell>
        </row>
        <row r="121">
          <cell r="H121">
            <v>2883.3</v>
          </cell>
        </row>
        <row r="122">
          <cell r="H122">
            <v>699.36299999999994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1472</v>
          </cell>
        </row>
        <row r="131">
          <cell r="H131">
            <v>85000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17044.03317445334</v>
          </cell>
        </row>
        <row r="142">
          <cell r="H142">
            <v>4638.9087702533143</v>
          </cell>
        </row>
        <row r="143">
          <cell r="H143">
            <v>11402.378849149467</v>
          </cell>
        </row>
        <row r="144">
          <cell r="H144">
            <v>343.24392546236407</v>
          </cell>
        </row>
        <row r="145">
          <cell r="H145">
            <v>6025.7711040411459</v>
          </cell>
        </row>
        <row r="146">
          <cell r="H146">
            <v>0</v>
          </cell>
        </row>
        <row r="147">
          <cell r="H147">
            <v>763.05836659374995</v>
          </cell>
        </row>
        <row r="148">
          <cell r="H148">
            <v>0</v>
          </cell>
        </row>
        <row r="149">
          <cell r="H149">
            <v>126.36318100000001</v>
          </cell>
        </row>
        <row r="150">
          <cell r="H150">
            <v>461.98437356145831</v>
          </cell>
        </row>
        <row r="152">
          <cell r="H152">
            <v>1853.1539837499997</v>
          </cell>
        </row>
        <row r="156">
          <cell r="H156">
            <v>10832.9655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273.62654984572913</v>
          </cell>
        </row>
        <row r="162">
          <cell r="H162">
            <v>18.58191397725972</v>
          </cell>
        </row>
        <row r="163">
          <cell r="H163">
            <v>20.497677415442709</v>
          </cell>
        </row>
        <row r="164">
          <cell r="H164">
            <v>-32.246593088114587</v>
          </cell>
        </row>
        <row r="165">
          <cell r="H165">
            <v>151.32489924665626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3300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175.72897658125001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1813.8211350975703</v>
          </cell>
          <cell r="H207">
            <v>5545.341808271698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26530.129054093795</v>
          </cell>
          <cell r="H212">
            <v>35124.534433421119</v>
          </cell>
        </row>
        <row r="213">
          <cell r="C213">
            <v>-7851.32</v>
          </cell>
          <cell r="H213">
            <v>-8800</v>
          </cell>
        </row>
        <row r="217">
          <cell r="H217">
            <v>40872.866881330097</v>
          </cell>
        </row>
      </sheetData>
      <sheetData sheetId="8">
        <row r="8">
          <cell r="H8">
            <v>567000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355437.3</v>
          </cell>
        </row>
        <row r="49">
          <cell r="H49">
            <v>12000</v>
          </cell>
        </row>
        <row r="56">
          <cell r="C56">
            <v>88338.22</v>
          </cell>
        </row>
        <row r="57">
          <cell r="C57">
            <v>80609</v>
          </cell>
        </row>
        <row r="60">
          <cell r="C60">
            <v>0.34</v>
          </cell>
          <cell r="H60">
            <v>0.35</v>
          </cell>
        </row>
        <row r="61">
          <cell r="C61">
            <v>0.35099999999999998</v>
          </cell>
        </row>
        <row r="64">
          <cell r="H64">
            <v>3165.6000000000004</v>
          </cell>
        </row>
        <row r="65">
          <cell r="H65">
            <v>0</v>
          </cell>
        </row>
        <row r="66">
          <cell r="H66">
            <v>583.90500000000009</v>
          </cell>
        </row>
        <row r="67">
          <cell r="H67">
            <v>600</v>
          </cell>
        </row>
        <row r="68">
          <cell r="H68">
            <v>1089.8533000000002</v>
          </cell>
        </row>
        <row r="72">
          <cell r="H72">
            <v>13.166655134535416</v>
          </cell>
        </row>
        <row r="73">
          <cell r="H73">
            <v>5892.1067080348193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0.39080167013888889</v>
          </cell>
        </row>
        <row r="77">
          <cell r="H77">
            <v>1912.6458917720745</v>
          </cell>
        </row>
        <row r="78">
          <cell r="H78">
            <v>0.54434764633645838</v>
          </cell>
        </row>
        <row r="79">
          <cell r="H79">
            <v>17046.900000000001</v>
          </cell>
        </row>
        <row r="80">
          <cell r="H80">
            <v>74.293978486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2.2765145833333338</v>
          </cell>
        </row>
        <row r="84">
          <cell r="H84">
            <v>1236.980949231099</v>
          </cell>
        </row>
        <row r="85">
          <cell r="H85">
            <v>667.06092742625003</v>
          </cell>
        </row>
        <row r="86">
          <cell r="H86">
            <v>816.65015176680913</v>
          </cell>
        </row>
        <row r="87">
          <cell r="H87">
            <v>0</v>
          </cell>
        </row>
        <row r="88">
          <cell r="H88">
            <v>2293.4646000000002</v>
          </cell>
        </row>
        <row r="89">
          <cell r="H89">
            <v>0</v>
          </cell>
        </row>
        <row r="90">
          <cell r="H90">
            <v>427.23899364669694</v>
          </cell>
        </row>
        <row r="91">
          <cell r="H91">
            <v>496.07858149395838</v>
          </cell>
        </row>
        <row r="92">
          <cell r="H92">
            <v>0</v>
          </cell>
        </row>
        <row r="93">
          <cell r="H93">
            <v>173.47170250520833</v>
          </cell>
        </row>
        <row r="94">
          <cell r="H94">
            <v>0</v>
          </cell>
        </row>
        <row r="95">
          <cell r="H95">
            <v>5169.5408059374995</v>
          </cell>
        </row>
        <row r="96">
          <cell r="H96">
            <v>4500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4247.260395440866</v>
          </cell>
        </row>
        <row r="100">
          <cell r="H100">
            <v>1184.5362995282651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1500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4200</v>
          </cell>
        </row>
        <row r="110">
          <cell r="H110">
            <v>10000</v>
          </cell>
        </row>
        <row r="111">
          <cell r="H111">
            <v>20</v>
          </cell>
        </row>
        <row r="112">
          <cell r="H112">
            <v>500</v>
          </cell>
        </row>
        <row r="113">
          <cell r="H113">
            <v>5000</v>
          </cell>
        </row>
        <row r="114">
          <cell r="H114">
            <v>0</v>
          </cell>
        </row>
        <row r="118">
          <cell r="H118">
            <v>377.99999999999994</v>
          </cell>
        </row>
        <row r="119">
          <cell r="H119">
            <v>243.00000000000003</v>
          </cell>
        </row>
        <row r="120">
          <cell r="H120">
            <v>421.20000000000005</v>
          </cell>
        </row>
        <row r="121">
          <cell r="H121">
            <v>2696.1375000000003</v>
          </cell>
        </row>
        <row r="122">
          <cell r="H122">
            <v>1839.6000000000001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888</v>
          </cell>
        </row>
        <row r="131">
          <cell r="H131">
            <v>54000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3000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13929.668546230943</v>
          </cell>
        </row>
        <row r="142">
          <cell r="H142">
            <v>1674.4455961175379</v>
          </cell>
        </row>
        <row r="143">
          <cell r="H143">
            <v>3462.0607458280006</v>
          </cell>
        </row>
        <row r="144">
          <cell r="H144">
            <v>0</v>
          </cell>
        </row>
        <row r="145">
          <cell r="H145">
            <v>2111.6587893916544</v>
          </cell>
        </row>
        <row r="146">
          <cell r="H146">
            <v>0</v>
          </cell>
        </row>
        <row r="147">
          <cell r="H147">
            <v>76.271500000000003</v>
          </cell>
        </row>
        <row r="148">
          <cell r="H148">
            <v>18.677144500000001</v>
          </cell>
        </row>
        <row r="149">
          <cell r="H149">
            <v>0</v>
          </cell>
        </row>
        <row r="150">
          <cell r="H150">
            <v>162.4355974525302</v>
          </cell>
        </row>
        <row r="152">
          <cell r="H152">
            <v>0</v>
          </cell>
        </row>
        <row r="156">
          <cell r="H156">
            <v>7932.8402999999998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81.724649022234388</v>
          </cell>
        </row>
        <row r="162">
          <cell r="H162">
            <v>0.13420129352569446</v>
          </cell>
        </row>
        <row r="163">
          <cell r="H163">
            <v>1.9883218350694445</v>
          </cell>
        </row>
        <row r="164">
          <cell r="H164">
            <v>-5.085667767853125</v>
          </cell>
        </row>
        <row r="165">
          <cell r="H165">
            <v>173.78359401583955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23.870250000000002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1032.0806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924.04993772933267</v>
          </cell>
          <cell r="H207">
            <v>3380.8696831075836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13911.022786637252</v>
          </cell>
          <cell r="H212">
            <v>21414.635509408359</v>
          </cell>
        </row>
        <row r="213">
          <cell r="C213">
            <v>-2816.52</v>
          </cell>
          <cell r="H213">
            <v>-4200</v>
          </cell>
        </row>
        <row r="217">
          <cell r="H217">
            <v>-6167.6112905516893</v>
          </cell>
        </row>
      </sheetData>
      <sheetData sheetId="9">
        <row r="8">
          <cell r="H8">
            <v>886200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689452.16</v>
          </cell>
        </row>
        <row r="49">
          <cell r="H49">
            <v>10000</v>
          </cell>
        </row>
        <row r="56">
          <cell r="C56">
            <v>145174.78</v>
          </cell>
        </row>
        <row r="57">
          <cell r="C57">
            <v>198513</v>
          </cell>
        </row>
        <row r="60">
          <cell r="C60">
            <v>0.36</v>
          </cell>
          <cell r="H60">
            <v>0.35499999999999998</v>
          </cell>
        </row>
        <row r="61">
          <cell r="C61">
            <v>0.374</v>
          </cell>
        </row>
        <row r="64">
          <cell r="H64">
            <v>6867.24</v>
          </cell>
        </row>
        <row r="65">
          <cell r="H65">
            <v>0</v>
          </cell>
        </row>
        <row r="66">
          <cell r="H66">
            <v>1310</v>
          </cell>
        </row>
        <row r="67">
          <cell r="H67">
            <v>3100</v>
          </cell>
        </row>
        <row r="68">
          <cell r="H68">
            <v>4500</v>
          </cell>
        </row>
        <row r="72">
          <cell r="H72">
            <v>311.12319410499998</v>
          </cell>
        </row>
        <row r="73">
          <cell r="H73">
            <v>1238.7308861973897</v>
          </cell>
        </row>
        <row r="74">
          <cell r="H74">
            <v>5261.6249565865483</v>
          </cell>
        </row>
        <row r="75">
          <cell r="H75">
            <v>0</v>
          </cell>
        </row>
        <row r="76">
          <cell r="H76">
            <v>6.4645516292753475</v>
          </cell>
        </row>
        <row r="77">
          <cell r="H77">
            <v>3282.5395067025433</v>
          </cell>
        </row>
        <row r="78">
          <cell r="H78">
            <v>0.54434764633645838</v>
          </cell>
        </row>
        <row r="79">
          <cell r="H79">
            <v>21466.042511737091</v>
          </cell>
        </row>
        <row r="80">
          <cell r="H80">
            <v>1727.7315667830558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0</v>
          </cell>
        </row>
        <row r="84">
          <cell r="H84">
            <v>4002.292370643604</v>
          </cell>
        </row>
        <row r="85">
          <cell r="H85">
            <v>1290.7355068125</v>
          </cell>
        </row>
        <row r="86">
          <cell r="H86">
            <v>318.53906500490729</v>
          </cell>
        </row>
        <row r="87">
          <cell r="H87">
            <v>0</v>
          </cell>
        </row>
        <row r="88">
          <cell r="H88">
            <v>2692.801125</v>
          </cell>
        </row>
        <row r="89">
          <cell r="H89">
            <v>0</v>
          </cell>
        </row>
        <row r="90">
          <cell r="H90">
            <v>384.31837892318748</v>
          </cell>
        </row>
        <row r="91">
          <cell r="H91">
            <v>435.209731535625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10505.010239203124</v>
          </cell>
        </row>
        <row r="96">
          <cell r="H96">
            <v>7000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3656.7293783065502</v>
          </cell>
        </row>
        <row r="100">
          <cell r="H100">
            <v>781.82343036545183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3000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6000</v>
          </cell>
        </row>
        <row r="110">
          <cell r="H110">
            <v>10000</v>
          </cell>
        </row>
        <row r="111">
          <cell r="H111">
            <v>100</v>
          </cell>
        </row>
        <row r="112">
          <cell r="H112">
            <v>0</v>
          </cell>
        </row>
        <row r="113">
          <cell r="H113">
            <v>5500</v>
          </cell>
        </row>
        <row r="114">
          <cell r="H114">
            <v>0</v>
          </cell>
        </row>
        <row r="118">
          <cell r="H118">
            <v>650.99999999999989</v>
          </cell>
        </row>
        <row r="119">
          <cell r="H119">
            <v>418.50000000000006</v>
          </cell>
        </row>
        <row r="120">
          <cell r="H120">
            <v>725.40000000000009</v>
          </cell>
        </row>
        <row r="121">
          <cell r="H121">
            <v>2549.4</v>
          </cell>
        </row>
        <row r="122">
          <cell r="H122">
            <v>1711.41644625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1401.92</v>
          </cell>
        </row>
        <row r="131">
          <cell r="H131">
            <v>93000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24706.909735103942</v>
          </cell>
        </row>
        <row r="142">
          <cell r="H142">
            <v>2411.6993895571159</v>
          </cell>
        </row>
        <row r="143">
          <cell r="H143">
            <v>5364.0998178405061</v>
          </cell>
        </row>
        <row r="144">
          <cell r="H144">
            <v>0</v>
          </cell>
        </row>
        <row r="145">
          <cell r="H145">
            <v>3364.3697587429606</v>
          </cell>
        </row>
        <row r="146">
          <cell r="H146">
            <v>0</v>
          </cell>
        </row>
        <row r="147">
          <cell r="H147">
            <v>952.84729566687497</v>
          </cell>
        </row>
        <row r="148">
          <cell r="H148">
            <v>69.150729028750007</v>
          </cell>
        </row>
        <row r="149">
          <cell r="H149">
            <v>34.8792358225</v>
          </cell>
        </row>
        <row r="150">
          <cell r="H150">
            <v>263.48043872312496</v>
          </cell>
        </row>
        <row r="152">
          <cell r="H152">
            <v>23.605025000000001</v>
          </cell>
        </row>
        <row r="156">
          <cell r="H156">
            <v>9928.9759379999996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729.42990201197915</v>
          </cell>
        </row>
        <row r="162">
          <cell r="H162">
            <v>3.8599217732746527</v>
          </cell>
        </row>
        <row r="163">
          <cell r="H163">
            <v>370.31625648729164</v>
          </cell>
        </row>
        <row r="164">
          <cell r="H164">
            <v>-57.360376596093751</v>
          </cell>
        </row>
        <row r="165">
          <cell r="H165">
            <v>140.65845698760833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2700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4.4917909243749996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1858.4659530398571</v>
          </cell>
          <cell r="H207">
            <v>5284.174097301483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26528.407736303139</v>
          </cell>
          <cell r="H212">
            <v>33470.282166556768</v>
          </cell>
        </row>
        <row r="213">
          <cell r="C213">
            <v>-6826.68</v>
          </cell>
          <cell r="H213">
            <v>-7200</v>
          </cell>
        </row>
        <row r="217">
          <cell r="H217">
            <v>13022.345401822975</v>
          </cell>
        </row>
      </sheetData>
      <sheetData sheetId="10">
        <row r="8">
          <cell r="H8">
            <v>1530000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1087966.6699999997</v>
          </cell>
        </row>
        <row r="49">
          <cell r="H49">
            <v>28000</v>
          </cell>
        </row>
        <row r="56">
          <cell r="C56">
            <v>178415.5</v>
          </cell>
        </row>
        <row r="57">
          <cell r="C57">
            <v>220635</v>
          </cell>
        </row>
        <row r="60">
          <cell r="C60">
            <v>0.35</v>
          </cell>
          <cell r="H60">
            <v>0.38</v>
          </cell>
        </row>
        <row r="61">
          <cell r="C61">
            <v>0.33200000000000002</v>
          </cell>
        </row>
        <row r="64">
          <cell r="H64">
            <v>6270</v>
          </cell>
        </row>
        <row r="65">
          <cell r="H65">
            <v>0</v>
          </cell>
        </row>
        <row r="66">
          <cell r="H66">
            <v>1936.9770000000001</v>
          </cell>
        </row>
        <row r="67">
          <cell r="H67">
            <v>3900</v>
          </cell>
        </row>
        <row r="68">
          <cell r="H68">
            <v>5483.8024000000005</v>
          </cell>
        </row>
        <row r="72">
          <cell r="H72">
            <v>311.58682729687501</v>
          </cell>
        </row>
        <row r="73">
          <cell r="H73">
            <v>8874.8737903022247</v>
          </cell>
        </row>
        <row r="74">
          <cell r="H74">
            <v>4603.3904755354952</v>
          </cell>
        </row>
        <row r="75">
          <cell r="H75">
            <v>0</v>
          </cell>
        </row>
        <row r="76">
          <cell r="H76">
            <v>105.57410539289201</v>
          </cell>
        </row>
        <row r="77">
          <cell r="H77">
            <v>1916.0179553816668</v>
          </cell>
        </row>
        <row r="78">
          <cell r="H78">
            <v>198.62519803774271</v>
          </cell>
        </row>
        <row r="79">
          <cell r="H79">
            <v>41798.43</v>
          </cell>
        </row>
        <row r="80">
          <cell r="H80">
            <v>13.459092279082295</v>
          </cell>
        </row>
        <row r="81">
          <cell r="H81">
            <v>32.325596098080908</v>
          </cell>
        </row>
        <row r="82">
          <cell r="H82">
            <v>189.42506833333334</v>
          </cell>
        </row>
        <row r="83">
          <cell r="H83">
            <v>972.83547719041667</v>
          </cell>
        </row>
        <row r="84">
          <cell r="H84">
            <v>468.70043349937504</v>
          </cell>
        </row>
        <row r="85">
          <cell r="H85">
            <v>1589.4019127402084</v>
          </cell>
        </row>
        <row r="86">
          <cell r="H86">
            <v>917.46383773519165</v>
          </cell>
        </row>
        <row r="87">
          <cell r="H87">
            <v>0</v>
          </cell>
        </row>
        <row r="88">
          <cell r="H88">
            <v>3559.8843000000006</v>
          </cell>
        </row>
        <row r="89">
          <cell r="H89">
            <v>0</v>
          </cell>
        </row>
        <row r="90">
          <cell r="H90">
            <v>97.179219541909717</v>
          </cell>
        </row>
        <row r="91">
          <cell r="H91">
            <v>930.19180150916657</v>
          </cell>
        </row>
        <row r="92">
          <cell r="H92">
            <v>0</v>
          </cell>
        </row>
        <row r="93">
          <cell r="H93">
            <v>2.8552751623687507</v>
          </cell>
        </row>
        <row r="94">
          <cell r="H94">
            <v>14.753413751494794</v>
          </cell>
        </row>
        <row r="95">
          <cell r="H95">
            <v>20004.372987281251</v>
          </cell>
        </row>
        <row r="96">
          <cell r="H96">
            <v>16000</v>
          </cell>
        </row>
        <row r="97">
          <cell r="H97">
            <v>400</v>
          </cell>
        </row>
        <row r="98">
          <cell r="H98">
            <v>0</v>
          </cell>
        </row>
        <row r="99">
          <cell r="H99">
            <v>6120.5826984022788</v>
          </cell>
        </row>
        <row r="100">
          <cell r="H100">
            <v>993.71131478264908</v>
          </cell>
        </row>
        <row r="101">
          <cell r="H101">
            <v>0</v>
          </cell>
        </row>
        <row r="105">
          <cell r="H105">
            <v>1300</v>
          </cell>
        </row>
        <row r="106">
          <cell r="H106">
            <v>5000</v>
          </cell>
        </row>
        <row r="107">
          <cell r="H107">
            <v>0</v>
          </cell>
        </row>
        <row r="108">
          <cell r="H108">
            <v>1000</v>
          </cell>
        </row>
        <row r="109">
          <cell r="H109">
            <v>7000</v>
          </cell>
        </row>
        <row r="110">
          <cell r="H110">
            <v>40000</v>
          </cell>
        </row>
        <row r="111">
          <cell r="H111">
            <v>100</v>
          </cell>
        </row>
        <row r="112">
          <cell r="H112">
            <v>2000</v>
          </cell>
        </row>
        <row r="113">
          <cell r="H113">
            <v>17000</v>
          </cell>
        </row>
        <row r="114">
          <cell r="H114">
            <v>0</v>
          </cell>
        </row>
        <row r="118">
          <cell r="H118">
            <v>892.49999999999989</v>
          </cell>
        </row>
        <row r="119">
          <cell r="H119">
            <v>573.75000000000011</v>
          </cell>
        </row>
        <row r="120">
          <cell r="H120">
            <v>994.50000000000011</v>
          </cell>
        </row>
        <row r="121">
          <cell r="H121">
            <v>6125.7</v>
          </cell>
        </row>
        <row r="122">
          <cell r="H122">
            <v>2904.3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2403.2000000000003</v>
          </cell>
        </row>
        <row r="131">
          <cell r="H131">
            <v>127500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34784.043249630879</v>
          </cell>
        </row>
        <row r="142">
          <cell r="H142">
            <v>4800.0155157020208</v>
          </cell>
        </row>
        <row r="143">
          <cell r="H143">
            <v>7753.1884890339907</v>
          </cell>
        </row>
        <row r="144">
          <cell r="H144">
            <v>0</v>
          </cell>
        </row>
        <row r="145">
          <cell r="H145">
            <v>4901.2127520913082</v>
          </cell>
        </row>
        <row r="146">
          <cell r="H146">
            <v>0</v>
          </cell>
        </row>
        <row r="147">
          <cell r="H147">
            <v>1155.7245795193749</v>
          </cell>
        </row>
        <row r="148">
          <cell r="H148">
            <v>62.619622499999998</v>
          </cell>
        </row>
        <row r="149">
          <cell r="H149">
            <v>44.313852675624993</v>
          </cell>
        </row>
        <row r="150">
          <cell r="H150">
            <v>649.25560106249998</v>
          </cell>
        </row>
        <row r="152">
          <cell r="H152">
            <v>1709.3533662499999</v>
          </cell>
        </row>
        <row r="156">
          <cell r="H156">
            <v>21746.0124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-2.9893055331166689</v>
          </cell>
        </row>
        <row r="162">
          <cell r="H162">
            <v>6.0746234822517353</v>
          </cell>
        </row>
        <row r="163">
          <cell r="H163">
            <v>11.37251289951389</v>
          </cell>
        </row>
        <row r="164">
          <cell r="H164">
            <v>-39.12440116178125</v>
          </cell>
        </row>
        <row r="165">
          <cell r="H165">
            <v>396.58113270704172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1.580741</v>
          </cell>
        </row>
        <row r="173">
          <cell r="H173">
            <v>1391.0973999999999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6000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430.62371325000004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2897.2359798867355</v>
          </cell>
          <cell r="H207">
            <v>9122.9816845760197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42185.339662793966</v>
          </cell>
          <cell r="H212">
            <v>57785.524390466999</v>
          </cell>
        </row>
        <row r="213">
          <cell r="C213">
            <v>-10161.32</v>
          </cell>
          <cell r="H213">
            <v>-13200</v>
          </cell>
        </row>
        <row r="217">
          <cell r="H217">
            <v>79674.130678053058</v>
          </cell>
        </row>
      </sheetData>
      <sheetData sheetId="11">
        <row r="8">
          <cell r="H8">
            <v>845000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533685.81999999995</v>
          </cell>
        </row>
        <row r="49">
          <cell r="H49">
            <v>11000</v>
          </cell>
        </row>
        <row r="56">
          <cell r="C56">
            <v>162942.32</v>
          </cell>
        </row>
        <row r="57">
          <cell r="C57">
            <v>165353</v>
          </cell>
        </row>
        <row r="60">
          <cell r="C60">
            <v>0.36</v>
          </cell>
          <cell r="H60">
            <v>0.36</v>
          </cell>
        </row>
        <row r="61">
          <cell r="C61">
            <v>0.36399999999999999</v>
          </cell>
        </row>
        <row r="64">
          <cell r="H64">
            <v>3531.4847999999997</v>
          </cell>
        </row>
        <row r="65">
          <cell r="H65">
            <v>0</v>
          </cell>
        </row>
        <row r="66">
          <cell r="H66">
            <v>1461.453</v>
          </cell>
        </row>
        <row r="67">
          <cell r="H67">
            <v>1279.5174999999999</v>
          </cell>
        </row>
        <row r="68">
          <cell r="H68">
            <v>2700</v>
          </cell>
        </row>
        <row r="72">
          <cell r="H72">
            <v>12.226400001662501</v>
          </cell>
        </row>
        <row r="73">
          <cell r="H73">
            <v>2785.5061717296921</v>
          </cell>
        </row>
        <row r="74">
          <cell r="H74">
            <v>3611.1338211945831</v>
          </cell>
        </row>
        <row r="75">
          <cell r="H75">
            <v>0</v>
          </cell>
        </row>
        <row r="76">
          <cell r="H76">
            <v>333.31995774598158</v>
          </cell>
        </row>
        <row r="77">
          <cell r="H77">
            <v>2437.6781320956447</v>
          </cell>
        </row>
        <row r="78">
          <cell r="H78">
            <v>381.1</v>
          </cell>
        </row>
        <row r="79">
          <cell r="H79">
            <v>24060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2168.4960413750005</v>
          </cell>
        </row>
        <row r="83">
          <cell r="H83">
            <v>2861.7477606916664</v>
          </cell>
        </row>
        <row r="84">
          <cell r="H84">
            <v>3048.3111711627089</v>
          </cell>
        </row>
        <row r="85">
          <cell r="H85">
            <v>4957.7094738125006</v>
          </cell>
        </row>
        <row r="86">
          <cell r="H86">
            <v>1049.4032492025672</v>
          </cell>
        </row>
        <row r="87">
          <cell r="H87">
            <v>0</v>
          </cell>
        </row>
        <row r="88">
          <cell r="H88">
            <v>3098.1242250000005</v>
          </cell>
        </row>
        <row r="89">
          <cell r="H89">
            <v>0</v>
          </cell>
        </row>
        <row r="90">
          <cell r="H90">
            <v>134.827</v>
          </cell>
        </row>
        <row r="91">
          <cell r="H91">
            <v>518.9096258689583</v>
          </cell>
        </row>
        <row r="92">
          <cell r="H92">
            <v>0</v>
          </cell>
        </row>
        <row r="93">
          <cell r="H93">
            <v>38.625</v>
          </cell>
        </row>
        <row r="94">
          <cell r="H94">
            <v>0</v>
          </cell>
        </row>
        <row r="95">
          <cell r="H95">
            <v>7200.8614119062513</v>
          </cell>
        </row>
        <row r="96">
          <cell r="H96">
            <v>7000</v>
          </cell>
        </row>
        <row r="97">
          <cell r="H97">
            <v>230.316372355</v>
          </cell>
        </row>
        <row r="98">
          <cell r="H98">
            <v>0</v>
          </cell>
        </row>
        <row r="99">
          <cell r="H99">
            <v>5000</v>
          </cell>
        </row>
        <row r="100">
          <cell r="H100">
            <v>765.6196000000001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5000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5300</v>
          </cell>
        </row>
        <row r="110">
          <cell r="H110">
            <v>12000</v>
          </cell>
        </row>
        <row r="111">
          <cell r="H111">
            <v>20</v>
          </cell>
        </row>
        <row r="112">
          <cell r="H112">
            <v>2000</v>
          </cell>
        </row>
        <row r="113">
          <cell r="H113">
            <v>6000</v>
          </cell>
        </row>
        <row r="114">
          <cell r="H114">
            <v>0</v>
          </cell>
        </row>
        <row r="118">
          <cell r="H118">
            <v>573.99999999999989</v>
          </cell>
        </row>
        <row r="119">
          <cell r="H119">
            <v>369.00000000000006</v>
          </cell>
        </row>
        <row r="120">
          <cell r="H120">
            <v>639.6</v>
          </cell>
        </row>
        <row r="121">
          <cell r="H121">
            <v>6709.5</v>
          </cell>
        </row>
        <row r="122">
          <cell r="H122">
            <v>2167.1882400000004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1334.4</v>
          </cell>
        </row>
        <row r="131">
          <cell r="H131">
            <v>82000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30616.935551967719</v>
          </cell>
        </row>
        <row r="142">
          <cell r="H142">
            <v>2513.8407253139462</v>
          </cell>
        </row>
        <row r="143">
          <cell r="H143">
            <v>4826.8515864406909</v>
          </cell>
        </row>
        <row r="144">
          <cell r="H144">
            <v>0</v>
          </cell>
        </row>
        <row r="145">
          <cell r="H145">
            <v>3211.1143421716661</v>
          </cell>
        </row>
        <row r="146">
          <cell r="H146">
            <v>0</v>
          </cell>
        </row>
        <row r="147">
          <cell r="H147">
            <v>448.11852499874999</v>
          </cell>
        </row>
        <row r="148">
          <cell r="H148">
            <v>40.648383500000001</v>
          </cell>
        </row>
        <row r="149">
          <cell r="H149">
            <v>94.595148500000008</v>
          </cell>
        </row>
        <row r="150">
          <cell r="H150">
            <v>470.82173783333332</v>
          </cell>
        </row>
        <row r="152">
          <cell r="H152">
            <v>325.56239999999997</v>
          </cell>
        </row>
        <row r="156">
          <cell r="H156">
            <v>12487.57055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230.95652707204863</v>
          </cell>
        </row>
        <row r="162">
          <cell r="H162">
            <v>14.296855778075694</v>
          </cell>
        </row>
        <row r="163">
          <cell r="H163">
            <v>1.8433830216128473</v>
          </cell>
        </row>
        <row r="164">
          <cell r="H164">
            <v>-15.450000000000001</v>
          </cell>
        </row>
        <row r="165">
          <cell r="H165">
            <v>237.21854817081248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10300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1421.2355305835511</v>
          </cell>
          <cell r="H207">
            <v>5038.5094924619198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20836.360480643394</v>
          </cell>
          <cell r="H212">
            <v>31914.227522839617</v>
          </cell>
        </row>
        <row r="213">
          <cell r="C213">
            <v>-1867.6</v>
          </cell>
          <cell r="H213">
            <v>-7200</v>
          </cell>
        </row>
        <row r="217">
          <cell r="H217">
            <v>-10173.757455752915</v>
          </cell>
        </row>
      </sheetData>
      <sheetData sheetId="12">
        <row r="8">
          <cell r="H8">
            <v>380000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186646.57</v>
          </cell>
        </row>
        <row r="49">
          <cell r="H49">
            <v>3000</v>
          </cell>
        </row>
        <row r="56">
          <cell r="C56">
            <v>67538.81</v>
          </cell>
        </row>
        <row r="57">
          <cell r="C57">
            <v>60436</v>
          </cell>
        </row>
        <row r="60">
          <cell r="C60">
            <v>0.41499999999999998</v>
          </cell>
          <cell r="H60">
            <v>0.40500000000000003</v>
          </cell>
        </row>
        <row r="61">
          <cell r="C61">
            <v>0.44500000000000001</v>
          </cell>
        </row>
        <row r="64">
          <cell r="H64">
            <v>0</v>
          </cell>
        </row>
        <row r="65">
          <cell r="H65">
            <v>3150</v>
          </cell>
        </row>
        <row r="66">
          <cell r="H66">
            <v>630</v>
          </cell>
        </row>
        <row r="67">
          <cell r="H67">
            <v>279.233</v>
          </cell>
        </row>
        <row r="68">
          <cell r="H68">
            <v>2000</v>
          </cell>
        </row>
        <row r="72">
          <cell r="H72">
            <v>63.875913500000003</v>
          </cell>
        </row>
        <row r="73">
          <cell r="H73">
            <v>2412.6822999999999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28.875929833333334</v>
          </cell>
        </row>
        <row r="77">
          <cell r="H77">
            <v>1382.2085000000002</v>
          </cell>
        </row>
        <row r="78">
          <cell r="H78">
            <v>346.49789675000005</v>
          </cell>
        </row>
        <row r="79">
          <cell r="H79">
            <v>24720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1251.759</v>
          </cell>
        </row>
        <row r="83">
          <cell r="H83">
            <v>57.719148583333251</v>
          </cell>
        </row>
        <row r="84">
          <cell r="H84">
            <v>1454.8132000000001</v>
          </cell>
        </row>
        <row r="85">
          <cell r="H85">
            <v>1102.1000000000001</v>
          </cell>
        </row>
        <row r="86">
          <cell r="H86">
            <v>388.33738941666672</v>
          </cell>
        </row>
        <row r="87">
          <cell r="H87">
            <v>0</v>
          </cell>
        </row>
        <row r="88">
          <cell r="H88">
            <v>2430</v>
          </cell>
        </row>
        <row r="89">
          <cell r="H89">
            <v>0</v>
          </cell>
        </row>
        <row r="90">
          <cell r="H90">
            <v>110.95935933333332</v>
          </cell>
        </row>
        <row r="91">
          <cell r="H91">
            <v>648.08630000000005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3646.9107000000004</v>
          </cell>
        </row>
        <row r="96">
          <cell r="H96">
            <v>5500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4205.4282000000003</v>
          </cell>
        </row>
        <row r="100">
          <cell r="H100">
            <v>676.39070000000004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1000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3000</v>
          </cell>
        </row>
        <row r="110">
          <cell r="H110">
            <v>2000</v>
          </cell>
        </row>
        <row r="111">
          <cell r="H111">
            <v>50</v>
          </cell>
        </row>
        <row r="112">
          <cell r="H112">
            <v>0</v>
          </cell>
        </row>
        <row r="113">
          <cell r="H113">
            <v>2500</v>
          </cell>
        </row>
        <row r="114">
          <cell r="H114">
            <v>0</v>
          </cell>
        </row>
        <row r="118">
          <cell r="H118">
            <v>237.99999999999997</v>
          </cell>
        </row>
        <row r="119">
          <cell r="H119">
            <v>153.00000000000003</v>
          </cell>
        </row>
        <row r="120">
          <cell r="H120">
            <v>265.20000000000005</v>
          </cell>
        </row>
        <row r="121">
          <cell r="H121">
            <v>2320.5</v>
          </cell>
        </row>
        <row r="122">
          <cell r="H122">
            <v>2486.4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603.20000000000005</v>
          </cell>
        </row>
        <row r="131">
          <cell r="H131">
            <v>34000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9583.8974350334483</v>
          </cell>
        </row>
        <row r="142">
          <cell r="H142">
            <v>527.17673408228666</v>
          </cell>
        </row>
        <row r="143">
          <cell r="H143">
            <v>1406.2072001019289</v>
          </cell>
        </row>
        <row r="144">
          <cell r="H144">
            <v>0</v>
          </cell>
        </row>
        <row r="145">
          <cell r="H145">
            <v>1035.8181031314725</v>
          </cell>
        </row>
        <row r="146">
          <cell r="H146">
            <v>0</v>
          </cell>
        </row>
        <row r="147">
          <cell r="H147">
            <v>344.8852</v>
          </cell>
        </row>
        <row r="148">
          <cell r="H148">
            <v>0</v>
          </cell>
        </row>
        <row r="149">
          <cell r="H149">
            <v>0</v>
          </cell>
        </row>
        <row r="150">
          <cell r="H150">
            <v>272.435</v>
          </cell>
        </row>
        <row r="152">
          <cell r="H152">
            <v>0</v>
          </cell>
        </row>
        <row r="156">
          <cell r="H156">
            <v>3854.34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3.6976999999999998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72.614999999999995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6600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498.43410811279978</v>
          </cell>
          <cell r="H207">
            <v>2265.8385883260703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7264.5506639280829</v>
          </cell>
          <cell r="H212">
            <v>14351.960306129058</v>
          </cell>
        </row>
        <row r="213">
          <cell r="C213">
            <v>-1825.8</v>
          </cell>
          <cell r="H213">
            <v>-3200</v>
          </cell>
        </row>
        <row r="217">
          <cell r="H217">
            <v>387.91397423854505</v>
          </cell>
        </row>
      </sheetData>
      <sheetData sheetId="13">
        <row r="8">
          <cell r="H8">
            <v>800000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601665.07000000007</v>
          </cell>
        </row>
        <row r="49">
          <cell r="H49">
            <v>8240</v>
          </cell>
        </row>
        <row r="56">
          <cell r="C56">
            <v>94920.83</v>
          </cell>
        </row>
        <row r="57">
          <cell r="C57">
            <v>124156</v>
          </cell>
        </row>
        <row r="60">
          <cell r="C60">
            <v>0.42</v>
          </cell>
          <cell r="H60">
            <v>0.42</v>
          </cell>
        </row>
        <row r="61">
          <cell r="C61">
            <v>0.42</v>
          </cell>
        </row>
        <row r="64">
          <cell r="H64">
            <v>2887</v>
          </cell>
        </row>
        <row r="65">
          <cell r="H65">
            <v>0</v>
          </cell>
        </row>
        <row r="66">
          <cell r="H66">
            <v>1932.8085000000001</v>
          </cell>
        </row>
        <row r="67">
          <cell r="H67">
            <v>2500</v>
          </cell>
        </row>
        <row r="68">
          <cell r="H68">
            <v>6500</v>
          </cell>
        </row>
        <row r="72">
          <cell r="H72">
            <v>7.4422135000000003</v>
          </cell>
        </row>
        <row r="73">
          <cell r="H73">
            <v>3082.128396666667</v>
          </cell>
        </row>
        <row r="74">
          <cell r="H74">
            <v>742.65387025000007</v>
          </cell>
        </row>
        <row r="75">
          <cell r="H75">
            <v>0</v>
          </cell>
        </row>
        <row r="76">
          <cell r="H76">
            <v>28.875929833333334</v>
          </cell>
        </row>
        <row r="77">
          <cell r="H77">
            <v>1702.0338000000002</v>
          </cell>
        </row>
        <row r="78">
          <cell r="H78">
            <v>354.22289675000002</v>
          </cell>
        </row>
        <row r="79">
          <cell r="H79">
            <v>32899.952799999999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396.55</v>
          </cell>
        </row>
        <row r="83">
          <cell r="H83">
            <v>150.41914858333328</v>
          </cell>
        </row>
        <row r="84">
          <cell r="H84">
            <v>1582.4302</v>
          </cell>
        </row>
        <row r="85">
          <cell r="H85">
            <v>1102.1000000000001</v>
          </cell>
        </row>
        <row r="86">
          <cell r="H86">
            <v>430.56738941666674</v>
          </cell>
        </row>
        <row r="87">
          <cell r="H87">
            <v>0</v>
          </cell>
        </row>
        <row r="88">
          <cell r="H88">
            <v>2325.3819750000002</v>
          </cell>
        </row>
        <row r="89">
          <cell r="H89">
            <v>0</v>
          </cell>
        </row>
        <row r="90">
          <cell r="H90">
            <v>1634.0512593333335</v>
          </cell>
        </row>
        <row r="91">
          <cell r="H91">
            <v>870.19550000000004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11041.136499999999</v>
          </cell>
        </row>
        <row r="96">
          <cell r="H96">
            <v>12000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6585.3668000000007</v>
          </cell>
        </row>
        <row r="100">
          <cell r="H100">
            <v>851.33619999999996</v>
          </cell>
        </row>
        <row r="101">
          <cell r="H101">
            <v>0</v>
          </cell>
        </row>
        <row r="105">
          <cell r="H105">
            <v>1000</v>
          </cell>
        </row>
        <row r="106">
          <cell r="H106">
            <v>3000</v>
          </cell>
        </row>
        <row r="107">
          <cell r="H107">
            <v>0</v>
          </cell>
        </row>
        <row r="108">
          <cell r="H108">
            <v>500</v>
          </cell>
        </row>
        <row r="109">
          <cell r="H109">
            <v>2800</v>
          </cell>
        </row>
        <row r="110">
          <cell r="H110">
            <v>3000</v>
          </cell>
        </row>
        <row r="111">
          <cell r="H111">
            <v>50</v>
          </cell>
        </row>
        <row r="112">
          <cell r="H112">
            <v>1000</v>
          </cell>
        </row>
        <row r="113">
          <cell r="H113">
            <v>4000</v>
          </cell>
        </row>
        <row r="114">
          <cell r="H114">
            <v>0</v>
          </cell>
        </row>
        <row r="118">
          <cell r="H118">
            <v>755.99999999999989</v>
          </cell>
        </row>
        <row r="119">
          <cell r="H119">
            <v>486.00000000000006</v>
          </cell>
        </row>
        <row r="120">
          <cell r="H120">
            <v>842.40000000000009</v>
          </cell>
        </row>
        <row r="121">
          <cell r="H121">
            <v>3490.2000000000003</v>
          </cell>
        </row>
        <row r="122">
          <cell r="H122">
            <v>1713.9990000000003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1266.816</v>
          </cell>
        </row>
        <row r="131">
          <cell r="H131">
            <v>108000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25485.97046947417</v>
          </cell>
        </row>
        <row r="142">
          <cell r="H142">
            <v>2966.3158610425958</v>
          </cell>
        </row>
        <row r="143">
          <cell r="H143">
            <v>6555.6551070283249</v>
          </cell>
        </row>
        <row r="144">
          <cell r="H144">
            <v>0</v>
          </cell>
        </row>
        <row r="145">
          <cell r="H145">
            <v>4619.0285673275594</v>
          </cell>
        </row>
        <row r="146">
          <cell r="H146">
            <v>1107.759903000268</v>
          </cell>
        </row>
        <row r="147">
          <cell r="H147">
            <v>318.23910000000006</v>
          </cell>
        </row>
        <row r="148">
          <cell r="H148">
            <v>0</v>
          </cell>
        </row>
        <row r="149">
          <cell r="H149">
            <v>0</v>
          </cell>
        </row>
        <row r="150">
          <cell r="H150">
            <v>438.16199999999998</v>
          </cell>
        </row>
        <row r="152">
          <cell r="H152">
            <v>39.428400000000003</v>
          </cell>
        </row>
        <row r="156">
          <cell r="H156">
            <v>11362.735999999999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40.705600000000004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173.65799999999999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15.4397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13100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77.25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7686.6522055254964</v>
          </cell>
          <cell r="H207">
            <v>4770.1865017390955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23193.689241694614</v>
          </cell>
          <cell r="H212">
            <v>30214.653276061177</v>
          </cell>
        </row>
        <row r="213">
          <cell r="C213">
            <v>-5085.5200000000004</v>
          </cell>
          <cell r="H213">
            <v>-5600</v>
          </cell>
        </row>
        <row r="217">
          <cell r="H217">
            <v>4265.9059134529016</v>
          </cell>
        </row>
      </sheetData>
      <sheetData sheetId="14">
        <row r="8">
          <cell r="H8">
            <v>2166940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1745591.48</v>
          </cell>
        </row>
        <row r="49">
          <cell r="H49">
            <v>32504</v>
          </cell>
        </row>
        <row r="56">
          <cell r="C56">
            <v>222712.17</v>
          </cell>
        </row>
        <row r="57">
          <cell r="C57">
            <v>298825</v>
          </cell>
        </row>
        <row r="60">
          <cell r="C60">
            <v>0.3</v>
          </cell>
          <cell r="H60">
            <v>0.33446587295191799</v>
          </cell>
        </row>
        <row r="61">
          <cell r="C61">
            <v>0.31</v>
          </cell>
        </row>
        <row r="64">
          <cell r="H64">
            <v>6506.2216000000008</v>
          </cell>
        </row>
        <row r="65">
          <cell r="H65">
            <v>0</v>
          </cell>
        </row>
        <row r="66">
          <cell r="H66">
            <v>1150.098</v>
          </cell>
        </row>
        <row r="67">
          <cell r="H67">
            <v>4559.408300000001</v>
          </cell>
        </row>
        <row r="68">
          <cell r="H68">
            <v>7075.5026000000007</v>
          </cell>
        </row>
        <row r="72">
          <cell r="H72">
            <v>59.512911387848966</v>
          </cell>
        </row>
        <row r="73">
          <cell r="H73">
            <v>6718.4633648632671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80.564988508314244</v>
          </cell>
        </row>
        <row r="77">
          <cell r="H77">
            <v>4107.8992383075392</v>
          </cell>
        </row>
        <row r="78">
          <cell r="H78">
            <v>1.3272717444916666</v>
          </cell>
        </row>
        <row r="79">
          <cell r="H79">
            <v>25750</v>
          </cell>
        </row>
        <row r="80">
          <cell r="H80">
            <v>208.86543522174063</v>
          </cell>
        </row>
        <row r="81">
          <cell r="H81">
            <v>0</v>
          </cell>
        </row>
        <row r="82">
          <cell r="H82">
            <v>249.86360469425</v>
          </cell>
        </row>
        <row r="83">
          <cell r="H83">
            <v>0.39080167013888889</v>
          </cell>
        </row>
        <row r="84">
          <cell r="H84">
            <v>3858.1952125289831</v>
          </cell>
        </row>
        <row r="85">
          <cell r="H85">
            <v>772.04663773240532</v>
          </cell>
        </row>
        <row r="86">
          <cell r="H86">
            <v>1074.5559055472506</v>
          </cell>
        </row>
        <row r="87">
          <cell r="H87">
            <v>0</v>
          </cell>
        </row>
        <row r="88">
          <cell r="H88">
            <v>3630.1797000000001</v>
          </cell>
        </row>
        <row r="89">
          <cell r="H89">
            <v>0</v>
          </cell>
        </row>
        <row r="90">
          <cell r="H90">
            <v>446.03324593370485</v>
          </cell>
        </row>
        <row r="91">
          <cell r="H91">
            <v>1109.8543617300129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34521.248441238786</v>
          </cell>
        </row>
        <row r="96">
          <cell r="H96">
            <v>7074.5447000000004</v>
          </cell>
        </row>
        <row r="97">
          <cell r="H97">
            <v>224.01986281062503</v>
          </cell>
        </row>
        <row r="98">
          <cell r="H98">
            <v>0</v>
          </cell>
        </row>
        <row r="99">
          <cell r="H99">
            <v>6395.9852209370847</v>
          </cell>
        </row>
        <row r="100">
          <cell r="H100">
            <v>1054.4005415289566</v>
          </cell>
        </row>
        <row r="101">
          <cell r="H101">
            <v>4.12</v>
          </cell>
        </row>
        <row r="105">
          <cell r="H105">
            <v>977.779</v>
          </cell>
        </row>
        <row r="106">
          <cell r="H106">
            <v>11543.2718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15206.0239</v>
          </cell>
        </row>
        <row r="110">
          <cell r="H110">
            <v>36162.558400000002</v>
          </cell>
        </row>
        <row r="111">
          <cell r="H111">
            <v>0</v>
          </cell>
        </row>
        <row r="112">
          <cell r="H112">
            <v>25.997199999999999</v>
          </cell>
        </row>
        <row r="113">
          <cell r="H113">
            <v>21100</v>
          </cell>
        </row>
        <row r="114">
          <cell r="H114">
            <v>0</v>
          </cell>
        </row>
        <row r="118">
          <cell r="H118">
            <v>901.1099999999999</v>
          </cell>
        </row>
        <row r="119">
          <cell r="H119">
            <v>579.28500000000008</v>
          </cell>
        </row>
        <row r="120">
          <cell r="H120">
            <v>1004.0940000000001</v>
          </cell>
        </row>
        <row r="121">
          <cell r="H121">
            <v>5414.85</v>
          </cell>
        </row>
        <row r="122">
          <cell r="H122">
            <v>3467.1000000000004</v>
          </cell>
        </row>
        <row r="123">
          <cell r="H123">
            <v>236.38500000000002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3415.0976000000001</v>
          </cell>
        </row>
        <row r="131">
          <cell r="H131">
            <v>128730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5994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24315.361719276094</v>
          </cell>
        </row>
        <row r="142">
          <cell r="H142">
            <v>4283.8742324867144</v>
          </cell>
        </row>
        <row r="143">
          <cell r="H143">
            <v>9573.5145353922926</v>
          </cell>
        </row>
        <row r="144">
          <cell r="H144">
            <v>0</v>
          </cell>
        </row>
        <row r="145">
          <cell r="H145">
            <v>6621.8857273198755</v>
          </cell>
        </row>
        <row r="146">
          <cell r="H146">
            <v>0</v>
          </cell>
        </row>
        <row r="147">
          <cell r="H147">
            <v>169.38269215812502</v>
          </cell>
        </row>
        <row r="148">
          <cell r="H148">
            <v>62.619622499999998</v>
          </cell>
        </row>
        <row r="149">
          <cell r="H149">
            <v>82.68150672500002</v>
          </cell>
        </row>
        <row r="150">
          <cell r="H150">
            <v>615.3732036070212</v>
          </cell>
        </row>
        <row r="152">
          <cell r="H152">
            <v>0</v>
          </cell>
        </row>
        <row r="156">
          <cell r="H156">
            <v>30767.4926146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190.56965266594028</v>
          </cell>
        </row>
        <row r="162">
          <cell r="H162">
            <v>15.748031900299306</v>
          </cell>
        </row>
        <row r="163">
          <cell r="H163">
            <v>492.62517042655975</v>
          </cell>
        </row>
        <row r="164">
          <cell r="H164">
            <v>-185.37324723062503</v>
          </cell>
        </row>
        <row r="165">
          <cell r="H165">
            <v>814.59695148276057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495.19052499999998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14600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4708.6672246374455</v>
          </cell>
          <cell r="H207">
            <v>12920.884922598143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67574.13611382716</v>
          </cell>
          <cell r="H212">
            <v>81841.67596253501</v>
          </cell>
        </row>
        <row r="213">
          <cell r="C213">
            <v>-23349.32</v>
          </cell>
          <cell r="H213">
            <v>-23402.959999999999</v>
          </cell>
        </row>
        <row r="217">
          <cell r="H217">
            <v>188753.37890612573</v>
          </cell>
        </row>
      </sheetData>
      <sheetData sheetId="15">
        <row r="8">
          <cell r="H8">
            <v>807391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531918.28999999992</v>
          </cell>
        </row>
        <row r="49">
          <cell r="H49">
            <v>17994</v>
          </cell>
        </row>
        <row r="56">
          <cell r="C56">
            <v>94611.94</v>
          </cell>
        </row>
        <row r="57">
          <cell r="C57">
            <v>70807</v>
          </cell>
        </row>
        <row r="60">
          <cell r="C60">
            <v>0.33800000000000002</v>
          </cell>
          <cell r="H60">
            <v>0.34296684684639034</v>
          </cell>
        </row>
        <row r="61">
          <cell r="C61">
            <v>0.316</v>
          </cell>
        </row>
        <row r="64">
          <cell r="H64">
            <v>4881.9270500000002</v>
          </cell>
        </row>
        <row r="65">
          <cell r="H65">
            <v>0</v>
          </cell>
        </row>
        <row r="66">
          <cell r="H66">
            <v>539.66077500000006</v>
          </cell>
        </row>
        <row r="67">
          <cell r="H67">
            <v>4238.0277000000006</v>
          </cell>
        </row>
        <row r="68">
          <cell r="H68">
            <v>1931.4559999999999</v>
          </cell>
        </row>
        <row r="72">
          <cell r="H72">
            <v>0</v>
          </cell>
        </row>
        <row r="73">
          <cell r="H73">
            <v>356.587949443448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0.39080167013888889</v>
          </cell>
        </row>
        <row r="77">
          <cell r="H77">
            <v>1663.6077799858963</v>
          </cell>
        </row>
        <row r="78">
          <cell r="H78">
            <v>774.92200554570707</v>
          </cell>
        </row>
        <row r="79">
          <cell r="H79">
            <v>19144.11</v>
          </cell>
        </row>
        <row r="80">
          <cell r="H80">
            <v>2.5961907289260417</v>
          </cell>
        </row>
        <row r="81">
          <cell r="H81">
            <v>0</v>
          </cell>
        </row>
        <row r="82">
          <cell r="H82">
            <v>85.228669687500016</v>
          </cell>
        </row>
        <row r="83">
          <cell r="H83">
            <v>2.2765145833333338</v>
          </cell>
        </row>
        <row r="84">
          <cell r="H84">
            <v>3212.3881104823722</v>
          </cell>
        </row>
        <row r="85">
          <cell r="H85">
            <v>661.18270497290632</v>
          </cell>
        </row>
        <row r="86">
          <cell r="H86">
            <v>292.35138627894025</v>
          </cell>
        </row>
        <row r="87">
          <cell r="H87">
            <v>0</v>
          </cell>
        </row>
        <row r="88">
          <cell r="H88">
            <v>2844.8028000000004</v>
          </cell>
        </row>
        <row r="89">
          <cell r="H89">
            <v>0</v>
          </cell>
        </row>
        <row r="90">
          <cell r="H90">
            <v>101.99628645833333</v>
          </cell>
        </row>
        <row r="91">
          <cell r="H91">
            <v>225.99328732137781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9379.0167485953116</v>
          </cell>
        </row>
        <row r="96">
          <cell r="H96">
            <v>18820.492175000003</v>
          </cell>
        </row>
        <row r="97">
          <cell r="H97">
            <v>2348.078642225229</v>
          </cell>
        </row>
        <row r="98">
          <cell r="H98">
            <v>1000</v>
          </cell>
        </row>
        <row r="99">
          <cell r="H99">
            <v>4203.2406362034699</v>
          </cell>
        </row>
        <row r="100">
          <cell r="H100">
            <v>530.15049075260413</v>
          </cell>
        </row>
        <row r="101">
          <cell r="H101">
            <v>0</v>
          </cell>
        </row>
        <row r="105">
          <cell r="H105">
            <v>922.67399999999998</v>
          </cell>
        </row>
        <row r="106">
          <cell r="H106">
            <v>3303.7456000000002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3183.2973999999999</v>
          </cell>
        </row>
        <row r="110">
          <cell r="H110">
            <v>15280.050000000001</v>
          </cell>
        </row>
        <row r="111">
          <cell r="H111">
            <v>12.875</v>
          </cell>
        </row>
        <row r="112">
          <cell r="H112">
            <v>1030</v>
          </cell>
        </row>
        <row r="113">
          <cell r="H113">
            <v>5650</v>
          </cell>
        </row>
        <row r="114">
          <cell r="H114">
            <v>0</v>
          </cell>
        </row>
        <row r="118">
          <cell r="H118">
            <v>574.08399999999995</v>
          </cell>
        </row>
        <row r="119">
          <cell r="H119">
            <v>369.05400000000003</v>
          </cell>
        </row>
        <row r="120">
          <cell r="H120">
            <v>639.69360000000006</v>
          </cell>
        </row>
        <row r="121">
          <cell r="H121">
            <v>4214.7</v>
          </cell>
        </row>
        <row r="122">
          <cell r="H122">
            <v>3018.96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1263.0352</v>
          </cell>
        </row>
        <row r="131">
          <cell r="H131">
            <v>82012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24824.878709229291</v>
          </cell>
        </row>
        <row r="142">
          <cell r="H142">
            <v>2737.4541005966948</v>
          </cell>
        </row>
        <row r="143">
          <cell r="H143">
            <v>5621.111083671346</v>
          </cell>
        </row>
        <row r="144">
          <cell r="H144">
            <v>0</v>
          </cell>
        </row>
        <row r="145">
          <cell r="H145">
            <v>3191.5338267843272</v>
          </cell>
        </row>
        <row r="146">
          <cell r="H146">
            <v>0</v>
          </cell>
        </row>
        <row r="147">
          <cell r="H147">
            <v>-31.304831393124999</v>
          </cell>
        </row>
        <row r="148">
          <cell r="H148">
            <v>25.265333500000001</v>
          </cell>
        </row>
        <row r="149">
          <cell r="H149">
            <v>0</v>
          </cell>
        </row>
        <row r="150">
          <cell r="H150">
            <v>190.98741634795138</v>
          </cell>
        </row>
        <row r="152">
          <cell r="H152">
            <v>0</v>
          </cell>
        </row>
        <row r="156">
          <cell r="H156">
            <v>12029.270065539999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88.849478021245488</v>
          </cell>
        </row>
        <row r="162">
          <cell r="H162">
            <v>8.6323376013822912</v>
          </cell>
        </row>
        <row r="163">
          <cell r="H163">
            <v>541.58464286278786</v>
          </cell>
        </row>
        <row r="164">
          <cell r="H164">
            <v>-6.689092177500001</v>
          </cell>
        </row>
        <row r="165">
          <cell r="H165">
            <v>84.492284062499991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495.19052499999998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5000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1428.4702230106307</v>
          </cell>
          <cell r="H207">
            <v>4814.2570622820376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20398.931668795893</v>
          </cell>
          <cell r="H212">
            <v>30493.798904015388</v>
          </cell>
        </row>
        <row r="213">
          <cell r="C213">
            <v>-5144.12</v>
          </cell>
          <cell r="H213">
            <v>-7826.84</v>
          </cell>
        </row>
        <row r="217">
          <cell r="H217">
            <v>-19786.748774925582</v>
          </cell>
        </row>
      </sheetData>
      <sheetData sheetId="16">
        <row r="8">
          <cell r="H8">
            <v>534749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319748.44</v>
          </cell>
        </row>
        <row r="49">
          <cell r="H49">
            <v>9575</v>
          </cell>
        </row>
        <row r="56">
          <cell r="C56">
            <v>62717.34</v>
          </cell>
        </row>
        <row r="57">
          <cell r="C57">
            <v>100867</v>
          </cell>
        </row>
        <row r="60">
          <cell r="C60">
            <v>0.4</v>
          </cell>
          <cell r="H60">
            <v>0.36021585226991437</v>
          </cell>
        </row>
        <row r="61">
          <cell r="C61">
            <v>0.4</v>
          </cell>
        </row>
        <row r="64">
          <cell r="H64">
            <v>2526.1461462843749</v>
          </cell>
        </row>
        <row r="65">
          <cell r="H65">
            <v>0</v>
          </cell>
        </row>
        <row r="66">
          <cell r="H66">
            <v>951.51182879433338</v>
          </cell>
        </row>
        <row r="67">
          <cell r="H67">
            <v>416.33410307437498</v>
          </cell>
        </row>
        <row r="68">
          <cell r="H68">
            <v>1791.6057278203127</v>
          </cell>
        </row>
        <row r="72">
          <cell r="H72">
            <v>268.45322278125002</v>
          </cell>
        </row>
        <row r="73">
          <cell r="H73">
            <v>7876.5554178994662</v>
          </cell>
        </row>
        <row r="74">
          <cell r="H74">
            <v>0</v>
          </cell>
        </row>
        <row r="75">
          <cell r="H75">
            <v>0</v>
          </cell>
        </row>
        <row r="76">
          <cell r="H76">
            <v>86.848312407013879</v>
          </cell>
        </row>
        <row r="77">
          <cell r="H77">
            <v>2524.9989867513468</v>
          </cell>
        </row>
        <row r="78">
          <cell r="H78">
            <v>1.8203932596739589</v>
          </cell>
        </row>
        <row r="79">
          <cell r="H79">
            <v>25494.815764863059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0.39080167013888889</v>
          </cell>
        </row>
        <row r="84">
          <cell r="H84">
            <v>1614.141273533189</v>
          </cell>
        </row>
        <row r="85">
          <cell r="H85">
            <v>1337.8128798480902</v>
          </cell>
        </row>
        <row r="86">
          <cell r="H86">
            <v>508.86760778850555</v>
          </cell>
        </row>
        <row r="87">
          <cell r="H87">
            <v>0</v>
          </cell>
        </row>
        <row r="88">
          <cell r="H88">
            <v>2707.2328500000003</v>
          </cell>
        </row>
        <row r="89">
          <cell r="H89">
            <v>0</v>
          </cell>
        </row>
        <row r="90">
          <cell r="H90">
            <v>674.63016616700213</v>
          </cell>
        </row>
        <row r="91">
          <cell r="H91">
            <v>1300.1353839040196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6649.8155362697335</v>
          </cell>
        </row>
        <row r="96">
          <cell r="H96">
            <v>9701.3558940266048</v>
          </cell>
        </row>
        <row r="97">
          <cell r="H97">
            <v>59.779558836088555</v>
          </cell>
        </row>
        <row r="98">
          <cell r="H98">
            <v>0</v>
          </cell>
        </row>
        <row r="99">
          <cell r="H99">
            <v>7110.8673377752066</v>
          </cell>
        </row>
        <row r="100">
          <cell r="H100">
            <v>775.85803816300177</v>
          </cell>
        </row>
        <row r="101">
          <cell r="H101">
            <v>25.75</v>
          </cell>
        </row>
        <row r="105">
          <cell r="H105">
            <v>1328.7515000000001</v>
          </cell>
        </row>
        <row r="106">
          <cell r="H106">
            <v>3903.4528000000005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3247.8681000000001</v>
          </cell>
        </row>
        <row r="110">
          <cell r="H110">
            <v>5073.9344999999994</v>
          </cell>
        </row>
        <row r="111">
          <cell r="H111">
            <v>38.625</v>
          </cell>
        </row>
        <row r="112">
          <cell r="H112">
            <v>25.997199999999999</v>
          </cell>
        </row>
        <row r="113">
          <cell r="H113">
            <v>3590</v>
          </cell>
        </row>
        <row r="114">
          <cell r="H114">
            <v>0</v>
          </cell>
        </row>
        <row r="118">
          <cell r="H118">
            <v>494.37499999999994</v>
          </cell>
        </row>
        <row r="119">
          <cell r="H119">
            <v>317.81250000000006</v>
          </cell>
        </row>
        <row r="120">
          <cell r="H120">
            <v>550.875</v>
          </cell>
        </row>
        <row r="121">
          <cell r="H121">
            <v>4353.3</v>
          </cell>
        </row>
        <row r="122">
          <cell r="H122">
            <v>4635.3874314925442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840.27840000000003</v>
          </cell>
        </row>
        <row r="131">
          <cell r="H131">
            <v>70625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-8789.248015000001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-7694.3850127467185</v>
          </cell>
        </row>
        <row r="142">
          <cell r="H142">
            <v>5904.5642475722343</v>
          </cell>
        </row>
        <row r="143">
          <cell r="H143">
            <v>15211.001197692885</v>
          </cell>
        </row>
        <row r="144">
          <cell r="H144">
            <v>448.5359588287879</v>
          </cell>
        </row>
        <row r="145">
          <cell r="H145">
            <v>7570.7068569078374</v>
          </cell>
        </row>
        <row r="146">
          <cell r="H146">
            <v>0</v>
          </cell>
        </row>
        <row r="147">
          <cell r="H147">
            <v>-87.034999999999997</v>
          </cell>
        </row>
        <row r="148">
          <cell r="H148">
            <v>10.234389</v>
          </cell>
        </row>
        <row r="149">
          <cell r="H149">
            <v>52.079581000000012</v>
          </cell>
        </row>
        <row r="150">
          <cell r="H150">
            <v>365.00188197428332</v>
          </cell>
        </row>
        <row r="152">
          <cell r="H152">
            <v>2584.7362810000004</v>
          </cell>
        </row>
        <row r="156">
          <cell r="H156">
            <v>6934.05819806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315.95778671819448</v>
          </cell>
        </row>
        <row r="162">
          <cell r="H162">
            <v>8.8825950763427084</v>
          </cell>
        </row>
        <row r="163">
          <cell r="H163">
            <v>41.638935232051047</v>
          </cell>
        </row>
        <row r="164">
          <cell r="H164">
            <v>-49.886276388281253</v>
          </cell>
        </row>
        <row r="165">
          <cell r="H165">
            <v>311.6590104210938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28.263200000000001</v>
          </cell>
        </row>
        <row r="172">
          <cell r="H172">
            <v>0</v>
          </cell>
        </row>
        <row r="173">
          <cell r="H173">
            <v>792.32492500000001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5600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849.62358553429681</v>
          </cell>
          <cell r="H207">
            <v>3188.5655770230992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12398.099362688667</v>
          </cell>
          <cell r="H212">
            <v>20196.569530900546</v>
          </cell>
        </row>
        <row r="213">
          <cell r="C213">
            <v>-3858.44</v>
          </cell>
          <cell r="H213">
            <v>-6023.4000000000005</v>
          </cell>
        </row>
        <row r="217">
          <cell r="H217">
            <v>-40892.444539999298</v>
          </cell>
        </row>
      </sheetData>
      <sheetData sheetId="17">
        <row r="8">
          <cell r="H8">
            <v>709010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450435.9</v>
          </cell>
        </row>
        <row r="49">
          <cell r="H49">
            <v>7799</v>
          </cell>
        </row>
        <row r="56">
          <cell r="C56">
            <v>74429.820000000007</v>
          </cell>
        </row>
        <row r="57">
          <cell r="C57">
            <v>86229</v>
          </cell>
        </row>
        <row r="60">
          <cell r="C60">
            <v>0.36</v>
          </cell>
          <cell r="H60">
            <v>0.38544603550143963</v>
          </cell>
        </row>
        <row r="61">
          <cell r="C61">
            <v>0.35</v>
          </cell>
        </row>
        <row r="64">
          <cell r="H64">
            <v>3726.0044000000003</v>
          </cell>
        </row>
        <row r="65">
          <cell r="H65">
            <v>0</v>
          </cell>
        </row>
        <row r="66">
          <cell r="H66">
            <v>918.98917500000016</v>
          </cell>
        </row>
        <row r="67">
          <cell r="H67">
            <v>2981.2526000000003</v>
          </cell>
        </row>
        <row r="68">
          <cell r="H68">
            <v>2955.7498000000001</v>
          </cell>
        </row>
        <row r="72">
          <cell r="H72">
            <v>13.0137100703875</v>
          </cell>
        </row>
        <row r="73">
          <cell r="H73">
            <v>3188.838507736034</v>
          </cell>
        </row>
        <row r="74">
          <cell r="H74">
            <v>4061.8983658930329</v>
          </cell>
        </row>
        <row r="75">
          <cell r="H75">
            <v>0</v>
          </cell>
        </row>
        <row r="76">
          <cell r="H76">
            <v>346.51390283197918</v>
          </cell>
        </row>
        <row r="77">
          <cell r="H77">
            <v>1301.5477063440339</v>
          </cell>
        </row>
        <row r="78">
          <cell r="H78">
            <v>7211.8394875257418</v>
          </cell>
        </row>
        <row r="79">
          <cell r="H79">
            <v>14480.6464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186.53730958437501</v>
          </cell>
        </row>
        <row r="83">
          <cell r="H83">
            <v>0.39080167013888889</v>
          </cell>
        </row>
        <row r="84">
          <cell r="H84">
            <v>4534.0268747351765</v>
          </cell>
        </row>
        <row r="85">
          <cell r="H85">
            <v>661.20224505641329</v>
          </cell>
        </row>
        <row r="86">
          <cell r="H86">
            <v>1934.1080606233418</v>
          </cell>
        </row>
        <row r="87">
          <cell r="H87">
            <v>0</v>
          </cell>
        </row>
        <row r="88">
          <cell r="H88">
            <v>2631.3147000000004</v>
          </cell>
        </row>
        <row r="89">
          <cell r="H89">
            <v>0</v>
          </cell>
        </row>
        <row r="90">
          <cell r="H90">
            <v>322.5528885989583</v>
          </cell>
        </row>
        <row r="91">
          <cell r="H91">
            <v>756.97039386809763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3267.7553078533952</v>
          </cell>
        </row>
        <row r="96">
          <cell r="H96">
            <v>5440.2720250000002</v>
          </cell>
        </row>
        <row r="97">
          <cell r="H97">
            <v>46.07633376375</v>
          </cell>
        </row>
        <row r="98">
          <cell r="H98">
            <v>0</v>
          </cell>
        </row>
        <row r="99">
          <cell r="H99">
            <v>4869.8632657114558</v>
          </cell>
        </row>
        <row r="100">
          <cell r="H100">
            <v>936.90185818056318</v>
          </cell>
        </row>
        <row r="101">
          <cell r="H101">
            <v>3.9861770354166675</v>
          </cell>
        </row>
        <row r="105">
          <cell r="H105">
            <v>1073.569</v>
          </cell>
        </row>
        <row r="106">
          <cell r="H106">
            <v>5974.8549000000003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5850.0601000000006</v>
          </cell>
        </row>
        <row r="110">
          <cell r="H110">
            <v>3108.9211</v>
          </cell>
        </row>
        <row r="111">
          <cell r="H111">
            <v>332.17500000000001</v>
          </cell>
        </row>
        <row r="112">
          <cell r="H112">
            <v>25.986900000000002</v>
          </cell>
        </row>
        <row r="113">
          <cell r="H113">
            <v>8070.5</v>
          </cell>
        </row>
        <row r="114">
          <cell r="H114">
            <v>0</v>
          </cell>
        </row>
        <row r="118">
          <cell r="H118">
            <v>509.77499999999992</v>
          </cell>
        </row>
        <row r="119">
          <cell r="H119">
            <v>327.71250000000003</v>
          </cell>
        </row>
        <row r="120">
          <cell r="H120">
            <v>568.03500000000008</v>
          </cell>
        </row>
        <row r="121">
          <cell r="H121">
            <v>3265.5</v>
          </cell>
        </row>
        <row r="122">
          <cell r="H122">
            <v>1624.3123837500002</v>
          </cell>
        </row>
        <row r="123">
          <cell r="H123">
            <v>50</v>
          </cell>
        </row>
        <row r="124">
          <cell r="H124">
            <v>0.28723922755208336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1121.9376</v>
          </cell>
        </row>
        <row r="131">
          <cell r="H131">
            <v>72825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16760.708686579761</v>
          </cell>
        </row>
        <row r="142">
          <cell r="H142">
            <v>2400.0928856078053</v>
          </cell>
        </row>
        <row r="143">
          <cell r="H143">
            <v>4878.1805030576061</v>
          </cell>
        </row>
        <row r="144">
          <cell r="H144">
            <v>0</v>
          </cell>
        </row>
        <row r="145">
          <cell r="H145">
            <v>3307.2537166479406</v>
          </cell>
        </row>
        <row r="146">
          <cell r="H146">
            <v>0</v>
          </cell>
        </row>
        <row r="147">
          <cell r="H147">
            <v>1298.812484785625</v>
          </cell>
        </row>
        <row r="148">
          <cell r="H148">
            <v>74.727143749999996</v>
          </cell>
        </row>
        <row r="149">
          <cell r="H149">
            <v>78.119371500000014</v>
          </cell>
        </row>
        <row r="150">
          <cell r="H150">
            <v>630.22196327294319</v>
          </cell>
        </row>
        <row r="152">
          <cell r="H152">
            <v>199.98480000000001</v>
          </cell>
        </row>
        <row r="156">
          <cell r="H156">
            <v>6836.4800329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113.54249413760938</v>
          </cell>
        </row>
        <row r="162">
          <cell r="H162">
            <v>9.5973982860909715</v>
          </cell>
        </row>
        <row r="163">
          <cell r="H163">
            <v>676.34743442651973</v>
          </cell>
        </row>
        <row r="164">
          <cell r="H164">
            <v>-12.333377482708332</v>
          </cell>
        </row>
        <row r="165">
          <cell r="H165">
            <v>236.825951690625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1631.847025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3600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1207.0538154574701</v>
          </cell>
          <cell r="H207">
            <v>4227.6374144975453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17545.745570879993</v>
          </cell>
          <cell r="H212">
            <v>26778.114149075169</v>
          </cell>
        </row>
        <row r="213">
          <cell r="C213">
            <v>-6277.68</v>
          </cell>
          <cell r="H213">
            <v>-7939.92</v>
          </cell>
        </row>
        <row r="217">
          <cell r="H217">
            <v>23509.257478161941</v>
          </cell>
        </row>
      </sheetData>
      <sheetData sheetId="18">
        <row r="8">
          <cell r="H8">
            <v>641630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530088.94999999995</v>
          </cell>
        </row>
        <row r="49">
          <cell r="H49">
            <v>6416</v>
          </cell>
        </row>
        <row r="56">
          <cell r="C56">
            <v>83431.34</v>
          </cell>
        </row>
        <row r="57">
          <cell r="C57">
            <v>98747</v>
          </cell>
        </row>
        <row r="60">
          <cell r="C60">
            <v>0.3972</v>
          </cell>
          <cell r="H60">
            <v>0.39724407837358749</v>
          </cell>
        </row>
        <row r="61">
          <cell r="C61">
            <v>0.38500000000000001</v>
          </cell>
        </row>
        <row r="64">
          <cell r="H64">
            <v>3550.8580500000007</v>
          </cell>
        </row>
        <row r="65">
          <cell r="H65">
            <v>0</v>
          </cell>
        </row>
        <row r="66">
          <cell r="H66">
            <v>672.47670000000005</v>
          </cell>
        </row>
        <row r="67">
          <cell r="H67">
            <v>1203.0503000000001</v>
          </cell>
        </row>
        <row r="68">
          <cell r="H68">
            <v>2909.5954999999999</v>
          </cell>
        </row>
        <row r="72">
          <cell r="H72">
            <v>9.8686907187500008</v>
          </cell>
        </row>
        <row r="73">
          <cell r="H73">
            <v>3288.5811649309726</v>
          </cell>
        </row>
        <row r="74">
          <cell r="H74">
            <v>4618.047741580508</v>
          </cell>
        </row>
        <row r="75">
          <cell r="H75">
            <v>0</v>
          </cell>
        </row>
        <row r="76">
          <cell r="H76">
            <v>6.5639305195388875</v>
          </cell>
        </row>
        <row r="77">
          <cell r="H77">
            <v>1510.0176203710816</v>
          </cell>
        </row>
        <row r="78">
          <cell r="H78">
            <v>39.150907048632298</v>
          </cell>
        </row>
        <row r="79">
          <cell r="H79">
            <v>42496.76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2.2765145833333338</v>
          </cell>
        </row>
        <row r="84">
          <cell r="H84">
            <v>868.82461710104167</v>
          </cell>
        </row>
        <row r="85">
          <cell r="H85">
            <v>1282.8350526605905</v>
          </cell>
        </row>
        <row r="86">
          <cell r="H86">
            <v>1316.9829638958101</v>
          </cell>
        </row>
        <row r="87">
          <cell r="H87">
            <v>0</v>
          </cell>
        </row>
        <row r="88">
          <cell r="H88">
            <v>2775.9516750000003</v>
          </cell>
        </row>
        <row r="89">
          <cell r="H89">
            <v>0</v>
          </cell>
        </row>
        <row r="90">
          <cell r="H90">
            <v>522.60536458866466</v>
          </cell>
        </row>
        <row r="91">
          <cell r="H91">
            <v>677.71861017032154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8867.3980728409624</v>
          </cell>
        </row>
        <row r="96">
          <cell r="H96">
            <v>5686.86175</v>
          </cell>
        </row>
        <row r="97">
          <cell r="H97">
            <v>7.5852277802010422</v>
          </cell>
        </row>
        <row r="98">
          <cell r="H98">
            <v>0</v>
          </cell>
        </row>
        <row r="99">
          <cell r="H99">
            <v>3878.547934945092</v>
          </cell>
        </row>
        <row r="100">
          <cell r="H100">
            <v>845.04229908673437</v>
          </cell>
        </row>
        <row r="101">
          <cell r="H101">
            <v>0</v>
          </cell>
        </row>
        <row r="105">
          <cell r="H105">
            <v>950.48399999999992</v>
          </cell>
        </row>
        <row r="106">
          <cell r="H106">
            <v>4900.4104000000007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3222.1490000000003</v>
          </cell>
        </row>
        <row r="110">
          <cell r="H110">
            <v>3132.3948000000005</v>
          </cell>
        </row>
        <row r="111">
          <cell r="H111">
            <v>234.32500000000002</v>
          </cell>
        </row>
        <row r="112">
          <cell r="H112">
            <v>25.986900000000002</v>
          </cell>
        </row>
        <row r="113">
          <cell r="H113">
            <v>5366.75</v>
          </cell>
        </row>
        <row r="114">
          <cell r="H114">
            <v>0</v>
          </cell>
        </row>
        <row r="118">
          <cell r="H118">
            <v>614.75399999999991</v>
          </cell>
        </row>
        <row r="119">
          <cell r="H119">
            <v>395.19900000000007</v>
          </cell>
        </row>
        <row r="120">
          <cell r="H120">
            <v>685.01160000000004</v>
          </cell>
        </row>
        <row r="121">
          <cell r="H121">
            <v>3349.2375000000002</v>
          </cell>
        </row>
        <row r="122">
          <cell r="H122">
            <v>3748.5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1016.3424</v>
          </cell>
        </row>
        <row r="131">
          <cell r="H131">
            <v>87822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790.73952189812496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21429.196670494974</v>
          </cell>
        </row>
        <row r="142">
          <cell r="H142">
            <v>1834.5109439549969</v>
          </cell>
        </row>
        <row r="143">
          <cell r="H143">
            <v>4419.392941891012</v>
          </cell>
        </row>
        <row r="144">
          <cell r="H144">
            <v>0</v>
          </cell>
        </row>
        <row r="145">
          <cell r="H145">
            <v>3261.1900697239589</v>
          </cell>
        </row>
        <row r="146">
          <cell r="H146">
            <v>0</v>
          </cell>
        </row>
        <row r="147">
          <cell r="H147">
            <v>-3.3007649087500002</v>
          </cell>
        </row>
        <row r="148">
          <cell r="H148">
            <v>56.910939491875006</v>
          </cell>
        </row>
        <row r="149">
          <cell r="H149">
            <v>80.373784000000015</v>
          </cell>
        </row>
        <row r="150">
          <cell r="H150">
            <v>192.82559005365243</v>
          </cell>
        </row>
        <row r="152">
          <cell r="H152">
            <v>0</v>
          </cell>
        </row>
        <row r="156">
          <cell r="H156">
            <v>7709.4603508999999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133.73413668017952</v>
          </cell>
        </row>
        <row r="162">
          <cell r="H162">
            <v>11.715558732630901</v>
          </cell>
        </row>
        <row r="163">
          <cell r="H163">
            <v>57.965801924030202</v>
          </cell>
        </row>
        <row r="164">
          <cell r="H164">
            <v>-404.52652453332297</v>
          </cell>
        </row>
        <row r="165">
          <cell r="H165">
            <v>67.822797171742707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5400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1419.8385381446035</v>
          </cell>
          <cell r="H207">
            <v>3825.8684563885695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20477.750787342215</v>
          </cell>
          <cell r="H212">
            <v>24233.284976898914</v>
          </cell>
        </row>
        <row r="213">
          <cell r="C213">
            <v>-6283.76</v>
          </cell>
          <cell r="H213">
            <v>-6418.88</v>
          </cell>
        </row>
        <row r="217">
          <cell r="H217">
            <v>-26560.664566902462</v>
          </cell>
        </row>
      </sheetData>
      <sheetData sheetId="19">
        <row r="8">
          <cell r="H8">
            <v>1353072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912141.62000000011</v>
          </cell>
        </row>
        <row r="49">
          <cell r="H49">
            <v>2706</v>
          </cell>
        </row>
        <row r="56">
          <cell r="C56">
            <v>211943.55</v>
          </cell>
        </row>
        <row r="57">
          <cell r="C57">
            <v>229394</v>
          </cell>
        </row>
        <row r="60">
          <cell r="C60">
            <v>0.48</v>
          </cell>
          <cell r="H60">
            <v>0.50455802352843604</v>
          </cell>
        </row>
        <row r="61">
          <cell r="C61">
            <v>0.48499999999999999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1025.8800000000001</v>
          </cell>
        </row>
        <row r="67">
          <cell r="H67">
            <v>770.62540000000013</v>
          </cell>
        </row>
        <row r="68">
          <cell r="H68">
            <v>1851.0748000000001</v>
          </cell>
        </row>
        <row r="72">
          <cell r="H72">
            <v>151.94620294697916</v>
          </cell>
        </row>
        <row r="73">
          <cell r="H73">
            <v>3730.6441322742371</v>
          </cell>
        </row>
        <row r="74">
          <cell r="H74">
            <v>17696.024109387778</v>
          </cell>
        </row>
        <row r="75">
          <cell r="H75">
            <v>0</v>
          </cell>
        </row>
        <row r="76">
          <cell r="H76">
            <v>236.45703591332844</v>
          </cell>
        </row>
        <row r="77">
          <cell r="H77">
            <v>2812.2378144930158</v>
          </cell>
        </row>
        <row r="78">
          <cell r="H78">
            <v>2.1633217252208334</v>
          </cell>
        </row>
        <row r="79">
          <cell r="H79">
            <v>38203.566951000001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189.62232832197915</v>
          </cell>
        </row>
        <row r="83">
          <cell r="H83">
            <v>1199.5136812123594</v>
          </cell>
        </row>
        <row r="84">
          <cell r="H84">
            <v>774.15929061523207</v>
          </cell>
        </row>
        <row r="85">
          <cell r="H85">
            <v>2011.5518092303328</v>
          </cell>
        </row>
        <row r="86">
          <cell r="H86">
            <v>5035.5272682670384</v>
          </cell>
        </row>
        <row r="87">
          <cell r="H87">
            <v>0</v>
          </cell>
        </row>
        <row r="88">
          <cell r="H88">
            <v>5784.2552250000008</v>
          </cell>
        </row>
        <row r="89">
          <cell r="H89">
            <v>0</v>
          </cell>
        </row>
        <row r="90">
          <cell r="H90">
            <v>146.42287475833334</v>
          </cell>
        </row>
        <row r="91">
          <cell r="H91">
            <v>258.82451818050868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2.212772175</v>
          </cell>
        </row>
        <row r="95">
          <cell r="H95">
            <v>3282.973313434366</v>
          </cell>
        </row>
        <row r="96">
          <cell r="H96">
            <v>7941.7635</v>
          </cell>
        </row>
        <row r="97">
          <cell r="H97">
            <v>2.379630449642709</v>
          </cell>
        </row>
        <row r="98">
          <cell r="H98">
            <v>0</v>
          </cell>
        </row>
        <row r="99">
          <cell r="H99">
            <v>3763.7730434874434</v>
          </cell>
        </row>
        <row r="100">
          <cell r="H100">
            <v>1733.0267815402715</v>
          </cell>
        </row>
        <row r="101">
          <cell r="H101">
            <v>0</v>
          </cell>
        </row>
        <row r="105">
          <cell r="H105">
            <v>1393.1265000000001</v>
          </cell>
        </row>
        <row r="106">
          <cell r="H106">
            <v>4291.5567999999994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13482.411600000001</v>
          </cell>
        </row>
        <row r="110">
          <cell r="H110">
            <v>3291.777</v>
          </cell>
        </row>
        <row r="111">
          <cell r="H111">
            <v>141.11000000000001</v>
          </cell>
        </row>
        <row r="112">
          <cell r="H112">
            <v>25.986900000000002</v>
          </cell>
        </row>
        <row r="113">
          <cell r="H113">
            <v>9154.06</v>
          </cell>
        </row>
        <row r="114">
          <cell r="H114">
            <v>0</v>
          </cell>
        </row>
        <row r="118">
          <cell r="H118">
            <v>1399.9999999999998</v>
          </cell>
        </row>
        <row r="119">
          <cell r="H119">
            <v>900.00000000000011</v>
          </cell>
        </row>
        <row r="120">
          <cell r="H120">
            <v>1560</v>
          </cell>
        </row>
        <row r="121">
          <cell r="H121">
            <v>9150.75</v>
          </cell>
        </row>
        <row r="122">
          <cell r="H122">
            <v>10535.7</v>
          </cell>
        </row>
        <row r="123">
          <cell r="H123">
            <v>50</v>
          </cell>
        </row>
        <row r="124">
          <cell r="H124">
            <v>0.37516960333333338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7127.2456000000002</v>
          </cell>
        </row>
        <row r="131">
          <cell r="H131">
            <v>200000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1092.7559294168752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44530.962616356897</v>
          </cell>
        </row>
        <row r="142">
          <cell r="H142">
            <v>5696.4434106001891</v>
          </cell>
        </row>
        <row r="143">
          <cell r="H143">
            <v>10925.919410223829</v>
          </cell>
        </row>
        <row r="144">
          <cell r="H144">
            <v>0</v>
          </cell>
        </row>
        <row r="145">
          <cell r="H145">
            <v>7656.4288148418154</v>
          </cell>
        </row>
        <row r="146">
          <cell r="H146">
            <v>0</v>
          </cell>
        </row>
        <row r="147">
          <cell r="H147">
            <v>125.47970416499999</v>
          </cell>
        </row>
        <row r="148">
          <cell r="H148">
            <v>86.53155260874999</v>
          </cell>
        </row>
        <row r="149">
          <cell r="H149">
            <v>208.31567175000001</v>
          </cell>
        </row>
        <row r="150">
          <cell r="H150">
            <v>1003.8215938773581</v>
          </cell>
        </row>
        <row r="152">
          <cell r="H152">
            <v>3449.7308475</v>
          </cell>
        </row>
        <row r="156">
          <cell r="H156">
            <v>7469.8910596799988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2.8023135682638891</v>
          </cell>
        </row>
        <row r="162">
          <cell r="H162">
            <v>9.8647353961513886</v>
          </cell>
        </row>
        <row r="163">
          <cell r="H163">
            <v>89.64369381734862</v>
          </cell>
        </row>
        <row r="164">
          <cell r="H164">
            <v>-34.607771468750002</v>
          </cell>
        </row>
        <row r="165">
          <cell r="H165">
            <v>113.04010637978125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816.6551905219095</v>
          </cell>
        </row>
        <row r="172">
          <cell r="H172">
            <v>0</v>
          </cell>
        </row>
        <row r="173">
          <cell r="H173">
            <v>7335.142425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12300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2445.1092771262779</v>
          </cell>
          <cell r="H207">
            <v>8068.0072378514014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35427.198641621944</v>
          </cell>
          <cell r="H212">
            <v>51103.251671933307</v>
          </cell>
        </row>
        <row r="213">
          <cell r="C213">
            <v>-9706.08</v>
          </cell>
          <cell r="H213">
            <v>-11654.48</v>
          </cell>
        </row>
        <row r="217">
          <cell r="H217">
            <v>160355.05098791793</v>
          </cell>
        </row>
      </sheetData>
      <sheetData sheetId="20">
        <row r="8">
          <cell r="H8">
            <v>1040723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852176.77999999991</v>
          </cell>
        </row>
        <row r="49">
          <cell r="H49">
            <v>10407</v>
          </cell>
        </row>
        <row r="56">
          <cell r="C56">
            <v>88313.88</v>
          </cell>
        </row>
        <row r="57">
          <cell r="C57">
            <v>122383</v>
          </cell>
        </row>
        <row r="60">
          <cell r="C60">
            <v>0.33</v>
          </cell>
          <cell r="H60">
            <v>0.32981531879539872</v>
          </cell>
        </row>
        <row r="61">
          <cell r="C61">
            <v>0.32700000000000001</v>
          </cell>
        </row>
        <row r="64">
          <cell r="H64">
            <v>2971.1482999999998</v>
          </cell>
        </row>
        <row r="65">
          <cell r="H65">
            <v>0</v>
          </cell>
        </row>
        <row r="66">
          <cell r="H66">
            <v>1149.5521000000001</v>
          </cell>
        </row>
        <row r="67">
          <cell r="H67">
            <v>6157.5356999999995</v>
          </cell>
        </row>
        <row r="68">
          <cell r="H68">
            <v>3940.6255000000001</v>
          </cell>
        </row>
        <row r="72">
          <cell r="H72">
            <v>3.4955721518510416</v>
          </cell>
        </row>
        <row r="73">
          <cell r="H73">
            <v>2219.9237254956547</v>
          </cell>
        </row>
        <row r="74">
          <cell r="H74">
            <v>3200.5458369601806</v>
          </cell>
        </row>
        <row r="75">
          <cell r="H75">
            <v>0</v>
          </cell>
        </row>
        <row r="76">
          <cell r="H76">
            <v>1.1219134346347222</v>
          </cell>
        </row>
        <row r="77">
          <cell r="H77">
            <v>2377.1570706896168</v>
          </cell>
        </row>
        <row r="78">
          <cell r="H78">
            <v>8.5400559632416666</v>
          </cell>
        </row>
        <row r="79">
          <cell r="H79">
            <v>11281.955800256081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0.39080167013888889</v>
          </cell>
        </row>
        <row r="84">
          <cell r="H84">
            <v>689.24607195964302</v>
          </cell>
        </row>
        <row r="85">
          <cell r="H85">
            <v>1300.2779265770832</v>
          </cell>
        </row>
        <row r="86">
          <cell r="H86">
            <v>1067.5515498323159</v>
          </cell>
        </row>
        <row r="87">
          <cell r="H87">
            <v>0</v>
          </cell>
        </row>
        <row r="88">
          <cell r="H88">
            <v>2471.6396250000003</v>
          </cell>
        </row>
        <row r="89">
          <cell r="H89">
            <v>0</v>
          </cell>
        </row>
        <row r="90">
          <cell r="H90">
            <v>286.41333231631944</v>
          </cell>
        </row>
        <row r="91">
          <cell r="H91">
            <v>548.975439027834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25878.603542749443</v>
          </cell>
        </row>
        <row r="96">
          <cell r="H96">
            <v>3239.8856000000001</v>
          </cell>
        </row>
        <row r="97">
          <cell r="H97">
            <v>113.39548099999999</v>
          </cell>
        </row>
        <row r="98">
          <cell r="H98">
            <v>0</v>
          </cell>
        </row>
        <row r="99">
          <cell r="H99">
            <v>4266.4267115443836</v>
          </cell>
        </row>
        <row r="100">
          <cell r="H100">
            <v>837.20066889792292</v>
          </cell>
        </row>
        <row r="101">
          <cell r="H101">
            <v>3.9861770354166675</v>
          </cell>
        </row>
        <row r="105">
          <cell r="H105">
            <v>1023.614</v>
          </cell>
        </row>
        <row r="106">
          <cell r="H106">
            <v>6955.4561000000003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6383.4765000000007</v>
          </cell>
        </row>
        <row r="110">
          <cell r="H110">
            <v>25571.7173</v>
          </cell>
        </row>
        <row r="111">
          <cell r="H111">
            <v>0</v>
          </cell>
        </row>
        <row r="112">
          <cell r="H112">
            <v>25.986900000000002</v>
          </cell>
        </row>
        <row r="113">
          <cell r="H113">
            <v>8740</v>
          </cell>
        </row>
        <row r="114">
          <cell r="H114">
            <v>0</v>
          </cell>
        </row>
        <row r="118">
          <cell r="H118">
            <v>553.51099999999997</v>
          </cell>
        </row>
        <row r="119">
          <cell r="H119">
            <v>355.82850000000002</v>
          </cell>
        </row>
        <row r="120">
          <cell r="H120">
            <v>616.76940000000002</v>
          </cell>
        </row>
        <row r="121">
          <cell r="H121">
            <v>3858.75</v>
          </cell>
        </row>
        <row r="122">
          <cell r="H122">
            <v>1271.2494374999999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1648.5056000000002</v>
          </cell>
        </row>
        <row r="131">
          <cell r="H131">
            <v>79073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200.24642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23575.25725732456</v>
          </cell>
        </row>
        <row r="142">
          <cell r="H142">
            <v>1662.6689483073646</v>
          </cell>
        </row>
        <row r="143">
          <cell r="H143">
            <v>3984.7127419417775</v>
          </cell>
        </row>
        <row r="144">
          <cell r="H144">
            <v>0</v>
          </cell>
        </row>
        <row r="145">
          <cell r="H145">
            <v>2940.029992704709</v>
          </cell>
        </row>
        <row r="146">
          <cell r="H146">
            <v>0</v>
          </cell>
        </row>
        <row r="147">
          <cell r="H147">
            <v>564.51292483687507</v>
          </cell>
        </row>
        <row r="148">
          <cell r="H148">
            <v>40.648383500000001</v>
          </cell>
        </row>
        <row r="149">
          <cell r="H149">
            <v>26.039790500000006</v>
          </cell>
        </row>
        <row r="150">
          <cell r="H150">
            <v>304.47652397468369</v>
          </cell>
        </row>
        <row r="152">
          <cell r="H152">
            <v>0</v>
          </cell>
        </row>
        <row r="156">
          <cell r="H156">
            <v>14981.217992229998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334.54628766576388</v>
          </cell>
        </row>
        <row r="162">
          <cell r="H162">
            <v>27.388799541987847</v>
          </cell>
        </row>
        <row r="163">
          <cell r="H163">
            <v>165.57284925315105</v>
          </cell>
        </row>
        <row r="164">
          <cell r="H164">
            <v>-222.93407475754165</v>
          </cell>
        </row>
        <row r="165">
          <cell r="H165">
            <v>609.59424437565622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3496.0543250000001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3700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2256.1633529491019</v>
          </cell>
          <cell r="H207">
            <v>6205.5535083117702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33097.03840546713</v>
          </cell>
          <cell r="H212">
            <v>39306.355751777766</v>
          </cell>
        </row>
        <row r="213">
          <cell r="C213">
            <v>-10918.32</v>
          </cell>
          <cell r="H213">
            <v>-10199.08</v>
          </cell>
        </row>
        <row r="217">
          <cell r="H217">
            <v>28301.444065132149</v>
          </cell>
        </row>
      </sheetData>
      <sheetData sheetId="21">
        <row r="8">
          <cell r="H8">
            <v>487277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193002.65000000002</v>
          </cell>
        </row>
        <row r="49">
          <cell r="H49">
            <v>4873</v>
          </cell>
        </row>
        <row r="56">
          <cell r="C56">
            <v>106155.01</v>
          </cell>
        </row>
        <row r="57">
          <cell r="C57">
            <v>-243</v>
          </cell>
        </row>
        <row r="60">
          <cell r="C60">
            <v>0.36820000000000003</v>
          </cell>
          <cell r="H60">
            <v>0.37320171474531721</v>
          </cell>
        </row>
        <row r="61">
          <cell r="C61">
            <v>0.35899999999999999</v>
          </cell>
        </row>
        <row r="64">
          <cell r="H64">
            <v>2296</v>
          </cell>
        </row>
        <row r="65">
          <cell r="H65">
            <v>0</v>
          </cell>
        </row>
        <row r="66">
          <cell r="H66">
            <v>474</v>
          </cell>
        </row>
        <row r="67">
          <cell r="H67">
            <v>1531</v>
          </cell>
        </row>
        <row r="68">
          <cell r="H68">
            <v>1408</v>
          </cell>
        </row>
        <row r="72">
          <cell r="H72">
            <v>0.81954524999999989</v>
          </cell>
        </row>
        <row r="73">
          <cell r="H73">
            <v>2000</v>
          </cell>
        </row>
        <row r="74">
          <cell r="H74">
            <v>3000</v>
          </cell>
        </row>
        <row r="75">
          <cell r="H75">
            <v>0</v>
          </cell>
        </row>
        <row r="76">
          <cell r="H76">
            <v>56.937801670138889</v>
          </cell>
        </row>
        <row r="77">
          <cell r="H77">
            <v>500</v>
          </cell>
        </row>
        <row r="78">
          <cell r="H78">
            <v>191.5161422106375</v>
          </cell>
        </row>
        <row r="79">
          <cell r="H79">
            <v>20400</v>
          </cell>
        </row>
        <row r="80">
          <cell r="H80">
            <v>32.815957718749999</v>
          </cell>
        </row>
        <row r="81">
          <cell r="H81">
            <v>0</v>
          </cell>
        </row>
        <row r="82">
          <cell r="H82">
            <v>188.16789047286252</v>
          </cell>
        </row>
        <row r="83">
          <cell r="H83">
            <v>0</v>
          </cell>
        </row>
        <row r="84">
          <cell r="H84">
            <v>500</v>
          </cell>
        </row>
        <row r="85">
          <cell r="H85">
            <v>1000</v>
          </cell>
        </row>
        <row r="86">
          <cell r="H86">
            <v>1000</v>
          </cell>
        </row>
        <row r="87">
          <cell r="H87">
            <v>0</v>
          </cell>
        </row>
        <row r="88">
          <cell r="H88">
            <v>3408.5551500000001</v>
          </cell>
        </row>
        <row r="89">
          <cell r="H89">
            <v>0</v>
          </cell>
        </row>
        <row r="90">
          <cell r="H90">
            <v>329.80413026388891</v>
          </cell>
        </row>
        <row r="91">
          <cell r="H91">
            <v>606.60947181599681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183.27834923004789</v>
          </cell>
        </row>
        <row r="95">
          <cell r="H95">
            <v>2038.4039382288213</v>
          </cell>
        </row>
        <row r="96">
          <cell r="H96">
            <v>8474.0571999999993</v>
          </cell>
        </row>
        <row r="97">
          <cell r="H97">
            <v>71.195954239348964</v>
          </cell>
        </row>
        <row r="98">
          <cell r="H98">
            <v>800</v>
          </cell>
        </row>
        <row r="99">
          <cell r="H99">
            <v>3855.1133356647902</v>
          </cell>
        </row>
        <row r="100">
          <cell r="H100">
            <v>672.44624893819616</v>
          </cell>
        </row>
        <row r="101">
          <cell r="H101">
            <v>3.9861770354166675</v>
          </cell>
        </row>
        <row r="105">
          <cell r="H105">
            <v>924.21899999999994</v>
          </cell>
        </row>
        <row r="106">
          <cell r="H106">
            <v>1500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4000</v>
          </cell>
        </row>
        <row r="110">
          <cell r="H110">
            <v>2500</v>
          </cell>
        </row>
        <row r="111">
          <cell r="H111">
            <v>0</v>
          </cell>
        </row>
        <row r="112">
          <cell r="H112">
            <v>0</v>
          </cell>
        </row>
        <row r="113">
          <cell r="H113">
            <v>3075</v>
          </cell>
        </row>
        <row r="114">
          <cell r="H114">
            <v>0</v>
          </cell>
        </row>
        <row r="118">
          <cell r="H118">
            <v>296.09999999999997</v>
          </cell>
        </row>
        <row r="119">
          <cell r="H119">
            <v>190.35000000000002</v>
          </cell>
        </row>
        <row r="120">
          <cell r="H120">
            <v>329.94</v>
          </cell>
        </row>
        <row r="121">
          <cell r="H121">
            <v>7684.6875</v>
          </cell>
        </row>
        <row r="122">
          <cell r="H122">
            <v>4000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771.84640000000002</v>
          </cell>
        </row>
        <row r="131">
          <cell r="H131">
            <v>42300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1727.2894000000001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15393.188165701398</v>
          </cell>
        </row>
        <row r="142">
          <cell r="H142">
            <v>967.99955452243057</v>
          </cell>
        </row>
        <row r="143">
          <cell r="H143">
            <v>1907.9197591657214</v>
          </cell>
        </row>
        <row r="144">
          <cell r="H144">
            <v>0</v>
          </cell>
        </row>
        <row r="145">
          <cell r="H145">
            <v>1406.0513047086899</v>
          </cell>
        </row>
        <row r="146">
          <cell r="H146">
            <v>0</v>
          </cell>
        </row>
        <row r="147">
          <cell r="H147">
            <v>-76.528999999999996</v>
          </cell>
        </row>
        <row r="148">
          <cell r="H148">
            <v>24.091699999999999</v>
          </cell>
        </row>
        <row r="149">
          <cell r="H149">
            <v>62.640840500000003</v>
          </cell>
        </row>
        <row r="150">
          <cell r="H150">
            <v>144.29799693400625</v>
          </cell>
        </row>
        <row r="152">
          <cell r="H152">
            <v>0</v>
          </cell>
        </row>
        <row r="156">
          <cell r="H156">
            <v>5857.1962320200009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132.27275675312498</v>
          </cell>
        </row>
        <row r="162">
          <cell r="H162">
            <v>1.9985426414451388</v>
          </cell>
        </row>
        <row r="163">
          <cell r="H163">
            <v>1258.0748237720927</v>
          </cell>
        </row>
        <row r="164">
          <cell r="H164">
            <v>-23.096357171770833</v>
          </cell>
        </row>
        <row r="165">
          <cell r="H165">
            <v>146.20639808114586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6510.7716250000003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8000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455.97232677477592</v>
          </cell>
          <cell r="H207">
            <v>2905.5027100099014</v>
          </cell>
        </row>
        <row r="211">
          <cell r="C211">
            <v>4443.5786860215057</v>
          </cell>
          <cell r="H211">
            <v>9026.0372215405096</v>
          </cell>
        </row>
        <row r="212">
          <cell r="C212">
            <v>7893.030066292391</v>
          </cell>
          <cell r="H212">
            <v>18403.632005499076</v>
          </cell>
        </row>
        <row r="213">
          <cell r="C213">
            <v>-5705.2</v>
          </cell>
          <cell r="H213">
            <v>-4578.6000000000004</v>
          </cell>
        </row>
        <row r="217">
          <cell r="H217">
            <v>-12258.38207492187</v>
          </cell>
        </row>
      </sheetData>
      <sheetData sheetId="22">
        <row r="8">
          <cell r="H8">
            <v>950432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718404.98</v>
          </cell>
        </row>
        <row r="49">
          <cell r="H49">
            <v>22000</v>
          </cell>
        </row>
        <row r="56">
          <cell r="C56">
            <v>117034.57</v>
          </cell>
        </row>
        <row r="57">
          <cell r="C57">
            <v>142306</v>
          </cell>
        </row>
        <row r="60">
          <cell r="C60">
            <v>0.3599</v>
          </cell>
          <cell r="H60">
            <v>0.35993804608199631</v>
          </cell>
        </row>
        <row r="61">
          <cell r="C61">
            <v>0.33800000000000002</v>
          </cell>
        </row>
        <row r="64">
          <cell r="H64">
            <v>299.933425</v>
          </cell>
        </row>
        <row r="65">
          <cell r="H65">
            <v>0</v>
          </cell>
        </row>
        <row r="66">
          <cell r="H66">
            <v>660.49522500000012</v>
          </cell>
        </row>
        <row r="67">
          <cell r="H67">
            <v>847.80329999999992</v>
          </cell>
        </row>
        <row r="68">
          <cell r="H68">
            <v>2112.4991000000005</v>
          </cell>
        </row>
        <row r="72">
          <cell r="H72">
            <v>6.2851365881177088</v>
          </cell>
        </row>
        <row r="73">
          <cell r="H73">
            <v>2241.9681016254008</v>
          </cell>
        </row>
        <row r="74">
          <cell r="H74">
            <v>3055.4803391142937</v>
          </cell>
        </row>
        <row r="75">
          <cell r="H75">
            <v>0</v>
          </cell>
        </row>
        <row r="76">
          <cell r="H76">
            <v>79.012373201347231</v>
          </cell>
        </row>
        <row r="77">
          <cell r="H77">
            <v>1735.2505433004148</v>
          </cell>
        </row>
        <row r="78">
          <cell r="H78">
            <v>31.862275676470841</v>
          </cell>
        </row>
        <row r="79">
          <cell r="H79">
            <v>34750.345999999998</v>
          </cell>
        </row>
        <row r="80">
          <cell r="H80">
            <v>5910.5522327146591</v>
          </cell>
        </row>
        <row r="81">
          <cell r="H81">
            <v>1.270105427951389</v>
          </cell>
        </row>
        <row r="82">
          <cell r="H82">
            <v>214.87135427187499</v>
          </cell>
        </row>
        <row r="83">
          <cell r="H83">
            <v>443.37177210213162</v>
          </cell>
        </row>
        <row r="84">
          <cell r="H84">
            <v>1858.0984460754783</v>
          </cell>
        </row>
        <row r="85">
          <cell r="H85">
            <v>1115.5123898395834</v>
          </cell>
        </row>
        <row r="86">
          <cell r="H86">
            <v>329.71784509491221</v>
          </cell>
        </row>
        <row r="87">
          <cell r="H87">
            <v>0</v>
          </cell>
        </row>
        <row r="88">
          <cell r="H88">
            <v>2779.6340250000003</v>
          </cell>
        </row>
        <row r="89">
          <cell r="H89">
            <v>0</v>
          </cell>
        </row>
        <row r="90">
          <cell r="H90">
            <v>498.17572255471879</v>
          </cell>
        </row>
        <row r="91">
          <cell r="H91">
            <v>1503.5632889960232</v>
          </cell>
        </row>
        <row r="92">
          <cell r="H92">
            <v>0</v>
          </cell>
        </row>
        <row r="93">
          <cell r="H93">
            <v>837.68523966493069</v>
          </cell>
        </row>
        <row r="94">
          <cell r="H94">
            <v>7.5927486788343748</v>
          </cell>
        </row>
        <row r="95">
          <cell r="H95">
            <v>7276.7254050335132</v>
          </cell>
        </row>
        <row r="96">
          <cell r="H96">
            <v>15043.031550000003</v>
          </cell>
        </row>
        <row r="97">
          <cell r="H97">
            <v>243.00141081749689</v>
          </cell>
        </row>
        <row r="98">
          <cell r="H98">
            <v>0</v>
          </cell>
        </row>
        <row r="99">
          <cell r="H99">
            <v>7747.9423883264271</v>
          </cell>
        </row>
        <row r="100">
          <cell r="H100">
            <v>530.43333186449172</v>
          </cell>
        </row>
        <row r="101">
          <cell r="H101">
            <v>14.42</v>
          </cell>
        </row>
        <row r="105">
          <cell r="H105">
            <v>922.93150000000003</v>
          </cell>
        </row>
        <row r="106">
          <cell r="H106">
            <v>5387.0339000000004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3580.5272</v>
          </cell>
        </row>
        <row r="110">
          <cell r="H110">
            <v>13787.374</v>
          </cell>
        </row>
        <row r="111">
          <cell r="H111">
            <v>0</v>
          </cell>
        </row>
        <row r="112">
          <cell r="H112">
            <v>25.986900000000002</v>
          </cell>
        </row>
        <row r="113">
          <cell r="H113">
            <v>7401.4943999999996</v>
          </cell>
        </row>
        <row r="114">
          <cell r="H114">
            <v>0</v>
          </cell>
        </row>
        <row r="118">
          <cell r="H118">
            <v>839.99999999999989</v>
          </cell>
        </row>
        <row r="119">
          <cell r="H119">
            <v>540.00000000000011</v>
          </cell>
        </row>
        <row r="120">
          <cell r="H120">
            <v>936.00000000000011</v>
          </cell>
        </row>
        <row r="121">
          <cell r="H121">
            <v>8226.4875000000011</v>
          </cell>
        </row>
        <row r="122">
          <cell r="H122">
            <v>6045.0269809125002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0.39080167013888889</v>
          </cell>
        </row>
        <row r="126">
          <cell r="H126">
            <v>0</v>
          </cell>
        </row>
        <row r="127">
          <cell r="H127">
            <v>1485.4912000000002</v>
          </cell>
        </row>
        <row r="131">
          <cell r="H131">
            <v>120000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1227.8624498512502</v>
          </cell>
        </row>
        <row r="137">
          <cell r="H137">
            <v>-22865.021499999999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26436.010305821921</v>
          </cell>
        </row>
        <row r="142">
          <cell r="H142">
            <v>4267.5520693813987</v>
          </cell>
        </row>
        <row r="143">
          <cell r="H143">
            <v>10459.030401979313</v>
          </cell>
        </row>
        <row r="144">
          <cell r="H144">
            <v>0</v>
          </cell>
        </row>
        <row r="145">
          <cell r="H145">
            <v>6344.2523993562154</v>
          </cell>
        </row>
        <row r="146">
          <cell r="H146">
            <v>0</v>
          </cell>
        </row>
        <row r="147">
          <cell r="H147">
            <v>74.5411</v>
          </cell>
        </row>
        <row r="148">
          <cell r="H148">
            <v>46.149149999999999</v>
          </cell>
        </row>
        <row r="149">
          <cell r="H149">
            <v>207.89514850000006</v>
          </cell>
        </row>
        <row r="150">
          <cell r="H150">
            <v>262.28009588541664</v>
          </cell>
        </row>
        <row r="152">
          <cell r="H152">
            <v>0</v>
          </cell>
        </row>
        <row r="156">
          <cell r="H156">
            <v>14428.213558079999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77.982898115419104</v>
          </cell>
        </row>
        <row r="162">
          <cell r="H162">
            <v>3.2871369594017366</v>
          </cell>
        </row>
        <row r="163">
          <cell r="H163">
            <v>280.22093796964617</v>
          </cell>
        </row>
        <row r="164">
          <cell r="H164">
            <v>-0.68807653281250003</v>
          </cell>
        </row>
        <row r="165">
          <cell r="H165">
            <v>31.545926818093751</v>
          </cell>
        </row>
        <row r="166">
          <cell r="H166">
            <v>-1.1724050104166669E-4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1425.8470249999998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8900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1948.1086577392059</v>
          </cell>
          <cell r="H207">
            <v>5667.1723715261151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27959.090403653063</v>
          </cell>
          <cell r="H212">
            <v>35896.216678091718</v>
          </cell>
        </row>
        <row r="213">
          <cell r="C213">
            <v>-8546.7199999999993</v>
          </cell>
          <cell r="H213">
            <v>-9105.880000000001</v>
          </cell>
        </row>
        <row r="217">
          <cell r="H217">
            <v>-20767.786639654845</v>
          </cell>
        </row>
      </sheetData>
      <sheetData sheetId="23">
        <row r="8">
          <cell r="H8">
            <v>505300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308130.21999999997</v>
          </cell>
        </row>
        <row r="49">
          <cell r="H49">
            <v>5053</v>
          </cell>
        </row>
        <row r="56">
          <cell r="C56">
            <v>75762.210000000006</v>
          </cell>
        </row>
        <row r="57">
          <cell r="C57">
            <v>79561</v>
          </cell>
        </row>
        <row r="60">
          <cell r="C60">
            <v>0.35</v>
          </cell>
          <cell r="H60">
            <v>0.37204021213520522</v>
          </cell>
        </row>
        <row r="61">
          <cell r="C61">
            <v>0.35199999999999998</v>
          </cell>
        </row>
        <row r="64">
          <cell r="H64">
            <v>4202.5416249999998</v>
          </cell>
        </row>
        <row r="65">
          <cell r="H65">
            <v>0</v>
          </cell>
        </row>
        <row r="66">
          <cell r="H66">
            <v>620.35612500000002</v>
          </cell>
        </row>
        <row r="67">
          <cell r="H67">
            <v>975.83487500000001</v>
          </cell>
        </row>
        <row r="68">
          <cell r="H68">
            <v>1685.4404999999999</v>
          </cell>
        </row>
        <row r="72">
          <cell r="H72">
            <v>10.352085582252084</v>
          </cell>
        </row>
        <row r="73">
          <cell r="H73">
            <v>1535.5660679255661</v>
          </cell>
        </row>
        <row r="74">
          <cell r="H74">
            <v>2744.8234274832662</v>
          </cell>
        </row>
        <row r="75">
          <cell r="H75">
            <v>0</v>
          </cell>
        </row>
        <row r="76">
          <cell r="H76">
            <v>11.860896587650346</v>
          </cell>
        </row>
        <row r="77">
          <cell r="H77">
            <v>902.77292967224628</v>
          </cell>
        </row>
        <row r="78">
          <cell r="H78">
            <v>2.8042434632416668</v>
          </cell>
        </row>
        <row r="79">
          <cell r="H79">
            <v>19947.120000000003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189.74543084807294</v>
          </cell>
        </row>
        <row r="83">
          <cell r="H83">
            <v>8.8196521701388892</v>
          </cell>
        </row>
        <row r="84">
          <cell r="H84">
            <v>2563.2417606185145</v>
          </cell>
        </row>
        <row r="85">
          <cell r="H85">
            <v>1066.4872725520836</v>
          </cell>
        </row>
        <row r="86">
          <cell r="H86">
            <v>377.02066345636985</v>
          </cell>
        </row>
        <row r="87">
          <cell r="H87">
            <v>0</v>
          </cell>
        </row>
        <row r="88">
          <cell r="H88">
            <v>2240.3571750000001</v>
          </cell>
        </row>
        <row r="89">
          <cell r="H89">
            <v>0</v>
          </cell>
        </row>
        <row r="90">
          <cell r="H90">
            <v>110.39443625260418</v>
          </cell>
        </row>
        <row r="91">
          <cell r="H91">
            <v>460.55348985212294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3668.2438572885671</v>
          </cell>
        </row>
        <row r="96">
          <cell r="H96">
            <v>3240.0014749999996</v>
          </cell>
        </row>
        <row r="97">
          <cell r="H97">
            <v>2.039398515619792</v>
          </cell>
        </row>
        <row r="98">
          <cell r="H98">
            <v>0</v>
          </cell>
        </row>
        <row r="99">
          <cell r="H99">
            <v>3301.9052218355832</v>
          </cell>
        </row>
        <row r="100">
          <cell r="H100">
            <v>566.33214803382293</v>
          </cell>
        </row>
        <row r="101">
          <cell r="H101">
            <v>3.9861770354166675</v>
          </cell>
        </row>
        <row r="105">
          <cell r="H105">
            <v>926.279</v>
          </cell>
        </row>
        <row r="106">
          <cell r="H106">
            <v>2000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1948.5231000000001</v>
          </cell>
        </row>
        <row r="110">
          <cell r="H110">
            <v>5119.1000000000004</v>
          </cell>
        </row>
        <row r="111">
          <cell r="H111">
            <v>36.050000000000004</v>
          </cell>
        </row>
        <row r="112">
          <cell r="H112">
            <v>25.986900000000002</v>
          </cell>
        </row>
        <row r="113">
          <cell r="H113">
            <v>2045</v>
          </cell>
        </row>
        <row r="114">
          <cell r="H114">
            <v>0</v>
          </cell>
        </row>
        <row r="118">
          <cell r="H118">
            <v>408.59</v>
          </cell>
        </row>
        <row r="119">
          <cell r="H119">
            <v>262.66500000000002</v>
          </cell>
        </row>
        <row r="120">
          <cell r="H120">
            <v>455.286</v>
          </cell>
        </row>
        <row r="121">
          <cell r="H121">
            <v>5351.85</v>
          </cell>
        </row>
        <row r="122">
          <cell r="H122">
            <v>2198.7000000000003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800.39520000000005</v>
          </cell>
        </row>
        <row r="131">
          <cell r="H131">
            <v>58370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17392.390491505888</v>
          </cell>
        </row>
        <row r="142">
          <cell r="H142">
            <v>809.07915770378179</v>
          </cell>
        </row>
        <row r="143">
          <cell r="H143">
            <v>2202.6651751871291</v>
          </cell>
        </row>
        <row r="144">
          <cell r="H144">
            <v>0</v>
          </cell>
        </row>
        <row r="145">
          <cell r="H145">
            <v>2256.6855489862405</v>
          </cell>
        </row>
        <row r="146">
          <cell r="H146">
            <v>1805.0880545720074</v>
          </cell>
        </row>
        <row r="147">
          <cell r="H147">
            <v>577.15020000000004</v>
          </cell>
        </row>
        <row r="148">
          <cell r="H148">
            <v>6.5881889999999999</v>
          </cell>
        </row>
        <row r="149">
          <cell r="H149">
            <v>26.039790500000006</v>
          </cell>
        </row>
        <row r="150">
          <cell r="H150">
            <v>320.6446824491656</v>
          </cell>
        </row>
        <row r="152">
          <cell r="H152">
            <v>0</v>
          </cell>
        </row>
        <row r="156">
          <cell r="H156">
            <v>6896.3192410000001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140.14751280240728</v>
          </cell>
        </row>
        <row r="162">
          <cell r="H162">
            <v>3.7452605632559028</v>
          </cell>
        </row>
        <row r="163">
          <cell r="H163">
            <v>436.65719837485489</v>
          </cell>
        </row>
        <row r="164">
          <cell r="H164">
            <v>-12.051469261562501</v>
          </cell>
        </row>
        <row r="165">
          <cell r="H165">
            <v>35.438761681770835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2200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808.16185367567641</v>
          </cell>
          <cell r="H207">
            <v>3012.9690491609563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12102.303273468693</v>
          </cell>
          <cell r="H212">
            <v>19084.33037549214</v>
          </cell>
        </row>
        <row r="213">
          <cell r="C213">
            <v>-4505.68</v>
          </cell>
          <cell r="H213">
            <v>-5366.28</v>
          </cell>
        </row>
        <row r="217">
          <cell r="H217">
            <v>-5629.2567779369128</v>
          </cell>
        </row>
      </sheetData>
      <sheetData sheetId="24">
        <row r="8">
          <cell r="H8">
            <v>262256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177347.90999999997</v>
          </cell>
        </row>
        <row r="49">
          <cell r="H49">
            <v>0</v>
          </cell>
        </row>
        <row r="56">
          <cell r="C56">
            <v>26192.74</v>
          </cell>
        </row>
        <row r="57">
          <cell r="C57">
            <v>25943</v>
          </cell>
        </row>
        <row r="60">
          <cell r="C60">
            <v>0.40539999999999998</v>
          </cell>
          <cell r="H60">
            <v>0.40540159233725825</v>
          </cell>
        </row>
        <row r="61">
          <cell r="C61">
            <v>0.40100000000000002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642.16122499999994</v>
          </cell>
        </row>
        <row r="67">
          <cell r="H67">
            <v>297.8451</v>
          </cell>
        </row>
        <row r="68">
          <cell r="H68">
            <v>985.68940000000009</v>
          </cell>
        </row>
        <row r="72">
          <cell r="H72">
            <v>0</v>
          </cell>
        </row>
        <row r="73">
          <cell r="H73">
            <v>138.82364587673612</v>
          </cell>
        </row>
        <row r="74">
          <cell r="H74">
            <v>2.9310125260416671</v>
          </cell>
        </row>
        <row r="75">
          <cell r="H75">
            <v>0</v>
          </cell>
        </row>
        <row r="76">
          <cell r="H76">
            <v>4.997328865138889</v>
          </cell>
        </row>
        <row r="77">
          <cell r="H77">
            <v>871.27116434015841</v>
          </cell>
        </row>
        <row r="78">
          <cell r="H78">
            <v>0.81505596324166696</v>
          </cell>
        </row>
        <row r="79">
          <cell r="H79">
            <v>7539.6</v>
          </cell>
        </row>
        <row r="80">
          <cell r="H80">
            <v>603.58000000000004</v>
          </cell>
        </row>
        <row r="81">
          <cell r="H81">
            <v>0</v>
          </cell>
        </row>
        <row r="82">
          <cell r="H82">
            <v>192.61480522409445</v>
          </cell>
        </row>
        <row r="83">
          <cell r="H83">
            <v>893.52630410231245</v>
          </cell>
        </row>
        <row r="84">
          <cell r="H84">
            <v>1117.6757857411842</v>
          </cell>
        </row>
        <row r="85">
          <cell r="H85">
            <v>833.08927255208334</v>
          </cell>
        </row>
        <row r="86">
          <cell r="H86">
            <v>282.88194917013897</v>
          </cell>
        </row>
        <row r="87">
          <cell r="H87">
            <v>0</v>
          </cell>
        </row>
        <row r="88">
          <cell r="H88">
            <v>1859.068575</v>
          </cell>
        </row>
        <row r="89">
          <cell r="H89">
            <v>0</v>
          </cell>
        </row>
        <row r="90">
          <cell r="H90">
            <v>38.717400835069448</v>
          </cell>
        </row>
        <row r="91">
          <cell r="H91">
            <v>99.332283694475706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0</v>
          </cell>
        </row>
        <row r="95">
          <cell r="H95">
            <v>130.91189399621851</v>
          </cell>
        </row>
        <row r="96">
          <cell r="H96">
            <v>3000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2912.9139093304384</v>
          </cell>
        </row>
        <row r="100">
          <cell r="H100">
            <v>483.09826365334305</v>
          </cell>
        </row>
        <row r="101">
          <cell r="H101">
            <v>3.8625000000000003</v>
          </cell>
        </row>
        <row r="105">
          <cell r="H105">
            <v>922.67399999999998</v>
          </cell>
        </row>
        <row r="106">
          <cell r="H106">
            <v>2871.8253999999997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2007.7275</v>
          </cell>
        </row>
        <row r="110">
          <cell r="H110">
            <v>1026.6628000000001</v>
          </cell>
        </row>
        <row r="111">
          <cell r="H111">
            <v>0</v>
          </cell>
        </row>
        <row r="112">
          <cell r="H112">
            <v>25.997199999999999</v>
          </cell>
        </row>
        <row r="113">
          <cell r="H113">
            <v>1015</v>
          </cell>
        </row>
        <row r="114">
          <cell r="H114">
            <v>0</v>
          </cell>
        </row>
        <row r="118">
          <cell r="H118">
            <v>228.10899999999998</v>
          </cell>
        </row>
        <row r="119">
          <cell r="H119">
            <v>146.64150000000001</v>
          </cell>
        </row>
        <row r="120">
          <cell r="H120">
            <v>254.17860000000002</v>
          </cell>
        </row>
        <row r="121">
          <cell r="H121">
            <v>3171</v>
          </cell>
        </row>
        <row r="122">
          <cell r="H122">
            <v>857.85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419.6096</v>
          </cell>
        </row>
        <row r="131">
          <cell r="H131">
            <v>32587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12792.783067072838</v>
          </cell>
        </row>
        <row r="142">
          <cell r="H142">
            <v>485.362020694997</v>
          </cell>
        </row>
        <row r="143">
          <cell r="H143">
            <v>1048.4357932005864</v>
          </cell>
        </row>
        <row r="144">
          <cell r="H144">
            <v>0</v>
          </cell>
        </row>
        <row r="145">
          <cell r="H145">
            <v>772.6276175724438</v>
          </cell>
        </row>
        <row r="146">
          <cell r="H146">
            <v>0</v>
          </cell>
        </row>
        <row r="147">
          <cell r="H147">
            <v>-55.121872494375005</v>
          </cell>
        </row>
        <row r="148">
          <cell r="H148">
            <v>18.677144500000001</v>
          </cell>
        </row>
        <row r="149">
          <cell r="H149">
            <v>0</v>
          </cell>
        </row>
        <row r="150">
          <cell r="H150">
            <v>93.096025032818744</v>
          </cell>
        </row>
        <row r="152">
          <cell r="H152">
            <v>0</v>
          </cell>
        </row>
        <row r="156">
          <cell r="H156">
            <v>2283.4315212799997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-19.848801052834027</v>
          </cell>
        </row>
        <row r="162">
          <cell r="H162">
            <v>8.1774711636312496</v>
          </cell>
        </row>
        <row r="163">
          <cell r="H163">
            <v>309.61333153694517</v>
          </cell>
        </row>
        <row r="164">
          <cell r="H164">
            <v>-9.3579303757812493</v>
          </cell>
        </row>
        <row r="165">
          <cell r="H165">
            <v>14.3359135359375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495.19052499999998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2710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480.78060566563448</v>
          </cell>
          <cell r="H207">
            <v>1563.7625390001101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6835.4342032309523</v>
          </cell>
          <cell r="H212">
            <v>9904.967636958374</v>
          </cell>
        </row>
        <row r="213">
          <cell r="C213">
            <v>-1831.72</v>
          </cell>
          <cell r="H213">
            <v>-3241.32</v>
          </cell>
        </row>
        <row r="217">
          <cell r="H217">
            <v>-852.11790254209882</v>
          </cell>
        </row>
      </sheetData>
      <sheetData sheetId="25">
        <row r="8">
          <cell r="H8">
            <v>365914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270414.87</v>
          </cell>
        </row>
        <row r="49">
          <cell r="H49">
            <v>1464</v>
          </cell>
        </row>
        <row r="56">
          <cell r="C56">
            <v>65794.62</v>
          </cell>
        </row>
        <row r="57">
          <cell r="C57">
            <v>62749</v>
          </cell>
        </row>
        <row r="60">
          <cell r="C60">
            <v>0.39</v>
          </cell>
          <cell r="H60">
            <v>0.38995747016051585</v>
          </cell>
        </row>
        <row r="61">
          <cell r="C61">
            <v>0.372</v>
          </cell>
        </row>
        <row r="64">
          <cell r="H64">
            <v>856.21067500000004</v>
          </cell>
        </row>
        <row r="65">
          <cell r="H65">
            <v>0</v>
          </cell>
        </row>
        <row r="66">
          <cell r="H66">
            <v>858.64404999999999</v>
          </cell>
        </row>
        <row r="67">
          <cell r="H67">
            <v>385.78650000000005</v>
          </cell>
        </row>
        <row r="68">
          <cell r="H68">
            <v>1260.3285999999998</v>
          </cell>
        </row>
        <row r="72">
          <cell r="H72">
            <v>8.4004027704572923</v>
          </cell>
        </row>
        <row r="73">
          <cell r="H73">
            <v>949.29251068458132</v>
          </cell>
        </row>
        <row r="74">
          <cell r="H74">
            <v>630.55159128157561</v>
          </cell>
        </row>
        <row r="75">
          <cell r="H75">
            <v>0</v>
          </cell>
        </row>
        <row r="76">
          <cell r="H76">
            <v>7.0842538643545145</v>
          </cell>
        </row>
        <row r="77">
          <cell r="H77">
            <v>770.49700304777127</v>
          </cell>
        </row>
        <row r="78">
          <cell r="H78">
            <v>0.81482148223958328</v>
          </cell>
        </row>
        <row r="79">
          <cell r="H79">
            <v>23131.954417413574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0.39080167013888889</v>
          </cell>
        </row>
        <row r="84">
          <cell r="H84">
            <v>267.62436456451388</v>
          </cell>
        </row>
        <row r="85">
          <cell r="H85">
            <v>1086.2117725520834</v>
          </cell>
        </row>
        <row r="86">
          <cell r="H86">
            <v>422.08635150432298</v>
          </cell>
        </row>
        <row r="87">
          <cell r="H87">
            <v>0</v>
          </cell>
        </row>
        <row r="88">
          <cell r="H88">
            <v>2379.8123999999998</v>
          </cell>
        </row>
        <row r="89">
          <cell r="H89">
            <v>0</v>
          </cell>
        </row>
        <row r="90">
          <cell r="H90">
            <v>210.48021988649307</v>
          </cell>
        </row>
        <row r="91">
          <cell r="H91">
            <v>110.75090289885071</v>
          </cell>
        </row>
        <row r="92">
          <cell r="H92">
            <v>0</v>
          </cell>
        </row>
        <row r="93">
          <cell r="H93">
            <v>0.5862025052083335</v>
          </cell>
        </row>
        <row r="94">
          <cell r="H94">
            <v>2.3705346356249999</v>
          </cell>
        </row>
        <row r="95">
          <cell r="H95">
            <v>3343.6354725230181</v>
          </cell>
        </row>
        <row r="96">
          <cell r="H96">
            <v>5542.6694750000006</v>
          </cell>
        </row>
        <row r="97">
          <cell r="H97">
            <v>18.152221302754167</v>
          </cell>
        </row>
        <row r="98">
          <cell r="H98">
            <v>0</v>
          </cell>
        </row>
        <row r="99">
          <cell r="H99">
            <v>5398.7787838588392</v>
          </cell>
        </row>
        <row r="100">
          <cell r="H100">
            <v>584.6827127994253</v>
          </cell>
        </row>
        <row r="101">
          <cell r="H101">
            <v>3.8625000000000003</v>
          </cell>
        </row>
        <row r="105">
          <cell r="H105">
            <v>928.59649999999999</v>
          </cell>
        </row>
        <row r="106">
          <cell r="H106">
            <v>3604.8867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2230.4341000000004</v>
          </cell>
        </row>
        <row r="110">
          <cell r="H110">
            <v>3625.6</v>
          </cell>
        </row>
        <row r="111">
          <cell r="H111">
            <v>0</v>
          </cell>
        </row>
        <row r="112">
          <cell r="H112">
            <v>25.997199999999999</v>
          </cell>
        </row>
        <row r="113">
          <cell r="H113">
            <v>2224.2200000000003</v>
          </cell>
        </row>
        <row r="114">
          <cell r="H114">
            <v>0</v>
          </cell>
        </row>
        <row r="118">
          <cell r="H118">
            <v>319.2</v>
          </cell>
        </row>
        <row r="119">
          <cell r="H119">
            <v>205.20000000000002</v>
          </cell>
        </row>
        <row r="120">
          <cell r="H120">
            <v>355.68</v>
          </cell>
        </row>
        <row r="121">
          <cell r="H121">
            <v>3970.05</v>
          </cell>
        </row>
        <row r="122">
          <cell r="H122">
            <v>1714.0620000000001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583.12</v>
          </cell>
        </row>
        <row r="131">
          <cell r="H131">
            <v>45600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17011.84857121055</v>
          </cell>
        </row>
        <row r="142">
          <cell r="H142">
            <v>925.79334685689241</v>
          </cell>
        </row>
        <row r="143">
          <cell r="H143">
            <v>1683.0022009423085</v>
          </cell>
        </row>
        <row r="144">
          <cell r="H144">
            <v>0</v>
          </cell>
        </row>
        <row r="145">
          <cell r="H145">
            <v>923.13053950041649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21.971239000000004</v>
          </cell>
        </row>
        <row r="149">
          <cell r="H149">
            <v>0</v>
          </cell>
        </row>
        <row r="150">
          <cell r="H150">
            <v>184.30712245702395</v>
          </cell>
        </row>
        <row r="152">
          <cell r="H152">
            <v>0</v>
          </cell>
        </row>
        <row r="156">
          <cell r="H156">
            <v>4594.5588904599999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110.06594888149306</v>
          </cell>
        </row>
        <row r="162">
          <cell r="H162">
            <v>0.68144831325590283</v>
          </cell>
        </row>
        <row r="163">
          <cell r="H163">
            <v>24.791696333629861</v>
          </cell>
        </row>
        <row r="164">
          <cell r="H164">
            <v>-23.082196919531253</v>
          </cell>
        </row>
        <row r="165">
          <cell r="H165">
            <v>50.66347568817708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982.64832499999989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3500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721.60978307697951</v>
          </cell>
          <cell r="H207">
            <v>2181.8475294966993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10427.280501016743</v>
          </cell>
          <cell r="H212">
            <v>13819.955798570812</v>
          </cell>
        </row>
        <row r="213">
          <cell r="C213">
            <v>-3709.84</v>
          </cell>
          <cell r="H213">
            <v>-5305.76</v>
          </cell>
        </row>
        <row r="217">
          <cell r="H217">
            <v>-21900.777802849952</v>
          </cell>
        </row>
      </sheetData>
      <sheetData sheetId="26">
        <row r="8">
          <cell r="H8">
            <v>831981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505907.76000000007</v>
          </cell>
        </row>
        <row r="49">
          <cell r="H49">
            <v>4160</v>
          </cell>
        </row>
        <row r="56">
          <cell r="C56">
            <v>142651.57</v>
          </cell>
        </row>
        <row r="57">
          <cell r="C57">
            <v>159337</v>
          </cell>
        </row>
        <row r="60">
          <cell r="C60">
            <v>0.46500000000000002</v>
          </cell>
          <cell r="H60">
            <v>0.51198387090929076</v>
          </cell>
        </row>
        <row r="61">
          <cell r="C61">
            <v>0.47599999999999998</v>
          </cell>
        </row>
        <row r="64">
          <cell r="H64">
            <v>3825.5436</v>
          </cell>
        </row>
        <row r="65">
          <cell r="H65">
            <v>0</v>
          </cell>
        </row>
        <row r="66">
          <cell r="H66">
            <v>586.44080000000008</v>
          </cell>
        </row>
        <row r="67">
          <cell r="H67">
            <v>2057.6516000000001</v>
          </cell>
        </row>
        <row r="68">
          <cell r="H68">
            <v>2725.0297999999998</v>
          </cell>
        </row>
        <row r="72">
          <cell r="H72">
            <v>13.2149</v>
          </cell>
        </row>
        <row r="73">
          <cell r="H73">
            <v>5617.1668</v>
          </cell>
        </row>
        <row r="74">
          <cell r="H74">
            <v>1954.0439000000001</v>
          </cell>
        </row>
        <row r="75">
          <cell r="H75">
            <v>0</v>
          </cell>
        </row>
        <row r="76">
          <cell r="H76">
            <v>1278.5287000000001</v>
          </cell>
        </row>
        <row r="77">
          <cell r="H77">
            <v>5654.2777000000006</v>
          </cell>
        </row>
        <row r="78">
          <cell r="H78">
            <v>290.20249999999999</v>
          </cell>
        </row>
        <row r="79">
          <cell r="H79">
            <v>51500.030899999998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274.1345</v>
          </cell>
        </row>
        <row r="83">
          <cell r="H83">
            <v>0</v>
          </cell>
        </row>
        <row r="84">
          <cell r="H84">
            <v>1073.1776000000002</v>
          </cell>
        </row>
        <row r="85">
          <cell r="H85">
            <v>1016.61</v>
          </cell>
        </row>
        <row r="86">
          <cell r="H86">
            <v>1068.6661999999999</v>
          </cell>
        </row>
        <row r="87">
          <cell r="H87">
            <v>86.262500000000003</v>
          </cell>
        </row>
        <row r="88">
          <cell r="H88">
            <v>3000</v>
          </cell>
        </row>
        <row r="89">
          <cell r="H89">
            <v>0</v>
          </cell>
        </row>
        <row r="90">
          <cell r="H90">
            <v>68.16390650000001</v>
          </cell>
        </row>
        <row r="91">
          <cell r="H91">
            <v>22.3613</v>
          </cell>
        </row>
        <row r="92">
          <cell r="H92">
            <v>0</v>
          </cell>
        </row>
        <row r="93">
          <cell r="H93">
            <v>772.5</v>
          </cell>
        </row>
        <row r="94">
          <cell r="H94">
            <v>-169.31150300000002</v>
          </cell>
        </row>
        <row r="95">
          <cell r="H95">
            <v>784.07720000000006</v>
          </cell>
        </row>
        <row r="96">
          <cell r="H96">
            <v>3814.2058749999997</v>
          </cell>
        </row>
        <row r="97">
          <cell r="H97">
            <v>9.9909999999999997</v>
          </cell>
        </row>
        <row r="98">
          <cell r="H98">
            <v>0</v>
          </cell>
        </row>
        <row r="99">
          <cell r="H99">
            <v>3245.9832000000001</v>
          </cell>
        </row>
        <row r="100">
          <cell r="H100">
            <v>907.25489999999991</v>
          </cell>
        </row>
        <row r="101">
          <cell r="H101">
            <v>0</v>
          </cell>
        </row>
        <row r="105">
          <cell r="H105">
            <v>0</v>
          </cell>
        </row>
        <row r="106">
          <cell r="H106">
            <v>3768.5125000000003</v>
          </cell>
        </row>
        <row r="107">
          <cell r="H107">
            <v>0</v>
          </cell>
        </row>
        <row r="108">
          <cell r="H108">
            <v>450</v>
          </cell>
        </row>
        <row r="109">
          <cell r="H109">
            <v>10743.5798</v>
          </cell>
        </row>
        <row r="110">
          <cell r="H110">
            <v>3190.94</v>
          </cell>
        </row>
        <row r="111">
          <cell r="H111">
            <v>0</v>
          </cell>
        </row>
        <row r="112">
          <cell r="H112">
            <v>25.986900000000002</v>
          </cell>
        </row>
        <row r="113">
          <cell r="H113">
            <v>1748.2776000000001</v>
          </cell>
        </row>
        <row r="114">
          <cell r="H114">
            <v>-3090</v>
          </cell>
        </row>
        <row r="118">
          <cell r="H118">
            <v>1119.9999999999998</v>
          </cell>
        </row>
        <row r="119">
          <cell r="H119">
            <v>720.00000000000011</v>
          </cell>
        </row>
        <row r="120">
          <cell r="H120">
            <v>1248</v>
          </cell>
        </row>
        <row r="121">
          <cell r="H121">
            <v>8301.3000000000011</v>
          </cell>
        </row>
        <row r="122">
          <cell r="H122">
            <v>5176.5</v>
          </cell>
        </row>
        <row r="123">
          <cell r="H123">
            <v>59.245600000000003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1324.5136</v>
          </cell>
        </row>
        <row r="131">
          <cell r="H131">
            <v>160000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40326.027498515919</v>
          </cell>
        </row>
        <row r="142">
          <cell r="H142">
            <v>5221.4738794166487</v>
          </cell>
        </row>
        <row r="143">
          <cell r="H143">
            <v>11382.997742341258</v>
          </cell>
        </row>
        <row r="144">
          <cell r="H144">
            <v>0</v>
          </cell>
        </row>
        <row r="145">
          <cell r="H145">
            <v>6419.6445055760751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0</v>
          </cell>
        </row>
        <row r="149">
          <cell r="H149">
            <v>0</v>
          </cell>
        </row>
        <row r="150">
          <cell r="H150">
            <v>662.0222</v>
          </cell>
        </row>
        <row r="152">
          <cell r="H152">
            <v>0</v>
          </cell>
        </row>
        <row r="156">
          <cell r="H156">
            <v>2536.9929425400001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-9.2700000000000005E-2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495.19052499999998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22500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1358.1210126542326</v>
          </cell>
          <cell r="H207">
            <v>4960.8806698792432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19526.935801421059</v>
          </cell>
          <cell r="H212">
            <v>31422.521809088317</v>
          </cell>
        </row>
        <row r="213">
          <cell r="C213">
            <v>-5949.76</v>
          </cell>
          <cell r="H213">
            <v>-6155.4000000000005</v>
          </cell>
        </row>
        <row r="217">
          <cell r="H217">
            <v>8769.6398276020627</v>
          </cell>
        </row>
      </sheetData>
      <sheetData sheetId="27">
        <row r="8">
          <cell r="H8">
            <v>1609761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1058700.8599999999</v>
          </cell>
        </row>
        <row r="49">
          <cell r="H49">
            <v>26018</v>
          </cell>
        </row>
        <row r="56">
          <cell r="C56">
            <v>173305.77</v>
          </cell>
        </row>
        <row r="57">
          <cell r="C57">
            <v>189612</v>
          </cell>
        </row>
        <row r="60">
          <cell r="C60">
            <v>0.39439999999999997</v>
          </cell>
          <cell r="H60">
            <v>0.39439227197847126</v>
          </cell>
        </row>
        <row r="61">
          <cell r="C61">
            <v>0.378</v>
          </cell>
        </row>
        <row r="64">
          <cell r="H64">
            <v>6807.0202250000011</v>
          </cell>
        </row>
        <row r="65">
          <cell r="H65">
            <v>0</v>
          </cell>
        </row>
        <row r="66">
          <cell r="H66">
            <v>1897.8059000000001</v>
          </cell>
        </row>
        <row r="67">
          <cell r="H67">
            <v>3084.4096750000003</v>
          </cell>
        </row>
        <row r="68">
          <cell r="H68">
            <v>5056.5146250000007</v>
          </cell>
        </row>
        <row r="72">
          <cell r="H72">
            <v>5.0659884362499996</v>
          </cell>
        </row>
        <row r="73">
          <cell r="H73">
            <v>2234.442870541835</v>
          </cell>
        </row>
        <row r="74">
          <cell r="H74">
            <v>4098.5841768828877</v>
          </cell>
        </row>
        <row r="75">
          <cell r="H75">
            <v>0</v>
          </cell>
        </row>
        <row r="76">
          <cell r="H76">
            <v>35.666408021004166</v>
          </cell>
        </row>
        <row r="77">
          <cell r="H77">
            <v>2564.1592486146501</v>
          </cell>
        </row>
        <row r="78">
          <cell r="H78">
            <v>55.582262717731254</v>
          </cell>
        </row>
        <row r="79">
          <cell r="H79">
            <v>35834.782916249998</v>
          </cell>
        </row>
        <row r="80">
          <cell r="H80">
            <v>2049.3191847737562</v>
          </cell>
        </row>
        <row r="81">
          <cell r="H81">
            <v>0</v>
          </cell>
        </row>
        <row r="82">
          <cell r="H82">
            <v>189.58670086875</v>
          </cell>
        </row>
        <row r="83">
          <cell r="H83">
            <v>0.38700747916666678</v>
          </cell>
        </row>
        <row r="84">
          <cell r="H84">
            <v>10482.317495066232</v>
          </cell>
        </row>
        <row r="85">
          <cell r="H85">
            <v>684.96782071881262</v>
          </cell>
        </row>
        <row r="86">
          <cell r="H86">
            <v>2012.7388632997315</v>
          </cell>
        </row>
        <row r="87">
          <cell r="H87">
            <v>0</v>
          </cell>
        </row>
        <row r="88">
          <cell r="H88">
            <v>3720.07755</v>
          </cell>
        </row>
        <row r="89">
          <cell r="H89">
            <v>0</v>
          </cell>
        </row>
        <row r="90">
          <cell r="H90">
            <v>424.67862803615418</v>
          </cell>
        </row>
        <row r="91">
          <cell r="H91">
            <v>942.69426597633333</v>
          </cell>
        </row>
        <row r="92">
          <cell r="H92">
            <v>0</v>
          </cell>
        </row>
        <row r="93">
          <cell r="H93">
            <v>0.58051121875000011</v>
          </cell>
        </row>
        <row r="94">
          <cell r="H94">
            <v>42.776576581250005</v>
          </cell>
        </row>
        <row r="95">
          <cell r="H95">
            <v>5938.6223147643559</v>
          </cell>
        </row>
        <row r="96">
          <cell r="H96">
            <v>6559.7635749999999</v>
          </cell>
        </row>
        <row r="97">
          <cell r="H97">
            <v>734.67756692505623</v>
          </cell>
        </row>
        <row r="98">
          <cell r="H98">
            <v>0</v>
          </cell>
        </row>
        <row r="99">
          <cell r="H99">
            <v>5667.7680251183256</v>
          </cell>
        </row>
        <row r="100">
          <cell r="H100">
            <v>1340.8821300443894</v>
          </cell>
        </row>
        <row r="101">
          <cell r="H101">
            <v>0</v>
          </cell>
        </row>
        <row r="105">
          <cell r="H105">
            <v>1041.3815</v>
          </cell>
        </row>
        <row r="106">
          <cell r="H106">
            <v>9908.6412000000018</v>
          </cell>
        </row>
        <row r="107">
          <cell r="H107">
            <v>0</v>
          </cell>
        </row>
        <row r="108">
          <cell r="H108">
            <v>64.89</v>
          </cell>
        </row>
        <row r="109">
          <cell r="H109">
            <v>7460.0118999999995</v>
          </cell>
        </row>
        <row r="110">
          <cell r="H110">
            <v>17682.133600000005</v>
          </cell>
        </row>
        <row r="111">
          <cell r="H111">
            <v>14.6775</v>
          </cell>
        </row>
        <row r="112">
          <cell r="H112">
            <v>1030</v>
          </cell>
        </row>
        <row r="113">
          <cell r="H113">
            <v>7942.78</v>
          </cell>
        </row>
        <row r="114">
          <cell r="H114">
            <v>-666.58510000000001</v>
          </cell>
        </row>
        <row r="118">
          <cell r="H118">
            <v>1182.9999999999998</v>
          </cell>
        </row>
        <row r="119">
          <cell r="H119">
            <v>760.50000000000011</v>
          </cell>
        </row>
        <row r="120">
          <cell r="H120">
            <v>1318.2</v>
          </cell>
        </row>
        <row r="121">
          <cell r="H121">
            <v>8327.5500000000011</v>
          </cell>
        </row>
        <row r="122">
          <cell r="H122">
            <v>4787.1390000000001</v>
          </cell>
        </row>
        <row r="123">
          <cell r="H123">
            <v>1310.1600000000001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3539.2687999999998</v>
          </cell>
        </row>
        <row r="131">
          <cell r="H131">
            <v>169000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40985.62944905628</v>
          </cell>
        </row>
        <row r="142">
          <cell r="H142">
            <v>4464.5750182109305</v>
          </cell>
        </row>
        <row r="143">
          <cell r="H143">
            <v>10330.399702855329</v>
          </cell>
        </row>
        <row r="144">
          <cell r="H144">
            <v>278.76778720979718</v>
          </cell>
        </row>
        <row r="145">
          <cell r="H145">
            <v>6668.1703244790951</v>
          </cell>
        </row>
        <row r="146">
          <cell r="H146">
            <v>0</v>
          </cell>
        </row>
        <row r="147">
          <cell r="H147">
            <v>-400.72150000000005</v>
          </cell>
        </row>
        <row r="148">
          <cell r="H148">
            <v>32.971072500000005</v>
          </cell>
        </row>
        <row r="149">
          <cell r="H149">
            <v>120.25215301874998</v>
          </cell>
        </row>
        <row r="150">
          <cell r="H150">
            <v>580.00920533333328</v>
          </cell>
        </row>
        <row r="152">
          <cell r="H152">
            <v>2135.5967470000005</v>
          </cell>
        </row>
        <row r="156">
          <cell r="H156">
            <v>17566.64569338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128.21294440732606</v>
          </cell>
        </row>
        <row r="162">
          <cell r="H162">
            <v>29.220732632868408</v>
          </cell>
        </row>
        <row r="163">
          <cell r="H163">
            <v>2155.2783104622372</v>
          </cell>
        </row>
        <row r="164">
          <cell r="H164">
            <v>-109.93956488984377</v>
          </cell>
        </row>
        <row r="165">
          <cell r="H165">
            <v>361.01661239526044</v>
          </cell>
        </row>
        <row r="166">
          <cell r="H166">
            <v>-6.8295437500000007E-4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2203.1390999999999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8700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2830.2121787978367</v>
          </cell>
          <cell r="H207">
            <v>9598.5752415325351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40976.581553792057</v>
          </cell>
          <cell r="H212">
            <v>60797.963090406891</v>
          </cell>
        </row>
        <row r="213">
          <cell r="C213">
            <v>-12530.36</v>
          </cell>
          <cell r="H213">
            <v>-16606.240000000002</v>
          </cell>
        </row>
        <row r="217">
          <cell r="H217">
            <v>128400.82042908778</v>
          </cell>
        </row>
      </sheetData>
      <sheetData sheetId="28">
        <row r="8">
          <cell r="H8">
            <v>888721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610641.55000000005</v>
          </cell>
        </row>
        <row r="49">
          <cell r="H49">
            <v>17774</v>
          </cell>
        </row>
        <row r="56">
          <cell r="C56">
            <v>126996.29</v>
          </cell>
        </row>
        <row r="57">
          <cell r="C57">
            <v>120889</v>
          </cell>
        </row>
        <row r="60">
          <cell r="C60">
            <v>0.35520000000000002</v>
          </cell>
          <cell r="H60">
            <v>0.35520000000000002</v>
          </cell>
        </row>
        <row r="61">
          <cell r="C61">
            <v>0.35</v>
          </cell>
        </row>
        <row r="64">
          <cell r="H64">
            <v>9716.7676500000016</v>
          </cell>
        </row>
        <row r="65">
          <cell r="H65">
            <v>0</v>
          </cell>
        </row>
        <row r="66">
          <cell r="H66">
            <v>1951.4174</v>
          </cell>
        </row>
        <row r="67">
          <cell r="H67">
            <v>8473.2048750000013</v>
          </cell>
        </row>
        <row r="68">
          <cell r="H68">
            <v>5779.2733499999995</v>
          </cell>
        </row>
        <row r="72">
          <cell r="H72">
            <v>2.3754839440947921</v>
          </cell>
        </row>
        <row r="73">
          <cell r="H73">
            <v>2603.5785658506247</v>
          </cell>
        </row>
        <row r="74">
          <cell r="H74">
            <v>5.0110934955229167</v>
          </cell>
        </row>
        <row r="75">
          <cell r="H75">
            <v>0</v>
          </cell>
        </row>
        <row r="76">
          <cell r="H76">
            <v>612.78455223354172</v>
          </cell>
        </row>
        <row r="77">
          <cell r="H77">
            <v>2011.448074304375</v>
          </cell>
        </row>
        <row r="78">
          <cell r="H78">
            <v>311.49018593749997</v>
          </cell>
        </row>
        <row r="79">
          <cell r="H79">
            <v>36540</v>
          </cell>
        </row>
        <row r="80">
          <cell r="H80">
            <v>4.329808943969792</v>
          </cell>
        </row>
        <row r="81">
          <cell r="H81">
            <v>0</v>
          </cell>
        </row>
        <row r="82">
          <cell r="H82">
            <v>189.65271979166667</v>
          </cell>
        </row>
        <row r="83">
          <cell r="H83">
            <v>586.17825729166668</v>
          </cell>
        </row>
        <row r="84">
          <cell r="H84">
            <v>3924.836908529167</v>
          </cell>
        </row>
        <row r="85">
          <cell r="H85">
            <v>667.74388180125004</v>
          </cell>
        </row>
        <row r="86">
          <cell r="H86">
            <v>1018.4423888618751</v>
          </cell>
        </row>
        <row r="87">
          <cell r="H87">
            <v>0</v>
          </cell>
        </row>
        <row r="88">
          <cell r="H88">
            <v>3389.9339250000003</v>
          </cell>
        </row>
        <row r="89">
          <cell r="H89">
            <v>0</v>
          </cell>
        </row>
        <row r="90">
          <cell r="H90">
            <v>381.49285627336809</v>
          </cell>
        </row>
        <row r="91">
          <cell r="H91">
            <v>1248.7019613304167</v>
          </cell>
        </row>
        <row r="92">
          <cell r="H92">
            <v>0</v>
          </cell>
        </row>
        <row r="93">
          <cell r="H93">
            <v>9.7890127083333347</v>
          </cell>
        </row>
        <row r="94">
          <cell r="H94">
            <v>5.9731189637500002</v>
          </cell>
        </row>
        <row r="95">
          <cell r="H95">
            <v>5881.3439350685021</v>
          </cell>
        </row>
        <row r="96">
          <cell r="H96">
            <v>5000</v>
          </cell>
        </row>
        <row r="97">
          <cell r="H97">
            <v>746.51648065312497</v>
          </cell>
        </row>
        <row r="98">
          <cell r="H98">
            <v>1653.15</v>
          </cell>
        </row>
        <row r="99">
          <cell r="H99">
            <v>6071.8809000000001</v>
          </cell>
        </row>
        <row r="100">
          <cell r="H100">
            <v>1064.2835397429169</v>
          </cell>
        </row>
        <row r="101">
          <cell r="H101">
            <v>0</v>
          </cell>
        </row>
        <row r="105">
          <cell r="H105">
            <v>911.0865</v>
          </cell>
        </row>
        <row r="106">
          <cell r="H106">
            <v>3322.0898999999999</v>
          </cell>
        </row>
        <row r="107">
          <cell r="H107">
            <v>0</v>
          </cell>
        </row>
        <row r="108">
          <cell r="H108">
            <v>257.5</v>
          </cell>
        </row>
        <row r="109">
          <cell r="H109">
            <v>5351.5298000000003</v>
          </cell>
        </row>
        <row r="110">
          <cell r="H110">
            <v>16307.897300000001</v>
          </cell>
        </row>
        <row r="111">
          <cell r="H111">
            <v>113.5575</v>
          </cell>
        </row>
        <row r="112">
          <cell r="H112">
            <v>2163</v>
          </cell>
        </row>
        <row r="113">
          <cell r="H113">
            <v>10779.8326</v>
          </cell>
        </row>
        <row r="114">
          <cell r="H114">
            <v>0</v>
          </cell>
        </row>
        <row r="118">
          <cell r="H118">
            <v>619.41599999999994</v>
          </cell>
        </row>
        <row r="119">
          <cell r="H119">
            <v>398.19600000000003</v>
          </cell>
        </row>
        <row r="120">
          <cell r="H120">
            <v>690.20640000000003</v>
          </cell>
        </row>
        <row r="121">
          <cell r="H121">
            <v>8164.2750000000005</v>
          </cell>
        </row>
        <row r="122">
          <cell r="H122">
            <v>5680.4724375000005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1393.5152</v>
          </cell>
        </row>
        <row r="131">
          <cell r="H131">
            <v>88488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2617.0446000000002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24785.568685093469</v>
          </cell>
        </row>
        <row r="142">
          <cell r="H142">
            <v>2347.3702480125444</v>
          </cell>
        </row>
        <row r="143">
          <cell r="H143">
            <v>5372.8969983301467</v>
          </cell>
        </row>
        <row r="144">
          <cell r="H144">
            <v>0</v>
          </cell>
        </row>
        <row r="145">
          <cell r="H145">
            <v>3594.5521743525105</v>
          </cell>
        </row>
        <row r="146">
          <cell r="H146">
            <v>0</v>
          </cell>
        </row>
        <row r="147">
          <cell r="H147">
            <v>402.91540000000003</v>
          </cell>
        </row>
        <row r="148">
          <cell r="H148">
            <v>50.726933499999994</v>
          </cell>
        </row>
        <row r="149">
          <cell r="H149">
            <v>134.47958100000002</v>
          </cell>
        </row>
        <row r="150">
          <cell r="H150">
            <v>710.14340791333348</v>
          </cell>
        </row>
        <row r="152">
          <cell r="H152">
            <v>9.5427954999999987</v>
          </cell>
        </row>
        <row r="156">
          <cell r="H156">
            <v>12838.93458813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683.83871557465318</v>
          </cell>
        </row>
        <row r="162">
          <cell r="H162">
            <v>2.7143273552527778</v>
          </cell>
        </row>
        <row r="163">
          <cell r="H163">
            <v>16.006053971642707</v>
          </cell>
        </row>
        <row r="164">
          <cell r="H164">
            <v>-104.48613133708332</v>
          </cell>
        </row>
        <row r="165">
          <cell r="H165">
            <v>449.69897055076035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261.11600259347085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8900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1638.1906112377364</v>
          </cell>
          <cell r="H207">
            <v>5299.2061475150886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23572.052894372602</v>
          </cell>
          <cell r="H212">
            <v>33565.496092692956</v>
          </cell>
        </row>
        <row r="213">
          <cell r="C213">
            <v>-5675.12</v>
          </cell>
          <cell r="H213">
            <v>-7610.08</v>
          </cell>
        </row>
        <row r="217">
          <cell r="H217">
            <v>-38535.523975514923</v>
          </cell>
        </row>
      </sheetData>
      <sheetData sheetId="29">
        <row r="8">
          <cell r="H8">
            <v>2004813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1578269.25</v>
          </cell>
        </row>
        <row r="49">
          <cell r="H49">
            <v>59340</v>
          </cell>
        </row>
        <row r="56">
          <cell r="C56">
            <v>194547.58</v>
          </cell>
        </row>
        <row r="57">
          <cell r="C57">
            <v>218434</v>
          </cell>
        </row>
        <row r="60">
          <cell r="C60">
            <v>0.376</v>
          </cell>
          <cell r="H60">
            <v>0.37596563920445053</v>
          </cell>
        </row>
        <row r="61">
          <cell r="C61">
            <v>0.35199999999999998</v>
          </cell>
        </row>
        <row r="64">
          <cell r="H64">
            <v>9462.6151499999996</v>
          </cell>
        </row>
        <row r="65">
          <cell r="H65">
            <v>0</v>
          </cell>
        </row>
        <row r="66">
          <cell r="H66">
            <v>2516.7792500000005</v>
          </cell>
        </row>
        <row r="67">
          <cell r="H67">
            <v>3722.9633250000002</v>
          </cell>
        </row>
        <row r="68">
          <cell r="H68">
            <v>7351.1537749999998</v>
          </cell>
        </row>
        <row r="72">
          <cell r="H72">
            <v>3.6486119166666664</v>
          </cell>
        </row>
        <row r="73">
          <cell r="H73">
            <v>7802.4743455660409</v>
          </cell>
        </row>
        <row r="74">
          <cell r="H74">
            <v>3436.6297228235417</v>
          </cell>
        </row>
        <row r="75">
          <cell r="H75">
            <v>0</v>
          </cell>
        </row>
        <row r="76">
          <cell r="H76">
            <v>48.807494034197219</v>
          </cell>
        </row>
        <row r="77">
          <cell r="H77">
            <v>2561.2386251527087</v>
          </cell>
        </row>
        <row r="78">
          <cell r="H78">
            <v>1598.8716286458332</v>
          </cell>
        </row>
        <row r="79">
          <cell r="H79">
            <v>47263.482714468628</v>
          </cell>
        </row>
        <row r="80">
          <cell r="H80">
            <v>0</v>
          </cell>
        </row>
        <row r="81">
          <cell r="H81">
            <v>148.23339714937504</v>
          </cell>
        </row>
        <row r="82">
          <cell r="H82">
            <v>652.9454887091299</v>
          </cell>
        </row>
        <row r="83">
          <cell r="H83">
            <v>930.51468954383495</v>
          </cell>
        </row>
        <row r="84">
          <cell r="H84">
            <v>6941.5823105531181</v>
          </cell>
        </row>
        <row r="85">
          <cell r="H85">
            <v>836.44424742623971</v>
          </cell>
        </row>
        <row r="86">
          <cell r="H86">
            <v>844.86262094541678</v>
          </cell>
        </row>
        <row r="87">
          <cell r="H87">
            <v>0</v>
          </cell>
        </row>
        <row r="88">
          <cell r="H88">
            <v>3743.7151500000004</v>
          </cell>
        </row>
        <row r="89">
          <cell r="H89">
            <v>0</v>
          </cell>
        </row>
        <row r="90">
          <cell r="H90">
            <v>596.60381302562496</v>
          </cell>
        </row>
        <row r="91">
          <cell r="H91">
            <v>1377.2329446410417</v>
          </cell>
        </row>
        <row r="92">
          <cell r="H92">
            <v>0</v>
          </cell>
        </row>
        <row r="93">
          <cell r="H93">
            <v>0.56912864583333345</v>
          </cell>
        </row>
        <row r="94">
          <cell r="H94">
            <v>8.8784068749999996</v>
          </cell>
        </row>
        <row r="95">
          <cell r="H95">
            <v>7368.1551027390615</v>
          </cell>
        </row>
        <row r="96">
          <cell r="H96">
            <v>11744.533799999999</v>
          </cell>
        </row>
        <row r="97">
          <cell r="H97">
            <v>65.678645700624998</v>
          </cell>
        </row>
        <row r="98">
          <cell r="H98">
            <v>0</v>
          </cell>
        </row>
        <row r="99">
          <cell r="H99">
            <v>6446.1013838248673</v>
          </cell>
        </row>
        <row r="100">
          <cell r="H100">
            <v>778.43192880253889</v>
          </cell>
        </row>
        <row r="101">
          <cell r="H101">
            <v>0</v>
          </cell>
        </row>
        <row r="105">
          <cell r="H105">
            <v>1055.029</v>
          </cell>
        </row>
        <row r="106">
          <cell r="H106">
            <v>9065.5758999999998</v>
          </cell>
        </row>
        <row r="107">
          <cell r="H107">
            <v>0</v>
          </cell>
        </row>
        <row r="108">
          <cell r="H108">
            <v>386.25</v>
          </cell>
        </row>
        <row r="109">
          <cell r="H109">
            <v>8590.3235999999997</v>
          </cell>
        </row>
        <row r="110">
          <cell r="H110">
            <v>45865.869100000004</v>
          </cell>
        </row>
        <row r="111">
          <cell r="H111">
            <v>72.872500000000002</v>
          </cell>
        </row>
        <row r="112">
          <cell r="H112">
            <v>9270</v>
          </cell>
        </row>
        <row r="113">
          <cell r="H113">
            <v>21100</v>
          </cell>
        </row>
        <row r="114">
          <cell r="H114">
            <v>0</v>
          </cell>
        </row>
        <row r="118">
          <cell r="H118">
            <v>1238.6499999999999</v>
          </cell>
        </row>
        <row r="119">
          <cell r="H119">
            <v>796.27500000000009</v>
          </cell>
        </row>
        <row r="120">
          <cell r="H120">
            <v>1380.21</v>
          </cell>
        </row>
        <row r="121">
          <cell r="H121">
            <v>8250.9</v>
          </cell>
        </row>
        <row r="122">
          <cell r="H122">
            <v>5867.4000000000005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3112.7568000000001</v>
          </cell>
        </row>
        <row r="131">
          <cell r="H131">
            <v>176950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8658.1387999999988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43786.339014069075</v>
          </cell>
        </row>
        <row r="142">
          <cell r="H142">
            <v>5552.6020722189141</v>
          </cell>
        </row>
        <row r="143">
          <cell r="H143">
            <v>11073.129921224545</v>
          </cell>
        </row>
        <row r="144">
          <cell r="H144">
            <v>0</v>
          </cell>
        </row>
        <row r="145">
          <cell r="H145">
            <v>7148.0434606828576</v>
          </cell>
        </row>
        <row r="146">
          <cell r="H146">
            <v>0</v>
          </cell>
        </row>
        <row r="147">
          <cell r="H147">
            <v>219.95650000000001</v>
          </cell>
        </row>
        <row r="148">
          <cell r="H148">
            <v>74.708578000000003</v>
          </cell>
        </row>
        <row r="149">
          <cell r="H149">
            <v>161.63316200000003</v>
          </cell>
        </row>
        <row r="150">
          <cell r="H150">
            <v>514.11387305725691</v>
          </cell>
        </row>
        <row r="152">
          <cell r="H152">
            <v>2168.0818912499999</v>
          </cell>
        </row>
        <row r="156">
          <cell r="H156">
            <v>26377.16425596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598.90711490715216</v>
          </cell>
        </row>
        <row r="162">
          <cell r="H162">
            <v>51.545448902890627</v>
          </cell>
        </row>
        <row r="163">
          <cell r="H163">
            <v>1271.4742957631754</v>
          </cell>
        </row>
        <row r="164">
          <cell r="H164">
            <v>-96.08929112558333</v>
          </cell>
        </row>
        <row r="165">
          <cell r="H165">
            <v>373.04237707853537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2083.9681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9600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4222.391526954877</v>
          </cell>
          <cell r="H207">
            <v>11954.164888888827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60757.985474285641</v>
          </cell>
          <cell r="H212">
            <v>75718.412097925044</v>
          </cell>
        </row>
        <row r="213">
          <cell r="C213">
            <v>-14814.76</v>
          </cell>
          <cell r="H213">
            <v>-17519.64</v>
          </cell>
        </row>
        <row r="217">
          <cell r="H217">
            <v>111330.00661646736</v>
          </cell>
        </row>
      </sheetData>
      <sheetData sheetId="30">
        <row r="8">
          <cell r="H8">
            <v>305973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193842.48</v>
          </cell>
        </row>
        <row r="49">
          <cell r="H49">
            <v>3800</v>
          </cell>
        </row>
        <row r="56">
          <cell r="C56">
            <v>65506.22</v>
          </cell>
        </row>
        <row r="57">
          <cell r="C57">
            <v>55172</v>
          </cell>
        </row>
        <row r="60">
          <cell r="C60">
            <v>0.45</v>
          </cell>
          <cell r="H60">
            <v>0.4695555195202748</v>
          </cell>
        </row>
        <row r="61">
          <cell r="C61">
            <v>0.435</v>
          </cell>
        </row>
        <row r="64">
          <cell r="H64">
            <v>139.41565</v>
          </cell>
        </row>
        <row r="65">
          <cell r="H65">
            <v>0</v>
          </cell>
        </row>
        <row r="66">
          <cell r="H66">
            <v>543.219425</v>
          </cell>
        </row>
        <row r="67">
          <cell r="H67">
            <v>674.01655000000005</v>
          </cell>
        </row>
        <row r="68">
          <cell r="H68">
            <v>753.82095000000004</v>
          </cell>
        </row>
        <row r="72">
          <cell r="H72">
            <v>0.45530291666666672</v>
          </cell>
        </row>
        <row r="73">
          <cell r="H73">
            <v>1541.4923411585419</v>
          </cell>
        </row>
        <row r="74">
          <cell r="H74">
            <v>1458.3696491904168</v>
          </cell>
        </row>
        <row r="75">
          <cell r="H75">
            <v>0</v>
          </cell>
        </row>
        <row r="76">
          <cell r="H76">
            <v>33.163091365833331</v>
          </cell>
        </row>
        <row r="77">
          <cell r="H77">
            <v>898.96372736833337</v>
          </cell>
        </row>
        <row r="78">
          <cell r="H78">
            <v>0.56912864583333345</v>
          </cell>
        </row>
        <row r="79">
          <cell r="H79">
            <v>32495.139300000003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189.61060427187499</v>
          </cell>
        </row>
        <row r="83">
          <cell r="H83">
            <v>0.39080167013888889</v>
          </cell>
        </row>
        <row r="84">
          <cell r="H84">
            <v>905.56209351937503</v>
          </cell>
        </row>
        <row r="85">
          <cell r="H85">
            <v>1282.8841837500001</v>
          </cell>
        </row>
        <row r="86">
          <cell r="H86">
            <v>567.06527129583344</v>
          </cell>
        </row>
        <row r="87">
          <cell r="H87">
            <v>0</v>
          </cell>
        </row>
        <row r="88">
          <cell r="H88">
            <v>2002.7353500000002</v>
          </cell>
        </row>
        <row r="89">
          <cell r="H89">
            <v>0</v>
          </cell>
        </row>
        <row r="90">
          <cell r="H90">
            <v>39.091128645833329</v>
          </cell>
        </row>
        <row r="91">
          <cell r="H91">
            <v>114.23136428166666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2.1588187793750002</v>
          </cell>
        </row>
        <row r="95">
          <cell r="H95">
            <v>716.92738436481989</v>
          </cell>
        </row>
        <row r="96">
          <cell r="H96">
            <v>3197.4264249999997</v>
          </cell>
        </row>
        <row r="97">
          <cell r="H97">
            <v>52.883678739166669</v>
          </cell>
        </row>
        <row r="98">
          <cell r="H98">
            <v>0</v>
          </cell>
        </row>
        <row r="99">
          <cell r="H99">
            <v>2841.8245899141666</v>
          </cell>
        </row>
        <row r="100">
          <cell r="H100">
            <v>738.91918245645832</v>
          </cell>
        </row>
        <row r="101">
          <cell r="H101">
            <v>0</v>
          </cell>
        </row>
        <row r="105">
          <cell r="H105">
            <v>993.22899999999993</v>
          </cell>
        </row>
        <row r="106">
          <cell r="H106">
            <v>1633.5388</v>
          </cell>
        </row>
        <row r="107">
          <cell r="H107">
            <v>0</v>
          </cell>
        </row>
        <row r="108">
          <cell r="H108">
            <v>36.050000000000004</v>
          </cell>
        </row>
        <row r="109">
          <cell r="H109">
            <v>1740.3704</v>
          </cell>
        </row>
        <row r="110">
          <cell r="H110">
            <v>2217.59</v>
          </cell>
        </row>
        <row r="111">
          <cell r="H111">
            <v>128.75</v>
          </cell>
        </row>
        <row r="112">
          <cell r="H112">
            <v>25.986900000000002</v>
          </cell>
        </row>
        <row r="113">
          <cell r="H113">
            <v>2134.61</v>
          </cell>
        </row>
        <row r="114">
          <cell r="H114">
            <v>0</v>
          </cell>
        </row>
        <row r="118">
          <cell r="H118">
            <v>319.68999999999994</v>
          </cell>
        </row>
        <row r="119">
          <cell r="H119">
            <v>205.51500000000001</v>
          </cell>
        </row>
        <row r="120">
          <cell r="H120">
            <v>356.226</v>
          </cell>
        </row>
        <row r="121">
          <cell r="H121">
            <v>2594.5500000000002</v>
          </cell>
        </row>
        <row r="122">
          <cell r="H122">
            <v>3011.4794850000003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483.47680000000003</v>
          </cell>
        </row>
        <row r="131">
          <cell r="H131">
            <v>45670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8588.6434885641174</v>
          </cell>
        </row>
        <row r="142">
          <cell r="H142">
            <v>1076.8188868389057</v>
          </cell>
        </row>
        <row r="143">
          <cell r="H143">
            <v>2038.0371142620361</v>
          </cell>
        </row>
        <row r="144">
          <cell r="H144">
            <v>0</v>
          </cell>
        </row>
        <row r="145">
          <cell r="H145">
            <v>1502.836475050359</v>
          </cell>
        </row>
        <row r="146">
          <cell r="H146">
            <v>0</v>
          </cell>
        </row>
        <row r="147">
          <cell r="H147">
            <v>159.1968</v>
          </cell>
        </row>
        <row r="148">
          <cell r="H148">
            <v>25.265333500000001</v>
          </cell>
        </row>
        <row r="149">
          <cell r="H149">
            <v>83.915490500000004</v>
          </cell>
        </row>
        <row r="150">
          <cell r="H150">
            <v>188.06896466046527</v>
          </cell>
        </row>
        <row r="152">
          <cell r="H152">
            <v>0</v>
          </cell>
        </row>
        <row r="156">
          <cell r="H156">
            <v>2339.9285175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11.938156300729167</v>
          </cell>
        </row>
        <row r="162">
          <cell r="H162">
            <v>0.42056899541145842</v>
          </cell>
        </row>
        <row r="163">
          <cell r="H163">
            <v>3.8931008350694443</v>
          </cell>
        </row>
        <row r="164">
          <cell r="H164">
            <v>0</v>
          </cell>
        </row>
        <row r="165">
          <cell r="H165">
            <v>50.480394234270832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2400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530.0007196845188</v>
          </cell>
          <cell r="H207">
            <v>1824.4353431207703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7389.0543249248603</v>
          </cell>
          <cell r="H212">
            <v>11556.085133545334</v>
          </cell>
        </row>
        <row r="213">
          <cell r="C213">
            <v>-1076.48</v>
          </cell>
          <cell r="H213">
            <v>-2356</v>
          </cell>
        </row>
        <row r="217">
          <cell r="H217">
            <v>-9424.3993667823233</v>
          </cell>
        </row>
      </sheetData>
      <sheetData sheetId="31">
        <row r="8">
          <cell r="H8">
            <v>997531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649284.44000000006</v>
          </cell>
        </row>
        <row r="49">
          <cell r="H49">
            <v>11000</v>
          </cell>
        </row>
        <row r="56">
          <cell r="C56">
            <v>108044.18</v>
          </cell>
        </row>
        <row r="57">
          <cell r="C57">
            <v>94548</v>
          </cell>
        </row>
        <row r="60">
          <cell r="C60">
            <v>0.38</v>
          </cell>
          <cell r="H60">
            <v>0.40844433677198183</v>
          </cell>
        </row>
        <row r="61">
          <cell r="C61">
            <v>0.379</v>
          </cell>
        </row>
        <row r="64">
          <cell r="H64">
            <v>3678.3669</v>
          </cell>
        </row>
        <row r="65">
          <cell r="H65">
            <v>0</v>
          </cell>
        </row>
        <row r="66">
          <cell r="H66">
            <v>1561.2534000000001</v>
          </cell>
        </row>
        <row r="67">
          <cell r="H67">
            <v>4219.4877000000006</v>
          </cell>
        </row>
        <row r="68">
          <cell r="H68">
            <v>3158.7628000000004</v>
          </cell>
        </row>
        <row r="72">
          <cell r="H72">
            <v>31.883611632499999</v>
          </cell>
        </row>
        <row r="73">
          <cell r="H73">
            <v>4319.2565844637502</v>
          </cell>
        </row>
        <row r="74">
          <cell r="H74">
            <v>5497.2130000000006</v>
          </cell>
        </row>
        <row r="75">
          <cell r="H75">
            <v>192.12384000000003</v>
          </cell>
        </row>
        <row r="76">
          <cell r="H76">
            <v>114.67487749645834</v>
          </cell>
        </row>
        <row r="77">
          <cell r="H77">
            <v>3047.5771540441665</v>
          </cell>
        </row>
        <row r="78">
          <cell r="H78">
            <v>746.93194181791682</v>
          </cell>
        </row>
        <row r="79">
          <cell r="H79">
            <v>49000</v>
          </cell>
        </row>
        <row r="80">
          <cell r="H80">
            <v>0</v>
          </cell>
        </row>
        <row r="81">
          <cell r="H81">
            <v>-660.50041476229171</v>
          </cell>
        </row>
        <row r="82">
          <cell r="H82">
            <v>724.23323437500005</v>
          </cell>
        </row>
        <row r="83">
          <cell r="H83">
            <v>852.00603329083333</v>
          </cell>
        </row>
        <row r="84">
          <cell r="H84">
            <v>6184.0475641770836</v>
          </cell>
        </row>
        <row r="85">
          <cell r="H85">
            <v>1246.9889129464584</v>
          </cell>
        </row>
        <row r="86">
          <cell r="H86">
            <v>1535.9065085893747</v>
          </cell>
        </row>
        <row r="87">
          <cell r="H87">
            <v>4.3053999999999997</v>
          </cell>
        </row>
        <row r="88">
          <cell r="H88">
            <v>4737.8834999999999</v>
          </cell>
        </row>
        <row r="89">
          <cell r="H89">
            <v>0</v>
          </cell>
        </row>
        <row r="90">
          <cell r="H90">
            <v>390.69745929520843</v>
          </cell>
        </row>
        <row r="91">
          <cell r="H91">
            <v>440.57301595312504</v>
          </cell>
        </row>
        <row r="92">
          <cell r="H92">
            <v>0</v>
          </cell>
        </row>
        <row r="93">
          <cell r="H93">
            <v>313.0207552083333</v>
          </cell>
        </row>
        <row r="94">
          <cell r="H94">
            <v>44.15446129145834</v>
          </cell>
        </row>
        <row r="95">
          <cell r="H95">
            <v>756.90283752244386</v>
          </cell>
        </row>
        <row r="96">
          <cell r="H96">
            <v>6547.9365999999991</v>
          </cell>
        </row>
        <row r="97">
          <cell r="H97">
            <v>639.97365950000005</v>
          </cell>
        </row>
        <row r="98">
          <cell r="H98">
            <v>0</v>
          </cell>
        </row>
        <row r="99">
          <cell r="H99">
            <v>5408.2203993383337</v>
          </cell>
        </row>
        <row r="100">
          <cell r="H100">
            <v>865.07115008999995</v>
          </cell>
        </row>
        <row r="101">
          <cell r="H101">
            <v>38.802417500000004</v>
          </cell>
        </row>
        <row r="105">
          <cell r="H105">
            <v>1600.8775000000001</v>
          </cell>
        </row>
        <row r="106">
          <cell r="H106">
            <v>7401.3328000000001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2949.1680999999999</v>
          </cell>
        </row>
        <row r="110">
          <cell r="H110">
            <v>5349.9744999999994</v>
          </cell>
        </row>
        <row r="111">
          <cell r="H111">
            <v>3.8625000000000003</v>
          </cell>
        </row>
        <row r="112">
          <cell r="H112">
            <v>25.986900000000002</v>
          </cell>
        </row>
        <row r="113">
          <cell r="H113">
            <v>12981.54</v>
          </cell>
        </row>
        <row r="114">
          <cell r="H114">
            <v>0</v>
          </cell>
        </row>
        <row r="118">
          <cell r="H118">
            <v>832.2299999999999</v>
          </cell>
        </row>
        <row r="119">
          <cell r="H119">
            <v>535.00500000000011</v>
          </cell>
        </row>
        <row r="120">
          <cell r="H120">
            <v>927.3420000000001</v>
          </cell>
        </row>
        <row r="121">
          <cell r="H121">
            <v>7735.35</v>
          </cell>
        </row>
        <row r="122">
          <cell r="H122">
            <v>6901.6500000000005</v>
          </cell>
        </row>
        <row r="123">
          <cell r="H123">
            <v>50</v>
          </cell>
        </row>
        <row r="124">
          <cell r="H124">
            <v>0</v>
          </cell>
        </row>
        <row r="125">
          <cell r="H125">
            <v>180.22812764958334</v>
          </cell>
        </row>
        <row r="126">
          <cell r="H126">
            <v>0</v>
          </cell>
        </row>
        <row r="127">
          <cell r="H127">
            <v>1578.4496000000001</v>
          </cell>
        </row>
        <row r="131">
          <cell r="H131">
            <v>118890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33651.680309703021</v>
          </cell>
        </row>
        <row r="142">
          <cell r="H142">
            <v>3410.3728619220478</v>
          </cell>
        </row>
        <row r="143">
          <cell r="H143">
            <v>7611.2781293195148</v>
          </cell>
        </row>
        <row r="144">
          <cell r="H144">
            <v>0</v>
          </cell>
        </row>
        <row r="145">
          <cell r="H145">
            <v>4888.1284217418388</v>
          </cell>
        </row>
        <row r="146">
          <cell r="H146">
            <v>0</v>
          </cell>
        </row>
        <row r="147">
          <cell r="H147">
            <v>-88.477000000000004</v>
          </cell>
        </row>
        <row r="148">
          <cell r="H148">
            <v>0</v>
          </cell>
        </row>
        <row r="149">
          <cell r="H149">
            <v>74.296595166666663</v>
          </cell>
        </row>
        <row r="150">
          <cell r="H150">
            <v>465.84317586145841</v>
          </cell>
        </row>
        <row r="152">
          <cell r="H152">
            <v>0</v>
          </cell>
        </row>
        <row r="156">
          <cell r="H156">
            <v>12157.608568700001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860.96754974999999</v>
          </cell>
        </row>
        <row r="162">
          <cell r="H162">
            <v>1.5860455000000004</v>
          </cell>
        </row>
        <row r="163">
          <cell r="H163">
            <v>105.96385074999999</v>
          </cell>
        </row>
        <row r="164">
          <cell r="H164">
            <v>0</v>
          </cell>
        </row>
        <row r="165">
          <cell r="H165">
            <v>234.0924775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400.97312900000003</v>
          </cell>
        </row>
        <row r="172">
          <cell r="H172">
            <v>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4900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1775.7977182137129</v>
          </cell>
          <cell r="H207">
            <v>5948.011139082877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24861.189347202031</v>
          </cell>
          <cell r="H212">
            <v>37675.066621403224</v>
          </cell>
        </row>
        <row r="213">
          <cell r="C213">
            <v>-5137.32</v>
          </cell>
          <cell r="H213">
            <v>-8419.76</v>
          </cell>
        </row>
        <row r="217">
          <cell r="H217">
            <v>16458.578571639096</v>
          </cell>
        </row>
      </sheetData>
      <sheetData sheetId="32">
        <row r="8">
          <cell r="H8">
            <v>2368050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1726975.3299999998</v>
          </cell>
        </row>
        <row r="49">
          <cell r="H49">
            <v>45435</v>
          </cell>
        </row>
        <row r="56">
          <cell r="C56">
            <v>312486.03999999998</v>
          </cell>
        </row>
        <row r="57">
          <cell r="C57">
            <v>348029</v>
          </cell>
        </row>
        <row r="60">
          <cell r="C60">
            <v>0.315</v>
          </cell>
          <cell r="H60">
            <v>0.34238132449846403</v>
          </cell>
        </row>
        <row r="61">
          <cell r="C61">
            <v>0.32469999999999999</v>
          </cell>
        </row>
        <row r="64">
          <cell r="H64">
            <v>12000</v>
          </cell>
        </row>
        <row r="65">
          <cell r="H65">
            <v>0</v>
          </cell>
        </row>
        <row r="66">
          <cell r="H66">
            <v>2891.7000000000003</v>
          </cell>
        </row>
        <row r="67">
          <cell r="H67">
            <v>3500</v>
          </cell>
        </row>
        <row r="68">
          <cell r="H68">
            <v>6543.2114750000001</v>
          </cell>
        </row>
        <row r="72">
          <cell r="H72">
            <v>510.76769558083339</v>
          </cell>
        </row>
        <row r="73">
          <cell r="H73">
            <v>9027.7815155183343</v>
          </cell>
        </row>
        <row r="74">
          <cell r="H74">
            <v>1418.4583715858332</v>
          </cell>
        </row>
        <row r="75">
          <cell r="H75">
            <v>0</v>
          </cell>
        </row>
        <row r="76">
          <cell r="H76">
            <v>699.71545616333344</v>
          </cell>
        </row>
        <row r="77">
          <cell r="H77">
            <v>5516.4680689166662</v>
          </cell>
        </row>
        <row r="78">
          <cell r="H78">
            <v>1373.6665427108333</v>
          </cell>
        </row>
        <row r="79">
          <cell r="H79">
            <v>82521.919999999998</v>
          </cell>
        </row>
        <row r="80">
          <cell r="H80">
            <v>3632.3289900000004</v>
          </cell>
        </row>
        <row r="81">
          <cell r="H81">
            <v>0</v>
          </cell>
        </row>
        <row r="82">
          <cell r="H82">
            <v>878.76509999999996</v>
          </cell>
        </row>
        <row r="83">
          <cell r="H83">
            <v>8849.0772980291677</v>
          </cell>
        </row>
        <row r="84">
          <cell r="H84">
            <v>11400.029700000001</v>
          </cell>
        </row>
        <row r="85">
          <cell r="H85">
            <v>1157.2976999999998</v>
          </cell>
        </row>
        <row r="86">
          <cell r="H86">
            <v>3822.1850076725004</v>
          </cell>
        </row>
        <row r="87">
          <cell r="H87">
            <v>772.4429194600001</v>
          </cell>
        </row>
        <row r="88">
          <cell r="H88">
            <v>4000</v>
          </cell>
        </row>
        <row r="89">
          <cell r="H89">
            <v>1307.2518542250002</v>
          </cell>
        </row>
        <row r="90">
          <cell r="H90">
            <v>648.16342124999994</v>
          </cell>
        </row>
        <row r="91">
          <cell r="H91">
            <v>1040.8666647141667</v>
          </cell>
        </row>
        <row r="92">
          <cell r="H92">
            <v>0</v>
          </cell>
        </row>
        <row r="93">
          <cell r="H93">
            <v>6.82954375</v>
          </cell>
        </row>
        <row r="94">
          <cell r="H94">
            <v>324.42373482833335</v>
          </cell>
        </row>
        <row r="95">
          <cell r="H95">
            <v>10390.091306471151</v>
          </cell>
        </row>
        <row r="96">
          <cell r="H96">
            <v>13200</v>
          </cell>
        </row>
        <row r="97">
          <cell r="H97">
            <v>731.35149999999999</v>
          </cell>
        </row>
        <row r="98">
          <cell r="H98">
            <v>0</v>
          </cell>
        </row>
        <row r="99">
          <cell r="H99">
            <v>8459.0536833699989</v>
          </cell>
        </row>
        <row r="100">
          <cell r="H100">
            <v>2597.19980218</v>
          </cell>
        </row>
        <row r="101">
          <cell r="H101">
            <v>22.765145833333339</v>
          </cell>
        </row>
        <row r="105">
          <cell r="H105">
            <v>86.118300000000005</v>
          </cell>
        </row>
        <row r="106">
          <cell r="H106">
            <v>10000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11000</v>
          </cell>
        </row>
        <row r="110">
          <cell r="H110">
            <v>29000</v>
          </cell>
        </row>
        <row r="111">
          <cell r="H111">
            <v>100</v>
          </cell>
        </row>
        <row r="112">
          <cell r="H112">
            <v>3000</v>
          </cell>
        </row>
        <row r="113">
          <cell r="H113">
            <v>16780.190300000002</v>
          </cell>
        </row>
        <row r="114">
          <cell r="H114">
            <v>-5000</v>
          </cell>
        </row>
        <row r="118">
          <cell r="H118">
            <v>1678.6349999999998</v>
          </cell>
        </row>
        <row r="119">
          <cell r="H119">
            <v>1079.1225000000002</v>
          </cell>
        </row>
        <row r="120">
          <cell r="H120">
            <v>1870.479</v>
          </cell>
        </row>
        <row r="121">
          <cell r="H121">
            <v>15421.087500000001</v>
          </cell>
        </row>
        <row r="122">
          <cell r="H122">
            <v>19616.100000000002</v>
          </cell>
        </row>
        <row r="123">
          <cell r="H123">
            <v>50</v>
          </cell>
        </row>
        <row r="124">
          <cell r="H124">
            <v>350</v>
          </cell>
        </row>
        <row r="125">
          <cell r="H125">
            <v>500</v>
          </cell>
        </row>
        <row r="126">
          <cell r="H126">
            <v>0</v>
          </cell>
        </row>
        <row r="127">
          <cell r="H127">
            <v>8682.844000000001</v>
          </cell>
        </row>
        <row r="131">
          <cell r="H131">
            <v>239805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8774.7245000000003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53643.356600821819</v>
          </cell>
        </row>
        <row r="142">
          <cell r="H142">
            <v>7811.3818250767536</v>
          </cell>
        </row>
        <row r="143">
          <cell r="H143">
            <v>17036.72600245558</v>
          </cell>
        </row>
        <row r="144">
          <cell r="H144">
            <v>0</v>
          </cell>
        </row>
        <row r="145">
          <cell r="H145">
            <v>10460.916738791841</v>
          </cell>
        </row>
        <row r="146">
          <cell r="H146">
            <v>0</v>
          </cell>
        </row>
        <row r="147">
          <cell r="H147">
            <v>-1311.8698000000002</v>
          </cell>
        </row>
        <row r="148">
          <cell r="H148">
            <v>0</v>
          </cell>
        </row>
        <row r="149">
          <cell r="H149">
            <v>53.42073541666668</v>
          </cell>
        </row>
        <row r="150">
          <cell r="H150">
            <v>1065.4508229925</v>
          </cell>
        </row>
        <row r="152">
          <cell r="H152">
            <v>4708.2870750000002</v>
          </cell>
        </row>
        <row r="156">
          <cell r="H156">
            <v>30264.105248999997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378.74222700000007</v>
          </cell>
        </row>
        <row r="162">
          <cell r="H162">
            <v>3.4165100000000002</v>
          </cell>
        </row>
        <row r="163">
          <cell r="H163">
            <v>116.57282500000001</v>
          </cell>
        </row>
        <row r="164">
          <cell r="H164">
            <v>-97.953000000000003</v>
          </cell>
        </row>
        <row r="165">
          <cell r="H165">
            <v>233.60400000000001</v>
          </cell>
        </row>
        <row r="166">
          <cell r="H166">
            <v>-10.697408333333335</v>
          </cell>
        </row>
        <row r="170">
          <cell r="H170">
            <v>0</v>
          </cell>
        </row>
        <row r="171">
          <cell r="H171">
            <v>972.04564113166668</v>
          </cell>
        </row>
        <row r="172">
          <cell r="H172">
            <v>0</v>
          </cell>
        </row>
        <row r="173">
          <cell r="H173">
            <v>1946.8339000000001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8600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4551.5214648503297</v>
          </cell>
          <cell r="H207">
            <v>14120.050181804081</v>
          </cell>
        </row>
        <row r="211">
          <cell r="C211">
            <v>6535.0624193548392</v>
          </cell>
          <cell r="H211">
            <v>9026.0372215405096</v>
          </cell>
        </row>
        <row r="212">
          <cell r="C212">
            <v>67459.566116589252</v>
          </cell>
          <cell r="H212">
            <v>89437.262112970842</v>
          </cell>
        </row>
        <row r="213">
          <cell r="C213">
            <v>-10352.25</v>
          </cell>
          <cell r="H213">
            <v>-22046.560000000001</v>
          </cell>
        </row>
        <row r="217">
          <cell r="H217">
            <v>6770.7569420716172</v>
          </cell>
        </row>
      </sheetData>
      <sheetData sheetId="33">
        <row r="8">
          <cell r="H8">
            <v>405000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1">
          <cell r="C21">
            <v>249783.97999999998</v>
          </cell>
        </row>
        <row r="49">
          <cell r="H49">
            <v>0</v>
          </cell>
        </row>
        <row r="56">
          <cell r="C56">
            <v>0</v>
          </cell>
        </row>
        <row r="57">
          <cell r="C57">
            <v>84328</v>
          </cell>
        </row>
        <row r="60">
          <cell r="C60">
            <v>0.35139999999999999</v>
          </cell>
          <cell r="H60">
            <v>0.38</v>
          </cell>
        </row>
        <row r="61">
          <cell r="C61">
            <v>0.28999999999999998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2500</v>
          </cell>
        </row>
        <row r="67">
          <cell r="H67">
            <v>1500</v>
          </cell>
        </row>
        <row r="68">
          <cell r="H68">
            <v>1350</v>
          </cell>
        </row>
        <row r="72">
          <cell r="H72">
            <v>100</v>
          </cell>
        </row>
        <row r="73">
          <cell r="H73">
            <v>4853.6174999999967</v>
          </cell>
        </row>
        <row r="76">
          <cell r="H76">
            <v>200</v>
          </cell>
        </row>
        <row r="77">
          <cell r="H77">
            <v>900</v>
          </cell>
        </row>
        <row r="78">
          <cell r="H78">
            <v>585</v>
          </cell>
        </row>
        <row r="79">
          <cell r="H79">
            <v>23220</v>
          </cell>
        </row>
        <row r="80">
          <cell r="H80">
            <v>0</v>
          </cell>
        </row>
        <row r="81">
          <cell r="H81">
            <v>0</v>
          </cell>
        </row>
        <row r="82">
          <cell r="H82">
            <v>835</v>
          </cell>
        </row>
        <row r="83">
          <cell r="H83">
            <v>300</v>
          </cell>
        </row>
        <row r="84">
          <cell r="H84">
            <v>600</v>
          </cell>
        </row>
        <row r="85">
          <cell r="H85">
            <v>200</v>
          </cell>
        </row>
        <row r="86">
          <cell r="H86">
            <v>1125</v>
          </cell>
        </row>
        <row r="87">
          <cell r="H87">
            <v>0</v>
          </cell>
        </row>
        <row r="88">
          <cell r="H88">
            <v>900</v>
          </cell>
        </row>
        <row r="89">
          <cell r="H89">
            <v>0</v>
          </cell>
        </row>
        <row r="90">
          <cell r="H90">
            <v>100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400</v>
          </cell>
        </row>
        <row r="94">
          <cell r="H94">
            <v>500</v>
          </cell>
        </row>
        <row r="95">
          <cell r="H95">
            <v>4122.4492193983442</v>
          </cell>
        </row>
        <row r="96">
          <cell r="H96">
            <v>18750</v>
          </cell>
        </row>
        <row r="97">
          <cell r="H97">
            <v>0</v>
          </cell>
        </row>
        <row r="98">
          <cell r="H98">
            <v>0</v>
          </cell>
        </row>
        <row r="99">
          <cell r="H99">
            <v>2500</v>
          </cell>
        </row>
        <row r="100">
          <cell r="H100">
            <v>500</v>
          </cell>
        </row>
        <row r="101">
          <cell r="H101">
            <v>0</v>
          </cell>
        </row>
        <row r="105">
          <cell r="H105">
            <v>200</v>
          </cell>
        </row>
        <row r="106">
          <cell r="H106">
            <v>2500</v>
          </cell>
        </row>
        <row r="107">
          <cell r="H107">
            <v>0</v>
          </cell>
        </row>
        <row r="108">
          <cell r="H108">
            <v>0</v>
          </cell>
        </row>
        <row r="109">
          <cell r="H109">
            <v>2000</v>
          </cell>
        </row>
        <row r="110">
          <cell r="H110">
            <v>3000</v>
          </cell>
        </row>
        <row r="111">
          <cell r="H111">
            <v>0</v>
          </cell>
        </row>
        <row r="112">
          <cell r="H112">
            <v>0</v>
          </cell>
        </row>
        <row r="113">
          <cell r="H113">
            <v>4000</v>
          </cell>
        </row>
        <row r="114">
          <cell r="H114">
            <v>0</v>
          </cell>
        </row>
        <row r="118">
          <cell r="H118">
            <v>349.99999999999994</v>
          </cell>
        </row>
        <row r="119">
          <cell r="H119">
            <v>225.00000000000003</v>
          </cell>
        </row>
        <row r="120">
          <cell r="H120">
            <v>390</v>
          </cell>
        </row>
        <row r="121">
          <cell r="H121">
            <v>3000</v>
          </cell>
        </row>
        <row r="122">
          <cell r="H122">
            <v>3500</v>
          </cell>
        </row>
        <row r="123">
          <cell r="H123">
            <v>100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648</v>
          </cell>
        </row>
        <row r="131">
          <cell r="H131">
            <v>50000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12385.69640287234</v>
          </cell>
        </row>
        <row r="142">
          <cell r="H142">
            <v>1556.9310895161357</v>
          </cell>
        </row>
        <row r="143">
          <cell r="H143">
            <v>3423.4066966842765</v>
          </cell>
        </row>
        <row r="144">
          <cell r="H144">
            <v>0</v>
          </cell>
        </row>
        <row r="145">
          <cell r="H145">
            <v>2154.8882065008083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50</v>
          </cell>
        </row>
        <row r="149">
          <cell r="H149">
            <v>0</v>
          </cell>
        </row>
        <row r="150">
          <cell r="H150">
            <v>206.20089869251095</v>
          </cell>
        </row>
        <row r="152">
          <cell r="H152">
            <v>500</v>
          </cell>
        </row>
        <row r="156">
          <cell r="H156">
            <v>5195.5327450240229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  <row r="166">
          <cell r="H166">
            <v>0</v>
          </cell>
        </row>
        <row r="170">
          <cell r="H170">
            <v>0</v>
          </cell>
        </row>
        <row r="171">
          <cell r="H171">
            <v>0</v>
          </cell>
        </row>
        <row r="172">
          <cell r="H172">
            <v>0</v>
          </cell>
        </row>
        <row r="173">
          <cell r="H173">
            <v>2000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4500</v>
          </cell>
        </row>
        <row r="180">
          <cell r="H180">
            <v>0</v>
          </cell>
        </row>
        <row r="181">
          <cell r="H181">
            <v>0</v>
          </cell>
        </row>
        <row r="182">
          <cell r="H182">
            <v>0</v>
          </cell>
        </row>
        <row r="183">
          <cell r="H183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0">
          <cell r="H190">
            <v>0</v>
          </cell>
        </row>
        <row r="191">
          <cell r="H191">
            <v>0</v>
          </cell>
        </row>
        <row r="192">
          <cell r="H192">
            <v>0</v>
          </cell>
        </row>
        <row r="193">
          <cell r="H193">
            <v>0</v>
          </cell>
        </row>
        <row r="194">
          <cell r="H194">
            <v>0</v>
          </cell>
        </row>
        <row r="195">
          <cell r="H195">
            <v>0</v>
          </cell>
        </row>
        <row r="196">
          <cell r="H196">
            <v>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7">
          <cell r="C207">
            <v>711.34421204830301</v>
          </cell>
          <cell r="H207">
            <v>2000</v>
          </cell>
        </row>
        <row r="211">
          <cell r="C211">
            <v>4244.5351526881732</v>
          </cell>
          <cell r="H211">
            <v>6750</v>
          </cell>
        </row>
        <row r="212">
          <cell r="C212">
            <v>8982.2115988429123</v>
          </cell>
          <cell r="H212">
            <v>9000</v>
          </cell>
        </row>
        <row r="213">
          <cell r="C213">
            <v>-880.2</v>
          </cell>
          <cell r="H213">
            <v>-3000</v>
          </cell>
        </row>
        <row r="217">
          <cell r="H217">
            <v>-28776.722758688411</v>
          </cell>
        </row>
      </sheetData>
      <sheetData sheetId="34" refreshError="1"/>
      <sheetData sheetId="35">
        <row r="5">
          <cell r="C5">
            <v>6535.0624193548392</v>
          </cell>
          <cell r="D5">
            <v>24517.25717768617</v>
          </cell>
          <cell r="E5">
            <v>1665.9372533450533</v>
          </cell>
        </row>
        <row r="6">
          <cell r="C6">
            <v>6535.0624193548392</v>
          </cell>
          <cell r="D6">
            <v>13482.350974416393</v>
          </cell>
          <cell r="E6">
            <v>923.57881558878978</v>
          </cell>
        </row>
        <row r="8">
          <cell r="D8">
            <v>38561.919623228525</v>
          </cell>
          <cell r="E8">
            <v>2656.6654283158682</v>
          </cell>
        </row>
        <row r="9">
          <cell r="C9">
            <v>6535.0624193548392</v>
          </cell>
          <cell r="D9">
            <v>32502.895588045074</v>
          </cell>
          <cell r="E9">
            <v>2210.7356291053725</v>
          </cell>
        </row>
        <row r="10">
          <cell r="C10">
            <v>6535.0624193548392</v>
          </cell>
          <cell r="D10">
            <v>36229.747700913809</v>
          </cell>
          <cell r="E10">
            <v>2469.4147394256784</v>
          </cell>
        </row>
        <row r="11">
          <cell r="C11">
            <v>6535.0624193548392</v>
          </cell>
          <cell r="D11">
            <v>26530.129054093795</v>
          </cell>
          <cell r="E11">
            <v>1813.8211350975703</v>
          </cell>
        </row>
        <row r="12">
          <cell r="C12">
            <v>6535.0624193548392</v>
          </cell>
          <cell r="D12">
            <v>13911.022786637252</v>
          </cell>
          <cell r="E12">
            <v>924.04993772933267</v>
          </cell>
        </row>
        <row r="13">
          <cell r="C13">
            <v>6535.0624193548392</v>
          </cell>
          <cell r="D13">
            <v>26528.407736303139</v>
          </cell>
          <cell r="E13">
            <v>1858.4659530398571</v>
          </cell>
        </row>
        <row r="14">
          <cell r="C14">
            <v>6535.0624193548392</v>
          </cell>
          <cell r="D14">
            <v>42185.339662793966</v>
          </cell>
          <cell r="E14">
            <v>2897.2359798867355</v>
          </cell>
        </row>
        <row r="15">
          <cell r="C15">
            <v>6535.0624193548392</v>
          </cell>
          <cell r="D15">
            <v>20836.360480643394</v>
          </cell>
          <cell r="E15">
            <v>1421.2355305835511</v>
          </cell>
        </row>
        <row r="16">
          <cell r="C16">
            <v>6535.0624193548392</v>
          </cell>
          <cell r="D16">
            <v>23193.689241694614</v>
          </cell>
          <cell r="E16">
            <v>1592.2422055254967</v>
          </cell>
        </row>
        <row r="17">
          <cell r="C17">
            <v>6535.0624193548392</v>
          </cell>
          <cell r="D17">
            <v>7264.5506639280829</v>
          </cell>
          <cell r="E17">
            <v>498.43410811279978</v>
          </cell>
        </row>
        <row r="19">
          <cell r="D19">
            <v>231432.02472280976</v>
          </cell>
          <cell r="E19">
            <v>15944.161107474347</v>
          </cell>
        </row>
        <row r="20">
          <cell r="C20">
            <v>6535.0624193548392</v>
          </cell>
          <cell r="D20">
            <v>40976.581553792057</v>
          </cell>
          <cell r="E20">
            <v>2830.2121787978367</v>
          </cell>
        </row>
        <row r="21">
          <cell r="C21">
            <v>6535.0624193548392</v>
          </cell>
          <cell r="D21">
            <v>23572.052894372602</v>
          </cell>
          <cell r="E21">
            <v>1638.1906112377364</v>
          </cell>
        </row>
        <row r="22">
          <cell r="C22">
            <v>6535.0624193548392</v>
          </cell>
          <cell r="D22">
            <v>60757.985474285641</v>
          </cell>
          <cell r="E22">
            <v>4222.391526954877</v>
          </cell>
        </row>
        <row r="23">
          <cell r="C23">
            <v>6535.0624193548392</v>
          </cell>
          <cell r="D23">
            <v>7389.0543249248603</v>
          </cell>
          <cell r="E23">
            <v>530.0007196845188</v>
          </cell>
        </row>
        <row r="24">
          <cell r="C24">
            <v>6535.0624193548392</v>
          </cell>
          <cell r="D24">
            <v>24861.189347202031</v>
          </cell>
          <cell r="E24">
            <v>1775.7977182137129</v>
          </cell>
        </row>
        <row r="25">
          <cell r="C25">
            <v>6535.0624193548392</v>
          </cell>
          <cell r="D25">
            <v>67459.566116589252</v>
          </cell>
          <cell r="E25">
            <v>4551.5214648503297</v>
          </cell>
        </row>
        <row r="26">
          <cell r="C26">
            <v>4244.5351526881732</v>
          </cell>
          <cell r="D26">
            <v>8982.2115988429123</v>
          </cell>
          <cell r="E26">
            <v>711.34421204830301</v>
          </cell>
        </row>
        <row r="28">
          <cell r="D28">
            <v>237923.83499045653</v>
          </cell>
          <cell r="E28">
            <v>16391.404607635948</v>
          </cell>
        </row>
        <row r="29">
          <cell r="C29">
            <v>6535.0624193548392</v>
          </cell>
          <cell r="D29">
            <v>67574.13611382716</v>
          </cell>
          <cell r="E29">
            <v>4708.6672246374455</v>
          </cell>
        </row>
        <row r="30">
          <cell r="C30">
            <v>6535.0624193548392</v>
          </cell>
          <cell r="D30">
            <v>20398.931668795893</v>
          </cell>
          <cell r="E30">
            <v>1428.4702230106307</v>
          </cell>
        </row>
        <row r="31">
          <cell r="C31">
            <v>6535.0624193548392</v>
          </cell>
          <cell r="D31">
            <v>12398.099362688667</v>
          </cell>
          <cell r="E31">
            <v>849.62358553429681</v>
          </cell>
        </row>
        <row r="32">
          <cell r="C32">
            <v>6535.0624193548392</v>
          </cell>
          <cell r="D32">
            <v>17545.745570879993</v>
          </cell>
          <cell r="E32">
            <v>1207.0538154574701</v>
          </cell>
        </row>
        <row r="33">
          <cell r="C33">
            <v>6535.0624193548392</v>
          </cell>
          <cell r="D33">
            <v>20477.750787342215</v>
          </cell>
          <cell r="E33">
            <v>1419.8385381446035</v>
          </cell>
        </row>
        <row r="34">
          <cell r="C34">
            <v>6535.0624193548392</v>
          </cell>
          <cell r="D34">
            <v>35427.198641621944</v>
          </cell>
          <cell r="E34">
            <v>2445.1092771262779</v>
          </cell>
        </row>
        <row r="35">
          <cell r="C35">
            <v>6535.0624193548392</v>
          </cell>
          <cell r="D35">
            <v>33097.03840546713</v>
          </cell>
          <cell r="E35">
            <v>2256.1633529491019</v>
          </cell>
        </row>
        <row r="36">
          <cell r="C36">
            <v>4443.5786860215057</v>
          </cell>
          <cell r="D36">
            <v>7893.030066292391</v>
          </cell>
          <cell r="E36">
            <v>455.97232677477592</v>
          </cell>
        </row>
        <row r="37">
          <cell r="C37">
            <v>6535.0624193548392</v>
          </cell>
          <cell r="D37">
            <v>27959.090403653063</v>
          </cell>
          <cell r="E37">
            <v>1948.1086577392059</v>
          </cell>
        </row>
        <row r="38">
          <cell r="C38">
            <v>6535.0624193548392</v>
          </cell>
          <cell r="D38">
            <v>12102.303273468693</v>
          </cell>
          <cell r="E38">
            <v>808.16185367567641</v>
          </cell>
        </row>
        <row r="39">
          <cell r="C39">
            <v>6535.0624193548392</v>
          </cell>
          <cell r="D39">
            <v>6835.4342032309523</v>
          </cell>
          <cell r="E39">
            <v>480.78060566563448</v>
          </cell>
        </row>
        <row r="40">
          <cell r="C40">
            <v>6535.0624193548392</v>
          </cell>
          <cell r="D40">
            <v>10427.280501016743</v>
          </cell>
          <cell r="E40">
            <v>721.60978307697951</v>
          </cell>
        </row>
        <row r="41">
          <cell r="C41">
            <v>6535.0624193548392</v>
          </cell>
          <cell r="D41">
            <v>19526.935801421059</v>
          </cell>
          <cell r="E41">
            <v>1358.1210126542326</v>
          </cell>
        </row>
        <row r="43">
          <cell r="D43">
            <v>294696.65635986777</v>
          </cell>
          <cell r="E43">
            <v>20302.682709808385</v>
          </cell>
        </row>
        <row r="45">
          <cell r="C45">
            <v>198204.92400000003</v>
          </cell>
          <cell r="D45">
            <v>792819.69600000011</v>
          </cell>
          <cell r="E45">
            <v>54620.12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1">
          <cell r="D21">
            <v>983400.28</v>
          </cell>
        </row>
      </sheetData>
      <sheetData sheetId="45">
        <row r="21">
          <cell r="K21">
            <v>5901944.7200000016</v>
          </cell>
        </row>
      </sheetData>
      <sheetData sheetId="46">
        <row r="21">
          <cell r="O21">
            <v>7515309.8500000024</v>
          </cell>
        </row>
      </sheetData>
      <sheetData sheetId="47">
        <row r="21">
          <cell r="I21">
            <v>6067497.8900000015</v>
          </cell>
        </row>
      </sheetData>
      <sheetData sheetId="48">
        <row r="21">
          <cell r="F21">
            <v>20468152.740000006</v>
          </cell>
        </row>
        <row r="222">
          <cell r="F222">
            <v>20855188.040000003</v>
          </cell>
        </row>
        <row r="223">
          <cell r="F223">
            <v>21262246.330000006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anp"/>
      <sheetName val="Sommaire"/>
      <sheetName val="Balance"/>
      <sheetName val="Vannes"/>
      <sheetName val="Rennes"/>
      <sheetName val="Orléans"/>
      <sheetName val="Angers"/>
      <sheetName val="Thouars"/>
      <sheetName val="Château"/>
      <sheetName val="Chartres"/>
      <sheetName val="Bosc"/>
      <sheetName val="Cham"/>
      <sheetName val="Saumur"/>
      <sheetName val="Mans"/>
      <sheetName val="Boulogne"/>
      <sheetName val="Compiègne"/>
      <sheetName val="Amiens"/>
      <sheetName val="Cambrai"/>
      <sheetName val="Caudry"/>
      <sheetName val="Eu"/>
      <sheetName val="Calais"/>
      <sheetName val="Tourcoing"/>
      <sheetName val="Madeleine"/>
      <sheetName val="Lens"/>
      <sheetName val="Bois"/>
      <sheetName val="Béthune"/>
      <sheetName val="StOmer"/>
      <sheetName val="Roanne"/>
      <sheetName val="Montpe"/>
      <sheetName val="Grenoble"/>
      <sheetName val="STMarcelin"/>
      <sheetName val="Nancy"/>
      <sheetName val="PSA"/>
      <sheetName val="Lille"/>
      <sheetName val="Repart"/>
      <sheetName val="Région Bretagne +"/>
      <sheetName val="Pays de la Loire"/>
      <sheetName val="Région Centre 2"/>
      <sheetName val="Région Lilloise"/>
      <sheetName val="Cambraisi"/>
      <sheetName val="Pas de Calais"/>
      <sheetName val="Picardie"/>
      <sheetName val="Sous Région Sud"/>
      <sheetName val="Bretagne"/>
      <sheetName val="Centre"/>
      <sheetName val="Nord"/>
      <sheetName val="Sud"/>
      <sheetName val="Conso"/>
      <sheetName val="Gatinais"/>
      <sheetName val="Clients"/>
      <sheetName val="Stocks"/>
      <sheetName val="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8">
          <cell r="G8">
            <v>493312.60840000003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8">
          <cell r="G28">
            <v>160000</v>
          </cell>
        </row>
        <row r="64">
          <cell r="G64">
            <v>4036.8584000000005</v>
          </cell>
        </row>
        <row r="65">
          <cell r="G65">
            <v>881.85509999999999</v>
          </cell>
        </row>
        <row r="66">
          <cell r="G66">
            <v>0</v>
          </cell>
        </row>
        <row r="67">
          <cell r="G67">
            <v>340.49739999999997</v>
          </cell>
        </row>
        <row r="68">
          <cell r="G68">
            <v>2654.4335999999998</v>
          </cell>
        </row>
        <row r="72">
          <cell r="G72">
            <v>64.931200000000004</v>
          </cell>
        </row>
        <row r="73">
          <cell r="G73">
            <v>1207.4072000000001</v>
          </cell>
        </row>
        <row r="74">
          <cell r="G74">
            <v>2836.5684999999999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1327.6391000000001</v>
          </cell>
        </row>
        <row r="78">
          <cell r="G78">
            <v>0</v>
          </cell>
        </row>
        <row r="79">
          <cell r="G79">
            <v>17922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734.39</v>
          </cell>
        </row>
        <row r="84">
          <cell r="G84">
            <v>1277.2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2968.0377000000003</v>
          </cell>
        </row>
        <row r="89">
          <cell r="G89">
            <v>0</v>
          </cell>
        </row>
        <row r="90">
          <cell r="G90">
            <v>258.01499999999999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6341.71</v>
          </cell>
        </row>
        <row r="94">
          <cell r="G94">
            <v>19.549400000000002</v>
          </cell>
        </row>
        <row r="95">
          <cell r="G95">
            <v>0</v>
          </cell>
        </row>
        <row r="96">
          <cell r="G96">
            <v>1449.3027</v>
          </cell>
        </row>
        <row r="97">
          <cell r="G97">
            <v>1439.3632</v>
          </cell>
        </row>
        <row r="98">
          <cell r="G98">
            <v>0</v>
          </cell>
        </row>
        <row r="99">
          <cell r="G99">
            <v>6020.9782999999998</v>
          </cell>
        </row>
        <row r="100">
          <cell r="G100">
            <v>513.33140000000003</v>
          </cell>
        </row>
        <row r="101">
          <cell r="G101">
            <v>472.56400000000002</v>
          </cell>
        </row>
        <row r="105">
          <cell r="G105">
            <v>2352.1491999999998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369.22410000000002</v>
          </cell>
        </row>
        <row r="111">
          <cell r="G111">
            <v>123.60000000000001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8">
          <cell r="G118">
            <v>386.15159999999997</v>
          </cell>
        </row>
        <row r="120">
          <cell r="G120">
            <v>478.38</v>
          </cell>
        </row>
        <row r="121">
          <cell r="G121">
            <v>2602.9500000000003</v>
          </cell>
        </row>
        <row r="122">
          <cell r="G122">
            <v>1856.4</v>
          </cell>
        </row>
        <row r="123">
          <cell r="G123">
            <v>200</v>
          </cell>
        </row>
        <row r="127">
          <cell r="G127">
            <v>789.30017344000009</v>
          </cell>
        </row>
        <row r="131">
          <cell r="G131">
            <v>70249.501199999999</v>
          </cell>
        </row>
        <row r="134">
          <cell r="G134">
            <v>784.09440000000006</v>
          </cell>
        </row>
        <row r="138">
          <cell r="G138">
            <v>326.19600000000003</v>
          </cell>
        </row>
        <row r="141">
          <cell r="G141">
            <v>19170.185999999998</v>
          </cell>
        </row>
        <row r="143">
          <cell r="G143">
            <v>4524.5160000000005</v>
          </cell>
        </row>
        <row r="145">
          <cell r="G145">
            <v>1312.9032000000002</v>
          </cell>
        </row>
        <row r="155">
          <cell r="G155">
            <v>20000</v>
          </cell>
        </row>
        <row r="178">
          <cell r="G178">
            <v>3600</v>
          </cell>
        </row>
        <row r="206">
          <cell r="G206">
            <v>8090.6500000000005</v>
          </cell>
        </row>
      </sheetData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N2841"/>
  <sheetViews>
    <sheetView workbookViewId="0">
      <selection sqref="A1:IV65536"/>
    </sheetView>
  </sheetViews>
  <sheetFormatPr baseColWidth="10" defaultRowHeight="12.75"/>
  <cols>
    <col min="3" max="3" width="18.28515625" customWidth="1"/>
    <col min="5" max="6" width="12.7109375" style="19" bestFit="1" customWidth="1"/>
    <col min="7" max="7" width="13.7109375" style="330" bestFit="1" customWidth="1"/>
    <col min="8" max="8" width="13.28515625" bestFit="1" customWidth="1"/>
  </cols>
  <sheetData>
    <row r="1" spans="1:7">
      <c r="B1" s="55" t="s">
        <v>299</v>
      </c>
      <c r="D1" t="s">
        <v>253</v>
      </c>
    </row>
    <row r="2" spans="1:7">
      <c r="A2" t="s">
        <v>553</v>
      </c>
      <c r="B2" t="s">
        <v>554</v>
      </c>
      <c r="C2" t="s">
        <v>555</v>
      </c>
      <c r="D2" t="s">
        <v>556</v>
      </c>
      <c r="E2" t="s">
        <v>557</v>
      </c>
      <c r="F2" t="s">
        <v>558</v>
      </c>
      <c r="G2" t="s">
        <v>559</v>
      </c>
    </row>
    <row r="3" spans="1:7">
      <c r="A3" t="str">
        <f>"AMI"</f>
        <v>AMI</v>
      </c>
      <c r="B3" t="str">
        <f t="shared" ref="B3:B33" si="0">"60370000"</f>
        <v>60370000</v>
      </c>
      <c r="C3" t="str">
        <f t="shared" ref="C3:C66" si="1">+A3&amp;B3*10</f>
        <v>AMI603700000</v>
      </c>
      <c r="E3">
        <v>76007.990000000005</v>
      </c>
      <c r="F3">
        <v>63071.87</v>
      </c>
      <c r="G3">
        <f t="shared" ref="G3:G66" si="2">+E3-F3</f>
        <v>12936.120000000003</v>
      </c>
    </row>
    <row r="4" spans="1:7">
      <c r="A4" t="str">
        <f>"ANG"</f>
        <v>ANG</v>
      </c>
      <c r="B4" t="str">
        <f t="shared" si="0"/>
        <v>60370000</v>
      </c>
      <c r="C4" t="str">
        <f t="shared" si="1"/>
        <v>ANG603700000</v>
      </c>
      <c r="E4">
        <v>137397.04999999999</v>
      </c>
      <c r="F4">
        <v>126547.91</v>
      </c>
      <c r="G4">
        <f t="shared" si="2"/>
        <v>10849.139999999985</v>
      </c>
    </row>
    <row r="5" spans="1:7">
      <c r="A5" t="str">
        <f>"BET"</f>
        <v>BET</v>
      </c>
      <c r="B5" t="str">
        <f t="shared" si="0"/>
        <v>60370000</v>
      </c>
      <c r="C5" t="str">
        <f t="shared" si="1"/>
        <v>BET603700000</v>
      </c>
      <c r="E5">
        <v>61856.05</v>
      </c>
      <c r="F5">
        <v>65657.31</v>
      </c>
      <c r="G5">
        <f t="shared" si="2"/>
        <v>-3801.2599999999948</v>
      </c>
    </row>
    <row r="6" spans="1:7">
      <c r="A6" t="str">
        <f>"BOI"</f>
        <v>BOI</v>
      </c>
      <c r="B6" t="str">
        <f t="shared" si="0"/>
        <v>60370000</v>
      </c>
      <c r="C6" t="str">
        <f t="shared" si="1"/>
        <v>BOI603700000</v>
      </c>
      <c r="E6">
        <v>18698.32</v>
      </c>
      <c r="F6">
        <v>24793.06</v>
      </c>
      <c r="G6">
        <f t="shared" si="2"/>
        <v>-6094.7400000000016</v>
      </c>
    </row>
    <row r="7" spans="1:7">
      <c r="A7" t="str">
        <f>"BOS"</f>
        <v>BOS</v>
      </c>
      <c r="B7" t="str">
        <f t="shared" si="0"/>
        <v>60370000</v>
      </c>
      <c r="C7" t="str">
        <f t="shared" si="1"/>
        <v>BOS603700000</v>
      </c>
      <c r="E7">
        <v>179760.32</v>
      </c>
      <c r="F7">
        <v>186009.72</v>
      </c>
      <c r="G7">
        <f t="shared" si="2"/>
        <v>-6249.3999999999942</v>
      </c>
    </row>
    <row r="8" spans="1:7">
      <c r="A8" t="str">
        <f>"BOU"</f>
        <v>BOU</v>
      </c>
      <c r="B8" t="str">
        <f t="shared" si="0"/>
        <v>60370000</v>
      </c>
      <c r="C8" t="str">
        <f t="shared" si="1"/>
        <v>BOU603700000</v>
      </c>
      <c r="E8">
        <v>227908.62</v>
      </c>
      <c r="F8">
        <v>213819.72</v>
      </c>
      <c r="G8">
        <f t="shared" si="2"/>
        <v>14088.899999999994</v>
      </c>
    </row>
    <row r="9" spans="1:7">
      <c r="A9" t="str">
        <f>"CAL"</f>
        <v>CAL</v>
      </c>
      <c r="B9" t="str">
        <f t="shared" si="0"/>
        <v>60370000</v>
      </c>
      <c r="C9" t="str">
        <f t="shared" si="1"/>
        <v>CAL603700000</v>
      </c>
      <c r="E9">
        <v>100205.53</v>
      </c>
      <c r="F9">
        <v>85713.21</v>
      </c>
      <c r="G9">
        <f t="shared" si="2"/>
        <v>14492.319999999992</v>
      </c>
    </row>
    <row r="10" spans="1:7">
      <c r="A10" t="str">
        <f>"CAM"</f>
        <v>CAM</v>
      </c>
      <c r="B10" t="str">
        <f t="shared" si="0"/>
        <v>60370000</v>
      </c>
      <c r="C10" t="str">
        <f t="shared" si="1"/>
        <v>CAM603700000</v>
      </c>
      <c r="E10">
        <v>76560.88</v>
      </c>
      <c r="F10">
        <v>73314.55</v>
      </c>
      <c r="G10">
        <f t="shared" si="2"/>
        <v>3246.3300000000017</v>
      </c>
    </row>
    <row r="11" spans="1:7">
      <c r="A11" t="str">
        <f>"CAU"</f>
        <v>CAU</v>
      </c>
      <c r="B11" t="str">
        <f t="shared" si="0"/>
        <v>60370000</v>
      </c>
      <c r="C11" t="str">
        <f t="shared" si="1"/>
        <v>CAU603700000</v>
      </c>
      <c r="E11">
        <v>80626.679999999993</v>
      </c>
      <c r="F11">
        <v>85607.78</v>
      </c>
      <c r="G11">
        <f t="shared" si="2"/>
        <v>-4981.1000000000058</v>
      </c>
    </row>
    <row r="12" spans="1:7">
      <c r="A12" t="str">
        <f>"CHA"</f>
        <v>CHA</v>
      </c>
      <c r="B12" t="str">
        <f t="shared" si="0"/>
        <v>60370000</v>
      </c>
      <c r="C12" t="str">
        <f t="shared" si="1"/>
        <v>CHA603700000</v>
      </c>
      <c r="E12">
        <v>81465.89</v>
      </c>
      <c r="F12">
        <v>89246.720000000001</v>
      </c>
      <c r="G12">
        <f t="shared" si="2"/>
        <v>-7780.8300000000017</v>
      </c>
    </row>
    <row r="13" spans="1:7">
      <c r="A13" t="str">
        <f>"CHAM"</f>
        <v>CHAM</v>
      </c>
      <c r="B13" t="str">
        <f t="shared" si="0"/>
        <v>60370000</v>
      </c>
      <c r="C13" t="str">
        <f t="shared" si="1"/>
        <v>CHAM603700000</v>
      </c>
      <c r="E13">
        <v>201859.04</v>
      </c>
      <c r="F13">
        <v>169459.76</v>
      </c>
      <c r="G13">
        <f t="shared" si="2"/>
        <v>32399.279999999999</v>
      </c>
    </row>
    <row r="14" spans="1:7">
      <c r="A14" t="str">
        <f>"CHART"</f>
        <v>CHART</v>
      </c>
      <c r="B14" t="str">
        <f t="shared" si="0"/>
        <v>60370000</v>
      </c>
      <c r="C14" t="str">
        <f t="shared" si="1"/>
        <v>CHART603700000</v>
      </c>
      <c r="E14">
        <v>147765.93</v>
      </c>
      <c r="F14">
        <v>143458.65</v>
      </c>
      <c r="G14">
        <f t="shared" si="2"/>
        <v>4307.2799999999988</v>
      </c>
    </row>
    <row r="15" spans="1:7">
      <c r="A15" t="str">
        <f>"CLE"</f>
        <v>CLE</v>
      </c>
      <c r="B15" t="str">
        <f t="shared" si="0"/>
        <v>60370000</v>
      </c>
      <c r="C15" t="str">
        <f t="shared" si="1"/>
        <v>CLE603700000</v>
      </c>
      <c r="E15">
        <v>322783.78000000003</v>
      </c>
      <c r="F15">
        <v>305805.78000000003</v>
      </c>
      <c r="G15">
        <f t="shared" si="2"/>
        <v>16978</v>
      </c>
    </row>
    <row r="16" spans="1:7">
      <c r="A16" t="str">
        <f>"COM"</f>
        <v>COM</v>
      </c>
      <c r="B16" t="str">
        <f t="shared" si="0"/>
        <v>60370000</v>
      </c>
      <c r="C16" t="str">
        <f t="shared" si="1"/>
        <v>COM603700000</v>
      </c>
      <c r="E16">
        <v>105993.84</v>
      </c>
      <c r="F16">
        <v>96338.3</v>
      </c>
      <c r="G16">
        <f t="shared" si="2"/>
        <v>9655.5399999999936</v>
      </c>
    </row>
    <row r="17" spans="1:7">
      <c r="A17" t="str">
        <f>"CST"</f>
        <v>CST</v>
      </c>
      <c r="B17" t="str">
        <f t="shared" si="0"/>
        <v>60370000</v>
      </c>
      <c r="C17" t="str">
        <f t="shared" si="1"/>
        <v>CST603700000</v>
      </c>
      <c r="E17">
        <v>95962.67</v>
      </c>
      <c r="F17">
        <v>90416.53</v>
      </c>
      <c r="G17">
        <f t="shared" si="2"/>
        <v>5546.1399999999994</v>
      </c>
    </row>
    <row r="18" spans="1:7">
      <c r="A18" t="str">
        <f>"EU"</f>
        <v>EU</v>
      </c>
      <c r="B18" t="str">
        <f t="shared" si="0"/>
        <v>60370000</v>
      </c>
      <c r="C18" t="str">
        <f t="shared" si="1"/>
        <v>EU603700000</v>
      </c>
      <c r="E18">
        <v>201436.15</v>
      </c>
      <c r="F18">
        <v>213757.08</v>
      </c>
      <c r="G18">
        <f t="shared" si="2"/>
        <v>-12320.929999999993</v>
      </c>
    </row>
    <row r="19" spans="1:7">
      <c r="A19" t="str">
        <f>"GRE"</f>
        <v>GRE</v>
      </c>
      <c r="B19" t="str">
        <f t="shared" si="0"/>
        <v>60370000</v>
      </c>
      <c r="C19" t="str">
        <f t="shared" si="1"/>
        <v>GRE603700000</v>
      </c>
      <c r="E19">
        <v>199757.57</v>
      </c>
      <c r="F19">
        <v>198678.6</v>
      </c>
      <c r="G19">
        <f t="shared" si="2"/>
        <v>1078.9700000000012</v>
      </c>
    </row>
    <row r="20" spans="1:7">
      <c r="A20" t="str">
        <f>"LEN"</f>
        <v>LEN</v>
      </c>
      <c r="B20" t="str">
        <f t="shared" si="0"/>
        <v>60370000</v>
      </c>
      <c r="C20" t="str">
        <f t="shared" si="1"/>
        <v>LEN603700000</v>
      </c>
      <c r="E20">
        <v>68214.78</v>
      </c>
      <c r="F20">
        <v>75602.899999999994</v>
      </c>
      <c r="G20">
        <f t="shared" si="2"/>
        <v>-7388.1199999999953</v>
      </c>
    </row>
    <row r="21" spans="1:7">
      <c r="A21" t="str">
        <f>"LIL"</f>
        <v>LIL</v>
      </c>
      <c r="B21" t="str">
        <f t="shared" si="0"/>
        <v>60370000</v>
      </c>
      <c r="C21" t="str">
        <f t="shared" si="1"/>
        <v>LIL603700000</v>
      </c>
      <c r="E21">
        <v>937.42</v>
      </c>
      <c r="F21">
        <v>937.42</v>
      </c>
      <c r="G21">
        <f t="shared" si="2"/>
        <v>0</v>
      </c>
    </row>
    <row r="22" spans="1:7">
      <c r="A22" t="str">
        <f>"MAD"</f>
        <v>MAD</v>
      </c>
      <c r="B22" t="str">
        <f t="shared" si="0"/>
        <v>60370000</v>
      </c>
      <c r="C22" t="str">
        <f t="shared" si="1"/>
        <v>MAD603700000</v>
      </c>
      <c r="E22">
        <v>114163.67</v>
      </c>
      <c r="F22">
        <v>115482.79</v>
      </c>
      <c r="G22">
        <f t="shared" si="2"/>
        <v>-1319.1199999999953</v>
      </c>
    </row>
    <row r="23" spans="1:7">
      <c r="A23" t="str">
        <f>"MAR"</f>
        <v>MAR</v>
      </c>
      <c r="B23" t="str">
        <f t="shared" si="0"/>
        <v>60370000</v>
      </c>
      <c r="C23" t="str">
        <f t="shared" si="1"/>
        <v>MAR603700000</v>
      </c>
      <c r="E23">
        <v>58404.84</v>
      </c>
      <c r="F23">
        <v>64851.62</v>
      </c>
      <c r="G23">
        <f t="shared" si="2"/>
        <v>-6446.7800000000061</v>
      </c>
    </row>
    <row r="24" spans="1:7">
      <c r="A24" t="str">
        <f>"MON"</f>
        <v>MON</v>
      </c>
      <c r="B24" t="str">
        <f t="shared" si="0"/>
        <v>60370000</v>
      </c>
      <c r="C24" t="str">
        <f t="shared" si="1"/>
        <v>MON603700000</v>
      </c>
      <c r="E24">
        <v>142087.56</v>
      </c>
      <c r="F24">
        <v>131447.56</v>
      </c>
      <c r="G24">
        <f t="shared" si="2"/>
        <v>10640</v>
      </c>
    </row>
    <row r="25" spans="1:7">
      <c r="A25" t="str">
        <f>"NAN"</f>
        <v>NAN</v>
      </c>
      <c r="B25" t="str">
        <f t="shared" si="0"/>
        <v>60370000</v>
      </c>
      <c r="C25" t="str">
        <f t="shared" si="1"/>
        <v>NAN603700000</v>
      </c>
      <c r="E25">
        <v>108950.47</v>
      </c>
      <c r="F25">
        <v>105778.47</v>
      </c>
      <c r="G25">
        <f t="shared" si="2"/>
        <v>3172</v>
      </c>
    </row>
    <row r="26" spans="1:7">
      <c r="A26" t="str">
        <f>"ORL"</f>
        <v>ORL</v>
      </c>
      <c r="B26" t="str">
        <f t="shared" si="0"/>
        <v>60370000</v>
      </c>
      <c r="C26" t="str">
        <f t="shared" si="1"/>
        <v>ORL603700000</v>
      </c>
      <c r="E26">
        <v>105590.27</v>
      </c>
      <c r="F26">
        <v>102200.84</v>
      </c>
      <c r="G26">
        <f t="shared" si="2"/>
        <v>3389.4300000000076</v>
      </c>
    </row>
    <row r="27" spans="1:7">
      <c r="A27" t="str">
        <f>"REN"</f>
        <v>REN</v>
      </c>
      <c r="B27" t="str">
        <f t="shared" si="0"/>
        <v>60370000</v>
      </c>
      <c r="C27" t="str">
        <f t="shared" si="1"/>
        <v>REN603700000</v>
      </c>
      <c r="E27">
        <v>81398.73</v>
      </c>
      <c r="F27">
        <v>70610.149999999994</v>
      </c>
      <c r="G27">
        <f t="shared" si="2"/>
        <v>10788.580000000002</v>
      </c>
    </row>
    <row r="28" spans="1:7">
      <c r="A28" t="str">
        <f>"ROA"</f>
        <v>ROA</v>
      </c>
      <c r="B28" t="str">
        <f t="shared" si="0"/>
        <v>60370000</v>
      </c>
      <c r="C28" t="str">
        <f t="shared" si="1"/>
        <v>ROA603700000</v>
      </c>
      <c r="E28">
        <v>177886.06</v>
      </c>
      <c r="F28">
        <v>174170.53</v>
      </c>
      <c r="G28">
        <f t="shared" si="2"/>
        <v>3715.5299999999988</v>
      </c>
    </row>
    <row r="29" spans="1:7">
      <c r="A29" t="str">
        <f>"SAU"</f>
        <v>SAU</v>
      </c>
      <c r="B29" t="str">
        <f t="shared" si="0"/>
        <v>60370000</v>
      </c>
      <c r="C29" t="str">
        <f t="shared" si="1"/>
        <v>SAU603700000</v>
      </c>
      <c r="E29">
        <v>65121.57</v>
      </c>
      <c r="F29">
        <v>75393.95</v>
      </c>
      <c r="G29">
        <f t="shared" si="2"/>
        <v>-10272.379999999997</v>
      </c>
    </row>
    <row r="30" spans="1:7">
      <c r="A30" t="str">
        <f>"SOM"</f>
        <v>SOM</v>
      </c>
      <c r="B30" t="str">
        <f t="shared" si="0"/>
        <v>60370000</v>
      </c>
      <c r="C30" t="str">
        <f t="shared" si="1"/>
        <v>SOM603700000</v>
      </c>
      <c r="E30">
        <v>0</v>
      </c>
      <c r="F30">
        <v>138917.60999999999</v>
      </c>
      <c r="G30">
        <f t="shared" si="2"/>
        <v>-138917.60999999999</v>
      </c>
    </row>
    <row r="31" spans="1:7">
      <c r="A31" t="str">
        <f>"THO"</f>
        <v>THO</v>
      </c>
      <c r="B31" t="str">
        <f t="shared" si="0"/>
        <v>60370000</v>
      </c>
      <c r="C31" t="str">
        <f t="shared" si="1"/>
        <v>THO603700000</v>
      </c>
      <c r="E31">
        <v>137149.79</v>
      </c>
      <c r="F31">
        <v>116938.52</v>
      </c>
      <c r="G31">
        <f t="shared" si="2"/>
        <v>20211.270000000004</v>
      </c>
    </row>
    <row r="32" spans="1:7">
      <c r="A32" t="str">
        <f>"TOURC"</f>
        <v>TOURC</v>
      </c>
      <c r="B32" t="str">
        <f t="shared" si="0"/>
        <v>60370000</v>
      </c>
      <c r="C32" t="str">
        <f t="shared" si="1"/>
        <v>TOURC603700000</v>
      </c>
      <c r="E32">
        <v>127006.17</v>
      </c>
      <c r="F32">
        <v>108922.74</v>
      </c>
      <c r="G32">
        <f t="shared" si="2"/>
        <v>18083.429999999993</v>
      </c>
    </row>
    <row r="33" spans="1:7">
      <c r="A33" t="str">
        <f>"VAN"</f>
        <v>VAN</v>
      </c>
      <c r="B33" t="str">
        <f t="shared" si="0"/>
        <v>60370000</v>
      </c>
      <c r="C33" t="str">
        <f t="shared" si="1"/>
        <v>VAN603700000</v>
      </c>
      <c r="E33">
        <v>143500.34</v>
      </c>
      <c r="F33">
        <v>136604.19</v>
      </c>
      <c r="G33">
        <f t="shared" si="2"/>
        <v>6896.1499999999942</v>
      </c>
    </row>
    <row r="34" spans="1:7">
      <c r="A34" t="str">
        <f t="shared" ref="A34:A97" si="3">"AMI"</f>
        <v>AMI</v>
      </c>
      <c r="B34" t="str">
        <f>"60222000"</f>
        <v>60222000</v>
      </c>
      <c r="C34" t="str">
        <f t="shared" si="1"/>
        <v>AMI602220000</v>
      </c>
      <c r="E34">
        <v>293.54000000000002</v>
      </c>
      <c r="F34">
        <v>0</v>
      </c>
      <c r="G34">
        <f t="shared" si="2"/>
        <v>293.54000000000002</v>
      </c>
    </row>
    <row r="35" spans="1:7">
      <c r="A35" t="str">
        <f t="shared" si="3"/>
        <v>AMI</v>
      </c>
      <c r="B35" t="str">
        <f>"60265000"</f>
        <v>60265000</v>
      </c>
      <c r="C35" t="str">
        <f t="shared" si="1"/>
        <v>AMI602650000</v>
      </c>
      <c r="E35">
        <v>54.9</v>
      </c>
      <c r="F35">
        <v>0</v>
      </c>
      <c r="G35">
        <f t="shared" si="2"/>
        <v>54.9</v>
      </c>
    </row>
    <row r="36" spans="1:7">
      <c r="A36" t="str">
        <f t="shared" si="3"/>
        <v>AMI</v>
      </c>
      <c r="B36" t="str">
        <f>"60610000"</f>
        <v>60610000</v>
      </c>
      <c r="C36" t="str">
        <f t="shared" si="1"/>
        <v>AMI606100000</v>
      </c>
      <c r="E36">
        <v>9825.7900000000009</v>
      </c>
      <c r="F36">
        <v>0</v>
      </c>
      <c r="G36">
        <f t="shared" si="2"/>
        <v>9825.7900000000009</v>
      </c>
    </row>
    <row r="37" spans="1:7">
      <c r="A37" t="str">
        <f t="shared" si="3"/>
        <v>AMI</v>
      </c>
      <c r="B37" t="str">
        <f>"60613000"</f>
        <v>60613000</v>
      </c>
      <c r="C37" t="str">
        <f t="shared" si="1"/>
        <v>AMI606130000</v>
      </c>
      <c r="E37">
        <v>173.37</v>
      </c>
      <c r="F37">
        <v>0</v>
      </c>
      <c r="G37">
        <f t="shared" si="2"/>
        <v>173.37</v>
      </c>
    </row>
    <row r="38" spans="1:7">
      <c r="A38" t="str">
        <f t="shared" si="3"/>
        <v>AMI</v>
      </c>
      <c r="B38" t="str">
        <f>"60631000"</f>
        <v>60631000</v>
      </c>
      <c r="C38" t="str">
        <f t="shared" si="1"/>
        <v>AMI606310000</v>
      </c>
      <c r="E38">
        <v>33.22</v>
      </c>
      <c r="F38">
        <v>0</v>
      </c>
      <c r="G38">
        <f t="shared" si="2"/>
        <v>33.22</v>
      </c>
    </row>
    <row r="39" spans="1:7">
      <c r="A39" t="str">
        <f t="shared" si="3"/>
        <v>AMI</v>
      </c>
      <c r="B39" t="str">
        <f>"60641000"</f>
        <v>60641000</v>
      </c>
      <c r="C39" t="str">
        <f t="shared" si="1"/>
        <v>AMI606410000</v>
      </c>
      <c r="E39">
        <v>4311.67</v>
      </c>
      <c r="F39">
        <v>0</v>
      </c>
      <c r="G39">
        <f t="shared" si="2"/>
        <v>4311.67</v>
      </c>
    </row>
    <row r="40" spans="1:7">
      <c r="A40" t="str">
        <f t="shared" si="3"/>
        <v>AMI</v>
      </c>
      <c r="B40" t="str">
        <f>"60710000"</f>
        <v>60710000</v>
      </c>
      <c r="C40" t="str">
        <f t="shared" si="1"/>
        <v>AMI607100000</v>
      </c>
      <c r="E40">
        <v>81914.62</v>
      </c>
      <c r="F40">
        <v>0</v>
      </c>
      <c r="G40">
        <f t="shared" si="2"/>
        <v>81914.62</v>
      </c>
    </row>
    <row r="41" spans="1:7">
      <c r="A41" t="str">
        <f t="shared" si="3"/>
        <v>AMI</v>
      </c>
      <c r="B41" t="str">
        <f>"60711000"</f>
        <v>60711000</v>
      </c>
      <c r="C41" t="str">
        <f t="shared" si="1"/>
        <v>AMI607110000</v>
      </c>
      <c r="E41">
        <v>4448.66</v>
      </c>
      <c r="F41">
        <v>0</v>
      </c>
      <c r="G41">
        <f t="shared" si="2"/>
        <v>4448.66</v>
      </c>
    </row>
    <row r="42" spans="1:7">
      <c r="A42" t="str">
        <f t="shared" si="3"/>
        <v>AMI</v>
      </c>
      <c r="B42" t="str">
        <f>"60712000"</f>
        <v>60712000</v>
      </c>
      <c r="C42" t="str">
        <f t="shared" si="1"/>
        <v>AMI607120000</v>
      </c>
      <c r="E42">
        <v>-916.46</v>
      </c>
      <c r="F42">
        <v>0</v>
      </c>
      <c r="G42">
        <f t="shared" si="2"/>
        <v>-916.46</v>
      </c>
    </row>
    <row r="43" spans="1:7">
      <c r="A43" t="str">
        <f t="shared" si="3"/>
        <v>AMI</v>
      </c>
      <c r="B43" t="str">
        <f>"60713000"</f>
        <v>60713000</v>
      </c>
      <c r="C43" t="str">
        <f t="shared" si="1"/>
        <v>AMI607130000</v>
      </c>
      <c r="E43">
        <v>74829</v>
      </c>
      <c r="F43">
        <v>0</v>
      </c>
      <c r="G43">
        <f t="shared" si="2"/>
        <v>74829</v>
      </c>
    </row>
    <row r="44" spans="1:7">
      <c r="A44" t="str">
        <f t="shared" si="3"/>
        <v>AMI</v>
      </c>
      <c r="B44" t="str">
        <f>"60714000"</f>
        <v>60714000</v>
      </c>
      <c r="C44" t="str">
        <f t="shared" si="1"/>
        <v>AMI607140000</v>
      </c>
      <c r="E44">
        <v>-43215</v>
      </c>
      <c r="F44">
        <v>0</v>
      </c>
      <c r="G44">
        <f t="shared" si="2"/>
        <v>-43215</v>
      </c>
    </row>
    <row r="45" spans="1:7">
      <c r="A45" t="str">
        <f t="shared" si="3"/>
        <v>AMI</v>
      </c>
      <c r="B45" t="str">
        <f>"60720000"</f>
        <v>60720000</v>
      </c>
      <c r="C45" t="str">
        <f t="shared" si="1"/>
        <v>AMI607200000</v>
      </c>
      <c r="E45">
        <v>113073.97</v>
      </c>
      <c r="F45">
        <v>0</v>
      </c>
      <c r="G45">
        <f t="shared" si="2"/>
        <v>113073.97</v>
      </c>
    </row>
    <row r="46" spans="1:7">
      <c r="A46" t="str">
        <f t="shared" si="3"/>
        <v>AMI</v>
      </c>
      <c r="B46" t="str">
        <f>"60740000"</f>
        <v>60740000</v>
      </c>
      <c r="C46" t="str">
        <f t="shared" si="1"/>
        <v>AMI607400000</v>
      </c>
      <c r="E46">
        <v>5128.0200000000004</v>
      </c>
      <c r="F46">
        <v>0</v>
      </c>
      <c r="G46">
        <f t="shared" si="2"/>
        <v>5128.0200000000004</v>
      </c>
    </row>
    <row r="47" spans="1:7">
      <c r="A47" t="str">
        <f t="shared" si="3"/>
        <v>AMI</v>
      </c>
      <c r="B47" t="str">
        <f>"60800000"</f>
        <v>60800000</v>
      </c>
      <c r="C47" t="str">
        <f t="shared" si="1"/>
        <v>AMI608000000</v>
      </c>
      <c r="E47">
        <v>1847.15</v>
      </c>
      <c r="F47">
        <v>0</v>
      </c>
      <c r="G47">
        <f t="shared" si="2"/>
        <v>1847.15</v>
      </c>
    </row>
    <row r="48" spans="1:7">
      <c r="A48" t="str">
        <f t="shared" si="3"/>
        <v>AMI</v>
      </c>
      <c r="B48" t="str">
        <f>"60911000"</f>
        <v>60911000</v>
      </c>
      <c r="C48" t="str">
        <f t="shared" si="1"/>
        <v>AMI609110000</v>
      </c>
      <c r="E48">
        <v>-3945.22</v>
      </c>
      <c r="F48">
        <v>0</v>
      </c>
      <c r="G48">
        <f t="shared" si="2"/>
        <v>-3945.22</v>
      </c>
    </row>
    <row r="49" spans="1:7">
      <c r="A49" t="str">
        <f t="shared" si="3"/>
        <v>AMI</v>
      </c>
      <c r="B49" t="str">
        <f>"60912000"</f>
        <v>60912000</v>
      </c>
      <c r="C49" t="str">
        <f t="shared" si="1"/>
        <v>AMI609120000</v>
      </c>
      <c r="E49">
        <v>-8351.14</v>
      </c>
      <c r="F49">
        <v>0</v>
      </c>
      <c r="G49">
        <f t="shared" si="2"/>
        <v>-8351.14</v>
      </c>
    </row>
    <row r="50" spans="1:7">
      <c r="A50" t="str">
        <f t="shared" si="3"/>
        <v>AMI</v>
      </c>
      <c r="B50" t="str">
        <f>"60913000"</f>
        <v>60913000</v>
      </c>
      <c r="C50" t="str">
        <f t="shared" si="1"/>
        <v>AMI609130000</v>
      </c>
      <c r="E50">
        <v>-4772.08</v>
      </c>
      <c r="F50">
        <v>0</v>
      </c>
      <c r="G50">
        <f t="shared" si="2"/>
        <v>-4772.08</v>
      </c>
    </row>
    <row r="51" spans="1:7">
      <c r="A51" t="str">
        <f t="shared" si="3"/>
        <v>AMI</v>
      </c>
      <c r="B51" t="str">
        <f>"61320000"</f>
        <v>61320000</v>
      </c>
      <c r="C51" t="str">
        <f t="shared" si="1"/>
        <v>AMI613200000</v>
      </c>
      <c r="E51">
        <v>24187.43</v>
      </c>
      <c r="F51">
        <v>0</v>
      </c>
      <c r="G51">
        <f t="shared" si="2"/>
        <v>24187.43</v>
      </c>
    </row>
    <row r="52" spans="1:7">
      <c r="A52" t="str">
        <f t="shared" si="3"/>
        <v>AMI</v>
      </c>
      <c r="B52" t="str">
        <f>"61353000"</f>
        <v>61353000</v>
      </c>
      <c r="C52" t="str">
        <f t="shared" si="1"/>
        <v>AMI613530000</v>
      </c>
      <c r="E52">
        <v>180</v>
      </c>
      <c r="F52">
        <v>0</v>
      </c>
      <c r="G52">
        <f t="shared" si="2"/>
        <v>180</v>
      </c>
    </row>
    <row r="53" spans="1:7">
      <c r="A53" t="str">
        <f t="shared" si="3"/>
        <v>AMI</v>
      </c>
      <c r="B53" t="str">
        <f>"61520000"</f>
        <v>61520000</v>
      </c>
      <c r="C53" t="str">
        <f t="shared" si="1"/>
        <v>AMI615200000</v>
      </c>
      <c r="E53">
        <v>1946.48</v>
      </c>
      <c r="F53">
        <v>0</v>
      </c>
      <c r="G53">
        <f t="shared" si="2"/>
        <v>1946.48</v>
      </c>
    </row>
    <row r="54" spans="1:7">
      <c r="A54" t="str">
        <f t="shared" si="3"/>
        <v>AMI</v>
      </c>
      <c r="B54" t="str">
        <f>"61550000"</f>
        <v>61550000</v>
      </c>
      <c r="C54" t="str">
        <f t="shared" si="1"/>
        <v>AMI615500000</v>
      </c>
      <c r="E54">
        <v>934</v>
      </c>
      <c r="F54">
        <v>14</v>
      </c>
      <c r="G54">
        <f t="shared" si="2"/>
        <v>920</v>
      </c>
    </row>
    <row r="55" spans="1:7">
      <c r="A55" t="str">
        <f t="shared" si="3"/>
        <v>AMI</v>
      </c>
      <c r="B55" t="str">
        <f>"61551000"</f>
        <v>61551000</v>
      </c>
      <c r="C55" t="str">
        <f t="shared" si="1"/>
        <v>AMI615510000</v>
      </c>
      <c r="E55">
        <v>245</v>
      </c>
      <c r="F55">
        <v>0</v>
      </c>
      <c r="G55">
        <f t="shared" si="2"/>
        <v>245</v>
      </c>
    </row>
    <row r="56" spans="1:7">
      <c r="A56" t="str">
        <f t="shared" si="3"/>
        <v>AMI</v>
      </c>
      <c r="B56" t="str">
        <f>"61552000"</f>
        <v>61552000</v>
      </c>
      <c r="C56" t="str">
        <f t="shared" si="1"/>
        <v>AMI615520000</v>
      </c>
      <c r="E56">
        <v>17.600000000000001</v>
      </c>
      <c r="F56">
        <v>0</v>
      </c>
      <c r="G56">
        <f t="shared" si="2"/>
        <v>17.600000000000001</v>
      </c>
    </row>
    <row r="57" spans="1:7">
      <c r="A57" t="str">
        <f t="shared" si="3"/>
        <v>AMI</v>
      </c>
      <c r="B57" t="str">
        <f>"61612000"</f>
        <v>61612000</v>
      </c>
      <c r="C57" t="str">
        <f t="shared" si="1"/>
        <v>AMI616120000</v>
      </c>
      <c r="E57">
        <v>40.74</v>
      </c>
      <c r="F57">
        <v>0</v>
      </c>
      <c r="G57">
        <f t="shared" si="2"/>
        <v>40.74</v>
      </c>
    </row>
    <row r="58" spans="1:7">
      <c r="A58" t="str">
        <f t="shared" si="3"/>
        <v>AMI</v>
      </c>
      <c r="B58" t="str">
        <f>"61613000"</f>
        <v>61613000</v>
      </c>
      <c r="C58" t="str">
        <f t="shared" si="1"/>
        <v>AMI616130000</v>
      </c>
      <c r="E58">
        <v>2443.3200000000002</v>
      </c>
      <c r="F58">
        <v>0</v>
      </c>
      <c r="G58">
        <f t="shared" si="2"/>
        <v>2443.3200000000002</v>
      </c>
    </row>
    <row r="59" spans="1:7">
      <c r="A59" t="str">
        <f t="shared" si="3"/>
        <v>AMI</v>
      </c>
      <c r="B59" t="str">
        <f>"61810000"</f>
        <v>61810000</v>
      </c>
      <c r="C59" t="str">
        <f t="shared" si="1"/>
        <v>AMI618100000</v>
      </c>
      <c r="E59">
        <v>668.94</v>
      </c>
      <c r="F59">
        <v>0</v>
      </c>
      <c r="G59">
        <f t="shared" si="2"/>
        <v>668.94</v>
      </c>
    </row>
    <row r="60" spans="1:7">
      <c r="A60" t="str">
        <f t="shared" si="3"/>
        <v>AMI</v>
      </c>
      <c r="B60" t="str">
        <f>"61850000"</f>
        <v>61850000</v>
      </c>
      <c r="C60" t="str">
        <f t="shared" si="1"/>
        <v>AMI618500000</v>
      </c>
      <c r="E60">
        <v>999.81</v>
      </c>
      <c r="F60">
        <v>0</v>
      </c>
      <c r="G60">
        <f t="shared" si="2"/>
        <v>999.81</v>
      </c>
    </row>
    <row r="61" spans="1:7">
      <c r="A61" t="str">
        <f t="shared" si="3"/>
        <v>AMI</v>
      </c>
      <c r="B61" t="str">
        <f>"62270000"</f>
        <v>62270000</v>
      </c>
      <c r="C61" t="str">
        <f t="shared" si="1"/>
        <v>AMI622700000</v>
      </c>
      <c r="E61">
        <v>1572.24</v>
      </c>
      <c r="F61">
        <v>300</v>
      </c>
      <c r="G61">
        <f t="shared" si="2"/>
        <v>1272.24</v>
      </c>
    </row>
    <row r="62" spans="1:7">
      <c r="A62" t="str">
        <f t="shared" si="3"/>
        <v>AMI</v>
      </c>
      <c r="B62" t="str">
        <f>"62310000"</f>
        <v>62310000</v>
      </c>
      <c r="C62" t="str">
        <f t="shared" si="1"/>
        <v>AMI623100000</v>
      </c>
      <c r="E62">
        <v>1146.3</v>
      </c>
      <c r="F62">
        <v>0</v>
      </c>
      <c r="G62">
        <f t="shared" si="2"/>
        <v>1146.3</v>
      </c>
    </row>
    <row r="63" spans="1:7">
      <c r="A63" t="str">
        <f t="shared" si="3"/>
        <v>AMI</v>
      </c>
      <c r="B63" t="str">
        <f>"62320000"</f>
        <v>62320000</v>
      </c>
      <c r="C63" t="str">
        <f t="shared" si="1"/>
        <v>AMI623200000</v>
      </c>
      <c r="E63">
        <v>4539.46</v>
      </c>
      <c r="F63">
        <v>0</v>
      </c>
      <c r="G63">
        <f t="shared" si="2"/>
        <v>4539.46</v>
      </c>
    </row>
    <row r="64" spans="1:7">
      <c r="A64" t="str">
        <f t="shared" si="3"/>
        <v>AMI</v>
      </c>
      <c r="B64" t="str">
        <f>"62330000"</f>
        <v>62330000</v>
      </c>
      <c r="C64" t="str">
        <f t="shared" si="1"/>
        <v>AMI623300000</v>
      </c>
      <c r="E64">
        <v>130.88</v>
      </c>
      <c r="F64">
        <v>0</v>
      </c>
      <c r="G64">
        <f t="shared" si="2"/>
        <v>130.88</v>
      </c>
    </row>
    <row r="65" spans="1:7">
      <c r="A65" t="str">
        <f t="shared" si="3"/>
        <v>AMI</v>
      </c>
      <c r="B65" t="str">
        <f>"62341000"</f>
        <v>62341000</v>
      </c>
      <c r="C65" t="str">
        <f t="shared" si="1"/>
        <v>AMI623410000</v>
      </c>
      <c r="E65">
        <v>5754.63</v>
      </c>
      <c r="F65">
        <v>0</v>
      </c>
      <c r="G65">
        <f t="shared" si="2"/>
        <v>5754.63</v>
      </c>
    </row>
    <row r="66" spans="1:7">
      <c r="A66" t="str">
        <f t="shared" si="3"/>
        <v>AMI</v>
      </c>
      <c r="B66" t="str">
        <f>"62342000"</f>
        <v>62342000</v>
      </c>
      <c r="C66" t="str">
        <f t="shared" si="1"/>
        <v>AMI623420000</v>
      </c>
      <c r="E66">
        <v>-85.48</v>
      </c>
      <c r="F66">
        <v>0</v>
      </c>
      <c r="G66">
        <f t="shared" si="2"/>
        <v>-85.48</v>
      </c>
    </row>
    <row r="67" spans="1:7">
      <c r="A67" t="str">
        <f t="shared" si="3"/>
        <v>AMI</v>
      </c>
      <c r="B67" t="str">
        <f>"62370000"</f>
        <v>62370000</v>
      </c>
      <c r="C67" t="str">
        <f t="shared" ref="C67:C130" si="4">+A67&amp;B67*10</f>
        <v>AMI623700000</v>
      </c>
      <c r="E67">
        <v>608.05999999999995</v>
      </c>
      <c r="F67">
        <v>-221.9</v>
      </c>
      <c r="G67">
        <f t="shared" ref="G67:G130" si="5">+E67-F67</f>
        <v>829.95999999999992</v>
      </c>
    </row>
    <row r="68" spans="1:7">
      <c r="A68" t="str">
        <f t="shared" si="3"/>
        <v>AMI</v>
      </c>
      <c r="B68" t="str">
        <f>"62380000"</f>
        <v>62380000</v>
      </c>
      <c r="C68" t="str">
        <f t="shared" si="4"/>
        <v>AMI623800000</v>
      </c>
      <c r="E68">
        <v>10</v>
      </c>
      <c r="F68">
        <v>0</v>
      </c>
      <c r="G68">
        <f t="shared" si="5"/>
        <v>10</v>
      </c>
    </row>
    <row r="69" spans="1:7">
      <c r="A69" t="str">
        <f t="shared" si="3"/>
        <v>AMI</v>
      </c>
      <c r="B69" t="str">
        <f>"62381000"</f>
        <v>62381000</v>
      </c>
      <c r="C69" t="str">
        <f t="shared" si="4"/>
        <v>AMI623810000</v>
      </c>
      <c r="E69">
        <v>0</v>
      </c>
      <c r="F69">
        <v>0</v>
      </c>
      <c r="G69">
        <f t="shared" si="5"/>
        <v>0</v>
      </c>
    </row>
    <row r="70" spans="1:7">
      <c r="A70" t="str">
        <f t="shared" si="3"/>
        <v>AMI</v>
      </c>
      <c r="B70" t="str">
        <f>"62420000"</f>
        <v>62420000</v>
      </c>
      <c r="C70" t="str">
        <f t="shared" si="4"/>
        <v>AMI624200000</v>
      </c>
      <c r="E70">
        <v>7783.75</v>
      </c>
      <c r="F70">
        <v>0</v>
      </c>
      <c r="G70">
        <f t="shared" si="5"/>
        <v>7783.75</v>
      </c>
    </row>
    <row r="71" spans="1:7">
      <c r="A71" t="str">
        <f t="shared" si="3"/>
        <v>AMI</v>
      </c>
      <c r="B71" t="str">
        <f>"62510000"</f>
        <v>62510000</v>
      </c>
      <c r="C71" t="str">
        <f t="shared" si="4"/>
        <v>AMI625100000</v>
      </c>
      <c r="E71">
        <v>53928.26</v>
      </c>
      <c r="F71">
        <v>41726.129999999997</v>
      </c>
      <c r="G71">
        <f t="shared" si="5"/>
        <v>12202.130000000005</v>
      </c>
    </row>
    <row r="72" spans="1:7">
      <c r="A72" t="str">
        <f t="shared" si="3"/>
        <v>AMI</v>
      </c>
      <c r="B72" t="str">
        <f>"62520000"</f>
        <v>62520000</v>
      </c>
      <c r="C72" t="str">
        <f t="shared" si="4"/>
        <v>AMI625200000</v>
      </c>
      <c r="E72">
        <v>40.81</v>
      </c>
      <c r="F72">
        <v>0</v>
      </c>
      <c r="G72">
        <f t="shared" si="5"/>
        <v>40.81</v>
      </c>
    </row>
    <row r="73" spans="1:7">
      <c r="A73" t="str">
        <f t="shared" si="3"/>
        <v>AMI</v>
      </c>
      <c r="B73" t="str">
        <f>"62560000"</f>
        <v>62560000</v>
      </c>
      <c r="C73" t="str">
        <f t="shared" si="4"/>
        <v>AMI625600000</v>
      </c>
      <c r="E73">
        <v>25.24</v>
      </c>
      <c r="F73">
        <v>0</v>
      </c>
      <c r="G73">
        <f t="shared" si="5"/>
        <v>25.24</v>
      </c>
    </row>
    <row r="74" spans="1:7">
      <c r="A74" t="str">
        <f t="shared" si="3"/>
        <v>AMI</v>
      </c>
      <c r="B74" t="str">
        <f>"62570000"</f>
        <v>62570000</v>
      </c>
      <c r="C74" t="str">
        <f t="shared" si="4"/>
        <v>AMI625700000</v>
      </c>
      <c r="E74">
        <v>2018.49</v>
      </c>
      <c r="F74">
        <v>0</v>
      </c>
      <c r="G74">
        <f t="shared" si="5"/>
        <v>2018.49</v>
      </c>
    </row>
    <row r="75" spans="1:7">
      <c r="A75" t="str">
        <f t="shared" si="3"/>
        <v>AMI</v>
      </c>
      <c r="B75" t="str">
        <f>"62571000"</f>
        <v>62571000</v>
      </c>
      <c r="C75" t="str">
        <f t="shared" si="4"/>
        <v>AMI625710000</v>
      </c>
      <c r="E75">
        <v>673.62</v>
      </c>
      <c r="F75">
        <v>0</v>
      </c>
      <c r="G75">
        <f t="shared" si="5"/>
        <v>673.62</v>
      </c>
    </row>
    <row r="76" spans="1:7">
      <c r="A76" t="str">
        <f t="shared" si="3"/>
        <v>AMI</v>
      </c>
      <c r="B76" t="str">
        <f>"62600000"</f>
        <v>62600000</v>
      </c>
      <c r="C76" t="str">
        <f t="shared" si="4"/>
        <v>AMI626000000</v>
      </c>
      <c r="E76">
        <v>6598.33</v>
      </c>
      <c r="F76">
        <v>0</v>
      </c>
      <c r="G76">
        <f t="shared" si="5"/>
        <v>6598.33</v>
      </c>
    </row>
    <row r="77" spans="1:7">
      <c r="A77" t="str">
        <f t="shared" si="3"/>
        <v>AMI</v>
      </c>
      <c r="B77" t="str">
        <f>"62610000"</f>
        <v>62610000</v>
      </c>
      <c r="C77" t="str">
        <f t="shared" si="4"/>
        <v>AMI626100000</v>
      </c>
      <c r="E77">
        <v>654.72</v>
      </c>
      <c r="F77">
        <v>0</v>
      </c>
      <c r="G77">
        <f t="shared" si="5"/>
        <v>654.72</v>
      </c>
    </row>
    <row r="78" spans="1:7">
      <c r="A78" t="str">
        <f t="shared" si="3"/>
        <v>AMI</v>
      </c>
      <c r="B78" t="str">
        <f>"62752000"</f>
        <v>62752000</v>
      </c>
      <c r="C78" t="str">
        <f t="shared" si="4"/>
        <v>AMI627520000</v>
      </c>
      <c r="E78">
        <v>285.39999999999998</v>
      </c>
      <c r="F78">
        <v>0</v>
      </c>
      <c r="G78">
        <f t="shared" si="5"/>
        <v>285.39999999999998</v>
      </c>
    </row>
    <row r="79" spans="1:7">
      <c r="A79" t="str">
        <f t="shared" si="3"/>
        <v>AMI</v>
      </c>
      <c r="B79" t="str">
        <f>"63330000"</f>
        <v>63330000</v>
      </c>
      <c r="C79" t="str">
        <f t="shared" si="4"/>
        <v>AMI633300000</v>
      </c>
      <c r="E79">
        <v>1111</v>
      </c>
      <c r="F79">
        <v>0</v>
      </c>
      <c r="G79">
        <f t="shared" si="5"/>
        <v>1111</v>
      </c>
    </row>
    <row r="80" spans="1:7">
      <c r="A80" t="str">
        <f t="shared" si="3"/>
        <v>AMI</v>
      </c>
      <c r="B80" t="str">
        <f>"63340000"</f>
        <v>63340000</v>
      </c>
      <c r="C80" t="str">
        <f t="shared" si="4"/>
        <v>AMI633400000</v>
      </c>
      <c r="E80">
        <v>612</v>
      </c>
      <c r="F80">
        <v>0</v>
      </c>
      <c r="G80">
        <f t="shared" si="5"/>
        <v>612</v>
      </c>
    </row>
    <row r="81" spans="1:7">
      <c r="A81" t="str">
        <f t="shared" si="3"/>
        <v>AMI</v>
      </c>
      <c r="B81" t="str">
        <f>"63350000"</f>
        <v>63350000</v>
      </c>
      <c r="C81" t="str">
        <f t="shared" si="4"/>
        <v>AMI633500000</v>
      </c>
      <c r="E81">
        <v>925</v>
      </c>
      <c r="F81">
        <v>0</v>
      </c>
      <c r="G81">
        <f t="shared" si="5"/>
        <v>925</v>
      </c>
    </row>
    <row r="82" spans="1:7">
      <c r="A82" t="str">
        <f t="shared" si="3"/>
        <v>AMI</v>
      </c>
      <c r="B82" t="str">
        <f>"63511000"</f>
        <v>63511000</v>
      </c>
      <c r="C82" t="str">
        <f t="shared" si="4"/>
        <v>AMI635110000</v>
      </c>
      <c r="E82">
        <v>4146</v>
      </c>
      <c r="F82">
        <v>0</v>
      </c>
      <c r="G82">
        <f t="shared" si="5"/>
        <v>4146</v>
      </c>
    </row>
    <row r="83" spans="1:7">
      <c r="A83" t="str">
        <f t="shared" si="3"/>
        <v>AMI</v>
      </c>
      <c r="B83" t="str">
        <f>"63512000"</f>
        <v>63512000</v>
      </c>
      <c r="C83" t="str">
        <f t="shared" si="4"/>
        <v>AMI635120000</v>
      </c>
      <c r="E83">
        <v>1438</v>
      </c>
      <c r="F83">
        <v>0</v>
      </c>
      <c r="G83">
        <f t="shared" si="5"/>
        <v>1438</v>
      </c>
    </row>
    <row r="84" spans="1:7">
      <c r="A84" t="str">
        <f t="shared" si="3"/>
        <v>AMI</v>
      </c>
      <c r="B84" t="str">
        <f>"63530000"</f>
        <v>63530000</v>
      </c>
      <c r="C84" t="str">
        <f t="shared" si="4"/>
        <v>AMI635300000</v>
      </c>
      <c r="E84">
        <v>0</v>
      </c>
      <c r="F84">
        <v>0</v>
      </c>
      <c r="G84">
        <f t="shared" si="5"/>
        <v>0</v>
      </c>
    </row>
    <row r="85" spans="1:7">
      <c r="A85" t="str">
        <f t="shared" si="3"/>
        <v>AMI</v>
      </c>
      <c r="B85" t="str">
        <f>"63710000"</f>
        <v>63710000</v>
      </c>
      <c r="C85" t="str">
        <f t="shared" si="4"/>
        <v>AMI637100000</v>
      </c>
      <c r="E85">
        <v>665.43</v>
      </c>
      <c r="F85">
        <v>0</v>
      </c>
      <c r="G85">
        <f t="shared" si="5"/>
        <v>665.43</v>
      </c>
    </row>
    <row r="86" spans="1:7">
      <c r="A86" t="str">
        <f t="shared" si="3"/>
        <v>AMI</v>
      </c>
      <c r="B86" t="str">
        <f>"64110000"</f>
        <v>64110000</v>
      </c>
      <c r="C86" t="str">
        <f t="shared" si="4"/>
        <v>AMI641100000</v>
      </c>
      <c r="E86">
        <v>136555.38</v>
      </c>
      <c r="F86">
        <v>79728.69</v>
      </c>
      <c r="G86">
        <f t="shared" si="5"/>
        <v>56826.69</v>
      </c>
    </row>
    <row r="87" spans="1:7">
      <c r="A87" t="str">
        <f t="shared" si="3"/>
        <v>AMI</v>
      </c>
      <c r="B87" t="str">
        <f>"64111000"</f>
        <v>64111000</v>
      </c>
      <c r="C87" t="str">
        <f t="shared" si="4"/>
        <v>AMI641110000</v>
      </c>
      <c r="E87">
        <v>100</v>
      </c>
      <c r="F87">
        <v>0</v>
      </c>
      <c r="G87">
        <f t="shared" si="5"/>
        <v>100</v>
      </c>
    </row>
    <row r="88" spans="1:7">
      <c r="A88" t="str">
        <f t="shared" si="3"/>
        <v>AMI</v>
      </c>
      <c r="B88" t="str">
        <f>"64120000"</f>
        <v>64120000</v>
      </c>
      <c r="C88" t="str">
        <f t="shared" si="4"/>
        <v>AMI641200000</v>
      </c>
      <c r="E88">
        <v>12363.36</v>
      </c>
      <c r="F88">
        <v>16049.17</v>
      </c>
      <c r="G88">
        <f t="shared" si="5"/>
        <v>-3685.8099999999995</v>
      </c>
    </row>
    <row r="89" spans="1:7">
      <c r="A89" t="str">
        <f t="shared" si="3"/>
        <v>AMI</v>
      </c>
      <c r="B89" t="str">
        <f>"64121000"</f>
        <v>64121000</v>
      </c>
      <c r="C89" t="str">
        <f t="shared" si="4"/>
        <v>AMI641210000</v>
      </c>
      <c r="E89">
        <v>5371.88</v>
      </c>
      <c r="F89">
        <v>6780.77</v>
      </c>
      <c r="G89">
        <f t="shared" si="5"/>
        <v>-1408.8900000000003</v>
      </c>
    </row>
    <row r="90" spans="1:7">
      <c r="A90" t="str">
        <f t="shared" si="3"/>
        <v>AMI</v>
      </c>
      <c r="B90" t="str">
        <f>"64510000"</f>
        <v>64510000</v>
      </c>
      <c r="C90" t="str">
        <f t="shared" si="4"/>
        <v>AMI645100000</v>
      </c>
      <c r="E90">
        <v>35507.15</v>
      </c>
      <c r="F90">
        <v>39492.1</v>
      </c>
      <c r="G90">
        <f t="shared" si="5"/>
        <v>-3984.9499999999971</v>
      </c>
    </row>
    <row r="91" spans="1:7">
      <c r="A91" t="str">
        <f t="shared" si="3"/>
        <v>AMI</v>
      </c>
      <c r="B91" t="str">
        <f>"64520000"</f>
        <v>64520000</v>
      </c>
      <c r="C91" t="str">
        <f t="shared" si="4"/>
        <v>AMI645200000</v>
      </c>
      <c r="E91">
        <v>4439.41</v>
      </c>
      <c r="F91">
        <v>0</v>
      </c>
      <c r="G91">
        <f t="shared" si="5"/>
        <v>4439.41</v>
      </c>
    </row>
    <row r="92" spans="1:7">
      <c r="A92" t="str">
        <f t="shared" si="3"/>
        <v>AMI</v>
      </c>
      <c r="B92" t="str">
        <f>"64530000"</f>
        <v>64530000</v>
      </c>
      <c r="C92" t="str">
        <f t="shared" si="4"/>
        <v>AMI645300000</v>
      </c>
      <c r="E92">
        <v>11657.09</v>
      </c>
      <c r="F92">
        <v>0</v>
      </c>
      <c r="G92">
        <f t="shared" si="5"/>
        <v>11657.09</v>
      </c>
    </row>
    <row r="93" spans="1:7">
      <c r="A93" t="str">
        <f t="shared" si="3"/>
        <v>AMI</v>
      </c>
      <c r="B93" t="str">
        <f>"64531000"</f>
        <v>64531000</v>
      </c>
      <c r="C93" t="str">
        <f t="shared" si="4"/>
        <v>AMI645310000</v>
      </c>
      <c r="E93">
        <v>1900.76</v>
      </c>
      <c r="F93">
        <v>0</v>
      </c>
      <c r="G93">
        <f t="shared" si="5"/>
        <v>1900.76</v>
      </c>
    </row>
    <row r="94" spans="1:7">
      <c r="A94" t="str">
        <f t="shared" si="3"/>
        <v>AMI</v>
      </c>
      <c r="B94" t="str">
        <f>"64540000"</f>
        <v>64540000</v>
      </c>
      <c r="C94" t="str">
        <f t="shared" si="4"/>
        <v>AMI645400000</v>
      </c>
      <c r="E94">
        <v>5778.27</v>
      </c>
      <c r="F94">
        <v>0</v>
      </c>
      <c r="G94">
        <f t="shared" si="5"/>
        <v>5778.27</v>
      </c>
    </row>
    <row r="95" spans="1:7">
      <c r="A95" t="str">
        <f t="shared" si="3"/>
        <v>AMI</v>
      </c>
      <c r="B95" t="str">
        <f>"64590000"</f>
        <v>64590000</v>
      </c>
      <c r="C95" t="str">
        <f t="shared" si="4"/>
        <v>AMI645900000</v>
      </c>
      <c r="E95">
        <v>45.84</v>
      </c>
      <c r="F95">
        <v>0</v>
      </c>
      <c r="G95">
        <f t="shared" si="5"/>
        <v>45.84</v>
      </c>
    </row>
    <row r="96" spans="1:7">
      <c r="A96" t="str">
        <f t="shared" si="3"/>
        <v>AMI</v>
      </c>
      <c r="B96" t="str">
        <f>"64710000"</f>
        <v>64710000</v>
      </c>
      <c r="C96" t="str">
        <f t="shared" si="4"/>
        <v>AMI647100000</v>
      </c>
      <c r="E96">
        <v>43.14</v>
      </c>
      <c r="F96">
        <v>0</v>
      </c>
      <c r="G96">
        <f t="shared" si="5"/>
        <v>43.14</v>
      </c>
    </row>
    <row r="97" spans="1:9">
      <c r="A97" t="str">
        <f t="shared" si="3"/>
        <v>AMI</v>
      </c>
      <c r="B97" t="str">
        <f>"64740000"</f>
        <v>64740000</v>
      </c>
      <c r="C97" t="str">
        <f t="shared" si="4"/>
        <v>AMI647400000</v>
      </c>
      <c r="E97">
        <v>46.1</v>
      </c>
      <c r="F97">
        <v>0</v>
      </c>
      <c r="G97">
        <f t="shared" si="5"/>
        <v>46.1</v>
      </c>
    </row>
    <row r="98" spans="1:9">
      <c r="A98" t="str">
        <f t="shared" ref="A98:A111" si="6">"AMI"</f>
        <v>AMI</v>
      </c>
      <c r="B98" t="str">
        <f>"64750000"</f>
        <v>64750000</v>
      </c>
      <c r="C98" t="str">
        <f t="shared" si="4"/>
        <v>AMI647500000</v>
      </c>
      <c r="E98">
        <v>245.6</v>
      </c>
      <c r="F98">
        <v>0</v>
      </c>
      <c r="G98">
        <f t="shared" si="5"/>
        <v>245.6</v>
      </c>
    </row>
    <row r="99" spans="1:9">
      <c r="A99" t="str">
        <f t="shared" si="6"/>
        <v>AMI</v>
      </c>
      <c r="B99" t="str">
        <f>"64800000"</f>
        <v>64800000</v>
      </c>
      <c r="C99" t="str">
        <f t="shared" si="4"/>
        <v>AMI648000000</v>
      </c>
      <c r="E99" s="19">
        <v>3539.5291200000001</v>
      </c>
      <c r="F99">
        <v>0</v>
      </c>
      <c r="G99" s="19">
        <f t="shared" si="5"/>
        <v>3539.5291200000001</v>
      </c>
      <c r="H99" s="433">
        <v>1219.68912</v>
      </c>
      <c r="I99" s="113" t="s">
        <v>518</v>
      </c>
    </row>
    <row r="100" spans="1:9">
      <c r="A100" t="str">
        <f t="shared" si="6"/>
        <v>AMI</v>
      </c>
      <c r="B100" t="str">
        <f>"65160000"</f>
        <v>65160000</v>
      </c>
      <c r="C100" t="str">
        <f t="shared" si="4"/>
        <v>AMI651600000</v>
      </c>
      <c r="E100">
        <v>27.44</v>
      </c>
      <c r="F100">
        <v>0</v>
      </c>
      <c r="G100">
        <f t="shared" si="5"/>
        <v>27.44</v>
      </c>
    </row>
    <row r="101" spans="1:9">
      <c r="A101" t="str">
        <f t="shared" si="6"/>
        <v>AMI</v>
      </c>
      <c r="B101" t="str">
        <f>"65410000"</f>
        <v>65410000</v>
      </c>
      <c r="C101" t="str">
        <f t="shared" si="4"/>
        <v>AMI654100000</v>
      </c>
      <c r="E101">
        <v>0.91</v>
      </c>
      <c r="F101">
        <v>1.8</v>
      </c>
      <c r="G101">
        <f t="shared" si="5"/>
        <v>-0.89</v>
      </c>
    </row>
    <row r="102" spans="1:9">
      <c r="A102" t="str">
        <f t="shared" si="6"/>
        <v>AMI</v>
      </c>
      <c r="B102" t="str">
        <f>"65420000"</f>
        <v>65420000</v>
      </c>
      <c r="C102" t="str">
        <f t="shared" si="4"/>
        <v>AMI654200000</v>
      </c>
      <c r="E102">
        <v>16.13</v>
      </c>
      <c r="F102">
        <v>0</v>
      </c>
      <c r="G102">
        <f t="shared" si="5"/>
        <v>16.13</v>
      </c>
    </row>
    <row r="103" spans="1:9">
      <c r="A103" t="str">
        <f t="shared" si="6"/>
        <v>AMI</v>
      </c>
      <c r="B103" t="str">
        <f>"65440000"</f>
        <v>65440000</v>
      </c>
      <c r="C103" t="str">
        <f t="shared" si="4"/>
        <v>AMI654400000</v>
      </c>
      <c r="E103">
        <v>16070.75</v>
      </c>
      <c r="F103">
        <v>0</v>
      </c>
      <c r="G103">
        <f t="shared" si="5"/>
        <v>16070.75</v>
      </c>
    </row>
    <row r="104" spans="1:9">
      <c r="A104" t="str">
        <f t="shared" si="6"/>
        <v>AMI</v>
      </c>
      <c r="B104" t="str">
        <f>"65800000"</f>
        <v>65800000</v>
      </c>
      <c r="C104" t="str">
        <f t="shared" si="4"/>
        <v>AMI658000000</v>
      </c>
      <c r="E104">
        <v>5340.71</v>
      </c>
      <c r="F104">
        <v>0</v>
      </c>
      <c r="G104">
        <f t="shared" si="5"/>
        <v>5340.71</v>
      </c>
    </row>
    <row r="105" spans="1:9">
      <c r="A105" t="str">
        <f t="shared" si="6"/>
        <v>AMI</v>
      </c>
      <c r="B105" t="str">
        <f>"66500000"</f>
        <v>66500000</v>
      </c>
      <c r="C105" t="str">
        <f t="shared" si="4"/>
        <v>AMI665000000</v>
      </c>
      <c r="E105">
        <v>2.5099999999999998</v>
      </c>
      <c r="F105">
        <v>0</v>
      </c>
      <c r="G105">
        <f t="shared" si="5"/>
        <v>2.5099999999999998</v>
      </c>
    </row>
    <row r="106" spans="1:9">
      <c r="A106" t="str">
        <f t="shared" si="6"/>
        <v>AMI</v>
      </c>
      <c r="B106" t="str">
        <f>"67180000"</f>
        <v>67180000</v>
      </c>
      <c r="C106" t="str">
        <f t="shared" si="4"/>
        <v>AMI671800000</v>
      </c>
      <c r="E106">
        <v>2681.2</v>
      </c>
      <c r="F106">
        <v>0</v>
      </c>
      <c r="G106">
        <f t="shared" si="5"/>
        <v>2681.2</v>
      </c>
    </row>
    <row r="107" spans="1:9">
      <c r="A107" t="str">
        <f t="shared" si="6"/>
        <v>AMI</v>
      </c>
      <c r="B107" t="str">
        <f>"67800000"</f>
        <v>67800000</v>
      </c>
      <c r="C107" t="str">
        <f t="shared" si="4"/>
        <v>AMI678000000</v>
      </c>
      <c r="E107">
        <v>0</v>
      </c>
      <c r="F107">
        <v>0</v>
      </c>
      <c r="G107">
        <f t="shared" si="5"/>
        <v>0</v>
      </c>
    </row>
    <row r="108" spans="1:9">
      <c r="A108" t="str">
        <f t="shared" si="6"/>
        <v>AMI</v>
      </c>
      <c r="B108" t="str">
        <f>"68112000"</f>
        <v>68112000</v>
      </c>
      <c r="C108" t="str">
        <f t="shared" si="4"/>
        <v>AMI681120000</v>
      </c>
      <c r="E108">
        <v>6628.93</v>
      </c>
      <c r="F108">
        <v>0</v>
      </c>
      <c r="G108">
        <f t="shared" si="5"/>
        <v>6628.93</v>
      </c>
    </row>
    <row r="109" spans="1:9">
      <c r="A109" t="str">
        <f t="shared" si="6"/>
        <v>AMI</v>
      </c>
      <c r="B109" t="str">
        <f>"68173000"</f>
        <v>68173000</v>
      </c>
      <c r="C109" t="str">
        <f t="shared" si="4"/>
        <v>AMI681730000</v>
      </c>
      <c r="E109">
        <v>3264.43</v>
      </c>
      <c r="F109">
        <v>0</v>
      </c>
      <c r="G109">
        <f t="shared" si="5"/>
        <v>3264.43</v>
      </c>
    </row>
    <row r="110" spans="1:9">
      <c r="A110" t="str">
        <f t="shared" si="6"/>
        <v>AMI</v>
      </c>
      <c r="B110" t="str">
        <f>"68174000"</f>
        <v>68174000</v>
      </c>
      <c r="C110" t="str">
        <f t="shared" si="4"/>
        <v>AMI681740000</v>
      </c>
      <c r="E110">
        <v>64.58</v>
      </c>
      <c r="F110">
        <v>0</v>
      </c>
      <c r="G110">
        <f t="shared" si="5"/>
        <v>64.58</v>
      </c>
    </row>
    <row r="111" spans="1:9">
      <c r="A111" t="str">
        <f t="shared" si="6"/>
        <v>AMI</v>
      </c>
      <c r="B111" t="str">
        <f>"68725000"</f>
        <v>68725000</v>
      </c>
      <c r="C111" t="str">
        <f t="shared" si="4"/>
        <v>AMI687250000</v>
      </c>
      <c r="E111">
        <v>903.97</v>
      </c>
      <c r="F111">
        <v>0</v>
      </c>
      <c r="G111">
        <f t="shared" si="5"/>
        <v>903.97</v>
      </c>
    </row>
    <row r="112" spans="1:9">
      <c r="A112" t="str">
        <f t="shared" ref="A112:A175" si="7">"ANG"</f>
        <v>ANG</v>
      </c>
      <c r="B112" t="str">
        <f>"60222000"</f>
        <v>60222000</v>
      </c>
      <c r="C112" t="str">
        <f t="shared" si="4"/>
        <v>ANG602220000</v>
      </c>
      <c r="E112">
        <v>4.76</v>
      </c>
      <c r="F112">
        <v>0</v>
      </c>
      <c r="G112">
        <f t="shared" si="5"/>
        <v>4.76</v>
      </c>
    </row>
    <row r="113" spans="1:7">
      <c r="A113" t="str">
        <f t="shared" si="7"/>
        <v>ANG</v>
      </c>
      <c r="B113" t="str">
        <f>"60265000"</f>
        <v>60265000</v>
      </c>
      <c r="C113" t="str">
        <f t="shared" si="4"/>
        <v>ANG602650000</v>
      </c>
      <c r="E113">
        <v>174.8</v>
      </c>
      <c r="F113">
        <v>0</v>
      </c>
      <c r="G113">
        <f t="shared" si="5"/>
        <v>174.8</v>
      </c>
    </row>
    <row r="114" spans="1:7">
      <c r="A114" t="str">
        <f t="shared" si="7"/>
        <v>ANG</v>
      </c>
      <c r="B114" t="str">
        <f>"60610000"</f>
        <v>60610000</v>
      </c>
      <c r="C114" t="str">
        <f t="shared" si="4"/>
        <v>ANG606100000</v>
      </c>
      <c r="E114">
        <v>3070.98</v>
      </c>
      <c r="F114">
        <v>0</v>
      </c>
      <c r="G114">
        <f t="shared" si="5"/>
        <v>3070.98</v>
      </c>
    </row>
    <row r="115" spans="1:7">
      <c r="A115" t="str">
        <f t="shared" si="7"/>
        <v>ANG</v>
      </c>
      <c r="B115" t="str">
        <f>"60611000"</f>
        <v>60611000</v>
      </c>
      <c r="C115" t="str">
        <f t="shared" si="4"/>
        <v>ANG606110000</v>
      </c>
      <c r="E115">
        <v>4248.3900000000003</v>
      </c>
      <c r="F115">
        <v>0</v>
      </c>
      <c r="G115">
        <f t="shared" si="5"/>
        <v>4248.3900000000003</v>
      </c>
    </row>
    <row r="116" spans="1:7">
      <c r="A116" t="str">
        <f t="shared" si="7"/>
        <v>ANG</v>
      </c>
      <c r="B116" t="str">
        <f>"60613000"</f>
        <v>60613000</v>
      </c>
      <c r="C116" t="str">
        <f t="shared" si="4"/>
        <v>ANG606130000</v>
      </c>
      <c r="E116">
        <v>4671.47</v>
      </c>
      <c r="F116">
        <v>0</v>
      </c>
      <c r="G116">
        <f t="shared" si="5"/>
        <v>4671.47</v>
      </c>
    </row>
    <row r="117" spans="1:7">
      <c r="A117" t="str">
        <f t="shared" si="7"/>
        <v>ANG</v>
      </c>
      <c r="B117" t="str">
        <f>"60631000"</f>
        <v>60631000</v>
      </c>
      <c r="C117" t="str">
        <f t="shared" si="4"/>
        <v>ANG606310000</v>
      </c>
      <c r="E117">
        <v>2.75</v>
      </c>
      <c r="F117">
        <v>0</v>
      </c>
      <c r="G117">
        <f t="shared" si="5"/>
        <v>2.75</v>
      </c>
    </row>
    <row r="118" spans="1:7">
      <c r="A118" t="str">
        <f t="shared" si="7"/>
        <v>ANG</v>
      </c>
      <c r="B118" t="str">
        <f>"60641000"</f>
        <v>60641000</v>
      </c>
      <c r="C118" t="str">
        <f t="shared" si="4"/>
        <v>ANG606410000</v>
      </c>
      <c r="E118">
        <v>980.99</v>
      </c>
      <c r="F118">
        <v>0</v>
      </c>
      <c r="G118">
        <f t="shared" si="5"/>
        <v>980.99</v>
      </c>
    </row>
    <row r="119" spans="1:7">
      <c r="A119" t="str">
        <f t="shared" si="7"/>
        <v>ANG</v>
      </c>
      <c r="B119" t="str">
        <f>"60710000"</f>
        <v>60710000</v>
      </c>
      <c r="C119" t="str">
        <f t="shared" si="4"/>
        <v>ANG607100000</v>
      </c>
      <c r="E119">
        <v>453431.5</v>
      </c>
      <c r="F119">
        <v>6861.95</v>
      </c>
      <c r="G119">
        <f t="shared" si="5"/>
        <v>446569.55</v>
      </c>
    </row>
    <row r="120" spans="1:7">
      <c r="A120" t="str">
        <f t="shared" si="7"/>
        <v>ANG</v>
      </c>
      <c r="B120" t="str">
        <f>"60711000"</f>
        <v>60711000</v>
      </c>
      <c r="C120" t="str">
        <f t="shared" si="4"/>
        <v>ANG607110000</v>
      </c>
      <c r="E120">
        <v>123017.17</v>
      </c>
      <c r="F120">
        <v>1056.0999999999999</v>
      </c>
      <c r="G120">
        <f t="shared" si="5"/>
        <v>121961.06999999999</v>
      </c>
    </row>
    <row r="121" spans="1:7">
      <c r="A121" t="str">
        <f t="shared" si="7"/>
        <v>ANG</v>
      </c>
      <c r="B121" t="str">
        <f>"60712000"</f>
        <v>60712000</v>
      </c>
      <c r="C121" t="str">
        <f t="shared" si="4"/>
        <v>ANG607120000</v>
      </c>
      <c r="E121">
        <v>-1615.77</v>
      </c>
      <c r="F121">
        <v>0</v>
      </c>
      <c r="G121">
        <f t="shared" si="5"/>
        <v>-1615.77</v>
      </c>
    </row>
    <row r="122" spans="1:7">
      <c r="A122" t="str">
        <f t="shared" si="7"/>
        <v>ANG</v>
      </c>
      <c r="B122" t="str">
        <f>"60713000"</f>
        <v>60713000</v>
      </c>
      <c r="C122" t="str">
        <f t="shared" si="4"/>
        <v>ANG607130000</v>
      </c>
      <c r="E122">
        <v>77627</v>
      </c>
      <c r="F122">
        <v>0</v>
      </c>
      <c r="G122">
        <f t="shared" si="5"/>
        <v>77627</v>
      </c>
    </row>
    <row r="123" spans="1:7">
      <c r="A123" t="str">
        <f t="shared" si="7"/>
        <v>ANG</v>
      </c>
      <c r="B123" t="str">
        <f>"60714000"</f>
        <v>60714000</v>
      </c>
      <c r="C123" t="str">
        <f t="shared" si="4"/>
        <v>ANG607140000</v>
      </c>
      <c r="E123">
        <v>-141139</v>
      </c>
      <c r="F123">
        <v>0</v>
      </c>
      <c r="G123">
        <f t="shared" si="5"/>
        <v>-141139</v>
      </c>
    </row>
    <row r="124" spans="1:7">
      <c r="A124" t="str">
        <f t="shared" si="7"/>
        <v>ANG</v>
      </c>
      <c r="B124" t="str">
        <f>"60720000"</f>
        <v>60720000</v>
      </c>
      <c r="C124" t="str">
        <f t="shared" si="4"/>
        <v>ANG607200000</v>
      </c>
      <c r="E124">
        <v>250635.77</v>
      </c>
      <c r="F124">
        <v>0</v>
      </c>
      <c r="G124">
        <f t="shared" si="5"/>
        <v>250635.77</v>
      </c>
    </row>
    <row r="125" spans="1:7">
      <c r="A125" t="str">
        <f t="shared" si="7"/>
        <v>ANG</v>
      </c>
      <c r="B125" t="str">
        <f>"60740000"</f>
        <v>60740000</v>
      </c>
      <c r="C125" t="str">
        <f t="shared" si="4"/>
        <v>ANG607400000</v>
      </c>
      <c r="E125">
        <v>8429.15</v>
      </c>
      <c r="F125">
        <v>0</v>
      </c>
      <c r="G125">
        <f t="shared" si="5"/>
        <v>8429.15</v>
      </c>
    </row>
    <row r="126" spans="1:7">
      <c r="A126" t="str">
        <f t="shared" si="7"/>
        <v>ANG</v>
      </c>
      <c r="B126" t="str">
        <f>"60800000"</f>
        <v>60800000</v>
      </c>
      <c r="C126" t="str">
        <f t="shared" si="4"/>
        <v>ANG608000000</v>
      </c>
      <c r="E126">
        <v>4175.1499999999996</v>
      </c>
      <c r="F126">
        <v>0</v>
      </c>
      <c r="G126">
        <f t="shared" si="5"/>
        <v>4175.1499999999996</v>
      </c>
    </row>
    <row r="127" spans="1:7">
      <c r="A127" t="str">
        <f t="shared" si="7"/>
        <v>ANG</v>
      </c>
      <c r="B127" t="str">
        <f>"60911000"</f>
        <v>60911000</v>
      </c>
      <c r="C127" t="str">
        <f t="shared" si="4"/>
        <v>ANG609110000</v>
      </c>
      <c r="E127">
        <v>-12340.32</v>
      </c>
      <c r="F127">
        <v>0</v>
      </c>
      <c r="G127">
        <f t="shared" si="5"/>
        <v>-12340.32</v>
      </c>
    </row>
    <row r="128" spans="1:7">
      <c r="A128" t="str">
        <f t="shared" si="7"/>
        <v>ANG</v>
      </c>
      <c r="B128" t="str">
        <f>"60912000"</f>
        <v>60912000</v>
      </c>
      <c r="C128" t="str">
        <f t="shared" si="4"/>
        <v>ANG609120000</v>
      </c>
      <c r="E128">
        <v>-16798.79</v>
      </c>
      <c r="F128">
        <v>0</v>
      </c>
      <c r="G128">
        <f t="shared" si="5"/>
        <v>-16798.79</v>
      </c>
    </row>
    <row r="129" spans="1:7">
      <c r="A129" t="str">
        <f t="shared" si="7"/>
        <v>ANG</v>
      </c>
      <c r="B129" t="str">
        <f>"60913000"</f>
        <v>60913000</v>
      </c>
      <c r="C129" t="str">
        <f t="shared" si="4"/>
        <v>ANG609130000</v>
      </c>
      <c r="E129">
        <v>-9599.31</v>
      </c>
      <c r="F129">
        <v>0</v>
      </c>
      <c r="G129">
        <f t="shared" si="5"/>
        <v>-9599.31</v>
      </c>
    </row>
    <row r="130" spans="1:7">
      <c r="A130" t="str">
        <f t="shared" si="7"/>
        <v>ANG</v>
      </c>
      <c r="B130" t="str">
        <f>"61100000"</f>
        <v>61100000</v>
      </c>
      <c r="C130" t="str">
        <f t="shared" si="4"/>
        <v>ANG611000000</v>
      </c>
      <c r="E130">
        <v>0</v>
      </c>
      <c r="F130">
        <v>0</v>
      </c>
      <c r="G130">
        <f t="shared" si="5"/>
        <v>0</v>
      </c>
    </row>
    <row r="131" spans="1:7">
      <c r="A131" t="str">
        <f t="shared" si="7"/>
        <v>ANG</v>
      </c>
      <c r="B131" t="str">
        <f>"61320000"</f>
        <v>61320000</v>
      </c>
      <c r="C131" t="str">
        <f t="shared" ref="C131:C194" si="8">+A131&amp;B131*10</f>
        <v>ANG613200000</v>
      </c>
      <c r="E131">
        <v>27059.31</v>
      </c>
      <c r="F131">
        <v>0</v>
      </c>
      <c r="G131">
        <f t="shared" ref="G131:G194" si="9">+E131-F131</f>
        <v>27059.31</v>
      </c>
    </row>
    <row r="132" spans="1:7">
      <c r="A132" t="str">
        <f t="shared" si="7"/>
        <v>ANG</v>
      </c>
      <c r="B132" t="str">
        <f>"61352000"</f>
        <v>61352000</v>
      </c>
      <c r="C132" t="str">
        <f t="shared" si="8"/>
        <v>ANG613520000</v>
      </c>
      <c r="E132">
        <v>7118.94</v>
      </c>
      <c r="F132">
        <v>0</v>
      </c>
      <c r="G132">
        <f t="shared" si="9"/>
        <v>7118.94</v>
      </c>
    </row>
    <row r="133" spans="1:7">
      <c r="A133" t="str">
        <f t="shared" si="7"/>
        <v>ANG</v>
      </c>
      <c r="B133" t="str">
        <f>"61353000"</f>
        <v>61353000</v>
      </c>
      <c r="C133" t="str">
        <f t="shared" si="8"/>
        <v>ANG613530000</v>
      </c>
      <c r="E133">
        <v>423</v>
      </c>
      <c r="F133">
        <v>-158.66999999999999</v>
      </c>
      <c r="G133">
        <f t="shared" si="9"/>
        <v>581.66999999999996</v>
      </c>
    </row>
    <row r="134" spans="1:7">
      <c r="A134" t="str">
        <f t="shared" si="7"/>
        <v>ANG</v>
      </c>
      <c r="B134" t="str">
        <f>"61354000"</f>
        <v>61354000</v>
      </c>
      <c r="C134" t="str">
        <f t="shared" si="8"/>
        <v>ANG613540000</v>
      </c>
      <c r="E134">
        <v>526.35</v>
      </c>
      <c r="F134">
        <v>163.77000000000001</v>
      </c>
      <c r="G134">
        <f t="shared" si="9"/>
        <v>362.58000000000004</v>
      </c>
    </row>
    <row r="135" spans="1:7">
      <c r="A135" t="str">
        <f t="shared" si="7"/>
        <v>ANG</v>
      </c>
      <c r="B135" t="str">
        <f>"61520000"</f>
        <v>61520000</v>
      </c>
      <c r="C135" t="str">
        <f t="shared" si="8"/>
        <v>ANG615200000</v>
      </c>
      <c r="E135">
        <v>2211.65</v>
      </c>
      <c r="F135">
        <v>0</v>
      </c>
      <c r="G135">
        <f t="shared" si="9"/>
        <v>2211.65</v>
      </c>
    </row>
    <row r="136" spans="1:7">
      <c r="A136" t="str">
        <f t="shared" si="7"/>
        <v>ANG</v>
      </c>
      <c r="B136" t="str">
        <f>"61550000"</f>
        <v>61550000</v>
      </c>
      <c r="C136" t="str">
        <f t="shared" si="8"/>
        <v>ANG615500000</v>
      </c>
      <c r="E136">
        <v>0</v>
      </c>
      <c r="F136">
        <v>-571.58000000000004</v>
      </c>
      <c r="G136">
        <f t="shared" si="9"/>
        <v>571.58000000000004</v>
      </c>
    </row>
    <row r="137" spans="1:7">
      <c r="A137" t="str">
        <f t="shared" si="7"/>
        <v>ANG</v>
      </c>
      <c r="B137" t="str">
        <f>"61551000"</f>
        <v>61551000</v>
      </c>
      <c r="C137" t="str">
        <f t="shared" si="8"/>
        <v>ANG615510000</v>
      </c>
      <c r="E137">
        <v>209.83</v>
      </c>
      <c r="F137">
        <v>0</v>
      </c>
      <c r="G137">
        <f t="shared" si="9"/>
        <v>209.83</v>
      </c>
    </row>
    <row r="138" spans="1:7">
      <c r="A138" t="str">
        <f t="shared" si="7"/>
        <v>ANG</v>
      </c>
      <c r="B138" t="str">
        <f>"61552000"</f>
        <v>61552000</v>
      </c>
      <c r="C138" t="str">
        <f t="shared" si="8"/>
        <v>ANG615520000</v>
      </c>
      <c r="E138">
        <v>2054.06</v>
      </c>
      <c r="F138">
        <v>0</v>
      </c>
      <c r="G138">
        <f t="shared" si="9"/>
        <v>2054.06</v>
      </c>
    </row>
    <row r="139" spans="1:7">
      <c r="A139" t="str">
        <f t="shared" si="7"/>
        <v>ANG</v>
      </c>
      <c r="B139" t="str">
        <f>"61612000"</f>
        <v>61612000</v>
      </c>
      <c r="C139" t="str">
        <f t="shared" si="8"/>
        <v>ANG616120000</v>
      </c>
      <c r="E139">
        <v>1730.9</v>
      </c>
      <c r="F139">
        <v>0</v>
      </c>
      <c r="G139">
        <f t="shared" si="9"/>
        <v>1730.9</v>
      </c>
    </row>
    <row r="140" spans="1:7">
      <c r="A140" t="str">
        <f t="shared" si="7"/>
        <v>ANG</v>
      </c>
      <c r="B140" t="str">
        <f>"61613000"</f>
        <v>61613000</v>
      </c>
      <c r="C140" t="str">
        <f t="shared" si="8"/>
        <v>ANG616130000</v>
      </c>
      <c r="E140">
        <v>2778.82</v>
      </c>
      <c r="F140">
        <v>0</v>
      </c>
      <c r="G140">
        <f t="shared" si="9"/>
        <v>2778.82</v>
      </c>
    </row>
    <row r="141" spans="1:7">
      <c r="A141" t="str">
        <f t="shared" si="7"/>
        <v>ANG</v>
      </c>
      <c r="B141" t="str">
        <f>"61810000"</f>
        <v>61810000</v>
      </c>
      <c r="C141" t="str">
        <f t="shared" si="8"/>
        <v>ANG618100000</v>
      </c>
      <c r="E141">
        <v>112.2</v>
      </c>
      <c r="F141">
        <v>0</v>
      </c>
      <c r="G141">
        <f t="shared" si="9"/>
        <v>112.2</v>
      </c>
    </row>
    <row r="142" spans="1:7">
      <c r="A142" t="str">
        <f t="shared" si="7"/>
        <v>ANG</v>
      </c>
      <c r="B142" t="str">
        <f>"61850000"</f>
        <v>61850000</v>
      </c>
      <c r="C142" t="str">
        <f t="shared" si="8"/>
        <v>ANG618500000</v>
      </c>
      <c r="E142">
        <v>874.09</v>
      </c>
      <c r="F142">
        <v>0</v>
      </c>
      <c r="G142">
        <f t="shared" si="9"/>
        <v>874.09</v>
      </c>
    </row>
    <row r="143" spans="1:7">
      <c r="A143" t="str">
        <f t="shared" si="7"/>
        <v>ANG</v>
      </c>
      <c r="B143" t="str">
        <f>"62270000"</f>
        <v>62270000</v>
      </c>
      <c r="C143" t="str">
        <f t="shared" si="8"/>
        <v>ANG622700000</v>
      </c>
      <c r="E143">
        <v>160.53</v>
      </c>
      <c r="F143">
        <v>0</v>
      </c>
      <c r="G143">
        <f t="shared" si="9"/>
        <v>160.53</v>
      </c>
    </row>
    <row r="144" spans="1:7">
      <c r="A144" t="str">
        <f t="shared" si="7"/>
        <v>ANG</v>
      </c>
      <c r="B144" t="str">
        <f>"62310000"</f>
        <v>62310000</v>
      </c>
      <c r="C144" t="str">
        <f t="shared" si="8"/>
        <v>ANG623100000</v>
      </c>
      <c r="E144">
        <v>774.3</v>
      </c>
      <c r="F144">
        <v>0</v>
      </c>
      <c r="G144">
        <f t="shared" si="9"/>
        <v>774.3</v>
      </c>
    </row>
    <row r="145" spans="1:7">
      <c r="A145" t="str">
        <f t="shared" si="7"/>
        <v>ANG</v>
      </c>
      <c r="B145" t="str">
        <f>"62320000"</f>
        <v>62320000</v>
      </c>
      <c r="C145" t="str">
        <f t="shared" si="8"/>
        <v>ANG623200000</v>
      </c>
      <c r="E145">
        <v>8613.6</v>
      </c>
      <c r="F145">
        <v>0</v>
      </c>
      <c r="G145">
        <f t="shared" si="9"/>
        <v>8613.6</v>
      </c>
    </row>
    <row r="146" spans="1:7">
      <c r="A146" t="str">
        <f t="shared" si="7"/>
        <v>ANG</v>
      </c>
      <c r="B146" t="str">
        <f>"62341000"</f>
        <v>62341000</v>
      </c>
      <c r="C146" t="str">
        <f t="shared" si="8"/>
        <v>ANG623410000</v>
      </c>
      <c r="E146">
        <v>9174.65</v>
      </c>
      <c r="F146">
        <v>0</v>
      </c>
      <c r="G146">
        <f t="shared" si="9"/>
        <v>9174.65</v>
      </c>
    </row>
    <row r="147" spans="1:7">
      <c r="A147" t="str">
        <f t="shared" si="7"/>
        <v>ANG</v>
      </c>
      <c r="B147" t="str">
        <f>"62342000"</f>
        <v>62342000</v>
      </c>
      <c r="C147" t="str">
        <f t="shared" si="8"/>
        <v>ANG623420000</v>
      </c>
      <c r="E147">
        <v>-247.42</v>
      </c>
      <c r="F147">
        <v>0</v>
      </c>
      <c r="G147">
        <f t="shared" si="9"/>
        <v>-247.42</v>
      </c>
    </row>
    <row r="148" spans="1:7">
      <c r="A148" t="str">
        <f t="shared" si="7"/>
        <v>ANG</v>
      </c>
      <c r="B148" t="str">
        <f>"62370000"</f>
        <v>62370000</v>
      </c>
      <c r="C148" t="str">
        <f t="shared" si="8"/>
        <v>ANG623700000</v>
      </c>
      <c r="E148">
        <v>1715.67</v>
      </c>
      <c r="F148">
        <v>-221.9</v>
      </c>
      <c r="G148">
        <f t="shared" si="9"/>
        <v>1937.5700000000002</v>
      </c>
    </row>
    <row r="149" spans="1:7">
      <c r="A149" t="str">
        <f t="shared" si="7"/>
        <v>ANG</v>
      </c>
      <c r="B149" t="str">
        <f>"62380000"</f>
        <v>62380000</v>
      </c>
      <c r="C149" t="str">
        <f t="shared" si="8"/>
        <v>ANG623800000</v>
      </c>
      <c r="E149">
        <v>20</v>
      </c>
      <c r="F149">
        <v>0</v>
      </c>
      <c r="G149">
        <f t="shared" si="9"/>
        <v>20</v>
      </c>
    </row>
    <row r="150" spans="1:7">
      <c r="A150" t="str">
        <f t="shared" si="7"/>
        <v>ANG</v>
      </c>
      <c r="B150" t="str">
        <f>"62381000"</f>
        <v>62381000</v>
      </c>
      <c r="C150" t="str">
        <f t="shared" si="8"/>
        <v>ANG623810000</v>
      </c>
      <c r="E150">
        <v>0</v>
      </c>
      <c r="F150">
        <v>0</v>
      </c>
      <c r="G150">
        <f t="shared" si="9"/>
        <v>0</v>
      </c>
    </row>
    <row r="151" spans="1:7">
      <c r="A151" t="str">
        <f t="shared" si="7"/>
        <v>ANG</v>
      </c>
      <c r="B151" t="str">
        <f>"62420000"</f>
        <v>62420000</v>
      </c>
      <c r="C151" t="str">
        <f t="shared" si="8"/>
        <v>ANG624200000</v>
      </c>
      <c r="E151">
        <v>12797.66</v>
      </c>
      <c r="F151">
        <v>0</v>
      </c>
      <c r="G151">
        <f t="shared" si="9"/>
        <v>12797.66</v>
      </c>
    </row>
    <row r="152" spans="1:7">
      <c r="A152" t="str">
        <f t="shared" si="7"/>
        <v>ANG</v>
      </c>
      <c r="B152" t="str">
        <f>"62510000"</f>
        <v>62510000</v>
      </c>
      <c r="C152" t="str">
        <f t="shared" si="8"/>
        <v>ANG625100000</v>
      </c>
      <c r="E152">
        <v>12845.56</v>
      </c>
      <c r="F152">
        <v>2192.21</v>
      </c>
      <c r="G152">
        <f t="shared" si="9"/>
        <v>10653.349999999999</v>
      </c>
    </row>
    <row r="153" spans="1:7">
      <c r="A153" t="str">
        <f t="shared" si="7"/>
        <v>ANG</v>
      </c>
      <c r="B153" t="str">
        <f>"62520000"</f>
        <v>62520000</v>
      </c>
      <c r="C153" t="str">
        <f t="shared" si="8"/>
        <v>ANG625200000</v>
      </c>
      <c r="E153">
        <v>89.36</v>
      </c>
      <c r="F153">
        <v>0</v>
      </c>
      <c r="G153">
        <f t="shared" si="9"/>
        <v>89.36</v>
      </c>
    </row>
    <row r="154" spans="1:7">
      <c r="A154" t="str">
        <f t="shared" si="7"/>
        <v>ANG</v>
      </c>
      <c r="B154" t="str">
        <f>"62560000"</f>
        <v>62560000</v>
      </c>
      <c r="C154" t="str">
        <f t="shared" si="8"/>
        <v>ANG625600000</v>
      </c>
      <c r="E154">
        <v>1275.24</v>
      </c>
      <c r="F154">
        <v>500</v>
      </c>
      <c r="G154">
        <f t="shared" si="9"/>
        <v>775.24</v>
      </c>
    </row>
    <row r="155" spans="1:7">
      <c r="A155" t="str">
        <f t="shared" si="7"/>
        <v>ANG</v>
      </c>
      <c r="B155" t="str">
        <f>"62570000"</f>
        <v>62570000</v>
      </c>
      <c r="C155" t="str">
        <f t="shared" si="8"/>
        <v>ANG625700000</v>
      </c>
      <c r="E155">
        <v>5213.5600000000004</v>
      </c>
      <c r="F155">
        <v>27</v>
      </c>
      <c r="G155">
        <f t="shared" si="9"/>
        <v>5186.5600000000004</v>
      </c>
    </row>
    <row r="156" spans="1:7">
      <c r="A156" t="str">
        <f t="shared" si="7"/>
        <v>ANG</v>
      </c>
      <c r="B156" t="str">
        <f>"62571000"</f>
        <v>62571000</v>
      </c>
      <c r="C156" t="str">
        <f t="shared" si="8"/>
        <v>ANG625710000</v>
      </c>
      <c r="E156">
        <v>2210.1999999999998</v>
      </c>
      <c r="F156">
        <v>0</v>
      </c>
      <c r="G156">
        <f t="shared" si="9"/>
        <v>2210.1999999999998</v>
      </c>
    </row>
    <row r="157" spans="1:7">
      <c r="A157" t="str">
        <f t="shared" si="7"/>
        <v>ANG</v>
      </c>
      <c r="B157" t="str">
        <f>"62600000"</f>
        <v>62600000</v>
      </c>
      <c r="C157" t="str">
        <f t="shared" si="8"/>
        <v>ANG626000000</v>
      </c>
      <c r="E157">
        <v>5092.8</v>
      </c>
      <c r="F157">
        <v>0</v>
      </c>
      <c r="G157">
        <f t="shared" si="9"/>
        <v>5092.8</v>
      </c>
    </row>
    <row r="158" spans="1:7">
      <c r="A158" t="str">
        <f t="shared" si="7"/>
        <v>ANG</v>
      </c>
      <c r="B158" t="str">
        <f>"62610000"</f>
        <v>62610000</v>
      </c>
      <c r="C158" t="str">
        <f t="shared" si="8"/>
        <v>ANG626100000</v>
      </c>
      <c r="E158">
        <v>1012.48</v>
      </c>
      <c r="F158">
        <v>0</v>
      </c>
      <c r="G158">
        <f t="shared" si="9"/>
        <v>1012.48</v>
      </c>
    </row>
    <row r="159" spans="1:7">
      <c r="A159" t="str">
        <f t="shared" si="7"/>
        <v>ANG</v>
      </c>
      <c r="B159" t="str">
        <f>"62752000"</f>
        <v>62752000</v>
      </c>
      <c r="C159" t="str">
        <f t="shared" si="8"/>
        <v>ANG627520000</v>
      </c>
      <c r="E159">
        <v>162</v>
      </c>
      <c r="F159">
        <v>0</v>
      </c>
      <c r="G159">
        <f t="shared" si="9"/>
        <v>162</v>
      </c>
    </row>
    <row r="160" spans="1:7">
      <c r="A160" t="str">
        <f t="shared" si="7"/>
        <v>ANG</v>
      </c>
      <c r="B160" t="str">
        <f>"63330000"</f>
        <v>63330000</v>
      </c>
      <c r="C160" t="str">
        <f t="shared" si="8"/>
        <v>ANG633300000</v>
      </c>
      <c r="E160">
        <v>1111</v>
      </c>
      <c r="F160">
        <v>0</v>
      </c>
      <c r="G160">
        <f t="shared" si="9"/>
        <v>1111</v>
      </c>
    </row>
    <row r="161" spans="1:7">
      <c r="A161" t="str">
        <f t="shared" si="7"/>
        <v>ANG</v>
      </c>
      <c r="B161" t="str">
        <f>"63340000"</f>
        <v>63340000</v>
      </c>
      <c r="C161" t="str">
        <f t="shared" si="8"/>
        <v>ANG633400000</v>
      </c>
      <c r="E161">
        <v>612</v>
      </c>
      <c r="F161">
        <v>0</v>
      </c>
      <c r="G161">
        <f t="shared" si="9"/>
        <v>612</v>
      </c>
    </row>
    <row r="162" spans="1:7">
      <c r="A162" t="str">
        <f t="shared" si="7"/>
        <v>ANG</v>
      </c>
      <c r="B162" t="str">
        <f>"63350000"</f>
        <v>63350000</v>
      </c>
      <c r="C162" t="str">
        <f t="shared" si="8"/>
        <v>ANG633500000</v>
      </c>
      <c r="E162">
        <v>925</v>
      </c>
      <c r="F162">
        <v>0</v>
      </c>
      <c r="G162">
        <f t="shared" si="9"/>
        <v>925</v>
      </c>
    </row>
    <row r="163" spans="1:7">
      <c r="A163" t="str">
        <f t="shared" si="7"/>
        <v>ANG</v>
      </c>
      <c r="B163" t="str">
        <f>"63511000"</f>
        <v>63511000</v>
      </c>
      <c r="C163" t="str">
        <f t="shared" si="8"/>
        <v>ANG635110000</v>
      </c>
      <c r="E163">
        <v>4655</v>
      </c>
      <c r="F163">
        <v>0</v>
      </c>
      <c r="G163">
        <f t="shared" si="9"/>
        <v>4655</v>
      </c>
    </row>
    <row r="164" spans="1:7">
      <c r="A164" t="str">
        <f t="shared" si="7"/>
        <v>ANG</v>
      </c>
      <c r="B164" t="str">
        <f>"63512000"</f>
        <v>63512000</v>
      </c>
      <c r="C164" t="str">
        <f t="shared" si="8"/>
        <v>ANG635120000</v>
      </c>
      <c r="E164">
        <v>2543</v>
      </c>
      <c r="F164">
        <v>0</v>
      </c>
      <c r="G164">
        <f t="shared" si="9"/>
        <v>2543</v>
      </c>
    </row>
    <row r="165" spans="1:7">
      <c r="A165" t="str">
        <f t="shared" si="7"/>
        <v>ANG</v>
      </c>
      <c r="B165" t="str">
        <f>"63530000"</f>
        <v>63530000</v>
      </c>
      <c r="C165" t="str">
        <f t="shared" si="8"/>
        <v>ANG635300000</v>
      </c>
      <c r="E165">
        <v>20.6</v>
      </c>
      <c r="F165">
        <v>0</v>
      </c>
      <c r="G165">
        <f t="shared" si="9"/>
        <v>20.6</v>
      </c>
    </row>
    <row r="166" spans="1:7">
      <c r="A166" t="str">
        <f t="shared" si="7"/>
        <v>ANG</v>
      </c>
      <c r="B166" t="str">
        <f>"63710000"</f>
        <v>63710000</v>
      </c>
      <c r="C166" t="str">
        <f t="shared" si="8"/>
        <v>ANG637100000</v>
      </c>
      <c r="E166">
        <v>1935.85</v>
      </c>
      <c r="F166">
        <v>0</v>
      </c>
      <c r="G166">
        <f t="shared" si="9"/>
        <v>1935.85</v>
      </c>
    </row>
    <row r="167" spans="1:7">
      <c r="A167" t="str">
        <f t="shared" si="7"/>
        <v>ANG</v>
      </c>
      <c r="B167" t="str">
        <f>"64110000"</f>
        <v>64110000</v>
      </c>
      <c r="C167" t="str">
        <f t="shared" si="8"/>
        <v>ANG641100000</v>
      </c>
      <c r="E167">
        <v>143966.34</v>
      </c>
      <c r="F167">
        <v>25391.61</v>
      </c>
      <c r="G167">
        <f t="shared" si="9"/>
        <v>118574.73</v>
      </c>
    </row>
    <row r="168" spans="1:7">
      <c r="A168" t="str">
        <f t="shared" si="7"/>
        <v>ANG</v>
      </c>
      <c r="B168" t="str">
        <f>"64111000"</f>
        <v>64111000</v>
      </c>
      <c r="C168" t="str">
        <f t="shared" si="8"/>
        <v>ANG641110000</v>
      </c>
      <c r="E168">
        <v>450</v>
      </c>
      <c r="F168">
        <v>0</v>
      </c>
      <c r="G168">
        <f t="shared" si="9"/>
        <v>450</v>
      </c>
    </row>
    <row r="169" spans="1:7">
      <c r="A169" t="str">
        <f t="shared" si="7"/>
        <v>ANG</v>
      </c>
      <c r="B169" t="str">
        <f>"64111100"</f>
        <v>64111100</v>
      </c>
      <c r="C169" t="str">
        <f t="shared" si="8"/>
        <v>ANG641111000</v>
      </c>
      <c r="E169">
        <v>200</v>
      </c>
      <c r="F169">
        <v>0</v>
      </c>
      <c r="G169">
        <f t="shared" si="9"/>
        <v>200</v>
      </c>
    </row>
    <row r="170" spans="1:7">
      <c r="A170" t="str">
        <f t="shared" si="7"/>
        <v>ANG</v>
      </c>
      <c r="B170" t="str">
        <f>"64120000"</f>
        <v>64120000</v>
      </c>
      <c r="C170" t="str">
        <f t="shared" si="8"/>
        <v>ANG641200000</v>
      </c>
      <c r="E170">
        <v>12385.6</v>
      </c>
      <c r="F170">
        <v>12039.34</v>
      </c>
      <c r="G170">
        <f t="shared" si="9"/>
        <v>346.26000000000022</v>
      </c>
    </row>
    <row r="171" spans="1:7">
      <c r="A171" t="str">
        <f t="shared" si="7"/>
        <v>ANG</v>
      </c>
      <c r="B171" t="str">
        <f>"64121000"</f>
        <v>64121000</v>
      </c>
      <c r="C171" t="str">
        <f t="shared" si="8"/>
        <v>ANG641210000</v>
      </c>
      <c r="E171">
        <v>4910.8900000000003</v>
      </c>
      <c r="F171">
        <v>4720.63</v>
      </c>
      <c r="G171">
        <f t="shared" si="9"/>
        <v>190.26000000000022</v>
      </c>
    </row>
    <row r="172" spans="1:7">
      <c r="A172" t="str">
        <f t="shared" si="7"/>
        <v>ANG</v>
      </c>
      <c r="B172" t="str">
        <f>"64142000"</f>
        <v>64142000</v>
      </c>
      <c r="C172" t="str">
        <f t="shared" si="8"/>
        <v>ANG641420000</v>
      </c>
      <c r="E172">
        <v>17.5</v>
      </c>
      <c r="F172">
        <v>0</v>
      </c>
      <c r="G172">
        <f t="shared" si="9"/>
        <v>17.5</v>
      </c>
    </row>
    <row r="173" spans="1:7">
      <c r="A173" t="str">
        <f t="shared" si="7"/>
        <v>ANG</v>
      </c>
      <c r="B173" t="str">
        <f>"64510000"</f>
        <v>64510000</v>
      </c>
      <c r="C173" t="str">
        <f t="shared" si="8"/>
        <v>ANG645100000</v>
      </c>
      <c r="E173">
        <v>40088.01</v>
      </c>
      <c r="F173">
        <v>11820.63</v>
      </c>
      <c r="G173">
        <f t="shared" si="9"/>
        <v>28267.380000000005</v>
      </c>
    </row>
    <row r="174" spans="1:7">
      <c r="A174" t="str">
        <f t="shared" si="7"/>
        <v>ANG</v>
      </c>
      <c r="B174" t="str">
        <f>"64520000"</f>
        <v>64520000</v>
      </c>
      <c r="C174" t="str">
        <f t="shared" si="8"/>
        <v>ANG645200000</v>
      </c>
      <c r="E174">
        <v>3421.56</v>
      </c>
      <c r="F174">
        <v>0</v>
      </c>
      <c r="G174">
        <f t="shared" si="9"/>
        <v>3421.56</v>
      </c>
    </row>
    <row r="175" spans="1:7">
      <c r="A175" t="str">
        <f t="shared" si="7"/>
        <v>ANG</v>
      </c>
      <c r="B175" t="str">
        <f>"64530000"</f>
        <v>64530000</v>
      </c>
      <c r="C175" t="str">
        <f t="shared" si="8"/>
        <v>ANG645300000</v>
      </c>
      <c r="E175">
        <v>8494.76</v>
      </c>
      <c r="F175">
        <v>0</v>
      </c>
      <c r="G175">
        <f t="shared" si="9"/>
        <v>8494.76</v>
      </c>
    </row>
    <row r="176" spans="1:7">
      <c r="A176" t="str">
        <f t="shared" ref="A176:A194" si="10">"ANG"</f>
        <v>ANG</v>
      </c>
      <c r="B176" t="str">
        <f>"64540000"</f>
        <v>64540000</v>
      </c>
      <c r="C176" t="str">
        <f t="shared" si="8"/>
        <v>ANG645400000</v>
      </c>
      <c r="E176">
        <v>5787.88</v>
      </c>
      <c r="F176">
        <v>0</v>
      </c>
      <c r="G176">
        <f t="shared" si="9"/>
        <v>5787.88</v>
      </c>
    </row>
    <row r="177" spans="1:9">
      <c r="A177" t="str">
        <f t="shared" si="10"/>
        <v>ANG</v>
      </c>
      <c r="B177" t="str">
        <f>"64590000"</f>
        <v>64590000</v>
      </c>
      <c r="C177" t="str">
        <f t="shared" si="8"/>
        <v>ANG645900000</v>
      </c>
      <c r="E177">
        <v>180.85</v>
      </c>
      <c r="F177">
        <v>0</v>
      </c>
      <c r="G177">
        <f t="shared" si="9"/>
        <v>180.85</v>
      </c>
    </row>
    <row r="178" spans="1:9">
      <c r="A178" t="str">
        <f t="shared" si="10"/>
        <v>ANG</v>
      </c>
      <c r="B178" t="str">
        <f>"64710000"</f>
        <v>64710000</v>
      </c>
      <c r="C178" t="str">
        <f t="shared" si="8"/>
        <v>ANG647100000</v>
      </c>
      <c r="E178">
        <v>39.6</v>
      </c>
      <c r="F178">
        <v>0</v>
      </c>
      <c r="G178">
        <f t="shared" si="9"/>
        <v>39.6</v>
      </c>
    </row>
    <row r="179" spans="1:9">
      <c r="A179" t="str">
        <f t="shared" si="10"/>
        <v>ANG</v>
      </c>
      <c r="B179" t="str">
        <f>"64740000"</f>
        <v>64740000</v>
      </c>
      <c r="C179" t="str">
        <f t="shared" si="8"/>
        <v>ANG647400000</v>
      </c>
      <c r="E179">
        <v>51.6</v>
      </c>
      <c r="F179">
        <v>0</v>
      </c>
      <c r="G179">
        <f t="shared" si="9"/>
        <v>51.6</v>
      </c>
    </row>
    <row r="180" spans="1:9">
      <c r="A180" t="str">
        <f t="shared" si="10"/>
        <v>ANG</v>
      </c>
      <c r="B180" t="str">
        <f>"64750000"</f>
        <v>64750000</v>
      </c>
      <c r="C180" t="str">
        <f t="shared" si="8"/>
        <v>ANG647500000</v>
      </c>
      <c r="E180">
        <v>482.41</v>
      </c>
      <c r="F180">
        <v>0</v>
      </c>
      <c r="G180">
        <f t="shared" si="9"/>
        <v>482.41</v>
      </c>
    </row>
    <row r="181" spans="1:9">
      <c r="A181" t="str">
        <f t="shared" si="10"/>
        <v>ANG</v>
      </c>
      <c r="B181" t="str">
        <f>"64800000"</f>
        <v>64800000</v>
      </c>
      <c r="C181" t="str">
        <f t="shared" si="8"/>
        <v>ANG648000000</v>
      </c>
      <c r="E181" s="19">
        <v>8983.2284</v>
      </c>
      <c r="F181">
        <v>0</v>
      </c>
      <c r="G181" s="19">
        <f t="shared" si="9"/>
        <v>8983.2284</v>
      </c>
      <c r="H181" s="433">
        <v>7482.7583999999997</v>
      </c>
      <c r="I181" s="113" t="s">
        <v>519</v>
      </c>
    </row>
    <row r="182" spans="1:9">
      <c r="A182" t="str">
        <f t="shared" si="10"/>
        <v>ANG</v>
      </c>
      <c r="B182" t="str">
        <f>"65160000"</f>
        <v>65160000</v>
      </c>
      <c r="C182" t="str">
        <f t="shared" si="8"/>
        <v>ANG651600000</v>
      </c>
      <c r="E182">
        <v>155.85</v>
      </c>
      <c r="F182">
        <v>0</v>
      </c>
      <c r="G182">
        <f t="shared" si="9"/>
        <v>155.85</v>
      </c>
      <c r="H182" s="26">
        <f>SUM(H150:H180)</f>
        <v>0</v>
      </c>
    </row>
    <row r="183" spans="1:9">
      <c r="A183" t="str">
        <f t="shared" si="10"/>
        <v>ANG</v>
      </c>
      <c r="B183" t="str">
        <f>"65410000"</f>
        <v>65410000</v>
      </c>
      <c r="C183" t="str">
        <f t="shared" si="8"/>
        <v>ANG654100000</v>
      </c>
      <c r="E183">
        <v>4.0599999999999996</v>
      </c>
      <c r="F183">
        <v>5.08</v>
      </c>
      <c r="G183">
        <f t="shared" si="9"/>
        <v>-1.0200000000000005</v>
      </c>
    </row>
    <row r="184" spans="1:9">
      <c r="A184" t="str">
        <f t="shared" si="10"/>
        <v>ANG</v>
      </c>
      <c r="B184" t="str">
        <f>"65420000"</f>
        <v>65420000</v>
      </c>
      <c r="C184" t="str">
        <f t="shared" si="8"/>
        <v>ANG654200000</v>
      </c>
      <c r="E184">
        <v>3.59</v>
      </c>
      <c r="F184">
        <v>0</v>
      </c>
      <c r="G184">
        <f t="shared" si="9"/>
        <v>3.59</v>
      </c>
    </row>
    <row r="185" spans="1:9">
      <c r="A185" t="str">
        <f t="shared" si="10"/>
        <v>ANG</v>
      </c>
      <c r="B185" t="str">
        <f>"65440000"</f>
        <v>65440000</v>
      </c>
      <c r="C185" t="str">
        <f t="shared" si="8"/>
        <v>ANG654400000</v>
      </c>
      <c r="E185">
        <v>0</v>
      </c>
      <c r="F185">
        <v>0</v>
      </c>
      <c r="G185">
        <f t="shared" si="9"/>
        <v>0</v>
      </c>
    </row>
    <row r="186" spans="1:9">
      <c r="A186" t="str">
        <f t="shared" si="10"/>
        <v>ANG</v>
      </c>
      <c r="B186" t="str">
        <f>"65800000"</f>
        <v>65800000</v>
      </c>
      <c r="C186" t="str">
        <f t="shared" si="8"/>
        <v>ANG658000000</v>
      </c>
      <c r="E186">
        <v>2121.6999999999998</v>
      </c>
      <c r="F186">
        <v>0</v>
      </c>
      <c r="G186">
        <f t="shared" si="9"/>
        <v>2121.6999999999998</v>
      </c>
    </row>
    <row r="187" spans="1:9">
      <c r="A187" t="str">
        <f t="shared" si="10"/>
        <v>ANG</v>
      </c>
      <c r="B187" t="str">
        <f>"66161000"</f>
        <v>66161000</v>
      </c>
      <c r="C187" t="str">
        <f t="shared" si="8"/>
        <v>ANG661610000</v>
      </c>
      <c r="E187">
        <v>312.06</v>
      </c>
      <c r="F187">
        <v>0</v>
      </c>
      <c r="G187">
        <f t="shared" si="9"/>
        <v>312.06</v>
      </c>
    </row>
    <row r="188" spans="1:9">
      <c r="A188" t="str">
        <f t="shared" si="10"/>
        <v>ANG</v>
      </c>
      <c r="B188" t="str">
        <f>"66500000"</f>
        <v>66500000</v>
      </c>
      <c r="C188" t="str">
        <f t="shared" si="8"/>
        <v>ANG665000000</v>
      </c>
      <c r="E188">
        <v>1997.88</v>
      </c>
      <c r="F188">
        <v>0</v>
      </c>
      <c r="G188">
        <f t="shared" si="9"/>
        <v>1997.88</v>
      </c>
    </row>
    <row r="189" spans="1:9">
      <c r="A189" t="str">
        <f t="shared" si="10"/>
        <v>ANG</v>
      </c>
      <c r="B189" t="str">
        <f>"66510000"</f>
        <v>66510000</v>
      </c>
      <c r="C189" t="str">
        <f t="shared" si="8"/>
        <v>ANG665100000</v>
      </c>
      <c r="E189">
        <v>60.56</v>
      </c>
      <c r="F189">
        <v>0</v>
      </c>
      <c r="G189">
        <f t="shared" si="9"/>
        <v>60.56</v>
      </c>
    </row>
    <row r="190" spans="1:9">
      <c r="A190" t="str">
        <f t="shared" si="10"/>
        <v>ANG</v>
      </c>
      <c r="B190" t="str">
        <f>"67180000"</f>
        <v>67180000</v>
      </c>
      <c r="C190" t="str">
        <f t="shared" si="8"/>
        <v>ANG671800000</v>
      </c>
      <c r="E190">
        <v>239.31</v>
      </c>
      <c r="F190">
        <v>0</v>
      </c>
      <c r="G190">
        <f t="shared" si="9"/>
        <v>239.31</v>
      </c>
    </row>
    <row r="191" spans="1:9">
      <c r="A191" t="str">
        <f t="shared" si="10"/>
        <v>ANG</v>
      </c>
      <c r="B191" t="str">
        <f>"68112000"</f>
        <v>68112000</v>
      </c>
      <c r="C191" t="str">
        <f t="shared" si="8"/>
        <v>ANG681120000</v>
      </c>
      <c r="E191">
        <v>10401.540000000001</v>
      </c>
      <c r="F191">
        <v>0</v>
      </c>
      <c r="G191">
        <f t="shared" si="9"/>
        <v>10401.540000000001</v>
      </c>
    </row>
    <row r="192" spans="1:9">
      <c r="A192" t="str">
        <f t="shared" si="10"/>
        <v>ANG</v>
      </c>
      <c r="B192" t="str">
        <f>"68173000"</f>
        <v>68173000</v>
      </c>
      <c r="C192" t="str">
        <f t="shared" si="8"/>
        <v>ANG681730000</v>
      </c>
      <c r="E192">
        <v>7452.48</v>
      </c>
      <c r="F192">
        <v>0</v>
      </c>
      <c r="G192">
        <f t="shared" si="9"/>
        <v>7452.48</v>
      </c>
    </row>
    <row r="193" spans="1:7">
      <c r="A193" t="str">
        <f t="shared" si="10"/>
        <v>ANG</v>
      </c>
      <c r="B193" t="str">
        <f>"68174000"</f>
        <v>68174000</v>
      </c>
      <c r="C193" t="str">
        <f t="shared" si="8"/>
        <v>ANG681740000</v>
      </c>
      <c r="E193">
        <v>1763.08</v>
      </c>
      <c r="F193">
        <v>0</v>
      </c>
      <c r="G193">
        <f t="shared" si="9"/>
        <v>1763.08</v>
      </c>
    </row>
    <row r="194" spans="1:7">
      <c r="A194" t="str">
        <f t="shared" si="10"/>
        <v>ANG</v>
      </c>
      <c r="B194" t="str">
        <f>"68725000"</f>
        <v>68725000</v>
      </c>
      <c r="C194" t="str">
        <f t="shared" si="8"/>
        <v>ANG687250000</v>
      </c>
      <c r="E194">
        <v>840.09</v>
      </c>
      <c r="F194">
        <v>0</v>
      </c>
      <c r="G194">
        <f t="shared" si="9"/>
        <v>840.09</v>
      </c>
    </row>
    <row r="195" spans="1:7">
      <c r="A195" t="str">
        <f t="shared" ref="A195:A255" si="11">"BET"</f>
        <v>BET</v>
      </c>
      <c r="B195" t="str">
        <f>"60222000"</f>
        <v>60222000</v>
      </c>
      <c r="C195" t="str">
        <f t="shared" ref="C195:C258" si="12">+A195&amp;B195*10</f>
        <v>BET602220000</v>
      </c>
      <c r="E195">
        <v>4.1500000000000004</v>
      </c>
      <c r="F195">
        <v>0</v>
      </c>
      <c r="G195">
        <f t="shared" ref="G195:G258" si="13">+E195-F195</f>
        <v>4.1500000000000004</v>
      </c>
    </row>
    <row r="196" spans="1:7">
      <c r="A196" t="str">
        <f t="shared" si="11"/>
        <v>BET</v>
      </c>
      <c r="B196" t="str">
        <f>"60610000"</f>
        <v>60610000</v>
      </c>
      <c r="C196" t="str">
        <f t="shared" si="12"/>
        <v>BET606100000</v>
      </c>
      <c r="E196">
        <v>1051.33</v>
      </c>
      <c r="F196">
        <v>0</v>
      </c>
      <c r="G196">
        <f t="shared" si="13"/>
        <v>1051.33</v>
      </c>
    </row>
    <row r="197" spans="1:7">
      <c r="A197" t="str">
        <f t="shared" si="11"/>
        <v>BET</v>
      </c>
      <c r="B197" t="str">
        <f>"60611000"</f>
        <v>60611000</v>
      </c>
      <c r="C197" t="str">
        <f t="shared" si="12"/>
        <v>BET606110000</v>
      </c>
      <c r="E197">
        <v>723.53</v>
      </c>
      <c r="F197">
        <v>0</v>
      </c>
      <c r="G197">
        <f t="shared" si="13"/>
        <v>723.53</v>
      </c>
    </row>
    <row r="198" spans="1:7">
      <c r="A198" t="str">
        <f t="shared" si="11"/>
        <v>BET</v>
      </c>
      <c r="B198" t="str">
        <f>"60613000"</f>
        <v>60613000</v>
      </c>
      <c r="C198" t="str">
        <f t="shared" si="12"/>
        <v>BET606130000</v>
      </c>
      <c r="E198">
        <v>359.04</v>
      </c>
      <c r="F198">
        <v>0</v>
      </c>
      <c r="G198">
        <f t="shared" si="13"/>
        <v>359.04</v>
      </c>
    </row>
    <row r="199" spans="1:7">
      <c r="A199" t="str">
        <f t="shared" si="11"/>
        <v>BET</v>
      </c>
      <c r="B199" t="str">
        <f>"60641000"</f>
        <v>60641000</v>
      </c>
      <c r="C199" t="str">
        <f t="shared" si="12"/>
        <v>BET606410000</v>
      </c>
      <c r="E199">
        <v>1139.18</v>
      </c>
      <c r="F199">
        <v>0</v>
      </c>
      <c r="G199">
        <f t="shared" si="13"/>
        <v>1139.18</v>
      </c>
    </row>
    <row r="200" spans="1:7">
      <c r="A200" t="str">
        <f t="shared" si="11"/>
        <v>BET</v>
      </c>
      <c r="B200" t="str">
        <f>"60710000"</f>
        <v>60710000</v>
      </c>
      <c r="C200" t="str">
        <f t="shared" si="12"/>
        <v>BET607100000</v>
      </c>
      <c r="E200">
        <v>45408.67</v>
      </c>
      <c r="F200">
        <v>0</v>
      </c>
      <c r="G200">
        <f t="shared" si="13"/>
        <v>45408.67</v>
      </c>
    </row>
    <row r="201" spans="1:7">
      <c r="A201" t="str">
        <f t="shared" si="11"/>
        <v>BET</v>
      </c>
      <c r="B201" t="str">
        <f>"60711000"</f>
        <v>60711000</v>
      </c>
      <c r="C201" t="str">
        <f t="shared" si="12"/>
        <v>BET607110000</v>
      </c>
      <c r="E201">
        <v>997.39</v>
      </c>
      <c r="F201">
        <v>0</v>
      </c>
      <c r="G201">
        <f t="shared" si="13"/>
        <v>997.39</v>
      </c>
    </row>
    <row r="202" spans="1:7">
      <c r="A202" t="str">
        <f t="shared" si="11"/>
        <v>BET</v>
      </c>
      <c r="B202" t="str">
        <f>"60713000"</f>
        <v>60713000</v>
      </c>
      <c r="C202" t="str">
        <f t="shared" si="12"/>
        <v>BET607130000</v>
      </c>
      <c r="E202">
        <v>45692</v>
      </c>
      <c r="F202">
        <v>0</v>
      </c>
      <c r="G202">
        <f t="shared" si="13"/>
        <v>45692</v>
      </c>
    </row>
    <row r="203" spans="1:7">
      <c r="A203" t="str">
        <f t="shared" si="11"/>
        <v>BET</v>
      </c>
      <c r="B203" t="str">
        <f>"60714000"</f>
        <v>60714000</v>
      </c>
      <c r="C203" t="str">
        <f t="shared" si="12"/>
        <v>BET607140000</v>
      </c>
      <c r="E203">
        <v>-21002</v>
      </c>
      <c r="F203">
        <v>0</v>
      </c>
      <c r="G203">
        <f t="shared" si="13"/>
        <v>-21002</v>
      </c>
    </row>
    <row r="204" spans="1:7">
      <c r="A204" t="str">
        <f t="shared" si="11"/>
        <v>BET</v>
      </c>
      <c r="B204" t="str">
        <f>"60720000"</f>
        <v>60720000</v>
      </c>
      <c r="C204" t="str">
        <f t="shared" si="12"/>
        <v>BET607200000</v>
      </c>
      <c r="E204">
        <v>118173.25</v>
      </c>
      <c r="F204">
        <v>0</v>
      </c>
      <c r="G204">
        <f t="shared" si="13"/>
        <v>118173.25</v>
      </c>
    </row>
    <row r="205" spans="1:7">
      <c r="A205" t="str">
        <f t="shared" si="11"/>
        <v>BET</v>
      </c>
      <c r="B205" t="str">
        <f>"60740000"</f>
        <v>60740000</v>
      </c>
      <c r="C205" t="str">
        <f t="shared" si="12"/>
        <v>BET607400000</v>
      </c>
      <c r="E205">
        <v>2692.39</v>
      </c>
      <c r="F205">
        <v>0</v>
      </c>
      <c r="G205">
        <f t="shared" si="13"/>
        <v>2692.39</v>
      </c>
    </row>
    <row r="206" spans="1:7">
      <c r="A206" t="str">
        <f t="shared" si="11"/>
        <v>BET</v>
      </c>
      <c r="B206" t="str">
        <f>"60800000"</f>
        <v>60800000</v>
      </c>
      <c r="C206" t="str">
        <f t="shared" si="12"/>
        <v>BET608000000</v>
      </c>
      <c r="E206">
        <v>953.84</v>
      </c>
      <c r="F206">
        <v>0</v>
      </c>
      <c r="G206">
        <f t="shared" si="13"/>
        <v>953.84</v>
      </c>
    </row>
    <row r="207" spans="1:7">
      <c r="A207" t="str">
        <f t="shared" si="11"/>
        <v>BET</v>
      </c>
      <c r="B207" t="str">
        <f>"60911000"</f>
        <v>60911000</v>
      </c>
      <c r="C207" t="str">
        <f t="shared" si="12"/>
        <v>BET609110000</v>
      </c>
      <c r="E207">
        <v>-2723.86</v>
      </c>
      <c r="F207">
        <v>0</v>
      </c>
      <c r="G207">
        <f t="shared" si="13"/>
        <v>-2723.86</v>
      </c>
    </row>
    <row r="208" spans="1:7">
      <c r="A208" t="str">
        <f t="shared" si="11"/>
        <v>BET</v>
      </c>
      <c r="B208" t="str">
        <f>"60912000"</f>
        <v>60912000</v>
      </c>
      <c r="C208" t="str">
        <f t="shared" si="12"/>
        <v>BET609120000</v>
      </c>
      <c r="E208">
        <v>-8128.66</v>
      </c>
      <c r="F208">
        <v>0</v>
      </c>
      <c r="G208">
        <f t="shared" si="13"/>
        <v>-8128.66</v>
      </c>
    </row>
    <row r="209" spans="1:7">
      <c r="A209" t="str">
        <f t="shared" si="11"/>
        <v>BET</v>
      </c>
      <c r="B209" t="str">
        <f>"60913000"</f>
        <v>60913000</v>
      </c>
      <c r="C209" t="str">
        <f t="shared" si="12"/>
        <v>BET609130000</v>
      </c>
      <c r="E209">
        <v>-4644.9399999999996</v>
      </c>
      <c r="F209">
        <v>0</v>
      </c>
      <c r="G209">
        <f t="shared" si="13"/>
        <v>-4644.9399999999996</v>
      </c>
    </row>
    <row r="210" spans="1:7">
      <c r="A210" t="str">
        <f t="shared" si="11"/>
        <v>BET</v>
      </c>
      <c r="B210" t="str">
        <f>"61320000"</f>
        <v>61320000</v>
      </c>
      <c r="C210" t="str">
        <f t="shared" si="12"/>
        <v>BET613200000</v>
      </c>
      <c r="E210">
        <v>22655.7</v>
      </c>
      <c r="F210">
        <v>0</v>
      </c>
      <c r="G210">
        <f t="shared" si="13"/>
        <v>22655.7</v>
      </c>
    </row>
    <row r="211" spans="1:7">
      <c r="A211" t="str">
        <f t="shared" si="11"/>
        <v>BET</v>
      </c>
      <c r="B211" t="str">
        <f>"61352000"</f>
        <v>61352000</v>
      </c>
      <c r="C211" t="str">
        <f t="shared" si="12"/>
        <v>BET613520000</v>
      </c>
      <c r="E211">
        <v>247.51</v>
      </c>
      <c r="F211">
        <v>0</v>
      </c>
      <c r="G211">
        <f t="shared" si="13"/>
        <v>247.51</v>
      </c>
    </row>
    <row r="212" spans="1:7">
      <c r="A212" t="str">
        <f t="shared" si="11"/>
        <v>BET</v>
      </c>
      <c r="B212" t="str">
        <f>"61353000"</f>
        <v>61353000</v>
      </c>
      <c r="C212" t="str">
        <f t="shared" si="12"/>
        <v>BET613530000</v>
      </c>
      <c r="E212">
        <v>180</v>
      </c>
      <c r="F212">
        <v>0</v>
      </c>
      <c r="G212">
        <f t="shared" si="13"/>
        <v>180</v>
      </c>
    </row>
    <row r="213" spans="1:7">
      <c r="A213" t="str">
        <f t="shared" si="11"/>
        <v>BET</v>
      </c>
      <c r="B213" t="str">
        <f>"61520000"</f>
        <v>61520000</v>
      </c>
      <c r="C213" t="str">
        <f t="shared" si="12"/>
        <v>BET615200000</v>
      </c>
      <c r="E213">
        <v>190</v>
      </c>
      <c r="F213">
        <v>0</v>
      </c>
      <c r="G213">
        <f t="shared" si="13"/>
        <v>190</v>
      </c>
    </row>
    <row r="214" spans="1:7">
      <c r="A214" t="str">
        <f t="shared" si="11"/>
        <v>BET</v>
      </c>
      <c r="B214" t="str">
        <f>"61550000"</f>
        <v>61550000</v>
      </c>
      <c r="C214" t="str">
        <f t="shared" si="12"/>
        <v>BET615500000</v>
      </c>
      <c r="E214">
        <v>755.95</v>
      </c>
      <c r="F214">
        <v>11.2</v>
      </c>
      <c r="G214">
        <f t="shared" si="13"/>
        <v>744.75</v>
      </c>
    </row>
    <row r="215" spans="1:7">
      <c r="A215" t="str">
        <f t="shared" si="11"/>
        <v>BET</v>
      </c>
      <c r="B215" t="str">
        <f>"61551000"</f>
        <v>61551000</v>
      </c>
      <c r="C215" t="str">
        <f t="shared" si="12"/>
        <v>BET615510000</v>
      </c>
      <c r="E215">
        <v>308.83999999999997</v>
      </c>
      <c r="F215">
        <v>0</v>
      </c>
      <c r="G215">
        <f t="shared" si="13"/>
        <v>308.83999999999997</v>
      </c>
    </row>
    <row r="216" spans="1:7">
      <c r="A216" t="str">
        <f t="shared" si="11"/>
        <v>BET</v>
      </c>
      <c r="B216" t="str">
        <f>"61552000"</f>
        <v>61552000</v>
      </c>
      <c r="C216" t="str">
        <f t="shared" si="12"/>
        <v>BET615520000</v>
      </c>
      <c r="E216">
        <v>57.63</v>
      </c>
      <c r="F216">
        <v>0</v>
      </c>
      <c r="G216">
        <f t="shared" si="13"/>
        <v>57.63</v>
      </c>
    </row>
    <row r="217" spans="1:7">
      <c r="A217" t="str">
        <f t="shared" si="11"/>
        <v>BET</v>
      </c>
      <c r="B217" t="str">
        <f>"61612000"</f>
        <v>61612000</v>
      </c>
      <c r="C217" t="str">
        <f t="shared" si="12"/>
        <v>BET616120000</v>
      </c>
      <c r="E217">
        <v>525.82000000000005</v>
      </c>
      <c r="F217">
        <v>0</v>
      </c>
      <c r="G217">
        <f t="shared" si="13"/>
        <v>525.82000000000005</v>
      </c>
    </row>
    <row r="218" spans="1:7">
      <c r="A218" t="str">
        <f t="shared" si="11"/>
        <v>BET</v>
      </c>
      <c r="B218" t="str">
        <f>"61613000"</f>
        <v>61613000</v>
      </c>
      <c r="C218" t="str">
        <f t="shared" si="12"/>
        <v>BET616130000</v>
      </c>
      <c r="E218">
        <v>2296.0300000000002</v>
      </c>
      <c r="F218">
        <v>0</v>
      </c>
      <c r="G218">
        <f t="shared" si="13"/>
        <v>2296.0300000000002</v>
      </c>
    </row>
    <row r="219" spans="1:7">
      <c r="A219" t="str">
        <f t="shared" si="11"/>
        <v>BET</v>
      </c>
      <c r="B219" t="str">
        <f>"61810000"</f>
        <v>61810000</v>
      </c>
      <c r="C219" t="str">
        <f t="shared" si="12"/>
        <v>BET618100000</v>
      </c>
      <c r="E219">
        <v>204.8</v>
      </c>
      <c r="F219">
        <v>0</v>
      </c>
      <c r="G219">
        <f t="shared" si="13"/>
        <v>204.8</v>
      </c>
    </row>
    <row r="220" spans="1:7">
      <c r="A220" t="str">
        <f t="shared" si="11"/>
        <v>BET</v>
      </c>
      <c r="B220" t="str">
        <f>"61850000"</f>
        <v>61850000</v>
      </c>
      <c r="C220" t="str">
        <f t="shared" si="12"/>
        <v>BET618500000</v>
      </c>
      <c r="E220">
        <v>21.7</v>
      </c>
      <c r="F220">
        <v>0</v>
      </c>
      <c r="G220">
        <f t="shared" si="13"/>
        <v>21.7</v>
      </c>
    </row>
    <row r="221" spans="1:7">
      <c r="A221" t="str">
        <f t="shared" si="11"/>
        <v>BET</v>
      </c>
      <c r="B221" t="str">
        <f>"62270000"</f>
        <v>62270000</v>
      </c>
      <c r="C221" t="str">
        <f t="shared" si="12"/>
        <v>BET622700000</v>
      </c>
      <c r="E221">
        <v>274.98</v>
      </c>
      <c r="F221">
        <v>0</v>
      </c>
      <c r="G221">
        <f t="shared" si="13"/>
        <v>274.98</v>
      </c>
    </row>
    <row r="222" spans="1:7">
      <c r="A222" t="str">
        <f t="shared" si="11"/>
        <v>BET</v>
      </c>
      <c r="B222" t="str">
        <f>"62310000"</f>
        <v>62310000</v>
      </c>
      <c r="C222" t="str">
        <f t="shared" si="12"/>
        <v>BET623100000</v>
      </c>
      <c r="E222">
        <v>774.3</v>
      </c>
      <c r="F222">
        <v>0</v>
      </c>
      <c r="G222">
        <f t="shared" si="13"/>
        <v>774.3</v>
      </c>
    </row>
    <row r="223" spans="1:7">
      <c r="A223" t="str">
        <f t="shared" si="11"/>
        <v>BET</v>
      </c>
      <c r="B223" t="str">
        <f>"62320000"</f>
        <v>62320000</v>
      </c>
      <c r="C223" t="str">
        <f t="shared" si="12"/>
        <v>BET623200000</v>
      </c>
      <c r="E223">
        <v>3820.4</v>
      </c>
      <c r="F223">
        <v>0</v>
      </c>
      <c r="G223">
        <f t="shared" si="13"/>
        <v>3820.4</v>
      </c>
    </row>
    <row r="224" spans="1:7">
      <c r="A224" t="str">
        <f t="shared" si="11"/>
        <v>BET</v>
      </c>
      <c r="B224" t="str">
        <f>"62330000"</f>
        <v>62330000</v>
      </c>
      <c r="C224" t="str">
        <f t="shared" si="12"/>
        <v>BET623300000</v>
      </c>
      <c r="E224">
        <v>130.91999999999999</v>
      </c>
      <c r="F224">
        <v>0</v>
      </c>
      <c r="G224">
        <f t="shared" si="13"/>
        <v>130.91999999999999</v>
      </c>
    </row>
    <row r="225" spans="1:9">
      <c r="A225" t="str">
        <f t="shared" si="11"/>
        <v>BET</v>
      </c>
      <c r="B225" t="str">
        <f>"62341000"</f>
        <v>62341000</v>
      </c>
      <c r="C225" t="str">
        <f t="shared" si="12"/>
        <v>BET623410000</v>
      </c>
      <c r="E225">
        <v>815.81</v>
      </c>
      <c r="F225">
        <v>0</v>
      </c>
      <c r="G225">
        <f t="shared" si="13"/>
        <v>815.81</v>
      </c>
      <c r="I225" s="353"/>
    </row>
    <row r="226" spans="1:9">
      <c r="A226" t="str">
        <f t="shared" si="11"/>
        <v>BET</v>
      </c>
      <c r="B226" t="str">
        <f>"62342000"</f>
        <v>62342000</v>
      </c>
      <c r="C226" t="str">
        <f t="shared" si="12"/>
        <v>BET623420000</v>
      </c>
      <c r="E226">
        <v>-27.23</v>
      </c>
      <c r="F226">
        <v>0</v>
      </c>
      <c r="G226">
        <f t="shared" si="13"/>
        <v>-27.23</v>
      </c>
    </row>
    <row r="227" spans="1:9">
      <c r="A227" t="str">
        <f t="shared" si="11"/>
        <v>BET</v>
      </c>
      <c r="B227" t="str">
        <f>"62370000"</f>
        <v>62370000</v>
      </c>
      <c r="C227" t="str">
        <f t="shared" si="12"/>
        <v>BET623700000</v>
      </c>
      <c r="E227">
        <v>514.19000000000005</v>
      </c>
      <c r="F227">
        <v>-221.9</v>
      </c>
      <c r="G227">
        <f t="shared" si="13"/>
        <v>736.09</v>
      </c>
    </row>
    <row r="228" spans="1:9">
      <c r="A228" t="str">
        <f t="shared" si="11"/>
        <v>BET</v>
      </c>
      <c r="B228" t="str">
        <f>"62380000"</f>
        <v>62380000</v>
      </c>
      <c r="C228" t="str">
        <f t="shared" si="12"/>
        <v>BET623800000</v>
      </c>
      <c r="E228">
        <v>20</v>
      </c>
      <c r="F228">
        <v>0</v>
      </c>
      <c r="G228">
        <f t="shared" si="13"/>
        <v>20</v>
      </c>
    </row>
    <row r="229" spans="1:9">
      <c r="A229" t="str">
        <f t="shared" si="11"/>
        <v>BET</v>
      </c>
      <c r="B229" t="str">
        <f>"62381000"</f>
        <v>62381000</v>
      </c>
      <c r="C229" t="str">
        <f t="shared" si="12"/>
        <v>BET623810000</v>
      </c>
      <c r="E229">
        <v>0</v>
      </c>
      <c r="F229">
        <v>0</v>
      </c>
      <c r="G229">
        <f t="shared" si="13"/>
        <v>0</v>
      </c>
    </row>
    <row r="230" spans="1:9">
      <c r="A230" t="str">
        <f t="shared" si="11"/>
        <v>BET</v>
      </c>
      <c r="B230" t="str">
        <f>"62420000"</f>
        <v>62420000</v>
      </c>
      <c r="C230" t="str">
        <f t="shared" si="12"/>
        <v>BET624200000</v>
      </c>
      <c r="E230">
        <v>1660.95</v>
      </c>
      <c r="F230">
        <v>0</v>
      </c>
      <c r="G230">
        <f t="shared" si="13"/>
        <v>1660.95</v>
      </c>
    </row>
    <row r="231" spans="1:9">
      <c r="A231" t="str">
        <f t="shared" si="11"/>
        <v>BET</v>
      </c>
      <c r="B231" t="str">
        <f>"62510000"</f>
        <v>62510000</v>
      </c>
      <c r="C231" t="str">
        <f t="shared" si="12"/>
        <v>BET625100000</v>
      </c>
      <c r="E231">
        <v>5605.98</v>
      </c>
      <c r="F231">
        <v>0</v>
      </c>
      <c r="G231">
        <f t="shared" si="13"/>
        <v>5605.98</v>
      </c>
    </row>
    <row r="232" spans="1:9">
      <c r="A232" t="str">
        <f t="shared" si="11"/>
        <v>BET</v>
      </c>
      <c r="B232" t="str">
        <f>"62520000"</f>
        <v>62520000</v>
      </c>
      <c r="C232" t="str">
        <f t="shared" si="12"/>
        <v>BET625200000</v>
      </c>
      <c r="E232">
        <v>116.47</v>
      </c>
      <c r="F232">
        <v>0</v>
      </c>
      <c r="G232">
        <f t="shared" si="13"/>
        <v>116.47</v>
      </c>
    </row>
    <row r="233" spans="1:9">
      <c r="A233" t="str">
        <f t="shared" si="11"/>
        <v>BET</v>
      </c>
      <c r="B233" t="str">
        <f>"62560000"</f>
        <v>62560000</v>
      </c>
      <c r="C233" t="str">
        <f t="shared" si="12"/>
        <v>BET625600000</v>
      </c>
      <c r="E233">
        <v>25.24</v>
      </c>
      <c r="F233">
        <v>0</v>
      </c>
      <c r="G233">
        <f t="shared" si="13"/>
        <v>25.24</v>
      </c>
    </row>
    <row r="234" spans="1:9">
      <c r="A234" t="str">
        <f t="shared" si="11"/>
        <v>BET</v>
      </c>
      <c r="B234" t="str">
        <f>"62570000"</f>
        <v>62570000</v>
      </c>
      <c r="C234" t="str">
        <f t="shared" si="12"/>
        <v>BET625700000</v>
      </c>
      <c r="E234">
        <v>306.08999999999997</v>
      </c>
      <c r="F234">
        <v>0</v>
      </c>
      <c r="G234">
        <f t="shared" si="13"/>
        <v>306.08999999999997</v>
      </c>
    </row>
    <row r="235" spans="1:9">
      <c r="A235" t="str">
        <f t="shared" si="11"/>
        <v>BET</v>
      </c>
      <c r="B235" t="str">
        <f>"62571000"</f>
        <v>62571000</v>
      </c>
      <c r="C235" t="str">
        <f t="shared" si="12"/>
        <v>BET625710000</v>
      </c>
      <c r="E235">
        <v>115.83</v>
      </c>
      <c r="F235">
        <v>0</v>
      </c>
      <c r="G235">
        <f t="shared" si="13"/>
        <v>115.83</v>
      </c>
    </row>
    <row r="236" spans="1:9">
      <c r="A236" t="str">
        <f t="shared" si="11"/>
        <v>BET</v>
      </c>
      <c r="B236" t="str">
        <f>"62600000"</f>
        <v>62600000</v>
      </c>
      <c r="C236" t="str">
        <f t="shared" si="12"/>
        <v>BET626000000</v>
      </c>
      <c r="E236">
        <v>5100.32</v>
      </c>
      <c r="F236">
        <v>0</v>
      </c>
      <c r="G236">
        <f t="shared" si="13"/>
        <v>5100.32</v>
      </c>
    </row>
    <row r="237" spans="1:9">
      <c r="A237" t="str">
        <f t="shared" si="11"/>
        <v>BET</v>
      </c>
      <c r="B237" t="str">
        <f>"62610000"</f>
        <v>62610000</v>
      </c>
      <c r="C237" t="str">
        <f t="shared" si="12"/>
        <v>BET626100000</v>
      </c>
      <c r="E237">
        <v>509.2</v>
      </c>
      <c r="F237">
        <v>0</v>
      </c>
      <c r="G237">
        <f t="shared" si="13"/>
        <v>509.2</v>
      </c>
    </row>
    <row r="238" spans="1:9">
      <c r="A238" t="str">
        <f t="shared" si="11"/>
        <v>BET</v>
      </c>
      <c r="B238" t="str">
        <f>"62752000"</f>
        <v>62752000</v>
      </c>
      <c r="C238" t="str">
        <f t="shared" si="12"/>
        <v>BET627520000</v>
      </c>
      <c r="E238">
        <v>33.6</v>
      </c>
      <c r="F238">
        <v>0</v>
      </c>
      <c r="G238">
        <f t="shared" si="13"/>
        <v>33.6</v>
      </c>
    </row>
    <row r="239" spans="1:9">
      <c r="A239" t="str">
        <f t="shared" si="11"/>
        <v>BET</v>
      </c>
      <c r="B239" t="str">
        <f>"63330000"</f>
        <v>63330000</v>
      </c>
      <c r="C239" t="str">
        <f t="shared" si="12"/>
        <v>BET633300000</v>
      </c>
      <c r="E239">
        <v>200</v>
      </c>
      <c r="F239">
        <v>0</v>
      </c>
      <c r="G239">
        <f t="shared" si="13"/>
        <v>200</v>
      </c>
    </row>
    <row r="240" spans="1:9">
      <c r="A240" t="str">
        <f t="shared" si="11"/>
        <v>BET</v>
      </c>
      <c r="B240" t="str">
        <f>"63340000"</f>
        <v>63340000</v>
      </c>
      <c r="C240" t="str">
        <f t="shared" si="12"/>
        <v>BET633400000</v>
      </c>
      <c r="E240">
        <v>110</v>
      </c>
      <c r="F240">
        <v>0</v>
      </c>
      <c r="G240">
        <f t="shared" si="13"/>
        <v>110</v>
      </c>
    </row>
    <row r="241" spans="1:9">
      <c r="A241" t="str">
        <f t="shared" si="11"/>
        <v>BET</v>
      </c>
      <c r="B241" t="str">
        <f>"63350000"</f>
        <v>63350000</v>
      </c>
      <c r="C241" t="str">
        <f t="shared" si="12"/>
        <v>BET633500000</v>
      </c>
      <c r="E241">
        <v>166</v>
      </c>
      <c r="F241">
        <v>0</v>
      </c>
      <c r="G241">
        <f t="shared" si="13"/>
        <v>166</v>
      </c>
    </row>
    <row r="242" spans="1:9">
      <c r="A242" t="str">
        <f t="shared" si="11"/>
        <v>BET</v>
      </c>
      <c r="B242" t="str">
        <f>"63511000"</f>
        <v>63511000</v>
      </c>
      <c r="C242" t="str">
        <f t="shared" si="12"/>
        <v>BET635110000</v>
      </c>
      <c r="E242">
        <v>3781</v>
      </c>
      <c r="F242">
        <v>0</v>
      </c>
      <c r="G242">
        <f t="shared" si="13"/>
        <v>3781</v>
      </c>
    </row>
    <row r="243" spans="1:9">
      <c r="A243" t="str">
        <f t="shared" si="11"/>
        <v>BET</v>
      </c>
      <c r="B243" t="str">
        <f>"63512000"</f>
        <v>63512000</v>
      </c>
      <c r="C243" t="str">
        <f t="shared" si="12"/>
        <v>BET635120000</v>
      </c>
      <c r="E243">
        <v>1364.92</v>
      </c>
      <c r="F243">
        <v>0</v>
      </c>
      <c r="G243">
        <f t="shared" si="13"/>
        <v>1364.92</v>
      </c>
    </row>
    <row r="244" spans="1:9">
      <c r="A244" t="str">
        <f t="shared" si="11"/>
        <v>BET</v>
      </c>
      <c r="B244" t="str">
        <f>"63710000"</f>
        <v>63710000</v>
      </c>
      <c r="C244" t="str">
        <f t="shared" si="12"/>
        <v>BET637100000</v>
      </c>
      <c r="E244">
        <v>490.72</v>
      </c>
      <c r="F244">
        <v>0</v>
      </c>
      <c r="G244">
        <f t="shared" si="13"/>
        <v>490.72</v>
      </c>
    </row>
    <row r="245" spans="1:9">
      <c r="A245" t="str">
        <f t="shared" si="11"/>
        <v>BET</v>
      </c>
      <c r="B245" t="str">
        <f>"64110000"</f>
        <v>64110000</v>
      </c>
      <c r="C245" t="str">
        <f t="shared" si="12"/>
        <v>BET641100000</v>
      </c>
      <c r="E245">
        <v>47963.41</v>
      </c>
      <c r="F245">
        <v>0</v>
      </c>
      <c r="G245">
        <f t="shared" si="13"/>
        <v>47963.41</v>
      </c>
    </row>
    <row r="246" spans="1:9">
      <c r="A246" t="str">
        <f t="shared" si="11"/>
        <v>BET</v>
      </c>
      <c r="B246" t="str">
        <f>"64111000"</f>
        <v>64111000</v>
      </c>
      <c r="C246" t="str">
        <f t="shared" si="12"/>
        <v>BET641110000</v>
      </c>
      <c r="E246">
        <v>0</v>
      </c>
      <c r="F246">
        <v>0</v>
      </c>
      <c r="G246">
        <f t="shared" si="13"/>
        <v>0</v>
      </c>
    </row>
    <row r="247" spans="1:9">
      <c r="A247" t="str">
        <f t="shared" si="11"/>
        <v>BET</v>
      </c>
      <c r="B247" t="str">
        <f>"64120000"</f>
        <v>64120000</v>
      </c>
      <c r="C247" t="str">
        <f t="shared" si="12"/>
        <v>BET641200000</v>
      </c>
      <c r="E247">
        <v>7706.93</v>
      </c>
      <c r="F247">
        <v>7634.39</v>
      </c>
      <c r="G247">
        <f t="shared" si="13"/>
        <v>72.539999999999964</v>
      </c>
    </row>
    <row r="248" spans="1:9">
      <c r="A248" t="str">
        <f t="shared" si="11"/>
        <v>BET</v>
      </c>
      <c r="B248" t="str">
        <f>"64121000"</f>
        <v>64121000</v>
      </c>
      <c r="C248" t="str">
        <f t="shared" si="12"/>
        <v>BET641210000</v>
      </c>
      <c r="E248">
        <v>3492.78</v>
      </c>
      <c r="F248">
        <v>3302.64</v>
      </c>
      <c r="G248">
        <f t="shared" si="13"/>
        <v>190.14000000000033</v>
      </c>
    </row>
    <row r="249" spans="1:9">
      <c r="A249" t="str">
        <f t="shared" si="11"/>
        <v>BET</v>
      </c>
      <c r="B249" t="str">
        <f>"64510000"</f>
        <v>64510000</v>
      </c>
      <c r="C249" t="str">
        <f t="shared" si="12"/>
        <v>BET645100000</v>
      </c>
      <c r="E249">
        <v>16627.689999999999</v>
      </c>
      <c r="F249">
        <v>0</v>
      </c>
      <c r="G249">
        <f t="shared" si="13"/>
        <v>16627.689999999999</v>
      </c>
    </row>
    <row r="250" spans="1:9">
      <c r="A250" t="str">
        <f t="shared" si="11"/>
        <v>BET</v>
      </c>
      <c r="B250" t="str">
        <f>"64520000"</f>
        <v>64520000</v>
      </c>
      <c r="C250" t="str">
        <f t="shared" si="12"/>
        <v>BET645200000</v>
      </c>
      <c r="E250">
        <v>1029.1199999999999</v>
      </c>
      <c r="F250">
        <v>0</v>
      </c>
      <c r="G250">
        <f t="shared" si="13"/>
        <v>1029.1199999999999</v>
      </c>
    </row>
    <row r="251" spans="1:9">
      <c r="A251" t="str">
        <f t="shared" si="11"/>
        <v>BET</v>
      </c>
      <c r="B251" t="str">
        <f>"64530000"</f>
        <v>64530000</v>
      </c>
      <c r="C251" t="str">
        <f t="shared" si="12"/>
        <v>BET645300000</v>
      </c>
      <c r="E251">
        <v>1866.72</v>
      </c>
      <c r="F251">
        <v>0</v>
      </c>
      <c r="G251">
        <f t="shared" si="13"/>
        <v>1866.72</v>
      </c>
    </row>
    <row r="252" spans="1:9">
      <c r="A252" t="str">
        <f t="shared" si="11"/>
        <v>BET</v>
      </c>
      <c r="B252" t="str">
        <f>"64540000"</f>
        <v>64540000</v>
      </c>
      <c r="C252" t="str">
        <f t="shared" si="12"/>
        <v>BET645400000</v>
      </c>
      <c r="E252">
        <v>1038.3599999999999</v>
      </c>
      <c r="F252">
        <v>0</v>
      </c>
      <c r="G252">
        <f t="shared" si="13"/>
        <v>1038.3599999999999</v>
      </c>
    </row>
    <row r="253" spans="1:9">
      <c r="A253" t="str">
        <f t="shared" si="11"/>
        <v>BET</v>
      </c>
      <c r="B253" t="str">
        <f>"64590000"</f>
        <v>64590000</v>
      </c>
      <c r="C253" t="str">
        <f t="shared" si="12"/>
        <v>BET645900000</v>
      </c>
      <c r="E253">
        <v>0</v>
      </c>
      <c r="F253">
        <v>0</v>
      </c>
      <c r="G253">
        <f t="shared" si="13"/>
        <v>0</v>
      </c>
    </row>
    <row r="254" spans="1:9">
      <c r="A254" t="str">
        <f t="shared" si="11"/>
        <v>BET</v>
      </c>
      <c r="B254" t="str">
        <f>"64710000"</f>
        <v>64710000</v>
      </c>
      <c r="C254" t="str">
        <f t="shared" si="12"/>
        <v>BET647100000</v>
      </c>
      <c r="E254">
        <v>39.6</v>
      </c>
      <c r="F254">
        <v>0</v>
      </c>
      <c r="G254">
        <f t="shared" si="13"/>
        <v>39.6</v>
      </c>
    </row>
    <row r="255" spans="1:9">
      <c r="A255" t="str">
        <f t="shared" si="11"/>
        <v>BET</v>
      </c>
      <c r="B255" t="str">
        <f>"64750000"</f>
        <v>64750000</v>
      </c>
      <c r="C255" t="str">
        <f t="shared" si="12"/>
        <v>BET647500000</v>
      </c>
      <c r="E255">
        <v>125.32</v>
      </c>
      <c r="F255">
        <v>0</v>
      </c>
      <c r="G255">
        <f t="shared" si="13"/>
        <v>125.32</v>
      </c>
    </row>
    <row r="256" spans="1:9">
      <c r="A256" t="s">
        <v>26</v>
      </c>
      <c r="B256" t="str">
        <f>"64800000"</f>
        <v>64800000</v>
      </c>
      <c r="C256" t="str">
        <f t="shared" si="12"/>
        <v>BET648000000</v>
      </c>
      <c r="E256" s="19">
        <v>527.04392000000007</v>
      </c>
      <c r="G256" s="19">
        <f t="shared" si="13"/>
        <v>527.04392000000007</v>
      </c>
      <c r="H256" s="433">
        <v>527.04392000000007</v>
      </c>
      <c r="I256" s="113" t="s">
        <v>26</v>
      </c>
    </row>
    <row r="257" spans="1:7">
      <c r="A257" t="str">
        <f t="shared" ref="A257:A266" si="14">"BET"</f>
        <v>BET</v>
      </c>
      <c r="B257" t="str">
        <f>"65410000"</f>
        <v>65410000</v>
      </c>
      <c r="C257" t="str">
        <f t="shared" si="12"/>
        <v>BET654100000</v>
      </c>
      <c r="E257">
        <v>0.67</v>
      </c>
      <c r="F257">
        <v>0.03</v>
      </c>
      <c r="G257">
        <f t="shared" si="13"/>
        <v>0.64</v>
      </c>
    </row>
    <row r="258" spans="1:7">
      <c r="A258" t="str">
        <f t="shared" si="14"/>
        <v>BET</v>
      </c>
      <c r="B258" t="str">
        <f>"65440000"</f>
        <v>65440000</v>
      </c>
      <c r="C258" t="str">
        <f t="shared" si="12"/>
        <v>BET654400000</v>
      </c>
      <c r="E258">
        <v>0</v>
      </c>
      <c r="F258">
        <v>0</v>
      </c>
      <c r="G258">
        <f t="shared" si="13"/>
        <v>0</v>
      </c>
    </row>
    <row r="259" spans="1:7">
      <c r="A259" t="str">
        <f t="shared" si="14"/>
        <v>BET</v>
      </c>
      <c r="B259" t="str">
        <f>"65800000"</f>
        <v>65800000</v>
      </c>
      <c r="C259" t="str">
        <f t="shared" ref="C259:C322" si="15">+A259&amp;B259*10</f>
        <v>BET658000000</v>
      </c>
      <c r="E259">
        <v>6207.26</v>
      </c>
      <c r="F259">
        <v>0</v>
      </c>
      <c r="G259">
        <f t="shared" ref="G259:G322" si="16">+E259-F259</f>
        <v>6207.26</v>
      </c>
    </row>
    <row r="260" spans="1:7">
      <c r="A260" t="str">
        <f t="shared" si="14"/>
        <v>BET</v>
      </c>
      <c r="B260" t="str">
        <f>"66500000"</f>
        <v>66500000</v>
      </c>
      <c r="C260" t="str">
        <f t="shared" si="15"/>
        <v>BET665000000</v>
      </c>
      <c r="E260">
        <v>18.18</v>
      </c>
      <c r="F260">
        <v>0</v>
      </c>
      <c r="G260">
        <f t="shared" si="16"/>
        <v>18.18</v>
      </c>
    </row>
    <row r="261" spans="1:7">
      <c r="A261" t="str">
        <f t="shared" si="14"/>
        <v>BET</v>
      </c>
      <c r="B261" t="str">
        <f>"67180000"</f>
        <v>67180000</v>
      </c>
      <c r="C261" t="str">
        <f t="shared" si="15"/>
        <v>BET671800000</v>
      </c>
      <c r="E261">
        <v>0</v>
      </c>
      <c r="F261">
        <v>0</v>
      </c>
      <c r="G261">
        <f t="shared" si="16"/>
        <v>0</v>
      </c>
    </row>
    <row r="262" spans="1:7">
      <c r="A262" t="str">
        <f t="shared" si="14"/>
        <v>BET</v>
      </c>
      <c r="B262" t="str">
        <f>"67520000"</f>
        <v>67520000</v>
      </c>
      <c r="C262" t="str">
        <f t="shared" si="15"/>
        <v>BET675200000</v>
      </c>
      <c r="E262">
        <v>308.54000000000002</v>
      </c>
      <c r="F262">
        <v>0</v>
      </c>
      <c r="G262">
        <f t="shared" si="16"/>
        <v>308.54000000000002</v>
      </c>
    </row>
    <row r="263" spans="1:7">
      <c r="A263" t="str">
        <f t="shared" si="14"/>
        <v>BET</v>
      </c>
      <c r="B263" t="str">
        <f>"68112000"</f>
        <v>68112000</v>
      </c>
      <c r="C263" t="str">
        <f t="shared" si="15"/>
        <v>BET681120000</v>
      </c>
      <c r="E263">
        <v>5714.44</v>
      </c>
      <c r="F263">
        <v>0</v>
      </c>
      <c r="G263">
        <f t="shared" si="16"/>
        <v>5714.44</v>
      </c>
    </row>
    <row r="264" spans="1:7">
      <c r="A264" t="str">
        <f t="shared" si="14"/>
        <v>BET</v>
      </c>
      <c r="B264" t="str">
        <f>"68173000"</f>
        <v>68173000</v>
      </c>
      <c r="C264" t="str">
        <f t="shared" si="15"/>
        <v>BET681730000</v>
      </c>
      <c r="E264">
        <v>5680.21</v>
      </c>
      <c r="F264">
        <v>0</v>
      </c>
      <c r="G264">
        <f t="shared" si="16"/>
        <v>5680.21</v>
      </c>
    </row>
    <row r="265" spans="1:7">
      <c r="A265" t="str">
        <f t="shared" si="14"/>
        <v>BET</v>
      </c>
      <c r="B265" t="str">
        <f>"68174000"</f>
        <v>68174000</v>
      </c>
      <c r="C265" t="str">
        <f t="shared" si="15"/>
        <v>BET681740000</v>
      </c>
      <c r="E265">
        <v>2202.3000000000002</v>
      </c>
      <c r="F265">
        <v>0</v>
      </c>
      <c r="G265">
        <f t="shared" si="16"/>
        <v>2202.3000000000002</v>
      </c>
    </row>
    <row r="266" spans="1:7">
      <c r="A266" t="str">
        <f t="shared" si="14"/>
        <v>BET</v>
      </c>
      <c r="B266" t="str">
        <f>"68725000"</f>
        <v>68725000</v>
      </c>
      <c r="C266" t="str">
        <f t="shared" si="15"/>
        <v>BET687250000</v>
      </c>
      <c r="E266">
        <v>66.760000000000005</v>
      </c>
      <c r="F266">
        <v>0</v>
      </c>
      <c r="G266">
        <f t="shared" si="16"/>
        <v>66.760000000000005</v>
      </c>
    </row>
    <row r="267" spans="1:7">
      <c r="A267" t="str">
        <f>"BEZI"</f>
        <v>BEZI</v>
      </c>
      <c r="B267" t="str">
        <f>"64111000"</f>
        <v>64111000</v>
      </c>
      <c r="C267" t="str">
        <f t="shared" si="15"/>
        <v>BEZI641110000</v>
      </c>
      <c r="E267">
        <v>0</v>
      </c>
      <c r="F267">
        <v>0</v>
      </c>
      <c r="G267">
        <f t="shared" si="16"/>
        <v>0</v>
      </c>
    </row>
    <row r="268" spans="1:7">
      <c r="A268" t="str">
        <f>"BEZI"</f>
        <v>BEZI</v>
      </c>
      <c r="B268" t="str">
        <f>"64540000"</f>
        <v>64540000</v>
      </c>
      <c r="C268" t="str">
        <f t="shared" si="15"/>
        <v>BEZI645400000</v>
      </c>
      <c r="E268">
        <v>3394</v>
      </c>
      <c r="F268">
        <v>0</v>
      </c>
      <c r="G268">
        <f t="shared" si="16"/>
        <v>3394</v>
      </c>
    </row>
    <row r="269" spans="1:7">
      <c r="A269" t="str">
        <f>"BEZI"</f>
        <v>BEZI</v>
      </c>
      <c r="B269" t="str">
        <f>"65440000"</f>
        <v>65440000</v>
      </c>
      <c r="C269" t="str">
        <f t="shared" si="15"/>
        <v>BEZI654400000</v>
      </c>
      <c r="E269">
        <v>0</v>
      </c>
      <c r="F269">
        <v>0</v>
      </c>
      <c r="G269">
        <f t="shared" si="16"/>
        <v>0</v>
      </c>
    </row>
    <row r="270" spans="1:7">
      <c r="A270" t="str">
        <f t="shared" ref="A270:A333" si="17">"BOI"</f>
        <v>BOI</v>
      </c>
      <c r="B270" t="str">
        <f>"60613000"</f>
        <v>60613000</v>
      </c>
      <c r="C270" t="str">
        <f t="shared" si="15"/>
        <v>BOI606130000</v>
      </c>
      <c r="E270">
        <v>596.73</v>
      </c>
      <c r="F270">
        <v>0</v>
      </c>
      <c r="G270">
        <f t="shared" si="16"/>
        <v>596.73</v>
      </c>
    </row>
    <row r="271" spans="1:7">
      <c r="A271" t="str">
        <f t="shared" si="17"/>
        <v>BOI</v>
      </c>
      <c r="B271" t="str">
        <f>"60631000"</f>
        <v>60631000</v>
      </c>
      <c r="C271" t="str">
        <f t="shared" si="15"/>
        <v>BOI606310000</v>
      </c>
      <c r="E271">
        <v>11.89</v>
      </c>
      <c r="F271">
        <v>0</v>
      </c>
      <c r="G271">
        <f t="shared" si="16"/>
        <v>11.89</v>
      </c>
    </row>
    <row r="272" spans="1:7">
      <c r="A272" t="str">
        <f t="shared" si="17"/>
        <v>BOI</v>
      </c>
      <c r="B272" t="str">
        <f>"60641000"</f>
        <v>60641000</v>
      </c>
      <c r="C272" t="str">
        <f t="shared" si="15"/>
        <v>BOI606410000</v>
      </c>
      <c r="E272">
        <v>1588.49</v>
      </c>
      <c r="F272">
        <v>0</v>
      </c>
      <c r="G272">
        <f t="shared" si="16"/>
        <v>1588.49</v>
      </c>
    </row>
    <row r="273" spans="1:7">
      <c r="A273" t="str">
        <f t="shared" si="17"/>
        <v>BOI</v>
      </c>
      <c r="B273" t="str">
        <f>"60710000"</f>
        <v>60710000</v>
      </c>
      <c r="C273" t="str">
        <f t="shared" si="15"/>
        <v>BOI607100000</v>
      </c>
      <c r="E273">
        <v>35260.86</v>
      </c>
      <c r="F273">
        <v>440.22</v>
      </c>
      <c r="G273">
        <f t="shared" si="16"/>
        <v>34820.639999999999</v>
      </c>
    </row>
    <row r="274" spans="1:7">
      <c r="A274" t="str">
        <f t="shared" si="17"/>
        <v>BOI</v>
      </c>
      <c r="B274" t="str">
        <f>"60713000"</f>
        <v>60713000</v>
      </c>
      <c r="C274" t="str">
        <f t="shared" si="15"/>
        <v>BOI607130000</v>
      </c>
      <c r="E274">
        <v>48667</v>
      </c>
      <c r="F274">
        <v>0</v>
      </c>
      <c r="G274">
        <f t="shared" si="16"/>
        <v>48667</v>
      </c>
    </row>
    <row r="275" spans="1:7">
      <c r="A275" t="str">
        <f t="shared" si="17"/>
        <v>BOI</v>
      </c>
      <c r="B275" t="str">
        <f>"60714000"</f>
        <v>60714000</v>
      </c>
      <c r="C275" t="str">
        <f t="shared" si="15"/>
        <v>BOI607140000</v>
      </c>
      <c r="E275">
        <v>-4695</v>
      </c>
      <c r="F275">
        <v>0</v>
      </c>
      <c r="G275">
        <f t="shared" si="16"/>
        <v>-4695</v>
      </c>
    </row>
    <row r="276" spans="1:7">
      <c r="A276" t="str">
        <f t="shared" si="17"/>
        <v>BOI</v>
      </c>
      <c r="B276" t="str">
        <f>"60720000"</f>
        <v>60720000</v>
      </c>
      <c r="C276" t="str">
        <f t="shared" si="15"/>
        <v>BOI607200000</v>
      </c>
      <c r="E276">
        <v>83978.01</v>
      </c>
      <c r="F276">
        <v>0</v>
      </c>
      <c r="G276">
        <f t="shared" si="16"/>
        <v>83978.01</v>
      </c>
    </row>
    <row r="277" spans="1:7">
      <c r="A277" t="str">
        <f t="shared" si="17"/>
        <v>BOI</v>
      </c>
      <c r="B277" t="str">
        <f>"60740000"</f>
        <v>60740000</v>
      </c>
      <c r="C277" t="str">
        <f t="shared" si="15"/>
        <v>BOI607400000</v>
      </c>
      <c r="E277">
        <v>1680.02</v>
      </c>
      <c r="F277">
        <v>22</v>
      </c>
      <c r="G277">
        <f t="shared" si="16"/>
        <v>1658.02</v>
      </c>
    </row>
    <row r="278" spans="1:7">
      <c r="A278" t="str">
        <f t="shared" si="17"/>
        <v>BOI</v>
      </c>
      <c r="B278" t="str">
        <f>"60800000"</f>
        <v>60800000</v>
      </c>
      <c r="C278" t="str">
        <f t="shared" si="15"/>
        <v>BOI608000000</v>
      </c>
      <c r="E278">
        <v>675.54</v>
      </c>
      <c r="F278">
        <v>0</v>
      </c>
      <c r="G278">
        <f t="shared" si="16"/>
        <v>675.54</v>
      </c>
    </row>
    <row r="279" spans="1:7">
      <c r="A279" t="str">
        <f t="shared" si="17"/>
        <v>BOI</v>
      </c>
      <c r="B279" t="str">
        <f>"60911000"</f>
        <v>60911000</v>
      </c>
      <c r="C279" t="str">
        <f t="shared" si="15"/>
        <v>BOI609110000</v>
      </c>
      <c r="E279">
        <v>-1820.43</v>
      </c>
      <c r="F279">
        <v>0</v>
      </c>
      <c r="G279">
        <f t="shared" si="16"/>
        <v>-1820.43</v>
      </c>
    </row>
    <row r="280" spans="1:7">
      <c r="A280" t="str">
        <f t="shared" si="17"/>
        <v>BOI</v>
      </c>
      <c r="B280" t="str">
        <f>"60912000"</f>
        <v>60912000</v>
      </c>
      <c r="C280" t="str">
        <f t="shared" si="15"/>
        <v>BOI609120000</v>
      </c>
      <c r="E280">
        <v>-6203.81</v>
      </c>
      <c r="F280">
        <v>0</v>
      </c>
      <c r="G280">
        <f t="shared" si="16"/>
        <v>-6203.81</v>
      </c>
    </row>
    <row r="281" spans="1:7">
      <c r="A281" t="str">
        <f t="shared" si="17"/>
        <v>BOI</v>
      </c>
      <c r="B281" t="str">
        <f>"60913000"</f>
        <v>60913000</v>
      </c>
      <c r="C281" t="str">
        <f t="shared" si="15"/>
        <v>BOI609130000</v>
      </c>
      <c r="E281">
        <v>-3545.03</v>
      </c>
      <c r="F281">
        <v>0</v>
      </c>
      <c r="G281">
        <f t="shared" si="16"/>
        <v>-3545.03</v>
      </c>
    </row>
    <row r="282" spans="1:7">
      <c r="A282" t="str">
        <f t="shared" si="17"/>
        <v>BOI</v>
      </c>
      <c r="B282" t="str">
        <f>"61320000"</f>
        <v>61320000</v>
      </c>
      <c r="C282" t="str">
        <f t="shared" si="15"/>
        <v>BOI613200000</v>
      </c>
      <c r="E282">
        <v>7320</v>
      </c>
      <c r="F282">
        <v>0</v>
      </c>
      <c r="G282">
        <f t="shared" si="16"/>
        <v>7320</v>
      </c>
    </row>
    <row r="283" spans="1:7">
      <c r="A283" t="str">
        <f t="shared" si="17"/>
        <v>BOI</v>
      </c>
      <c r="B283" t="str">
        <f>"61353000"</f>
        <v>61353000</v>
      </c>
      <c r="C283" t="str">
        <f t="shared" si="15"/>
        <v>BOI613530000</v>
      </c>
      <c r="E283">
        <v>180</v>
      </c>
      <c r="F283">
        <v>0</v>
      </c>
      <c r="G283">
        <f t="shared" si="16"/>
        <v>180</v>
      </c>
    </row>
    <row r="284" spans="1:7">
      <c r="A284" t="str">
        <f t="shared" si="17"/>
        <v>BOI</v>
      </c>
      <c r="B284" t="str">
        <f>"61354000"</f>
        <v>61354000</v>
      </c>
      <c r="C284" t="str">
        <f t="shared" si="15"/>
        <v>BOI613540000</v>
      </c>
      <c r="E284">
        <v>1006.32</v>
      </c>
      <c r="F284">
        <v>0</v>
      </c>
      <c r="G284">
        <f t="shared" si="16"/>
        <v>1006.32</v>
      </c>
    </row>
    <row r="285" spans="1:7">
      <c r="A285" t="str">
        <f t="shared" si="17"/>
        <v>BOI</v>
      </c>
      <c r="B285" t="str">
        <f>"61400000"</f>
        <v>61400000</v>
      </c>
      <c r="C285" t="str">
        <f t="shared" si="15"/>
        <v>BOI614000000</v>
      </c>
      <c r="E285">
        <v>586</v>
      </c>
      <c r="F285">
        <v>0</v>
      </c>
      <c r="G285">
        <f t="shared" si="16"/>
        <v>586</v>
      </c>
    </row>
    <row r="286" spans="1:7">
      <c r="A286" t="str">
        <f t="shared" si="17"/>
        <v>BOI</v>
      </c>
      <c r="B286" t="str">
        <f>"61520000"</f>
        <v>61520000</v>
      </c>
      <c r="C286" t="str">
        <f t="shared" si="15"/>
        <v>BOI615200000</v>
      </c>
      <c r="E286">
        <v>1096.24</v>
      </c>
      <c r="F286">
        <v>0</v>
      </c>
      <c r="G286">
        <f t="shared" si="16"/>
        <v>1096.24</v>
      </c>
    </row>
    <row r="287" spans="1:7">
      <c r="A287" t="str">
        <f t="shared" si="17"/>
        <v>BOI</v>
      </c>
      <c r="B287" t="str">
        <f>"61550000"</f>
        <v>61550000</v>
      </c>
      <c r="C287" t="str">
        <f t="shared" si="15"/>
        <v>BOI615500000</v>
      </c>
      <c r="E287">
        <v>736.8</v>
      </c>
      <c r="F287">
        <v>11.2</v>
      </c>
      <c r="G287">
        <f t="shared" si="16"/>
        <v>725.59999999999991</v>
      </c>
    </row>
    <row r="288" spans="1:7">
      <c r="A288" t="str">
        <f t="shared" si="17"/>
        <v>BOI</v>
      </c>
      <c r="B288" t="str">
        <f>"61551000"</f>
        <v>61551000</v>
      </c>
      <c r="C288" t="str">
        <f t="shared" si="15"/>
        <v>BOI615510000</v>
      </c>
      <c r="E288">
        <v>0</v>
      </c>
      <c r="F288">
        <v>0</v>
      </c>
      <c r="G288">
        <f t="shared" si="16"/>
        <v>0</v>
      </c>
    </row>
    <row r="289" spans="1:7">
      <c r="A289" t="str">
        <f t="shared" si="17"/>
        <v>BOI</v>
      </c>
      <c r="B289" t="str">
        <f>"61552000"</f>
        <v>61552000</v>
      </c>
      <c r="C289" t="str">
        <f t="shared" si="15"/>
        <v>BOI615520000</v>
      </c>
      <c r="E289">
        <v>64.849999999999994</v>
      </c>
      <c r="F289">
        <v>0</v>
      </c>
      <c r="G289">
        <f t="shared" si="16"/>
        <v>64.849999999999994</v>
      </c>
    </row>
    <row r="290" spans="1:7">
      <c r="A290" t="str">
        <f t="shared" si="17"/>
        <v>BOI</v>
      </c>
      <c r="B290" t="str">
        <f>"61612000"</f>
        <v>61612000</v>
      </c>
      <c r="C290" t="str">
        <f t="shared" si="15"/>
        <v>BOI616120000</v>
      </c>
      <c r="E290">
        <v>508.46</v>
      </c>
      <c r="F290">
        <v>0</v>
      </c>
      <c r="G290">
        <f t="shared" si="16"/>
        <v>508.46</v>
      </c>
    </row>
    <row r="291" spans="1:7">
      <c r="A291" t="str">
        <f t="shared" si="17"/>
        <v>BOI</v>
      </c>
      <c r="B291" t="str">
        <f>"61613000"</f>
        <v>61613000</v>
      </c>
      <c r="C291" t="str">
        <f t="shared" si="15"/>
        <v>BOI616130000</v>
      </c>
      <c r="E291">
        <v>1690.55</v>
      </c>
      <c r="F291">
        <v>0</v>
      </c>
      <c r="G291">
        <f t="shared" si="16"/>
        <v>1690.55</v>
      </c>
    </row>
    <row r="292" spans="1:7">
      <c r="A292" t="str">
        <f t="shared" si="17"/>
        <v>BOI</v>
      </c>
      <c r="B292" t="str">
        <f>"61810000"</f>
        <v>61810000</v>
      </c>
      <c r="C292" t="str">
        <f t="shared" si="15"/>
        <v>BOI618100000</v>
      </c>
      <c r="E292">
        <v>37.4</v>
      </c>
      <c r="F292">
        <v>0</v>
      </c>
      <c r="G292">
        <f t="shared" si="16"/>
        <v>37.4</v>
      </c>
    </row>
    <row r="293" spans="1:7">
      <c r="A293" t="str">
        <f t="shared" si="17"/>
        <v>BOI</v>
      </c>
      <c r="B293" t="str">
        <f>"61850000"</f>
        <v>61850000</v>
      </c>
      <c r="C293" t="str">
        <f t="shared" si="15"/>
        <v>BOI618500000</v>
      </c>
      <c r="E293">
        <v>21.7</v>
      </c>
      <c r="F293">
        <v>0</v>
      </c>
      <c r="G293">
        <f t="shared" si="16"/>
        <v>21.7</v>
      </c>
    </row>
    <row r="294" spans="1:7">
      <c r="A294" t="str">
        <f t="shared" si="17"/>
        <v>BOI</v>
      </c>
      <c r="B294" t="str">
        <f>"62310000"</f>
        <v>62310000</v>
      </c>
      <c r="C294" t="str">
        <f t="shared" si="15"/>
        <v>BOI623100000</v>
      </c>
      <c r="E294">
        <v>774.3</v>
      </c>
      <c r="F294">
        <v>0</v>
      </c>
      <c r="G294">
        <f t="shared" si="16"/>
        <v>774.3</v>
      </c>
    </row>
    <row r="295" spans="1:7">
      <c r="A295" t="str">
        <f t="shared" si="17"/>
        <v>BOI</v>
      </c>
      <c r="B295" t="str">
        <f>"62320000"</f>
        <v>62320000</v>
      </c>
      <c r="C295" t="str">
        <f t="shared" si="15"/>
        <v>BOI623200000</v>
      </c>
      <c r="E295">
        <v>2640.69</v>
      </c>
      <c r="F295">
        <v>0</v>
      </c>
      <c r="G295">
        <f t="shared" si="16"/>
        <v>2640.69</v>
      </c>
    </row>
    <row r="296" spans="1:7">
      <c r="A296" t="str">
        <f t="shared" si="17"/>
        <v>BOI</v>
      </c>
      <c r="B296" t="str">
        <f>"62330000"</f>
        <v>62330000</v>
      </c>
      <c r="C296" t="str">
        <f t="shared" si="15"/>
        <v>BOI623300000</v>
      </c>
      <c r="E296">
        <v>130.91999999999999</v>
      </c>
      <c r="F296">
        <v>0</v>
      </c>
      <c r="G296">
        <f t="shared" si="16"/>
        <v>130.91999999999999</v>
      </c>
    </row>
    <row r="297" spans="1:7">
      <c r="A297" t="str">
        <f t="shared" si="17"/>
        <v>BOI</v>
      </c>
      <c r="B297" t="str">
        <f>"62341000"</f>
        <v>62341000</v>
      </c>
      <c r="C297" t="str">
        <f t="shared" si="15"/>
        <v>BOI623410000</v>
      </c>
      <c r="E297">
        <v>72</v>
      </c>
      <c r="F297">
        <v>0</v>
      </c>
      <c r="G297">
        <f t="shared" si="16"/>
        <v>72</v>
      </c>
    </row>
    <row r="298" spans="1:7">
      <c r="A298" t="str">
        <f t="shared" si="17"/>
        <v>BOI</v>
      </c>
      <c r="B298" t="str">
        <f>"62342000"</f>
        <v>62342000</v>
      </c>
      <c r="C298" t="str">
        <f t="shared" si="15"/>
        <v>BOI623420000</v>
      </c>
      <c r="E298">
        <v>-3.24</v>
      </c>
      <c r="F298">
        <v>0</v>
      </c>
      <c r="G298">
        <f t="shared" si="16"/>
        <v>-3.24</v>
      </c>
    </row>
    <row r="299" spans="1:7">
      <c r="A299" t="str">
        <f t="shared" si="17"/>
        <v>BOI</v>
      </c>
      <c r="B299" t="str">
        <f>"62370000"</f>
        <v>62370000</v>
      </c>
      <c r="C299" t="str">
        <f t="shared" si="15"/>
        <v>BOI623700000</v>
      </c>
      <c r="E299">
        <v>1144.42</v>
      </c>
      <c r="F299">
        <v>-221.9</v>
      </c>
      <c r="G299">
        <f t="shared" si="16"/>
        <v>1366.3200000000002</v>
      </c>
    </row>
    <row r="300" spans="1:7">
      <c r="A300" t="str">
        <f t="shared" si="17"/>
        <v>BOI</v>
      </c>
      <c r="B300" t="str">
        <f>"62381000"</f>
        <v>62381000</v>
      </c>
      <c r="C300" t="str">
        <f t="shared" si="15"/>
        <v>BOI623810000</v>
      </c>
      <c r="E300">
        <v>0</v>
      </c>
      <c r="F300">
        <v>0</v>
      </c>
      <c r="G300">
        <f t="shared" si="16"/>
        <v>0</v>
      </c>
    </row>
    <row r="301" spans="1:7">
      <c r="A301" t="str">
        <f t="shared" si="17"/>
        <v>BOI</v>
      </c>
      <c r="B301" t="str">
        <f>"62420000"</f>
        <v>62420000</v>
      </c>
      <c r="C301" t="str">
        <f t="shared" si="15"/>
        <v>BOI624200000</v>
      </c>
      <c r="E301">
        <v>180.58</v>
      </c>
      <c r="F301">
        <v>0</v>
      </c>
      <c r="G301">
        <f t="shared" si="16"/>
        <v>180.58</v>
      </c>
    </row>
    <row r="302" spans="1:7">
      <c r="A302" t="str">
        <f t="shared" si="17"/>
        <v>BOI</v>
      </c>
      <c r="B302" t="str">
        <f>"62510000"</f>
        <v>62510000</v>
      </c>
      <c r="C302" t="str">
        <f t="shared" si="15"/>
        <v>BOI625100000</v>
      </c>
      <c r="E302">
        <v>4023.64</v>
      </c>
      <c r="F302">
        <v>0</v>
      </c>
      <c r="G302">
        <f t="shared" si="16"/>
        <v>4023.64</v>
      </c>
    </row>
    <row r="303" spans="1:7">
      <c r="A303" t="str">
        <f t="shared" si="17"/>
        <v>BOI</v>
      </c>
      <c r="B303" t="str">
        <f>"62560000"</f>
        <v>62560000</v>
      </c>
      <c r="C303" t="str">
        <f t="shared" si="15"/>
        <v>BOI625600000</v>
      </c>
      <c r="E303">
        <v>25.24</v>
      </c>
      <c r="F303">
        <v>0</v>
      </c>
      <c r="G303">
        <f t="shared" si="16"/>
        <v>25.24</v>
      </c>
    </row>
    <row r="304" spans="1:7">
      <c r="A304" t="str">
        <f t="shared" si="17"/>
        <v>BOI</v>
      </c>
      <c r="B304" t="str">
        <f>"62570000"</f>
        <v>62570000</v>
      </c>
      <c r="C304" t="str">
        <f t="shared" si="15"/>
        <v>BOI625700000</v>
      </c>
      <c r="E304">
        <v>353.66</v>
      </c>
      <c r="F304">
        <v>0</v>
      </c>
      <c r="G304">
        <f t="shared" si="16"/>
        <v>353.66</v>
      </c>
    </row>
    <row r="305" spans="1:7">
      <c r="A305" t="str">
        <f t="shared" si="17"/>
        <v>BOI</v>
      </c>
      <c r="B305" t="str">
        <f>"62600000"</f>
        <v>62600000</v>
      </c>
      <c r="C305" t="str">
        <f t="shared" si="15"/>
        <v>BOI626000000</v>
      </c>
      <c r="E305">
        <v>2674</v>
      </c>
      <c r="F305">
        <v>0</v>
      </c>
      <c r="G305">
        <f t="shared" si="16"/>
        <v>2674</v>
      </c>
    </row>
    <row r="306" spans="1:7">
      <c r="A306" t="str">
        <f t="shared" si="17"/>
        <v>BOI</v>
      </c>
      <c r="B306" t="str">
        <f>"62610000"</f>
        <v>62610000</v>
      </c>
      <c r="C306" t="str">
        <f t="shared" si="15"/>
        <v>BOI626100000</v>
      </c>
      <c r="E306">
        <v>458.72</v>
      </c>
      <c r="F306">
        <v>0</v>
      </c>
      <c r="G306">
        <f t="shared" si="16"/>
        <v>458.72</v>
      </c>
    </row>
    <row r="307" spans="1:7">
      <c r="A307" t="str">
        <f t="shared" si="17"/>
        <v>BOI</v>
      </c>
      <c r="B307" t="str">
        <f>"62752000"</f>
        <v>62752000</v>
      </c>
      <c r="C307" t="str">
        <f t="shared" si="15"/>
        <v>BOI627520000</v>
      </c>
      <c r="E307">
        <v>9</v>
      </c>
      <c r="F307">
        <v>0</v>
      </c>
      <c r="G307">
        <f t="shared" si="16"/>
        <v>9</v>
      </c>
    </row>
    <row r="308" spans="1:7">
      <c r="A308" t="str">
        <f t="shared" si="17"/>
        <v>BOI</v>
      </c>
      <c r="B308" t="str">
        <f>"63330000"</f>
        <v>63330000</v>
      </c>
      <c r="C308" t="str">
        <f t="shared" si="15"/>
        <v>BOI633300000</v>
      </c>
      <c r="E308">
        <v>161</v>
      </c>
      <c r="F308">
        <v>0</v>
      </c>
      <c r="G308">
        <f t="shared" si="16"/>
        <v>161</v>
      </c>
    </row>
    <row r="309" spans="1:7">
      <c r="A309" t="str">
        <f t="shared" si="17"/>
        <v>BOI</v>
      </c>
      <c r="B309" t="str">
        <f>"63340000"</f>
        <v>63340000</v>
      </c>
      <c r="C309" t="str">
        <f t="shared" si="15"/>
        <v>BOI633400000</v>
      </c>
      <c r="E309">
        <v>89</v>
      </c>
      <c r="F309">
        <v>0</v>
      </c>
      <c r="G309">
        <f t="shared" si="16"/>
        <v>89</v>
      </c>
    </row>
    <row r="310" spans="1:7">
      <c r="A310" t="str">
        <f t="shared" si="17"/>
        <v>BOI</v>
      </c>
      <c r="B310" t="str">
        <f>"63350000"</f>
        <v>63350000</v>
      </c>
      <c r="C310" t="str">
        <f t="shared" si="15"/>
        <v>BOI633500000</v>
      </c>
      <c r="E310">
        <v>134</v>
      </c>
      <c r="F310">
        <v>0</v>
      </c>
      <c r="G310">
        <f t="shared" si="16"/>
        <v>134</v>
      </c>
    </row>
    <row r="311" spans="1:7">
      <c r="A311" t="str">
        <f t="shared" si="17"/>
        <v>BOI</v>
      </c>
      <c r="B311" t="str">
        <f>"63511000"</f>
        <v>63511000</v>
      </c>
      <c r="C311" t="str">
        <f t="shared" si="15"/>
        <v>BOI635110000</v>
      </c>
      <c r="E311">
        <v>3020</v>
      </c>
      <c r="F311">
        <v>0</v>
      </c>
      <c r="G311">
        <f t="shared" si="16"/>
        <v>3020</v>
      </c>
    </row>
    <row r="312" spans="1:7">
      <c r="A312" t="str">
        <f t="shared" si="17"/>
        <v>BOI</v>
      </c>
      <c r="B312" t="str">
        <f>"63512000"</f>
        <v>63512000</v>
      </c>
      <c r="C312" t="str">
        <f t="shared" si="15"/>
        <v>BOI635120000</v>
      </c>
      <c r="E312">
        <v>817</v>
      </c>
      <c r="F312">
        <v>0</v>
      </c>
      <c r="G312">
        <f t="shared" si="16"/>
        <v>817</v>
      </c>
    </row>
    <row r="313" spans="1:7">
      <c r="A313" t="str">
        <f t="shared" si="17"/>
        <v>BOI</v>
      </c>
      <c r="B313" t="str">
        <f>"63710000"</f>
        <v>63710000</v>
      </c>
      <c r="C313" t="str">
        <f t="shared" si="15"/>
        <v>BOI637100000</v>
      </c>
      <c r="E313">
        <v>410.48</v>
      </c>
      <c r="F313">
        <v>0</v>
      </c>
      <c r="G313">
        <f t="shared" si="16"/>
        <v>410.48</v>
      </c>
    </row>
    <row r="314" spans="1:7">
      <c r="A314" t="str">
        <f t="shared" si="17"/>
        <v>BOI</v>
      </c>
      <c r="B314" t="str">
        <f>"64110000"</f>
        <v>64110000</v>
      </c>
      <c r="C314" t="str">
        <f t="shared" si="15"/>
        <v>BOI641100000</v>
      </c>
      <c r="E314">
        <v>33893.82</v>
      </c>
      <c r="F314">
        <v>0</v>
      </c>
      <c r="G314">
        <f t="shared" si="16"/>
        <v>33893.82</v>
      </c>
    </row>
    <row r="315" spans="1:7">
      <c r="A315" t="str">
        <f t="shared" si="17"/>
        <v>BOI</v>
      </c>
      <c r="B315" t="str">
        <f>"64111000"</f>
        <v>64111000</v>
      </c>
      <c r="C315" t="str">
        <f t="shared" si="15"/>
        <v>BOI641110000</v>
      </c>
      <c r="E315">
        <v>-150</v>
      </c>
      <c r="F315">
        <v>0</v>
      </c>
      <c r="G315">
        <f t="shared" si="16"/>
        <v>-150</v>
      </c>
    </row>
    <row r="316" spans="1:7">
      <c r="A316" t="str">
        <f t="shared" si="17"/>
        <v>BOI</v>
      </c>
      <c r="B316" t="str">
        <f>"64120000"</f>
        <v>64120000</v>
      </c>
      <c r="C316" t="str">
        <f t="shared" si="15"/>
        <v>BOI641200000</v>
      </c>
      <c r="E316">
        <v>1950</v>
      </c>
      <c r="F316">
        <v>1599.42</v>
      </c>
      <c r="G316">
        <f t="shared" si="16"/>
        <v>350.57999999999993</v>
      </c>
    </row>
    <row r="317" spans="1:7">
      <c r="A317" t="str">
        <f t="shared" si="17"/>
        <v>BOI</v>
      </c>
      <c r="B317" t="str">
        <f>"64121000"</f>
        <v>64121000</v>
      </c>
      <c r="C317" t="str">
        <f t="shared" si="15"/>
        <v>BOI641210000</v>
      </c>
      <c r="E317">
        <v>597.87</v>
      </c>
      <c r="F317">
        <v>491.82</v>
      </c>
      <c r="G317">
        <f t="shared" si="16"/>
        <v>106.05000000000001</v>
      </c>
    </row>
    <row r="318" spans="1:7">
      <c r="A318" t="str">
        <f t="shared" si="17"/>
        <v>BOI</v>
      </c>
      <c r="B318" t="str">
        <f>"64510000"</f>
        <v>64510000</v>
      </c>
      <c r="C318" t="str">
        <f t="shared" si="15"/>
        <v>BOI645100000</v>
      </c>
      <c r="E318">
        <v>12478.69</v>
      </c>
      <c r="F318">
        <v>3.9</v>
      </c>
      <c r="G318">
        <f t="shared" si="16"/>
        <v>12474.79</v>
      </c>
    </row>
    <row r="319" spans="1:7">
      <c r="A319" t="str">
        <f t="shared" si="17"/>
        <v>BOI</v>
      </c>
      <c r="B319" t="str">
        <f>"64520000"</f>
        <v>64520000</v>
      </c>
      <c r="C319" t="str">
        <f t="shared" si="15"/>
        <v>BOI645200000</v>
      </c>
      <c r="E319">
        <v>514.55999999999995</v>
      </c>
      <c r="F319">
        <v>0</v>
      </c>
      <c r="G319">
        <f t="shared" si="16"/>
        <v>514.55999999999995</v>
      </c>
    </row>
    <row r="320" spans="1:7">
      <c r="A320" t="str">
        <f t="shared" si="17"/>
        <v>BOI</v>
      </c>
      <c r="B320" t="str">
        <f>"64530000"</f>
        <v>64530000</v>
      </c>
      <c r="C320" t="str">
        <f t="shared" si="15"/>
        <v>BOI645300000</v>
      </c>
      <c r="E320">
        <v>1124.33</v>
      </c>
      <c r="F320">
        <v>0</v>
      </c>
      <c r="G320">
        <f t="shared" si="16"/>
        <v>1124.33</v>
      </c>
    </row>
    <row r="321" spans="1:9">
      <c r="A321" t="str">
        <f t="shared" si="17"/>
        <v>BOI</v>
      </c>
      <c r="B321" t="str">
        <f>"64540000"</f>
        <v>64540000</v>
      </c>
      <c r="C321" t="str">
        <f t="shared" si="15"/>
        <v>BOI645400000</v>
      </c>
      <c r="E321">
        <v>838.73</v>
      </c>
      <c r="F321">
        <v>0</v>
      </c>
      <c r="G321">
        <f t="shared" si="16"/>
        <v>838.73</v>
      </c>
    </row>
    <row r="322" spans="1:9">
      <c r="A322" t="str">
        <f t="shared" si="17"/>
        <v>BOI</v>
      </c>
      <c r="B322" t="str">
        <f>"64590000"</f>
        <v>64590000</v>
      </c>
      <c r="C322" t="str">
        <f t="shared" si="15"/>
        <v>BOI645900000</v>
      </c>
      <c r="E322">
        <v>-46.13</v>
      </c>
      <c r="F322">
        <v>0</v>
      </c>
      <c r="G322">
        <f t="shared" si="16"/>
        <v>-46.13</v>
      </c>
    </row>
    <row r="323" spans="1:9">
      <c r="A323" t="str">
        <f t="shared" si="17"/>
        <v>BOI</v>
      </c>
      <c r="B323" t="str">
        <f>"64710000"</f>
        <v>64710000</v>
      </c>
      <c r="C323" t="str">
        <f t="shared" ref="C323:C386" si="18">+A323&amp;B323*10</f>
        <v>BOI647100000</v>
      </c>
      <c r="E323">
        <v>39.6</v>
      </c>
      <c r="F323">
        <v>0</v>
      </c>
      <c r="G323">
        <f t="shared" ref="G323:G386" si="19">+E323-F323</f>
        <v>39.6</v>
      </c>
    </row>
    <row r="324" spans="1:9">
      <c r="A324" t="str">
        <f t="shared" si="17"/>
        <v>BOI</v>
      </c>
      <c r="B324" t="str">
        <f>"64740000"</f>
        <v>64740000</v>
      </c>
      <c r="C324" t="str">
        <f t="shared" si="18"/>
        <v>BOI647400000</v>
      </c>
      <c r="E324">
        <v>6.73</v>
      </c>
      <c r="F324">
        <v>0</v>
      </c>
      <c r="G324">
        <f t="shared" si="19"/>
        <v>6.73</v>
      </c>
    </row>
    <row r="325" spans="1:9">
      <c r="A325" t="str">
        <f t="shared" si="17"/>
        <v>BOI</v>
      </c>
      <c r="B325" t="str">
        <f>"64750000"</f>
        <v>64750000</v>
      </c>
      <c r="C325" t="str">
        <f t="shared" si="18"/>
        <v>BOI647500000</v>
      </c>
      <c r="E325">
        <v>62.9</v>
      </c>
      <c r="F325">
        <v>0</v>
      </c>
      <c r="G325">
        <f t="shared" si="19"/>
        <v>62.9</v>
      </c>
    </row>
    <row r="326" spans="1:9">
      <c r="A326" t="str">
        <f t="shared" si="17"/>
        <v>BOI</v>
      </c>
      <c r="B326" t="str">
        <f>"64800000"</f>
        <v>64800000</v>
      </c>
      <c r="C326" t="str">
        <f t="shared" si="18"/>
        <v>BOI648000000</v>
      </c>
      <c r="E326" s="19">
        <v>333.42712</v>
      </c>
      <c r="F326">
        <v>0.35</v>
      </c>
      <c r="G326" s="19">
        <f t="shared" si="19"/>
        <v>333.07711999999998</v>
      </c>
      <c r="H326" s="433">
        <v>333.42712</v>
      </c>
      <c r="I326" s="113" t="s">
        <v>27</v>
      </c>
    </row>
    <row r="327" spans="1:9">
      <c r="A327" t="str">
        <f t="shared" si="17"/>
        <v>BOI</v>
      </c>
      <c r="B327" t="str">
        <f>"65410000"</f>
        <v>65410000</v>
      </c>
      <c r="C327" t="str">
        <f t="shared" si="18"/>
        <v>BOI654100000</v>
      </c>
      <c r="E327">
        <v>0.78</v>
      </c>
      <c r="F327">
        <v>0.25</v>
      </c>
      <c r="G327">
        <f t="shared" si="19"/>
        <v>0.53</v>
      </c>
    </row>
    <row r="328" spans="1:9">
      <c r="A328" t="str">
        <f t="shared" si="17"/>
        <v>BOI</v>
      </c>
      <c r="B328" t="str">
        <f>"65420000"</f>
        <v>65420000</v>
      </c>
      <c r="C328" t="str">
        <f t="shared" si="18"/>
        <v>BOI654200000</v>
      </c>
      <c r="E328">
        <v>5.93</v>
      </c>
      <c r="F328">
        <v>0</v>
      </c>
      <c r="G328">
        <f t="shared" si="19"/>
        <v>5.93</v>
      </c>
    </row>
    <row r="329" spans="1:9">
      <c r="A329" t="str">
        <f t="shared" si="17"/>
        <v>BOI</v>
      </c>
      <c r="B329" t="str">
        <f>"65440000"</f>
        <v>65440000</v>
      </c>
      <c r="C329" t="str">
        <f t="shared" si="18"/>
        <v>BOI654400000</v>
      </c>
      <c r="E329">
        <v>0</v>
      </c>
      <c r="F329">
        <v>0</v>
      </c>
      <c r="G329">
        <f t="shared" si="19"/>
        <v>0</v>
      </c>
    </row>
    <row r="330" spans="1:9">
      <c r="A330" t="str">
        <f t="shared" si="17"/>
        <v>BOI</v>
      </c>
      <c r="B330" t="str">
        <f>"66500000"</f>
        <v>66500000</v>
      </c>
      <c r="C330" t="str">
        <f t="shared" si="18"/>
        <v>BOI665000000</v>
      </c>
      <c r="E330">
        <v>210.75</v>
      </c>
      <c r="F330">
        <v>0</v>
      </c>
      <c r="G330">
        <f t="shared" si="19"/>
        <v>210.75</v>
      </c>
    </row>
    <row r="331" spans="1:9">
      <c r="A331" t="str">
        <f t="shared" si="17"/>
        <v>BOI</v>
      </c>
      <c r="B331" t="str">
        <f>"66510000"</f>
        <v>66510000</v>
      </c>
      <c r="C331" t="str">
        <f t="shared" si="18"/>
        <v>BOI665100000</v>
      </c>
      <c r="E331">
        <v>111.54</v>
      </c>
      <c r="F331">
        <v>0.53</v>
      </c>
      <c r="G331">
        <f t="shared" si="19"/>
        <v>111.01</v>
      </c>
    </row>
    <row r="332" spans="1:9">
      <c r="A332" t="str">
        <f t="shared" si="17"/>
        <v>BOI</v>
      </c>
      <c r="B332" t="str">
        <f>"68112000"</f>
        <v>68112000</v>
      </c>
      <c r="C332" t="str">
        <f t="shared" si="18"/>
        <v>BOI681120000</v>
      </c>
      <c r="E332">
        <v>1735.93</v>
      </c>
      <c r="F332">
        <v>0</v>
      </c>
      <c r="G332">
        <f t="shared" si="19"/>
        <v>1735.93</v>
      </c>
    </row>
    <row r="333" spans="1:9">
      <c r="A333" t="str">
        <f t="shared" si="17"/>
        <v>BOI</v>
      </c>
      <c r="B333" t="str">
        <f>"68173000"</f>
        <v>68173000</v>
      </c>
      <c r="C333" t="str">
        <f t="shared" si="18"/>
        <v>BOI681730000</v>
      </c>
      <c r="E333">
        <v>531.25</v>
      </c>
      <c r="F333">
        <v>0</v>
      </c>
      <c r="G333">
        <f t="shared" si="19"/>
        <v>531.25</v>
      </c>
    </row>
    <row r="334" spans="1:9">
      <c r="A334" t="str">
        <f>"BOI"</f>
        <v>BOI</v>
      </c>
      <c r="B334" t="str">
        <f>"68174000"</f>
        <v>68174000</v>
      </c>
      <c r="C334" t="str">
        <f t="shared" si="18"/>
        <v>BOI681740000</v>
      </c>
      <c r="E334">
        <v>600.55999999999995</v>
      </c>
      <c r="F334">
        <v>0</v>
      </c>
      <c r="G334">
        <f t="shared" si="19"/>
        <v>600.55999999999995</v>
      </c>
    </row>
    <row r="335" spans="1:9">
      <c r="A335" t="str">
        <f>"BOI"</f>
        <v>BOI</v>
      </c>
      <c r="B335" t="str">
        <f>"68725000"</f>
        <v>68725000</v>
      </c>
      <c r="C335" t="str">
        <f t="shared" si="18"/>
        <v>BOI687250000</v>
      </c>
      <c r="E335">
        <v>46.13</v>
      </c>
      <c r="F335">
        <v>0</v>
      </c>
      <c r="G335">
        <f t="shared" si="19"/>
        <v>46.13</v>
      </c>
    </row>
    <row r="336" spans="1:9">
      <c r="A336" t="str">
        <f t="shared" ref="A336:A399" si="20">"BOS"</f>
        <v>BOS</v>
      </c>
      <c r="B336" t="str">
        <f>"60222000"</f>
        <v>60222000</v>
      </c>
      <c r="C336" t="str">
        <f t="shared" si="18"/>
        <v>BOS602220000</v>
      </c>
      <c r="E336">
        <v>0</v>
      </c>
      <c r="F336">
        <v>0</v>
      </c>
      <c r="G336">
        <f t="shared" si="19"/>
        <v>0</v>
      </c>
    </row>
    <row r="337" spans="1:7">
      <c r="A337" t="str">
        <f t="shared" si="20"/>
        <v>BOS</v>
      </c>
      <c r="B337" t="str">
        <f>"60610000"</f>
        <v>60610000</v>
      </c>
      <c r="C337" t="str">
        <f t="shared" si="18"/>
        <v>BOS606100000</v>
      </c>
      <c r="E337">
        <v>7678.21</v>
      </c>
      <c r="F337">
        <v>0</v>
      </c>
      <c r="G337">
        <f t="shared" si="19"/>
        <v>7678.21</v>
      </c>
    </row>
    <row r="338" spans="1:7">
      <c r="A338" t="str">
        <f t="shared" si="20"/>
        <v>BOS</v>
      </c>
      <c r="B338" t="str">
        <f>"60611000"</f>
        <v>60611000</v>
      </c>
      <c r="C338" t="str">
        <f t="shared" si="18"/>
        <v>BOS606110000</v>
      </c>
      <c r="E338">
        <v>5051.32</v>
      </c>
      <c r="F338">
        <v>0</v>
      </c>
      <c r="G338">
        <f t="shared" si="19"/>
        <v>5051.32</v>
      </c>
    </row>
    <row r="339" spans="1:7">
      <c r="A339" t="str">
        <f t="shared" si="20"/>
        <v>BOS</v>
      </c>
      <c r="B339" t="str">
        <f>"60613000"</f>
        <v>60613000</v>
      </c>
      <c r="C339" t="str">
        <f t="shared" si="18"/>
        <v>BOS606130000</v>
      </c>
      <c r="E339">
        <v>5556.83</v>
      </c>
      <c r="F339">
        <v>0</v>
      </c>
      <c r="G339">
        <f t="shared" si="19"/>
        <v>5556.83</v>
      </c>
    </row>
    <row r="340" spans="1:7">
      <c r="A340" t="str">
        <f t="shared" si="20"/>
        <v>BOS</v>
      </c>
      <c r="B340" t="str">
        <f>"60631000"</f>
        <v>60631000</v>
      </c>
      <c r="C340" t="str">
        <f t="shared" si="18"/>
        <v>BOS606310000</v>
      </c>
      <c r="E340">
        <v>24.5</v>
      </c>
      <c r="F340">
        <v>0</v>
      </c>
      <c r="G340">
        <f t="shared" si="19"/>
        <v>24.5</v>
      </c>
    </row>
    <row r="341" spans="1:7">
      <c r="A341" t="str">
        <f t="shared" si="20"/>
        <v>BOS</v>
      </c>
      <c r="B341" t="str">
        <f>"60641000"</f>
        <v>60641000</v>
      </c>
      <c r="C341" t="str">
        <f t="shared" si="18"/>
        <v>BOS606410000</v>
      </c>
      <c r="E341">
        <v>1912.2</v>
      </c>
      <c r="F341">
        <v>0</v>
      </c>
      <c r="G341">
        <f t="shared" si="19"/>
        <v>1912.2</v>
      </c>
    </row>
    <row r="342" spans="1:7">
      <c r="A342" t="str">
        <f t="shared" si="20"/>
        <v>BOS</v>
      </c>
      <c r="B342" t="str">
        <f>"60710000"</f>
        <v>60710000</v>
      </c>
      <c r="C342" t="str">
        <f t="shared" si="18"/>
        <v>BOS607100000</v>
      </c>
      <c r="E342">
        <v>506467.15</v>
      </c>
      <c r="F342">
        <v>197.52</v>
      </c>
      <c r="G342">
        <f t="shared" si="19"/>
        <v>506269.63</v>
      </c>
    </row>
    <row r="343" spans="1:7">
      <c r="A343" t="str">
        <f t="shared" si="20"/>
        <v>BOS</v>
      </c>
      <c r="B343" t="str">
        <f>"60711000"</f>
        <v>60711000</v>
      </c>
      <c r="C343" t="str">
        <f t="shared" si="18"/>
        <v>BOS607110000</v>
      </c>
      <c r="E343">
        <v>35664.46</v>
      </c>
      <c r="F343">
        <v>0</v>
      </c>
      <c r="G343">
        <f t="shared" si="19"/>
        <v>35664.46</v>
      </c>
    </row>
    <row r="344" spans="1:7">
      <c r="A344" t="str">
        <f t="shared" si="20"/>
        <v>BOS</v>
      </c>
      <c r="B344" t="str">
        <f>"60712000"</f>
        <v>60712000</v>
      </c>
      <c r="C344" t="str">
        <f t="shared" si="18"/>
        <v>BOS607120000</v>
      </c>
      <c r="E344">
        <v>0</v>
      </c>
      <c r="F344">
        <v>0</v>
      </c>
      <c r="G344">
        <f t="shared" si="19"/>
        <v>0</v>
      </c>
    </row>
    <row r="345" spans="1:7">
      <c r="A345" t="str">
        <f t="shared" si="20"/>
        <v>BOS</v>
      </c>
      <c r="B345" t="str">
        <f>"60713000"</f>
        <v>60713000</v>
      </c>
      <c r="C345" t="str">
        <f t="shared" si="18"/>
        <v>BOS607130000</v>
      </c>
      <c r="E345">
        <v>71690</v>
      </c>
      <c r="F345">
        <v>0</v>
      </c>
      <c r="G345">
        <f t="shared" si="19"/>
        <v>71690</v>
      </c>
    </row>
    <row r="346" spans="1:7">
      <c r="A346" t="str">
        <f t="shared" si="20"/>
        <v>BOS</v>
      </c>
      <c r="B346" t="str">
        <f>"60714000"</f>
        <v>60714000</v>
      </c>
      <c r="C346" t="str">
        <f t="shared" si="18"/>
        <v>BOS607140000</v>
      </c>
      <c r="E346">
        <v>-34526</v>
      </c>
      <c r="F346">
        <v>0</v>
      </c>
      <c r="G346">
        <f t="shared" si="19"/>
        <v>-34526</v>
      </c>
    </row>
    <row r="347" spans="1:7">
      <c r="A347" t="str">
        <f t="shared" si="20"/>
        <v>BOS</v>
      </c>
      <c r="B347" t="str">
        <f>"60720000"</f>
        <v>60720000</v>
      </c>
      <c r="C347" t="str">
        <f t="shared" si="18"/>
        <v>BOS607200000</v>
      </c>
      <c r="E347">
        <v>340524.47</v>
      </c>
      <c r="F347">
        <v>0</v>
      </c>
      <c r="G347">
        <f t="shared" si="19"/>
        <v>340524.47</v>
      </c>
    </row>
    <row r="348" spans="1:7">
      <c r="A348" t="str">
        <f t="shared" si="20"/>
        <v>BOS</v>
      </c>
      <c r="B348" t="str">
        <f>"60740000"</f>
        <v>60740000</v>
      </c>
      <c r="C348" t="str">
        <f t="shared" si="18"/>
        <v>BOS607400000</v>
      </c>
      <c r="E348">
        <v>12722.01</v>
      </c>
      <c r="F348">
        <v>9.7899999999999991</v>
      </c>
      <c r="G348">
        <f t="shared" si="19"/>
        <v>12712.22</v>
      </c>
    </row>
    <row r="349" spans="1:7">
      <c r="A349" t="str">
        <f t="shared" si="20"/>
        <v>BOS</v>
      </c>
      <c r="B349" t="str">
        <f>"60800000"</f>
        <v>60800000</v>
      </c>
      <c r="C349" t="str">
        <f t="shared" si="18"/>
        <v>BOS608000000</v>
      </c>
      <c r="E349">
        <v>7878.21</v>
      </c>
      <c r="F349">
        <v>0</v>
      </c>
      <c r="G349">
        <f t="shared" si="19"/>
        <v>7878.21</v>
      </c>
    </row>
    <row r="350" spans="1:7">
      <c r="A350" t="str">
        <f t="shared" si="20"/>
        <v>BOS</v>
      </c>
      <c r="B350" t="str">
        <f>"60911000"</f>
        <v>60911000</v>
      </c>
      <c r="C350" t="str">
        <f t="shared" si="18"/>
        <v>BOS609110000</v>
      </c>
      <c r="E350">
        <v>-15244.38</v>
      </c>
      <c r="F350">
        <v>0</v>
      </c>
      <c r="G350">
        <f t="shared" si="19"/>
        <v>-15244.38</v>
      </c>
    </row>
    <row r="351" spans="1:7">
      <c r="A351" t="str">
        <f t="shared" si="20"/>
        <v>BOS</v>
      </c>
      <c r="B351" t="str">
        <f>"60912000"</f>
        <v>60912000</v>
      </c>
      <c r="C351" t="str">
        <f t="shared" si="18"/>
        <v>BOS609120000</v>
      </c>
      <c r="E351">
        <v>-23788.32</v>
      </c>
      <c r="F351">
        <v>0</v>
      </c>
      <c r="G351">
        <f t="shared" si="19"/>
        <v>-23788.32</v>
      </c>
    </row>
    <row r="352" spans="1:7">
      <c r="A352" t="str">
        <f t="shared" si="20"/>
        <v>BOS</v>
      </c>
      <c r="B352" t="str">
        <f>"60913000"</f>
        <v>60913000</v>
      </c>
      <c r="C352" t="str">
        <f t="shared" si="18"/>
        <v>BOS609130000</v>
      </c>
      <c r="E352">
        <v>-13593.32</v>
      </c>
      <c r="F352">
        <v>0</v>
      </c>
      <c r="G352">
        <f t="shared" si="19"/>
        <v>-13593.32</v>
      </c>
    </row>
    <row r="353" spans="1:7">
      <c r="A353" t="str">
        <f t="shared" si="20"/>
        <v>BOS</v>
      </c>
      <c r="B353" t="str">
        <f>"61100000"</f>
        <v>61100000</v>
      </c>
      <c r="C353" t="str">
        <f t="shared" si="18"/>
        <v>BOS611000000</v>
      </c>
      <c r="E353">
        <v>22.5</v>
      </c>
      <c r="F353">
        <v>0</v>
      </c>
      <c r="G353">
        <f t="shared" si="19"/>
        <v>22.5</v>
      </c>
    </row>
    <row r="354" spans="1:7">
      <c r="A354" t="str">
        <f t="shared" si="20"/>
        <v>BOS</v>
      </c>
      <c r="B354" t="str">
        <f>"61320000"</f>
        <v>61320000</v>
      </c>
      <c r="C354" t="str">
        <f t="shared" si="18"/>
        <v>BOS613200000</v>
      </c>
      <c r="E354">
        <v>39600</v>
      </c>
      <c r="F354">
        <v>0</v>
      </c>
      <c r="G354">
        <f t="shared" si="19"/>
        <v>39600</v>
      </c>
    </row>
    <row r="355" spans="1:7">
      <c r="A355" t="str">
        <f t="shared" si="20"/>
        <v>BOS</v>
      </c>
      <c r="B355" t="str">
        <f>"61351000"</f>
        <v>61351000</v>
      </c>
      <c r="C355" t="str">
        <f t="shared" si="18"/>
        <v>BOS613510000</v>
      </c>
      <c r="E355">
        <v>552.03</v>
      </c>
      <c r="F355">
        <v>0</v>
      </c>
      <c r="G355">
        <f t="shared" si="19"/>
        <v>552.03</v>
      </c>
    </row>
    <row r="356" spans="1:7">
      <c r="A356" t="str">
        <f t="shared" si="20"/>
        <v>BOS</v>
      </c>
      <c r="B356" t="str">
        <f>"61352000"</f>
        <v>61352000</v>
      </c>
      <c r="C356" t="str">
        <f t="shared" si="18"/>
        <v>BOS613520000</v>
      </c>
      <c r="E356">
        <v>6265.44</v>
      </c>
      <c r="F356">
        <v>0</v>
      </c>
      <c r="G356">
        <f t="shared" si="19"/>
        <v>6265.44</v>
      </c>
    </row>
    <row r="357" spans="1:7">
      <c r="A357" t="str">
        <f t="shared" si="20"/>
        <v>BOS</v>
      </c>
      <c r="B357" t="str">
        <f>"61353000"</f>
        <v>61353000</v>
      </c>
      <c r="C357" t="str">
        <f t="shared" si="18"/>
        <v>BOS613530000</v>
      </c>
      <c r="E357">
        <v>180</v>
      </c>
      <c r="F357">
        <v>0</v>
      </c>
      <c r="G357">
        <f t="shared" si="19"/>
        <v>180</v>
      </c>
    </row>
    <row r="358" spans="1:7">
      <c r="A358" t="str">
        <f t="shared" si="20"/>
        <v>BOS</v>
      </c>
      <c r="B358" t="str">
        <f>"61354000"</f>
        <v>61354000</v>
      </c>
      <c r="C358" t="str">
        <f t="shared" si="18"/>
        <v>BOS613540000</v>
      </c>
      <c r="E358">
        <v>0</v>
      </c>
      <c r="F358">
        <v>-1093.33</v>
      </c>
      <c r="G358">
        <f t="shared" si="19"/>
        <v>1093.33</v>
      </c>
    </row>
    <row r="359" spans="1:7">
      <c r="A359" t="str">
        <f t="shared" si="20"/>
        <v>BOS</v>
      </c>
      <c r="B359" t="str">
        <f>"61520000"</f>
        <v>61520000</v>
      </c>
      <c r="C359" t="str">
        <f t="shared" si="18"/>
        <v>BOS615200000</v>
      </c>
      <c r="E359">
        <v>1399.71</v>
      </c>
      <c r="F359">
        <v>0</v>
      </c>
      <c r="G359">
        <f t="shared" si="19"/>
        <v>1399.71</v>
      </c>
    </row>
    <row r="360" spans="1:7">
      <c r="A360" t="str">
        <f t="shared" si="20"/>
        <v>BOS</v>
      </c>
      <c r="B360" t="str">
        <f>"61550000"</f>
        <v>61550000</v>
      </c>
      <c r="C360" t="str">
        <f t="shared" si="18"/>
        <v>BOS615500000</v>
      </c>
      <c r="E360">
        <v>1145.9000000000001</v>
      </c>
      <c r="F360">
        <v>14</v>
      </c>
      <c r="G360">
        <f t="shared" si="19"/>
        <v>1131.9000000000001</v>
      </c>
    </row>
    <row r="361" spans="1:7">
      <c r="A361" t="str">
        <f t="shared" si="20"/>
        <v>BOS</v>
      </c>
      <c r="B361" t="str">
        <f>"61551000"</f>
        <v>61551000</v>
      </c>
      <c r="C361" t="str">
        <f t="shared" si="18"/>
        <v>BOS615510000</v>
      </c>
      <c r="E361">
        <v>422.32</v>
      </c>
      <c r="F361">
        <v>0</v>
      </c>
      <c r="G361">
        <f t="shared" si="19"/>
        <v>422.32</v>
      </c>
    </row>
    <row r="362" spans="1:7">
      <c r="A362" t="str">
        <f t="shared" si="20"/>
        <v>BOS</v>
      </c>
      <c r="B362" t="str">
        <f>"61552000"</f>
        <v>61552000</v>
      </c>
      <c r="C362" t="str">
        <f t="shared" si="18"/>
        <v>BOS615520000</v>
      </c>
      <c r="E362">
        <v>3468.05</v>
      </c>
      <c r="F362">
        <v>0</v>
      </c>
      <c r="G362">
        <f t="shared" si="19"/>
        <v>3468.05</v>
      </c>
    </row>
    <row r="363" spans="1:7">
      <c r="A363" t="str">
        <f t="shared" si="20"/>
        <v>BOS</v>
      </c>
      <c r="B363" t="str">
        <f>"61612000"</f>
        <v>61612000</v>
      </c>
      <c r="C363" t="str">
        <f t="shared" si="18"/>
        <v>BOS616120000</v>
      </c>
      <c r="E363">
        <v>1876.47</v>
      </c>
      <c r="F363">
        <v>0</v>
      </c>
      <c r="G363">
        <f t="shared" si="19"/>
        <v>1876.47</v>
      </c>
    </row>
    <row r="364" spans="1:7">
      <c r="A364" t="str">
        <f t="shared" si="20"/>
        <v>BOS</v>
      </c>
      <c r="B364" t="str">
        <f>"61613000"</f>
        <v>61613000</v>
      </c>
      <c r="C364" t="str">
        <f t="shared" si="18"/>
        <v>BOS616130000</v>
      </c>
      <c r="E364">
        <v>3177.14</v>
      </c>
      <c r="F364">
        <v>0</v>
      </c>
      <c r="G364">
        <f t="shared" si="19"/>
        <v>3177.14</v>
      </c>
    </row>
    <row r="365" spans="1:7">
      <c r="A365" t="str">
        <f t="shared" si="20"/>
        <v>BOS</v>
      </c>
      <c r="B365" t="str">
        <f>"61810000"</f>
        <v>61810000</v>
      </c>
      <c r="C365" t="str">
        <f t="shared" si="18"/>
        <v>BOS618100000</v>
      </c>
      <c r="E365">
        <v>93.5</v>
      </c>
      <c r="F365">
        <v>0</v>
      </c>
      <c r="G365">
        <f t="shared" si="19"/>
        <v>93.5</v>
      </c>
    </row>
    <row r="366" spans="1:7">
      <c r="A366" t="str">
        <f t="shared" si="20"/>
        <v>BOS</v>
      </c>
      <c r="B366" t="str">
        <f>"61850000"</f>
        <v>61850000</v>
      </c>
      <c r="C366" t="str">
        <f t="shared" si="18"/>
        <v>BOS618500000</v>
      </c>
      <c r="E366">
        <v>808.43</v>
      </c>
      <c r="F366">
        <v>0</v>
      </c>
      <c r="G366">
        <f t="shared" si="19"/>
        <v>808.43</v>
      </c>
    </row>
    <row r="367" spans="1:7">
      <c r="A367" t="str">
        <f t="shared" si="20"/>
        <v>BOS</v>
      </c>
      <c r="B367" t="str">
        <f>"62270000"</f>
        <v>62270000</v>
      </c>
      <c r="C367" t="str">
        <f t="shared" si="18"/>
        <v>BOS622700000</v>
      </c>
      <c r="E367">
        <v>83.93</v>
      </c>
      <c r="F367">
        <v>0</v>
      </c>
      <c r="G367">
        <f t="shared" si="19"/>
        <v>83.93</v>
      </c>
    </row>
    <row r="368" spans="1:7">
      <c r="A368" t="str">
        <f t="shared" si="20"/>
        <v>BOS</v>
      </c>
      <c r="B368" t="str">
        <f>"62310000"</f>
        <v>62310000</v>
      </c>
      <c r="C368" t="str">
        <f t="shared" si="18"/>
        <v>BOS623100000</v>
      </c>
      <c r="E368">
        <v>1066</v>
      </c>
      <c r="F368">
        <v>0</v>
      </c>
      <c r="G368">
        <f t="shared" si="19"/>
        <v>1066</v>
      </c>
    </row>
    <row r="369" spans="1:9">
      <c r="A369" t="str">
        <f t="shared" si="20"/>
        <v>BOS</v>
      </c>
      <c r="B369" t="str">
        <f>"62320000"</f>
        <v>62320000</v>
      </c>
      <c r="C369" t="str">
        <f t="shared" si="18"/>
        <v>BOS623200000</v>
      </c>
      <c r="E369">
        <v>11133.8</v>
      </c>
      <c r="F369">
        <v>0</v>
      </c>
      <c r="G369">
        <f t="shared" si="19"/>
        <v>11133.8</v>
      </c>
      <c r="I369" s="353"/>
    </row>
    <row r="370" spans="1:9">
      <c r="A370" t="str">
        <f t="shared" si="20"/>
        <v>BOS</v>
      </c>
      <c r="B370" t="str">
        <f>"62330000"</f>
        <v>62330000</v>
      </c>
      <c r="C370" t="str">
        <f t="shared" si="18"/>
        <v>BOS623300000</v>
      </c>
      <c r="E370">
        <v>1122.2</v>
      </c>
      <c r="F370">
        <v>0</v>
      </c>
      <c r="G370">
        <f t="shared" si="19"/>
        <v>1122.2</v>
      </c>
    </row>
    <row r="371" spans="1:9">
      <c r="A371" t="str">
        <f t="shared" si="20"/>
        <v>BOS</v>
      </c>
      <c r="B371" t="str">
        <f>"62341000"</f>
        <v>62341000</v>
      </c>
      <c r="C371" t="str">
        <f t="shared" si="18"/>
        <v>BOS623410000</v>
      </c>
      <c r="E371">
        <v>47377.38</v>
      </c>
      <c r="F371">
        <v>0</v>
      </c>
      <c r="G371">
        <f t="shared" si="19"/>
        <v>47377.38</v>
      </c>
    </row>
    <row r="372" spans="1:9">
      <c r="A372" t="str">
        <f t="shared" si="20"/>
        <v>BOS</v>
      </c>
      <c r="B372" t="str">
        <f>"62342000"</f>
        <v>62342000</v>
      </c>
      <c r="C372" t="str">
        <f t="shared" si="18"/>
        <v>BOS623420000</v>
      </c>
      <c r="E372">
        <v>-580.04999999999995</v>
      </c>
      <c r="F372">
        <v>0</v>
      </c>
      <c r="G372">
        <f t="shared" si="19"/>
        <v>-580.04999999999995</v>
      </c>
    </row>
    <row r="373" spans="1:9">
      <c r="A373" t="str">
        <f t="shared" si="20"/>
        <v>BOS</v>
      </c>
      <c r="B373" t="str">
        <f>"62370000"</f>
        <v>62370000</v>
      </c>
      <c r="C373" t="str">
        <f t="shared" si="18"/>
        <v>BOS623700000</v>
      </c>
      <c r="E373">
        <v>780.72</v>
      </c>
      <c r="F373">
        <v>-1536.9</v>
      </c>
      <c r="G373">
        <f t="shared" si="19"/>
        <v>2317.62</v>
      </c>
    </row>
    <row r="374" spans="1:9">
      <c r="A374" t="str">
        <f t="shared" si="20"/>
        <v>BOS</v>
      </c>
      <c r="B374" t="str">
        <f>"62380000"</f>
        <v>62380000</v>
      </c>
      <c r="C374" t="str">
        <f t="shared" si="18"/>
        <v>BOS623800000</v>
      </c>
      <c r="E374">
        <v>125</v>
      </c>
      <c r="F374">
        <v>0</v>
      </c>
      <c r="G374">
        <f t="shared" si="19"/>
        <v>125</v>
      </c>
    </row>
    <row r="375" spans="1:9">
      <c r="A375" t="str">
        <f t="shared" si="20"/>
        <v>BOS</v>
      </c>
      <c r="B375" t="str">
        <f>"62381000"</f>
        <v>62381000</v>
      </c>
      <c r="C375" t="str">
        <f t="shared" si="18"/>
        <v>BOS623810000</v>
      </c>
      <c r="E375">
        <v>0</v>
      </c>
      <c r="F375">
        <v>0</v>
      </c>
      <c r="G375">
        <f t="shared" si="19"/>
        <v>0</v>
      </c>
    </row>
    <row r="376" spans="1:9">
      <c r="A376" t="str">
        <f t="shared" si="20"/>
        <v>BOS</v>
      </c>
      <c r="B376" t="str">
        <f>"62420000"</f>
        <v>62420000</v>
      </c>
      <c r="C376" t="str">
        <f t="shared" si="18"/>
        <v>BOS624200000</v>
      </c>
      <c r="E376">
        <v>19663.669999999998</v>
      </c>
      <c r="F376">
        <v>0</v>
      </c>
      <c r="G376">
        <f t="shared" si="19"/>
        <v>19663.669999999998</v>
      </c>
    </row>
    <row r="377" spans="1:9">
      <c r="A377" t="str">
        <f t="shared" si="20"/>
        <v>BOS</v>
      </c>
      <c r="B377" t="str">
        <f>"62510000"</f>
        <v>62510000</v>
      </c>
      <c r="C377" t="str">
        <f t="shared" si="18"/>
        <v>BOS625100000</v>
      </c>
      <c r="E377">
        <v>17666.689999999999</v>
      </c>
      <c r="F377">
        <v>0</v>
      </c>
      <c r="G377">
        <f t="shared" si="19"/>
        <v>17666.689999999999</v>
      </c>
    </row>
    <row r="378" spans="1:9">
      <c r="A378" t="str">
        <f t="shared" si="20"/>
        <v>BOS</v>
      </c>
      <c r="B378" t="str">
        <f>"62520000"</f>
        <v>62520000</v>
      </c>
      <c r="C378" t="str">
        <f t="shared" si="18"/>
        <v>BOS625200000</v>
      </c>
      <c r="E378">
        <v>276.31</v>
      </c>
      <c r="F378">
        <v>0</v>
      </c>
      <c r="G378">
        <f t="shared" si="19"/>
        <v>276.31</v>
      </c>
    </row>
    <row r="379" spans="1:9">
      <c r="A379" t="str">
        <f t="shared" si="20"/>
        <v>BOS</v>
      </c>
      <c r="B379" t="str">
        <f>"62560000"</f>
        <v>62560000</v>
      </c>
      <c r="C379" t="str">
        <f t="shared" si="18"/>
        <v>BOS625600000</v>
      </c>
      <c r="E379">
        <v>25.23</v>
      </c>
      <c r="F379">
        <v>0</v>
      </c>
      <c r="G379">
        <f t="shared" si="19"/>
        <v>25.23</v>
      </c>
    </row>
    <row r="380" spans="1:9">
      <c r="A380" t="str">
        <f t="shared" si="20"/>
        <v>BOS</v>
      </c>
      <c r="B380" t="str">
        <f>"62570000"</f>
        <v>62570000</v>
      </c>
      <c r="C380" t="str">
        <f t="shared" si="18"/>
        <v>BOS625700000</v>
      </c>
      <c r="E380">
        <v>11559.29</v>
      </c>
      <c r="F380">
        <v>0</v>
      </c>
      <c r="G380">
        <f t="shared" si="19"/>
        <v>11559.29</v>
      </c>
    </row>
    <row r="381" spans="1:9">
      <c r="A381" t="str">
        <f t="shared" si="20"/>
        <v>BOS</v>
      </c>
      <c r="B381" t="str">
        <f>"62571000"</f>
        <v>62571000</v>
      </c>
      <c r="C381" t="str">
        <f t="shared" si="18"/>
        <v>BOS625710000</v>
      </c>
      <c r="E381">
        <v>8578.3700000000008</v>
      </c>
      <c r="F381">
        <v>0</v>
      </c>
      <c r="G381">
        <f t="shared" si="19"/>
        <v>8578.3700000000008</v>
      </c>
    </row>
    <row r="382" spans="1:9">
      <c r="A382" t="str">
        <f t="shared" si="20"/>
        <v>BOS</v>
      </c>
      <c r="B382" t="str">
        <f>"62600000"</f>
        <v>62600000</v>
      </c>
      <c r="C382" t="str">
        <f t="shared" si="18"/>
        <v>BOS626000000</v>
      </c>
      <c r="E382">
        <v>5689.25</v>
      </c>
      <c r="F382">
        <v>0</v>
      </c>
      <c r="G382">
        <f t="shared" si="19"/>
        <v>5689.25</v>
      </c>
    </row>
    <row r="383" spans="1:9">
      <c r="A383" t="str">
        <f t="shared" si="20"/>
        <v>BOS</v>
      </c>
      <c r="B383" t="str">
        <f>"62610000"</f>
        <v>62610000</v>
      </c>
      <c r="C383" t="str">
        <f t="shared" si="18"/>
        <v>BOS626100000</v>
      </c>
      <c r="E383">
        <v>905.28</v>
      </c>
      <c r="F383">
        <v>0</v>
      </c>
      <c r="G383">
        <f t="shared" si="19"/>
        <v>905.28</v>
      </c>
    </row>
    <row r="384" spans="1:9">
      <c r="A384" t="str">
        <f t="shared" si="20"/>
        <v>BOS</v>
      </c>
      <c r="B384" t="str">
        <f>"62752000"</f>
        <v>62752000</v>
      </c>
      <c r="C384" t="str">
        <f t="shared" si="18"/>
        <v>BOS627520000</v>
      </c>
      <c r="E384">
        <v>421.3</v>
      </c>
      <c r="F384">
        <v>0</v>
      </c>
      <c r="G384">
        <f t="shared" si="19"/>
        <v>421.3</v>
      </c>
    </row>
    <row r="385" spans="1:7">
      <c r="A385" t="str">
        <f t="shared" si="20"/>
        <v>BOS</v>
      </c>
      <c r="B385" t="str">
        <f>"63330000"</f>
        <v>63330000</v>
      </c>
      <c r="C385" t="str">
        <f t="shared" si="18"/>
        <v>BOS633300000</v>
      </c>
      <c r="E385">
        <v>923</v>
      </c>
      <c r="F385">
        <v>0</v>
      </c>
      <c r="G385">
        <f t="shared" si="19"/>
        <v>923</v>
      </c>
    </row>
    <row r="386" spans="1:7">
      <c r="A386" t="str">
        <f t="shared" si="20"/>
        <v>BOS</v>
      </c>
      <c r="B386" t="str">
        <f>"63340000"</f>
        <v>63340000</v>
      </c>
      <c r="C386" t="str">
        <f t="shared" si="18"/>
        <v>BOS633400000</v>
      </c>
      <c r="E386">
        <v>508</v>
      </c>
      <c r="F386">
        <v>0</v>
      </c>
      <c r="G386">
        <f t="shared" si="19"/>
        <v>508</v>
      </c>
    </row>
    <row r="387" spans="1:7">
      <c r="A387" t="str">
        <f t="shared" si="20"/>
        <v>BOS</v>
      </c>
      <c r="B387" t="str">
        <f>"63350000"</f>
        <v>63350000</v>
      </c>
      <c r="C387" t="str">
        <f t="shared" ref="C387:C450" si="21">+A387&amp;B387*10</f>
        <v>BOS633500000</v>
      </c>
      <c r="E387">
        <v>768</v>
      </c>
      <c r="F387">
        <v>0</v>
      </c>
      <c r="G387">
        <f t="shared" ref="G387:G450" si="22">+E387-F387</f>
        <v>768</v>
      </c>
    </row>
    <row r="388" spans="1:7">
      <c r="A388" t="str">
        <f t="shared" si="20"/>
        <v>BOS</v>
      </c>
      <c r="B388" t="str">
        <f>"63511000"</f>
        <v>63511000</v>
      </c>
      <c r="C388" t="str">
        <f t="shared" si="21"/>
        <v>BOS635110000</v>
      </c>
      <c r="E388">
        <v>5834</v>
      </c>
      <c r="F388">
        <v>0</v>
      </c>
      <c r="G388">
        <f t="shared" si="22"/>
        <v>5834</v>
      </c>
    </row>
    <row r="389" spans="1:7">
      <c r="A389" t="str">
        <f t="shared" si="20"/>
        <v>BOS</v>
      </c>
      <c r="B389" t="str">
        <f>"63512000"</f>
        <v>63512000</v>
      </c>
      <c r="C389" t="str">
        <f t="shared" si="21"/>
        <v>BOS635120000</v>
      </c>
      <c r="E389">
        <v>2766</v>
      </c>
      <c r="F389">
        <v>0</v>
      </c>
      <c r="G389">
        <f t="shared" si="22"/>
        <v>2766</v>
      </c>
    </row>
    <row r="390" spans="1:7">
      <c r="A390" t="str">
        <f t="shared" si="20"/>
        <v>BOS</v>
      </c>
      <c r="B390" t="str">
        <f>"63530000"</f>
        <v>63530000</v>
      </c>
      <c r="C390" t="str">
        <f t="shared" si="21"/>
        <v>BOS635300000</v>
      </c>
      <c r="E390">
        <v>0</v>
      </c>
      <c r="F390">
        <v>0</v>
      </c>
      <c r="G390">
        <f t="shared" si="22"/>
        <v>0</v>
      </c>
    </row>
    <row r="391" spans="1:7">
      <c r="A391" t="str">
        <f t="shared" si="20"/>
        <v>BOS</v>
      </c>
      <c r="B391" t="str">
        <f>"63710000"</f>
        <v>63710000</v>
      </c>
      <c r="C391" t="str">
        <f t="shared" si="21"/>
        <v>BOS637100000</v>
      </c>
      <c r="E391">
        <v>2299.5</v>
      </c>
      <c r="F391">
        <v>0</v>
      </c>
      <c r="G391">
        <f t="shared" si="22"/>
        <v>2299.5</v>
      </c>
    </row>
    <row r="392" spans="1:7">
      <c r="A392" t="str">
        <f t="shared" si="20"/>
        <v>BOS</v>
      </c>
      <c r="B392" t="str">
        <f>"64110000"</f>
        <v>64110000</v>
      </c>
      <c r="C392" t="str">
        <f t="shared" si="21"/>
        <v>BOS641100000</v>
      </c>
      <c r="E392">
        <v>125559.24</v>
      </c>
      <c r="F392">
        <v>0</v>
      </c>
      <c r="G392">
        <f t="shared" si="22"/>
        <v>125559.24</v>
      </c>
    </row>
    <row r="393" spans="1:7">
      <c r="A393" t="str">
        <f t="shared" si="20"/>
        <v>BOS</v>
      </c>
      <c r="B393" t="str">
        <f>"64111000"</f>
        <v>64111000</v>
      </c>
      <c r="C393" t="str">
        <f t="shared" si="21"/>
        <v>BOS641110000</v>
      </c>
      <c r="E393">
        <v>0</v>
      </c>
      <c r="F393">
        <v>0</v>
      </c>
      <c r="G393">
        <f t="shared" si="22"/>
        <v>0</v>
      </c>
    </row>
    <row r="394" spans="1:7">
      <c r="A394" t="str">
        <f t="shared" si="20"/>
        <v>BOS</v>
      </c>
      <c r="B394" t="str">
        <f>"64120000"</f>
        <v>64120000</v>
      </c>
      <c r="C394" t="str">
        <f t="shared" si="21"/>
        <v>BOS641200000</v>
      </c>
      <c r="E394">
        <v>11305.39</v>
      </c>
      <c r="F394">
        <v>10397.24</v>
      </c>
      <c r="G394">
        <f t="shared" si="22"/>
        <v>908.14999999999964</v>
      </c>
    </row>
    <row r="395" spans="1:7">
      <c r="A395" t="str">
        <f t="shared" si="20"/>
        <v>BOS</v>
      </c>
      <c r="B395" t="str">
        <f>"64121000"</f>
        <v>64121000</v>
      </c>
      <c r="C395" t="str">
        <f t="shared" si="21"/>
        <v>BOS641210000</v>
      </c>
      <c r="E395">
        <v>4492.76</v>
      </c>
      <c r="F395">
        <v>4245.1899999999996</v>
      </c>
      <c r="G395">
        <f t="shared" si="22"/>
        <v>247.57000000000062</v>
      </c>
    </row>
    <row r="396" spans="1:7">
      <c r="A396" t="str">
        <f t="shared" si="20"/>
        <v>BOS</v>
      </c>
      <c r="B396" t="str">
        <f>"64510000"</f>
        <v>64510000</v>
      </c>
      <c r="C396" t="str">
        <f t="shared" si="21"/>
        <v>BOS645100000</v>
      </c>
      <c r="E396">
        <v>33613.65</v>
      </c>
      <c r="F396">
        <v>202.6</v>
      </c>
      <c r="G396">
        <f t="shared" si="22"/>
        <v>33411.050000000003</v>
      </c>
    </row>
    <row r="397" spans="1:7">
      <c r="A397" t="str">
        <f t="shared" si="20"/>
        <v>BOS</v>
      </c>
      <c r="B397" t="str">
        <f>"64520000"</f>
        <v>64520000</v>
      </c>
      <c r="C397" t="str">
        <f t="shared" si="21"/>
        <v>BOS645200000</v>
      </c>
      <c r="E397">
        <v>4563.8999999999996</v>
      </c>
      <c r="F397">
        <v>0</v>
      </c>
      <c r="G397">
        <f t="shared" si="22"/>
        <v>4563.8999999999996</v>
      </c>
    </row>
    <row r="398" spans="1:7">
      <c r="A398" t="str">
        <f t="shared" si="20"/>
        <v>BOS</v>
      </c>
      <c r="B398" t="str">
        <f>"64530000"</f>
        <v>64530000</v>
      </c>
      <c r="C398" t="str">
        <f t="shared" si="21"/>
        <v>BOS645300000</v>
      </c>
      <c r="E398">
        <v>7491.7</v>
      </c>
      <c r="F398">
        <v>0</v>
      </c>
      <c r="G398">
        <f t="shared" si="22"/>
        <v>7491.7</v>
      </c>
    </row>
    <row r="399" spans="1:7">
      <c r="A399" t="str">
        <f t="shared" si="20"/>
        <v>BOS</v>
      </c>
      <c r="B399" t="str">
        <f>"64540000"</f>
        <v>64540000</v>
      </c>
      <c r="C399" t="str">
        <f t="shared" si="21"/>
        <v>BOS645400000</v>
      </c>
      <c r="E399">
        <v>4807.7299999999996</v>
      </c>
      <c r="F399">
        <v>0</v>
      </c>
      <c r="G399">
        <f t="shared" si="22"/>
        <v>4807.7299999999996</v>
      </c>
    </row>
    <row r="400" spans="1:7">
      <c r="A400" t="str">
        <f t="shared" ref="A400:A415" si="23">"BOS"</f>
        <v>BOS</v>
      </c>
      <c r="B400" t="str">
        <f>"64590000"</f>
        <v>64590000</v>
      </c>
      <c r="C400" t="str">
        <f t="shared" si="21"/>
        <v>BOS645900000</v>
      </c>
      <c r="E400">
        <v>-7.62</v>
      </c>
      <c r="F400">
        <v>0</v>
      </c>
      <c r="G400">
        <f t="shared" si="22"/>
        <v>-7.62</v>
      </c>
    </row>
    <row r="401" spans="1:9">
      <c r="A401" t="str">
        <f t="shared" si="23"/>
        <v>BOS</v>
      </c>
      <c r="B401" t="str">
        <f>"64710000"</f>
        <v>64710000</v>
      </c>
      <c r="C401" t="str">
        <f t="shared" si="21"/>
        <v>BOS647100000</v>
      </c>
      <c r="E401">
        <v>39.6</v>
      </c>
      <c r="F401">
        <v>0</v>
      </c>
      <c r="G401">
        <f t="shared" si="22"/>
        <v>39.6</v>
      </c>
    </row>
    <row r="402" spans="1:9">
      <c r="A402" t="str">
        <f t="shared" si="23"/>
        <v>BOS</v>
      </c>
      <c r="B402" t="str">
        <f>"64750000"</f>
        <v>64750000</v>
      </c>
      <c r="C402" t="str">
        <f t="shared" si="21"/>
        <v>BOS647500000</v>
      </c>
      <c r="E402">
        <v>578</v>
      </c>
      <c r="F402">
        <v>0</v>
      </c>
      <c r="G402">
        <f t="shared" si="22"/>
        <v>578</v>
      </c>
    </row>
    <row r="403" spans="1:9">
      <c r="A403" t="str">
        <f t="shared" si="23"/>
        <v>BOS</v>
      </c>
      <c r="B403" t="str">
        <f>"64800000"</f>
        <v>64800000</v>
      </c>
      <c r="C403" t="str">
        <f t="shared" si="21"/>
        <v>BOS648000000</v>
      </c>
      <c r="E403" s="19">
        <v>5856.9863999999998</v>
      </c>
      <c r="F403">
        <v>479.65</v>
      </c>
      <c r="G403" s="19">
        <f t="shared" si="22"/>
        <v>5377.3364000000001</v>
      </c>
      <c r="H403" s="433">
        <v>4020.0263999999997</v>
      </c>
      <c r="I403" s="113" t="s">
        <v>520</v>
      </c>
    </row>
    <row r="404" spans="1:9">
      <c r="A404" t="str">
        <f t="shared" si="23"/>
        <v>BOS</v>
      </c>
      <c r="B404" t="str">
        <f>"65410000"</f>
        <v>65410000</v>
      </c>
      <c r="C404" t="str">
        <f t="shared" si="21"/>
        <v>BOS654100000</v>
      </c>
      <c r="E404">
        <v>2.15</v>
      </c>
      <c r="F404">
        <v>0.04</v>
      </c>
      <c r="G404">
        <f t="shared" si="22"/>
        <v>2.11</v>
      </c>
    </row>
    <row r="405" spans="1:9">
      <c r="A405" t="str">
        <f t="shared" si="23"/>
        <v>BOS</v>
      </c>
      <c r="B405" t="str">
        <f>"65420000"</f>
        <v>65420000</v>
      </c>
      <c r="C405" t="str">
        <f t="shared" si="21"/>
        <v>BOS654200000</v>
      </c>
      <c r="E405">
        <v>3.59</v>
      </c>
      <c r="F405">
        <v>0</v>
      </c>
      <c r="G405">
        <f t="shared" si="22"/>
        <v>3.59</v>
      </c>
    </row>
    <row r="406" spans="1:9">
      <c r="A406" t="str">
        <f t="shared" si="23"/>
        <v>BOS</v>
      </c>
      <c r="B406" t="str">
        <f>"65440000"</f>
        <v>65440000</v>
      </c>
      <c r="C406" t="str">
        <f t="shared" si="21"/>
        <v>BOS654400000</v>
      </c>
      <c r="E406">
        <v>3966.6</v>
      </c>
      <c r="F406">
        <v>0</v>
      </c>
      <c r="G406">
        <f t="shared" si="22"/>
        <v>3966.6</v>
      </c>
    </row>
    <row r="407" spans="1:9">
      <c r="A407" t="str">
        <f t="shared" si="23"/>
        <v>BOS</v>
      </c>
      <c r="B407" t="str">
        <f>"65800000"</f>
        <v>65800000</v>
      </c>
      <c r="C407" t="str">
        <f t="shared" si="21"/>
        <v>BOS658000000</v>
      </c>
      <c r="E407">
        <v>1350.58</v>
      </c>
      <c r="F407">
        <v>0</v>
      </c>
      <c r="G407">
        <f t="shared" si="22"/>
        <v>1350.58</v>
      </c>
    </row>
    <row r="408" spans="1:9">
      <c r="A408" t="str">
        <f t="shared" si="23"/>
        <v>BOS</v>
      </c>
      <c r="B408" t="str">
        <f>"66161000"</f>
        <v>66161000</v>
      </c>
      <c r="C408" t="str">
        <f t="shared" si="21"/>
        <v>BOS661610000</v>
      </c>
      <c r="E408">
        <v>166.46</v>
      </c>
      <c r="F408">
        <v>0</v>
      </c>
      <c r="G408">
        <f t="shared" si="22"/>
        <v>166.46</v>
      </c>
    </row>
    <row r="409" spans="1:9">
      <c r="A409" t="str">
        <f t="shared" si="23"/>
        <v>BOS</v>
      </c>
      <c r="B409" t="str">
        <f>"66500000"</f>
        <v>66500000</v>
      </c>
      <c r="C409" t="str">
        <f t="shared" si="21"/>
        <v>BOS665000000</v>
      </c>
      <c r="E409">
        <v>97.81</v>
      </c>
      <c r="F409">
        <v>0</v>
      </c>
      <c r="G409">
        <f t="shared" si="22"/>
        <v>97.81</v>
      </c>
    </row>
    <row r="410" spans="1:9">
      <c r="A410" t="str">
        <f t="shared" si="23"/>
        <v>BOS</v>
      </c>
      <c r="B410" t="str">
        <f>"67180000"</f>
        <v>67180000</v>
      </c>
      <c r="C410" t="str">
        <f t="shared" si="21"/>
        <v>BOS671800000</v>
      </c>
      <c r="E410">
        <v>-0.31</v>
      </c>
      <c r="F410">
        <v>0</v>
      </c>
      <c r="G410">
        <f t="shared" si="22"/>
        <v>-0.31</v>
      </c>
    </row>
    <row r="411" spans="1:9">
      <c r="A411" t="str">
        <f t="shared" si="23"/>
        <v>BOS</v>
      </c>
      <c r="B411" t="str">
        <f>"67520000"</f>
        <v>67520000</v>
      </c>
      <c r="C411" t="str">
        <f t="shared" si="21"/>
        <v>BOS675200000</v>
      </c>
      <c r="E411">
        <v>1509.48</v>
      </c>
      <c r="F411">
        <v>0</v>
      </c>
      <c r="G411">
        <f t="shared" si="22"/>
        <v>1509.48</v>
      </c>
    </row>
    <row r="412" spans="1:9">
      <c r="A412" t="str">
        <f t="shared" si="23"/>
        <v>BOS</v>
      </c>
      <c r="B412" t="str">
        <f>"68112000"</f>
        <v>68112000</v>
      </c>
      <c r="C412" t="str">
        <f t="shared" si="21"/>
        <v>BOS681120000</v>
      </c>
      <c r="E412">
        <v>5756.36</v>
      </c>
      <c r="F412">
        <v>0</v>
      </c>
      <c r="G412">
        <f t="shared" si="22"/>
        <v>5756.36</v>
      </c>
    </row>
    <row r="413" spans="1:9">
      <c r="A413" t="str">
        <f t="shared" si="23"/>
        <v>BOS</v>
      </c>
      <c r="B413" t="str">
        <f>"68173000"</f>
        <v>68173000</v>
      </c>
      <c r="C413" t="str">
        <f t="shared" si="21"/>
        <v>BOS681730000</v>
      </c>
      <c r="E413">
        <v>12453.25</v>
      </c>
      <c r="F413">
        <v>0</v>
      </c>
      <c r="G413">
        <f t="shared" si="22"/>
        <v>12453.25</v>
      </c>
    </row>
    <row r="414" spans="1:9">
      <c r="A414" t="str">
        <f t="shared" si="23"/>
        <v>BOS</v>
      </c>
      <c r="B414" t="str">
        <f>"68174000"</f>
        <v>68174000</v>
      </c>
      <c r="C414" t="str">
        <f t="shared" si="21"/>
        <v>BOS681740000</v>
      </c>
      <c r="E414">
        <v>11341.88</v>
      </c>
      <c r="F414">
        <v>0</v>
      </c>
      <c r="G414">
        <f t="shared" si="22"/>
        <v>11341.88</v>
      </c>
    </row>
    <row r="415" spans="1:9">
      <c r="A415" t="str">
        <f t="shared" si="23"/>
        <v>BOS</v>
      </c>
      <c r="B415" t="str">
        <f>"68725000"</f>
        <v>68725000</v>
      </c>
      <c r="C415" t="str">
        <f t="shared" si="21"/>
        <v>BOS687250000</v>
      </c>
      <c r="E415">
        <v>111.2</v>
      </c>
      <c r="F415">
        <v>0</v>
      </c>
      <c r="G415">
        <f t="shared" si="22"/>
        <v>111.2</v>
      </c>
    </row>
    <row r="416" spans="1:9">
      <c r="A416" t="str">
        <f t="shared" ref="A416:A479" si="24">"BOU"</f>
        <v>BOU</v>
      </c>
      <c r="B416" t="str">
        <f>"60222000"</f>
        <v>60222000</v>
      </c>
      <c r="C416" t="str">
        <f t="shared" si="21"/>
        <v>BOU602220000</v>
      </c>
      <c r="E416">
        <v>28.22</v>
      </c>
      <c r="F416">
        <v>0</v>
      </c>
      <c r="G416">
        <f t="shared" si="22"/>
        <v>28.22</v>
      </c>
    </row>
    <row r="417" spans="1:7">
      <c r="A417" t="str">
        <f t="shared" si="24"/>
        <v>BOU</v>
      </c>
      <c r="B417" t="str">
        <f>"60610000"</f>
        <v>60610000</v>
      </c>
      <c r="C417" t="str">
        <f t="shared" si="21"/>
        <v>BOU606100000</v>
      </c>
      <c r="E417">
        <v>6932.36</v>
      </c>
      <c r="F417">
        <v>0</v>
      </c>
      <c r="G417">
        <f t="shared" si="22"/>
        <v>6932.36</v>
      </c>
    </row>
    <row r="418" spans="1:7">
      <c r="A418" t="str">
        <f t="shared" si="24"/>
        <v>BOU</v>
      </c>
      <c r="B418" t="str">
        <f>"60613000"</f>
        <v>60613000</v>
      </c>
      <c r="C418" t="str">
        <f t="shared" si="21"/>
        <v>BOU606130000</v>
      </c>
      <c r="E418">
        <v>7393.17</v>
      </c>
      <c r="F418">
        <v>0</v>
      </c>
      <c r="G418">
        <f t="shared" si="22"/>
        <v>7393.17</v>
      </c>
    </row>
    <row r="419" spans="1:7">
      <c r="A419" t="str">
        <f t="shared" si="24"/>
        <v>BOU</v>
      </c>
      <c r="B419" t="str">
        <f>"60631000"</f>
        <v>60631000</v>
      </c>
      <c r="C419" t="str">
        <f t="shared" si="21"/>
        <v>BOU606310000</v>
      </c>
      <c r="E419">
        <v>26.07</v>
      </c>
      <c r="F419">
        <v>0</v>
      </c>
      <c r="G419">
        <f t="shared" si="22"/>
        <v>26.07</v>
      </c>
    </row>
    <row r="420" spans="1:7">
      <c r="A420" t="str">
        <f t="shared" si="24"/>
        <v>BOU</v>
      </c>
      <c r="B420" t="str">
        <f>"60641000"</f>
        <v>60641000</v>
      </c>
      <c r="C420" t="str">
        <f t="shared" si="21"/>
        <v>BOU606410000</v>
      </c>
      <c r="E420">
        <v>3850.55</v>
      </c>
      <c r="F420">
        <v>0</v>
      </c>
      <c r="G420">
        <f t="shared" si="22"/>
        <v>3850.55</v>
      </c>
    </row>
    <row r="421" spans="1:7">
      <c r="A421" t="str">
        <f t="shared" si="24"/>
        <v>BOU</v>
      </c>
      <c r="B421" t="str">
        <f>"60710000"</f>
        <v>60710000</v>
      </c>
      <c r="C421" t="str">
        <f t="shared" si="21"/>
        <v>BOU607100000</v>
      </c>
      <c r="E421">
        <v>730137.16</v>
      </c>
      <c r="F421">
        <v>8227.93</v>
      </c>
      <c r="G421">
        <f t="shared" si="22"/>
        <v>721909.23</v>
      </c>
    </row>
    <row r="422" spans="1:7">
      <c r="A422" t="str">
        <f t="shared" si="24"/>
        <v>BOU</v>
      </c>
      <c r="B422" t="str">
        <f>"60711000"</f>
        <v>60711000</v>
      </c>
      <c r="C422" t="str">
        <f t="shared" si="21"/>
        <v>BOU607110000</v>
      </c>
      <c r="E422">
        <v>111964.64</v>
      </c>
      <c r="F422">
        <v>16703.04</v>
      </c>
      <c r="G422">
        <f t="shared" si="22"/>
        <v>95261.6</v>
      </c>
    </row>
    <row r="423" spans="1:7">
      <c r="A423" t="str">
        <f t="shared" si="24"/>
        <v>BOU</v>
      </c>
      <c r="B423" t="str">
        <f>"60712000"</f>
        <v>60712000</v>
      </c>
      <c r="C423" t="str">
        <f t="shared" si="21"/>
        <v>BOU607120000</v>
      </c>
      <c r="E423">
        <v>-345.38</v>
      </c>
      <c r="F423">
        <v>0</v>
      </c>
      <c r="G423">
        <f t="shared" si="22"/>
        <v>-345.38</v>
      </c>
    </row>
    <row r="424" spans="1:7">
      <c r="A424" t="str">
        <f t="shared" si="24"/>
        <v>BOU</v>
      </c>
      <c r="B424" t="str">
        <f>"60713000"</f>
        <v>60713000</v>
      </c>
      <c r="C424" t="str">
        <f t="shared" si="21"/>
        <v>BOU607130000</v>
      </c>
      <c r="E424">
        <v>119780</v>
      </c>
      <c r="F424">
        <v>0</v>
      </c>
      <c r="G424">
        <f t="shared" si="22"/>
        <v>119780</v>
      </c>
    </row>
    <row r="425" spans="1:7">
      <c r="A425" t="str">
        <f t="shared" si="24"/>
        <v>BOU</v>
      </c>
      <c r="B425" t="str">
        <f>"60714000"</f>
        <v>60714000</v>
      </c>
      <c r="C425" t="str">
        <f t="shared" si="21"/>
        <v>BOU607140000</v>
      </c>
      <c r="E425">
        <v>-182454</v>
      </c>
      <c r="F425">
        <v>0</v>
      </c>
      <c r="G425">
        <f t="shared" si="22"/>
        <v>-182454</v>
      </c>
    </row>
    <row r="426" spans="1:7">
      <c r="A426" t="str">
        <f t="shared" si="24"/>
        <v>BOU</v>
      </c>
      <c r="B426" t="str">
        <f>"60720000"</f>
        <v>60720000</v>
      </c>
      <c r="C426" t="str">
        <f t="shared" si="21"/>
        <v>BOU607200000</v>
      </c>
      <c r="E426">
        <v>612906.68000000005</v>
      </c>
      <c r="F426">
        <v>0</v>
      </c>
      <c r="G426">
        <f t="shared" si="22"/>
        <v>612906.68000000005</v>
      </c>
    </row>
    <row r="427" spans="1:7">
      <c r="A427" t="str">
        <f t="shared" si="24"/>
        <v>BOU</v>
      </c>
      <c r="B427" t="str">
        <f>"60740000"</f>
        <v>60740000</v>
      </c>
      <c r="C427" t="str">
        <f t="shared" si="21"/>
        <v>BOU607400000</v>
      </c>
      <c r="E427">
        <v>15955.51</v>
      </c>
      <c r="F427">
        <v>11.46</v>
      </c>
      <c r="G427">
        <f t="shared" si="22"/>
        <v>15944.050000000001</v>
      </c>
    </row>
    <row r="428" spans="1:7">
      <c r="A428" t="str">
        <f t="shared" si="24"/>
        <v>BOU</v>
      </c>
      <c r="B428" t="str">
        <f>"60800000"</f>
        <v>60800000</v>
      </c>
      <c r="C428" t="str">
        <f t="shared" si="21"/>
        <v>BOU608000000</v>
      </c>
      <c r="E428">
        <v>3300.76</v>
      </c>
      <c r="F428">
        <v>0</v>
      </c>
      <c r="G428">
        <f t="shared" si="22"/>
        <v>3300.76</v>
      </c>
    </row>
    <row r="429" spans="1:7">
      <c r="A429" t="str">
        <f t="shared" si="24"/>
        <v>BOU</v>
      </c>
      <c r="B429" t="str">
        <f>"60911000"</f>
        <v>60911000</v>
      </c>
      <c r="C429" t="str">
        <f t="shared" si="21"/>
        <v>BOU609110000</v>
      </c>
      <c r="E429">
        <v>-27585.99</v>
      </c>
      <c r="F429">
        <v>0</v>
      </c>
      <c r="G429">
        <f t="shared" si="22"/>
        <v>-27585.99</v>
      </c>
    </row>
    <row r="430" spans="1:7">
      <c r="A430" t="str">
        <f t="shared" si="24"/>
        <v>BOU</v>
      </c>
      <c r="B430" t="str">
        <f>"60912000"</f>
        <v>60912000</v>
      </c>
      <c r="C430" t="str">
        <f t="shared" si="21"/>
        <v>BOU609120000</v>
      </c>
      <c r="E430">
        <v>-42576.14</v>
      </c>
      <c r="F430">
        <v>0</v>
      </c>
      <c r="G430">
        <f t="shared" si="22"/>
        <v>-42576.14</v>
      </c>
    </row>
    <row r="431" spans="1:7">
      <c r="A431" t="str">
        <f t="shared" si="24"/>
        <v>BOU</v>
      </c>
      <c r="B431" t="str">
        <f>"60913000"</f>
        <v>60913000</v>
      </c>
      <c r="C431" t="str">
        <f t="shared" si="21"/>
        <v>BOU609130000</v>
      </c>
      <c r="E431">
        <v>-24329.22</v>
      </c>
      <c r="F431">
        <v>0</v>
      </c>
      <c r="G431">
        <f t="shared" si="22"/>
        <v>-24329.22</v>
      </c>
    </row>
    <row r="432" spans="1:7">
      <c r="A432" t="str">
        <f t="shared" si="24"/>
        <v>BOU</v>
      </c>
      <c r="B432" t="str">
        <f>"61100000"</f>
        <v>61100000</v>
      </c>
      <c r="C432" t="str">
        <f t="shared" si="21"/>
        <v>BOU611000000</v>
      </c>
      <c r="E432">
        <v>560</v>
      </c>
      <c r="F432">
        <v>0</v>
      </c>
      <c r="G432">
        <f t="shared" si="22"/>
        <v>560</v>
      </c>
    </row>
    <row r="433" spans="1:7">
      <c r="A433" t="str">
        <f t="shared" si="24"/>
        <v>BOU</v>
      </c>
      <c r="B433" t="str">
        <f>"61320000"</f>
        <v>61320000</v>
      </c>
      <c r="C433" t="str">
        <f t="shared" si="21"/>
        <v>BOU613200000</v>
      </c>
      <c r="E433">
        <v>25000</v>
      </c>
      <c r="F433">
        <v>0</v>
      </c>
      <c r="G433">
        <f t="shared" si="22"/>
        <v>25000</v>
      </c>
    </row>
    <row r="434" spans="1:7">
      <c r="A434" t="str">
        <f t="shared" si="24"/>
        <v>BOU</v>
      </c>
      <c r="B434" t="str">
        <f>"61352000"</f>
        <v>61352000</v>
      </c>
      <c r="C434" t="str">
        <f t="shared" si="21"/>
        <v>BOU613520000</v>
      </c>
      <c r="E434">
        <v>6832.35</v>
      </c>
      <c r="F434">
        <v>0</v>
      </c>
      <c r="G434">
        <f t="shared" si="22"/>
        <v>6832.35</v>
      </c>
    </row>
    <row r="435" spans="1:7">
      <c r="A435" t="str">
        <f t="shared" si="24"/>
        <v>BOU</v>
      </c>
      <c r="B435" t="str">
        <f>"61353000"</f>
        <v>61353000</v>
      </c>
      <c r="C435" t="str">
        <f t="shared" si="21"/>
        <v>BOU613530000</v>
      </c>
      <c r="E435">
        <v>235.8</v>
      </c>
      <c r="F435">
        <v>0</v>
      </c>
      <c r="G435">
        <f t="shared" si="22"/>
        <v>235.8</v>
      </c>
    </row>
    <row r="436" spans="1:7">
      <c r="A436" t="str">
        <f t="shared" si="24"/>
        <v>BOU</v>
      </c>
      <c r="B436" t="str">
        <f>"61354000"</f>
        <v>61354000</v>
      </c>
      <c r="C436" t="str">
        <f t="shared" si="21"/>
        <v>BOU613540000</v>
      </c>
      <c r="E436">
        <v>15.81</v>
      </c>
      <c r="F436">
        <v>0</v>
      </c>
      <c r="G436">
        <f t="shared" si="22"/>
        <v>15.81</v>
      </c>
    </row>
    <row r="437" spans="1:7">
      <c r="A437" t="str">
        <f t="shared" si="24"/>
        <v>BOU</v>
      </c>
      <c r="B437" t="str">
        <f>"61400000"</f>
        <v>61400000</v>
      </c>
      <c r="C437" t="str">
        <f t="shared" si="21"/>
        <v>BOU614000000</v>
      </c>
      <c r="E437">
        <v>155</v>
      </c>
      <c r="F437">
        <v>0</v>
      </c>
      <c r="G437">
        <f t="shared" si="22"/>
        <v>155</v>
      </c>
    </row>
    <row r="438" spans="1:7">
      <c r="A438" t="str">
        <f t="shared" si="24"/>
        <v>BOU</v>
      </c>
      <c r="B438" t="str">
        <f>"61520000"</f>
        <v>61520000</v>
      </c>
      <c r="C438" t="str">
        <f t="shared" si="21"/>
        <v>BOU615200000</v>
      </c>
      <c r="E438">
        <v>3827.7</v>
      </c>
      <c r="F438">
        <v>0</v>
      </c>
      <c r="G438">
        <f t="shared" si="22"/>
        <v>3827.7</v>
      </c>
    </row>
    <row r="439" spans="1:7">
      <c r="A439" t="str">
        <f t="shared" si="24"/>
        <v>BOU</v>
      </c>
      <c r="B439" t="str">
        <f>"61550000"</f>
        <v>61550000</v>
      </c>
      <c r="C439" t="str">
        <f t="shared" si="21"/>
        <v>BOU615500000</v>
      </c>
      <c r="E439">
        <v>0</v>
      </c>
      <c r="F439">
        <v>-571.58000000000004</v>
      </c>
      <c r="G439">
        <f t="shared" si="22"/>
        <v>571.58000000000004</v>
      </c>
    </row>
    <row r="440" spans="1:7">
      <c r="A440" t="str">
        <f t="shared" si="24"/>
        <v>BOU</v>
      </c>
      <c r="B440" t="str">
        <f>"61551000"</f>
        <v>61551000</v>
      </c>
      <c r="C440" t="str">
        <f t="shared" si="21"/>
        <v>BOU615510000</v>
      </c>
      <c r="E440">
        <v>1111.52</v>
      </c>
      <c r="F440">
        <v>0</v>
      </c>
      <c r="G440">
        <f t="shared" si="22"/>
        <v>1111.52</v>
      </c>
    </row>
    <row r="441" spans="1:7">
      <c r="A441" t="str">
        <f t="shared" si="24"/>
        <v>BOU</v>
      </c>
      <c r="B441" t="str">
        <f>"61552000"</f>
        <v>61552000</v>
      </c>
      <c r="C441" t="str">
        <f t="shared" si="21"/>
        <v>BOU615520000</v>
      </c>
      <c r="E441">
        <v>5319.81</v>
      </c>
      <c r="F441">
        <v>0</v>
      </c>
      <c r="G441">
        <f t="shared" si="22"/>
        <v>5319.81</v>
      </c>
    </row>
    <row r="442" spans="1:7">
      <c r="A442" t="str">
        <f t="shared" si="24"/>
        <v>BOU</v>
      </c>
      <c r="B442" t="str">
        <f>"61612000"</f>
        <v>61612000</v>
      </c>
      <c r="C442" t="str">
        <f t="shared" si="21"/>
        <v>BOU616120000</v>
      </c>
      <c r="E442">
        <v>1807.06</v>
      </c>
      <c r="F442">
        <v>0</v>
      </c>
      <c r="G442">
        <f t="shared" si="22"/>
        <v>1807.06</v>
      </c>
    </row>
    <row r="443" spans="1:7">
      <c r="A443" t="str">
        <f t="shared" si="24"/>
        <v>BOU</v>
      </c>
      <c r="B443" t="str">
        <f>"61613000"</f>
        <v>61613000</v>
      </c>
      <c r="C443" t="str">
        <f t="shared" si="21"/>
        <v>BOU616130000</v>
      </c>
      <c r="E443">
        <v>3249.09</v>
      </c>
      <c r="F443">
        <v>0</v>
      </c>
      <c r="G443">
        <f t="shared" si="22"/>
        <v>3249.09</v>
      </c>
    </row>
    <row r="444" spans="1:7">
      <c r="A444" t="str">
        <f t="shared" si="24"/>
        <v>BOU</v>
      </c>
      <c r="B444" t="str">
        <f>"61810000"</f>
        <v>61810000</v>
      </c>
      <c r="C444" t="str">
        <f t="shared" si="21"/>
        <v>BOU618100000</v>
      </c>
      <c r="E444">
        <v>486.32</v>
      </c>
      <c r="F444">
        <v>0</v>
      </c>
      <c r="G444">
        <f t="shared" si="22"/>
        <v>486.32</v>
      </c>
    </row>
    <row r="445" spans="1:7">
      <c r="A445" t="str">
        <f t="shared" si="24"/>
        <v>BOU</v>
      </c>
      <c r="B445" t="str">
        <f>"61850000"</f>
        <v>61850000</v>
      </c>
      <c r="C445" t="str">
        <f t="shared" si="21"/>
        <v>BOU618500000</v>
      </c>
      <c r="E445">
        <v>898.32</v>
      </c>
      <c r="F445">
        <v>0</v>
      </c>
      <c r="G445">
        <f t="shared" si="22"/>
        <v>898.32</v>
      </c>
    </row>
    <row r="446" spans="1:7">
      <c r="A446" t="str">
        <f t="shared" si="24"/>
        <v>BOU</v>
      </c>
      <c r="B446" t="str">
        <f>"62110000"</f>
        <v>62110000</v>
      </c>
      <c r="C446" t="str">
        <f t="shared" si="21"/>
        <v>BOU621100000</v>
      </c>
      <c r="E446">
        <v>4199.7299999999996</v>
      </c>
      <c r="F446">
        <v>0</v>
      </c>
      <c r="G446">
        <f t="shared" si="22"/>
        <v>4199.7299999999996</v>
      </c>
    </row>
    <row r="447" spans="1:7">
      <c r="A447" t="str">
        <f t="shared" si="24"/>
        <v>BOU</v>
      </c>
      <c r="B447" t="str">
        <f>"62270000"</f>
        <v>62270000</v>
      </c>
      <c r="C447" t="str">
        <f t="shared" si="21"/>
        <v>BOU622700000</v>
      </c>
      <c r="E447">
        <v>318.16000000000003</v>
      </c>
      <c r="F447">
        <v>0</v>
      </c>
      <c r="G447">
        <f t="shared" si="22"/>
        <v>318.16000000000003</v>
      </c>
    </row>
    <row r="448" spans="1:7">
      <c r="A448" t="str">
        <f t="shared" si="24"/>
        <v>BOU</v>
      </c>
      <c r="B448" t="str">
        <f>"62310000"</f>
        <v>62310000</v>
      </c>
      <c r="C448" t="str">
        <f t="shared" si="21"/>
        <v>BOU623100000</v>
      </c>
      <c r="E448">
        <v>774.3</v>
      </c>
      <c r="F448">
        <v>0</v>
      </c>
      <c r="G448">
        <f t="shared" si="22"/>
        <v>774.3</v>
      </c>
    </row>
    <row r="449" spans="1:7">
      <c r="A449" t="str">
        <f t="shared" si="24"/>
        <v>BOU</v>
      </c>
      <c r="B449" t="str">
        <f>"62320000"</f>
        <v>62320000</v>
      </c>
      <c r="C449" t="str">
        <f t="shared" si="21"/>
        <v>BOU623200000</v>
      </c>
      <c r="E449">
        <v>14507.38</v>
      </c>
      <c r="F449">
        <v>0</v>
      </c>
      <c r="G449">
        <f t="shared" si="22"/>
        <v>14507.38</v>
      </c>
    </row>
    <row r="450" spans="1:7">
      <c r="A450" t="str">
        <f t="shared" si="24"/>
        <v>BOU</v>
      </c>
      <c r="B450" t="str">
        <f>"62330000"</f>
        <v>62330000</v>
      </c>
      <c r="C450" t="str">
        <f t="shared" si="21"/>
        <v>BOU623300000</v>
      </c>
      <c r="E450">
        <v>130.91999999999999</v>
      </c>
      <c r="F450">
        <v>0</v>
      </c>
      <c r="G450">
        <f t="shared" si="22"/>
        <v>130.91999999999999</v>
      </c>
    </row>
    <row r="451" spans="1:7">
      <c r="A451" t="str">
        <f t="shared" si="24"/>
        <v>BOU</v>
      </c>
      <c r="B451" t="str">
        <f>"62341000"</f>
        <v>62341000</v>
      </c>
      <c r="C451" t="str">
        <f t="shared" ref="C451:C514" si="25">+A451&amp;B451*10</f>
        <v>BOU623410000</v>
      </c>
      <c r="E451">
        <v>60473.11</v>
      </c>
      <c r="F451">
        <v>0</v>
      </c>
      <c r="G451">
        <f t="shared" ref="G451:G514" si="26">+E451-F451</f>
        <v>60473.11</v>
      </c>
    </row>
    <row r="452" spans="1:7">
      <c r="A452" t="str">
        <f t="shared" si="24"/>
        <v>BOU</v>
      </c>
      <c r="B452" t="str">
        <f>"62342000"</f>
        <v>62342000</v>
      </c>
      <c r="C452" t="str">
        <f t="shared" si="25"/>
        <v>BOU623420000</v>
      </c>
      <c r="E452">
        <v>-429.88</v>
      </c>
      <c r="F452">
        <v>0</v>
      </c>
      <c r="G452">
        <f t="shared" si="26"/>
        <v>-429.88</v>
      </c>
    </row>
    <row r="453" spans="1:7">
      <c r="A453" t="str">
        <f t="shared" si="24"/>
        <v>BOU</v>
      </c>
      <c r="B453" t="str">
        <f>"62370000"</f>
        <v>62370000</v>
      </c>
      <c r="C453" t="str">
        <f t="shared" si="25"/>
        <v>BOU623700000</v>
      </c>
      <c r="E453">
        <v>6125.44</v>
      </c>
      <c r="F453">
        <v>-221.9</v>
      </c>
      <c r="G453">
        <f t="shared" si="26"/>
        <v>6347.3399999999992</v>
      </c>
    </row>
    <row r="454" spans="1:7">
      <c r="A454" t="str">
        <f t="shared" si="24"/>
        <v>BOU</v>
      </c>
      <c r="B454" t="str">
        <f>"62380000"</f>
        <v>62380000</v>
      </c>
      <c r="C454" t="str">
        <f t="shared" si="25"/>
        <v>BOU623800000</v>
      </c>
      <c r="E454">
        <v>80</v>
      </c>
      <c r="F454">
        <v>0</v>
      </c>
      <c r="G454">
        <f t="shared" si="26"/>
        <v>80</v>
      </c>
    </row>
    <row r="455" spans="1:7">
      <c r="A455" t="str">
        <f t="shared" si="24"/>
        <v>BOU</v>
      </c>
      <c r="B455" t="str">
        <f>"62381000"</f>
        <v>62381000</v>
      </c>
      <c r="C455" t="str">
        <f t="shared" si="25"/>
        <v>BOU623810000</v>
      </c>
      <c r="E455">
        <v>-8126.05</v>
      </c>
      <c r="F455">
        <v>0</v>
      </c>
      <c r="G455">
        <f t="shared" si="26"/>
        <v>-8126.05</v>
      </c>
    </row>
    <row r="456" spans="1:7">
      <c r="A456" t="str">
        <f t="shared" si="24"/>
        <v>BOU</v>
      </c>
      <c r="B456" t="str">
        <f>"62420000"</f>
        <v>62420000</v>
      </c>
      <c r="C456" t="str">
        <f t="shared" si="25"/>
        <v>BOU624200000</v>
      </c>
      <c r="E456">
        <v>35913.99</v>
      </c>
      <c r="F456">
        <v>0</v>
      </c>
      <c r="G456">
        <f t="shared" si="26"/>
        <v>35913.99</v>
      </c>
    </row>
    <row r="457" spans="1:7">
      <c r="A457" t="str">
        <f t="shared" si="24"/>
        <v>BOU</v>
      </c>
      <c r="B457" t="str">
        <f>"62510000"</f>
        <v>62510000</v>
      </c>
      <c r="C457" t="str">
        <f t="shared" si="25"/>
        <v>BOU625100000</v>
      </c>
      <c r="E457">
        <v>7349.93</v>
      </c>
      <c r="F457">
        <v>1587.13</v>
      </c>
      <c r="G457">
        <f t="shared" si="26"/>
        <v>5762.8</v>
      </c>
    </row>
    <row r="458" spans="1:7">
      <c r="A458" t="str">
        <f t="shared" si="24"/>
        <v>BOU</v>
      </c>
      <c r="B458" t="str">
        <f>"62560000"</f>
        <v>62560000</v>
      </c>
      <c r="C458" t="str">
        <f t="shared" si="25"/>
        <v>BOU625600000</v>
      </c>
      <c r="E458">
        <v>25.24</v>
      </c>
      <c r="F458">
        <v>0</v>
      </c>
      <c r="G458">
        <f t="shared" si="26"/>
        <v>25.24</v>
      </c>
    </row>
    <row r="459" spans="1:7">
      <c r="A459" t="str">
        <f t="shared" si="24"/>
        <v>BOU</v>
      </c>
      <c r="B459" t="str">
        <f>"62570000"</f>
        <v>62570000</v>
      </c>
      <c r="C459" t="str">
        <f t="shared" si="25"/>
        <v>BOU625700000</v>
      </c>
      <c r="E459">
        <v>9888.73</v>
      </c>
      <c r="F459">
        <v>0</v>
      </c>
      <c r="G459">
        <f t="shared" si="26"/>
        <v>9888.73</v>
      </c>
    </row>
    <row r="460" spans="1:7">
      <c r="A460" t="str">
        <f t="shared" si="24"/>
        <v>BOU</v>
      </c>
      <c r="B460" t="str">
        <f>"62571000"</f>
        <v>62571000</v>
      </c>
      <c r="C460" t="str">
        <f t="shared" si="25"/>
        <v>BOU625710000</v>
      </c>
      <c r="E460">
        <v>3742.02</v>
      </c>
      <c r="F460">
        <v>0</v>
      </c>
      <c r="G460">
        <f t="shared" si="26"/>
        <v>3742.02</v>
      </c>
    </row>
    <row r="461" spans="1:7">
      <c r="A461" t="str">
        <f t="shared" si="24"/>
        <v>BOU</v>
      </c>
      <c r="B461" t="str">
        <f>"62600000"</f>
        <v>62600000</v>
      </c>
      <c r="C461" t="str">
        <f t="shared" si="25"/>
        <v>BOU626000000</v>
      </c>
      <c r="E461">
        <v>5982.63</v>
      </c>
      <c r="F461">
        <v>0</v>
      </c>
      <c r="G461">
        <f t="shared" si="26"/>
        <v>5982.63</v>
      </c>
    </row>
    <row r="462" spans="1:7">
      <c r="A462" t="str">
        <f t="shared" si="24"/>
        <v>BOU</v>
      </c>
      <c r="B462" t="str">
        <f>"62610000"</f>
        <v>62610000</v>
      </c>
      <c r="C462" t="str">
        <f t="shared" si="25"/>
        <v>BOU626100000</v>
      </c>
      <c r="E462">
        <v>1063.69</v>
      </c>
      <c r="F462">
        <v>0</v>
      </c>
      <c r="G462">
        <f t="shared" si="26"/>
        <v>1063.69</v>
      </c>
    </row>
    <row r="463" spans="1:7">
      <c r="A463" t="str">
        <f t="shared" si="24"/>
        <v>BOU</v>
      </c>
      <c r="B463" t="str">
        <f>"62752000"</f>
        <v>62752000</v>
      </c>
      <c r="C463" t="str">
        <f t="shared" si="25"/>
        <v>BOU627520000</v>
      </c>
      <c r="E463">
        <v>947.4</v>
      </c>
      <c r="F463">
        <v>0</v>
      </c>
      <c r="G463">
        <f t="shared" si="26"/>
        <v>947.4</v>
      </c>
    </row>
    <row r="464" spans="1:7">
      <c r="A464" t="str">
        <f t="shared" si="24"/>
        <v>BOU</v>
      </c>
      <c r="B464" t="str">
        <f>"63330000"</f>
        <v>63330000</v>
      </c>
      <c r="C464" t="str">
        <f t="shared" si="25"/>
        <v>BOU633300000</v>
      </c>
      <c r="E464">
        <v>1237.1400000000001</v>
      </c>
      <c r="F464">
        <v>0</v>
      </c>
      <c r="G464">
        <f t="shared" si="26"/>
        <v>1237.1400000000001</v>
      </c>
    </row>
    <row r="465" spans="1:7">
      <c r="A465" t="str">
        <f t="shared" si="24"/>
        <v>BOU</v>
      </c>
      <c r="B465" t="str">
        <f>"63340000"</f>
        <v>63340000</v>
      </c>
      <c r="C465" t="str">
        <f t="shared" si="25"/>
        <v>BOU633400000</v>
      </c>
      <c r="E465">
        <v>643</v>
      </c>
      <c r="F465">
        <v>0</v>
      </c>
      <c r="G465">
        <f t="shared" si="26"/>
        <v>643</v>
      </c>
    </row>
    <row r="466" spans="1:7">
      <c r="A466" t="str">
        <f t="shared" si="24"/>
        <v>BOU</v>
      </c>
      <c r="B466" t="str">
        <f>"63350000"</f>
        <v>63350000</v>
      </c>
      <c r="C466" t="str">
        <f t="shared" si="25"/>
        <v>BOU633500000</v>
      </c>
      <c r="E466">
        <v>972</v>
      </c>
      <c r="F466">
        <v>0</v>
      </c>
      <c r="G466">
        <f t="shared" si="26"/>
        <v>972</v>
      </c>
    </row>
    <row r="467" spans="1:7">
      <c r="A467" t="str">
        <f t="shared" si="24"/>
        <v>BOU</v>
      </c>
      <c r="B467" t="str">
        <f>"63511000"</f>
        <v>63511000</v>
      </c>
      <c r="C467" t="str">
        <f t="shared" si="25"/>
        <v>BOU635110000</v>
      </c>
      <c r="E467">
        <v>5157</v>
      </c>
      <c r="F467">
        <v>0</v>
      </c>
      <c r="G467">
        <f t="shared" si="26"/>
        <v>5157</v>
      </c>
    </row>
    <row r="468" spans="1:7">
      <c r="A468" t="str">
        <f t="shared" si="24"/>
        <v>BOU</v>
      </c>
      <c r="B468" t="str">
        <f>"63512000"</f>
        <v>63512000</v>
      </c>
      <c r="C468" t="str">
        <f t="shared" si="25"/>
        <v>BOU635120000</v>
      </c>
      <c r="E468">
        <v>3302</v>
      </c>
      <c r="F468">
        <v>0</v>
      </c>
      <c r="G468">
        <f t="shared" si="26"/>
        <v>3302</v>
      </c>
    </row>
    <row r="469" spans="1:7">
      <c r="A469" t="str">
        <f t="shared" si="24"/>
        <v>BOU</v>
      </c>
      <c r="B469" t="str">
        <f>"63513000"</f>
        <v>63513000</v>
      </c>
      <c r="C469" t="str">
        <f t="shared" si="25"/>
        <v>BOU635130000</v>
      </c>
      <c r="E469">
        <v>229.5</v>
      </c>
      <c r="F469">
        <v>0</v>
      </c>
      <c r="G469">
        <f t="shared" si="26"/>
        <v>229.5</v>
      </c>
    </row>
    <row r="470" spans="1:7">
      <c r="A470" t="str">
        <f t="shared" si="24"/>
        <v>BOU</v>
      </c>
      <c r="B470" t="str">
        <f>"63710000"</f>
        <v>63710000</v>
      </c>
      <c r="C470" t="str">
        <f t="shared" si="25"/>
        <v>BOU637100000</v>
      </c>
      <c r="E470">
        <v>3165.59</v>
      </c>
      <c r="F470">
        <v>0</v>
      </c>
      <c r="G470">
        <f t="shared" si="26"/>
        <v>3165.59</v>
      </c>
    </row>
    <row r="471" spans="1:7">
      <c r="A471" t="str">
        <f t="shared" si="24"/>
        <v>BOU</v>
      </c>
      <c r="B471" t="str">
        <f>"64110000"</f>
        <v>64110000</v>
      </c>
      <c r="C471" t="str">
        <f t="shared" si="25"/>
        <v>BOU641100000</v>
      </c>
      <c r="E471">
        <v>148337.26999999999</v>
      </c>
      <c r="F471">
        <v>26243.03</v>
      </c>
      <c r="G471">
        <f t="shared" si="26"/>
        <v>122094.23999999999</v>
      </c>
    </row>
    <row r="472" spans="1:7">
      <c r="A472" t="str">
        <f t="shared" si="24"/>
        <v>BOU</v>
      </c>
      <c r="B472" t="str">
        <f>"64111000"</f>
        <v>64111000</v>
      </c>
      <c r="C472" t="str">
        <f t="shared" si="25"/>
        <v>BOU641110000</v>
      </c>
      <c r="E472">
        <v>320</v>
      </c>
      <c r="F472">
        <v>0</v>
      </c>
      <c r="G472">
        <f t="shared" si="26"/>
        <v>320</v>
      </c>
    </row>
    <row r="473" spans="1:7">
      <c r="A473" t="str">
        <f t="shared" si="24"/>
        <v>BOU</v>
      </c>
      <c r="B473" t="str">
        <f>"64120000"</f>
        <v>64120000</v>
      </c>
      <c r="C473" t="str">
        <f t="shared" si="25"/>
        <v>BOU641200000</v>
      </c>
      <c r="E473">
        <v>11380.57</v>
      </c>
      <c r="F473">
        <v>12772.65</v>
      </c>
      <c r="G473">
        <f t="shared" si="26"/>
        <v>-1392.08</v>
      </c>
    </row>
    <row r="474" spans="1:7">
      <c r="A474" t="str">
        <f t="shared" si="24"/>
        <v>BOU</v>
      </c>
      <c r="B474" t="str">
        <f>"64121000"</f>
        <v>64121000</v>
      </c>
      <c r="C474" t="str">
        <f t="shared" si="25"/>
        <v>BOU641210000</v>
      </c>
      <c r="E474">
        <v>4235.8500000000004</v>
      </c>
      <c r="F474">
        <v>5061.8</v>
      </c>
      <c r="G474">
        <f t="shared" si="26"/>
        <v>-825.94999999999982</v>
      </c>
    </row>
    <row r="475" spans="1:7">
      <c r="A475" t="str">
        <f t="shared" si="24"/>
        <v>BOU</v>
      </c>
      <c r="B475" t="str">
        <f>"64510000"</f>
        <v>64510000</v>
      </c>
      <c r="C475" t="str">
        <f t="shared" si="25"/>
        <v>BOU645100000</v>
      </c>
      <c r="E475">
        <v>36634.33</v>
      </c>
      <c r="F475">
        <v>11564.56</v>
      </c>
      <c r="G475">
        <f t="shared" si="26"/>
        <v>25069.770000000004</v>
      </c>
    </row>
    <row r="476" spans="1:7">
      <c r="A476" t="str">
        <f t="shared" si="24"/>
        <v>BOU</v>
      </c>
      <c r="B476" t="str">
        <f>"64520000"</f>
        <v>64520000</v>
      </c>
      <c r="C476" t="str">
        <f t="shared" si="25"/>
        <v>BOU645200000</v>
      </c>
      <c r="E476">
        <v>3838.03</v>
      </c>
      <c r="F476">
        <v>0</v>
      </c>
      <c r="G476">
        <f t="shared" si="26"/>
        <v>3838.03</v>
      </c>
    </row>
    <row r="477" spans="1:7">
      <c r="A477" t="str">
        <f t="shared" si="24"/>
        <v>BOU</v>
      </c>
      <c r="B477" t="str">
        <f>"64530000"</f>
        <v>64530000</v>
      </c>
      <c r="C477" t="str">
        <f t="shared" si="25"/>
        <v>BOU645300000</v>
      </c>
      <c r="E477">
        <v>8744.1</v>
      </c>
      <c r="F477">
        <v>0</v>
      </c>
      <c r="G477">
        <f t="shared" si="26"/>
        <v>8744.1</v>
      </c>
    </row>
    <row r="478" spans="1:7">
      <c r="A478" t="str">
        <f t="shared" si="24"/>
        <v>BOU</v>
      </c>
      <c r="B478" t="str">
        <f>"64540000"</f>
        <v>64540000</v>
      </c>
      <c r="C478" t="str">
        <f t="shared" si="25"/>
        <v>BOU645400000</v>
      </c>
      <c r="E478">
        <v>6080.57</v>
      </c>
      <c r="F478">
        <v>0</v>
      </c>
      <c r="G478">
        <f t="shared" si="26"/>
        <v>6080.57</v>
      </c>
    </row>
    <row r="479" spans="1:7">
      <c r="A479" t="str">
        <f t="shared" si="24"/>
        <v>BOU</v>
      </c>
      <c r="B479" t="str">
        <f>"64590000"</f>
        <v>64590000</v>
      </c>
      <c r="C479" t="str">
        <f t="shared" si="25"/>
        <v>BOU645900000</v>
      </c>
      <c r="E479">
        <v>96.23</v>
      </c>
      <c r="F479">
        <v>0</v>
      </c>
      <c r="G479">
        <f t="shared" si="26"/>
        <v>96.23</v>
      </c>
    </row>
    <row r="480" spans="1:7">
      <c r="A480" t="str">
        <f t="shared" ref="A480:A491" si="27">"BOU"</f>
        <v>BOU</v>
      </c>
      <c r="B480" t="str">
        <f>"64710000"</f>
        <v>64710000</v>
      </c>
      <c r="C480" t="str">
        <f t="shared" si="25"/>
        <v>BOU647100000</v>
      </c>
      <c r="E480">
        <v>92.46</v>
      </c>
      <c r="F480">
        <v>0</v>
      </c>
      <c r="G480">
        <f t="shared" si="26"/>
        <v>92.46</v>
      </c>
    </row>
    <row r="481" spans="1:9">
      <c r="A481" t="str">
        <f t="shared" si="27"/>
        <v>BOU</v>
      </c>
      <c r="B481" t="str">
        <f>"64750000"</f>
        <v>64750000</v>
      </c>
      <c r="C481" t="str">
        <f t="shared" si="25"/>
        <v>BOU647500000</v>
      </c>
      <c r="E481">
        <v>491.16</v>
      </c>
      <c r="F481">
        <v>0</v>
      </c>
      <c r="G481">
        <f t="shared" si="26"/>
        <v>491.16</v>
      </c>
    </row>
    <row r="482" spans="1:9">
      <c r="A482" t="str">
        <f t="shared" si="27"/>
        <v>BOU</v>
      </c>
      <c r="B482" t="str">
        <f>"64800000"</f>
        <v>64800000</v>
      </c>
      <c r="C482" t="str">
        <f t="shared" si="25"/>
        <v>BOU648000000</v>
      </c>
      <c r="E482" s="19">
        <v>11648.06864</v>
      </c>
      <c r="F482">
        <v>1563.62</v>
      </c>
      <c r="G482" s="19">
        <f t="shared" si="26"/>
        <v>10084.448639999999</v>
      </c>
      <c r="H482" s="433">
        <v>11648.06864</v>
      </c>
      <c r="I482" s="113" t="s">
        <v>521</v>
      </c>
    </row>
    <row r="483" spans="1:9">
      <c r="A483" t="str">
        <f t="shared" si="27"/>
        <v>BOU</v>
      </c>
      <c r="B483" t="str">
        <f>"65410000"</f>
        <v>65410000</v>
      </c>
      <c r="C483" t="str">
        <f t="shared" si="25"/>
        <v>BOU654100000</v>
      </c>
      <c r="E483">
        <v>0.77</v>
      </c>
      <c r="F483">
        <v>14.38</v>
      </c>
      <c r="G483">
        <f t="shared" si="26"/>
        <v>-13.610000000000001</v>
      </c>
    </row>
    <row r="484" spans="1:9">
      <c r="A484" t="str">
        <f t="shared" si="27"/>
        <v>BOU</v>
      </c>
      <c r="B484" t="str">
        <f>"65420000"</f>
        <v>65420000</v>
      </c>
      <c r="C484" t="str">
        <f t="shared" si="25"/>
        <v>BOU654200000</v>
      </c>
      <c r="E484">
        <v>6.59</v>
      </c>
      <c r="F484">
        <v>0</v>
      </c>
      <c r="G484">
        <f t="shared" si="26"/>
        <v>6.59</v>
      </c>
    </row>
    <row r="485" spans="1:9">
      <c r="A485" t="str">
        <f t="shared" si="27"/>
        <v>BOU</v>
      </c>
      <c r="B485" t="str">
        <f>"65440000"</f>
        <v>65440000</v>
      </c>
      <c r="C485" t="str">
        <f t="shared" si="25"/>
        <v>BOU654400000</v>
      </c>
      <c r="E485">
        <v>14156.08</v>
      </c>
      <c r="F485">
        <v>0</v>
      </c>
      <c r="G485">
        <f t="shared" si="26"/>
        <v>14156.08</v>
      </c>
    </row>
    <row r="486" spans="1:9">
      <c r="A486" t="str">
        <f t="shared" si="27"/>
        <v>BOU</v>
      </c>
      <c r="B486" t="str">
        <f>"66500000"</f>
        <v>66500000</v>
      </c>
      <c r="C486" t="str">
        <f t="shared" si="25"/>
        <v>BOU665000000</v>
      </c>
      <c r="E486">
        <v>339.98</v>
      </c>
      <c r="F486">
        <v>0</v>
      </c>
      <c r="G486">
        <f t="shared" si="26"/>
        <v>339.98</v>
      </c>
    </row>
    <row r="487" spans="1:9">
      <c r="A487" t="str">
        <f t="shared" si="27"/>
        <v>BOU</v>
      </c>
      <c r="B487" t="str">
        <f>"67520000"</f>
        <v>67520000</v>
      </c>
      <c r="C487" t="str">
        <f t="shared" si="25"/>
        <v>BOU675200000</v>
      </c>
      <c r="E487">
        <v>-296.29000000000002</v>
      </c>
      <c r="F487">
        <v>0</v>
      </c>
      <c r="G487">
        <f t="shared" si="26"/>
        <v>-296.29000000000002</v>
      </c>
    </row>
    <row r="488" spans="1:9">
      <c r="A488" t="str">
        <f t="shared" si="27"/>
        <v>BOU</v>
      </c>
      <c r="B488" t="str">
        <f>"68112000"</f>
        <v>68112000</v>
      </c>
      <c r="C488" t="str">
        <f t="shared" si="25"/>
        <v>BOU681120000</v>
      </c>
      <c r="E488">
        <v>14039.49</v>
      </c>
      <c r="F488">
        <v>0</v>
      </c>
      <c r="G488">
        <f t="shared" si="26"/>
        <v>14039.49</v>
      </c>
    </row>
    <row r="489" spans="1:9">
      <c r="A489" t="str">
        <f t="shared" si="27"/>
        <v>BOU</v>
      </c>
      <c r="B489" t="str">
        <f>"68173000"</f>
        <v>68173000</v>
      </c>
      <c r="C489" t="str">
        <f t="shared" si="25"/>
        <v>BOU681730000</v>
      </c>
      <c r="E489">
        <v>4772.18</v>
      </c>
      <c r="F489">
        <v>0</v>
      </c>
      <c r="G489">
        <f t="shared" si="26"/>
        <v>4772.18</v>
      </c>
    </row>
    <row r="490" spans="1:9">
      <c r="A490" t="str">
        <f t="shared" si="27"/>
        <v>BOU</v>
      </c>
      <c r="B490" t="str">
        <f>"68174000"</f>
        <v>68174000</v>
      </c>
      <c r="C490" t="str">
        <f t="shared" si="25"/>
        <v>BOU681740000</v>
      </c>
      <c r="E490">
        <v>13377.14</v>
      </c>
      <c r="F490">
        <v>0</v>
      </c>
      <c r="G490">
        <f t="shared" si="26"/>
        <v>13377.14</v>
      </c>
    </row>
    <row r="491" spans="1:9">
      <c r="A491" t="str">
        <f t="shared" si="27"/>
        <v>BOU</v>
      </c>
      <c r="B491" t="str">
        <f>"68725000"</f>
        <v>68725000</v>
      </c>
      <c r="C491" t="str">
        <f t="shared" si="25"/>
        <v>BOU687250000</v>
      </c>
      <c r="E491">
        <v>3199.38</v>
      </c>
      <c r="F491">
        <v>0</v>
      </c>
      <c r="G491">
        <f t="shared" si="26"/>
        <v>3199.38</v>
      </c>
    </row>
    <row r="492" spans="1:9">
      <c r="A492" t="str">
        <f>"BRE"</f>
        <v>BRE</v>
      </c>
      <c r="B492" t="str">
        <f>"64111000"</f>
        <v>64111000</v>
      </c>
      <c r="C492" t="str">
        <f t="shared" si="25"/>
        <v>BRE641110000</v>
      </c>
      <c r="E492">
        <v>0</v>
      </c>
      <c r="F492">
        <v>0</v>
      </c>
      <c r="G492">
        <f t="shared" si="26"/>
        <v>0</v>
      </c>
    </row>
    <row r="493" spans="1:9">
      <c r="A493" t="str">
        <f>"BRE"</f>
        <v>BRE</v>
      </c>
      <c r="B493" t="str">
        <f>"65440000"</f>
        <v>65440000</v>
      </c>
      <c r="C493" t="str">
        <f t="shared" si="25"/>
        <v>BRE654400000</v>
      </c>
      <c r="E493">
        <v>773.48</v>
      </c>
      <c r="F493">
        <v>0</v>
      </c>
      <c r="G493">
        <f t="shared" si="26"/>
        <v>773.48</v>
      </c>
    </row>
    <row r="494" spans="1:9">
      <c r="A494" t="str">
        <f>"BRE"</f>
        <v>BRE</v>
      </c>
      <c r="B494" t="str">
        <f>"68174000"</f>
        <v>68174000</v>
      </c>
      <c r="C494" t="str">
        <f t="shared" si="25"/>
        <v>BRE681740000</v>
      </c>
      <c r="E494">
        <v>1479.83</v>
      </c>
      <c r="F494">
        <v>0</v>
      </c>
      <c r="G494">
        <f t="shared" si="26"/>
        <v>1479.83</v>
      </c>
    </row>
    <row r="495" spans="1:9">
      <c r="A495" t="str">
        <f t="shared" ref="A495:A558" si="28">"CAL"</f>
        <v>CAL</v>
      </c>
      <c r="B495" t="str">
        <f>"60610000"</f>
        <v>60610000</v>
      </c>
      <c r="C495" t="str">
        <f t="shared" si="25"/>
        <v>CAL606100000</v>
      </c>
      <c r="E495">
        <v>2710.75</v>
      </c>
      <c r="F495">
        <v>0</v>
      </c>
      <c r="G495">
        <f t="shared" si="26"/>
        <v>2710.75</v>
      </c>
    </row>
    <row r="496" spans="1:9">
      <c r="A496" t="str">
        <f t="shared" si="28"/>
        <v>CAL</v>
      </c>
      <c r="B496" t="str">
        <f>"60611000"</f>
        <v>60611000</v>
      </c>
      <c r="C496" t="str">
        <f t="shared" si="25"/>
        <v>CAL606110000</v>
      </c>
      <c r="E496">
        <v>3954.25</v>
      </c>
      <c r="F496">
        <v>0</v>
      </c>
      <c r="G496">
        <f t="shared" si="26"/>
        <v>3954.25</v>
      </c>
    </row>
    <row r="497" spans="1:7">
      <c r="A497" t="str">
        <f t="shared" si="28"/>
        <v>CAL</v>
      </c>
      <c r="B497" t="str">
        <f>"60613000"</f>
        <v>60613000</v>
      </c>
      <c r="C497" t="str">
        <f t="shared" si="25"/>
        <v>CAL606130000</v>
      </c>
      <c r="E497">
        <v>3066.63</v>
      </c>
      <c r="F497">
        <v>0</v>
      </c>
      <c r="G497">
        <f t="shared" si="26"/>
        <v>3066.63</v>
      </c>
    </row>
    <row r="498" spans="1:7">
      <c r="A498" t="str">
        <f t="shared" si="28"/>
        <v>CAL</v>
      </c>
      <c r="B498" t="str">
        <f>"60641000"</f>
        <v>60641000</v>
      </c>
      <c r="C498" t="str">
        <f t="shared" si="25"/>
        <v>CAL606410000</v>
      </c>
      <c r="E498">
        <v>2212.0100000000002</v>
      </c>
      <c r="F498">
        <v>0</v>
      </c>
      <c r="G498">
        <f t="shared" si="26"/>
        <v>2212.0100000000002</v>
      </c>
    </row>
    <row r="499" spans="1:7">
      <c r="A499" t="str">
        <f t="shared" si="28"/>
        <v>CAL</v>
      </c>
      <c r="B499" t="str">
        <f>"60710000"</f>
        <v>60710000</v>
      </c>
      <c r="C499" t="str">
        <f t="shared" si="25"/>
        <v>CAL607100000</v>
      </c>
      <c r="E499">
        <v>332523.71999999997</v>
      </c>
      <c r="F499">
        <v>9588.9500000000007</v>
      </c>
      <c r="G499">
        <f t="shared" si="26"/>
        <v>322934.76999999996</v>
      </c>
    </row>
    <row r="500" spans="1:7">
      <c r="A500" t="str">
        <f t="shared" si="28"/>
        <v>CAL</v>
      </c>
      <c r="B500" t="str">
        <f>"60711000"</f>
        <v>60711000</v>
      </c>
      <c r="C500" t="str">
        <f t="shared" si="25"/>
        <v>CAL607110000</v>
      </c>
      <c r="E500">
        <v>41757.35</v>
      </c>
      <c r="F500">
        <v>216.77</v>
      </c>
      <c r="G500">
        <f t="shared" si="26"/>
        <v>41540.58</v>
      </c>
    </row>
    <row r="501" spans="1:7">
      <c r="A501" t="str">
        <f t="shared" si="28"/>
        <v>CAL</v>
      </c>
      <c r="B501" t="str">
        <f>"60712000"</f>
        <v>60712000</v>
      </c>
      <c r="C501" t="str">
        <f t="shared" si="25"/>
        <v>CAL607120000</v>
      </c>
      <c r="E501">
        <v>-613.53</v>
      </c>
      <c r="F501">
        <v>0</v>
      </c>
      <c r="G501">
        <f t="shared" si="26"/>
        <v>-613.53</v>
      </c>
    </row>
    <row r="502" spans="1:7">
      <c r="A502" t="str">
        <f t="shared" si="28"/>
        <v>CAL</v>
      </c>
      <c r="B502" t="str">
        <f>"60713000"</f>
        <v>60713000</v>
      </c>
      <c r="C502" t="str">
        <f t="shared" si="25"/>
        <v>CAL607130000</v>
      </c>
      <c r="E502">
        <v>180633</v>
      </c>
      <c r="F502">
        <v>0</v>
      </c>
      <c r="G502">
        <f t="shared" si="26"/>
        <v>180633</v>
      </c>
    </row>
    <row r="503" spans="1:7">
      <c r="A503" t="str">
        <f t="shared" si="28"/>
        <v>CAL</v>
      </c>
      <c r="B503" t="str">
        <f>"60714000"</f>
        <v>60714000</v>
      </c>
      <c r="C503" t="str">
        <f t="shared" si="25"/>
        <v>CAL607140000</v>
      </c>
      <c r="E503">
        <v>-36090</v>
      </c>
      <c r="F503">
        <v>0</v>
      </c>
      <c r="G503">
        <f t="shared" si="26"/>
        <v>-36090</v>
      </c>
    </row>
    <row r="504" spans="1:7">
      <c r="A504" t="str">
        <f t="shared" si="28"/>
        <v>CAL</v>
      </c>
      <c r="B504" t="str">
        <f>"60720000"</f>
        <v>60720000</v>
      </c>
      <c r="C504" t="str">
        <f t="shared" si="25"/>
        <v>CAL607200000</v>
      </c>
      <c r="E504">
        <v>287066.45</v>
      </c>
      <c r="F504">
        <v>0</v>
      </c>
      <c r="G504">
        <f t="shared" si="26"/>
        <v>287066.45</v>
      </c>
    </row>
    <row r="505" spans="1:7">
      <c r="A505" t="str">
        <f t="shared" si="28"/>
        <v>CAL</v>
      </c>
      <c r="B505" t="str">
        <f>"60740000"</f>
        <v>60740000</v>
      </c>
      <c r="C505" t="str">
        <f t="shared" si="25"/>
        <v>CAL607400000</v>
      </c>
      <c r="E505">
        <v>10632.03</v>
      </c>
      <c r="F505">
        <v>43.55</v>
      </c>
      <c r="G505">
        <f t="shared" si="26"/>
        <v>10588.480000000001</v>
      </c>
    </row>
    <row r="506" spans="1:7">
      <c r="A506" t="str">
        <f t="shared" si="28"/>
        <v>CAL</v>
      </c>
      <c r="B506" t="str">
        <f>"60800000"</f>
        <v>60800000</v>
      </c>
      <c r="C506" t="str">
        <f t="shared" si="25"/>
        <v>CAL608000000</v>
      </c>
      <c r="E506">
        <v>1844.27</v>
      </c>
      <c r="F506">
        <v>0</v>
      </c>
      <c r="G506">
        <f t="shared" si="26"/>
        <v>1844.27</v>
      </c>
    </row>
    <row r="507" spans="1:7">
      <c r="A507" t="str">
        <f t="shared" si="28"/>
        <v>CAL</v>
      </c>
      <c r="B507" t="str">
        <f>"60911000"</f>
        <v>60911000</v>
      </c>
      <c r="C507" t="str">
        <f t="shared" si="25"/>
        <v>CAL609110000</v>
      </c>
      <c r="E507">
        <v>-9881.5400000000009</v>
      </c>
      <c r="F507">
        <v>0</v>
      </c>
      <c r="G507">
        <f t="shared" si="26"/>
        <v>-9881.5400000000009</v>
      </c>
    </row>
    <row r="508" spans="1:7">
      <c r="A508" t="str">
        <f t="shared" si="28"/>
        <v>CAL</v>
      </c>
      <c r="B508" t="str">
        <f>"60912000"</f>
        <v>60912000</v>
      </c>
      <c r="C508" t="str">
        <f t="shared" si="25"/>
        <v>CAL609120000</v>
      </c>
      <c r="E508">
        <v>-20595.330000000002</v>
      </c>
      <c r="F508">
        <v>0</v>
      </c>
      <c r="G508">
        <f t="shared" si="26"/>
        <v>-20595.330000000002</v>
      </c>
    </row>
    <row r="509" spans="1:7">
      <c r="A509" t="str">
        <f t="shared" si="28"/>
        <v>CAL</v>
      </c>
      <c r="B509" t="str">
        <f>"60913000"</f>
        <v>60913000</v>
      </c>
      <c r="C509" t="str">
        <f t="shared" si="25"/>
        <v>CAL609130000</v>
      </c>
      <c r="E509">
        <v>-11768.76</v>
      </c>
      <c r="F509">
        <v>0</v>
      </c>
      <c r="G509">
        <f t="shared" si="26"/>
        <v>-11768.76</v>
      </c>
    </row>
    <row r="510" spans="1:7">
      <c r="A510" t="str">
        <f t="shared" si="28"/>
        <v>CAL</v>
      </c>
      <c r="B510" t="str">
        <f>"61100000"</f>
        <v>61100000</v>
      </c>
      <c r="C510" t="str">
        <f t="shared" si="25"/>
        <v>CAL611000000</v>
      </c>
      <c r="E510">
        <v>7.5</v>
      </c>
      <c r="F510">
        <v>0</v>
      </c>
      <c r="G510">
        <f t="shared" si="26"/>
        <v>7.5</v>
      </c>
    </row>
    <row r="511" spans="1:7">
      <c r="A511" t="str">
        <f t="shared" si="28"/>
        <v>CAL</v>
      </c>
      <c r="B511" t="str">
        <f>"61320000"</f>
        <v>61320000</v>
      </c>
      <c r="C511" t="str">
        <f t="shared" si="25"/>
        <v>CAL613200000</v>
      </c>
      <c r="E511">
        <v>11481.92</v>
      </c>
      <c r="F511">
        <v>0</v>
      </c>
      <c r="G511">
        <f t="shared" si="26"/>
        <v>11481.92</v>
      </c>
    </row>
    <row r="512" spans="1:7">
      <c r="A512" t="str">
        <f t="shared" si="28"/>
        <v>CAL</v>
      </c>
      <c r="B512" t="str">
        <f>"61352000"</f>
        <v>61352000</v>
      </c>
      <c r="C512" t="str">
        <f t="shared" si="25"/>
        <v>CAL613520000</v>
      </c>
      <c r="E512">
        <v>2347.71</v>
      </c>
      <c r="F512">
        <v>0</v>
      </c>
      <c r="G512">
        <f t="shared" si="26"/>
        <v>2347.71</v>
      </c>
    </row>
    <row r="513" spans="1:7">
      <c r="A513" t="str">
        <f t="shared" si="28"/>
        <v>CAL</v>
      </c>
      <c r="B513" t="str">
        <f>"61353000"</f>
        <v>61353000</v>
      </c>
      <c r="C513" t="str">
        <f t="shared" si="25"/>
        <v>CAL613530000</v>
      </c>
      <c r="E513">
        <v>180</v>
      </c>
      <c r="F513">
        <v>0</v>
      </c>
      <c r="G513">
        <f t="shared" si="26"/>
        <v>180</v>
      </c>
    </row>
    <row r="514" spans="1:7">
      <c r="A514" t="str">
        <f t="shared" si="28"/>
        <v>CAL</v>
      </c>
      <c r="B514" t="str">
        <f>"61520000"</f>
        <v>61520000</v>
      </c>
      <c r="C514" t="str">
        <f t="shared" si="25"/>
        <v>CAL615200000</v>
      </c>
      <c r="E514">
        <v>983.03</v>
      </c>
      <c r="F514">
        <v>0</v>
      </c>
      <c r="G514">
        <f t="shared" si="26"/>
        <v>983.03</v>
      </c>
    </row>
    <row r="515" spans="1:7">
      <c r="A515" t="str">
        <f t="shared" si="28"/>
        <v>CAL</v>
      </c>
      <c r="B515" t="str">
        <f>"61550000"</f>
        <v>61550000</v>
      </c>
      <c r="C515" t="str">
        <f t="shared" ref="C515:C578" si="29">+A515&amp;B515*10</f>
        <v>CAL615500000</v>
      </c>
      <c r="E515">
        <v>934</v>
      </c>
      <c r="F515">
        <v>14</v>
      </c>
      <c r="G515">
        <f t="shared" ref="G515:G578" si="30">+E515-F515</f>
        <v>920</v>
      </c>
    </row>
    <row r="516" spans="1:7">
      <c r="A516" t="str">
        <f t="shared" si="28"/>
        <v>CAL</v>
      </c>
      <c r="B516" t="str">
        <f>"61551000"</f>
        <v>61551000</v>
      </c>
      <c r="C516" t="str">
        <f t="shared" si="29"/>
        <v>CAL615510000</v>
      </c>
      <c r="E516">
        <v>736.04</v>
      </c>
      <c r="F516">
        <v>0</v>
      </c>
      <c r="G516">
        <f t="shared" si="30"/>
        <v>736.04</v>
      </c>
    </row>
    <row r="517" spans="1:7">
      <c r="A517" t="str">
        <f t="shared" si="28"/>
        <v>CAL</v>
      </c>
      <c r="B517" t="str">
        <f>"61552000"</f>
        <v>61552000</v>
      </c>
      <c r="C517" t="str">
        <f t="shared" si="29"/>
        <v>CAL615520000</v>
      </c>
      <c r="E517">
        <v>6488.14</v>
      </c>
      <c r="F517">
        <v>0</v>
      </c>
      <c r="G517">
        <f t="shared" si="30"/>
        <v>6488.14</v>
      </c>
    </row>
    <row r="518" spans="1:7">
      <c r="A518" t="str">
        <f t="shared" si="28"/>
        <v>CAL</v>
      </c>
      <c r="B518" t="str">
        <f>"61612000"</f>
        <v>61612000</v>
      </c>
      <c r="C518" t="str">
        <f t="shared" si="29"/>
        <v>CAL616120000</v>
      </c>
      <c r="E518">
        <v>1042.8800000000001</v>
      </c>
      <c r="F518">
        <v>0</v>
      </c>
      <c r="G518">
        <f t="shared" si="30"/>
        <v>1042.8800000000001</v>
      </c>
    </row>
    <row r="519" spans="1:7">
      <c r="A519" t="str">
        <f t="shared" si="28"/>
        <v>CAL</v>
      </c>
      <c r="B519" t="str">
        <f>"61613000"</f>
        <v>61613000</v>
      </c>
      <c r="C519" t="str">
        <f t="shared" si="29"/>
        <v>CAL616130000</v>
      </c>
      <c r="E519">
        <v>2428.37</v>
      </c>
      <c r="F519">
        <v>0</v>
      </c>
      <c r="G519">
        <f t="shared" si="30"/>
        <v>2428.37</v>
      </c>
    </row>
    <row r="520" spans="1:7">
      <c r="A520" t="str">
        <f t="shared" si="28"/>
        <v>CAL</v>
      </c>
      <c r="B520" t="str">
        <f>"61810000"</f>
        <v>61810000</v>
      </c>
      <c r="C520" t="str">
        <f t="shared" si="29"/>
        <v>CAL618100000</v>
      </c>
      <c r="E520">
        <v>112.2</v>
      </c>
      <c r="F520">
        <v>0</v>
      </c>
      <c r="G520">
        <f t="shared" si="30"/>
        <v>112.2</v>
      </c>
    </row>
    <row r="521" spans="1:7">
      <c r="A521" t="str">
        <f t="shared" si="28"/>
        <v>CAL</v>
      </c>
      <c r="B521" t="str">
        <f>"61850000"</f>
        <v>61850000</v>
      </c>
      <c r="C521" t="str">
        <f t="shared" si="29"/>
        <v>CAL618500000</v>
      </c>
      <c r="E521">
        <v>442.39</v>
      </c>
      <c r="F521">
        <v>0</v>
      </c>
      <c r="G521">
        <f t="shared" si="30"/>
        <v>442.39</v>
      </c>
    </row>
    <row r="522" spans="1:7">
      <c r="A522" t="str">
        <f t="shared" si="28"/>
        <v>CAL</v>
      </c>
      <c r="B522" t="str">
        <f>"62110000"</f>
        <v>62110000</v>
      </c>
      <c r="C522" t="str">
        <f t="shared" si="29"/>
        <v>CAL621100000</v>
      </c>
      <c r="E522">
        <v>128.69999999999999</v>
      </c>
      <c r="F522">
        <v>0</v>
      </c>
      <c r="G522">
        <f t="shared" si="30"/>
        <v>128.69999999999999</v>
      </c>
    </row>
    <row r="523" spans="1:7">
      <c r="A523" t="str">
        <f t="shared" si="28"/>
        <v>CAL</v>
      </c>
      <c r="B523" t="str">
        <f>"62270000"</f>
        <v>62270000</v>
      </c>
      <c r="C523" t="str">
        <f t="shared" si="29"/>
        <v>CAL622700000</v>
      </c>
      <c r="E523">
        <v>565.44000000000005</v>
      </c>
      <c r="F523">
        <v>0</v>
      </c>
      <c r="G523">
        <f t="shared" si="30"/>
        <v>565.44000000000005</v>
      </c>
    </row>
    <row r="524" spans="1:7">
      <c r="A524" t="str">
        <f t="shared" si="28"/>
        <v>CAL</v>
      </c>
      <c r="B524" t="str">
        <f>"62310000"</f>
        <v>62310000</v>
      </c>
      <c r="C524" t="str">
        <f t="shared" si="29"/>
        <v>CAL623100000</v>
      </c>
      <c r="E524">
        <v>774.3</v>
      </c>
      <c r="F524">
        <v>0</v>
      </c>
      <c r="G524">
        <f t="shared" si="30"/>
        <v>774.3</v>
      </c>
    </row>
    <row r="525" spans="1:7">
      <c r="A525" t="str">
        <f t="shared" si="28"/>
        <v>CAL</v>
      </c>
      <c r="B525" t="str">
        <f>"62320000"</f>
        <v>62320000</v>
      </c>
      <c r="C525" t="str">
        <f t="shared" si="29"/>
        <v>CAL623200000</v>
      </c>
      <c r="E525">
        <v>9056.89</v>
      </c>
      <c r="F525">
        <v>0</v>
      </c>
      <c r="G525">
        <f t="shared" si="30"/>
        <v>9056.89</v>
      </c>
    </row>
    <row r="526" spans="1:7">
      <c r="A526" t="str">
        <f t="shared" si="28"/>
        <v>CAL</v>
      </c>
      <c r="B526" t="str">
        <f>"62330000"</f>
        <v>62330000</v>
      </c>
      <c r="C526" t="str">
        <f t="shared" si="29"/>
        <v>CAL623300000</v>
      </c>
      <c r="E526">
        <v>130.91999999999999</v>
      </c>
      <c r="F526">
        <v>0</v>
      </c>
      <c r="G526">
        <f t="shared" si="30"/>
        <v>130.91999999999999</v>
      </c>
    </row>
    <row r="527" spans="1:7">
      <c r="A527" t="str">
        <f t="shared" si="28"/>
        <v>CAL</v>
      </c>
      <c r="B527" t="str">
        <f>"62341000"</f>
        <v>62341000</v>
      </c>
      <c r="C527" t="str">
        <f t="shared" si="29"/>
        <v>CAL623410000</v>
      </c>
      <c r="E527">
        <v>15524.38</v>
      </c>
      <c r="F527">
        <v>0</v>
      </c>
      <c r="G527">
        <f t="shared" si="30"/>
        <v>15524.38</v>
      </c>
    </row>
    <row r="528" spans="1:7">
      <c r="A528" t="str">
        <f t="shared" si="28"/>
        <v>CAL</v>
      </c>
      <c r="B528" t="str">
        <f>"62342000"</f>
        <v>62342000</v>
      </c>
      <c r="C528" t="str">
        <f t="shared" si="29"/>
        <v>CAL623420000</v>
      </c>
      <c r="E528">
        <v>-257.97000000000003</v>
      </c>
      <c r="F528">
        <v>0</v>
      </c>
      <c r="G528">
        <f t="shared" si="30"/>
        <v>-257.97000000000003</v>
      </c>
    </row>
    <row r="529" spans="1:7">
      <c r="A529" t="str">
        <f t="shared" si="28"/>
        <v>CAL</v>
      </c>
      <c r="B529" t="str">
        <f>"62370000"</f>
        <v>62370000</v>
      </c>
      <c r="C529" t="str">
        <f t="shared" si="29"/>
        <v>CAL623700000</v>
      </c>
      <c r="E529">
        <v>1288.8</v>
      </c>
      <c r="F529">
        <v>-221.9</v>
      </c>
      <c r="G529">
        <f t="shared" si="30"/>
        <v>1510.7</v>
      </c>
    </row>
    <row r="530" spans="1:7">
      <c r="A530" t="str">
        <f t="shared" si="28"/>
        <v>CAL</v>
      </c>
      <c r="B530" t="str">
        <f>"62381000"</f>
        <v>62381000</v>
      </c>
      <c r="C530" t="str">
        <f t="shared" si="29"/>
        <v>CAL623810000</v>
      </c>
      <c r="E530">
        <v>0</v>
      </c>
      <c r="F530">
        <v>0</v>
      </c>
      <c r="G530">
        <f t="shared" si="30"/>
        <v>0</v>
      </c>
    </row>
    <row r="531" spans="1:7">
      <c r="A531" t="str">
        <f t="shared" si="28"/>
        <v>CAL</v>
      </c>
      <c r="B531" t="str">
        <f>"62420000"</f>
        <v>62420000</v>
      </c>
      <c r="C531" t="str">
        <f t="shared" si="29"/>
        <v>CAL624200000</v>
      </c>
      <c r="E531">
        <v>28301.35</v>
      </c>
      <c r="F531">
        <v>0</v>
      </c>
      <c r="G531">
        <f t="shared" si="30"/>
        <v>28301.35</v>
      </c>
    </row>
    <row r="532" spans="1:7">
      <c r="A532" t="str">
        <f t="shared" si="28"/>
        <v>CAL</v>
      </c>
      <c r="B532" t="str">
        <f>"62510000"</f>
        <v>62510000</v>
      </c>
      <c r="C532" t="str">
        <f t="shared" si="29"/>
        <v>CAL625100000</v>
      </c>
      <c r="E532">
        <v>3824.81</v>
      </c>
      <c r="F532">
        <v>160.46</v>
      </c>
      <c r="G532">
        <f t="shared" si="30"/>
        <v>3664.35</v>
      </c>
    </row>
    <row r="533" spans="1:7">
      <c r="A533" t="str">
        <f t="shared" si="28"/>
        <v>CAL</v>
      </c>
      <c r="B533" t="str">
        <f>"62520000"</f>
        <v>62520000</v>
      </c>
      <c r="C533" t="str">
        <f t="shared" si="29"/>
        <v>CAL625200000</v>
      </c>
      <c r="E533">
        <v>107.94</v>
      </c>
      <c r="F533">
        <v>0</v>
      </c>
      <c r="G533">
        <f t="shared" si="30"/>
        <v>107.94</v>
      </c>
    </row>
    <row r="534" spans="1:7">
      <c r="A534" t="str">
        <f t="shared" si="28"/>
        <v>CAL</v>
      </c>
      <c r="B534" t="str">
        <f>"62560000"</f>
        <v>62560000</v>
      </c>
      <c r="C534" t="str">
        <f t="shared" si="29"/>
        <v>CAL625600000</v>
      </c>
      <c r="E534">
        <v>25.23</v>
      </c>
      <c r="F534">
        <v>0</v>
      </c>
      <c r="G534">
        <f t="shared" si="30"/>
        <v>25.23</v>
      </c>
    </row>
    <row r="535" spans="1:7">
      <c r="A535" t="str">
        <f t="shared" si="28"/>
        <v>CAL</v>
      </c>
      <c r="B535" t="str">
        <f>"62570000"</f>
        <v>62570000</v>
      </c>
      <c r="C535" t="str">
        <f t="shared" si="29"/>
        <v>CAL625700000</v>
      </c>
      <c r="E535">
        <v>4190.54</v>
      </c>
      <c r="F535">
        <v>0</v>
      </c>
      <c r="G535">
        <f t="shared" si="30"/>
        <v>4190.54</v>
      </c>
    </row>
    <row r="536" spans="1:7">
      <c r="A536" t="str">
        <f t="shared" si="28"/>
        <v>CAL</v>
      </c>
      <c r="B536" t="str">
        <f>"62571000"</f>
        <v>62571000</v>
      </c>
      <c r="C536" t="str">
        <f t="shared" si="29"/>
        <v>CAL625710000</v>
      </c>
      <c r="E536">
        <v>2830.73</v>
      </c>
      <c r="F536">
        <v>0</v>
      </c>
      <c r="G536">
        <f t="shared" si="30"/>
        <v>2830.73</v>
      </c>
    </row>
    <row r="537" spans="1:7">
      <c r="A537" t="str">
        <f t="shared" si="28"/>
        <v>CAL</v>
      </c>
      <c r="B537" t="str">
        <f>"62600000"</f>
        <v>62600000</v>
      </c>
      <c r="C537" t="str">
        <f t="shared" si="29"/>
        <v>CAL626000000</v>
      </c>
      <c r="E537">
        <v>3839.91</v>
      </c>
      <c r="F537">
        <v>0</v>
      </c>
      <c r="G537">
        <f t="shared" si="30"/>
        <v>3839.91</v>
      </c>
    </row>
    <row r="538" spans="1:7">
      <c r="A538" t="str">
        <f t="shared" si="28"/>
        <v>CAL</v>
      </c>
      <c r="B538" t="str">
        <f>"62610000"</f>
        <v>62610000</v>
      </c>
      <c r="C538" t="str">
        <f t="shared" si="29"/>
        <v>CAL626100000</v>
      </c>
      <c r="E538">
        <v>644.73</v>
      </c>
      <c r="F538">
        <v>0</v>
      </c>
      <c r="G538">
        <f t="shared" si="30"/>
        <v>644.73</v>
      </c>
    </row>
    <row r="539" spans="1:7">
      <c r="A539" t="str">
        <f t="shared" si="28"/>
        <v>CAL</v>
      </c>
      <c r="B539" t="str">
        <f>"62752000"</f>
        <v>62752000</v>
      </c>
      <c r="C539" t="str">
        <f t="shared" si="29"/>
        <v>CAL627520000</v>
      </c>
      <c r="E539">
        <v>625.20000000000005</v>
      </c>
      <c r="F539">
        <v>0</v>
      </c>
      <c r="G539">
        <f t="shared" si="30"/>
        <v>625.20000000000005</v>
      </c>
    </row>
    <row r="540" spans="1:7">
      <c r="A540" t="str">
        <f t="shared" si="28"/>
        <v>CAL</v>
      </c>
      <c r="B540" t="str">
        <f>"63330000"</f>
        <v>63330000</v>
      </c>
      <c r="C540" t="str">
        <f t="shared" si="29"/>
        <v>CAL633300000</v>
      </c>
      <c r="E540">
        <v>544</v>
      </c>
      <c r="F540">
        <v>0</v>
      </c>
      <c r="G540">
        <f t="shared" si="30"/>
        <v>544</v>
      </c>
    </row>
    <row r="541" spans="1:7">
      <c r="A541" t="str">
        <f t="shared" si="28"/>
        <v>CAL</v>
      </c>
      <c r="B541" t="str">
        <f>"63340000"</f>
        <v>63340000</v>
      </c>
      <c r="C541" t="str">
        <f t="shared" si="29"/>
        <v>CAL633400000</v>
      </c>
      <c r="E541">
        <v>300</v>
      </c>
      <c r="F541">
        <v>0</v>
      </c>
      <c r="G541">
        <f t="shared" si="30"/>
        <v>300</v>
      </c>
    </row>
    <row r="542" spans="1:7">
      <c r="A542" t="str">
        <f t="shared" si="28"/>
        <v>CAL</v>
      </c>
      <c r="B542" t="str">
        <f>"63350000"</f>
        <v>63350000</v>
      </c>
      <c r="C542" t="str">
        <f t="shared" si="29"/>
        <v>CAL633500000</v>
      </c>
      <c r="E542">
        <v>453</v>
      </c>
      <c r="F542">
        <v>0</v>
      </c>
      <c r="G542">
        <f t="shared" si="30"/>
        <v>453</v>
      </c>
    </row>
    <row r="543" spans="1:7">
      <c r="A543" t="str">
        <f t="shared" si="28"/>
        <v>CAL</v>
      </c>
      <c r="B543" t="str">
        <f>"63511000"</f>
        <v>63511000</v>
      </c>
      <c r="C543" t="str">
        <f t="shared" si="29"/>
        <v>CAL635110000</v>
      </c>
      <c r="E543">
        <v>3675</v>
      </c>
      <c r="F543">
        <v>0</v>
      </c>
      <c r="G543">
        <f t="shared" si="30"/>
        <v>3675</v>
      </c>
    </row>
    <row r="544" spans="1:7">
      <c r="A544" t="str">
        <f t="shared" si="28"/>
        <v>CAL</v>
      </c>
      <c r="B544" t="str">
        <f>"63512000"</f>
        <v>63512000</v>
      </c>
      <c r="C544" t="str">
        <f t="shared" si="29"/>
        <v>CAL635120000</v>
      </c>
      <c r="E544">
        <v>1237</v>
      </c>
      <c r="F544">
        <v>0</v>
      </c>
      <c r="G544">
        <f t="shared" si="30"/>
        <v>1237</v>
      </c>
    </row>
    <row r="545" spans="1:9">
      <c r="A545" t="str">
        <f t="shared" si="28"/>
        <v>CAL</v>
      </c>
      <c r="B545" t="str">
        <f>"63710000"</f>
        <v>63710000</v>
      </c>
      <c r="C545" t="str">
        <f t="shared" si="29"/>
        <v>CAL637100000</v>
      </c>
      <c r="E545">
        <v>1745.01</v>
      </c>
      <c r="F545">
        <v>0</v>
      </c>
      <c r="G545">
        <f t="shared" si="30"/>
        <v>1745.01</v>
      </c>
    </row>
    <row r="546" spans="1:9">
      <c r="A546" t="str">
        <f t="shared" si="28"/>
        <v>CAL</v>
      </c>
      <c r="B546" t="str">
        <f>"64110000"</f>
        <v>64110000</v>
      </c>
      <c r="C546" t="str">
        <f t="shared" si="29"/>
        <v>CAL641100000</v>
      </c>
      <c r="E546">
        <v>78746.73</v>
      </c>
      <c r="F546">
        <v>3208.82</v>
      </c>
      <c r="G546">
        <f t="shared" si="30"/>
        <v>75537.909999999989</v>
      </c>
    </row>
    <row r="547" spans="1:9">
      <c r="A547" t="str">
        <f t="shared" si="28"/>
        <v>CAL</v>
      </c>
      <c r="B547" t="str">
        <f>"64111000"</f>
        <v>64111000</v>
      </c>
      <c r="C547" t="str">
        <f t="shared" si="29"/>
        <v>CAL641110000</v>
      </c>
      <c r="E547">
        <v>-200</v>
      </c>
      <c r="F547">
        <v>0</v>
      </c>
      <c r="G547">
        <f t="shared" si="30"/>
        <v>-200</v>
      </c>
    </row>
    <row r="548" spans="1:9">
      <c r="A548" t="str">
        <f t="shared" si="28"/>
        <v>CAL</v>
      </c>
      <c r="B548" t="str">
        <f>"64120000"</f>
        <v>64120000</v>
      </c>
      <c r="C548" t="str">
        <f t="shared" si="29"/>
        <v>CAL641200000</v>
      </c>
      <c r="E548">
        <v>5946.4</v>
      </c>
      <c r="F548">
        <v>5080.3900000000003</v>
      </c>
      <c r="G548">
        <f t="shared" si="30"/>
        <v>866.00999999999931</v>
      </c>
    </row>
    <row r="549" spans="1:9">
      <c r="A549" t="str">
        <f t="shared" si="28"/>
        <v>CAL</v>
      </c>
      <c r="B549" t="str">
        <f>"64121000"</f>
        <v>64121000</v>
      </c>
      <c r="C549" t="str">
        <f t="shared" si="29"/>
        <v>CAL641210000</v>
      </c>
      <c r="E549">
        <v>2320.88</v>
      </c>
      <c r="F549">
        <v>1967.64</v>
      </c>
      <c r="G549">
        <f t="shared" si="30"/>
        <v>353.24</v>
      </c>
    </row>
    <row r="550" spans="1:9">
      <c r="A550" t="str">
        <f t="shared" si="28"/>
        <v>CAL</v>
      </c>
      <c r="B550" t="str">
        <f>"64510000"</f>
        <v>64510000</v>
      </c>
      <c r="C550" t="str">
        <f t="shared" si="29"/>
        <v>CAL645100000</v>
      </c>
      <c r="E550">
        <v>23362.53</v>
      </c>
      <c r="F550">
        <v>1452.58</v>
      </c>
      <c r="G550">
        <f t="shared" si="30"/>
        <v>21909.949999999997</v>
      </c>
    </row>
    <row r="551" spans="1:9">
      <c r="A551" t="str">
        <f t="shared" si="28"/>
        <v>CAL</v>
      </c>
      <c r="B551" t="str">
        <f>"64520000"</f>
        <v>64520000</v>
      </c>
      <c r="C551" t="str">
        <f t="shared" si="29"/>
        <v>CAL645200000</v>
      </c>
      <c r="E551">
        <v>1543.68</v>
      </c>
      <c r="F551">
        <v>0</v>
      </c>
      <c r="G551">
        <f t="shared" si="30"/>
        <v>1543.68</v>
      </c>
    </row>
    <row r="552" spans="1:9">
      <c r="A552" t="str">
        <f t="shared" si="28"/>
        <v>CAL</v>
      </c>
      <c r="B552" t="str">
        <f>"64530000"</f>
        <v>64530000</v>
      </c>
      <c r="C552" t="str">
        <f t="shared" si="29"/>
        <v>CAL645300000</v>
      </c>
      <c r="E552">
        <v>3796.97</v>
      </c>
      <c r="F552">
        <v>0</v>
      </c>
      <c r="G552">
        <f t="shared" si="30"/>
        <v>3796.97</v>
      </c>
    </row>
    <row r="553" spans="1:9">
      <c r="A553" t="str">
        <f t="shared" si="28"/>
        <v>CAL</v>
      </c>
      <c r="B553" t="str">
        <f>"64540000"</f>
        <v>64540000</v>
      </c>
      <c r="C553" t="str">
        <f t="shared" si="29"/>
        <v>CAL645400000</v>
      </c>
      <c r="E553">
        <v>2836.36</v>
      </c>
      <c r="F553">
        <v>0</v>
      </c>
      <c r="G553">
        <f t="shared" si="30"/>
        <v>2836.36</v>
      </c>
    </row>
    <row r="554" spans="1:9">
      <c r="A554" t="str">
        <f t="shared" si="28"/>
        <v>CAL</v>
      </c>
      <c r="B554" t="str">
        <f>"64590000"</f>
        <v>64590000</v>
      </c>
      <c r="C554" t="str">
        <f t="shared" si="29"/>
        <v>CAL645900000</v>
      </c>
      <c r="E554">
        <v>-76.86</v>
      </c>
      <c r="F554">
        <v>0</v>
      </c>
      <c r="G554">
        <f t="shared" si="30"/>
        <v>-76.86</v>
      </c>
    </row>
    <row r="555" spans="1:9">
      <c r="A555" t="str">
        <f t="shared" si="28"/>
        <v>CAL</v>
      </c>
      <c r="B555" t="str">
        <f>"64710000"</f>
        <v>64710000</v>
      </c>
      <c r="C555" t="str">
        <f t="shared" si="29"/>
        <v>CAL647100000</v>
      </c>
      <c r="E555">
        <v>39.6</v>
      </c>
      <c r="F555">
        <v>0</v>
      </c>
      <c r="G555">
        <f t="shared" si="30"/>
        <v>39.6</v>
      </c>
    </row>
    <row r="556" spans="1:9">
      <c r="A556" t="str">
        <f t="shared" si="28"/>
        <v>CAL</v>
      </c>
      <c r="B556" t="str">
        <f>"64750000"</f>
        <v>64750000</v>
      </c>
      <c r="C556" t="str">
        <f t="shared" si="29"/>
        <v>CAL647500000</v>
      </c>
      <c r="E556">
        <v>249.53</v>
      </c>
      <c r="F556">
        <v>0</v>
      </c>
      <c r="G556">
        <f t="shared" si="30"/>
        <v>249.53</v>
      </c>
    </row>
    <row r="557" spans="1:9">
      <c r="A557" t="str">
        <f t="shared" si="28"/>
        <v>CAL</v>
      </c>
      <c r="B557" t="str">
        <f>"64800000"</f>
        <v>64800000</v>
      </c>
      <c r="C557" t="str">
        <f t="shared" si="29"/>
        <v>CAL648000000</v>
      </c>
      <c r="E557" s="19">
        <v>1683.3379199999999</v>
      </c>
      <c r="F557">
        <v>0</v>
      </c>
      <c r="G557" s="19">
        <f t="shared" si="30"/>
        <v>1683.3379199999999</v>
      </c>
      <c r="H557" s="433">
        <v>1657.23792</v>
      </c>
      <c r="I557" s="113" t="s">
        <v>522</v>
      </c>
    </row>
    <row r="558" spans="1:9">
      <c r="A558" t="str">
        <f t="shared" si="28"/>
        <v>CAL</v>
      </c>
      <c r="B558" t="str">
        <f>"65410000"</f>
        <v>65410000</v>
      </c>
      <c r="C558" t="str">
        <f t="shared" si="29"/>
        <v>CAL654100000</v>
      </c>
      <c r="E558">
        <v>11.01</v>
      </c>
      <c r="F558">
        <v>0.14000000000000001</v>
      </c>
      <c r="G558">
        <f t="shared" si="30"/>
        <v>10.87</v>
      </c>
    </row>
    <row r="559" spans="1:9">
      <c r="A559" t="str">
        <f t="shared" ref="A559:A567" si="31">"CAL"</f>
        <v>CAL</v>
      </c>
      <c r="B559" t="str">
        <f>"65420000"</f>
        <v>65420000</v>
      </c>
      <c r="C559" t="str">
        <f t="shared" si="29"/>
        <v>CAL654200000</v>
      </c>
      <c r="E559">
        <v>28.13</v>
      </c>
      <c r="F559">
        <v>0</v>
      </c>
      <c r="G559">
        <f t="shared" si="30"/>
        <v>28.13</v>
      </c>
    </row>
    <row r="560" spans="1:9">
      <c r="A560" t="str">
        <f t="shared" si="31"/>
        <v>CAL</v>
      </c>
      <c r="B560" t="str">
        <f>"65440000"</f>
        <v>65440000</v>
      </c>
      <c r="C560" t="str">
        <f t="shared" si="29"/>
        <v>CAL654400000</v>
      </c>
      <c r="E560">
        <v>2352.27</v>
      </c>
      <c r="F560">
        <v>0</v>
      </c>
      <c r="G560">
        <f t="shared" si="30"/>
        <v>2352.27</v>
      </c>
    </row>
    <row r="561" spans="1:7">
      <c r="A561" t="str">
        <f t="shared" si="31"/>
        <v>CAL</v>
      </c>
      <c r="B561" t="str">
        <f>"65800000"</f>
        <v>65800000</v>
      </c>
      <c r="C561" t="str">
        <f t="shared" si="29"/>
        <v>CAL658000000</v>
      </c>
      <c r="E561">
        <v>2704.06</v>
      </c>
      <c r="F561">
        <v>0</v>
      </c>
      <c r="G561">
        <f t="shared" si="30"/>
        <v>2704.06</v>
      </c>
    </row>
    <row r="562" spans="1:7">
      <c r="A562" t="str">
        <f t="shared" si="31"/>
        <v>CAL</v>
      </c>
      <c r="B562" t="str">
        <f>"66500000"</f>
        <v>66500000</v>
      </c>
      <c r="C562" t="str">
        <f t="shared" si="29"/>
        <v>CAL665000000</v>
      </c>
      <c r="E562">
        <v>129.84</v>
      </c>
      <c r="F562">
        <v>0</v>
      </c>
      <c r="G562">
        <f t="shared" si="30"/>
        <v>129.84</v>
      </c>
    </row>
    <row r="563" spans="1:7">
      <c r="A563" t="str">
        <f t="shared" si="31"/>
        <v>CAL</v>
      </c>
      <c r="B563" t="str">
        <f>"67180000"</f>
        <v>67180000</v>
      </c>
      <c r="C563" t="str">
        <f t="shared" si="29"/>
        <v>CAL671800000</v>
      </c>
      <c r="E563">
        <v>217.27</v>
      </c>
      <c r="F563">
        <v>0</v>
      </c>
      <c r="G563">
        <f t="shared" si="30"/>
        <v>217.27</v>
      </c>
    </row>
    <row r="564" spans="1:7">
      <c r="A564" t="str">
        <f t="shared" si="31"/>
        <v>CAL</v>
      </c>
      <c r="B564" t="str">
        <f>"68112000"</f>
        <v>68112000</v>
      </c>
      <c r="C564" t="str">
        <f t="shared" si="29"/>
        <v>CAL681120000</v>
      </c>
      <c r="E564">
        <v>4586.2299999999996</v>
      </c>
      <c r="F564">
        <v>0</v>
      </c>
      <c r="G564">
        <f t="shared" si="30"/>
        <v>4586.2299999999996</v>
      </c>
    </row>
    <row r="565" spans="1:7">
      <c r="A565" t="str">
        <f t="shared" si="31"/>
        <v>CAL</v>
      </c>
      <c r="B565" t="str">
        <f>"68173000"</f>
        <v>68173000</v>
      </c>
      <c r="C565" t="str">
        <f t="shared" si="29"/>
        <v>CAL681730000</v>
      </c>
      <c r="E565">
        <v>3086.5</v>
      </c>
      <c r="F565">
        <v>0</v>
      </c>
      <c r="G565">
        <f t="shared" si="30"/>
        <v>3086.5</v>
      </c>
    </row>
    <row r="566" spans="1:7">
      <c r="A566" t="str">
        <f t="shared" si="31"/>
        <v>CAL</v>
      </c>
      <c r="B566" t="str">
        <f>"68174000"</f>
        <v>68174000</v>
      </c>
      <c r="C566" t="str">
        <f t="shared" si="29"/>
        <v>CAL681740000</v>
      </c>
      <c r="E566">
        <v>30545.33</v>
      </c>
      <c r="F566">
        <v>0</v>
      </c>
      <c r="G566">
        <f t="shared" si="30"/>
        <v>30545.33</v>
      </c>
    </row>
    <row r="567" spans="1:7">
      <c r="A567" t="str">
        <f t="shared" si="31"/>
        <v>CAL</v>
      </c>
      <c r="B567" t="str">
        <f>"68725000"</f>
        <v>68725000</v>
      </c>
      <c r="C567" t="str">
        <f t="shared" si="29"/>
        <v>CAL687250000</v>
      </c>
      <c r="E567">
        <v>224.31</v>
      </c>
      <c r="F567">
        <v>0</v>
      </c>
      <c r="G567">
        <f t="shared" si="30"/>
        <v>224.31</v>
      </c>
    </row>
    <row r="568" spans="1:7">
      <c r="A568" t="str">
        <f t="shared" ref="A568:A631" si="32">"CAM"</f>
        <v>CAM</v>
      </c>
      <c r="B568" t="str">
        <f>"60265000"</f>
        <v>60265000</v>
      </c>
      <c r="C568" t="str">
        <f t="shared" si="29"/>
        <v>CAM602650000</v>
      </c>
      <c r="E568">
        <v>53.57</v>
      </c>
      <c r="F568">
        <v>0</v>
      </c>
      <c r="G568">
        <f t="shared" si="30"/>
        <v>53.57</v>
      </c>
    </row>
    <row r="569" spans="1:7">
      <c r="A569" t="str">
        <f t="shared" si="32"/>
        <v>CAM</v>
      </c>
      <c r="B569" t="str">
        <f>"60610000"</f>
        <v>60610000</v>
      </c>
      <c r="C569" t="str">
        <f t="shared" si="29"/>
        <v>CAM606100000</v>
      </c>
      <c r="E569">
        <v>3112.56</v>
      </c>
      <c r="F569">
        <v>0</v>
      </c>
      <c r="G569">
        <f t="shared" si="30"/>
        <v>3112.56</v>
      </c>
    </row>
    <row r="570" spans="1:7">
      <c r="A570" t="str">
        <f t="shared" si="32"/>
        <v>CAM</v>
      </c>
      <c r="B570" t="str">
        <f>"60611000"</f>
        <v>60611000</v>
      </c>
      <c r="C570" t="str">
        <f t="shared" si="29"/>
        <v>CAM606110000</v>
      </c>
      <c r="E570">
        <v>2861.39</v>
      </c>
      <c r="F570">
        <v>0</v>
      </c>
      <c r="G570">
        <f t="shared" si="30"/>
        <v>2861.39</v>
      </c>
    </row>
    <row r="571" spans="1:7">
      <c r="A571" t="str">
        <f t="shared" si="32"/>
        <v>CAM</v>
      </c>
      <c r="B571" t="str">
        <f>"60613000"</f>
        <v>60613000</v>
      </c>
      <c r="C571" t="str">
        <f t="shared" si="29"/>
        <v>CAM606130000</v>
      </c>
      <c r="E571">
        <v>3253.35</v>
      </c>
      <c r="F571">
        <v>0</v>
      </c>
      <c r="G571">
        <f t="shared" si="30"/>
        <v>3253.35</v>
      </c>
    </row>
    <row r="572" spans="1:7">
      <c r="A572" t="str">
        <f t="shared" si="32"/>
        <v>CAM</v>
      </c>
      <c r="B572" t="str">
        <f>"60631000"</f>
        <v>60631000</v>
      </c>
      <c r="C572" t="str">
        <f t="shared" si="29"/>
        <v>CAM606310000</v>
      </c>
      <c r="E572">
        <v>330.11</v>
      </c>
      <c r="F572">
        <v>0</v>
      </c>
      <c r="G572">
        <f t="shared" si="30"/>
        <v>330.11</v>
      </c>
    </row>
    <row r="573" spans="1:7">
      <c r="A573" t="str">
        <f t="shared" si="32"/>
        <v>CAM</v>
      </c>
      <c r="B573" t="str">
        <f>"60641000"</f>
        <v>60641000</v>
      </c>
      <c r="C573" t="str">
        <f t="shared" si="29"/>
        <v>CAM606410000</v>
      </c>
      <c r="E573">
        <v>1534.17</v>
      </c>
      <c r="F573">
        <v>0</v>
      </c>
      <c r="G573">
        <f t="shared" si="30"/>
        <v>1534.17</v>
      </c>
    </row>
    <row r="574" spans="1:7">
      <c r="A574" t="str">
        <f t="shared" si="32"/>
        <v>CAM</v>
      </c>
      <c r="B574" t="str">
        <f>"60710000"</f>
        <v>60710000</v>
      </c>
      <c r="C574" t="str">
        <f t="shared" si="29"/>
        <v>CAM607100000</v>
      </c>
      <c r="E574">
        <v>173423.91</v>
      </c>
      <c r="F574">
        <v>947.32</v>
      </c>
      <c r="G574">
        <f t="shared" si="30"/>
        <v>172476.59</v>
      </c>
    </row>
    <row r="575" spans="1:7">
      <c r="A575" t="str">
        <f t="shared" si="32"/>
        <v>CAM</v>
      </c>
      <c r="B575" t="str">
        <f>"60711000"</f>
        <v>60711000</v>
      </c>
      <c r="C575" t="str">
        <f t="shared" si="29"/>
        <v>CAM607110000</v>
      </c>
      <c r="E575">
        <v>4966.8</v>
      </c>
      <c r="F575">
        <v>0</v>
      </c>
      <c r="G575">
        <f t="shared" si="30"/>
        <v>4966.8</v>
      </c>
    </row>
    <row r="576" spans="1:7">
      <c r="A576" t="str">
        <f t="shared" si="32"/>
        <v>CAM</v>
      </c>
      <c r="B576" t="str">
        <f>"60713000"</f>
        <v>60713000</v>
      </c>
      <c r="C576" t="str">
        <f t="shared" si="29"/>
        <v>CAM607130000</v>
      </c>
      <c r="E576">
        <v>85161</v>
      </c>
      <c r="F576">
        <v>0</v>
      </c>
      <c r="G576">
        <f t="shared" si="30"/>
        <v>85161</v>
      </c>
    </row>
    <row r="577" spans="1:7">
      <c r="A577" t="str">
        <f t="shared" si="32"/>
        <v>CAM</v>
      </c>
      <c r="B577" t="str">
        <f>"60714000"</f>
        <v>60714000</v>
      </c>
      <c r="C577" t="str">
        <f t="shared" si="29"/>
        <v>CAM607140000</v>
      </c>
      <c r="E577">
        <v>-60449</v>
      </c>
      <c r="F577">
        <v>0</v>
      </c>
      <c r="G577">
        <f t="shared" si="30"/>
        <v>-60449</v>
      </c>
    </row>
    <row r="578" spans="1:7">
      <c r="A578" t="str">
        <f t="shared" si="32"/>
        <v>CAM</v>
      </c>
      <c r="B578" t="str">
        <f>"60720000"</f>
        <v>60720000</v>
      </c>
      <c r="C578" t="str">
        <f t="shared" si="29"/>
        <v>CAM607200000</v>
      </c>
      <c r="E578">
        <v>207770.97</v>
      </c>
      <c r="F578">
        <v>0</v>
      </c>
      <c r="G578">
        <f t="shared" si="30"/>
        <v>207770.97</v>
      </c>
    </row>
    <row r="579" spans="1:7">
      <c r="A579" t="str">
        <f t="shared" si="32"/>
        <v>CAM</v>
      </c>
      <c r="B579" t="str">
        <f>"60740000"</f>
        <v>60740000</v>
      </c>
      <c r="C579" t="str">
        <f t="shared" ref="C579:C642" si="33">+A579&amp;B579*10</f>
        <v>CAM607400000</v>
      </c>
      <c r="E579">
        <v>6129.14</v>
      </c>
      <c r="F579">
        <v>0</v>
      </c>
      <c r="G579">
        <f t="shared" ref="G579:G642" si="34">+E579-F579</f>
        <v>6129.14</v>
      </c>
    </row>
    <row r="580" spans="1:7">
      <c r="A580" t="str">
        <f t="shared" si="32"/>
        <v>CAM</v>
      </c>
      <c r="B580" t="str">
        <f>"60800000"</f>
        <v>60800000</v>
      </c>
      <c r="C580" t="str">
        <f t="shared" si="33"/>
        <v>CAM608000000</v>
      </c>
      <c r="E580">
        <v>1726.02</v>
      </c>
      <c r="F580">
        <v>0</v>
      </c>
      <c r="G580">
        <f t="shared" si="34"/>
        <v>1726.02</v>
      </c>
    </row>
    <row r="581" spans="1:7">
      <c r="A581" t="str">
        <f t="shared" si="32"/>
        <v>CAM</v>
      </c>
      <c r="B581" t="str">
        <f>"60911000"</f>
        <v>60911000</v>
      </c>
      <c r="C581" t="str">
        <f t="shared" si="33"/>
        <v>CAM609110000</v>
      </c>
      <c r="E581">
        <v>-4847.67</v>
      </c>
      <c r="F581">
        <v>0</v>
      </c>
      <c r="G581">
        <f t="shared" si="34"/>
        <v>-4847.67</v>
      </c>
    </row>
    <row r="582" spans="1:7">
      <c r="A582" t="str">
        <f t="shared" si="32"/>
        <v>CAM</v>
      </c>
      <c r="B582" t="str">
        <f>"60912000"</f>
        <v>60912000</v>
      </c>
      <c r="C582" t="str">
        <f t="shared" si="33"/>
        <v>CAM609120000</v>
      </c>
      <c r="E582">
        <v>-14480.08</v>
      </c>
      <c r="F582">
        <v>0</v>
      </c>
      <c r="G582">
        <f t="shared" si="34"/>
        <v>-14480.08</v>
      </c>
    </row>
    <row r="583" spans="1:7">
      <c r="A583" t="str">
        <f t="shared" si="32"/>
        <v>CAM</v>
      </c>
      <c r="B583" t="str">
        <f>"60913000"</f>
        <v>60913000</v>
      </c>
      <c r="C583" t="str">
        <f t="shared" si="33"/>
        <v>CAM609130000</v>
      </c>
      <c r="E583">
        <v>-8274.33</v>
      </c>
      <c r="F583">
        <v>0</v>
      </c>
      <c r="G583">
        <f t="shared" si="34"/>
        <v>-8274.33</v>
      </c>
    </row>
    <row r="584" spans="1:7">
      <c r="A584" t="str">
        <f t="shared" si="32"/>
        <v>CAM</v>
      </c>
      <c r="B584" t="str">
        <f>"61100000"</f>
        <v>61100000</v>
      </c>
      <c r="C584" t="str">
        <f t="shared" si="33"/>
        <v>CAM611000000</v>
      </c>
      <c r="E584">
        <v>7000</v>
      </c>
      <c r="F584">
        <v>0</v>
      </c>
      <c r="G584">
        <f t="shared" si="34"/>
        <v>7000</v>
      </c>
    </row>
    <row r="585" spans="1:7">
      <c r="A585" t="str">
        <f t="shared" si="32"/>
        <v>CAM</v>
      </c>
      <c r="B585" t="str">
        <f>"61320000"</f>
        <v>61320000</v>
      </c>
      <c r="C585" t="str">
        <f t="shared" si="33"/>
        <v>CAM613200000</v>
      </c>
      <c r="E585">
        <v>14058.85</v>
      </c>
      <c r="F585">
        <v>0</v>
      </c>
      <c r="G585">
        <f t="shared" si="34"/>
        <v>14058.85</v>
      </c>
    </row>
    <row r="586" spans="1:7">
      <c r="A586" t="str">
        <f t="shared" si="32"/>
        <v>CAM</v>
      </c>
      <c r="B586" t="str">
        <f>"61352000"</f>
        <v>61352000</v>
      </c>
      <c r="C586" t="str">
        <f t="shared" si="33"/>
        <v>CAM613520000</v>
      </c>
      <c r="E586">
        <v>3731.64</v>
      </c>
      <c r="F586">
        <v>0</v>
      </c>
      <c r="G586">
        <f t="shared" si="34"/>
        <v>3731.64</v>
      </c>
    </row>
    <row r="587" spans="1:7">
      <c r="A587" t="str">
        <f t="shared" si="32"/>
        <v>CAM</v>
      </c>
      <c r="B587" t="str">
        <f>"61353000"</f>
        <v>61353000</v>
      </c>
      <c r="C587" t="str">
        <f t="shared" si="33"/>
        <v>CAM613530000</v>
      </c>
      <c r="E587">
        <v>180</v>
      </c>
      <c r="F587">
        <v>0</v>
      </c>
      <c r="G587">
        <f t="shared" si="34"/>
        <v>180</v>
      </c>
    </row>
    <row r="588" spans="1:7">
      <c r="A588" t="str">
        <f t="shared" si="32"/>
        <v>CAM</v>
      </c>
      <c r="B588" t="str">
        <f>"61520000"</f>
        <v>61520000</v>
      </c>
      <c r="C588" t="str">
        <f t="shared" si="33"/>
        <v>CAM615200000</v>
      </c>
      <c r="E588">
        <v>4697.9399999999996</v>
      </c>
      <c r="F588">
        <v>0</v>
      </c>
      <c r="G588">
        <f t="shared" si="34"/>
        <v>4697.9399999999996</v>
      </c>
    </row>
    <row r="589" spans="1:7">
      <c r="A589" t="str">
        <f t="shared" si="32"/>
        <v>CAM</v>
      </c>
      <c r="B589" t="str">
        <f>"61550000"</f>
        <v>61550000</v>
      </c>
      <c r="C589" t="str">
        <f t="shared" si="33"/>
        <v>CAM615500000</v>
      </c>
      <c r="E589">
        <v>0</v>
      </c>
      <c r="F589">
        <v>-571.58000000000004</v>
      </c>
      <c r="G589">
        <f t="shared" si="34"/>
        <v>571.58000000000004</v>
      </c>
    </row>
    <row r="590" spans="1:7">
      <c r="A590" t="str">
        <f t="shared" si="32"/>
        <v>CAM</v>
      </c>
      <c r="B590" t="str">
        <f>"61551000"</f>
        <v>61551000</v>
      </c>
      <c r="C590" t="str">
        <f t="shared" si="33"/>
        <v>CAM615510000</v>
      </c>
      <c r="E590">
        <v>1583.69</v>
      </c>
      <c r="F590">
        <v>0</v>
      </c>
      <c r="G590">
        <f t="shared" si="34"/>
        <v>1583.69</v>
      </c>
    </row>
    <row r="591" spans="1:7">
      <c r="A591" t="str">
        <f t="shared" si="32"/>
        <v>CAM</v>
      </c>
      <c r="B591" t="str">
        <f>"61552000"</f>
        <v>61552000</v>
      </c>
      <c r="C591" t="str">
        <f t="shared" si="33"/>
        <v>CAM615520000</v>
      </c>
      <c r="E591">
        <v>2937.9</v>
      </c>
      <c r="F591">
        <v>0</v>
      </c>
      <c r="G591">
        <f t="shared" si="34"/>
        <v>2937.9</v>
      </c>
    </row>
    <row r="592" spans="1:7">
      <c r="A592" t="str">
        <f t="shared" si="32"/>
        <v>CAM</v>
      </c>
      <c r="B592" t="str">
        <f>"61612000"</f>
        <v>61612000</v>
      </c>
      <c r="C592" t="str">
        <f t="shared" si="33"/>
        <v>CAM616120000</v>
      </c>
      <c r="E592">
        <v>1387.85</v>
      </c>
      <c r="F592">
        <v>0</v>
      </c>
      <c r="G592">
        <f t="shared" si="34"/>
        <v>1387.85</v>
      </c>
    </row>
    <row r="593" spans="1:9">
      <c r="A593" t="str">
        <f t="shared" si="32"/>
        <v>CAM</v>
      </c>
      <c r="B593" t="str">
        <f>"61613000"</f>
        <v>61613000</v>
      </c>
      <c r="C593" t="str">
        <f t="shared" si="33"/>
        <v>CAM616130000</v>
      </c>
      <c r="E593">
        <v>2296.9899999999998</v>
      </c>
      <c r="F593">
        <v>0</v>
      </c>
      <c r="G593">
        <f t="shared" si="34"/>
        <v>2296.9899999999998</v>
      </c>
    </row>
    <row r="594" spans="1:9">
      <c r="A594" t="str">
        <f t="shared" si="32"/>
        <v>CAM</v>
      </c>
      <c r="B594" t="str">
        <f>"61810000"</f>
        <v>61810000</v>
      </c>
      <c r="C594" t="str">
        <f t="shared" si="33"/>
        <v>CAM618100000</v>
      </c>
      <c r="E594">
        <v>305.39</v>
      </c>
      <c r="F594">
        <v>0</v>
      </c>
      <c r="G594">
        <f t="shared" si="34"/>
        <v>305.39</v>
      </c>
    </row>
    <row r="595" spans="1:9">
      <c r="A595" t="str">
        <f t="shared" si="32"/>
        <v>CAM</v>
      </c>
      <c r="B595" t="str">
        <f>"61850000"</f>
        <v>61850000</v>
      </c>
      <c r="C595" t="str">
        <f t="shared" si="33"/>
        <v>CAM618500000</v>
      </c>
      <c r="E595">
        <v>629.29999999999995</v>
      </c>
      <c r="F595">
        <v>0</v>
      </c>
      <c r="G595">
        <f t="shared" si="34"/>
        <v>629.29999999999995</v>
      </c>
    </row>
    <row r="596" spans="1:9">
      <c r="A596" t="str">
        <f t="shared" si="32"/>
        <v>CAM</v>
      </c>
      <c r="B596" t="str">
        <f>"62270000"</f>
        <v>62270000</v>
      </c>
      <c r="C596" t="str">
        <f t="shared" si="33"/>
        <v>CAM622700000</v>
      </c>
      <c r="E596">
        <v>167.86</v>
      </c>
      <c r="F596">
        <v>0</v>
      </c>
      <c r="G596">
        <f t="shared" si="34"/>
        <v>167.86</v>
      </c>
    </row>
    <row r="597" spans="1:9">
      <c r="A597" t="str">
        <f t="shared" si="32"/>
        <v>CAM</v>
      </c>
      <c r="B597" t="str">
        <f>"62310000"</f>
        <v>62310000</v>
      </c>
      <c r="C597" t="str">
        <f t="shared" si="33"/>
        <v>CAM623100000</v>
      </c>
      <c r="E597">
        <v>774.3</v>
      </c>
      <c r="F597">
        <v>0</v>
      </c>
      <c r="G597">
        <f t="shared" si="34"/>
        <v>774.3</v>
      </c>
    </row>
    <row r="598" spans="1:9">
      <c r="A598" t="str">
        <f t="shared" si="32"/>
        <v>CAM</v>
      </c>
      <c r="B598" t="str">
        <f>"62320000"</f>
        <v>62320000</v>
      </c>
      <c r="C598" t="str">
        <f t="shared" si="33"/>
        <v>CAM623200000</v>
      </c>
      <c r="E598">
        <v>7214.5</v>
      </c>
      <c r="F598">
        <v>0</v>
      </c>
      <c r="G598">
        <f t="shared" si="34"/>
        <v>7214.5</v>
      </c>
    </row>
    <row r="599" spans="1:9">
      <c r="A599" t="str">
        <f t="shared" si="32"/>
        <v>CAM</v>
      </c>
      <c r="B599" t="str">
        <f>"62330000"</f>
        <v>62330000</v>
      </c>
      <c r="C599" t="str">
        <f t="shared" si="33"/>
        <v>CAM623300000</v>
      </c>
      <c r="E599">
        <v>130.91999999999999</v>
      </c>
      <c r="F599">
        <v>0</v>
      </c>
      <c r="G599">
        <f t="shared" si="34"/>
        <v>130.91999999999999</v>
      </c>
    </row>
    <row r="600" spans="1:9">
      <c r="A600" t="str">
        <f t="shared" si="32"/>
        <v>CAM</v>
      </c>
      <c r="B600" t="str">
        <f>"62341000"</f>
        <v>62341000</v>
      </c>
      <c r="C600" t="str">
        <f t="shared" si="33"/>
        <v>CAM623410000</v>
      </c>
      <c r="E600">
        <v>7577.23</v>
      </c>
      <c r="F600">
        <v>0</v>
      </c>
      <c r="G600">
        <f t="shared" si="34"/>
        <v>7577.23</v>
      </c>
    </row>
    <row r="601" spans="1:9">
      <c r="A601" t="str">
        <f t="shared" si="32"/>
        <v>CAM</v>
      </c>
      <c r="B601" t="str">
        <f>"62342000"</f>
        <v>62342000</v>
      </c>
      <c r="C601" t="str">
        <f t="shared" si="33"/>
        <v>CAM623420000</v>
      </c>
      <c r="E601">
        <v>-129.06</v>
      </c>
      <c r="F601">
        <v>0</v>
      </c>
      <c r="G601">
        <f t="shared" si="34"/>
        <v>-129.06</v>
      </c>
    </row>
    <row r="602" spans="1:9">
      <c r="A602" t="str">
        <f t="shared" si="32"/>
        <v>CAM</v>
      </c>
      <c r="B602" t="str">
        <f>"62370000"</f>
        <v>62370000</v>
      </c>
      <c r="C602" t="str">
        <f t="shared" si="33"/>
        <v>CAM623700000</v>
      </c>
      <c r="E602">
        <v>1104.48</v>
      </c>
      <c r="F602">
        <v>-221.9</v>
      </c>
      <c r="G602">
        <f t="shared" si="34"/>
        <v>1326.38</v>
      </c>
    </row>
    <row r="603" spans="1:9">
      <c r="A603" t="str">
        <f t="shared" si="32"/>
        <v>CAM</v>
      </c>
      <c r="B603" t="str">
        <f>"62380000"</f>
        <v>62380000</v>
      </c>
      <c r="C603" t="str">
        <f t="shared" si="33"/>
        <v>CAM623800000</v>
      </c>
      <c r="E603">
        <v>280</v>
      </c>
      <c r="F603">
        <v>0</v>
      </c>
      <c r="G603">
        <f t="shared" si="34"/>
        <v>280</v>
      </c>
    </row>
    <row r="604" spans="1:9">
      <c r="A604" t="str">
        <f t="shared" si="32"/>
        <v>CAM</v>
      </c>
      <c r="B604" t="str">
        <f>"62381000"</f>
        <v>62381000</v>
      </c>
      <c r="C604" t="str">
        <f t="shared" si="33"/>
        <v>CAM623810000</v>
      </c>
      <c r="E604">
        <v>0</v>
      </c>
      <c r="F604">
        <v>0</v>
      </c>
      <c r="G604">
        <f t="shared" si="34"/>
        <v>0</v>
      </c>
    </row>
    <row r="605" spans="1:9">
      <c r="A605" t="str">
        <f t="shared" si="32"/>
        <v>CAM</v>
      </c>
      <c r="B605" t="str">
        <f>"62420000"</f>
        <v>62420000</v>
      </c>
      <c r="C605" t="str">
        <f t="shared" si="33"/>
        <v>CAM624200000</v>
      </c>
      <c r="E605">
        <v>2539.58</v>
      </c>
      <c r="F605">
        <v>0</v>
      </c>
      <c r="G605">
        <f t="shared" si="34"/>
        <v>2539.58</v>
      </c>
    </row>
    <row r="606" spans="1:9">
      <c r="A606" t="str">
        <f t="shared" si="32"/>
        <v>CAM</v>
      </c>
      <c r="B606" t="str">
        <f>"62510000"</f>
        <v>62510000</v>
      </c>
      <c r="C606" t="str">
        <f t="shared" si="33"/>
        <v>CAM625100000</v>
      </c>
      <c r="E606">
        <v>5254.48</v>
      </c>
      <c r="F606">
        <v>849.28</v>
      </c>
      <c r="G606">
        <f t="shared" si="34"/>
        <v>4405.2</v>
      </c>
      <c r="I606" s="353"/>
    </row>
    <row r="607" spans="1:9">
      <c r="A607" t="str">
        <f t="shared" si="32"/>
        <v>CAM</v>
      </c>
      <c r="B607" t="str">
        <f>"62520000"</f>
        <v>62520000</v>
      </c>
      <c r="C607" t="str">
        <f t="shared" si="33"/>
        <v>CAM625200000</v>
      </c>
      <c r="E607">
        <v>18.57</v>
      </c>
      <c r="F607">
        <v>0</v>
      </c>
      <c r="G607">
        <f t="shared" si="34"/>
        <v>18.57</v>
      </c>
    </row>
    <row r="608" spans="1:9">
      <c r="A608" t="str">
        <f t="shared" si="32"/>
        <v>CAM</v>
      </c>
      <c r="B608" t="str">
        <f>"62560000"</f>
        <v>62560000</v>
      </c>
      <c r="C608" t="str">
        <f t="shared" si="33"/>
        <v>CAM625600000</v>
      </c>
      <c r="E608">
        <v>25.23</v>
      </c>
      <c r="F608">
        <v>0</v>
      </c>
      <c r="G608">
        <f t="shared" si="34"/>
        <v>25.23</v>
      </c>
    </row>
    <row r="609" spans="1:7">
      <c r="A609" t="str">
        <f t="shared" si="32"/>
        <v>CAM</v>
      </c>
      <c r="B609" t="str">
        <f>"62570000"</f>
        <v>62570000</v>
      </c>
      <c r="C609" t="str">
        <f t="shared" si="33"/>
        <v>CAM625700000</v>
      </c>
      <c r="E609">
        <v>3737.93</v>
      </c>
      <c r="F609">
        <v>0</v>
      </c>
      <c r="G609">
        <f t="shared" si="34"/>
        <v>3737.93</v>
      </c>
    </row>
    <row r="610" spans="1:7">
      <c r="A610" t="str">
        <f t="shared" si="32"/>
        <v>CAM</v>
      </c>
      <c r="B610" t="str">
        <f>"62571000"</f>
        <v>62571000</v>
      </c>
      <c r="C610" t="str">
        <f t="shared" si="33"/>
        <v>CAM625710000</v>
      </c>
      <c r="E610">
        <v>2184.23</v>
      </c>
      <c r="F610">
        <v>0</v>
      </c>
      <c r="G610">
        <f t="shared" si="34"/>
        <v>2184.23</v>
      </c>
    </row>
    <row r="611" spans="1:7">
      <c r="A611" t="str">
        <f t="shared" si="32"/>
        <v>CAM</v>
      </c>
      <c r="B611" t="str">
        <f>"62600000"</f>
        <v>62600000</v>
      </c>
      <c r="C611" t="str">
        <f t="shared" si="33"/>
        <v>CAM626000000</v>
      </c>
      <c r="E611">
        <v>4341.95</v>
      </c>
      <c r="F611">
        <v>0</v>
      </c>
      <c r="G611">
        <f t="shared" si="34"/>
        <v>4341.95</v>
      </c>
    </row>
    <row r="612" spans="1:7">
      <c r="A612" t="str">
        <f t="shared" si="32"/>
        <v>CAM</v>
      </c>
      <c r="B612" t="str">
        <f>"62610000"</f>
        <v>62610000</v>
      </c>
      <c r="C612" t="str">
        <f t="shared" si="33"/>
        <v>CAM626100000</v>
      </c>
      <c r="E612">
        <v>872.35</v>
      </c>
      <c r="F612">
        <v>0</v>
      </c>
      <c r="G612">
        <f t="shared" si="34"/>
        <v>872.35</v>
      </c>
    </row>
    <row r="613" spans="1:7">
      <c r="A613" t="str">
        <f t="shared" si="32"/>
        <v>CAM</v>
      </c>
      <c r="B613" t="str">
        <f>"62752000"</f>
        <v>62752000</v>
      </c>
      <c r="C613" t="str">
        <f t="shared" si="33"/>
        <v>CAM627520000</v>
      </c>
      <c r="E613">
        <v>218.54</v>
      </c>
      <c r="F613">
        <v>0</v>
      </c>
      <c r="G613">
        <f t="shared" si="34"/>
        <v>218.54</v>
      </c>
    </row>
    <row r="614" spans="1:7">
      <c r="A614" t="str">
        <f t="shared" si="32"/>
        <v>CAM</v>
      </c>
      <c r="B614" t="str">
        <f>"63330000"</f>
        <v>63330000</v>
      </c>
      <c r="C614" t="str">
        <f t="shared" si="33"/>
        <v>CAM633300000</v>
      </c>
      <c r="E614">
        <v>866</v>
      </c>
      <c r="F614">
        <v>0</v>
      </c>
      <c r="G614">
        <f t="shared" si="34"/>
        <v>866</v>
      </c>
    </row>
    <row r="615" spans="1:7">
      <c r="A615" t="str">
        <f t="shared" si="32"/>
        <v>CAM</v>
      </c>
      <c r="B615" t="str">
        <f>"63340000"</f>
        <v>63340000</v>
      </c>
      <c r="C615" t="str">
        <f t="shared" si="33"/>
        <v>CAM633400000</v>
      </c>
      <c r="E615">
        <v>477</v>
      </c>
      <c r="F615">
        <v>0</v>
      </c>
      <c r="G615">
        <f t="shared" si="34"/>
        <v>477</v>
      </c>
    </row>
    <row r="616" spans="1:7">
      <c r="A616" t="str">
        <f t="shared" si="32"/>
        <v>CAM</v>
      </c>
      <c r="B616" t="str">
        <f>"63350000"</f>
        <v>63350000</v>
      </c>
      <c r="C616" t="str">
        <f t="shared" si="33"/>
        <v>CAM633500000</v>
      </c>
      <c r="E616">
        <v>721</v>
      </c>
      <c r="F616">
        <v>0</v>
      </c>
      <c r="G616">
        <f t="shared" si="34"/>
        <v>721</v>
      </c>
    </row>
    <row r="617" spans="1:7">
      <c r="A617" t="str">
        <f t="shared" si="32"/>
        <v>CAM</v>
      </c>
      <c r="B617" t="str">
        <f>"63511000"</f>
        <v>63511000</v>
      </c>
      <c r="C617" t="str">
        <f t="shared" si="33"/>
        <v>CAM635110000</v>
      </c>
      <c r="E617">
        <v>3110</v>
      </c>
      <c r="F617">
        <v>0</v>
      </c>
      <c r="G617">
        <f t="shared" si="34"/>
        <v>3110</v>
      </c>
    </row>
    <row r="618" spans="1:7">
      <c r="A618" t="str">
        <f t="shared" si="32"/>
        <v>CAM</v>
      </c>
      <c r="B618" t="str">
        <f>"63512000"</f>
        <v>63512000</v>
      </c>
      <c r="C618" t="str">
        <f t="shared" si="33"/>
        <v>CAM635120000</v>
      </c>
      <c r="E618">
        <v>1594</v>
      </c>
      <c r="F618">
        <v>0</v>
      </c>
      <c r="G618">
        <f t="shared" si="34"/>
        <v>1594</v>
      </c>
    </row>
    <row r="619" spans="1:7">
      <c r="A619" t="str">
        <f t="shared" si="32"/>
        <v>CAM</v>
      </c>
      <c r="B619" t="str">
        <f>"63710000"</f>
        <v>63710000</v>
      </c>
      <c r="C619" t="str">
        <f t="shared" si="33"/>
        <v>CAM637100000</v>
      </c>
      <c r="E619">
        <v>1091.96</v>
      </c>
      <c r="F619">
        <v>0</v>
      </c>
      <c r="G619">
        <f t="shared" si="34"/>
        <v>1091.96</v>
      </c>
    </row>
    <row r="620" spans="1:7">
      <c r="A620" t="str">
        <f t="shared" si="32"/>
        <v>CAM</v>
      </c>
      <c r="B620" t="str">
        <f>"64110000"</f>
        <v>64110000</v>
      </c>
      <c r="C620" t="str">
        <f t="shared" si="33"/>
        <v>CAM641100000</v>
      </c>
      <c r="E620">
        <v>110458.26</v>
      </c>
      <c r="F620">
        <v>18110.37</v>
      </c>
      <c r="G620">
        <f t="shared" si="34"/>
        <v>92347.89</v>
      </c>
    </row>
    <row r="621" spans="1:7">
      <c r="A621" t="str">
        <f t="shared" si="32"/>
        <v>CAM</v>
      </c>
      <c r="B621" t="str">
        <f>"64111000"</f>
        <v>64111000</v>
      </c>
      <c r="C621" t="str">
        <f t="shared" si="33"/>
        <v>CAM641110000</v>
      </c>
      <c r="E621">
        <v>-312.89999999999998</v>
      </c>
      <c r="F621">
        <v>0</v>
      </c>
      <c r="G621">
        <f t="shared" si="34"/>
        <v>-312.89999999999998</v>
      </c>
    </row>
    <row r="622" spans="1:7">
      <c r="A622" t="str">
        <f t="shared" si="32"/>
        <v>CAM</v>
      </c>
      <c r="B622" t="str">
        <f>"64120000"</f>
        <v>64120000</v>
      </c>
      <c r="C622" t="str">
        <f t="shared" si="33"/>
        <v>CAM641200000</v>
      </c>
      <c r="E622">
        <v>9048.2999999999993</v>
      </c>
      <c r="F622">
        <v>9050.51</v>
      </c>
      <c r="G622">
        <f t="shared" si="34"/>
        <v>-2.2100000000009459</v>
      </c>
    </row>
    <row r="623" spans="1:7">
      <c r="A623" t="str">
        <f t="shared" si="32"/>
        <v>CAM</v>
      </c>
      <c r="B623" t="str">
        <f>"64121000"</f>
        <v>64121000</v>
      </c>
      <c r="C623" t="str">
        <f t="shared" si="33"/>
        <v>CAM641210000</v>
      </c>
      <c r="E623">
        <v>3432.93</v>
      </c>
      <c r="F623">
        <v>3612.06</v>
      </c>
      <c r="G623">
        <f t="shared" si="34"/>
        <v>-179.13000000000011</v>
      </c>
    </row>
    <row r="624" spans="1:7">
      <c r="A624" t="str">
        <f t="shared" si="32"/>
        <v>CAM</v>
      </c>
      <c r="B624" t="str">
        <f>"64510000"</f>
        <v>64510000</v>
      </c>
      <c r="C624" t="str">
        <f t="shared" si="33"/>
        <v>CAM645100000</v>
      </c>
      <c r="E624">
        <v>27699.23</v>
      </c>
      <c r="F624">
        <v>7260.02</v>
      </c>
      <c r="G624">
        <f t="shared" si="34"/>
        <v>20439.21</v>
      </c>
    </row>
    <row r="625" spans="1:9">
      <c r="A625" t="str">
        <f t="shared" si="32"/>
        <v>CAM</v>
      </c>
      <c r="B625" t="str">
        <f>"64520000"</f>
        <v>64520000</v>
      </c>
      <c r="C625" t="str">
        <f t="shared" si="33"/>
        <v>CAM645200000</v>
      </c>
      <c r="E625">
        <v>3190.73</v>
      </c>
      <c r="F625">
        <v>0</v>
      </c>
      <c r="G625">
        <f t="shared" si="34"/>
        <v>3190.73</v>
      </c>
    </row>
    <row r="626" spans="1:9">
      <c r="A626" t="str">
        <f t="shared" si="32"/>
        <v>CAM</v>
      </c>
      <c r="B626" t="str">
        <f>"64530000"</f>
        <v>64530000</v>
      </c>
      <c r="C626" t="str">
        <f t="shared" si="33"/>
        <v>CAM645300000</v>
      </c>
      <c r="E626">
        <v>6603.71</v>
      </c>
      <c r="F626">
        <v>0</v>
      </c>
      <c r="G626">
        <f t="shared" si="34"/>
        <v>6603.71</v>
      </c>
    </row>
    <row r="627" spans="1:9">
      <c r="A627" t="str">
        <f t="shared" si="32"/>
        <v>CAM</v>
      </c>
      <c r="B627" t="str">
        <f>"64540000"</f>
        <v>64540000</v>
      </c>
      <c r="C627" t="str">
        <f t="shared" si="33"/>
        <v>CAM645400000</v>
      </c>
      <c r="E627">
        <v>4517.3599999999997</v>
      </c>
      <c r="F627">
        <v>0</v>
      </c>
      <c r="G627">
        <f t="shared" si="34"/>
        <v>4517.3599999999997</v>
      </c>
    </row>
    <row r="628" spans="1:9">
      <c r="A628" t="str">
        <f t="shared" si="32"/>
        <v>CAM</v>
      </c>
      <c r="B628" t="str">
        <f>"64590000"</f>
        <v>64590000</v>
      </c>
      <c r="C628" t="str">
        <f t="shared" si="33"/>
        <v>CAM645900000</v>
      </c>
      <c r="E628">
        <v>-126.94</v>
      </c>
      <c r="F628">
        <v>0</v>
      </c>
      <c r="G628">
        <f t="shared" si="34"/>
        <v>-126.94</v>
      </c>
    </row>
    <row r="629" spans="1:9">
      <c r="A629" t="str">
        <f t="shared" si="32"/>
        <v>CAM</v>
      </c>
      <c r="B629" t="str">
        <f>"64710000"</f>
        <v>64710000</v>
      </c>
      <c r="C629" t="str">
        <f t="shared" si="33"/>
        <v>CAM647100000</v>
      </c>
      <c r="E629">
        <v>39.6</v>
      </c>
      <c r="F629">
        <v>0</v>
      </c>
      <c r="G629">
        <f t="shared" si="34"/>
        <v>39.6</v>
      </c>
    </row>
    <row r="630" spans="1:9">
      <c r="A630" t="str">
        <f t="shared" si="32"/>
        <v>CAM</v>
      </c>
      <c r="B630" t="str">
        <f>"64750000"</f>
        <v>64750000</v>
      </c>
      <c r="C630" t="str">
        <f t="shared" si="33"/>
        <v>CAM647500000</v>
      </c>
      <c r="E630">
        <v>439.18</v>
      </c>
      <c r="F630">
        <v>0</v>
      </c>
      <c r="G630">
        <f t="shared" si="34"/>
        <v>439.18</v>
      </c>
    </row>
    <row r="631" spans="1:9">
      <c r="A631" t="str">
        <f t="shared" si="32"/>
        <v>CAM</v>
      </c>
      <c r="B631" t="str">
        <f>"64800000"</f>
        <v>64800000</v>
      </c>
      <c r="C631" t="str">
        <f t="shared" si="33"/>
        <v>CAM648000000</v>
      </c>
      <c r="E631" s="19">
        <v>3322.4987199999996</v>
      </c>
      <c r="F631">
        <v>46.61</v>
      </c>
      <c r="G631" s="19">
        <f t="shared" si="34"/>
        <v>3275.8887199999995</v>
      </c>
      <c r="H631" s="433">
        <v>3128.3387199999997</v>
      </c>
      <c r="I631" s="113" t="s">
        <v>523</v>
      </c>
    </row>
    <row r="632" spans="1:9">
      <c r="A632" t="str">
        <f t="shared" ref="A632:A642" si="35">"CAM"</f>
        <v>CAM</v>
      </c>
      <c r="B632" t="str">
        <f>"65410000"</f>
        <v>65410000</v>
      </c>
      <c r="C632" t="str">
        <f t="shared" si="33"/>
        <v>CAM654100000</v>
      </c>
      <c r="E632">
        <v>6.32</v>
      </c>
      <c r="F632">
        <v>10.01</v>
      </c>
      <c r="G632">
        <f t="shared" si="34"/>
        <v>-3.6899999999999995</v>
      </c>
    </row>
    <row r="633" spans="1:9">
      <c r="A633" t="str">
        <f t="shared" si="35"/>
        <v>CAM</v>
      </c>
      <c r="B633" t="str">
        <f>"65420000"</f>
        <v>65420000</v>
      </c>
      <c r="C633" t="str">
        <f t="shared" si="33"/>
        <v>CAM654200000</v>
      </c>
      <c r="E633">
        <v>7.18</v>
      </c>
      <c r="F633">
        <v>0</v>
      </c>
      <c r="G633">
        <f t="shared" si="34"/>
        <v>7.18</v>
      </c>
    </row>
    <row r="634" spans="1:9">
      <c r="A634" t="str">
        <f t="shared" si="35"/>
        <v>CAM</v>
      </c>
      <c r="B634" t="str">
        <f>"65440000"</f>
        <v>65440000</v>
      </c>
      <c r="C634" t="str">
        <f t="shared" si="33"/>
        <v>CAM654400000</v>
      </c>
      <c r="E634">
        <v>3107.58</v>
      </c>
      <c r="F634">
        <v>0</v>
      </c>
      <c r="G634">
        <f t="shared" si="34"/>
        <v>3107.58</v>
      </c>
    </row>
    <row r="635" spans="1:9">
      <c r="A635" t="str">
        <f t="shared" si="35"/>
        <v>CAM</v>
      </c>
      <c r="B635" t="str">
        <f>"65800000"</f>
        <v>65800000</v>
      </c>
      <c r="C635" t="str">
        <f t="shared" si="33"/>
        <v>CAM658000000</v>
      </c>
      <c r="E635">
        <v>925.23</v>
      </c>
      <c r="F635">
        <v>0</v>
      </c>
      <c r="G635">
        <f t="shared" si="34"/>
        <v>925.23</v>
      </c>
    </row>
    <row r="636" spans="1:9">
      <c r="A636" t="str">
        <f t="shared" si="35"/>
        <v>CAM</v>
      </c>
      <c r="B636" t="str">
        <f>"66500000"</f>
        <v>66500000</v>
      </c>
      <c r="C636" t="str">
        <f t="shared" si="33"/>
        <v>CAM665000000</v>
      </c>
      <c r="E636">
        <v>566.34</v>
      </c>
      <c r="F636">
        <v>0</v>
      </c>
      <c r="G636">
        <f t="shared" si="34"/>
        <v>566.34</v>
      </c>
    </row>
    <row r="637" spans="1:9">
      <c r="A637" t="str">
        <f t="shared" si="35"/>
        <v>CAM</v>
      </c>
      <c r="B637" t="str">
        <f>"67180000"</f>
        <v>67180000</v>
      </c>
      <c r="C637" t="str">
        <f t="shared" si="33"/>
        <v>CAM671800000</v>
      </c>
      <c r="E637">
        <v>178.32</v>
      </c>
      <c r="F637">
        <v>0</v>
      </c>
      <c r="G637">
        <f t="shared" si="34"/>
        <v>178.32</v>
      </c>
    </row>
    <row r="638" spans="1:9">
      <c r="A638" t="str">
        <f t="shared" si="35"/>
        <v>CAM</v>
      </c>
      <c r="B638" t="str">
        <f>"68112000"</f>
        <v>68112000</v>
      </c>
      <c r="C638" t="str">
        <f t="shared" si="33"/>
        <v>CAM681120000</v>
      </c>
      <c r="E638">
        <v>5473.64</v>
      </c>
      <c r="F638">
        <v>0</v>
      </c>
      <c r="G638">
        <f t="shared" si="34"/>
        <v>5473.64</v>
      </c>
    </row>
    <row r="639" spans="1:9">
      <c r="A639" t="str">
        <f t="shared" si="35"/>
        <v>CAM</v>
      </c>
      <c r="B639" t="str">
        <f>"68150000"</f>
        <v>68150000</v>
      </c>
      <c r="C639" t="str">
        <f t="shared" si="33"/>
        <v>CAM681500000</v>
      </c>
      <c r="E639">
        <v>1000</v>
      </c>
      <c r="F639">
        <v>0</v>
      </c>
      <c r="G639">
        <f t="shared" si="34"/>
        <v>1000</v>
      </c>
    </row>
    <row r="640" spans="1:9">
      <c r="A640" t="str">
        <f t="shared" si="35"/>
        <v>CAM</v>
      </c>
      <c r="B640" t="str">
        <f>"68173000"</f>
        <v>68173000</v>
      </c>
      <c r="C640" t="str">
        <f t="shared" si="33"/>
        <v>CAM681730000</v>
      </c>
      <c r="E640">
        <v>847</v>
      </c>
      <c r="F640">
        <v>0</v>
      </c>
      <c r="G640">
        <f t="shared" si="34"/>
        <v>847</v>
      </c>
    </row>
    <row r="641" spans="1:9">
      <c r="A641" t="str">
        <f t="shared" si="35"/>
        <v>CAM</v>
      </c>
      <c r="B641" t="str">
        <f>"68174000"</f>
        <v>68174000</v>
      </c>
      <c r="C641" t="str">
        <f t="shared" si="33"/>
        <v>CAM681740000</v>
      </c>
      <c r="E641">
        <v>2037.38</v>
      </c>
      <c r="F641">
        <v>0</v>
      </c>
      <c r="G641">
        <f t="shared" si="34"/>
        <v>2037.38</v>
      </c>
    </row>
    <row r="642" spans="1:9">
      <c r="A642" t="str">
        <f t="shared" si="35"/>
        <v>CAM</v>
      </c>
      <c r="B642" t="str">
        <f>"68725000"</f>
        <v>68725000</v>
      </c>
      <c r="C642" t="str">
        <f t="shared" si="33"/>
        <v>CAM687250000</v>
      </c>
      <c r="E642">
        <v>455.87</v>
      </c>
      <c r="F642">
        <v>0</v>
      </c>
      <c r="G642">
        <f t="shared" si="34"/>
        <v>455.87</v>
      </c>
    </row>
    <row r="643" spans="1:9">
      <c r="A643" t="str">
        <f t="shared" ref="A643:A706" si="36">"CAU"</f>
        <v>CAU</v>
      </c>
      <c r="B643" t="str">
        <f>"60265000"</f>
        <v>60265000</v>
      </c>
      <c r="C643" t="str">
        <f t="shared" ref="C643:C706" si="37">+A643&amp;B643*10</f>
        <v>CAU602650000</v>
      </c>
      <c r="E643">
        <v>260.74</v>
      </c>
      <c r="F643">
        <v>0</v>
      </c>
      <c r="G643">
        <f t="shared" ref="G643:G706" si="38">+E643-F643</f>
        <v>260.74</v>
      </c>
    </row>
    <row r="644" spans="1:9">
      <c r="A644" t="str">
        <f t="shared" si="36"/>
        <v>CAU</v>
      </c>
      <c r="B644" t="str">
        <f>"60610000"</f>
        <v>60610000</v>
      </c>
      <c r="C644" t="str">
        <f t="shared" si="37"/>
        <v>CAU606100000</v>
      </c>
      <c r="E644">
        <v>3227.4</v>
      </c>
      <c r="F644">
        <v>0</v>
      </c>
      <c r="G644">
        <f t="shared" si="38"/>
        <v>3227.4</v>
      </c>
    </row>
    <row r="645" spans="1:9">
      <c r="A645" t="str">
        <f t="shared" si="36"/>
        <v>CAU</v>
      </c>
      <c r="B645" t="str">
        <f>"60611000"</f>
        <v>60611000</v>
      </c>
      <c r="C645" t="str">
        <f t="shared" si="37"/>
        <v>CAU606110000</v>
      </c>
      <c r="E645">
        <v>5537.61</v>
      </c>
      <c r="F645">
        <v>0</v>
      </c>
      <c r="G645">
        <f t="shared" si="38"/>
        <v>5537.61</v>
      </c>
    </row>
    <row r="646" spans="1:9">
      <c r="A646" t="str">
        <f t="shared" si="36"/>
        <v>CAU</v>
      </c>
      <c r="B646" t="str">
        <f>"60613000"</f>
        <v>60613000</v>
      </c>
      <c r="C646" t="str">
        <f t="shared" si="37"/>
        <v>CAU606130000</v>
      </c>
      <c r="E646">
        <v>2340.7199999999998</v>
      </c>
      <c r="F646">
        <v>0</v>
      </c>
      <c r="G646">
        <f t="shared" si="38"/>
        <v>2340.7199999999998</v>
      </c>
    </row>
    <row r="647" spans="1:9">
      <c r="A647" t="str">
        <f t="shared" si="36"/>
        <v>CAU</v>
      </c>
      <c r="B647" t="str">
        <f>"60641000"</f>
        <v>60641000</v>
      </c>
      <c r="C647" t="str">
        <f t="shared" si="37"/>
        <v>CAU606410000</v>
      </c>
      <c r="E647">
        <v>2525.8000000000002</v>
      </c>
      <c r="F647">
        <v>0</v>
      </c>
      <c r="G647">
        <f t="shared" si="38"/>
        <v>2525.8000000000002</v>
      </c>
    </row>
    <row r="648" spans="1:9">
      <c r="A648" t="str">
        <f t="shared" si="36"/>
        <v>CAU</v>
      </c>
      <c r="B648" t="str">
        <f>"60710000"</f>
        <v>60710000</v>
      </c>
      <c r="C648" t="str">
        <f t="shared" si="37"/>
        <v>CAU607100000</v>
      </c>
      <c r="E648">
        <v>158333.68</v>
      </c>
      <c r="F648">
        <v>292.8</v>
      </c>
      <c r="G648">
        <f t="shared" si="38"/>
        <v>158040.88</v>
      </c>
    </row>
    <row r="649" spans="1:9">
      <c r="A649" t="str">
        <f t="shared" si="36"/>
        <v>CAU</v>
      </c>
      <c r="B649" t="str">
        <f>"60711000"</f>
        <v>60711000</v>
      </c>
      <c r="C649" t="str">
        <f t="shared" si="37"/>
        <v>CAU607110000</v>
      </c>
      <c r="E649">
        <v>6887.47</v>
      </c>
      <c r="F649">
        <v>0</v>
      </c>
      <c r="G649">
        <f t="shared" si="38"/>
        <v>6887.47</v>
      </c>
    </row>
    <row r="650" spans="1:9">
      <c r="A650" t="str">
        <f t="shared" si="36"/>
        <v>CAU</v>
      </c>
      <c r="B650" t="str">
        <f>"60713000"</f>
        <v>60713000</v>
      </c>
      <c r="C650" t="str">
        <f t="shared" si="37"/>
        <v>CAU607130000</v>
      </c>
      <c r="E650">
        <v>91224</v>
      </c>
      <c r="F650">
        <v>0</v>
      </c>
      <c r="G650">
        <f t="shared" si="38"/>
        <v>91224</v>
      </c>
    </row>
    <row r="651" spans="1:9">
      <c r="A651" t="str">
        <f t="shared" si="36"/>
        <v>CAU</v>
      </c>
      <c r="B651" t="str">
        <f>"60714000"</f>
        <v>60714000</v>
      </c>
      <c r="C651" t="str">
        <f t="shared" si="37"/>
        <v>CAU607140000</v>
      </c>
      <c r="E651">
        <v>-45337</v>
      </c>
      <c r="F651">
        <v>0</v>
      </c>
      <c r="G651">
        <f t="shared" si="38"/>
        <v>-45337</v>
      </c>
    </row>
    <row r="652" spans="1:9">
      <c r="A652" t="str">
        <f t="shared" si="36"/>
        <v>CAU</v>
      </c>
      <c r="B652" t="str">
        <f>"60720000"</f>
        <v>60720000</v>
      </c>
      <c r="C652" t="str">
        <f t="shared" si="37"/>
        <v>CAU607200000</v>
      </c>
      <c r="E652">
        <v>146950.19</v>
      </c>
      <c r="F652">
        <v>0</v>
      </c>
      <c r="G652">
        <f t="shared" si="38"/>
        <v>146950.19</v>
      </c>
    </row>
    <row r="653" spans="1:9">
      <c r="A653" t="str">
        <f t="shared" si="36"/>
        <v>CAU</v>
      </c>
      <c r="B653" t="str">
        <f>"60740000"</f>
        <v>60740000</v>
      </c>
      <c r="C653" t="str">
        <f t="shared" si="37"/>
        <v>CAU607400000</v>
      </c>
      <c r="E653">
        <v>6526.36</v>
      </c>
      <c r="F653">
        <v>0</v>
      </c>
      <c r="G653">
        <f t="shared" si="38"/>
        <v>6526.36</v>
      </c>
    </row>
    <row r="654" spans="1:9">
      <c r="A654" t="str">
        <f t="shared" si="36"/>
        <v>CAU</v>
      </c>
      <c r="B654" t="str">
        <f>"60800000"</f>
        <v>60800000</v>
      </c>
      <c r="C654" t="str">
        <f t="shared" si="37"/>
        <v>CAU608000000</v>
      </c>
      <c r="E654">
        <v>1284.53</v>
      </c>
      <c r="F654">
        <v>0</v>
      </c>
      <c r="G654">
        <f t="shared" si="38"/>
        <v>1284.53</v>
      </c>
    </row>
    <row r="655" spans="1:9">
      <c r="A655" t="str">
        <f t="shared" si="36"/>
        <v>CAU</v>
      </c>
      <c r="B655" t="str">
        <f>"60911000"</f>
        <v>60911000</v>
      </c>
      <c r="C655" t="str">
        <f t="shared" si="37"/>
        <v>CAU609110000</v>
      </c>
      <c r="E655">
        <v>-4824.38</v>
      </c>
      <c r="F655">
        <v>0</v>
      </c>
      <c r="G655">
        <f t="shared" si="38"/>
        <v>-4824.38</v>
      </c>
      <c r="I655" s="353"/>
    </row>
    <row r="656" spans="1:9">
      <c r="A656" t="str">
        <f t="shared" si="36"/>
        <v>CAU</v>
      </c>
      <c r="B656" t="str">
        <f>"60912000"</f>
        <v>60912000</v>
      </c>
      <c r="C656" t="str">
        <f t="shared" si="37"/>
        <v>CAU609120000</v>
      </c>
      <c r="E656">
        <v>-10535.07</v>
      </c>
      <c r="F656">
        <v>0</v>
      </c>
      <c r="G656">
        <f t="shared" si="38"/>
        <v>-10535.07</v>
      </c>
    </row>
    <row r="657" spans="1:7">
      <c r="A657" t="str">
        <f t="shared" si="36"/>
        <v>CAU</v>
      </c>
      <c r="B657" t="str">
        <f>"60913000"</f>
        <v>60913000</v>
      </c>
      <c r="C657" t="str">
        <f t="shared" si="37"/>
        <v>CAU609130000</v>
      </c>
      <c r="E657">
        <v>-6020.04</v>
      </c>
      <c r="F657">
        <v>0</v>
      </c>
      <c r="G657">
        <f t="shared" si="38"/>
        <v>-6020.04</v>
      </c>
    </row>
    <row r="658" spans="1:7">
      <c r="A658" t="str">
        <f t="shared" si="36"/>
        <v>CAU</v>
      </c>
      <c r="B658" t="str">
        <f>"61250000"</f>
        <v>61250000</v>
      </c>
      <c r="C658" t="str">
        <f t="shared" si="37"/>
        <v>CAU612500000</v>
      </c>
      <c r="E658">
        <v>0</v>
      </c>
      <c r="F658">
        <v>0</v>
      </c>
      <c r="G658">
        <f t="shared" si="38"/>
        <v>0</v>
      </c>
    </row>
    <row r="659" spans="1:7">
      <c r="A659" t="str">
        <f t="shared" si="36"/>
        <v>CAU</v>
      </c>
      <c r="B659" t="str">
        <f>"61320000"</f>
        <v>61320000</v>
      </c>
      <c r="C659" t="str">
        <f t="shared" si="37"/>
        <v>CAU613200000</v>
      </c>
      <c r="E659">
        <v>41884</v>
      </c>
      <c r="F659">
        <v>11447.74</v>
      </c>
      <c r="G659">
        <f t="shared" si="38"/>
        <v>30436.260000000002</v>
      </c>
    </row>
    <row r="660" spans="1:7">
      <c r="A660" t="str">
        <f t="shared" si="36"/>
        <v>CAU</v>
      </c>
      <c r="B660" t="str">
        <f>"61352000"</f>
        <v>61352000</v>
      </c>
      <c r="C660" t="str">
        <f t="shared" si="37"/>
        <v>CAU613520000</v>
      </c>
      <c r="E660">
        <v>3226.16</v>
      </c>
      <c r="F660">
        <v>0</v>
      </c>
      <c r="G660">
        <f t="shared" si="38"/>
        <v>3226.16</v>
      </c>
    </row>
    <row r="661" spans="1:7">
      <c r="A661" t="str">
        <f t="shared" si="36"/>
        <v>CAU</v>
      </c>
      <c r="B661" t="str">
        <f>"61353000"</f>
        <v>61353000</v>
      </c>
      <c r="C661" t="str">
        <f t="shared" si="37"/>
        <v>CAU613530000</v>
      </c>
      <c r="E661">
        <v>180</v>
      </c>
      <c r="F661">
        <v>0</v>
      </c>
      <c r="G661">
        <f t="shared" si="38"/>
        <v>180</v>
      </c>
    </row>
    <row r="662" spans="1:7">
      <c r="A662" t="str">
        <f t="shared" si="36"/>
        <v>CAU</v>
      </c>
      <c r="B662" t="str">
        <f>"61520000"</f>
        <v>61520000</v>
      </c>
      <c r="C662" t="str">
        <f t="shared" si="37"/>
        <v>CAU615200000</v>
      </c>
      <c r="E662">
        <v>565.95000000000005</v>
      </c>
      <c r="F662">
        <v>0</v>
      </c>
      <c r="G662">
        <f t="shared" si="38"/>
        <v>565.95000000000005</v>
      </c>
    </row>
    <row r="663" spans="1:7">
      <c r="A663" t="str">
        <f t="shared" si="36"/>
        <v>CAU</v>
      </c>
      <c r="B663" t="str">
        <f>"61550000"</f>
        <v>61550000</v>
      </c>
      <c r="C663" t="str">
        <f t="shared" si="37"/>
        <v>CAU615500000</v>
      </c>
      <c r="E663">
        <v>934</v>
      </c>
      <c r="F663">
        <v>14</v>
      </c>
      <c r="G663">
        <f t="shared" si="38"/>
        <v>920</v>
      </c>
    </row>
    <row r="664" spans="1:7">
      <c r="A664" t="str">
        <f t="shared" si="36"/>
        <v>CAU</v>
      </c>
      <c r="B664" t="str">
        <f>"61551000"</f>
        <v>61551000</v>
      </c>
      <c r="C664" t="str">
        <f t="shared" si="37"/>
        <v>CAU615510000</v>
      </c>
      <c r="E664">
        <v>1424.15</v>
      </c>
      <c r="F664">
        <v>0</v>
      </c>
      <c r="G664">
        <f t="shared" si="38"/>
        <v>1424.15</v>
      </c>
    </row>
    <row r="665" spans="1:7">
      <c r="A665" t="str">
        <f t="shared" si="36"/>
        <v>CAU</v>
      </c>
      <c r="B665" t="str">
        <f>"61552000"</f>
        <v>61552000</v>
      </c>
      <c r="C665" t="str">
        <f t="shared" si="37"/>
        <v>CAU615520000</v>
      </c>
      <c r="E665">
        <v>1265.8</v>
      </c>
      <c r="F665">
        <v>171.17</v>
      </c>
      <c r="G665">
        <f t="shared" si="38"/>
        <v>1094.6299999999999</v>
      </c>
    </row>
    <row r="666" spans="1:7">
      <c r="A666" t="str">
        <f t="shared" si="36"/>
        <v>CAU</v>
      </c>
      <c r="B666" t="str">
        <f>"61612000"</f>
        <v>61612000</v>
      </c>
      <c r="C666" t="str">
        <f t="shared" si="37"/>
        <v>CAU616120000</v>
      </c>
      <c r="E666">
        <v>737</v>
      </c>
      <c r="F666">
        <v>0</v>
      </c>
      <c r="G666">
        <f t="shared" si="38"/>
        <v>737</v>
      </c>
    </row>
    <row r="667" spans="1:7">
      <c r="A667" t="str">
        <f t="shared" si="36"/>
        <v>CAU</v>
      </c>
      <c r="B667" t="str">
        <f>"61613000"</f>
        <v>61613000</v>
      </c>
      <c r="C667" t="str">
        <f t="shared" si="37"/>
        <v>CAU616130000</v>
      </c>
      <c r="E667">
        <v>2550.23</v>
      </c>
      <c r="F667">
        <v>0</v>
      </c>
      <c r="G667">
        <f t="shared" si="38"/>
        <v>2550.23</v>
      </c>
    </row>
    <row r="668" spans="1:7">
      <c r="A668" t="str">
        <f t="shared" si="36"/>
        <v>CAU</v>
      </c>
      <c r="B668" t="str">
        <f>"61810000"</f>
        <v>61810000</v>
      </c>
      <c r="C668" t="str">
        <f t="shared" si="37"/>
        <v>CAU618100000</v>
      </c>
      <c r="E668">
        <v>411.5</v>
      </c>
      <c r="F668">
        <v>0</v>
      </c>
      <c r="G668">
        <f t="shared" si="38"/>
        <v>411.5</v>
      </c>
    </row>
    <row r="669" spans="1:7">
      <c r="A669" t="str">
        <f t="shared" si="36"/>
        <v>CAU</v>
      </c>
      <c r="B669" t="str">
        <f>"61850000"</f>
        <v>61850000</v>
      </c>
      <c r="C669" t="str">
        <f t="shared" si="37"/>
        <v>CAU618500000</v>
      </c>
      <c r="E669">
        <v>516.49</v>
      </c>
      <c r="F669">
        <v>0</v>
      </c>
      <c r="G669">
        <f t="shared" si="38"/>
        <v>516.49</v>
      </c>
    </row>
    <row r="670" spans="1:7">
      <c r="A670" t="str">
        <f t="shared" si="36"/>
        <v>CAU</v>
      </c>
      <c r="B670" t="str">
        <f>"62110000"</f>
        <v>62110000</v>
      </c>
      <c r="C670" t="str">
        <f t="shared" si="37"/>
        <v>CAU621100000</v>
      </c>
      <c r="E670">
        <v>97</v>
      </c>
      <c r="F670">
        <v>0</v>
      </c>
      <c r="G670">
        <f t="shared" si="38"/>
        <v>97</v>
      </c>
    </row>
    <row r="671" spans="1:7">
      <c r="A671" t="str">
        <f t="shared" si="36"/>
        <v>CAU</v>
      </c>
      <c r="B671" t="str">
        <f>"62270000"</f>
        <v>62270000</v>
      </c>
      <c r="C671" t="str">
        <f t="shared" si="37"/>
        <v>CAU622700000</v>
      </c>
      <c r="E671">
        <v>139.41999999999999</v>
      </c>
      <c r="F671">
        <v>0</v>
      </c>
      <c r="G671">
        <f t="shared" si="38"/>
        <v>139.41999999999999</v>
      </c>
    </row>
    <row r="672" spans="1:7">
      <c r="A672" t="str">
        <f t="shared" si="36"/>
        <v>CAU</v>
      </c>
      <c r="B672" t="str">
        <f>"62310000"</f>
        <v>62310000</v>
      </c>
      <c r="C672" t="str">
        <f t="shared" si="37"/>
        <v>CAU623100000</v>
      </c>
      <c r="E672">
        <v>774.3</v>
      </c>
      <c r="F672">
        <v>0</v>
      </c>
      <c r="G672">
        <f t="shared" si="38"/>
        <v>774.3</v>
      </c>
    </row>
    <row r="673" spans="1:7">
      <c r="A673" t="str">
        <f t="shared" si="36"/>
        <v>CAU</v>
      </c>
      <c r="B673" t="str">
        <f>"62320000"</f>
        <v>62320000</v>
      </c>
      <c r="C673" t="str">
        <f t="shared" si="37"/>
        <v>CAU623200000</v>
      </c>
      <c r="E673">
        <v>5526.28</v>
      </c>
      <c r="F673">
        <v>0</v>
      </c>
      <c r="G673">
        <f t="shared" si="38"/>
        <v>5526.28</v>
      </c>
    </row>
    <row r="674" spans="1:7">
      <c r="A674" t="str">
        <f t="shared" si="36"/>
        <v>CAU</v>
      </c>
      <c r="B674" t="str">
        <f>"62330000"</f>
        <v>62330000</v>
      </c>
      <c r="C674" t="str">
        <f t="shared" si="37"/>
        <v>CAU623300000</v>
      </c>
      <c r="E674">
        <v>130.91999999999999</v>
      </c>
      <c r="F674">
        <v>0</v>
      </c>
      <c r="G674">
        <f t="shared" si="38"/>
        <v>130.91999999999999</v>
      </c>
    </row>
    <row r="675" spans="1:7">
      <c r="A675" t="str">
        <f t="shared" si="36"/>
        <v>CAU</v>
      </c>
      <c r="B675" t="str">
        <f>"62341000"</f>
        <v>62341000</v>
      </c>
      <c r="C675" t="str">
        <f t="shared" si="37"/>
        <v>CAU623410000</v>
      </c>
      <c r="E675">
        <v>11499.83</v>
      </c>
      <c r="F675">
        <v>0</v>
      </c>
      <c r="G675">
        <f t="shared" si="38"/>
        <v>11499.83</v>
      </c>
    </row>
    <row r="676" spans="1:7">
      <c r="A676" t="str">
        <f t="shared" si="36"/>
        <v>CAU</v>
      </c>
      <c r="B676" t="str">
        <f>"62342000"</f>
        <v>62342000</v>
      </c>
      <c r="C676" t="str">
        <f t="shared" si="37"/>
        <v>CAU623420000</v>
      </c>
      <c r="E676">
        <v>-194.83</v>
      </c>
      <c r="F676">
        <v>0</v>
      </c>
      <c r="G676">
        <f t="shared" si="38"/>
        <v>-194.83</v>
      </c>
    </row>
    <row r="677" spans="1:7">
      <c r="A677" t="str">
        <f t="shared" si="36"/>
        <v>CAU</v>
      </c>
      <c r="B677" t="str">
        <f>"62370000"</f>
        <v>62370000</v>
      </c>
      <c r="C677" t="str">
        <f t="shared" si="37"/>
        <v>CAU623700000</v>
      </c>
      <c r="E677">
        <v>1628.31</v>
      </c>
      <c r="F677">
        <v>-221.9</v>
      </c>
      <c r="G677">
        <f t="shared" si="38"/>
        <v>1850.21</v>
      </c>
    </row>
    <row r="678" spans="1:7">
      <c r="A678" t="str">
        <f t="shared" si="36"/>
        <v>CAU</v>
      </c>
      <c r="B678" t="str">
        <f>"62380000"</f>
        <v>62380000</v>
      </c>
      <c r="C678" t="str">
        <f t="shared" si="37"/>
        <v>CAU623800000</v>
      </c>
      <c r="E678">
        <v>250</v>
      </c>
      <c r="F678">
        <v>0</v>
      </c>
      <c r="G678">
        <f t="shared" si="38"/>
        <v>250</v>
      </c>
    </row>
    <row r="679" spans="1:7">
      <c r="A679" t="str">
        <f t="shared" si="36"/>
        <v>CAU</v>
      </c>
      <c r="B679" t="str">
        <f>"62381000"</f>
        <v>62381000</v>
      </c>
      <c r="C679" t="str">
        <f t="shared" si="37"/>
        <v>CAU623810000</v>
      </c>
      <c r="E679">
        <v>0</v>
      </c>
      <c r="F679">
        <v>0</v>
      </c>
      <c r="G679">
        <f t="shared" si="38"/>
        <v>0</v>
      </c>
    </row>
    <row r="680" spans="1:7">
      <c r="A680" t="str">
        <f t="shared" si="36"/>
        <v>CAU</v>
      </c>
      <c r="B680" t="str">
        <f>"62420000"</f>
        <v>62420000</v>
      </c>
      <c r="C680" t="str">
        <f t="shared" si="37"/>
        <v>CAU624200000</v>
      </c>
      <c r="E680">
        <v>9490.32</v>
      </c>
      <c r="F680">
        <v>0</v>
      </c>
      <c r="G680">
        <f t="shared" si="38"/>
        <v>9490.32</v>
      </c>
    </row>
    <row r="681" spans="1:7">
      <c r="A681" t="str">
        <f t="shared" si="36"/>
        <v>CAU</v>
      </c>
      <c r="B681" t="str">
        <f>"62510000"</f>
        <v>62510000</v>
      </c>
      <c r="C681" t="str">
        <f t="shared" si="37"/>
        <v>CAU625100000</v>
      </c>
      <c r="E681">
        <v>5882.07</v>
      </c>
      <c r="F681">
        <v>0</v>
      </c>
      <c r="G681">
        <f t="shared" si="38"/>
        <v>5882.07</v>
      </c>
    </row>
    <row r="682" spans="1:7">
      <c r="A682" t="str">
        <f t="shared" si="36"/>
        <v>CAU</v>
      </c>
      <c r="B682" t="str">
        <f>"62520000"</f>
        <v>62520000</v>
      </c>
      <c r="C682" t="str">
        <f t="shared" si="37"/>
        <v>CAU625200000</v>
      </c>
      <c r="E682">
        <v>17.760000000000002</v>
      </c>
      <c r="F682">
        <v>0</v>
      </c>
      <c r="G682">
        <f t="shared" si="38"/>
        <v>17.760000000000002</v>
      </c>
    </row>
    <row r="683" spans="1:7">
      <c r="A683" t="str">
        <f t="shared" si="36"/>
        <v>CAU</v>
      </c>
      <c r="B683" t="str">
        <f>"62560000"</f>
        <v>62560000</v>
      </c>
      <c r="C683" t="str">
        <f t="shared" si="37"/>
        <v>CAU625600000</v>
      </c>
      <c r="E683">
        <v>25.23</v>
      </c>
      <c r="F683">
        <v>0</v>
      </c>
      <c r="G683">
        <f t="shared" si="38"/>
        <v>25.23</v>
      </c>
    </row>
    <row r="684" spans="1:7">
      <c r="A684" t="str">
        <f t="shared" si="36"/>
        <v>CAU</v>
      </c>
      <c r="B684" t="str">
        <f>"62570000"</f>
        <v>62570000</v>
      </c>
      <c r="C684" t="str">
        <f t="shared" si="37"/>
        <v>CAU625700000</v>
      </c>
      <c r="E684">
        <v>3003.87</v>
      </c>
      <c r="F684">
        <v>0</v>
      </c>
      <c r="G684">
        <f t="shared" si="38"/>
        <v>3003.87</v>
      </c>
    </row>
    <row r="685" spans="1:7">
      <c r="A685" t="str">
        <f t="shared" si="36"/>
        <v>CAU</v>
      </c>
      <c r="B685" t="str">
        <f>"62571000"</f>
        <v>62571000</v>
      </c>
      <c r="C685" t="str">
        <f t="shared" si="37"/>
        <v>CAU625710000</v>
      </c>
      <c r="E685">
        <v>668.18</v>
      </c>
      <c r="F685">
        <v>0</v>
      </c>
      <c r="G685">
        <f t="shared" si="38"/>
        <v>668.18</v>
      </c>
    </row>
    <row r="686" spans="1:7">
      <c r="A686" t="str">
        <f t="shared" si="36"/>
        <v>CAU</v>
      </c>
      <c r="B686" t="str">
        <f>"62600000"</f>
        <v>62600000</v>
      </c>
      <c r="C686" t="str">
        <f t="shared" si="37"/>
        <v>CAU626000000</v>
      </c>
      <c r="E686">
        <v>3638.56</v>
      </c>
      <c r="F686">
        <v>0</v>
      </c>
      <c r="G686">
        <f t="shared" si="38"/>
        <v>3638.56</v>
      </c>
    </row>
    <row r="687" spans="1:7">
      <c r="A687" t="str">
        <f t="shared" si="36"/>
        <v>CAU</v>
      </c>
      <c r="B687" t="str">
        <f>"62610000"</f>
        <v>62610000</v>
      </c>
      <c r="C687" t="str">
        <f t="shared" si="37"/>
        <v>CAU626100000</v>
      </c>
      <c r="E687">
        <v>776.47</v>
      </c>
      <c r="F687">
        <v>0</v>
      </c>
      <c r="G687">
        <f t="shared" si="38"/>
        <v>776.47</v>
      </c>
    </row>
    <row r="688" spans="1:7">
      <c r="A688" t="str">
        <f t="shared" si="36"/>
        <v>CAU</v>
      </c>
      <c r="B688" t="str">
        <f>"62752000"</f>
        <v>62752000</v>
      </c>
      <c r="C688" t="str">
        <f t="shared" si="37"/>
        <v>CAU627520000</v>
      </c>
      <c r="E688">
        <v>36</v>
      </c>
      <c r="F688">
        <v>0</v>
      </c>
      <c r="G688">
        <f t="shared" si="38"/>
        <v>36</v>
      </c>
    </row>
    <row r="689" spans="1:7">
      <c r="A689" t="str">
        <f t="shared" si="36"/>
        <v>CAU</v>
      </c>
      <c r="B689" t="str">
        <f>"63330000"</f>
        <v>63330000</v>
      </c>
      <c r="C689" t="str">
        <f t="shared" si="37"/>
        <v>CAU633300000</v>
      </c>
      <c r="E689">
        <v>531</v>
      </c>
      <c r="F689">
        <v>0</v>
      </c>
      <c r="G689">
        <f t="shared" si="38"/>
        <v>531</v>
      </c>
    </row>
    <row r="690" spans="1:7">
      <c r="A690" t="str">
        <f t="shared" si="36"/>
        <v>CAU</v>
      </c>
      <c r="B690" t="str">
        <f>"63340000"</f>
        <v>63340000</v>
      </c>
      <c r="C690" t="str">
        <f t="shared" si="37"/>
        <v>CAU633400000</v>
      </c>
      <c r="E690">
        <v>292</v>
      </c>
      <c r="F690">
        <v>0</v>
      </c>
      <c r="G690">
        <f t="shared" si="38"/>
        <v>292</v>
      </c>
    </row>
    <row r="691" spans="1:7">
      <c r="A691" t="str">
        <f t="shared" si="36"/>
        <v>CAU</v>
      </c>
      <c r="B691" t="str">
        <f>"63350000"</f>
        <v>63350000</v>
      </c>
      <c r="C691" t="str">
        <f t="shared" si="37"/>
        <v>CAU633500000</v>
      </c>
      <c r="E691">
        <v>442</v>
      </c>
      <c r="F691">
        <v>0</v>
      </c>
      <c r="G691">
        <f t="shared" si="38"/>
        <v>442</v>
      </c>
    </row>
    <row r="692" spans="1:7">
      <c r="A692" t="str">
        <f t="shared" si="36"/>
        <v>CAU</v>
      </c>
      <c r="B692" t="str">
        <f>"63511000"</f>
        <v>63511000</v>
      </c>
      <c r="C692" t="str">
        <f t="shared" si="37"/>
        <v>CAU635110000</v>
      </c>
      <c r="E692">
        <v>3272</v>
      </c>
      <c r="F692">
        <v>0</v>
      </c>
      <c r="G692">
        <f t="shared" si="38"/>
        <v>3272</v>
      </c>
    </row>
    <row r="693" spans="1:7">
      <c r="A693" t="str">
        <f t="shared" si="36"/>
        <v>CAU</v>
      </c>
      <c r="B693" t="str">
        <f>"63512000"</f>
        <v>63512000</v>
      </c>
      <c r="C693" t="str">
        <f t="shared" si="37"/>
        <v>CAU635120000</v>
      </c>
      <c r="E693">
        <v>3570</v>
      </c>
      <c r="F693">
        <v>0</v>
      </c>
      <c r="G693">
        <f t="shared" si="38"/>
        <v>3570</v>
      </c>
    </row>
    <row r="694" spans="1:7">
      <c r="A694" t="str">
        <f t="shared" si="36"/>
        <v>CAU</v>
      </c>
      <c r="B694" t="str">
        <f>"63530000"</f>
        <v>63530000</v>
      </c>
      <c r="C694" t="str">
        <f t="shared" si="37"/>
        <v>CAU635300000</v>
      </c>
      <c r="E694">
        <v>0</v>
      </c>
      <c r="F694">
        <v>0</v>
      </c>
      <c r="G694">
        <f t="shared" si="38"/>
        <v>0</v>
      </c>
    </row>
    <row r="695" spans="1:7">
      <c r="A695" t="str">
        <f t="shared" si="36"/>
        <v>CAU</v>
      </c>
      <c r="B695" t="str">
        <f>"63710000"</f>
        <v>63710000</v>
      </c>
      <c r="C695" t="str">
        <f t="shared" si="37"/>
        <v>CAU637100000</v>
      </c>
      <c r="E695">
        <v>946.31</v>
      </c>
      <c r="F695">
        <v>0</v>
      </c>
      <c r="G695">
        <f t="shared" si="38"/>
        <v>946.31</v>
      </c>
    </row>
    <row r="696" spans="1:7">
      <c r="A696" t="str">
        <f t="shared" si="36"/>
        <v>CAU</v>
      </c>
      <c r="B696" t="str">
        <f>"64110000"</f>
        <v>64110000</v>
      </c>
      <c r="C696" t="str">
        <f t="shared" si="37"/>
        <v>CAU641100000</v>
      </c>
      <c r="E696">
        <v>75557.460000000006</v>
      </c>
      <c r="F696">
        <v>0</v>
      </c>
      <c r="G696">
        <f t="shared" si="38"/>
        <v>75557.460000000006</v>
      </c>
    </row>
    <row r="697" spans="1:7">
      <c r="A697" t="str">
        <f t="shared" si="36"/>
        <v>CAU</v>
      </c>
      <c r="B697" t="str">
        <f>"64111000"</f>
        <v>64111000</v>
      </c>
      <c r="C697" t="str">
        <f t="shared" si="37"/>
        <v>CAU641110000</v>
      </c>
      <c r="E697">
        <v>0</v>
      </c>
      <c r="F697">
        <v>0</v>
      </c>
      <c r="G697">
        <f t="shared" si="38"/>
        <v>0</v>
      </c>
    </row>
    <row r="698" spans="1:7">
      <c r="A698" t="str">
        <f t="shared" si="36"/>
        <v>CAU</v>
      </c>
      <c r="B698" t="str">
        <f>"64120000"</f>
        <v>64120000</v>
      </c>
      <c r="C698" t="str">
        <f t="shared" si="37"/>
        <v>CAU641200000</v>
      </c>
      <c r="E698">
        <v>4751.3999999999996</v>
      </c>
      <c r="F698">
        <v>2443.38</v>
      </c>
      <c r="G698">
        <f t="shared" si="38"/>
        <v>2308.0199999999995</v>
      </c>
    </row>
    <row r="699" spans="1:7">
      <c r="A699" t="str">
        <f t="shared" si="36"/>
        <v>CAU</v>
      </c>
      <c r="B699" t="str">
        <f>"64121000"</f>
        <v>64121000</v>
      </c>
      <c r="C699" t="str">
        <f t="shared" si="37"/>
        <v>CAU641210000</v>
      </c>
      <c r="E699">
        <v>1634.48</v>
      </c>
      <c r="F699">
        <v>587.39</v>
      </c>
      <c r="G699">
        <f t="shared" si="38"/>
        <v>1047.0900000000001</v>
      </c>
    </row>
    <row r="700" spans="1:7">
      <c r="A700" t="str">
        <f t="shared" si="36"/>
        <v>CAU</v>
      </c>
      <c r="B700" t="str">
        <f>"64510000"</f>
        <v>64510000</v>
      </c>
      <c r="C700" t="str">
        <f t="shared" si="37"/>
        <v>CAU645100000</v>
      </c>
      <c r="E700">
        <v>18987.55</v>
      </c>
      <c r="F700">
        <v>0</v>
      </c>
      <c r="G700">
        <f t="shared" si="38"/>
        <v>18987.55</v>
      </c>
    </row>
    <row r="701" spans="1:7">
      <c r="A701" t="str">
        <f t="shared" si="36"/>
        <v>CAU</v>
      </c>
      <c r="B701" t="str">
        <f>"64520000"</f>
        <v>64520000</v>
      </c>
      <c r="C701" t="str">
        <f t="shared" si="37"/>
        <v>CAU645200000</v>
      </c>
      <c r="E701">
        <v>1500.8</v>
      </c>
      <c r="F701">
        <v>0</v>
      </c>
      <c r="G701">
        <f t="shared" si="38"/>
        <v>1500.8</v>
      </c>
    </row>
    <row r="702" spans="1:7">
      <c r="A702" t="str">
        <f t="shared" si="36"/>
        <v>CAU</v>
      </c>
      <c r="B702" t="str">
        <f>"64530000"</f>
        <v>64530000</v>
      </c>
      <c r="C702" t="str">
        <f t="shared" si="37"/>
        <v>CAU645300000</v>
      </c>
      <c r="E702">
        <v>3701.84</v>
      </c>
      <c r="F702">
        <v>0</v>
      </c>
      <c r="G702">
        <f t="shared" si="38"/>
        <v>3701.84</v>
      </c>
    </row>
    <row r="703" spans="1:7">
      <c r="A703" t="str">
        <f t="shared" si="36"/>
        <v>CAU</v>
      </c>
      <c r="B703" t="str">
        <f>"64540000"</f>
        <v>64540000</v>
      </c>
      <c r="C703" t="str">
        <f t="shared" si="37"/>
        <v>CAU645400000</v>
      </c>
      <c r="E703">
        <v>2766.23</v>
      </c>
      <c r="F703">
        <v>0</v>
      </c>
      <c r="G703">
        <f t="shared" si="38"/>
        <v>2766.23</v>
      </c>
    </row>
    <row r="704" spans="1:7">
      <c r="A704" t="str">
        <f t="shared" si="36"/>
        <v>CAU</v>
      </c>
      <c r="B704" t="str">
        <f>"64590000"</f>
        <v>64590000</v>
      </c>
      <c r="C704" t="str">
        <f t="shared" si="37"/>
        <v>CAU645900000</v>
      </c>
      <c r="E704">
        <v>0</v>
      </c>
      <c r="F704">
        <v>0</v>
      </c>
      <c r="G704">
        <f t="shared" si="38"/>
        <v>0</v>
      </c>
    </row>
    <row r="705" spans="1:9">
      <c r="A705" t="str">
        <f t="shared" si="36"/>
        <v>CAU</v>
      </c>
      <c r="B705" t="str">
        <f>"64710000"</f>
        <v>64710000</v>
      </c>
      <c r="C705" t="str">
        <f t="shared" si="37"/>
        <v>CAU647100000</v>
      </c>
      <c r="E705">
        <v>39.6</v>
      </c>
      <c r="F705">
        <v>0</v>
      </c>
      <c r="G705">
        <f t="shared" si="38"/>
        <v>39.6</v>
      </c>
    </row>
    <row r="706" spans="1:9">
      <c r="A706" t="str">
        <f t="shared" si="36"/>
        <v>CAU</v>
      </c>
      <c r="B706" t="str">
        <f>"64740000"</f>
        <v>64740000</v>
      </c>
      <c r="C706" t="str">
        <f t="shared" si="37"/>
        <v>CAU647400000</v>
      </c>
      <c r="E706">
        <v>60.9</v>
      </c>
      <c r="F706">
        <v>0</v>
      </c>
      <c r="G706">
        <f t="shared" si="38"/>
        <v>60.9</v>
      </c>
    </row>
    <row r="707" spans="1:9">
      <c r="A707" t="str">
        <f>"CAU"</f>
        <v>CAU</v>
      </c>
      <c r="B707" t="str">
        <f>"64750000"</f>
        <v>64750000</v>
      </c>
      <c r="C707" t="str">
        <f t="shared" ref="C707:C770" si="39">+A707&amp;B707*10</f>
        <v>CAU647500000</v>
      </c>
      <c r="E707">
        <v>241.53</v>
      </c>
      <c r="F707">
        <v>0</v>
      </c>
      <c r="G707">
        <f t="shared" ref="G707:G770" si="40">+E707-F707</f>
        <v>241.53</v>
      </c>
    </row>
    <row r="708" spans="1:9">
      <c r="A708" t="s">
        <v>524</v>
      </c>
      <c r="B708" t="str">
        <f>"64800000"</f>
        <v>64800000</v>
      </c>
      <c r="C708" t="str">
        <f t="shared" si="39"/>
        <v>CAU648000000</v>
      </c>
      <c r="E708" s="19">
        <v>346.03191999999996</v>
      </c>
      <c r="G708" s="19">
        <f t="shared" si="40"/>
        <v>346.03191999999996</v>
      </c>
      <c r="H708" s="433">
        <v>346.03191999999996</v>
      </c>
      <c r="I708" s="113" t="s">
        <v>524</v>
      </c>
    </row>
    <row r="709" spans="1:9">
      <c r="A709" t="str">
        <f t="shared" ref="A709:A719" si="41">"CAU"</f>
        <v>CAU</v>
      </c>
      <c r="B709" t="str">
        <f>"65410000"</f>
        <v>65410000</v>
      </c>
      <c r="C709" t="str">
        <f t="shared" si="39"/>
        <v>CAU654100000</v>
      </c>
      <c r="E709">
        <v>1.35</v>
      </c>
      <c r="F709">
        <v>1.41</v>
      </c>
      <c r="G709">
        <f t="shared" si="40"/>
        <v>-5.9999999999999831E-2</v>
      </c>
    </row>
    <row r="710" spans="1:9">
      <c r="A710" t="str">
        <f t="shared" si="41"/>
        <v>CAU</v>
      </c>
      <c r="B710" t="str">
        <f>"65420000"</f>
        <v>65420000</v>
      </c>
      <c r="C710" t="str">
        <f t="shared" si="39"/>
        <v>CAU654200000</v>
      </c>
      <c r="E710">
        <v>8.3699999999999992</v>
      </c>
      <c r="F710">
        <v>0</v>
      </c>
      <c r="G710">
        <f t="shared" si="40"/>
        <v>8.3699999999999992</v>
      </c>
    </row>
    <row r="711" spans="1:9">
      <c r="A711" t="str">
        <f t="shared" si="41"/>
        <v>CAU</v>
      </c>
      <c r="B711" t="str">
        <f>"65440000"</f>
        <v>65440000</v>
      </c>
      <c r="C711" t="str">
        <f t="shared" si="39"/>
        <v>CAU654400000</v>
      </c>
      <c r="E711">
        <v>1211.4100000000001</v>
      </c>
      <c r="F711">
        <v>0</v>
      </c>
      <c r="G711">
        <f t="shared" si="40"/>
        <v>1211.4100000000001</v>
      </c>
    </row>
    <row r="712" spans="1:9">
      <c r="A712" t="str">
        <f t="shared" si="41"/>
        <v>CAU</v>
      </c>
      <c r="B712" t="str">
        <f>"65800000"</f>
        <v>65800000</v>
      </c>
      <c r="C712" t="str">
        <f t="shared" si="39"/>
        <v>CAU658000000</v>
      </c>
      <c r="E712">
        <v>3714.32</v>
      </c>
      <c r="F712">
        <v>0</v>
      </c>
      <c r="G712">
        <f t="shared" si="40"/>
        <v>3714.32</v>
      </c>
    </row>
    <row r="713" spans="1:9">
      <c r="A713" t="str">
        <f t="shared" si="41"/>
        <v>CAU</v>
      </c>
      <c r="B713" t="str">
        <f>"66500000"</f>
        <v>66500000</v>
      </c>
      <c r="C713" t="str">
        <f t="shared" si="39"/>
        <v>CAU665000000</v>
      </c>
      <c r="E713">
        <v>32.94</v>
      </c>
      <c r="F713">
        <v>0</v>
      </c>
      <c r="G713">
        <f t="shared" si="40"/>
        <v>32.94</v>
      </c>
    </row>
    <row r="714" spans="1:9">
      <c r="A714" t="str">
        <f t="shared" si="41"/>
        <v>CAU</v>
      </c>
      <c r="B714" t="str">
        <f>"66510000"</f>
        <v>66510000</v>
      </c>
      <c r="C714" t="str">
        <f t="shared" si="39"/>
        <v>CAU665100000</v>
      </c>
      <c r="E714">
        <v>5.14</v>
      </c>
      <c r="F714">
        <v>0</v>
      </c>
      <c r="G714">
        <f t="shared" si="40"/>
        <v>5.14</v>
      </c>
    </row>
    <row r="715" spans="1:9">
      <c r="A715" t="str">
        <f t="shared" si="41"/>
        <v>CAU</v>
      </c>
      <c r="B715" t="str">
        <f>"67180000"</f>
        <v>67180000</v>
      </c>
      <c r="C715" t="str">
        <f t="shared" si="39"/>
        <v>CAU671800000</v>
      </c>
      <c r="E715">
        <v>0</v>
      </c>
      <c r="F715">
        <v>0</v>
      </c>
      <c r="G715">
        <f t="shared" si="40"/>
        <v>0</v>
      </c>
    </row>
    <row r="716" spans="1:9">
      <c r="A716" t="str">
        <f t="shared" si="41"/>
        <v>CAU</v>
      </c>
      <c r="B716" t="str">
        <f>"68112000"</f>
        <v>68112000</v>
      </c>
      <c r="C716" t="str">
        <f t="shared" si="39"/>
        <v>CAU681120000</v>
      </c>
      <c r="E716">
        <v>5199.6099999999997</v>
      </c>
      <c r="F716">
        <v>0</v>
      </c>
      <c r="G716">
        <f t="shared" si="40"/>
        <v>5199.6099999999997</v>
      </c>
    </row>
    <row r="717" spans="1:9">
      <c r="A717" t="str">
        <f t="shared" si="41"/>
        <v>CAU</v>
      </c>
      <c r="B717" t="str">
        <f>"68173000"</f>
        <v>68173000</v>
      </c>
      <c r="C717" t="str">
        <f t="shared" si="39"/>
        <v>CAU681730000</v>
      </c>
      <c r="E717">
        <v>8252.09</v>
      </c>
      <c r="F717">
        <v>0</v>
      </c>
      <c r="G717">
        <f t="shared" si="40"/>
        <v>8252.09</v>
      </c>
    </row>
    <row r="718" spans="1:9">
      <c r="A718" t="str">
        <f t="shared" si="41"/>
        <v>CAU</v>
      </c>
      <c r="B718" t="str">
        <f>"68174000"</f>
        <v>68174000</v>
      </c>
      <c r="C718" t="str">
        <f t="shared" si="39"/>
        <v>CAU681740000</v>
      </c>
      <c r="E718">
        <v>7858.98</v>
      </c>
      <c r="F718">
        <v>0</v>
      </c>
      <c r="G718">
        <f t="shared" si="40"/>
        <v>7858.98</v>
      </c>
    </row>
    <row r="719" spans="1:9">
      <c r="A719" t="str">
        <f t="shared" si="41"/>
        <v>CAU</v>
      </c>
      <c r="B719" t="str">
        <f>"68725000"</f>
        <v>68725000</v>
      </c>
      <c r="C719" t="str">
        <f t="shared" si="39"/>
        <v>CAU687250000</v>
      </c>
      <c r="E719">
        <v>17.46</v>
      </c>
      <c r="F719">
        <v>0</v>
      </c>
      <c r="G719">
        <f t="shared" si="40"/>
        <v>17.46</v>
      </c>
    </row>
    <row r="720" spans="1:9">
      <c r="A720" t="str">
        <f t="shared" ref="A720:A781" si="42">"CHA"</f>
        <v>CHA</v>
      </c>
      <c r="B720" t="str">
        <f>"60222000"</f>
        <v>60222000</v>
      </c>
      <c r="C720" t="str">
        <f t="shared" si="39"/>
        <v>CHA602220000</v>
      </c>
      <c r="E720">
        <v>18.64</v>
      </c>
      <c r="F720">
        <v>0</v>
      </c>
      <c r="G720">
        <f t="shared" si="40"/>
        <v>18.64</v>
      </c>
    </row>
    <row r="721" spans="1:7">
      <c r="A721" t="str">
        <f t="shared" si="42"/>
        <v>CHA</v>
      </c>
      <c r="B721" t="str">
        <f>"60610000"</f>
        <v>60610000</v>
      </c>
      <c r="C721" t="str">
        <f t="shared" si="39"/>
        <v>CHA606100000</v>
      </c>
      <c r="E721">
        <v>6752</v>
      </c>
      <c r="F721">
        <v>0</v>
      </c>
      <c r="G721">
        <f t="shared" si="40"/>
        <v>6752</v>
      </c>
    </row>
    <row r="722" spans="1:7">
      <c r="A722" t="str">
        <f t="shared" si="42"/>
        <v>CHA</v>
      </c>
      <c r="B722" t="str">
        <f>"60613000"</f>
        <v>60613000</v>
      </c>
      <c r="C722" t="str">
        <f t="shared" si="39"/>
        <v>CHA606130000</v>
      </c>
      <c r="E722">
        <v>987.57</v>
      </c>
      <c r="F722">
        <v>0</v>
      </c>
      <c r="G722">
        <f t="shared" si="40"/>
        <v>987.57</v>
      </c>
    </row>
    <row r="723" spans="1:7">
      <c r="A723" t="str">
        <f t="shared" si="42"/>
        <v>CHA</v>
      </c>
      <c r="B723" t="str">
        <f>"60641000"</f>
        <v>60641000</v>
      </c>
      <c r="C723" t="str">
        <f t="shared" si="39"/>
        <v>CHA606410000</v>
      </c>
      <c r="E723">
        <v>2085.0500000000002</v>
      </c>
      <c r="F723">
        <v>0</v>
      </c>
      <c r="G723">
        <f t="shared" si="40"/>
        <v>2085.0500000000002</v>
      </c>
    </row>
    <row r="724" spans="1:7">
      <c r="A724" t="str">
        <f t="shared" si="42"/>
        <v>CHA</v>
      </c>
      <c r="B724" t="str">
        <f>"60710000"</f>
        <v>60710000</v>
      </c>
      <c r="C724" t="str">
        <f t="shared" si="39"/>
        <v>CHA607100000</v>
      </c>
      <c r="E724">
        <v>143238.71</v>
      </c>
      <c r="F724">
        <v>230.52</v>
      </c>
      <c r="G724">
        <f t="shared" si="40"/>
        <v>143008.19</v>
      </c>
    </row>
    <row r="725" spans="1:7">
      <c r="A725" t="str">
        <f t="shared" si="42"/>
        <v>CHA</v>
      </c>
      <c r="B725" t="str">
        <f>"60711000"</f>
        <v>60711000</v>
      </c>
      <c r="C725" t="str">
        <f t="shared" si="39"/>
        <v>CHA607110000</v>
      </c>
      <c r="E725">
        <v>21539.33</v>
      </c>
      <c r="F725">
        <v>175</v>
      </c>
      <c r="G725">
        <f t="shared" si="40"/>
        <v>21364.33</v>
      </c>
    </row>
    <row r="726" spans="1:7">
      <c r="A726" t="str">
        <f t="shared" si="42"/>
        <v>CHA</v>
      </c>
      <c r="B726" t="str">
        <f>"60712000"</f>
        <v>60712000</v>
      </c>
      <c r="C726" t="str">
        <f t="shared" si="39"/>
        <v>CHA607120000</v>
      </c>
      <c r="E726">
        <v>-482.88</v>
      </c>
      <c r="F726">
        <v>0</v>
      </c>
      <c r="G726">
        <f t="shared" si="40"/>
        <v>-482.88</v>
      </c>
    </row>
    <row r="727" spans="1:7">
      <c r="A727" t="str">
        <f t="shared" si="42"/>
        <v>CHA</v>
      </c>
      <c r="B727" t="str">
        <f>"60713000"</f>
        <v>60713000</v>
      </c>
      <c r="C727" t="str">
        <f t="shared" si="39"/>
        <v>CHA607130000</v>
      </c>
      <c r="E727">
        <v>55209</v>
      </c>
      <c r="F727">
        <v>0</v>
      </c>
      <c r="G727">
        <f t="shared" si="40"/>
        <v>55209</v>
      </c>
    </row>
    <row r="728" spans="1:7">
      <c r="A728" t="str">
        <f t="shared" si="42"/>
        <v>CHA</v>
      </c>
      <c r="B728" t="str">
        <f>"60714000"</f>
        <v>60714000</v>
      </c>
      <c r="C728" t="str">
        <f t="shared" si="39"/>
        <v>CHA607140000</v>
      </c>
      <c r="E728">
        <v>-27199</v>
      </c>
      <c r="F728">
        <v>0</v>
      </c>
      <c r="G728">
        <f t="shared" si="40"/>
        <v>-27199</v>
      </c>
    </row>
    <row r="729" spans="1:7">
      <c r="A729" t="str">
        <f t="shared" si="42"/>
        <v>CHA</v>
      </c>
      <c r="B729" t="str">
        <f>"60720000"</f>
        <v>60720000</v>
      </c>
      <c r="C729" t="str">
        <f t="shared" si="39"/>
        <v>CHA607200000</v>
      </c>
      <c r="E729">
        <v>102230.8</v>
      </c>
      <c r="F729">
        <v>0</v>
      </c>
      <c r="G729">
        <f t="shared" si="40"/>
        <v>102230.8</v>
      </c>
    </row>
    <row r="730" spans="1:7">
      <c r="A730" t="str">
        <f t="shared" si="42"/>
        <v>CHA</v>
      </c>
      <c r="B730" t="str">
        <f>"60740000"</f>
        <v>60740000</v>
      </c>
      <c r="C730" t="str">
        <f t="shared" si="39"/>
        <v>CHA607400000</v>
      </c>
      <c r="E730">
        <v>6895.52</v>
      </c>
      <c r="F730">
        <v>9</v>
      </c>
      <c r="G730">
        <f t="shared" si="40"/>
        <v>6886.52</v>
      </c>
    </row>
    <row r="731" spans="1:7">
      <c r="A731" t="str">
        <f t="shared" si="42"/>
        <v>CHA</v>
      </c>
      <c r="B731" t="str">
        <f>"60800000"</f>
        <v>60800000</v>
      </c>
      <c r="C731" t="str">
        <f t="shared" si="39"/>
        <v>CHA608000000</v>
      </c>
      <c r="E731">
        <v>6580.5</v>
      </c>
      <c r="F731">
        <v>0</v>
      </c>
      <c r="G731">
        <f t="shared" si="40"/>
        <v>6580.5</v>
      </c>
    </row>
    <row r="732" spans="1:7">
      <c r="A732" t="str">
        <f t="shared" si="42"/>
        <v>CHA</v>
      </c>
      <c r="B732" t="str">
        <f>"60911000"</f>
        <v>60911000</v>
      </c>
      <c r="C732" t="str">
        <f t="shared" si="39"/>
        <v>CHA609110000</v>
      </c>
      <c r="E732">
        <v>-3958.04</v>
      </c>
      <c r="F732">
        <v>0</v>
      </c>
      <c r="G732">
        <f t="shared" si="40"/>
        <v>-3958.04</v>
      </c>
    </row>
    <row r="733" spans="1:7">
      <c r="A733" t="str">
        <f t="shared" si="42"/>
        <v>CHA</v>
      </c>
      <c r="B733" t="str">
        <f>"60912000"</f>
        <v>60912000</v>
      </c>
      <c r="C733" t="str">
        <f t="shared" si="39"/>
        <v>CHA609120000</v>
      </c>
      <c r="E733">
        <v>-7285.02</v>
      </c>
      <c r="F733">
        <v>0</v>
      </c>
      <c r="G733">
        <f t="shared" si="40"/>
        <v>-7285.02</v>
      </c>
    </row>
    <row r="734" spans="1:7">
      <c r="A734" t="str">
        <f t="shared" si="42"/>
        <v>CHA</v>
      </c>
      <c r="B734" t="str">
        <f>"60913000"</f>
        <v>60913000</v>
      </c>
      <c r="C734" t="str">
        <f t="shared" si="39"/>
        <v>CHA609130000</v>
      </c>
      <c r="E734">
        <v>-4162.8599999999997</v>
      </c>
      <c r="F734">
        <v>0</v>
      </c>
      <c r="G734">
        <f t="shared" si="40"/>
        <v>-4162.8599999999997</v>
      </c>
    </row>
    <row r="735" spans="1:7">
      <c r="A735" t="str">
        <f t="shared" si="42"/>
        <v>CHA</v>
      </c>
      <c r="B735" t="str">
        <f>"61320000"</f>
        <v>61320000</v>
      </c>
      <c r="C735" t="str">
        <f t="shared" si="39"/>
        <v>CHA613200000</v>
      </c>
      <c r="E735">
        <v>16560</v>
      </c>
      <c r="F735">
        <v>0</v>
      </c>
      <c r="G735">
        <f t="shared" si="40"/>
        <v>16560</v>
      </c>
    </row>
    <row r="736" spans="1:7">
      <c r="A736" t="str">
        <f t="shared" si="42"/>
        <v>CHA</v>
      </c>
      <c r="B736" t="str">
        <f>"61352000"</f>
        <v>61352000</v>
      </c>
      <c r="C736" t="str">
        <f t="shared" si="39"/>
        <v>CHA613520000</v>
      </c>
      <c r="E736">
        <v>3887.12</v>
      </c>
      <c r="F736">
        <v>0</v>
      </c>
      <c r="G736">
        <f t="shared" si="40"/>
        <v>3887.12</v>
      </c>
    </row>
    <row r="737" spans="1:7">
      <c r="A737" t="str">
        <f t="shared" si="42"/>
        <v>CHA</v>
      </c>
      <c r="B737" t="str">
        <f>"61353000"</f>
        <v>61353000</v>
      </c>
      <c r="C737" t="str">
        <f t="shared" si="39"/>
        <v>CHA613530000</v>
      </c>
      <c r="E737">
        <v>180</v>
      </c>
      <c r="F737">
        <v>0</v>
      </c>
      <c r="G737">
        <f t="shared" si="40"/>
        <v>180</v>
      </c>
    </row>
    <row r="738" spans="1:7">
      <c r="A738" t="str">
        <f t="shared" si="42"/>
        <v>CHA</v>
      </c>
      <c r="B738" t="str">
        <f>"61400000"</f>
        <v>61400000</v>
      </c>
      <c r="C738" t="str">
        <f t="shared" si="39"/>
        <v>CHA614000000</v>
      </c>
      <c r="E738">
        <v>55.46</v>
      </c>
      <c r="F738">
        <v>0</v>
      </c>
      <c r="G738">
        <f t="shared" si="40"/>
        <v>55.46</v>
      </c>
    </row>
    <row r="739" spans="1:7">
      <c r="A739" t="str">
        <f t="shared" si="42"/>
        <v>CHA</v>
      </c>
      <c r="B739" t="str">
        <f>"61520000"</f>
        <v>61520000</v>
      </c>
      <c r="C739" t="str">
        <f t="shared" si="39"/>
        <v>CHA615200000</v>
      </c>
      <c r="E739">
        <v>1805.91</v>
      </c>
      <c r="F739">
        <v>0</v>
      </c>
      <c r="G739">
        <f t="shared" si="40"/>
        <v>1805.91</v>
      </c>
    </row>
    <row r="740" spans="1:7">
      <c r="A740" t="str">
        <f t="shared" si="42"/>
        <v>CHA</v>
      </c>
      <c r="B740" t="str">
        <f>"61550000"</f>
        <v>61550000</v>
      </c>
      <c r="C740" t="str">
        <f t="shared" si="39"/>
        <v>CHA615500000</v>
      </c>
      <c r="E740">
        <v>0</v>
      </c>
      <c r="F740">
        <v>-571.58000000000004</v>
      </c>
      <c r="G740">
        <f t="shared" si="40"/>
        <v>571.58000000000004</v>
      </c>
    </row>
    <row r="741" spans="1:7">
      <c r="A741" t="str">
        <f t="shared" si="42"/>
        <v>CHA</v>
      </c>
      <c r="B741" t="str">
        <f>"61551000"</f>
        <v>61551000</v>
      </c>
      <c r="C741" t="str">
        <f t="shared" si="39"/>
        <v>CHA615510000</v>
      </c>
      <c r="E741">
        <v>351.58</v>
      </c>
      <c r="F741">
        <v>0</v>
      </c>
      <c r="G741">
        <f t="shared" si="40"/>
        <v>351.58</v>
      </c>
    </row>
    <row r="742" spans="1:7">
      <c r="A742" t="str">
        <f t="shared" si="42"/>
        <v>CHA</v>
      </c>
      <c r="B742" t="str">
        <f>"61552000"</f>
        <v>61552000</v>
      </c>
      <c r="C742" t="str">
        <f t="shared" si="39"/>
        <v>CHA615520000</v>
      </c>
      <c r="E742">
        <v>1330.14</v>
      </c>
      <c r="F742">
        <v>0</v>
      </c>
      <c r="G742">
        <f t="shared" si="40"/>
        <v>1330.14</v>
      </c>
    </row>
    <row r="743" spans="1:7">
      <c r="A743" t="str">
        <f t="shared" si="42"/>
        <v>CHA</v>
      </c>
      <c r="B743" t="str">
        <f>"61612000"</f>
        <v>61612000</v>
      </c>
      <c r="C743" t="str">
        <f t="shared" si="39"/>
        <v>CHA616120000</v>
      </c>
      <c r="E743">
        <v>713.62</v>
      </c>
      <c r="F743">
        <v>0</v>
      </c>
      <c r="G743">
        <f t="shared" si="40"/>
        <v>713.62</v>
      </c>
    </row>
    <row r="744" spans="1:7">
      <c r="A744" t="str">
        <f t="shared" si="42"/>
        <v>CHA</v>
      </c>
      <c r="B744" t="str">
        <f>"61613000"</f>
        <v>61613000</v>
      </c>
      <c r="C744" t="str">
        <f t="shared" si="39"/>
        <v>CHA616130000</v>
      </c>
      <c r="E744">
        <v>2044.64</v>
      </c>
      <c r="F744">
        <v>0</v>
      </c>
      <c r="G744">
        <f t="shared" si="40"/>
        <v>2044.64</v>
      </c>
    </row>
    <row r="745" spans="1:7">
      <c r="A745" t="str">
        <f t="shared" si="42"/>
        <v>CHA</v>
      </c>
      <c r="B745" t="str">
        <f>"61810000"</f>
        <v>61810000</v>
      </c>
      <c r="C745" t="str">
        <f t="shared" si="39"/>
        <v>CHA618100000</v>
      </c>
      <c r="E745">
        <v>325.55</v>
      </c>
      <c r="F745">
        <v>0</v>
      </c>
      <c r="G745">
        <f t="shared" si="40"/>
        <v>325.55</v>
      </c>
    </row>
    <row r="746" spans="1:7">
      <c r="A746" t="str">
        <f t="shared" si="42"/>
        <v>CHA</v>
      </c>
      <c r="B746" t="str">
        <f>"61850000"</f>
        <v>61850000</v>
      </c>
      <c r="C746" t="str">
        <f t="shared" si="39"/>
        <v>CHA618500000</v>
      </c>
      <c r="E746">
        <v>404.22</v>
      </c>
      <c r="F746">
        <v>0</v>
      </c>
      <c r="G746">
        <f t="shared" si="40"/>
        <v>404.22</v>
      </c>
    </row>
    <row r="747" spans="1:7">
      <c r="A747" t="str">
        <f t="shared" si="42"/>
        <v>CHA</v>
      </c>
      <c r="B747" t="str">
        <f>"62110000"</f>
        <v>62110000</v>
      </c>
      <c r="C747" t="str">
        <f t="shared" si="39"/>
        <v>CHA621100000</v>
      </c>
      <c r="E747">
        <v>8195.64</v>
      </c>
      <c r="F747">
        <v>0</v>
      </c>
      <c r="G747">
        <f t="shared" si="40"/>
        <v>8195.64</v>
      </c>
    </row>
    <row r="748" spans="1:7">
      <c r="A748" t="str">
        <f t="shared" si="42"/>
        <v>CHA</v>
      </c>
      <c r="B748" t="str">
        <f>"62260000"</f>
        <v>62260000</v>
      </c>
      <c r="C748" t="str">
        <f t="shared" si="39"/>
        <v>CHA622600000</v>
      </c>
      <c r="E748">
        <v>167.85</v>
      </c>
      <c r="F748">
        <v>0</v>
      </c>
      <c r="G748">
        <f t="shared" si="40"/>
        <v>167.85</v>
      </c>
    </row>
    <row r="749" spans="1:7">
      <c r="A749" t="str">
        <f t="shared" si="42"/>
        <v>CHA</v>
      </c>
      <c r="B749" t="str">
        <f>"62310000"</f>
        <v>62310000</v>
      </c>
      <c r="C749" t="str">
        <f t="shared" si="39"/>
        <v>CHA623100000</v>
      </c>
      <c r="E749">
        <v>774.3</v>
      </c>
      <c r="F749">
        <v>0</v>
      </c>
      <c r="G749">
        <f t="shared" si="40"/>
        <v>774.3</v>
      </c>
    </row>
    <row r="750" spans="1:7">
      <c r="A750" t="str">
        <f t="shared" si="42"/>
        <v>CHA</v>
      </c>
      <c r="B750" t="str">
        <f>"62320000"</f>
        <v>62320000</v>
      </c>
      <c r="C750" t="str">
        <f t="shared" si="39"/>
        <v>CHA623200000</v>
      </c>
      <c r="E750">
        <v>3397.83</v>
      </c>
      <c r="F750">
        <v>0</v>
      </c>
      <c r="G750">
        <f t="shared" si="40"/>
        <v>3397.83</v>
      </c>
    </row>
    <row r="751" spans="1:7">
      <c r="A751" t="str">
        <f t="shared" si="42"/>
        <v>CHA</v>
      </c>
      <c r="B751" t="str">
        <f>"62341000"</f>
        <v>62341000</v>
      </c>
      <c r="C751" t="str">
        <f t="shared" si="39"/>
        <v>CHA623410000</v>
      </c>
      <c r="E751">
        <v>10723.81</v>
      </c>
      <c r="F751">
        <v>0</v>
      </c>
      <c r="G751">
        <f t="shared" si="40"/>
        <v>10723.81</v>
      </c>
    </row>
    <row r="752" spans="1:7">
      <c r="A752" t="str">
        <f t="shared" si="42"/>
        <v>CHA</v>
      </c>
      <c r="B752" t="str">
        <f>"62342000"</f>
        <v>62342000</v>
      </c>
      <c r="C752" t="str">
        <f t="shared" si="39"/>
        <v>CHA623420000</v>
      </c>
      <c r="E752">
        <v>-199.71</v>
      </c>
      <c r="F752">
        <v>0</v>
      </c>
      <c r="G752">
        <f t="shared" si="40"/>
        <v>-199.71</v>
      </c>
    </row>
    <row r="753" spans="1:7">
      <c r="A753" t="str">
        <f t="shared" si="42"/>
        <v>CHA</v>
      </c>
      <c r="B753" t="str">
        <f>"62370000"</f>
        <v>62370000</v>
      </c>
      <c r="C753" t="str">
        <f t="shared" si="39"/>
        <v>CHA623700000</v>
      </c>
      <c r="E753">
        <v>847.97</v>
      </c>
      <c r="F753">
        <v>-221.9</v>
      </c>
      <c r="G753">
        <f t="shared" si="40"/>
        <v>1069.8700000000001</v>
      </c>
    </row>
    <row r="754" spans="1:7">
      <c r="A754" t="str">
        <f t="shared" si="42"/>
        <v>CHA</v>
      </c>
      <c r="B754" t="str">
        <f>"62381000"</f>
        <v>62381000</v>
      </c>
      <c r="C754" t="str">
        <f t="shared" si="39"/>
        <v>CHA623810000</v>
      </c>
      <c r="E754">
        <v>0</v>
      </c>
      <c r="F754">
        <v>0</v>
      </c>
      <c r="G754">
        <f t="shared" si="40"/>
        <v>0</v>
      </c>
    </row>
    <row r="755" spans="1:7">
      <c r="A755" t="str">
        <f t="shared" si="42"/>
        <v>CHA</v>
      </c>
      <c r="B755" t="str">
        <f>"62420000"</f>
        <v>62420000</v>
      </c>
      <c r="C755" t="str">
        <f t="shared" si="39"/>
        <v>CHA624200000</v>
      </c>
      <c r="E755">
        <v>5019.1499999999996</v>
      </c>
      <c r="F755">
        <v>0</v>
      </c>
      <c r="G755">
        <f t="shared" si="40"/>
        <v>5019.1499999999996</v>
      </c>
    </row>
    <row r="756" spans="1:7">
      <c r="A756" t="str">
        <f t="shared" si="42"/>
        <v>CHA</v>
      </c>
      <c r="B756" t="str">
        <f>"62510000"</f>
        <v>62510000</v>
      </c>
      <c r="C756" t="str">
        <f t="shared" si="39"/>
        <v>CHA625100000</v>
      </c>
      <c r="E756">
        <v>5047.0200000000004</v>
      </c>
      <c r="F756">
        <v>0</v>
      </c>
      <c r="G756">
        <f t="shared" si="40"/>
        <v>5047.0200000000004</v>
      </c>
    </row>
    <row r="757" spans="1:7">
      <c r="A757" t="str">
        <f t="shared" si="42"/>
        <v>CHA</v>
      </c>
      <c r="B757" t="str">
        <f>"62520000"</f>
        <v>62520000</v>
      </c>
      <c r="C757" t="str">
        <f t="shared" si="39"/>
        <v>CHA625200000</v>
      </c>
      <c r="E757">
        <v>297.27</v>
      </c>
      <c r="F757">
        <v>0</v>
      </c>
      <c r="G757">
        <f t="shared" si="40"/>
        <v>297.27</v>
      </c>
    </row>
    <row r="758" spans="1:7">
      <c r="A758" t="str">
        <f t="shared" si="42"/>
        <v>CHA</v>
      </c>
      <c r="B758" t="str">
        <f>"62560000"</f>
        <v>62560000</v>
      </c>
      <c r="C758" t="str">
        <f t="shared" si="39"/>
        <v>CHA625600000</v>
      </c>
      <c r="E758">
        <v>25.23</v>
      </c>
      <c r="F758">
        <v>0</v>
      </c>
      <c r="G758">
        <f t="shared" si="40"/>
        <v>25.23</v>
      </c>
    </row>
    <row r="759" spans="1:7">
      <c r="A759" t="str">
        <f t="shared" si="42"/>
        <v>CHA</v>
      </c>
      <c r="B759" t="str">
        <f>"62570000"</f>
        <v>62570000</v>
      </c>
      <c r="C759" t="str">
        <f t="shared" si="39"/>
        <v>CHA625700000</v>
      </c>
      <c r="E759">
        <v>6962.02</v>
      </c>
      <c r="F759">
        <v>40.6</v>
      </c>
      <c r="G759">
        <f t="shared" si="40"/>
        <v>6921.42</v>
      </c>
    </row>
    <row r="760" spans="1:7">
      <c r="A760" t="str">
        <f t="shared" si="42"/>
        <v>CHA</v>
      </c>
      <c r="B760" t="str">
        <f>"62571000"</f>
        <v>62571000</v>
      </c>
      <c r="C760" t="str">
        <f t="shared" si="39"/>
        <v>CHA625710000</v>
      </c>
      <c r="E760">
        <v>1459.85</v>
      </c>
      <c r="F760">
        <v>0</v>
      </c>
      <c r="G760">
        <f t="shared" si="40"/>
        <v>1459.85</v>
      </c>
    </row>
    <row r="761" spans="1:7">
      <c r="A761" t="str">
        <f t="shared" si="42"/>
        <v>CHA</v>
      </c>
      <c r="B761" t="str">
        <f>"62600000"</f>
        <v>62600000</v>
      </c>
      <c r="C761" t="str">
        <f t="shared" si="39"/>
        <v>CHA626000000</v>
      </c>
      <c r="E761">
        <v>4082.66</v>
      </c>
      <c r="F761">
        <v>0</v>
      </c>
      <c r="G761">
        <f t="shared" si="40"/>
        <v>4082.66</v>
      </c>
    </row>
    <row r="762" spans="1:7">
      <c r="A762" t="str">
        <f t="shared" si="42"/>
        <v>CHA</v>
      </c>
      <c r="B762" t="str">
        <f>"62610000"</f>
        <v>62610000</v>
      </c>
      <c r="C762" t="str">
        <f t="shared" si="39"/>
        <v>CHA626100000</v>
      </c>
      <c r="E762">
        <v>1168.1199999999999</v>
      </c>
      <c r="F762">
        <v>0</v>
      </c>
      <c r="G762">
        <f t="shared" si="40"/>
        <v>1168.1199999999999</v>
      </c>
    </row>
    <row r="763" spans="1:7">
      <c r="A763" t="str">
        <f t="shared" si="42"/>
        <v>CHA</v>
      </c>
      <c r="B763" t="str">
        <f>"62752000"</f>
        <v>62752000</v>
      </c>
      <c r="C763" t="str">
        <f t="shared" si="39"/>
        <v>CHA627520000</v>
      </c>
      <c r="E763">
        <v>169.7</v>
      </c>
      <c r="F763">
        <v>0</v>
      </c>
      <c r="G763">
        <f t="shared" si="40"/>
        <v>169.7</v>
      </c>
    </row>
    <row r="764" spans="1:7">
      <c r="A764" t="str">
        <f t="shared" si="42"/>
        <v>CHA</v>
      </c>
      <c r="B764" t="str">
        <f>"63330000"</f>
        <v>63330000</v>
      </c>
      <c r="C764" t="str">
        <f t="shared" si="39"/>
        <v>CHA633300000</v>
      </c>
      <c r="E764">
        <v>368</v>
      </c>
      <c r="F764">
        <v>0</v>
      </c>
      <c r="G764">
        <f t="shared" si="40"/>
        <v>368</v>
      </c>
    </row>
    <row r="765" spans="1:7">
      <c r="A765" t="str">
        <f t="shared" si="42"/>
        <v>CHA</v>
      </c>
      <c r="B765" t="str">
        <f>"63340000"</f>
        <v>63340000</v>
      </c>
      <c r="C765" t="str">
        <f t="shared" si="39"/>
        <v>CHA633400000</v>
      </c>
      <c r="E765">
        <v>203</v>
      </c>
      <c r="F765">
        <v>0</v>
      </c>
      <c r="G765">
        <f t="shared" si="40"/>
        <v>203</v>
      </c>
    </row>
    <row r="766" spans="1:7">
      <c r="A766" t="str">
        <f t="shared" si="42"/>
        <v>CHA</v>
      </c>
      <c r="B766" t="str">
        <f>"63350000"</f>
        <v>63350000</v>
      </c>
      <c r="C766" t="str">
        <f t="shared" si="39"/>
        <v>CHA633500000</v>
      </c>
      <c r="E766">
        <v>307</v>
      </c>
      <c r="F766">
        <v>0</v>
      </c>
      <c r="G766">
        <f t="shared" si="40"/>
        <v>307</v>
      </c>
    </row>
    <row r="767" spans="1:7">
      <c r="A767" t="str">
        <f t="shared" si="42"/>
        <v>CHA</v>
      </c>
      <c r="B767" t="str">
        <f>"63511000"</f>
        <v>63511000</v>
      </c>
      <c r="C767" t="str">
        <f t="shared" si="39"/>
        <v>CHA635110000</v>
      </c>
      <c r="E767">
        <v>2403</v>
      </c>
      <c r="F767">
        <v>0</v>
      </c>
      <c r="G767">
        <f t="shared" si="40"/>
        <v>2403</v>
      </c>
    </row>
    <row r="768" spans="1:7">
      <c r="A768" t="str">
        <f t="shared" si="42"/>
        <v>CHA</v>
      </c>
      <c r="B768" t="str">
        <f>"63512000"</f>
        <v>63512000</v>
      </c>
      <c r="C768" t="str">
        <f t="shared" si="39"/>
        <v>CHA635120000</v>
      </c>
      <c r="E768">
        <v>1752</v>
      </c>
      <c r="F768">
        <v>0</v>
      </c>
      <c r="G768">
        <f t="shared" si="40"/>
        <v>1752</v>
      </c>
    </row>
    <row r="769" spans="1:9">
      <c r="A769" t="str">
        <f t="shared" si="42"/>
        <v>CHA</v>
      </c>
      <c r="B769" t="str">
        <f>"63530000"</f>
        <v>63530000</v>
      </c>
      <c r="C769" t="str">
        <f t="shared" si="39"/>
        <v>CHA635300000</v>
      </c>
      <c r="E769">
        <v>0</v>
      </c>
      <c r="F769">
        <v>0</v>
      </c>
      <c r="G769">
        <f t="shared" si="40"/>
        <v>0</v>
      </c>
    </row>
    <row r="770" spans="1:9">
      <c r="A770" t="str">
        <f t="shared" si="42"/>
        <v>CHA</v>
      </c>
      <c r="B770" t="str">
        <f>"63710000"</f>
        <v>63710000</v>
      </c>
      <c r="C770" t="str">
        <f t="shared" si="39"/>
        <v>CHA637100000</v>
      </c>
      <c r="E770">
        <v>727.17</v>
      </c>
      <c r="F770">
        <v>0</v>
      </c>
      <c r="G770">
        <f t="shared" si="40"/>
        <v>727.17</v>
      </c>
    </row>
    <row r="771" spans="1:9">
      <c r="A771" t="str">
        <f t="shared" si="42"/>
        <v>CHA</v>
      </c>
      <c r="B771" t="str">
        <f>"64110000"</f>
        <v>64110000</v>
      </c>
      <c r="C771" t="str">
        <f t="shared" ref="C771:C834" si="43">+A771&amp;B771*10</f>
        <v>CHA641100000</v>
      </c>
      <c r="E771">
        <v>49043.55</v>
      </c>
      <c r="F771">
        <v>0</v>
      </c>
      <c r="G771">
        <f t="shared" ref="G771:G834" si="44">+E771-F771</f>
        <v>49043.55</v>
      </c>
    </row>
    <row r="772" spans="1:9">
      <c r="A772" t="str">
        <f t="shared" si="42"/>
        <v>CHA</v>
      </c>
      <c r="B772" t="str">
        <f>"64111000"</f>
        <v>64111000</v>
      </c>
      <c r="C772" t="str">
        <f t="shared" si="43"/>
        <v>CHA641110000</v>
      </c>
      <c r="E772">
        <v>0</v>
      </c>
      <c r="F772">
        <v>0</v>
      </c>
      <c r="G772">
        <f t="shared" si="44"/>
        <v>0</v>
      </c>
    </row>
    <row r="773" spans="1:9">
      <c r="A773" t="str">
        <f t="shared" si="42"/>
        <v>CHA</v>
      </c>
      <c r="B773" t="str">
        <f>"64120000"</f>
        <v>64120000</v>
      </c>
      <c r="C773" t="str">
        <f t="shared" si="43"/>
        <v>CHA641200000</v>
      </c>
      <c r="E773">
        <v>4377.88</v>
      </c>
      <c r="F773">
        <v>3848</v>
      </c>
      <c r="G773">
        <f t="shared" si="44"/>
        <v>529.88000000000011</v>
      </c>
    </row>
    <row r="774" spans="1:9">
      <c r="A774" t="str">
        <f t="shared" si="42"/>
        <v>CHA</v>
      </c>
      <c r="B774" t="str">
        <f>"64121000"</f>
        <v>64121000</v>
      </c>
      <c r="C774" t="str">
        <f t="shared" si="43"/>
        <v>CHA641210000</v>
      </c>
      <c r="E774">
        <v>1682.42</v>
      </c>
      <c r="F774">
        <v>1515.73</v>
      </c>
      <c r="G774">
        <f t="shared" si="44"/>
        <v>166.69000000000005</v>
      </c>
    </row>
    <row r="775" spans="1:9">
      <c r="A775" t="str">
        <f t="shared" si="42"/>
        <v>CHA</v>
      </c>
      <c r="B775" t="str">
        <f>"64510000"</f>
        <v>64510000</v>
      </c>
      <c r="C775" t="str">
        <f t="shared" si="43"/>
        <v>CHA645100000</v>
      </c>
      <c r="E775">
        <v>12694.54</v>
      </c>
      <c r="F775">
        <v>0</v>
      </c>
      <c r="G775">
        <f t="shared" si="44"/>
        <v>12694.54</v>
      </c>
    </row>
    <row r="776" spans="1:9">
      <c r="A776" t="str">
        <f t="shared" si="42"/>
        <v>CHA</v>
      </c>
      <c r="B776" t="str">
        <f>"64520000"</f>
        <v>64520000</v>
      </c>
      <c r="C776" t="str">
        <f t="shared" si="43"/>
        <v>CHA645200000</v>
      </c>
      <c r="E776">
        <v>1465.67</v>
      </c>
      <c r="F776">
        <v>0</v>
      </c>
      <c r="G776">
        <f t="shared" si="44"/>
        <v>1465.67</v>
      </c>
    </row>
    <row r="777" spans="1:9">
      <c r="A777" t="str">
        <f t="shared" si="42"/>
        <v>CHA</v>
      </c>
      <c r="B777" t="str">
        <f>"64530000"</f>
        <v>64530000</v>
      </c>
      <c r="C777" t="str">
        <f t="shared" si="43"/>
        <v>CHA645300000</v>
      </c>
      <c r="E777">
        <v>3090.97</v>
      </c>
      <c r="F777">
        <v>0</v>
      </c>
      <c r="G777">
        <f t="shared" si="44"/>
        <v>3090.97</v>
      </c>
    </row>
    <row r="778" spans="1:9">
      <c r="A778" t="str">
        <f t="shared" si="42"/>
        <v>CHA</v>
      </c>
      <c r="B778" t="str">
        <f>"64540000"</f>
        <v>64540000</v>
      </c>
      <c r="C778" t="str">
        <f t="shared" si="43"/>
        <v>CHA645400000</v>
      </c>
      <c r="E778">
        <v>1919.5</v>
      </c>
      <c r="F778">
        <v>0</v>
      </c>
      <c r="G778">
        <f t="shared" si="44"/>
        <v>1919.5</v>
      </c>
    </row>
    <row r="779" spans="1:9">
      <c r="A779" t="str">
        <f t="shared" si="42"/>
        <v>CHA</v>
      </c>
      <c r="B779" t="str">
        <f>"64590000"</f>
        <v>64590000</v>
      </c>
      <c r="C779" t="str">
        <f t="shared" si="43"/>
        <v>CHA645900000</v>
      </c>
      <c r="E779">
        <v>-0.96</v>
      </c>
      <c r="F779">
        <v>0</v>
      </c>
      <c r="G779">
        <f t="shared" si="44"/>
        <v>-0.96</v>
      </c>
    </row>
    <row r="780" spans="1:9">
      <c r="A780" t="str">
        <f t="shared" si="42"/>
        <v>CHA</v>
      </c>
      <c r="B780" t="str">
        <f>"64710000"</f>
        <v>64710000</v>
      </c>
      <c r="C780" t="str">
        <f t="shared" si="43"/>
        <v>CHA647100000</v>
      </c>
      <c r="E780">
        <v>39.6</v>
      </c>
      <c r="F780">
        <v>0</v>
      </c>
      <c r="G780">
        <f t="shared" si="44"/>
        <v>39.6</v>
      </c>
    </row>
    <row r="781" spans="1:9">
      <c r="A781" t="str">
        <f t="shared" si="42"/>
        <v>CHA</v>
      </c>
      <c r="B781" t="str">
        <f>"64750000"</f>
        <v>64750000</v>
      </c>
      <c r="C781" t="str">
        <f t="shared" si="43"/>
        <v>CHA647500000</v>
      </c>
      <c r="E781">
        <v>110.33</v>
      </c>
      <c r="F781">
        <v>0</v>
      </c>
      <c r="G781">
        <f t="shared" si="44"/>
        <v>110.33</v>
      </c>
    </row>
    <row r="782" spans="1:9">
      <c r="A782" t="s">
        <v>525</v>
      </c>
      <c r="B782" t="str">
        <f>"64800000"</f>
        <v>64800000</v>
      </c>
      <c r="C782" t="str">
        <f t="shared" si="43"/>
        <v>CHA648000000</v>
      </c>
      <c r="E782" s="19">
        <v>164.11199999999999</v>
      </c>
      <c r="G782" s="19">
        <f t="shared" si="44"/>
        <v>164.11199999999999</v>
      </c>
      <c r="H782" s="433">
        <v>164.11199999999999</v>
      </c>
      <c r="I782" s="113" t="s">
        <v>525</v>
      </c>
    </row>
    <row r="783" spans="1:9">
      <c r="A783" t="str">
        <f t="shared" ref="A783:A789" si="45">"CHA"</f>
        <v>CHA</v>
      </c>
      <c r="B783" t="str">
        <f>"65410000"</f>
        <v>65410000</v>
      </c>
      <c r="C783" t="str">
        <f t="shared" si="43"/>
        <v>CHA654100000</v>
      </c>
      <c r="E783">
        <v>0.54</v>
      </c>
      <c r="F783">
        <v>0.6</v>
      </c>
      <c r="G783">
        <f t="shared" si="44"/>
        <v>-5.9999999999999942E-2</v>
      </c>
    </row>
    <row r="784" spans="1:9">
      <c r="A784" t="str">
        <f t="shared" si="45"/>
        <v>CHA</v>
      </c>
      <c r="B784" t="str">
        <f>"65440000"</f>
        <v>65440000</v>
      </c>
      <c r="C784" t="str">
        <f t="shared" si="43"/>
        <v>CHA654400000</v>
      </c>
      <c r="E784">
        <v>191.7</v>
      </c>
      <c r="F784">
        <v>0</v>
      </c>
      <c r="G784">
        <f t="shared" si="44"/>
        <v>191.7</v>
      </c>
    </row>
    <row r="785" spans="1:7">
      <c r="A785" t="str">
        <f t="shared" si="45"/>
        <v>CHA</v>
      </c>
      <c r="B785" t="str">
        <f>"66161000"</f>
        <v>66161000</v>
      </c>
      <c r="C785" t="str">
        <f t="shared" si="43"/>
        <v>CHA661610000</v>
      </c>
      <c r="E785">
        <v>1002.02</v>
      </c>
      <c r="F785">
        <v>0</v>
      </c>
      <c r="G785">
        <f t="shared" si="44"/>
        <v>1002.02</v>
      </c>
    </row>
    <row r="786" spans="1:7">
      <c r="A786" t="str">
        <f t="shared" si="45"/>
        <v>CHA</v>
      </c>
      <c r="B786" t="str">
        <f>"68112000"</f>
        <v>68112000</v>
      </c>
      <c r="C786" t="str">
        <f t="shared" si="43"/>
        <v>CHA681120000</v>
      </c>
      <c r="E786">
        <v>2289.3000000000002</v>
      </c>
      <c r="F786">
        <v>0</v>
      </c>
      <c r="G786">
        <f t="shared" si="44"/>
        <v>2289.3000000000002</v>
      </c>
    </row>
    <row r="787" spans="1:7">
      <c r="A787" t="str">
        <f t="shared" si="45"/>
        <v>CHA</v>
      </c>
      <c r="B787" t="str">
        <f>"68173000"</f>
        <v>68173000</v>
      </c>
      <c r="C787" t="str">
        <f t="shared" si="43"/>
        <v>CHA681730000</v>
      </c>
      <c r="E787">
        <v>4433.42</v>
      </c>
      <c r="F787">
        <v>0</v>
      </c>
      <c r="G787">
        <f t="shared" si="44"/>
        <v>4433.42</v>
      </c>
    </row>
    <row r="788" spans="1:7">
      <c r="A788" t="str">
        <f t="shared" si="45"/>
        <v>CHA</v>
      </c>
      <c r="B788" t="str">
        <f>"68174000"</f>
        <v>68174000</v>
      </c>
      <c r="C788" t="str">
        <f t="shared" si="43"/>
        <v>CHA681740000</v>
      </c>
      <c r="E788">
        <v>5519.8</v>
      </c>
      <c r="F788">
        <v>0</v>
      </c>
      <c r="G788">
        <f t="shared" si="44"/>
        <v>5519.8</v>
      </c>
    </row>
    <row r="789" spans="1:7">
      <c r="A789" t="str">
        <f t="shared" si="45"/>
        <v>CHA</v>
      </c>
      <c r="B789" t="str">
        <f>"68725000"</f>
        <v>68725000</v>
      </c>
      <c r="C789" t="str">
        <f t="shared" si="43"/>
        <v>CHA687250000</v>
      </c>
      <c r="E789">
        <v>344.06</v>
      </c>
      <c r="F789">
        <v>0</v>
      </c>
      <c r="G789">
        <f t="shared" si="44"/>
        <v>344.06</v>
      </c>
    </row>
    <row r="790" spans="1:7">
      <c r="A790" t="str">
        <f t="shared" ref="A790:A853" si="46">"CHAM"</f>
        <v>CHAM</v>
      </c>
      <c r="B790" t="str">
        <f>"60222000"</f>
        <v>60222000</v>
      </c>
      <c r="C790" t="str">
        <f t="shared" si="43"/>
        <v>CHAM602220000</v>
      </c>
      <c r="E790">
        <v>24.48</v>
      </c>
      <c r="F790">
        <v>0</v>
      </c>
      <c r="G790">
        <f t="shared" si="44"/>
        <v>24.48</v>
      </c>
    </row>
    <row r="791" spans="1:7">
      <c r="A791" t="str">
        <f t="shared" si="46"/>
        <v>CHAM</v>
      </c>
      <c r="B791" t="str">
        <f>"60610000"</f>
        <v>60610000</v>
      </c>
      <c r="C791" t="str">
        <f t="shared" si="43"/>
        <v>CHAM606100000</v>
      </c>
      <c r="E791">
        <v>2989.51</v>
      </c>
      <c r="F791">
        <v>0</v>
      </c>
      <c r="G791">
        <f t="shared" si="44"/>
        <v>2989.51</v>
      </c>
    </row>
    <row r="792" spans="1:7">
      <c r="A792" t="str">
        <f t="shared" si="46"/>
        <v>CHAM</v>
      </c>
      <c r="B792" t="str">
        <f>"60611000"</f>
        <v>60611000</v>
      </c>
      <c r="C792" t="str">
        <f t="shared" si="43"/>
        <v>CHAM606110000</v>
      </c>
      <c r="E792">
        <v>5004.1499999999996</v>
      </c>
      <c r="F792">
        <v>0</v>
      </c>
      <c r="G792">
        <f t="shared" si="44"/>
        <v>5004.1499999999996</v>
      </c>
    </row>
    <row r="793" spans="1:7">
      <c r="A793" t="str">
        <f t="shared" si="46"/>
        <v>CHAM</v>
      </c>
      <c r="B793" t="str">
        <f>"60613000"</f>
        <v>60613000</v>
      </c>
      <c r="C793" t="str">
        <f t="shared" si="43"/>
        <v>CHAM606130000</v>
      </c>
      <c r="E793">
        <v>2375.44</v>
      </c>
      <c r="F793">
        <v>0</v>
      </c>
      <c r="G793">
        <f t="shared" si="44"/>
        <v>2375.44</v>
      </c>
    </row>
    <row r="794" spans="1:7">
      <c r="A794" t="str">
        <f t="shared" si="46"/>
        <v>CHAM</v>
      </c>
      <c r="B794" t="str">
        <f>"60631000"</f>
        <v>60631000</v>
      </c>
      <c r="C794" t="str">
        <f t="shared" si="43"/>
        <v>CHAM606310000</v>
      </c>
      <c r="E794">
        <v>277.27</v>
      </c>
      <c r="F794">
        <v>0</v>
      </c>
      <c r="G794">
        <f t="shared" si="44"/>
        <v>277.27</v>
      </c>
    </row>
    <row r="795" spans="1:7">
      <c r="A795" t="str">
        <f t="shared" si="46"/>
        <v>CHAM</v>
      </c>
      <c r="B795" t="str">
        <f>"60641000"</f>
        <v>60641000</v>
      </c>
      <c r="C795" t="str">
        <f t="shared" si="43"/>
        <v>CHAM606410000</v>
      </c>
      <c r="E795">
        <v>2803.79</v>
      </c>
      <c r="F795">
        <v>934.11</v>
      </c>
      <c r="G795">
        <f t="shared" si="44"/>
        <v>1869.6799999999998</v>
      </c>
    </row>
    <row r="796" spans="1:7">
      <c r="A796" t="str">
        <f t="shared" si="46"/>
        <v>CHAM</v>
      </c>
      <c r="B796" t="str">
        <f>"60710000"</f>
        <v>60710000</v>
      </c>
      <c r="C796" t="str">
        <f t="shared" si="43"/>
        <v>CHAM607100000</v>
      </c>
      <c r="E796">
        <v>281204.77</v>
      </c>
      <c r="F796">
        <v>469.16</v>
      </c>
      <c r="G796">
        <f t="shared" si="44"/>
        <v>280735.61000000004</v>
      </c>
    </row>
    <row r="797" spans="1:7">
      <c r="A797" t="str">
        <f t="shared" si="46"/>
        <v>CHAM</v>
      </c>
      <c r="B797" t="str">
        <f>"60711000"</f>
        <v>60711000</v>
      </c>
      <c r="C797" t="str">
        <f t="shared" si="43"/>
        <v>CHAM607110000</v>
      </c>
      <c r="E797">
        <v>19401.34</v>
      </c>
      <c r="F797">
        <v>0</v>
      </c>
      <c r="G797">
        <f t="shared" si="44"/>
        <v>19401.34</v>
      </c>
    </row>
    <row r="798" spans="1:7">
      <c r="A798" t="str">
        <f t="shared" si="46"/>
        <v>CHAM</v>
      </c>
      <c r="B798" t="str">
        <f>"60713000"</f>
        <v>60713000</v>
      </c>
      <c r="C798" t="str">
        <f t="shared" si="43"/>
        <v>CHAM607130000</v>
      </c>
      <c r="E798">
        <v>68561</v>
      </c>
      <c r="F798">
        <v>0</v>
      </c>
      <c r="G798">
        <f t="shared" si="44"/>
        <v>68561</v>
      </c>
    </row>
    <row r="799" spans="1:7">
      <c r="A799" t="str">
        <f t="shared" si="46"/>
        <v>CHAM</v>
      </c>
      <c r="B799" t="str">
        <f>"60714000"</f>
        <v>60714000</v>
      </c>
      <c r="C799" t="str">
        <f t="shared" si="43"/>
        <v>CHAM607140000</v>
      </c>
      <c r="E799">
        <v>-99284</v>
      </c>
      <c r="F799">
        <v>0</v>
      </c>
      <c r="G799">
        <f t="shared" si="44"/>
        <v>-99284</v>
      </c>
    </row>
    <row r="800" spans="1:7">
      <c r="A800" t="str">
        <f t="shared" si="46"/>
        <v>CHAM</v>
      </c>
      <c r="B800" t="str">
        <f>"60720000"</f>
        <v>60720000</v>
      </c>
      <c r="C800" t="str">
        <f t="shared" si="43"/>
        <v>CHAM607200000</v>
      </c>
      <c r="E800">
        <v>161814.9</v>
      </c>
      <c r="F800">
        <v>0</v>
      </c>
      <c r="G800">
        <f t="shared" si="44"/>
        <v>161814.9</v>
      </c>
    </row>
    <row r="801" spans="1:7">
      <c r="A801" t="str">
        <f t="shared" si="46"/>
        <v>CHAM</v>
      </c>
      <c r="B801" t="str">
        <f>"60740000"</f>
        <v>60740000</v>
      </c>
      <c r="C801" t="str">
        <f t="shared" si="43"/>
        <v>CHAM607400000</v>
      </c>
      <c r="E801">
        <v>8377.16</v>
      </c>
      <c r="F801">
        <v>0</v>
      </c>
      <c r="G801">
        <f t="shared" si="44"/>
        <v>8377.16</v>
      </c>
    </row>
    <row r="802" spans="1:7">
      <c r="A802" t="str">
        <f t="shared" si="46"/>
        <v>CHAM</v>
      </c>
      <c r="B802" t="str">
        <f>"60800000"</f>
        <v>60800000</v>
      </c>
      <c r="C802" t="str">
        <f t="shared" si="43"/>
        <v>CHAM608000000</v>
      </c>
      <c r="E802">
        <v>5486.88</v>
      </c>
      <c r="F802">
        <v>0</v>
      </c>
      <c r="G802">
        <f t="shared" si="44"/>
        <v>5486.88</v>
      </c>
    </row>
    <row r="803" spans="1:7">
      <c r="A803" t="str">
        <f t="shared" si="46"/>
        <v>CHAM</v>
      </c>
      <c r="B803" t="str">
        <f>"60911000"</f>
        <v>60911000</v>
      </c>
      <c r="C803" t="str">
        <f t="shared" si="43"/>
        <v>CHAM609110000</v>
      </c>
      <c r="E803">
        <v>-7875.43</v>
      </c>
      <c r="F803">
        <v>0</v>
      </c>
      <c r="G803">
        <f t="shared" si="44"/>
        <v>-7875.43</v>
      </c>
    </row>
    <row r="804" spans="1:7">
      <c r="A804" t="str">
        <f t="shared" si="46"/>
        <v>CHAM</v>
      </c>
      <c r="B804" t="str">
        <f>"60912000"</f>
        <v>60912000</v>
      </c>
      <c r="C804" t="str">
        <f t="shared" si="43"/>
        <v>CHAM609120000</v>
      </c>
      <c r="E804">
        <v>-11291.79</v>
      </c>
      <c r="F804">
        <v>0</v>
      </c>
      <c r="G804">
        <f t="shared" si="44"/>
        <v>-11291.79</v>
      </c>
    </row>
    <row r="805" spans="1:7">
      <c r="A805" t="str">
        <f t="shared" si="46"/>
        <v>CHAM</v>
      </c>
      <c r="B805" t="str">
        <f>"60913000"</f>
        <v>60913000</v>
      </c>
      <c r="C805" t="str">
        <f t="shared" si="43"/>
        <v>CHAM609130000</v>
      </c>
      <c r="E805">
        <v>-6452.45</v>
      </c>
      <c r="F805">
        <v>0</v>
      </c>
      <c r="G805">
        <f t="shared" si="44"/>
        <v>-6452.45</v>
      </c>
    </row>
    <row r="806" spans="1:7">
      <c r="A806" t="str">
        <f t="shared" si="46"/>
        <v>CHAM</v>
      </c>
      <c r="B806" t="str">
        <f>"61100000"</f>
        <v>61100000</v>
      </c>
      <c r="C806" t="str">
        <f t="shared" si="43"/>
        <v>CHAM611000000</v>
      </c>
      <c r="E806">
        <v>690</v>
      </c>
      <c r="F806">
        <v>0</v>
      </c>
      <c r="G806">
        <f t="shared" si="44"/>
        <v>690</v>
      </c>
    </row>
    <row r="807" spans="1:7">
      <c r="A807" t="str">
        <f t="shared" si="46"/>
        <v>CHAM</v>
      </c>
      <c r="B807" t="str">
        <f>"61320000"</f>
        <v>61320000</v>
      </c>
      <c r="C807" t="str">
        <f t="shared" si="43"/>
        <v>CHAM613200000</v>
      </c>
      <c r="E807">
        <v>31537.96</v>
      </c>
      <c r="F807">
        <v>0</v>
      </c>
      <c r="G807">
        <f t="shared" si="44"/>
        <v>31537.96</v>
      </c>
    </row>
    <row r="808" spans="1:7">
      <c r="A808" t="str">
        <f t="shared" si="46"/>
        <v>CHAM</v>
      </c>
      <c r="B808" t="str">
        <f>"61352000"</f>
        <v>61352000</v>
      </c>
      <c r="C808" t="str">
        <f t="shared" si="43"/>
        <v>CHAM613520000</v>
      </c>
      <c r="E808">
        <v>3484.69</v>
      </c>
      <c r="F808">
        <v>0</v>
      </c>
      <c r="G808">
        <f t="shared" si="44"/>
        <v>3484.69</v>
      </c>
    </row>
    <row r="809" spans="1:7">
      <c r="A809" t="str">
        <f t="shared" si="46"/>
        <v>CHAM</v>
      </c>
      <c r="B809" t="str">
        <f>"61353000"</f>
        <v>61353000</v>
      </c>
      <c r="C809" t="str">
        <f t="shared" si="43"/>
        <v>CHAM613530000</v>
      </c>
      <c r="E809">
        <v>4015</v>
      </c>
      <c r="F809">
        <v>693</v>
      </c>
      <c r="G809">
        <f t="shared" si="44"/>
        <v>3322</v>
      </c>
    </row>
    <row r="810" spans="1:7">
      <c r="A810" t="str">
        <f t="shared" si="46"/>
        <v>CHAM</v>
      </c>
      <c r="B810" t="str">
        <f>"61354000"</f>
        <v>61354000</v>
      </c>
      <c r="C810" t="str">
        <f t="shared" si="43"/>
        <v>CHAM613540000</v>
      </c>
      <c r="E810">
        <v>1198.99</v>
      </c>
      <c r="F810">
        <v>0</v>
      </c>
      <c r="G810">
        <f t="shared" si="44"/>
        <v>1198.99</v>
      </c>
    </row>
    <row r="811" spans="1:7">
      <c r="A811" t="str">
        <f t="shared" si="46"/>
        <v>CHAM</v>
      </c>
      <c r="B811" t="str">
        <f>"61520000"</f>
        <v>61520000</v>
      </c>
      <c r="C811" t="str">
        <f t="shared" si="43"/>
        <v>CHAM615200000</v>
      </c>
      <c r="E811">
        <v>4705.8100000000004</v>
      </c>
      <c r="F811">
        <v>0</v>
      </c>
      <c r="G811">
        <f t="shared" si="44"/>
        <v>4705.8100000000004</v>
      </c>
    </row>
    <row r="812" spans="1:7">
      <c r="A812" t="str">
        <f t="shared" si="46"/>
        <v>CHAM</v>
      </c>
      <c r="B812" t="str">
        <f>"61550000"</f>
        <v>61550000</v>
      </c>
      <c r="C812" t="str">
        <f t="shared" si="43"/>
        <v>CHAM615500000</v>
      </c>
      <c r="E812">
        <v>5196.08</v>
      </c>
      <c r="F812">
        <v>896.81</v>
      </c>
      <c r="G812">
        <f t="shared" si="44"/>
        <v>4299.2700000000004</v>
      </c>
    </row>
    <row r="813" spans="1:7">
      <c r="A813" t="str">
        <f t="shared" si="46"/>
        <v>CHAM</v>
      </c>
      <c r="B813" t="str">
        <f>"61551000"</f>
        <v>61551000</v>
      </c>
      <c r="C813" t="str">
        <f t="shared" si="43"/>
        <v>CHAM615510000</v>
      </c>
      <c r="E813">
        <v>1093.5899999999999</v>
      </c>
      <c r="F813">
        <v>0</v>
      </c>
      <c r="G813">
        <f t="shared" si="44"/>
        <v>1093.5899999999999</v>
      </c>
    </row>
    <row r="814" spans="1:7">
      <c r="A814" t="str">
        <f t="shared" si="46"/>
        <v>CHAM</v>
      </c>
      <c r="B814" t="str">
        <f>"61552000"</f>
        <v>61552000</v>
      </c>
      <c r="C814" t="str">
        <f t="shared" si="43"/>
        <v>CHAM615520000</v>
      </c>
      <c r="E814">
        <v>1035.99</v>
      </c>
      <c r="F814">
        <v>0</v>
      </c>
      <c r="G814">
        <f t="shared" si="44"/>
        <v>1035.99</v>
      </c>
    </row>
    <row r="815" spans="1:7">
      <c r="A815" t="str">
        <f t="shared" si="46"/>
        <v>CHAM</v>
      </c>
      <c r="B815" t="str">
        <f>"61612000"</f>
        <v>61612000</v>
      </c>
      <c r="C815" t="str">
        <f t="shared" si="43"/>
        <v>CHAM616120000</v>
      </c>
      <c r="E815">
        <v>1339.08</v>
      </c>
      <c r="F815">
        <v>0</v>
      </c>
      <c r="G815">
        <f t="shared" si="44"/>
        <v>1339.08</v>
      </c>
    </row>
    <row r="816" spans="1:7">
      <c r="A816" t="str">
        <f t="shared" si="46"/>
        <v>CHAM</v>
      </c>
      <c r="B816" t="str">
        <f>"61613000"</f>
        <v>61613000</v>
      </c>
      <c r="C816" t="str">
        <f t="shared" si="43"/>
        <v>CHAM616130000</v>
      </c>
      <c r="E816">
        <v>2728.44</v>
      </c>
      <c r="F816">
        <v>0</v>
      </c>
      <c r="G816">
        <f t="shared" si="44"/>
        <v>2728.44</v>
      </c>
    </row>
    <row r="817" spans="1:10">
      <c r="A817" t="str">
        <f t="shared" si="46"/>
        <v>CHAM</v>
      </c>
      <c r="B817" t="str">
        <f>"61810000"</f>
        <v>61810000</v>
      </c>
      <c r="C817" t="str">
        <f t="shared" si="43"/>
        <v>CHAM618100000</v>
      </c>
      <c r="E817">
        <v>130.9</v>
      </c>
      <c r="F817">
        <v>0</v>
      </c>
      <c r="G817">
        <f t="shared" si="44"/>
        <v>130.9</v>
      </c>
    </row>
    <row r="818" spans="1:10">
      <c r="A818" t="str">
        <f t="shared" si="46"/>
        <v>CHAM</v>
      </c>
      <c r="B818" t="str">
        <f>"61850000"</f>
        <v>61850000</v>
      </c>
      <c r="C818" t="str">
        <f t="shared" si="43"/>
        <v>CHAM618500000</v>
      </c>
      <c r="E818">
        <v>370</v>
      </c>
      <c r="F818">
        <v>0</v>
      </c>
      <c r="G818">
        <f t="shared" si="44"/>
        <v>370</v>
      </c>
    </row>
    <row r="819" spans="1:10">
      <c r="A819" t="str">
        <f t="shared" si="46"/>
        <v>CHAM</v>
      </c>
      <c r="B819" t="str">
        <f>"62110000"</f>
        <v>62110000</v>
      </c>
      <c r="C819" t="str">
        <f t="shared" si="43"/>
        <v>CHAM621100000</v>
      </c>
      <c r="E819">
        <v>1186.56</v>
      </c>
      <c r="F819">
        <v>0</v>
      </c>
      <c r="G819">
        <f t="shared" si="44"/>
        <v>1186.56</v>
      </c>
    </row>
    <row r="820" spans="1:10">
      <c r="A820" t="str">
        <f t="shared" si="46"/>
        <v>CHAM</v>
      </c>
      <c r="B820" t="str">
        <f>"62260000"</f>
        <v>62260000</v>
      </c>
      <c r="C820" t="str">
        <f t="shared" si="43"/>
        <v>CHAM622600000</v>
      </c>
      <c r="E820">
        <v>350</v>
      </c>
      <c r="F820">
        <v>0</v>
      </c>
      <c r="G820">
        <f t="shared" si="44"/>
        <v>350</v>
      </c>
      <c r="I820" s="26"/>
      <c r="J820" s="26"/>
    </row>
    <row r="821" spans="1:10">
      <c r="A821" t="str">
        <f t="shared" si="46"/>
        <v>CHAM</v>
      </c>
      <c r="B821" t="str">
        <f>"62270000"</f>
        <v>62270000</v>
      </c>
      <c r="C821" t="str">
        <f t="shared" si="43"/>
        <v>CHAM622700000</v>
      </c>
      <c r="E821">
        <v>335.72</v>
      </c>
      <c r="F821">
        <v>0</v>
      </c>
      <c r="G821">
        <f t="shared" si="44"/>
        <v>335.72</v>
      </c>
    </row>
    <row r="822" spans="1:10">
      <c r="A822" t="str">
        <f t="shared" si="46"/>
        <v>CHAM</v>
      </c>
      <c r="B822" t="str">
        <f>"62271000"</f>
        <v>62271000</v>
      </c>
      <c r="C822" t="str">
        <f t="shared" si="43"/>
        <v>CHAM622710000</v>
      </c>
      <c r="E822">
        <v>25</v>
      </c>
      <c r="F822">
        <v>0</v>
      </c>
      <c r="G822">
        <f t="shared" si="44"/>
        <v>25</v>
      </c>
    </row>
    <row r="823" spans="1:10">
      <c r="A823" t="str">
        <f t="shared" si="46"/>
        <v>CHAM</v>
      </c>
      <c r="B823" t="str">
        <f>"62310000"</f>
        <v>62310000</v>
      </c>
      <c r="C823" t="str">
        <f t="shared" si="43"/>
        <v>CHAM623100000</v>
      </c>
      <c r="E823">
        <v>774.3</v>
      </c>
      <c r="F823">
        <v>0</v>
      </c>
      <c r="G823">
        <f t="shared" si="44"/>
        <v>774.3</v>
      </c>
    </row>
    <row r="824" spans="1:10">
      <c r="A824" t="str">
        <f t="shared" si="46"/>
        <v>CHAM</v>
      </c>
      <c r="B824" t="str">
        <f>"62320000"</f>
        <v>62320000</v>
      </c>
      <c r="C824" t="str">
        <f t="shared" si="43"/>
        <v>CHAM623200000</v>
      </c>
      <c r="E824">
        <v>4752.7</v>
      </c>
      <c r="F824">
        <v>0</v>
      </c>
      <c r="G824">
        <f t="shared" si="44"/>
        <v>4752.7</v>
      </c>
    </row>
    <row r="825" spans="1:10">
      <c r="A825" t="str">
        <f t="shared" si="46"/>
        <v>CHAM</v>
      </c>
      <c r="B825" t="str">
        <f>"62341000"</f>
        <v>62341000</v>
      </c>
      <c r="C825" t="str">
        <f t="shared" si="43"/>
        <v>CHAM623410000</v>
      </c>
      <c r="E825">
        <v>13521.88</v>
      </c>
      <c r="F825">
        <v>0</v>
      </c>
      <c r="G825">
        <f t="shared" si="44"/>
        <v>13521.88</v>
      </c>
    </row>
    <row r="826" spans="1:10">
      <c r="A826" t="str">
        <f t="shared" si="46"/>
        <v>CHAM</v>
      </c>
      <c r="B826" t="str">
        <f>"62342000"</f>
        <v>62342000</v>
      </c>
      <c r="C826" t="str">
        <f t="shared" si="43"/>
        <v>CHAM623420000</v>
      </c>
      <c r="E826">
        <v>-252.07</v>
      </c>
      <c r="F826">
        <v>0</v>
      </c>
      <c r="G826">
        <f t="shared" si="44"/>
        <v>-252.07</v>
      </c>
    </row>
    <row r="827" spans="1:10">
      <c r="A827" t="str">
        <f t="shared" si="46"/>
        <v>CHAM</v>
      </c>
      <c r="B827" t="str">
        <f>"62370000"</f>
        <v>62370000</v>
      </c>
      <c r="C827" t="str">
        <f t="shared" si="43"/>
        <v>CHAM623700000</v>
      </c>
      <c r="E827">
        <v>4116.1499999999996</v>
      </c>
      <c r="F827">
        <v>-221.9</v>
      </c>
      <c r="G827">
        <f t="shared" si="44"/>
        <v>4338.0499999999993</v>
      </c>
    </row>
    <row r="828" spans="1:10">
      <c r="A828" t="str">
        <f t="shared" si="46"/>
        <v>CHAM</v>
      </c>
      <c r="B828" t="str">
        <f>"62380000"</f>
        <v>62380000</v>
      </c>
      <c r="C828" t="str">
        <f t="shared" si="43"/>
        <v>CHAM623800000</v>
      </c>
      <c r="E828">
        <v>60</v>
      </c>
      <c r="F828">
        <v>0</v>
      </c>
      <c r="G828">
        <f t="shared" si="44"/>
        <v>60</v>
      </c>
    </row>
    <row r="829" spans="1:10">
      <c r="A829" t="str">
        <f t="shared" si="46"/>
        <v>CHAM</v>
      </c>
      <c r="B829" t="str">
        <f>"62381000"</f>
        <v>62381000</v>
      </c>
      <c r="C829" t="str">
        <f t="shared" si="43"/>
        <v>CHAM623810000</v>
      </c>
      <c r="E829">
        <v>0</v>
      </c>
      <c r="F829">
        <v>0</v>
      </c>
      <c r="G829">
        <f t="shared" si="44"/>
        <v>0</v>
      </c>
    </row>
    <row r="830" spans="1:10">
      <c r="A830" t="str">
        <f t="shared" si="46"/>
        <v>CHAM</v>
      </c>
      <c r="B830" t="str">
        <f>"62420000"</f>
        <v>62420000</v>
      </c>
      <c r="C830" t="str">
        <f t="shared" si="43"/>
        <v>CHAM624200000</v>
      </c>
      <c r="E830">
        <v>7811.68</v>
      </c>
      <c r="F830">
        <v>0</v>
      </c>
      <c r="G830">
        <f t="shared" si="44"/>
        <v>7811.68</v>
      </c>
    </row>
    <row r="831" spans="1:10">
      <c r="A831" t="str">
        <f t="shared" si="46"/>
        <v>CHAM</v>
      </c>
      <c r="B831" t="str">
        <f>"62510000"</f>
        <v>62510000</v>
      </c>
      <c r="C831" t="str">
        <f t="shared" si="43"/>
        <v>CHAM625100000</v>
      </c>
      <c r="E831">
        <v>11340.2</v>
      </c>
      <c r="F831">
        <v>0</v>
      </c>
      <c r="G831">
        <f t="shared" si="44"/>
        <v>11340.2</v>
      </c>
    </row>
    <row r="832" spans="1:10">
      <c r="A832" t="str">
        <f t="shared" si="46"/>
        <v>CHAM</v>
      </c>
      <c r="B832" t="str">
        <f>"62520000"</f>
        <v>62520000</v>
      </c>
      <c r="C832" t="str">
        <f t="shared" si="43"/>
        <v>CHAM625200000</v>
      </c>
      <c r="E832">
        <v>139.76</v>
      </c>
      <c r="F832">
        <v>0</v>
      </c>
      <c r="G832">
        <f t="shared" si="44"/>
        <v>139.76</v>
      </c>
    </row>
    <row r="833" spans="1:7">
      <c r="A833" t="str">
        <f t="shared" si="46"/>
        <v>CHAM</v>
      </c>
      <c r="B833" t="str">
        <f>"62560000"</f>
        <v>62560000</v>
      </c>
      <c r="C833" t="str">
        <f t="shared" si="43"/>
        <v>CHAM625600000</v>
      </c>
      <c r="E833">
        <v>25.23</v>
      </c>
      <c r="F833">
        <v>0</v>
      </c>
      <c r="G833">
        <f t="shared" si="44"/>
        <v>25.23</v>
      </c>
    </row>
    <row r="834" spans="1:7">
      <c r="A834" t="str">
        <f t="shared" si="46"/>
        <v>CHAM</v>
      </c>
      <c r="B834" t="str">
        <f>"62570000"</f>
        <v>62570000</v>
      </c>
      <c r="C834" t="str">
        <f t="shared" si="43"/>
        <v>CHAM625700000</v>
      </c>
      <c r="E834">
        <v>4027.74</v>
      </c>
      <c r="F834">
        <v>0</v>
      </c>
      <c r="G834">
        <f t="shared" si="44"/>
        <v>4027.74</v>
      </c>
    </row>
    <row r="835" spans="1:7">
      <c r="A835" t="str">
        <f t="shared" si="46"/>
        <v>CHAM</v>
      </c>
      <c r="B835" t="str">
        <f>"62571000"</f>
        <v>62571000</v>
      </c>
      <c r="C835" t="str">
        <f t="shared" ref="C835:C898" si="47">+A835&amp;B835*10</f>
        <v>CHAM625710000</v>
      </c>
      <c r="E835">
        <v>1166.72</v>
      </c>
      <c r="F835">
        <v>0</v>
      </c>
      <c r="G835">
        <f t="shared" ref="G835:G898" si="48">+E835-F835</f>
        <v>1166.72</v>
      </c>
    </row>
    <row r="836" spans="1:7">
      <c r="A836" t="str">
        <f t="shared" si="46"/>
        <v>CHAM</v>
      </c>
      <c r="B836" t="str">
        <f>"62600000"</f>
        <v>62600000</v>
      </c>
      <c r="C836" t="str">
        <f t="shared" si="47"/>
        <v>CHAM626000000</v>
      </c>
      <c r="E836">
        <v>6056.55</v>
      </c>
      <c r="F836">
        <v>0</v>
      </c>
      <c r="G836">
        <f t="shared" si="48"/>
        <v>6056.55</v>
      </c>
    </row>
    <row r="837" spans="1:7">
      <c r="A837" t="str">
        <f t="shared" si="46"/>
        <v>CHAM</v>
      </c>
      <c r="B837" t="str">
        <f>"62610000"</f>
        <v>62610000</v>
      </c>
      <c r="C837" t="str">
        <f t="shared" si="47"/>
        <v>CHAM626100000</v>
      </c>
      <c r="E837">
        <v>1477.05</v>
      </c>
      <c r="F837">
        <v>0</v>
      </c>
      <c r="G837">
        <f t="shared" si="48"/>
        <v>1477.05</v>
      </c>
    </row>
    <row r="838" spans="1:7">
      <c r="A838" t="str">
        <f t="shared" si="46"/>
        <v>CHAM</v>
      </c>
      <c r="B838" t="str">
        <f>"62752000"</f>
        <v>62752000</v>
      </c>
      <c r="C838" t="str">
        <f t="shared" si="47"/>
        <v>CHAM627520000</v>
      </c>
      <c r="E838">
        <v>204.2</v>
      </c>
      <c r="F838">
        <v>0</v>
      </c>
      <c r="G838">
        <f t="shared" si="48"/>
        <v>204.2</v>
      </c>
    </row>
    <row r="839" spans="1:7">
      <c r="A839" t="str">
        <f t="shared" si="46"/>
        <v>CHAM</v>
      </c>
      <c r="B839" t="str">
        <f>"63330000"</f>
        <v>63330000</v>
      </c>
      <c r="C839" t="str">
        <f t="shared" si="47"/>
        <v>CHAM633300000</v>
      </c>
      <c r="E839">
        <v>727</v>
      </c>
      <c r="F839">
        <v>0</v>
      </c>
      <c r="G839">
        <f t="shared" si="48"/>
        <v>727</v>
      </c>
    </row>
    <row r="840" spans="1:7">
      <c r="A840" t="str">
        <f t="shared" si="46"/>
        <v>CHAM</v>
      </c>
      <c r="B840" t="str">
        <f>"63340000"</f>
        <v>63340000</v>
      </c>
      <c r="C840" t="str">
        <f t="shared" si="47"/>
        <v>CHAM633400000</v>
      </c>
      <c r="E840">
        <v>400</v>
      </c>
      <c r="F840">
        <v>0</v>
      </c>
      <c r="G840">
        <f t="shared" si="48"/>
        <v>400</v>
      </c>
    </row>
    <row r="841" spans="1:7">
      <c r="A841" t="str">
        <f t="shared" si="46"/>
        <v>CHAM</v>
      </c>
      <c r="B841" t="str">
        <f>"63350000"</f>
        <v>63350000</v>
      </c>
      <c r="C841" t="str">
        <f t="shared" si="47"/>
        <v>CHAM633500000</v>
      </c>
      <c r="E841">
        <v>605</v>
      </c>
      <c r="F841">
        <v>0</v>
      </c>
      <c r="G841">
        <f t="shared" si="48"/>
        <v>605</v>
      </c>
    </row>
    <row r="842" spans="1:7">
      <c r="A842" t="str">
        <f t="shared" si="46"/>
        <v>CHAM</v>
      </c>
      <c r="B842" t="str">
        <f>"63511000"</f>
        <v>63511000</v>
      </c>
      <c r="C842" t="str">
        <f t="shared" si="47"/>
        <v>CHAM635110000</v>
      </c>
      <c r="E842">
        <v>6390</v>
      </c>
      <c r="F842">
        <v>0</v>
      </c>
      <c r="G842">
        <f t="shared" si="48"/>
        <v>6390</v>
      </c>
    </row>
    <row r="843" spans="1:7">
      <c r="A843" t="str">
        <f t="shared" si="46"/>
        <v>CHAM</v>
      </c>
      <c r="B843" t="str">
        <f>"63512000"</f>
        <v>63512000</v>
      </c>
      <c r="C843" t="str">
        <f t="shared" si="47"/>
        <v>CHAM635120000</v>
      </c>
      <c r="E843">
        <v>2139.4299999999998</v>
      </c>
      <c r="F843">
        <v>0</v>
      </c>
      <c r="G843">
        <f t="shared" si="48"/>
        <v>2139.4299999999998</v>
      </c>
    </row>
    <row r="844" spans="1:7">
      <c r="A844" t="str">
        <f t="shared" si="46"/>
        <v>CHAM</v>
      </c>
      <c r="B844" t="str">
        <f>"63710000"</f>
        <v>63710000</v>
      </c>
      <c r="C844" t="str">
        <f t="shared" si="47"/>
        <v>CHAM637100000</v>
      </c>
      <c r="E844">
        <v>1142.0999999999999</v>
      </c>
      <c r="F844">
        <v>0</v>
      </c>
      <c r="G844">
        <f t="shared" si="48"/>
        <v>1142.0999999999999</v>
      </c>
    </row>
    <row r="845" spans="1:7">
      <c r="A845" t="str">
        <f t="shared" si="46"/>
        <v>CHAM</v>
      </c>
      <c r="B845" t="str">
        <f>"64110000"</f>
        <v>64110000</v>
      </c>
      <c r="C845" t="str">
        <f t="shared" si="47"/>
        <v>CHAM641100000</v>
      </c>
      <c r="E845">
        <v>97380.78</v>
      </c>
      <c r="F845">
        <v>1038.95</v>
      </c>
      <c r="G845">
        <f t="shared" si="48"/>
        <v>96341.83</v>
      </c>
    </row>
    <row r="846" spans="1:7">
      <c r="A846" t="str">
        <f t="shared" si="46"/>
        <v>CHAM</v>
      </c>
      <c r="B846" t="str">
        <f>"64111000"</f>
        <v>64111000</v>
      </c>
      <c r="C846" t="str">
        <f t="shared" si="47"/>
        <v>CHAM641110000</v>
      </c>
      <c r="E846">
        <v>100</v>
      </c>
      <c r="F846">
        <v>0</v>
      </c>
      <c r="G846">
        <f t="shared" si="48"/>
        <v>100</v>
      </c>
    </row>
    <row r="847" spans="1:7">
      <c r="A847" t="str">
        <f t="shared" si="46"/>
        <v>CHAM</v>
      </c>
      <c r="B847" t="str">
        <f>"64120000"</f>
        <v>64120000</v>
      </c>
      <c r="C847" t="str">
        <f t="shared" si="47"/>
        <v>CHAM641200000</v>
      </c>
      <c r="E847">
        <v>4554.91</v>
      </c>
      <c r="F847">
        <v>9226.16</v>
      </c>
      <c r="G847">
        <f t="shared" si="48"/>
        <v>-4671.25</v>
      </c>
    </row>
    <row r="848" spans="1:7">
      <c r="A848" t="str">
        <f t="shared" si="46"/>
        <v>CHAM</v>
      </c>
      <c r="B848" t="str">
        <f>"64121000"</f>
        <v>64121000</v>
      </c>
      <c r="C848" t="str">
        <f t="shared" si="47"/>
        <v>CHAM641210000</v>
      </c>
      <c r="E848">
        <v>1771.4</v>
      </c>
      <c r="F848">
        <v>3636.95</v>
      </c>
      <c r="G848">
        <f t="shared" si="48"/>
        <v>-1865.5499999999997</v>
      </c>
    </row>
    <row r="849" spans="1:9">
      <c r="A849" t="str">
        <f t="shared" si="46"/>
        <v>CHAM</v>
      </c>
      <c r="B849" t="str">
        <f>"64160000"</f>
        <v>64160000</v>
      </c>
      <c r="C849" t="str">
        <f t="shared" si="47"/>
        <v>CHAM641600000</v>
      </c>
      <c r="E849">
        <v>7000</v>
      </c>
      <c r="F849">
        <v>0</v>
      </c>
      <c r="G849">
        <f t="shared" si="48"/>
        <v>7000</v>
      </c>
    </row>
    <row r="850" spans="1:9">
      <c r="A850" t="str">
        <f t="shared" si="46"/>
        <v>CHAM</v>
      </c>
      <c r="B850" t="str">
        <f>"64510000"</f>
        <v>64510000</v>
      </c>
      <c r="C850" t="str">
        <f t="shared" si="47"/>
        <v>CHAM645100000</v>
      </c>
      <c r="E850">
        <v>35775.71</v>
      </c>
      <c r="F850">
        <v>310.54000000000002</v>
      </c>
      <c r="G850">
        <f t="shared" si="48"/>
        <v>35465.17</v>
      </c>
    </row>
    <row r="851" spans="1:9">
      <c r="A851" t="str">
        <f t="shared" si="46"/>
        <v>CHAM</v>
      </c>
      <c r="B851" t="str">
        <f>"64520000"</f>
        <v>64520000</v>
      </c>
      <c r="C851" t="str">
        <f t="shared" si="47"/>
        <v>CHAM645200000</v>
      </c>
      <c r="E851">
        <v>3621.45</v>
      </c>
      <c r="F851">
        <v>9.44</v>
      </c>
      <c r="G851">
        <f t="shared" si="48"/>
        <v>3612.0099999999998</v>
      </c>
    </row>
    <row r="852" spans="1:9">
      <c r="A852" t="str">
        <f t="shared" si="46"/>
        <v>CHAM</v>
      </c>
      <c r="B852" t="str">
        <f>"64530000"</f>
        <v>64530000</v>
      </c>
      <c r="C852" t="str">
        <f t="shared" si="47"/>
        <v>CHAM645300000</v>
      </c>
      <c r="E852">
        <v>5656.5</v>
      </c>
      <c r="F852">
        <v>59.22</v>
      </c>
      <c r="G852">
        <f t="shared" si="48"/>
        <v>5597.28</v>
      </c>
    </row>
    <row r="853" spans="1:9">
      <c r="A853" t="str">
        <f t="shared" si="46"/>
        <v>CHAM</v>
      </c>
      <c r="B853" t="str">
        <f>"64540000"</f>
        <v>64540000</v>
      </c>
      <c r="C853" t="str">
        <f t="shared" si="47"/>
        <v>CHAM645400000</v>
      </c>
      <c r="E853">
        <v>3823.3</v>
      </c>
      <c r="F853">
        <v>43.64</v>
      </c>
      <c r="G853">
        <f t="shared" si="48"/>
        <v>3779.6600000000003</v>
      </c>
    </row>
    <row r="854" spans="1:9">
      <c r="A854" t="str">
        <f t="shared" ref="A854:A867" si="49">"CHAM"</f>
        <v>CHAM</v>
      </c>
      <c r="B854" t="str">
        <f>"64590000"</f>
        <v>64590000</v>
      </c>
      <c r="C854" t="str">
        <f t="shared" si="47"/>
        <v>CHAM645900000</v>
      </c>
      <c r="E854">
        <v>37.82</v>
      </c>
      <c r="F854">
        <v>0</v>
      </c>
      <c r="G854">
        <f t="shared" si="48"/>
        <v>37.82</v>
      </c>
    </row>
    <row r="855" spans="1:9">
      <c r="A855" t="str">
        <f t="shared" si="49"/>
        <v>CHAM</v>
      </c>
      <c r="B855" t="str">
        <f>"64710000"</f>
        <v>64710000</v>
      </c>
      <c r="C855" t="str">
        <f t="shared" si="47"/>
        <v>CHAM647100000</v>
      </c>
      <c r="E855">
        <v>39.6</v>
      </c>
      <c r="F855">
        <v>0</v>
      </c>
      <c r="G855">
        <f t="shared" si="48"/>
        <v>39.6</v>
      </c>
    </row>
    <row r="856" spans="1:9">
      <c r="A856" t="str">
        <f t="shared" si="49"/>
        <v>CHAM</v>
      </c>
      <c r="B856" t="str">
        <f>"64740000"</f>
        <v>64740000</v>
      </c>
      <c r="C856" t="str">
        <f t="shared" si="47"/>
        <v>CHAM647400000</v>
      </c>
      <c r="E856">
        <v>194.35</v>
      </c>
      <c r="F856">
        <v>0</v>
      </c>
      <c r="G856">
        <f t="shared" si="48"/>
        <v>194.35</v>
      </c>
    </row>
    <row r="857" spans="1:9">
      <c r="A857" t="str">
        <f t="shared" si="49"/>
        <v>CHAM</v>
      </c>
      <c r="B857" t="str">
        <f>"64750000"</f>
        <v>64750000</v>
      </c>
      <c r="C857" t="str">
        <f t="shared" si="47"/>
        <v>CHAM647500000</v>
      </c>
      <c r="E857">
        <v>362</v>
      </c>
      <c r="F857">
        <v>0</v>
      </c>
      <c r="G857">
        <f t="shared" si="48"/>
        <v>362</v>
      </c>
    </row>
    <row r="858" spans="1:9">
      <c r="A858" t="str">
        <f t="shared" si="49"/>
        <v>CHAM</v>
      </c>
      <c r="B858" t="str">
        <f>"64800000"</f>
        <v>64800000</v>
      </c>
      <c r="C858" t="str">
        <f t="shared" si="47"/>
        <v>CHAM648000000</v>
      </c>
      <c r="E858" s="19">
        <v>1007.7840000000001</v>
      </c>
      <c r="F858">
        <v>0</v>
      </c>
      <c r="G858" s="19">
        <f t="shared" si="48"/>
        <v>1007.7840000000001</v>
      </c>
      <c r="H858" s="433">
        <v>691.70400000000006</v>
      </c>
      <c r="I858" s="113" t="s">
        <v>52</v>
      </c>
    </row>
    <row r="859" spans="1:9">
      <c r="A859" t="str">
        <f t="shared" si="49"/>
        <v>CHAM</v>
      </c>
      <c r="B859" t="str">
        <f>"65410000"</f>
        <v>65410000</v>
      </c>
      <c r="C859" t="str">
        <f t="shared" si="47"/>
        <v>CHAM654100000</v>
      </c>
      <c r="E859">
        <v>0.06</v>
      </c>
      <c r="F859">
        <v>0.12</v>
      </c>
      <c r="G859">
        <f t="shared" si="48"/>
        <v>-0.06</v>
      </c>
    </row>
    <row r="860" spans="1:9">
      <c r="A860" t="str">
        <f t="shared" si="49"/>
        <v>CHAM</v>
      </c>
      <c r="B860" t="str">
        <f>"65420000"</f>
        <v>65420000</v>
      </c>
      <c r="C860" t="str">
        <f t="shared" si="47"/>
        <v>CHAM654200000</v>
      </c>
      <c r="E860">
        <v>14.36</v>
      </c>
      <c r="F860">
        <v>0</v>
      </c>
      <c r="G860">
        <f t="shared" si="48"/>
        <v>14.36</v>
      </c>
    </row>
    <row r="861" spans="1:9">
      <c r="A861" t="str">
        <f t="shared" si="49"/>
        <v>CHAM</v>
      </c>
      <c r="B861" t="str">
        <f>"65440000"</f>
        <v>65440000</v>
      </c>
      <c r="C861" t="str">
        <f t="shared" si="47"/>
        <v>CHAM654400000</v>
      </c>
      <c r="E861">
        <v>0</v>
      </c>
      <c r="F861">
        <v>0</v>
      </c>
      <c r="G861">
        <f t="shared" si="48"/>
        <v>0</v>
      </c>
    </row>
    <row r="862" spans="1:9">
      <c r="A862" t="str">
        <f t="shared" si="49"/>
        <v>CHAM</v>
      </c>
      <c r="B862" t="str">
        <f>"67520000"</f>
        <v>67520000</v>
      </c>
      <c r="C862" t="str">
        <f t="shared" si="47"/>
        <v>CHAM675200000</v>
      </c>
      <c r="E862">
        <v>14248.81</v>
      </c>
      <c r="F862">
        <v>0</v>
      </c>
      <c r="G862">
        <f t="shared" si="48"/>
        <v>14248.81</v>
      </c>
    </row>
    <row r="863" spans="1:9">
      <c r="A863" t="str">
        <f t="shared" si="49"/>
        <v>CHAM</v>
      </c>
      <c r="B863" t="str">
        <f>"68111000"</f>
        <v>68111000</v>
      </c>
      <c r="C863" t="str">
        <f t="shared" si="47"/>
        <v>CHAM681110000</v>
      </c>
      <c r="E863">
        <v>538.33000000000004</v>
      </c>
      <c r="F863">
        <v>0</v>
      </c>
      <c r="G863">
        <f t="shared" si="48"/>
        <v>538.33000000000004</v>
      </c>
    </row>
    <row r="864" spans="1:9">
      <c r="A864" t="str">
        <f t="shared" si="49"/>
        <v>CHAM</v>
      </c>
      <c r="B864" t="str">
        <f>"68112000"</f>
        <v>68112000</v>
      </c>
      <c r="C864" t="str">
        <f t="shared" si="47"/>
        <v>CHAM681120000</v>
      </c>
      <c r="E864">
        <v>13303.26</v>
      </c>
      <c r="F864">
        <v>0</v>
      </c>
      <c r="G864">
        <f t="shared" si="48"/>
        <v>13303.26</v>
      </c>
    </row>
    <row r="865" spans="1:7">
      <c r="A865" t="str">
        <f t="shared" si="49"/>
        <v>CHAM</v>
      </c>
      <c r="B865" t="str">
        <f>"68173000"</f>
        <v>68173000</v>
      </c>
      <c r="C865" t="str">
        <f t="shared" si="47"/>
        <v>CHAM681730000</v>
      </c>
      <c r="E865">
        <v>10645.64</v>
      </c>
      <c r="F865">
        <v>0</v>
      </c>
      <c r="G865">
        <f t="shared" si="48"/>
        <v>10645.64</v>
      </c>
    </row>
    <row r="866" spans="1:7">
      <c r="A866" t="str">
        <f t="shared" si="49"/>
        <v>CHAM</v>
      </c>
      <c r="B866" t="str">
        <f>"68174000"</f>
        <v>68174000</v>
      </c>
      <c r="C866" t="str">
        <f t="shared" si="47"/>
        <v>CHAM681740000</v>
      </c>
      <c r="E866">
        <v>5818.42</v>
      </c>
      <c r="F866">
        <v>0</v>
      </c>
      <c r="G866">
        <f t="shared" si="48"/>
        <v>5818.42</v>
      </c>
    </row>
    <row r="867" spans="1:7">
      <c r="A867" t="str">
        <f t="shared" si="49"/>
        <v>CHAM</v>
      </c>
      <c r="B867" t="str">
        <f>"68725000"</f>
        <v>68725000</v>
      </c>
      <c r="C867" t="str">
        <f t="shared" si="47"/>
        <v>CHAM687250000</v>
      </c>
      <c r="E867">
        <v>490.66</v>
      </c>
      <c r="F867">
        <v>0</v>
      </c>
      <c r="G867">
        <f t="shared" si="48"/>
        <v>490.66</v>
      </c>
    </row>
    <row r="868" spans="1:7">
      <c r="A868" t="str">
        <f t="shared" ref="A868:A931" si="50">"CHART"</f>
        <v>CHART</v>
      </c>
      <c r="B868" t="str">
        <f>"60222000"</f>
        <v>60222000</v>
      </c>
      <c r="C868" t="str">
        <f t="shared" si="47"/>
        <v>CHART602220000</v>
      </c>
      <c r="E868">
        <v>0</v>
      </c>
      <c r="F868">
        <v>0</v>
      </c>
      <c r="G868">
        <f t="shared" si="48"/>
        <v>0</v>
      </c>
    </row>
    <row r="869" spans="1:7">
      <c r="A869" t="str">
        <f t="shared" si="50"/>
        <v>CHART</v>
      </c>
      <c r="B869" t="str">
        <f>"60610000"</f>
        <v>60610000</v>
      </c>
      <c r="C869" t="str">
        <f t="shared" si="47"/>
        <v>CHART606100000</v>
      </c>
      <c r="E869">
        <v>1264.25</v>
      </c>
      <c r="F869">
        <v>0</v>
      </c>
      <c r="G869">
        <f t="shared" si="48"/>
        <v>1264.25</v>
      </c>
    </row>
    <row r="870" spans="1:7">
      <c r="A870" t="str">
        <f t="shared" si="50"/>
        <v>CHART</v>
      </c>
      <c r="B870" t="str">
        <f>"60611000"</f>
        <v>60611000</v>
      </c>
      <c r="C870" t="str">
        <f t="shared" si="47"/>
        <v>CHART606110000</v>
      </c>
      <c r="E870">
        <v>5106.7</v>
      </c>
      <c r="F870">
        <v>0</v>
      </c>
      <c r="G870">
        <f t="shared" si="48"/>
        <v>5106.7</v>
      </c>
    </row>
    <row r="871" spans="1:7">
      <c r="A871" t="str">
        <f t="shared" si="50"/>
        <v>CHART</v>
      </c>
      <c r="B871" t="str">
        <f>"60613000"</f>
        <v>60613000</v>
      </c>
      <c r="C871" t="str">
        <f t="shared" si="47"/>
        <v>CHART606130000</v>
      </c>
      <c r="E871">
        <v>1933.52</v>
      </c>
      <c r="F871">
        <v>0</v>
      </c>
      <c r="G871">
        <f t="shared" si="48"/>
        <v>1933.52</v>
      </c>
    </row>
    <row r="872" spans="1:7">
      <c r="A872" t="str">
        <f t="shared" si="50"/>
        <v>CHART</v>
      </c>
      <c r="B872" t="str">
        <f>"60641000"</f>
        <v>60641000</v>
      </c>
      <c r="C872" t="str">
        <f t="shared" si="47"/>
        <v>CHART606410000</v>
      </c>
      <c r="E872">
        <v>2958.25</v>
      </c>
      <c r="F872">
        <v>0</v>
      </c>
      <c r="G872">
        <f t="shared" si="48"/>
        <v>2958.25</v>
      </c>
    </row>
    <row r="873" spans="1:7">
      <c r="A873" t="str">
        <f t="shared" si="50"/>
        <v>CHART</v>
      </c>
      <c r="B873" t="str">
        <f>"60710000"</f>
        <v>60710000</v>
      </c>
      <c r="C873" t="str">
        <f t="shared" si="47"/>
        <v>CHART607100000</v>
      </c>
      <c r="E873">
        <v>300145.17</v>
      </c>
      <c r="F873">
        <v>0</v>
      </c>
      <c r="G873">
        <f t="shared" si="48"/>
        <v>300145.17</v>
      </c>
    </row>
    <row r="874" spans="1:7">
      <c r="A874" t="str">
        <f t="shared" si="50"/>
        <v>CHART</v>
      </c>
      <c r="B874" t="str">
        <f>"60711000"</f>
        <v>60711000</v>
      </c>
      <c r="C874" t="str">
        <f t="shared" si="47"/>
        <v>CHART607110000</v>
      </c>
      <c r="E874">
        <v>26425</v>
      </c>
      <c r="F874">
        <v>358.5</v>
      </c>
      <c r="G874">
        <f t="shared" si="48"/>
        <v>26066.5</v>
      </c>
    </row>
    <row r="875" spans="1:7">
      <c r="A875" t="str">
        <f t="shared" si="50"/>
        <v>CHART</v>
      </c>
      <c r="B875" t="str">
        <f>"60712000"</f>
        <v>60712000</v>
      </c>
      <c r="C875" t="str">
        <f t="shared" si="47"/>
        <v>CHART607120000</v>
      </c>
      <c r="E875">
        <v>-49.92</v>
      </c>
      <c r="F875">
        <v>0</v>
      </c>
      <c r="G875">
        <f t="shared" si="48"/>
        <v>-49.92</v>
      </c>
    </row>
    <row r="876" spans="1:7">
      <c r="A876" t="str">
        <f t="shared" si="50"/>
        <v>CHART</v>
      </c>
      <c r="B876" t="str">
        <f>"60713000"</f>
        <v>60713000</v>
      </c>
      <c r="C876" t="str">
        <f t="shared" si="47"/>
        <v>CHART607130000</v>
      </c>
      <c r="E876">
        <v>51551</v>
      </c>
      <c r="F876">
        <v>0</v>
      </c>
      <c r="G876">
        <f t="shared" si="48"/>
        <v>51551</v>
      </c>
    </row>
    <row r="877" spans="1:7">
      <c r="A877" t="str">
        <f t="shared" si="50"/>
        <v>CHART</v>
      </c>
      <c r="B877" t="str">
        <f>"60714000"</f>
        <v>60714000</v>
      </c>
      <c r="C877" t="str">
        <f t="shared" si="47"/>
        <v>CHART607140000</v>
      </c>
      <c r="E877">
        <v>-38926</v>
      </c>
      <c r="F877">
        <v>0</v>
      </c>
      <c r="G877">
        <f t="shared" si="48"/>
        <v>-38926</v>
      </c>
    </row>
    <row r="878" spans="1:7">
      <c r="A878" t="str">
        <f t="shared" si="50"/>
        <v>CHART</v>
      </c>
      <c r="B878" t="str">
        <f>"60720000"</f>
        <v>60720000</v>
      </c>
      <c r="C878" t="str">
        <f t="shared" si="47"/>
        <v>CHART607200000</v>
      </c>
      <c r="E878">
        <v>167029.82</v>
      </c>
      <c r="F878">
        <v>0</v>
      </c>
      <c r="G878">
        <f t="shared" si="48"/>
        <v>167029.82</v>
      </c>
    </row>
    <row r="879" spans="1:7">
      <c r="A879" t="str">
        <f t="shared" si="50"/>
        <v>CHART</v>
      </c>
      <c r="B879" t="str">
        <f>"60740000"</f>
        <v>60740000</v>
      </c>
      <c r="C879" t="str">
        <f t="shared" si="47"/>
        <v>CHART607400000</v>
      </c>
      <c r="E879">
        <v>7999.79</v>
      </c>
      <c r="F879">
        <v>55</v>
      </c>
      <c r="G879">
        <f t="shared" si="48"/>
        <v>7944.79</v>
      </c>
    </row>
    <row r="880" spans="1:7">
      <c r="A880" t="str">
        <f t="shared" si="50"/>
        <v>CHART</v>
      </c>
      <c r="B880" t="str">
        <f>"60800000"</f>
        <v>60800000</v>
      </c>
      <c r="C880" t="str">
        <f t="shared" si="47"/>
        <v>CHART608000000</v>
      </c>
      <c r="E880">
        <v>7020.88</v>
      </c>
      <c r="F880">
        <v>0</v>
      </c>
      <c r="G880">
        <f t="shared" si="48"/>
        <v>7020.88</v>
      </c>
    </row>
    <row r="881" spans="1:7">
      <c r="A881" t="str">
        <f t="shared" si="50"/>
        <v>CHART</v>
      </c>
      <c r="B881" t="str">
        <f>"60911000"</f>
        <v>60911000</v>
      </c>
      <c r="C881" t="str">
        <f t="shared" si="47"/>
        <v>CHART609110000</v>
      </c>
      <c r="E881">
        <v>-8089.32</v>
      </c>
      <c r="F881">
        <v>0</v>
      </c>
      <c r="G881">
        <f t="shared" si="48"/>
        <v>-8089.32</v>
      </c>
    </row>
    <row r="882" spans="1:7">
      <c r="A882" t="str">
        <f t="shared" si="50"/>
        <v>CHART</v>
      </c>
      <c r="B882" t="str">
        <f>"60912000"</f>
        <v>60912000</v>
      </c>
      <c r="C882" t="str">
        <f t="shared" si="47"/>
        <v>CHART609120000</v>
      </c>
      <c r="E882">
        <v>-12231.6</v>
      </c>
      <c r="F882">
        <v>0</v>
      </c>
      <c r="G882">
        <f t="shared" si="48"/>
        <v>-12231.6</v>
      </c>
    </row>
    <row r="883" spans="1:7">
      <c r="A883" t="str">
        <f t="shared" si="50"/>
        <v>CHART</v>
      </c>
      <c r="B883" t="str">
        <f>"60913000"</f>
        <v>60913000</v>
      </c>
      <c r="C883" t="str">
        <f t="shared" si="47"/>
        <v>CHART609130000</v>
      </c>
      <c r="E883">
        <v>-6989.49</v>
      </c>
      <c r="F883">
        <v>0</v>
      </c>
      <c r="G883">
        <f t="shared" si="48"/>
        <v>-6989.49</v>
      </c>
    </row>
    <row r="884" spans="1:7">
      <c r="A884" t="str">
        <f t="shared" si="50"/>
        <v>CHART</v>
      </c>
      <c r="B884" t="str">
        <f>"61320000"</f>
        <v>61320000</v>
      </c>
      <c r="C884" t="str">
        <f t="shared" si="47"/>
        <v>CHART613200000</v>
      </c>
      <c r="E884">
        <v>22303.56</v>
      </c>
      <c r="F884">
        <v>0</v>
      </c>
      <c r="G884">
        <f t="shared" si="48"/>
        <v>22303.56</v>
      </c>
    </row>
    <row r="885" spans="1:7">
      <c r="A885" t="str">
        <f t="shared" si="50"/>
        <v>CHART</v>
      </c>
      <c r="B885" t="str">
        <f>"61352000"</f>
        <v>61352000</v>
      </c>
      <c r="C885" t="str">
        <f t="shared" si="47"/>
        <v>CHART613520000</v>
      </c>
      <c r="E885">
        <v>3790.67</v>
      </c>
      <c r="F885">
        <v>0</v>
      </c>
      <c r="G885">
        <f t="shared" si="48"/>
        <v>3790.67</v>
      </c>
    </row>
    <row r="886" spans="1:7">
      <c r="A886" t="str">
        <f t="shared" si="50"/>
        <v>CHART</v>
      </c>
      <c r="B886" t="str">
        <f>"61353000"</f>
        <v>61353000</v>
      </c>
      <c r="C886" t="str">
        <f t="shared" si="47"/>
        <v>CHART613530000</v>
      </c>
      <c r="E886">
        <v>180</v>
      </c>
      <c r="F886">
        <v>0</v>
      </c>
      <c r="G886">
        <f t="shared" si="48"/>
        <v>180</v>
      </c>
    </row>
    <row r="887" spans="1:7">
      <c r="A887" t="str">
        <f t="shared" si="50"/>
        <v>CHART</v>
      </c>
      <c r="B887" t="str">
        <f>"61400000"</f>
        <v>61400000</v>
      </c>
      <c r="C887" t="str">
        <f t="shared" si="47"/>
        <v>CHART614000000</v>
      </c>
      <c r="E887">
        <v>1404</v>
      </c>
      <c r="F887">
        <v>0</v>
      </c>
      <c r="G887">
        <f t="shared" si="48"/>
        <v>1404</v>
      </c>
    </row>
    <row r="888" spans="1:7">
      <c r="A888" t="str">
        <f t="shared" si="50"/>
        <v>CHART</v>
      </c>
      <c r="B888" t="str">
        <f>"61520000"</f>
        <v>61520000</v>
      </c>
      <c r="C888" t="str">
        <f t="shared" si="47"/>
        <v>CHART615200000</v>
      </c>
      <c r="E888">
        <v>3882.52</v>
      </c>
      <c r="F888">
        <v>0</v>
      </c>
      <c r="G888">
        <f t="shared" si="48"/>
        <v>3882.52</v>
      </c>
    </row>
    <row r="889" spans="1:7">
      <c r="A889" t="str">
        <f t="shared" si="50"/>
        <v>CHART</v>
      </c>
      <c r="B889" t="str">
        <f>"61550000"</f>
        <v>61550000</v>
      </c>
      <c r="C889" t="str">
        <f t="shared" si="47"/>
        <v>CHART615500000</v>
      </c>
      <c r="E889">
        <v>934</v>
      </c>
      <c r="F889">
        <v>14</v>
      </c>
      <c r="G889">
        <f t="shared" si="48"/>
        <v>920</v>
      </c>
    </row>
    <row r="890" spans="1:7">
      <c r="A890" t="str">
        <f t="shared" si="50"/>
        <v>CHART</v>
      </c>
      <c r="B890" t="str">
        <f>"61551000"</f>
        <v>61551000</v>
      </c>
      <c r="C890" t="str">
        <f t="shared" si="47"/>
        <v>CHART615510000</v>
      </c>
      <c r="E890">
        <v>160</v>
      </c>
      <c r="F890">
        <v>0</v>
      </c>
      <c r="G890">
        <f t="shared" si="48"/>
        <v>160</v>
      </c>
    </row>
    <row r="891" spans="1:7">
      <c r="A891" t="str">
        <f t="shared" si="50"/>
        <v>CHART</v>
      </c>
      <c r="B891" t="str">
        <f>"61552000"</f>
        <v>61552000</v>
      </c>
      <c r="C891" t="str">
        <f t="shared" si="47"/>
        <v>CHART615520000</v>
      </c>
      <c r="E891">
        <v>2270.3000000000002</v>
      </c>
      <c r="F891">
        <v>0</v>
      </c>
      <c r="G891">
        <f t="shared" si="48"/>
        <v>2270.3000000000002</v>
      </c>
    </row>
    <row r="892" spans="1:7">
      <c r="A892" t="str">
        <f t="shared" si="50"/>
        <v>CHART</v>
      </c>
      <c r="B892" t="str">
        <f>"61612000"</f>
        <v>61612000</v>
      </c>
      <c r="C892" t="str">
        <f t="shared" si="47"/>
        <v>CHART616120000</v>
      </c>
      <c r="E892">
        <v>827.96</v>
      </c>
      <c r="F892">
        <v>0</v>
      </c>
      <c r="G892">
        <f t="shared" si="48"/>
        <v>827.96</v>
      </c>
    </row>
    <row r="893" spans="1:7">
      <c r="A893" t="str">
        <f t="shared" si="50"/>
        <v>CHART</v>
      </c>
      <c r="B893" t="str">
        <f>"61613000"</f>
        <v>61613000</v>
      </c>
      <c r="C893" t="str">
        <f t="shared" si="47"/>
        <v>CHART616130000</v>
      </c>
      <c r="E893">
        <v>2426.4899999999998</v>
      </c>
      <c r="F893">
        <v>0</v>
      </c>
      <c r="G893">
        <f t="shared" si="48"/>
        <v>2426.4899999999998</v>
      </c>
    </row>
    <row r="894" spans="1:7">
      <c r="A894" t="str">
        <f t="shared" si="50"/>
        <v>CHART</v>
      </c>
      <c r="B894" t="str">
        <f>"61810000"</f>
        <v>61810000</v>
      </c>
      <c r="C894" t="str">
        <f t="shared" si="47"/>
        <v>CHART618100000</v>
      </c>
      <c r="E894">
        <v>398.07</v>
      </c>
      <c r="F894">
        <v>0</v>
      </c>
      <c r="G894">
        <f t="shared" si="48"/>
        <v>398.07</v>
      </c>
    </row>
    <row r="895" spans="1:7">
      <c r="A895" t="str">
        <f t="shared" si="50"/>
        <v>CHART</v>
      </c>
      <c r="B895" t="str">
        <f>"61850000"</f>
        <v>61850000</v>
      </c>
      <c r="C895" t="str">
        <f t="shared" si="47"/>
        <v>CHART618500000</v>
      </c>
      <c r="E895">
        <v>372.81</v>
      </c>
      <c r="F895">
        <v>0</v>
      </c>
      <c r="G895">
        <f t="shared" si="48"/>
        <v>372.81</v>
      </c>
    </row>
    <row r="896" spans="1:7">
      <c r="A896" t="str">
        <f t="shared" si="50"/>
        <v>CHART</v>
      </c>
      <c r="B896" t="str">
        <f>"62270000"</f>
        <v>62270000</v>
      </c>
      <c r="C896" t="str">
        <f t="shared" si="47"/>
        <v>CHART622700000</v>
      </c>
      <c r="E896">
        <v>699.19</v>
      </c>
      <c r="F896">
        <v>0</v>
      </c>
      <c r="G896">
        <f t="shared" si="48"/>
        <v>699.19</v>
      </c>
    </row>
    <row r="897" spans="1:7">
      <c r="A897" t="str">
        <f t="shared" si="50"/>
        <v>CHART</v>
      </c>
      <c r="B897" t="str">
        <f>"62310000"</f>
        <v>62310000</v>
      </c>
      <c r="C897" t="str">
        <f t="shared" si="47"/>
        <v>CHART623100000</v>
      </c>
      <c r="E897">
        <v>774.3</v>
      </c>
      <c r="F897">
        <v>0</v>
      </c>
      <c r="G897">
        <f t="shared" si="48"/>
        <v>774.3</v>
      </c>
    </row>
    <row r="898" spans="1:7">
      <c r="A898" t="str">
        <f t="shared" si="50"/>
        <v>CHART</v>
      </c>
      <c r="B898" t="str">
        <f>"62320000"</f>
        <v>62320000</v>
      </c>
      <c r="C898" t="str">
        <f t="shared" si="47"/>
        <v>CHART623200000</v>
      </c>
      <c r="E898">
        <v>6656.19</v>
      </c>
      <c r="F898">
        <v>0</v>
      </c>
      <c r="G898">
        <f t="shared" si="48"/>
        <v>6656.19</v>
      </c>
    </row>
    <row r="899" spans="1:7">
      <c r="A899" t="str">
        <f t="shared" si="50"/>
        <v>CHART</v>
      </c>
      <c r="B899" t="str">
        <f>"62341000"</f>
        <v>62341000</v>
      </c>
      <c r="C899" t="str">
        <f t="shared" ref="C899:C962" si="51">+A899&amp;B899*10</f>
        <v>CHART623410000</v>
      </c>
      <c r="E899">
        <v>1787.09</v>
      </c>
      <c r="F899">
        <v>1160</v>
      </c>
      <c r="G899">
        <f t="shared" ref="G899:G962" si="52">+E899-F899</f>
        <v>627.08999999999992</v>
      </c>
    </row>
    <row r="900" spans="1:7">
      <c r="A900" t="str">
        <f t="shared" si="50"/>
        <v>CHART</v>
      </c>
      <c r="B900" t="str">
        <f>"62342000"</f>
        <v>62342000</v>
      </c>
      <c r="C900" t="str">
        <f t="shared" si="51"/>
        <v>CHART623420000</v>
      </c>
      <c r="E900">
        <v>-38.700000000000003</v>
      </c>
      <c r="F900">
        <v>0</v>
      </c>
      <c r="G900">
        <f t="shared" si="52"/>
        <v>-38.700000000000003</v>
      </c>
    </row>
    <row r="901" spans="1:7">
      <c r="A901" t="str">
        <f t="shared" si="50"/>
        <v>CHART</v>
      </c>
      <c r="B901" t="str">
        <f>"62370000"</f>
        <v>62370000</v>
      </c>
      <c r="C901" t="str">
        <f t="shared" si="51"/>
        <v>CHART623700000</v>
      </c>
      <c r="E901">
        <v>3535.46</v>
      </c>
      <c r="F901">
        <v>-221.9</v>
      </c>
      <c r="G901">
        <f t="shared" si="52"/>
        <v>3757.36</v>
      </c>
    </row>
    <row r="902" spans="1:7">
      <c r="A902" t="str">
        <f t="shared" si="50"/>
        <v>CHART</v>
      </c>
      <c r="B902" t="str">
        <f>"62380000"</f>
        <v>62380000</v>
      </c>
      <c r="C902" t="str">
        <f t="shared" si="51"/>
        <v>CHART623800000</v>
      </c>
      <c r="E902">
        <v>150</v>
      </c>
      <c r="F902">
        <v>0</v>
      </c>
      <c r="G902">
        <f t="shared" si="52"/>
        <v>150</v>
      </c>
    </row>
    <row r="903" spans="1:7">
      <c r="A903" t="str">
        <f t="shared" si="50"/>
        <v>CHART</v>
      </c>
      <c r="B903" t="str">
        <f>"62381000"</f>
        <v>62381000</v>
      </c>
      <c r="C903" t="str">
        <f t="shared" si="51"/>
        <v>CHART623810000</v>
      </c>
      <c r="E903">
        <v>0</v>
      </c>
      <c r="F903">
        <v>0</v>
      </c>
      <c r="G903">
        <f t="shared" si="52"/>
        <v>0</v>
      </c>
    </row>
    <row r="904" spans="1:7">
      <c r="A904" t="str">
        <f t="shared" si="50"/>
        <v>CHART</v>
      </c>
      <c r="B904" t="str">
        <f>"62420000"</f>
        <v>62420000</v>
      </c>
      <c r="C904" t="str">
        <f t="shared" si="51"/>
        <v>CHART624200000</v>
      </c>
      <c r="E904">
        <v>10128.52</v>
      </c>
      <c r="F904">
        <v>0</v>
      </c>
      <c r="G904">
        <f t="shared" si="52"/>
        <v>10128.52</v>
      </c>
    </row>
    <row r="905" spans="1:7">
      <c r="A905" t="str">
        <f t="shared" si="50"/>
        <v>CHART</v>
      </c>
      <c r="B905" t="str">
        <f>"62510000"</f>
        <v>62510000</v>
      </c>
      <c r="C905" t="str">
        <f t="shared" si="51"/>
        <v>CHART625100000</v>
      </c>
      <c r="E905">
        <v>3575.28</v>
      </c>
      <c r="F905">
        <v>0</v>
      </c>
      <c r="G905">
        <f t="shared" si="52"/>
        <v>3575.28</v>
      </c>
    </row>
    <row r="906" spans="1:7">
      <c r="A906" t="str">
        <f t="shared" si="50"/>
        <v>CHART</v>
      </c>
      <c r="B906" t="str">
        <f>"62560000"</f>
        <v>62560000</v>
      </c>
      <c r="C906" t="str">
        <f t="shared" si="51"/>
        <v>CHART625600000</v>
      </c>
      <c r="E906">
        <v>25.23</v>
      </c>
      <c r="F906">
        <v>0</v>
      </c>
      <c r="G906">
        <f t="shared" si="52"/>
        <v>25.23</v>
      </c>
    </row>
    <row r="907" spans="1:7">
      <c r="A907" t="str">
        <f t="shared" si="50"/>
        <v>CHART</v>
      </c>
      <c r="B907" t="str">
        <f>"62570000"</f>
        <v>62570000</v>
      </c>
      <c r="C907" t="str">
        <f t="shared" si="51"/>
        <v>CHART625700000</v>
      </c>
      <c r="E907">
        <v>11823.03</v>
      </c>
      <c r="F907">
        <v>0</v>
      </c>
      <c r="G907">
        <f t="shared" si="52"/>
        <v>11823.03</v>
      </c>
    </row>
    <row r="908" spans="1:7">
      <c r="A908" t="str">
        <f t="shared" si="50"/>
        <v>CHART</v>
      </c>
      <c r="B908" t="str">
        <f>"62600000"</f>
        <v>62600000</v>
      </c>
      <c r="C908" t="str">
        <f t="shared" si="51"/>
        <v>CHART626000000</v>
      </c>
      <c r="E908">
        <v>3457.45</v>
      </c>
      <c r="F908">
        <v>0</v>
      </c>
      <c r="G908">
        <f t="shared" si="52"/>
        <v>3457.45</v>
      </c>
    </row>
    <row r="909" spans="1:7">
      <c r="A909" t="str">
        <f t="shared" si="50"/>
        <v>CHART</v>
      </c>
      <c r="B909" t="str">
        <f>"62610000"</f>
        <v>62610000</v>
      </c>
      <c r="C909" t="str">
        <f t="shared" si="51"/>
        <v>CHART626100000</v>
      </c>
      <c r="E909">
        <v>774.13</v>
      </c>
      <c r="F909">
        <v>0</v>
      </c>
      <c r="G909">
        <f t="shared" si="52"/>
        <v>774.13</v>
      </c>
    </row>
    <row r="910" spans="1:7">
      <c r="A910" t="str">
        <f t="shared" si="50"/>
        <v>CHART</v>
      </c>
      <c r="B910" t="str">
        <f>"62752000"</f>
        <v>62752000</v>
      </c>
      <c r="C910" t="str">
        <f t="shared" si="51"/>
        <v>CHART627520000</v>
      </c>
      <c r="E910">
        <v>155.19999999999999</v>
      </c>
      <c r="F910">
        <v>0</v>
      </c>
      <c r="G910">
        <f t="shared" si="52"/>
        <v>155.19999999999999</v>
      </c>
    </row>
    <row r="911" spans="1:7">
      <c r="A911" t="str">
        <f t="shared" si="50"/>
        <v>CHART</v>
      </c>
      <c r="B911" t="str">
        <f>"63330000"</f>
        <v>63330000</v>
      </c>
      <c r="C911" t="str">
        <f t="shared" si="51"/>
        <v>CHART633300000</v>
      </c>
      <c r="E911">
        <v>500</v>
      </c>
      <c r="F911">
        <v>0</v>
      </c>
      <c r="G911">
        <f t="shared" si="52"/>
        <v>500</v>
      </c>
    </row>
    <row r="912" spans="1:7">
      <c r="A912" t="str">
        <f t="shared" si="50"/>
        <v>CHART</v>
      </c>
      <c r="B912" t="str">
        <f>"63340000"</f>
        <v>63340000</v>
      </c>
      <c r="C912" t="str">
        <f t="shared" si="51"/>
        <v>CHART633400000</v>
      </c>
      <c r="E912">
        <v>275</v>
      </c>
      <c r="F912">
        <v>0</v>
      </c>
      <c r="G912">
        <f t="shared" si="52"/>
        <v>275</v>
      </c>
    </row>
    <row r="913" spans="1:7">
      <c r="A913" t="str">
        <f t="shared" si="50"/>
        <v>CHART</v>
      </c>
      <c r="B913" t="str">
        <f>"63350000"</f>
        <v>63350000</v>
      </c>
      <c r="C913" t="str">
        <f t="shared" si="51"/>
        <v>CHART633500000</v>
      </c>
      <c r="E913">
        <v>416</v>
      </c>
      <c r="F913">
        <v>0</v>
      </c>
      <c r="G913">
        <f t="shared" si="52"/>
        <v>416</v>
      </c>
    </row>
    <row r="914" spans="1:7">
      <c r="A914" t="str">
        <f t="shared" si="50"/>
        <v>CHART</v>
      </c>
      <c r="B914" t="str">
        <f>"63511000"</f>
        <v>63511000</v>
      </c>
      <c r="C914" t="str">
        <f t="shared" si="51"/>
        <v>CHART635110000</v>
      </c>
      <c r="E914">
        <v>2428</v>
      </c>
      <c r="F914">
        <v>0</v>
      </c>
      <c r="G914">
        <f t="shared" si="52"/>
        <v>2428</v>
      </c>
    </row>
    <row r="915" spans="1:7">
      <c r="A915" t="str">
        <f t="shared" si="50"/>
        <v>CHART</v>
      </c>
      <c r="B915" t="str">
        <f>"63512000"</f>
        <v>63512000</v>
      </c>
      <c r="C915" t="str">
        <f t="shared" si="51"/>
        <v>CHART635120000</v>
      </c>
      <c r="E915">
        <v>1136.72</v>
      </c>
      <c r="F915">
        <v>0</v>
      </c>
      <c r="G915">
        <f t="shared" si="52"/>
        <v>1136.72</v>
      </c>
    </row>
    <row r="916" spans="1:7">
      <c r="A916" t="str">
        <f t="shared" si="50"/>
        <v>CHART</v>
      </c>
      <c r="B916" t="str">
        <f>"63710000"</f>
        <v>63710000</v>
      </c>
      <c r="C916" t="str">
        <f t="shared" si="51"/>
        <v>CHART637100000</v>
      </c>
      <c r="E916">
        <v>1251.51</v>
      </c>
      <c r="F916">
        <v>0</v>
      </c>
      <c r="G916">
        <f t="shared" si="52"/>
        <v>1251.51</v>
      </c>
    </row>
    <row r="917" spans="1:7">
      <c r="A917" t="str">
        <f t="shared" si="50"/>
        <v>CHART</v>
      </c>
      <c r="B917" t="str">
        <f>"64110000"</f>
        <v>64110000</v>
      </c>
      <c r="C917" t="str">
        <f t="shared" si="51"/>
        <v>CHART641100000</v>
      </c>
      <c r="E917">
        <v>70604.12</v>
      </c>
      <c r="F917">
        <v>0</v>
      </c>
      <c r="G917">
        <f t="shared" si="52"/>
        <v>70604.12</v>
      </c>
    </row>
    <row r="918" spans="1:7">
      <c r="A918" t="str">
        <f t="shared" si="50"/>
        <v>CHART</v>
      </c>
      <c r="B918" t="str">
        <f>"64111000"</f>
        <v>64111000</v>
      </c>
      <c r="C918" t="str">
        <f t="shared" si="51"/>
        <v>CHART641110000</v>
      </c>
      <c r="E918">
        <v>192.8</v>
      </c>
      <c r="F918">
        <v>0</v>
      </c>
      <c r="G918">
        <f t="shared" si="52"/>
        <v>192.8</v>
      </c>
    </row>
    <row r="919" spans="1:7">
      <c r="A919" t="str">
        <f t="shared" si="50"/>
        <v>CHART</v>
      </c>
      <c r="B919" t="str">
        <f>"64111100"</f>
        <v>64111100</v>
      </c>
      <c r="C919" t="str">
        <f t="shared" si="51"/>
        <v>CHART641111000</v>
      </c>
      <c r="E919">
        <v>200</v>
      </c>
      <c r="F919">
        <v>0</v>
      </c>
      <c r="G919">
        <f t="shared" si="52"/>
        <v>200</v>
      </c>
    </row>
    <row r="920" spans="1:7">
      <c r="A920" t="str">
        <f t="shared" si="50"/>
        <v>CHART</v>
      </c>
      <c r="B920" t="str">
        <f>"64120000"</f>
        <v>64120000</v>
      </c>
      <c r="C920" t="str">
        <f t="shared" si="51"/>
        <v>CHART641200000</v>
      </c>
      <c r="E920">
        <v>4886.97</v>
      </c>
      <c r="F920">
        <v>7654.54</v>
      </c>
      <c r="G920">
        <f t="shared" si="52"/>
        <v>-2767.5699999999997</v>
      </c>
    </row>
    <row r="921" spans="1:7">
      <c r="A921" t="str">
        <f t="shared" si="50"/>
        <v>CHART</v>
      </c>
      <c r="B921" t="str">
        <f>"64121000"</f>
        <v>64121000</v>
      </c>
      <c r="C921" t="str">
        <f t="shared" si="51"/>
        <v>CHART641210000</v>
      </c>
      <c r="E921">
        <v>1825.28</v>
      </c>
      <c r="F921">
        <v>2802.33</v>
      </c>
      <c r="G921">
        <f t="shared" si="52"/>
        <v>-977.05</v>
      </c>
    </row>
    <row r="922" spans="1:7">
      <c r="A922" t="str">
        <f t="shared" si="50"/>
        <v>CHART</v>
      </c>
      <c r="B922" t="str">
        <f>"64510000"</f>
        <v>64510000</v>
      </c>
      <c r="C922" t="str">
        <f t="shared" si="51"/>
        <v>CHART645100000</v>
      </c>
      <c r="E922">
        <v>18398.5</v>
      </c>
      <c r="F922">
        <v>40.94</v>
      </c>
      <c r="G922">
        <f t="shared" si="52"/>
        <v>18357.560000000001</v>
      </c>
    </row>
    <row r="923" spans="1:7">
      <c r="A923" t="str">
        <f t="shared" si="50"/>
        <v>CHART</v>
      </c>
      <c r="B923" t="str">
        <f>"64520000"</f>
        <v>64520000</v>
      </c>
      <c r="C923" t="str">
        <f t="shared" si="51"/>
        <v>CHART645200000</v>
      </c>
      <c r="E923">
        <v>1832.87</v>
      </c>
      <c r="F923">
        <v>0</v>
      </c>
      <c r="G923">
        <f t="shared" si="52"/>
        <v>1832.87</v>
      </c>
    </row>
    <row r="924" spans="1:7">
      <c r="A924" t="str">
        <f t="shared" si="50"/>
        <v>CHART</v>
      </c>
      <c r="B924" t="str">
        <f>"64530000"</f>
        <v>64530000</v>
      </c>
      <c r="C924" t="str">
        <f t="shared" si="51"/>
        <v>CHART645300000</v>
      </c>
      <c r="E924">
        <v>4107.3500000000004</v>
      </c>
      <c r="F924">
        <v>0</v>
      </c>
      <c r="G924">
        <f t="shared" si="52"/>
        <v>4107.3500000000004</v>
      </c>
    </row>
    <row r="925" spans="1:7">
      <c r="A925" t="str">
        <f t="shared" si="50"/>
        <v>CHART</v>
      </c>
      <c r="B925" t="str">
        <f>"64540000"</f>
        <v>64540000</v>
      </c>
      <c r="C925" t="str">
        <f t="shared" si="51"/>
        <v>CHART645400000</v>
      </c>
      <c r="E925">
        <v>2604.23</v>
      </c>
      <c r="F925">
        <v>0</v>
      </c>
      <c r="G925">
        <f t="shared" si="52"/>
        <v>2604.23</v>
      </c>
    </row>
    <row r="926" spans="1:7">
      <c r="A926" t="str">
        <f t="shared" si="50"/>
        <v>CHART</v>
      </c>
      <c r="B926" t="str">
        <f>"64590000"</f>
        <v>64590000</v>
      </c>
      <c r="C926" t="str">
        <f t="shared" si="51"/>
        <v>CHART645900000</v>
      </c>
      <c r="E926">
        <v>78.42</v>
      </c>
      <c r="F926">
        <v>0</v>
      </c>
      <c r="G926">
        <f t="shared" si="52"/>
        <v>78.42</v>
      </c>
    </row>
    <row r="927" spans="1:7">
      <c r="A927" t="str">
        <f t="shared" si="50"/>
        <v>CHART</v>
      </c>
      <c r="B927" t="str">
        <f>"64710000"</f>
        <v>64710000</v>
      </c>
      <c r="C927" t="str">
        <f t="shared" si="51"/>
        <v>CHART647100000</v>
      </c>
      <c r="E927">
        <v>88.59</v>
      </c>
      <c r="F927">
        <v>0</v>
      </c>
      <c r="G927">
        <f t="shared" si="52"/>
        <v>88.59</v>
      </c>
    </row>
    <row r="928" spans="1:7">
      <c r="A928" t="str">
        <f t="shared" si="50"/>
        <v>CHART</v>
      </c>
      <c r="B928" t="str">
        <f>"64740000"</f>
        <v>64740000</v>
      </c>
      <c r="C928" t="str">
        <f t="shared" si="51"/>
        <v>CHART647400000</v>
      </c>
      <c r="E928">
        <v>59.21</v>
      </c>
      <c r="F928">
        <v>0</v>
      </c>
      <c r="G928">
        <f t="shared" si="52"/>
        <v>59.21</v>
      </c>
    </row>
    <row r="929" spans="1:13">
      <c r="A929" t="str">
        <f t="shared" si="50"/>
        <v>CHART</v>
      </c>
      <c r="B929" t="str">
        <f>"64750000"</f>
        <v>64750000</v>
      </c>
      <c r="C929" t="str">
        <f t="shared" si="51"/>
        <v>CHART647500000</v>
      </c>
      <c r="E929">
        <v>172.07</v>
      </c>
      <c r="F929">
        <v>0</v>
      </c>
      <c r="G929">
        <f t="shared" si="52"/>
        <v>172.07</v>
      </c>
    </row>
    <row r="930" spans="1:13">
      <c r="A930" t="str">
        <f t="shared" si="50"/>
        <v>CHART</v>
      </c>
      <c r="B930" t="str">
        <f>"64800000"</f>
        <v>64800000</v>
      </c>
      <c r="C930" t="str">
        <f t="shared" si="51"/>
        <v>CHART648000000</v>
      </c>
      <c r="E930" s="19">
        <v>3401.192</v>
      </c>
      <c r="F930">
        <v>0</v>
      </c>
      <c r="G930" s="19">
        <f t="shared" si="52"/>
        <v>3401.192</v>
      </c>
      <c r="H930" s="433">
        <v>3401.1120000000001</v>
      </c>
      <c r="I930" s="113" t="s">
        <v>539</v>
      </c>
    </row>
    <row r="931" spans="1:13">
      <c r="A931" t="str">
        <f t="shared" si="50"/>
        <v>CHART</v>
      </c>
      <c r="B931" t="str">
        <f>"65410000"</f>
        <v>65410000</v>
      </c>
      <c r="C931" t="str">
        <f t="shared" si="51"/>
        <v>CHART654100000</v>
      </c>
      <c r="E931">
        <v>87.15</v>
      </c>
      <c r="F931">
        <v>83.98</v>
      </c>
      <c r="G931">
        <f t="shared" si="52"/>
        <v>3.1700000000000017</v>
      </c>
    </row>
    <row r="932" spans="1:13">
      <c r="A932" t="str">
        <f t="shared" ref="A932:A940" si="53">"CHART"</f>
        <v>CHART</v>
      </c>
      <c r="B932" t="str">
        <f>"65420000"</f>
        <v>65420000</v>
      </c>
      <c r="C932" t="str">
        <f t="shared" si="51"/>
        <v>CHART654200000</v>
      </c>
      <c r="E932">
        <v>0</v>
      </c>
      <c r="F932">
        <v>0</v>
      </c>
      <c r="G932">
        <f t="shared" si="52"/>
        <v>0</v>
      </c>
      <c r="M932" s="113"/>
    </row>
    <row r="933" spans="1:13">
      <c r="A933" t="str">
        <f t="shared" si="53"/>
        <v>CHART</v>
      </c>
      <c r="B933" t="str">
        <f>"65440000"</f>
        <v>65440000</v>
      </c>
      <c r="C933" t="str">
        <f t="shared" si="51"/>
        <v>CHART654400000</v>
      </c>
      <c r="E933">
        <v>202.54</v>
      </c>
      <c r="F933">
        <v>0</v>
      </c>
      <c r="G933">
        <f t="shared" si="52"/>
        <v>202.54</v>
      </c>
    </row>
    <row r="934" spans="1:13">
      <c r="A934" t="str">
        <f t="shared" si="53"/>
        <v>CHART</v>
      </c>
      <c r="B934" t="str">
        <f>"65800000"</f>
        <v>65800000</v>
      </c>
      <c r="C934" t="str">
        <f t="shared" si="51"/>
        <v>CHART658000000</v>
      </c>
      <c r="E934">
        <v>4413.76</v>
      </c>
      <c r="F934">
        <v>0</v>
      </c>
      <c r="G934">
        <f t="shared" si="52"/>
        <v>4413.76</v>
      </c>
    </row>
    <row r="935" spans="1:13">
      <c r="A935" t="str">
        <f t="shared" si="53"/>
        <v>CHART</v>
      </c>
      <c r="B935" t="str">
        <f>"66510000"</f>
        <v>66510000</v>
      </c>
      <c r="C935" t="str">
        <f t="shared" si="51"/>
        <v>CHART665100000</v>
      </c>
      <c r="E935">
        <v>334.68</v>
      </c>
      <c r="F935">
        <v>2.81</v>
      </c>
      <c r="G935">
        <f t="shared" si="52"/>
        <v>331.87</v>
      </c>
    </row>
    <row r="936" spans="1:13">
      <c r="A936" t="str">
        <f t="shared" si="53"/>
        <v>CHART</v>
      </c>
      <c r="B936" t="str">
        <f>"67180000"</f>
        <v>67180000</v>
      </c>
      <c r="C936" t="str">
        <f t="shared" si="51"/>
        <v>CHART671800000</v>
      </c>
      <c r="E936">
        <v>7.5</v>
      </c>
      <c r="F936">
        <v>0</v>
      </c>
      <c r="G936">
        <f t="shared" si="52"/>
        <v>7.5</v>
      </c>
    </row>
    <row r="937" spans="1:13">
      <c r="A937" t="str">
        <f t="shared" si="53"/>
        <v>CHART</v>
      </c>
      <c r="B937" t="str">
        <f>"68112000"</f>
        <v>68112000</v>
      </c>
      <c r="C937" t="str">
        <f t="shared" si="51"/>
        <v>CHART681120000</v>
      </c>
      <c r="E937">
        <v>2211.15</v>
      </c>
      <c r="F937">
        <v>0</v>
      </c>
      <c r="G937">
        <f t="shared" si="52"/>
        <v>2211.15</v>
      </c>
    </row>
    <row r="938" spans="1:13">
      <c r="A938" t="str">
        <f t="shared" si="53"/>
        <v>CHART</v>
      </c>
      <c r="B938" t="str">
        <f>"68173000"</f>
        <v>68173000</v>
      </c>
      <c r="C938" t="str">
        <f t="shared" si="51"/>
        <v>CHART681730000</v>
      </c>
      <c r="E938">
        <v>4726.3999999999996</v>
      </c>
      <c r="F938">
        <v>0</v>
      </c>
      <c r="G938">
        <f t="shared" si="52"/>
        <v>4726.3999999999996</v>
      </c>
    </row>
    <row r="939" spans="1:13">
      <c r="A939" t="str">
        <f t="shared" si="53"/>
        <v>CHART</v>
      </c>
      <c r="B939" t="str">
        <f>"68174000"</f>
        <v>68174000</v>
      </c>
      <c r="C939" t="str">
        <f t="shared" si="51"/>
        <v>CHART681740000</v>
      </c>
      <c r="E939">
        <v>4183.95</v>
      </c>
      <c r="F939">
        <v>0</v>
      </c>
      <c r="G939">
        <f t="shared" si="52"/>
        <v>4183.95</v>
      </c>
    </row>
    <row r="940" spans="1:13">
      <c r="A940" t="str">
        <f t="shared" si="53"/>
        <v>CHART</v>
      </c>
      <c r="B940" t="str">
        <f>"68725000"</f>
        <v>68725000</v>
      </c>
      <c r="C940" t="str">
        <f t="shared" si="51"/>
        <v>CHART687250000</v>
      </c>
      <c r="E940">
        <v>42.04</v>
      </c>
      <c r="F940">
        <v>0</v>
      </c>
      <c r="G940">
        <f t="shared" si="52"/>
        <v>42.04</v>
      </c>
    </row>
    <row r="941" spans="1:13">
      <c r="A941" t="str">
        <f t="shared" ref="A941:A1004" si="54">"CLE"</f>
        <v>CLE</v>
      </c>
      <c r="B941" t="str">
        <f>"60222000"</f>
        <v>60222000</v>
      </c>
      <c r="C941" t="str">
        <f t="shared" si="51"/>
        <v>CLE602220000</v>
      </c>
      <c r="E941">
        <v>892.23</v>
      </c>
      <c r="F941">
        <v>0</v>
      </c>
      <c r="G941">
        <f t="shared" si="52"/>
        <v>892.23</v>
      </c>
    </row>
    <row r="942" spans="1:13">
      <c r="A942" t="str">
        <f t="shared" si="54"/>
        <v>CLE</v>
      </c>
      <c r="B942" t="str">
        <f>"60265000"</f>
        <v>60265000</v>
      </c>
      <c r="C942" t="str">
        <f t="shared" si="51"/>
        <v>CLE602650000</v>
      </c>
      <c r="E942">
        <v>17.399999999999999</v>
      </c>
      <c r="F942">
        <v>0</v>
      </c>
      <c r="G942">
        <f t="shared" si="52"/>
        <v>17.399999999999999</v>
      </c>
    </row>
    <row r="943" spans="1:13">
      <c r="A943" t="str">
        <f t="shared" si="54"/>
        <v>CLE</v>
      </c>
      <c r="B943" t="str">
        <f>"60610000"</f>
        <v>60610000</v>
      </c>
      <c r="C943" t="str">
        <f t="shared" si="51"/>
        <v>CLE606100000</v>
      </c>
      <c r="E943">
        <v>10339.76</v>
      </c>
      <c r="F943">
        <v>0</v>
      </c>
      <c r="G943">
        <f t="shared" si="52"/>
        <v>10339.76</v>
      </c>
    </row>
    <row r="944" spans="1:13">
      <c r="A944" t="str">
        <f t="shared" si="54"/>
        <v>CLE</v>
      </c>
      <c r="B944" t="str">
        <f>"60611000"</f>
        <v>60611000</v>
      </c>
      <c r="C944" t="str">
        <f t="shared" si="51"/>
        <v>CLE606110000</v>
      </c>
      <c r="E944">
        <v>2477.17</v>
      </c>
      <c r="F944">
        <v>0</v>
      </c>
      <c r="G944">
        <f t="shared" si="52"/>
        <v>2477.17</v>
      </c>
    </row>
    <row r="945" spans="1:7">
      <c r="A945" t="str">
        <f t="shared" si="54"/>
        <v>CLE</v>
      </c>
      <c r="B945" t="str">
        <f>"60613000"</f>
        <v>60613000</v>
      </c>
      <c r="C945" t="str">
        <f t="shared" si="51"/>
        <v>CLE606130000</v>
      </c>
      <c r="E945">
        <v>5646.83</v>
      </c>
      <c r="F945">
        <v>0</v>
      </c>
      <c r="G945">
        <f t="shared" si="52"/>
        <v>5646.83</v>
      </c>
    </row>
    <row r="946" spans="1:7">
      <c r="A946" t="str">
        <f t="shared" si="54"/>
        <v>CLE</v>
      </c>
      <c r="B946" t="str">
        <f>"60631000"</f>
        <v>60631000</v>
      </c>
      <c r="C946" t="str">
        <f t="shared" si="51"/>
        <v>CLE606310000</v>
      </c>
      <c r="E946">
        <v>501.98</v>
      </c>
      <c r="F946">
        <v>0</v>
      </c>
      <c r="G946">
        <f t="shared" si="52"/>
        <v>501.98</v>
      </c>
    </row>
    <row r="947" spans="1:7">
      <c r="A947" t="str">
        <f t="shared" si="54"/>
        <v>CLE</v>
      </c>
      <c r="B947" t="str">
        <f>"60641000"</f>
        <v>60641000</v>
      </c>
      <c r="C947" t="str">
        <f t="shared" si="51"/>
        <v>CLE606410000</v>
      </c>
      <c r="E947">
        <v>5006.66</v>
      </c>
      <c r="F947">
        <v>0</v>
      </c>
      <c r="G947">
        <f t="shared" si="52"/>
        <v>5006.66</v>
      </c>
    </row>
    <row r="948" spans="1:7">
      <c r="A948" t="str">
        <f t="shared" si="54"/>
        <v>CLE</v>
      </c>
      <c r="B948" t="str">
        <f>"60710000"</f>
        <v>60710000</v>
      </c>
      <c r="C948" t="str">
        <f t="shared" si="51"/>
        <v>CLE607100000</v>
      </c>
      <c r="E948">
        <v>1083378.3799999999</v>
      </c>
      <c r="F948">
        <v>-730.97</v>
      </c>
      <c r="G948">
        <f t="shared" si="52"/>
        <v>1084109.3499999999</v>
      </c>
    </row>
    <row r="949" spans="1:7">
      <c r="A949" t="str">
        <f t="shared" si="54"/>
        <v>CLE</v>
      </c>
      <c r="B949" t="str">
        <f>"60711000"</f>
        <v>60711000</v>
      </c>
      <c r="C949" t="str">
        <f t="shared" si="51"/>
        <v>CLE607110000</v>
      </c>
      <c r="E949">
        <v>125117.78</v>
      </c>
      <c r="F949">
        <v>353.91</v>
      </c>
      <c r="G949">
        <f t="shared" si="52"/>
        <v>124763.87</v>
      </c>
    </row>
    <row r="950" spans="1:7">
      <c r="A950" t="str">
        <f t="shared" si="54"/>
        <v>CLE</v>
      </c>
      <c r="B950" t="str">
        <f>"60712000"</f>
        <v>60712000</v>
      </c>
      <c r="C950" t="str">
        <f t="shared" si="51"/>
        <v>CLE607120000</v>
      </c>
      <c r="E950">
        <v>-282.79000000000002</v>
      </c>
      <c r="F950">
        <v>0</v>
      </c>
      <c r="G950">
        <f t="shared" si="52"/>
        <v>-282.79000000000002</v>
      </c>
    </row>
    <row r="951" spans="1:7">
      <c r="A951" t="str">
        <f t="shared" si="54"/>
        <v>CLE</v>
      </c>
      <c r="B951" t="str">
        <f>"60713000"</f>
        <v>60713000</v>
      </c>
      <c r="C951" t="str">
        <f t="shared" si="51"/>
        <v>CLE607130000</v>
      </c>
      <c r="E951">
        <v>39443</v>
      </c>
      <c r="F951">
        <v>0</v>
      </c>
      <c r="G951">
        <f t="shared" si="52"/>
        <v>39443</v>
      </c>
    </row>
    <row r="952" spans="1:7">
      <c r="A952" t="str">
        <f t="shared" si="54"/>
        <v>CLE</v>
      </c>
      <c r="B952" t="str">
        <f>"60714000"</f>
        <v>60714000</v>
      </c>
      <c r="C952" t="str">
        <f t="shared" si="51"/>
        <v>CLE607140000</v>
      </c>
      <c r="E952">
        <v>-36216</v>
      </c>
      <c r="F952">
        <v>0</v>
      </c>
      <c r="G952">
        <f t="shared" si="52"/>
        <v>-36216</v>
      </c>
    </row>
    <row r="953" spans="1:7">
      <c r="A953" t="str">
        <f t="shared" si="54"/>
        <v>CLE</v>
      </c>
      <c r="B953" t="str">
        <f>"60720000"</f>
        <v>60720000</v>
      </c>
      <c r="C953" t="str">
        <f t="shared" si="51"/>
        <v>CLE607200000</v>
      </c>
      <c r="E953">
        <v>335645.9</v>
      </c>
      <c r="F953">
        <v>0</v>
      </c>
      <c r="G953">
        <f t="shared" si="52"/>
        <v>335645.9</v>
      </c>
    </row>
    <row r="954" spans="1:7">
      <c r="A954" t="str">
        <f t="shared" si="54"/>
        <v>CLE</v>
      </c>
      <c r="B954" t="str">
        <f>"60740000"</f>
        <v>60740000</v>
      </c>
      <c r="C954" t="str">
        <f t="shared" si="51"/>
        <v>CLE607400000</v>
      </c>
      <c r="E954">
        <v>13544.83</v>
      </c>
      <c r="F954">
        <v>69.41</v>
      </c>
      <c r="G954">
        <f t="shared" si="52"/>
        <v>13475.42</v>
      </c>
    </row>
    <row r="955" spans="1:7">
      <c r="A955" t="str">
        <f t="shared" si="54"/>
        <v>CLE</v>
      </c>
      <c r="B955" t="str">
        <f>"60800000"</f>
        <v>60800000</v>
      </c>
      <c r="C955" t="str">
        <f t="shared" si="51"/>
        <v>CLE608000000</v>
      </c>
      <c r="E955">
        <v>454.37</v>
      </c>
      <c r="F955">
        <v>0</v>
      </c>
      <c r="G955">
        <f t="shared" si="52"/>
        <v>454.37</v>
      </c>
    </row>
    <row r="956" spans="1:7">
      <c r="A956" t="str">
        <f t="shared" si="54"/>
        <v>CLE</v>
      </c>
      <c r="B956" t="str">
        <f>"60911000"</f>
        <v>60911000</v>
      </c>
      <c r="C956" t="str">
        <f t="shared" si="51"/>
        <v>CLE609110000</v>
      </c>
      <c r="E956">
        <v>-43420.03</v>
      </c>
      <c r="F956">
        <v>-17838.18</v>
      </c>
      <c r="G956">
        <f t="shared" si="52"/>
        <v>-25581.85</v>
      </c>
    </row>
    <row r="957" spans="1:7">
      <c r="A957" t="str">
        <f t="shared" si="54"/>
        <v>CLE</v>
      </c>
      <c r="B957" t="str">
        <f>"60912000"</f>
        <v>60912000</v>
      </c>
      <c r="C957" t="str">
        <f t="shared" si="51"/>
        <v>CLE609120000</v>
      </c>
      <c r="E957">
        <v>-24068.76</v>
      </c>
      <c r="F957">
        <v>0</v>
      </c>
      <c r="G957">
        <f t="shared" si="52"/>
        <v>-24068.76</v>
      </c>
    </row>
    <row r="958" spans="1:7">
      <c r="A958" t="str">
        <f t="shared" si="54"/>
        <v>CLE</v>
      </c>
      <c r="B958" t="str">
        <f>"60913000"</f>
        <v>60913000</v>
      </c>
      <c r="C958" t="str">
        <f t="shared" si="51"/>
        <v>CLE609130000</v>
      </c>
      <c r="E958">
        <v>-13753.57</v>
      </c>
      <c r="F958">
        <v>0</v>
      </c>
      <c r="G958">
        <f t="shared" si="52"/>
        <v>-13753.57</v>
      </c>
    </row>
    <row r="959" spans="1:7">
      <c r="A959" t="str">
        <f t="shared" si="54"/>
        <v>CLE</v>
      </c>
      <c r="B959" t="str">
        <f>"61100000"</f>
        <v>61100000</v>
      </c>
      <c r="C959" t="str">
        <f t="shared" si="51"/>
        <v>CLE611000000</v>
      </c>
      <c r="E959">
        <v>569.30999999999995</v>
      </c>
      <c r="F959">
        <v>0</v>
      </c>
      <c r="G959">
        <f t="shared" si="52"/>
        <v>569.30999999999995</v>
      </c>
    </row>
    <row r="960" spans="1:7">
      <c r="A960" t="str">
        <f t="shared" si="54"/>
        <v>CLE</v>
      </c>
      <c r="B960" t="str">
        <f>"61320000"</f>
        <v>61320000</v>
      </c>
      <c r="C960" t="str">
        <f t="shared" si="51"/>
        <v>CLE613200000</v>
      </c>
      <c r="E960">
        <v>82521.88</v>
      </c>
      <c r="F960">
        <v>12158.06</v>
      </c>
      <c r="G960">
        <f t="shared" si="52"/>
        <v>70363.820000000007</v>
      </c>
    </row>
    <row r="961" spans="1:7">
      <c r="A961" t="str">
        <f t="shared" si="54"/>
        <v>CLE</v>
      </c>
      <c r="B961" t="str">
        <f>"61351000"</f>
        <v>61351000</v>
      </c>
      <c r="C961" t="str">
        <f t="shared" si="51"/>
        <v>CLE613510000</v>
      </c>
      <c r="E961">
        <v>557.62</v>
      </c>
      <c r="F961">
        <v>557.62</v>
      </c>
      <c r="G961">
        <f t="shared" si="52"/>
        <v>0</v>
      </c>
    </row>
    <row r="962" spans="1:7">
      <c r="A962" t="str">
        <f t="shared" si="54"/>
        <v>CLE</v>
      </c>
      <c r="B962" t="str">
        <f>"61352000"</f>
        <v>61352000</v>
      </c>
      <c r="C962" t="str">
        <f t="shared" si="51"/>
        <v>CLE613520000</v>
      </c>
      <c r="E962">
        <v>13751.59</v>
      </c>
      <c r="F962">
        <v>0</v>
      </c>
      <c r="G962">
        <f t="shared" si="52"/>
        <v>13751.59</v>
      </c>
    </row>
    <row r="963" spans="1:7">
      <c r="A963" t="str">
        <f t="shared" si="54"/>
        <v>CLE</v>
      </c>
      <c r="B963" t="str">
        <f>"61353000"</f>
        <v>61353000</v>
      </c>
      <c r="C963" t="str">
        <f t="shared" ref="C963:C1026" si="55">+A963&amp;B963*10</f>
        <v>CLE613530000</v>
      </c>
      <c r="E963">
        <v>847.64</v>
      </c>
      <c r="F963">
        <v>237.41</v>
      </c>
      <c r="G963">
        <f t="shared" ref="G963:G1026" si="56">+E963-F963</f>
        <v>610.23</v>
      </c>
    </row>
    <row r="964" spans="1:7">
      <c r="A964" t="str">
        <f t="shared" si="54"/>
        <v>CLE</v>
      </c>
      <c r="B964" t="str">
        <f>"61354000"</f>
        <v>61354000</v>
      </c>
      <c r="C964" t="str">
        <f t="shared" si="55"/>
        <v>CLE613540000</v>
      </c>
      <c r="E964">
        <v>1509.84</v>
      </c>
      <c r="F964">
        <v>-60.5</v>
      </c>
      <c r="G964">
        <f t="shared" si="56"/>
        <v>1570.34</v>
      </c>
    </row>
    <row r="965" spans="1:7">
      <c r="A965" t="str">
        <f t="shared" si="54"/>
        <v>CLE</v>
      </c>
      <c r="B965" t="str">
        <f>"61400000"</f>
        <v>61400000</v>
      </c>
      <c r="C965" t="str">
        <f t="shared" si="55"/>
        <v>CLE614000000</v>
      </c>
      <c r="E965">
        <v>2035.55</v>
      </c>
      <c r="F965">
        <v>0</v>
      </c>
      <c r="G965">
        <f t="shared" si="56"/>
        <v>2035.55</v>
      </c>
    </row>
    <row r="966" spans="1:7">
      <c r="A966" t="str">
        <f t="shared" si="54"/>
        <v>CLE</v>
      </c>
      <c r="B966" t="str">
        <f>"61520000"</f>
        <v>61520000</v>
      </c>
      <c r="C966" t="str">
        <f t="shared" si="55"/>
        <v>CLE615200000</v>
      </c>
      <c r="E966">
        <v>11266.79</v>
      </c>
      <c r="F966">
        <v>0</v>
      </c>
      <c r="G966">
        <f t="shared" si="56"/>
        <v>11266.79</v>
      </c>
    </row>
    <row r="967" spans="1:7">
      <c r="A967" t="str">
        <f t="shared" si="54"/>
        <v>CLE</v>
      </c>
      <c r="B967" t="str">
        <f>"61550000"</f>
        <v>61550000</v>
      </c>
      <c r="C967" t="str">
        <f t="shared" si="55"/>
        <v>CLE615500000</v>
      </c>
      <c r="E967">
        <v>1913.92</v>
      </c>
      <c r="F967">
        <v>935.47</v>
      </c>
      <c r="G967">
        <f t="shared" si="56"/>
        <v>978.45</v>
      </c>
    </row>
    <row r="968" spans="1:7">
      <c r="A968" t="str">
        <f t="shared" si="54"/>
        <v>CLE</v>
      </c>
      <c r="B968" t="str">
        <f>"61551000"</f>
        <v>61551000</v>
      </c>
      <c r="C968" t="str">
        <f t="shared" si="55"/>
        <v>CLE615510000</v>
      </c>
      <c r="E968">
        <v>3614.52</v>
      </c>
      <c r="F968">
        <v>-386.58</v>
      </c>
      <c r="G968">
        <f t="shared" si="56"/>
        <v>4001.1</v>
      </c>
    </row>
    <row r="969" spans="1:7">
      <c r="A969" t="str">
        <f t="shared" si="54"/>
        <v>CLE</v>
      </c>
      <c r="B969" t="str">
        <f>"61552000"</f>
        <v>61552000</v>
      </c>
      <c r="C969" t="str">
        <f t="shared" si="55"/>
        <v>CLE615520000</v>
      </c>
      <c r="E969">
        <v>7638.39</v>
      </c>
      <c r="F969">
        <v>0</v>
      </c>
      <c r="G969">
        <f t="shared" si="56"/>
        <v>7638.39</v>
      </c>
    </row>
    <row r="970" spans="1:7">
      <c r="A970" t="str">
        <f t="shared" si="54"/>
        <v>CLE</v>
      </c>
      <c r="B970" t="str">
        <f>"61553000"</f>
        <v>61553000</v>
      </c>
      <c r="C970" t="str">
        <f t="shared" si="55"/>
        <v>CLE615530000</v>
      </c>
      <c r="E970">
        <v>446.26</v>
      </c>
      <c r="F970">
        <v>0</v>
      </c>
      <c r="G970">
        <f t="shared" si="56"/>
        <v>446.26</v>
      </c>
    </row>
    <row r="971" spans="1:7">
      <c r="A971" t="str">
        <f t="shared" si="54"/>
        <v>CLE</v>
      </c>
      <c r="B971" t="str">
        <f>"61612000"</f>
        <v>61612000</v>
      </c>
      <c r="C971" t="str">
        <f t="shared" si="55"/>
        <v>CLE616120000</v>
      </c>
      <c r="E971">
        <v>3159.55</v>
      </c>
      <c r="F971">
        <v>0</v>
      </c>
      <c r="G971">
        <f t="shared" si="56"/>
        <v>3159.55</v>
      </c>
    </row>
    <row r="972" spans="1:7">
      <c r="A972" t="str">
        <f t="shared" si="54"/>
        <v>CLE</v>
      </c>
      <c r="B972" t="str">
        <f>"61613000"</f>
        <v>61613000</v>
      </c>
      <c r="C972" t="str">
        <f t="shared" si="55"/>
        <v>CLE616130000</v>
      </c>
      <c r="E972">
        <v>3664.31</v>
      </c>
      <c r="F972">
        <v>0</v>
      </c>
      <c r="G972">
        <f t="shared" si="56"/>
        <v>3664.31</v>
      </c>
    </row>
    <row r="973" spans="1:7">
      <c r="A973" t="str">
        <f t="shared" si="54"/>
        <v>CLE</v>
      </c>
      <c r="B973" t="str">
        <f>"61810000"</f>
        <v>61810000</v>
      </c>
      <c r="C973" t="str">
        <f t="shared" si="55"/>
        <v>CLE618100000</v>
      </c>
      <c r="E973">
        <v>522.77</v>
      </c>
      <c r="F973">
        <v>0</v>
      </c>
      <c r="G973">
        <f t="shared" si="56"/>
        <v>522.77</v>
      </c>
    </row>
    <row r="974" spans="1:7">
      <c r="A974" t="str">
        <f t="shared" si="54"/>
        <v>CLE</v>
      </c>
      <c r="B974" t="str">
        <f>"61850000"</f>
        <v>61850000</v>
      </c>
      <c r="C974" t="str">
        <f t="shared" si="55"/>
        <v>CLE618500000</v>
      </c>
      <c r="E974">
        <v>1265.22</v>
      </c>
      <c r="F974">
        <v>0</v>
      </c>
      <c r="G974">
        <f t="shared" si="56"/>
        <v>1265.22</v>
      </c>
    </row>
    <row r="975" spans="1:7">
      <c r="A975" t="str">
        <f t="shared" si="54"/>
        <v>CLE</v>
      </c>
      <c r="B975" t="str">
        <f>"62110000"</f>
        <v>62110000</v>
      </c>
      <c r="C975" t="str">
        <f t="shared" si="55"/>
        <v>CLE621100000</v>
      </c>
      <c r="E975">
        <v>11311.38</v>
      </c>
      <c r="F975">
        <v>0</v>
      </c>
      <c r="G975">
        <f t="shared" si="56"/>
        <v>11311.38</v>
      </c>
    </row>
    <row r="976" spans="1:7">
      <c r="A976" t="str">
        <f t="shared" si="54"/>
        <v>CLE</v>
      </c>
      <c r="B976" t="str">
        <f>"62270000"</f>
        <v>62270000</v>
      </c>
      <c r="C976" t="str">
        <f t="shared" si="55"/>
        <v>CLE622700000</v>
      </c>
      <c r="E976">
        <v>737</v>
      </c>
      <c r="F976">
        <v>0</v>
      </c>
      <c r="G976">
        <f t="shared" si="56"/>
        <v>737</v>
      </c>
    </row>
    <row r="977" spans="1:7">
      <c r="A977" t="str">
        <f t="shared" si="54"/>
        <v>CLE</v>
      </c>
      <c r="B977" t="str">
        <f>"62271000"</f>
        <v>62271000</v>
      </c>
      <c r="C977" t="str">
        <f t="shared" si="55"/>
        <v>CLE622710000</v>
      </c>
      <c r="E977">
        <v>314.41000000000003</v>
      </c>
      <c r="F977">
        <v>0</v>
      </c>
      <c r="G977">
        <f t="shared" si="56"/>
        <v>314.41000000000003</v>
      </c>
    </row>
    <row r="978" spans="1:7">
      <c r="A978" t="str">
        <f t="shared" si="54"/>
        <v>CLE</v>
      </c>
      <c r="B978" t="str">
        <f>"62310000"</f>
        <v>62310000</v>
      </c>
      <c r="C978" t="str">
        <f t="shared" si="55"/>
        <v>CLE623100000</v>
      </c>
      <c r="E978">
        <v>83.61</v>
      </c>
      <c r="F978">
        <v>0</v>
      </c>
      <c r="G978">
        <f t="shared" si="56"/>
        <v>83.61</v>
      </c>
    </row>
    <row r="979" spans="1:7">
      <c r="A979" t="str">
        <f t="shared" si="54"/>
        <v>CLE</v>
      </c>
      <c r="B979" t="str">
        <f>"62320000"</f>
        <v>62320000</v>
      </c>
      <c r="C979" t="str">
        <f t="shared" si="55"/>
        <v>CLE623200000</v>
      </c>
      <c r="E979">
        <v>12862.55</v>
      </c>
      <c r="F979">
        <v>0</v>
      </c>
      <c r="G979">
        <f t="shared" si="56"/>
        <v>12862.55</v>
      </c>
    </row>
    <row r="980" spans="1:7">
      <c r="A980" t="str">
        <f t="shared" si="54"/>
        <v>CLE</v>
      </c>
      <c r="B980" t="str">
        <f>"62341000"</f>
        <v>62341000</v>
      </c>
      <c r="C980" t="str">
        <f t="shared" si="55"/>
        <v>CLE623410000</v>
      </c>
      <c r="E980">
        <v>47160.52</v>
      </c>
      <c r="F980">
        <v>0</v>
      </c>
      <c r="G980">
        <f t="shared" si="56"/>
        <v>47160.52</v>
      </c>
    </row>
    <row r="981" spans="1:7">
      <c r="A981" t="str">
        <f t="shared" si="54"/>
        <v>CLE</v>
      </c>
      <c r="B981" t="str">
        <f>"62342000"</f>
        <v>62342000</v>
      </c>
      <c r="C981" t="str">
        <f t="shared" si="55"/>
        <v>CLE623420000</v>
      </c>
      <c r="E981">
        <v>-407.49</v>
      </c>
      <c r="F981">
        <v>0</v>
      </c>
      <c r="G981">
        <f t="shared" si="56"/>
        <v>-407.49</v>
      </c>
    </row>
    <row r="982" spans="1:7">
      <c r="A982" t="str">
        <f t="shared" si="54"/>
        <v>CLE</v>
      </c>
      <c r="B982" t="str">
        <f>"62370000"</f>
        <v>62370000</v>
      </c>
      <c r="C982" t="str">
        <f t="shared" si="55"/>
        <v>CLE623700000</v>
      </c>
      <c r="E982">
        <v>3618.6</v>
      </c>
      <c r="F982">
        <v>552.4</v>
      </c>
      <c r="G982">
        <f t="shared" si="56"/>
        <v>3066.2</v>
      </c>
    </row>
    <row r="983" spans="1:7">
      <c r="A983" t="str">
        <f t="shared" si="54"/>
        <v>CLE</v>
      </c>
      <c r="B983" t="str">
        <f>"62380000"</f>
        <v>62380000</v>
      </c>
      <c r="C983" t="str">
        <f t="shared" si="55"/>
        <v>CLE623800000</v>
      </c>
      <c r="E983">
        <v>130</v>
      </c>
      <c r="F983">
        <v>0</v>
      </c>
      <c r="G983">
        <f t="shared" si="56"/>
        <v>130</v>
      </c>
    </row>
    <row r="984" spans="1:7">
      <c r="A984" t="str">
        <f t="shared" si="54"/>
        <v>CLE</v>
      </c>
      <c r="B984" t="str">
        <f>"62381000"</f>
        <v>62381000</v>
      </c>
      <c r="C984" t="str">
        <f t="shared" si="55"/>
        <v>CLE623810000</v>
      </c>
      <c r="E984">
        <v>0</v>
      </c>
      <c r="F984">
        <v>0</v>
      </c>
      <c r="G984">
        <f t="shared" si="56"/>
        <v>0</v>
      </c>
    </row>
    <row r="985" spans="1:7">
      <c r="A985" t="str">
        <f t="shared" si="54"/>
        <v>CLE</v>
      </c>
      <c r="B985" t="str">
        <f>"62420000"</f>
        <v>62420000</v>
      </c>
      <c r="C985" t="str">
        <f t="shared" si="55"/>
        <v>CLE624200000</v>
      </c>
      <c r="E985">
        <v>10855.87</v>
      </c>
      <c r="F985">
        <v>0</v>
      </c>
      <c r="G985">
        <f t="shared" si="56"/>
        <v>10855.87</v>
      </c>
    </row>
    <row r="986" spans="1:7">
      <c r="A986" t="str">
        <f t="shared" si="54"/>
        <v>CLE</v>
      </c>
      <c r="B986" t="str">
        <f>"62510000"</f>
        <v>62510000</v>
      </c>
      <c r="C986" t="str">
        <f t="shared" si="55"/>
        <v>CLE625100000</v>
      </c>
      <c r="E986">
        <v>17829.37</v>
      </c>
      <c r="F986">
        <v>2147.63</v>
      </c>
      <c r="G986">
        <f t="shared" si="56"/>
        <v>15681.739999999998</v>
      </c>
    </row>
    <row r="987" spans="1:7">
      <c r="A987" t="str">
        <f t="shared" si="54"/>
        <v>CLE</v>
      </c>
      <c r="B987" t="str">
        <f>"62520000"</f>
        <v>62520000</v>
      </c>
      <c r="C987" t="str">
        <f t="shared" si="55"/>
        <v>CLE625200000</v>
      </c>
      <c r="E987">
        <v>816.98</v>
      </c>
      <c r="F987">
        <v>0</v>
      </c>
      <c r="G987">
        <f t="shared" si="56"/>
        <v>816.98</v>
      </c>
    </row>
    <row r="988" spans="1:7">
      <c r="A988" t="str">
        <f t="shared" si="54"/>
        <v>CLE</v>
      </c>
      <c r="B988" t="str">
        <f>"62560000"</f>
        <v>62560000</v>
      </c>
      <c r="C988" t="str">
        <f t="shared" si="55"/>
        <v>CLE625600000</v>
      </c>
      <c r="E988">
        <v>25.23</v>
      </c>
      <c r="F988">
        <v>0</v>
      </c>
      <c r="G988">
        <f t="shared" si="56"/>
        <v>25.23</v>
      </c>
    </row>
    <row r="989" spans="1:7">
      <c r="A989" t="str">
        <f t="shared" si="54"/>
        <v>CLE</v>
      </c>
      <c r="B989" t="str">
        <f>"62570000"</f>
        <v>62570000</v>
      </c>
      <c r="C989" t="str">
        <f t="shared" si="55"/>
        <v>CLE625700000</v>
      </c>
      <c r="E989">
        <v>10894.95</v>
      </c>
      <c r="F989">
        <v>0</v>
      </c>
      <c r="G989">
        <f t="shared" si="56"/>
        <v>10894.95</v>
      </c>
    </row>
    <row r="990" spans="1:7">
      <c r="A990" t="str">
        <f t="shared" si="54"/>
        <v>CLE</v>
      </c>
      <c r="B990" t="str">
        <f>"62571000"</f>
        <v>62571000</v>
      </c>
      <c r="C990" t="str">
        <f t="shared" si="55"/>
        <v>CLE625710000</v>
      </c>
      <c r="E990">
        <v>6069.42</v>
      </c>
      <c r="F990">
        <v>0</v>
      </c>
      <c r="G990">
        <f t="shared" si="56"/>
        <v>6069.42</v>
      </c>
    </row>
    <row r="991" spans="1:7">
      <c r="A991" t="str">
        <f t="shared" si="54"/>
        <v>CLE</v>
      </c>
      <c r="B991" t="str">
        <f>"62600000"</f>
        <v>62600000</v>
      </c>
      <c r="C991" t="str">
        <f t="shared" si="55"/>
        <v>CLE626000000</v>
      </c>
      <c r="E991">
        <v>8569.5499999999993</v>
      </c>
      <c r="F991">
        <v>0</v>
      </c>
      <c r="G991">
        <f t="shared" si="56"/>
        <v>8569.5499999999993</v>
      </c>
    </row>
    <row r="992" spans="1:7">
      <c r="A992" t="str">
        <f t="shared" si="54"/>
        <v>CLE</v>
      </c>
      <c r="B992" t="str">
        <f>"62610000"</f>
        <v>62610000</v>
      </c>
      <c r="C992" t="str">
        <f t="shared" si="55"/>
        <v>CLE626100000</v>
      </c>
      <c r="E992">
        <v>1076.02</v>
      </c>
      <c r="F992">
        <v>0</v>
      </c>
      <c r="G992">
        <f t="shared" si="56"/>
        <v>1076.02</v>
      </c>
    </row>
    <row r="993" spans="1:7">
      <c r="A993" t="str">
        <f t="shared" si="54"/>
        <v>CLE</v>
      </c>
      <c r="B993" t="str">
        <f>"62630000"</f>
        <v>62630000</v>
      </c>
      <c r="C993" t="str">
        <f t="shared" si="55"/>
        <v>CLE626300000</v>
      </c>
      <c r="E993">
        <v>166</v>
      </c>
      <c r="F993">
        <v>0</v>
      </c>
      <c r="G993">
        <f t="shared" si="56"/>
        <v>166</v>
      </c>
    </row>
    <row r="994" spans="1:7">
      <c r="A994" t="str">
        <f t="shared" si="54"/>
        <v>CLE</v>
      </c>
      <c r="B994" t="str">
        <f>"62752000"</f>
        <v>62752000</v>
      </c>
      <c r="C994" t="str">
        <f t="shared" si="55"/>
        <v>CLE627520000</v>
      </c>
      <c r="E994">
        <v>341.4</v>
      </c>
      <c r="F994">
        <v>0</v>
      </c>
      <c r="G994">
        <f t="shared" si="56"/>
        <v>341.4</v>
      </c>
    </row>
    <row r="995" spans="1:7">
      <c r="A995" t="str">
        <f t="shared" si="54"/>
        <v>CLE</v>
      </c>
      <c r="B995" t="str">
        <f>"63330000"</f>
        <v>63330000</v>
      </c>
      <c r="C995" t="str">
        <f t="shared" si="55"/>
        <v>CLE633300000</v>
      </c>
      <c r="E995">
        <v>2008</v>
      </c>
      <c r="F995">
        <v>0</v>
      </c>
      <c r="G995">
        <f t="shared" si="56"/>
        <v>2008</v>
      </c>
    </row>
    <row r="996" spans="1:7">
      <c r="A996" t="str">
        <f t="shared" si="54"/>
        <v>CLE</v>
      </c>
      <c r="B996" t="str">
        <f>"63340000"</f>
        <v>63340000</v>
      </c>
      <c r="C996" t="str">
        <f t="shared" si="55"/>
        <v>CLE633400000</v>
      </c>
      <c r="E996">
        <v>1033</v>
      </c>
      <c r="F996">
        <v>0</v>
      </c>
      <c r="G996">
        <f t="shared" si="56"/>
        <v>1033</v>
      </c>
    </row>
    <row r="997" spans="1:7">
      <c r="A997" t="str">
        <f t="shared" si="54"/>
        <v>CLE</v>
      </c>
      <c r="B997" t="str">
        <f>"63350000"</f>
        <v>63350000</v>
      </c>
      <c r="C997" t="str">
        <f t="shared" si="55"/>
        <v>CLE633500000</v>
      </c>
      <c r="E997">
        <v>1562</v>
      </c>
      <c r="F997">
        <v>0</v>
      </c>
      <c r="G997">
        <f t="shared" si="56"/>
        <v>1562</v>
      </c>
    </row>
    <row r="998" spans="1:7">
      <c r="A998" t="str">
        <f t="shared" si="54"/>
        <v>CLE</v>
      </c>
      <c r="B998" t="str">
        <f>"63511000"</f>
        <v>63511000</v>
      </c>
      <c r="C998" t="str">
        <f t="shared" si="55"/>
        <v>CLE635110000</v>
      </c>
      <c r="E998">
        <v>0</v>
      </c>
      <c r="F998">
        <v>0</v>
      </c>
      <c r="G998">
        <f t="shared" si="56"/>
        <v>0</v>
      </c>
    </row>
    <row r="999" spans="1:7">
      <c r="A999" t="str">
        <f t="shared" si="54"/>
        <v>CLE</v>
      </c>
      <c r="B999" t="str">
        <f>"63512000"</f>
        <v>63512000</v>
      </c>
      <c r="C999" t="str">
        <f t="shared" si="55"/>
        <v>CLE635120000</v>
      </c>
      <c r="E999">
        <v>18681.64</v>
      </c>
      <c r="F999">
        <v>0</v>
      </c>
      <c r="G999">
        <f t="shared" si="56"/>
        <v>18681.64</v>
      </c>
    </row>
    <row r="1000" spans="1:7">
      <c r="A1000" t="str">
        <f t="shared" si="54"/>
        <v>CLE</v>
      </c>
      <c r="B1000" t="str">
        <f>"63514000"</f>
        <v>63514000</v>
      </c>
      <c r="C1000" t="str">
        <f t="shared" si="55"/>
        <v>CLE635140000</v>
      </c>
      <c r="E1000">
        <v>326</v>
      </c>
      <c r="F1000">
        <v>0</v>
      </c>
      <c r="G1000">
        <f t="shared" si="56"/>
        <v>326</v>
      </c>
    </row>
    <row r="1001" spans="1:7">
      <c r="A1001" t="str">
        <f t="shared" si="54"/>
        <v>CLE</v>
      </c>
      <c r="B1001" t="str">
        <f>"63530000"</f>
        <v>63530000</v>
      </c>
      <c r="C1001" t="str">
        <f t="shared" si="55"/>
        <v>CLE635300000</v>
      </c>
      <c r="E1001">
        <v>118</v>
      </c>
      <c r="F1001">
        <v>0</v>
      </c>
      <c r="G1001">
        <f t="shared" si="56"/>
        <v>118</v>
      </c>
    </row>
    <row r="1002" spans="1:7">
      <c r="A1002" t="str">
        <f t="shared" si="54"/>
        <v>CLE</v>
      </c>
      <c r="B1002" t="str">
        <f>"63540000"</f>
        <v>63540000</v>
      </c>
      <c r="C1002" t="str">
        <f t="shared" si="55"/>
        <v>CLE635400000</v>
      </c>
      <c r="E1002">
        <v>375</v>
      </c>
      <c r="F1002">
        <v>0</v>
      </c>
      <c r="G1002">
        <f t="shared" si="56"/>
        <v>375</v>
      </c>
    </row>
    <row r="1003" spans="1:7">
      <c r="A1003" t="str">
        <f t="shared" si="54"/>
        <v>CLE</v>
      </c>
      <c r="B1003" t="str">
        <f>"63710000"</f>
        <v>63710000</v>
      </c>
      <c r="C1003" t="str">
        <f t="shared" si="55"/>
        <v>CLE637100000</v>
      </c>
      <c r="E1003">
        <v>6568.56</v>
      </c>
      <c r="F1003">
        <v>0</v>
      </c>
      <c r="G1003">
        <f t="shared" si="56"/>
        <v>6568.56</v>
      </c>
    </row>
    <row r="1004" spans="1:7">
      <c r="A1004" t="str">
        <f t="shared" si="54"/>
        <v>CLE</v>
      </c>
      <c r="B1004" t="str">
        <f>"64110000"</f>
        <v>64110000</v>
      </c>
      <c r="C1004" t="str">
        <f t="shared" si="55"/>
        <v>CLE641100000</v>
      </c>
      <c r="E1004">
        <v>235559.59</v>
      </c>
      <c r="F1004">
        <v>12657.88</v>
      </c>
      <c r="G1004">
        <f t="shared" si="56"/>
        <v>222901.71</v>
      </c>
    </row>
    <row r="1005" spans="1:7">
      <c r="A1005" t="str">
        <f t="shared" ref="A1005:A1030" si="57">"CLE"</f>
        <v>CLE</v>
      </c>
      <c r="B1005" t="str">
        <f>"64111000"</f>
        <v>64111000</v>
      </c>
      <c r="C1005" t="str">
        <f t="shared" si="55"/>
        <v>CLE641110000</v>
      </c>
      <c r="E1005">
        <v>-2175</v>
      </c>
      <c r="F1005">
        <v>0</v>
      </c>
      <c r="G1005">
        <f t="shared" si="56"/>
        <v>-2175</v>
      </c>
    </row>
    <row r="1006" spans="1:7">
      <c r="A1006" t="str">
        <f t="shared" si="57"/>
        <v>CLE</v>
      </c>
      <c r="B1006" t="str">
        <f>"64111100"</f>
        <v>64111100</v>
      </c>
      <c r="C1006" t="str">
        <f t="shared" si="55"/>
        <v>CLE641111000</v>
      </c>
      <c r="E1006">
        <v>75</v>
      </c>
      <c r="F1006">
        <v>0</v>
      </c>
      <c r="G1006">
        <f t="shared" si="56"/>
        <v>75</v>
      </c>
    </row>
    <row r="1007" spans="1:7">
      <c r="A1007" t="str">
        <f t="shared" si="57"/>
        <v>CLE</v>
      </c>
      <c r="B1007" t="str">
        <f>"64120000"</f>
        <v>64120000</v>
      </c>
      <c r="C1007" t="str">
        <f t="shared" si="55"/>
        <v>CLE641200000</v>
      </c>
      <c r="E1007">
        <v>21913.41</v>
      </c>
      <c r="F1007">
        <v>20054.93</v>
      </c>
      <c r="G1007">
        <f t="shared" si="56"/>
        <v>1858.4799999999996</v>
      </c>
    </row>
    <row r="1008" spans="1:7">
      <c r="A1008" t="str">
        <f t="shared" si="57"/>
        <v>CLE</v>
      </c>
      <c r="B1008" t="str">
        <f>"64121000"</f>
        <v>64121000</v>
      </c>
      <c r="C1008" t="str">
        <f t="shared" si="55"/>
        <v>CLE641210000</v>
      </c>
      <c r="E1008">
        <v>8149.6</v>
      </c>
      <c r="F1008">
        <v>7640.93</v>
      </c>
      <c r="G1008">
        <f t="shared" si="56"/>
        <v>508.67000000000007</v>
      </c>
    </row>
    <row r="1009" spans="1:9">
      <c r="A1009" t="str">
        <f t="shared" si="57"/>
        <v>CLE</v>
      </c>
      <c r="B1009" t="str">
        <f>"64510000"</f>
        <v>64510000</v>
      </c>
      <c r="C1009" t="str">
        <f t="shared" si="55"/>
        <v>CLE645100000</v>
      </c>
      <c r="E1009">
        <v>54753.440000000002</v>
      </c>
      <c r="F1009">
        <v>5829.74</v>
      </c>
      <c r="G1009">
        <f t="shared" si="56"/>
        <v>48923.700000000004</v>
      </c>
    </row>
    <row r="1010" spans="1:9">
      <c r="A1010" t="str">
        <f t="shared" si="57"/>
        <v>CLE</v>
      </c>
      <c r="B1010" t="str">
        <f>"64520000"</f>
        <v>64520000</v>
      </c>
      <c r="C1010" t="str">
        <f t="shared" si="55"/>
        <v>CLE645200000</v>
      </c>
      <c r="E1010">
        <v>7156.79</v>
      </c>
      <c r="F1010">
        <v>0</v>
      </c>
      <c r="G1010">
        <f t="shared" si="56"/>
        <v>7156.79</v>
      </c>
    </row>
    <row r="1011" spans="1:9">
      <c r="A1011" t="str">
        <f t="shared" si="57"/>
        <v>CLE</v>
      </c>
      <c r="B1011" t="str">
        <f>"64530000"</f>
        <v>64530000</v>
      </c>
      <c r="C1011" t="str">
        <f t="shared" si="55"/>
        <v>CLE645300000</v>
      </c>
      <c r="E1011">
        <v>15824.3</v>
      </c>
      <c r="F1011">
        <v>132.80000000000001</v>
      </c>
      <c r="G1011">
        <f t="shared" si="56"/>
        <v>15691.5</v>
      </c>
    </row>
    <row r="1012" spans="1:9">
      <c r="A1012" t="str">
        <f t="shared" si="57"/>
        <v>CLE</v>
      </c>
      <c r="B1012" t="str">
        <f>"64540000"</f>
        <v>64540000</v>
      </c>
      <c r="C1012" t="str">
        <f t="shared" si="55"/>
        <v>CLE645400000</v>
      </c>
      <c r="E1012">
        <v>9861.58</v>
      </c>
      <c r="F1012">
        <v>97.73</v>
      </c>
      <c r="G1012">
        <f t="shared" si="56"/>
        <v>9763.85</v>
      </c>
    </row>
    <row r="1013" spans="1:9">
      <c r="A1013" t="str">
        <f t="shared" si="57"/>
        <v>CLE</v>
      </c>
      <c r="B1013" t="str">
        <f>"64590000"</f>
        <v>64590000</v>
      </c>
      <c r="C1013" t="str">
        <f t="shared" si="55"/>
        <v>CLE645900000</v>
      </c>
      <c r="E1013">
        <v>-842.74</v>
      </c>
      <c r="F1013">
        <v>0</v>
      </c>
      <c r="G1013">
        <f t="shared" si="56"/>
        <v>-842.74</v>
      </c>
    </row>
    <row r="1014" spans="1:9">
      <c r="A1014" t="str">
        <f t="shared" si="57"/>
        <v>CLE</v>
      </c>
      <c r="B1014" t="str">
        <f>"64710000"</f>
        <v>64710000</v>
      </c>
      <c r="C1014" t="str">
        <f t="shared" si="55"/>
        <v>CLE647100000</v>
      </c>
      <c r="E1014">
        <v>39.6</v>
      </c>
      <c r="F1014">
        <v>0</v>
      </c>
      <c r="G1014">
        <f t="shared" si="56"/>
        <v>39.6</v>
      </c>
    </row>
    <row r="1015" spans="1:9">
      <c r="A1015" t="str">
        <f t="shared" si="57"/>
        <v>CLE</v>
      </c>
      <c r="B1015" t="str">
        <f>"64740000"</f>
        <v>64740000</v>
      </c>
      <c r="C1015" t="str">
        <f t="shared" si="55"/>
        <v>CLE647400000</v>
      </c>
      <c r="E1015">
        <v>84.41</v>
      </c>
      <c r="F1015">
        <v>0</v>
      </c>
      <c r="G1015">
        <f t="shared" si="56"/>
        <v>84.41</v>
      </c>
    </row>
    <row r="1016" spans="1:9">
      <c r="A1016" t="str">
        <f t="shared" si="57"/>
        <v>CLE</v>
      </c>
      <c r="B1016" t="str">
        <f>"64750000"</f>
        <v>64750000</v>
      </c>
      <c r="C1016" t="str">
        <f t="shared" si="55"/>
        <v>CLE647500000</v>
      </c>
      <c r="E1016">
        <v>814</v>
      </c>
      <c r="F1016">
        <v>0</v>
      </c>
      <c r="G1016">
        <f t="shared" si="56"/>
        <v>814</v>
      </c>
    </row>
    <row r="1017" spans="1:9">
      <c r="A1017" t="str">
        <f t="shared" si="57"/>
        <v>CLE</v>
      </c>
      <c r="B1017" t="str">
        <f>"64800000"</f>
        <v>64800000</v>
      </c>
      <c r="C1017" t="str">
        <f t="shared" si="55"/>
        <v>CLE648000000</v>
      </c>
      <c r="E1017" s="19">
        <v>6291.8311200000007</v>
      </c>
      <c r="F1017">
        <v>0</v>
      </c>
      <c r="G1017" s="19">
        <f t="shared" si="56"/>
        <v>6291.8311200000007</v>
      </c>
      <c r="H1017" s="433">
        <v>5665.2211200000011</v>
      </c>
      <c r="I1017" s="113" t="s">
        <v>537</v>
      </c>
    </row>
    <row r="1018" spans="1:9">
      <c r="A1018" t="str">
        <f t="shared" si="57"/>
        <v>CLE</v>
      </c>
      <c r="B1018" t="str">
        <f>"65160000"</f>
        <v>65160000</v>
      </c>
      <c r="C1018" t="str">
        <f t="shared" si="55"/>
        <v>CLE651600000</v>
      </c>
      <c r="E1018">
        <v>849.37</v>
      </c>
      <c r="F1018">
        <v>0</v>
      </c>
      <c r="G1018">
        <f t="shared" si="56"/>
        <v>849.37</v>
      </c>
    </row>
    <row r="1019" spans="1:9">
      <c r="A1019" t="str">
        <f t="shared" si="57"/>
        <v>CLE</v>
      </c>
      <c r="B1019" t="str">
        <f>"65410000"</f>
        <v>65410000</v>
      </c>
      <c r="C1019" t="str">
        <f t="shared" si="55"/>
        <v>CLE654100000</v>
      </c>
      <c r="E1019">
        <v>-30.3</v>
      </c>
      <c r="F1019">
        <v>3.97</v>
      </c>
      <c r="G1019">
        <f t="shared" si="56"/>
        <v>-34.270000000000003</v>
      </c>
    </row>
    <row r="1020" spans="1:9">
      <c r="A1020" t="str">
        <f t="shared" si="57"/>
        <v>CLE</v>
      </c>
      <c r="B1020" t="str">
        <f>"65420000"</f>
        <v>65420000</v>
      </c>
      <c r="C1020" t="str">
        <f t="shared" si="55"/>
        <v>CLE654200000</v>
      </c>
      <c r="E1020">
        <v>9.56</v>
      </c>
      <c r="F1020">
        <v>0</v>
      </c>
      <c r="G1020">
        <f t="shared" si="56"/>
        <v>9.56</v>
      </c>
    </row>
    <row r="1021" spans="1:9">
      <c r="A1021" t="str">
        <f t="shared" si="57"/>
        <v>CLE</v>
      </c>
      <c r="B1021" t="str">
        <f>"65440000"</f>
        <v>65440000</v>
      </c>
      <c r="C1021" t="str">
        <f t="shared" si="55"/>
        <v>CLE654400000</v>
      </c>
      <c r="E1021">
        <v>0</v>
      </c>
      <c r="F1021">
        <v>0</v>
      </c>
      <c r="G1021">
        <f t="shared" si="56"/>
        <v>0</v>
      </c>
    </row>
    <row r="1022" spans="1:9">
      <c r="A1022" t="str">
        <f t="shared" si="57"/>
        <v>CLE</v>
      </c>
      <c r="B1022" t="str">
        <f>"66500000"</f>
        <v>66500000</v>
      </c>
      <c r="C1022" t="str">
        <f t="shared" si="55"/>
        <v>CLE665000000</v>
      </c>
      <c r="E1022">
        <v>33.82</v>
      </c>
      <c r="F1022">
        <v>0</v>
      </c>
      <c r="G1022">
        <f t="shared" si="56"/>
        <v>33.82</v>
      </c>
    </row>
    <row r="1023" spans="1:9">
      <c r="A1023" t="str">
        <f t="shared" si="57"/>
        <v>CLE</v>
      </c>
      <c r="B1023" t="str">
        <f>"66510000"</f>
        <v>66510000</v>
      </c>
      <c r="C1023" t="str">
        <f t="shared" si="55"/>
        <v>CLE665100000</v>
      </c>
      <c r="E1023">
        <v>42.31</v>
      </c>
      <c r="F1023">
        <v>0</v>
      </c>
      <c r="G1023">
        <f t="shared" si="56"/>
        <v>42.31</v>
      </c>
    </row>
    <row r="1024" spans="1:9">
      <c r="A1024" t="str">
        <f t="shared" si="57"/>
        <v>CLE</v>
      </c>
      <c r="B1024" t="str">
        <f>"67180000"</f>
        <v>67180000</v>
      </c>
      <c r="C1024" t="str">
        <f t="shared" si="55"/>
        <v>CLE671800000</v>
      </c>
      <c r="E1024">
        <v>1889.22</v>
      </c>
      <c r="F1024">
        <v>0</v>
      </c>
      <c r="G1024">
        <f t="shared" si="56"/>
        <v>1889.22</v>
      </c>
    </row>
    <row r="1025" spans="1:7">
      <c r="A1025" t="str">
        <f t="shared" si="57"/>
        <v>CLE</v>
      </c>
      <c r="B1025" t="str">
        <f>"67510000"</f>
        <v>67510000</v>
      </c>
      <c r="C1025" t="str">
        <f t="shared" si="55"/>
        <v>CLE675100000</v>
      </c>
      <c r="E1025">
        <v>366.22</v>
      </c>
      <c r="F1025">
        <v>0</v>
      </c>
      <c r="G1025">
        <f t="shared" si="56"/>
        <v>366.22</v>
      </c>
    </row>
    <row r="1026" spans="1:7">
      <c r="A1026" t="str">
        <f t="shared" si="57"/>
        <v>CLE</v>
      </c>
      <c r="B1026" t="str">
        <f>"68111000"</f>
        <v>68111000</v>
      </c>
      <c r="C1026" t="str">
        <f t="shared" si="55"/>
        <v>CLE681110000</v>
      </c>
      <c r="E1026">
        <v>0.89</v>
      </c>
      <c r="F1026">
        <v>0</v>
      </c>
      <c r="G1026">
        <f t="shared" si="56"/>
        <v>0.89</v>
      </c>
    </row>
    <row r="1027" spans="1:7">
      <c r="A1027" t="str">
        <f t="shared" si="57"/>
        <v>CLE</v>
      </c>
      <c r="B1027" t="str">
        <f>"68112000"</f>
        <v>68112000</v>
      </c>
      <c r="C1027" t="str">
        <f t="shared" ref="C1027:C1090" si="58">+A1027&amp;B1027*10</f>
        <v>CLE681120000</v>
      </c>
      <c r="E1027">
        <v>10149.32</v>
      </c>
      <c r="F1027">
        <v>0</v>
      </c>
      <c r="G1027">
        <f t="shared" ref="G1027:G1090" si="59">+E1027-F1027</f>
        <v>10149.32</v>
      </c>
    </row>
    <row r="1028" spans="1:7">
      <c r="A1028" t="str">
        <f t="shared" si="57"/>
        <v>CLE</v>
      </c>
      <c r="B1028" t="str">
        <f>"68173000"</f>
        <v>68173000</v>
      </c>
      <c r="C1028" t="str">
        <f t="shared" si="58"/>
        <v>CLE681730000</v>
      </c>
      <c r="E1028">
        <v>10873.73</v>
      </c>
      <c r="F1028">
        <v>0</v>
      </c>
      <c r="G1028">
        <f t="shared" si="59"/>
        <v>10873.73</v>
      </c>
    </row>
    <row r="1029" spans="1:7">
      <c r="A1029" t="str">
        <f t="shared" si="57"/>
        <v>CLE</v>
      </c>
      <c r="B1029" t="str">
        <f>"68174000"</f>
        <v>68174000</v>
      </c>
      <c r="C1029" t="str">
        <f t="shared" si="58"/>
        <v>CLE681740000</v>
      </c>
      <c r="E1029">
        <v>25496.07</v>
      </c>
      <c r="F1029">
        <v>0</v>
      </c>
      <c r="G1029">
        <f t="shared" si="59"/>
        <v>25496.07</v>
      </c>
    </row>
    <row r="1030" spans="1:7">
      <c r="A1030" t="str">
        <f t="shared" si="57"/>
        <v>CLE</v>
      </c>
      <c r="B1030" t="str">
        <f>"68725000"</f>
        <v>68725000</v>
      </c>
      <c r="C1030" t="str">
        <f t="shared" si="58"/>
        <v>CLE687250000</v>
      </c>
      <c r="E1030">
        <v>550.17999999999995</v>
      </c>
      <c r="F1030">
        <v>0</v>
      </c>
      <c r="G1030">
        <f t="shared" si="59"/>
        <v>550.17999999999995</v>
      </c>
    </row>
    <row r="1031" spans="1:7">
      <c r="A1031" t="str">
        <f t="shared" ref="A1031:A1094" si="60">"COM"</f>
        <v>COM</v>
      </c>
      <c r="B1031" t="str">
        <f>"60610000"</f>
        <v>60610000</v>
      </c>
      <c r="C1031" t="str">
        <f t="shared" si="58"/>
        <v>COM606100000</v>
      </c>
      <c r="E1031">
        <v>476.95</v>
      </c>
      <c r="F1031">
        <v>0</v>
      </c>
      <c r="G1031">
        <f t="shared" si="59"/>
        <v>476.95</v>
      </c>
    </row>
    <row r="1032" spans="1:7">
      <c r="A1032" t="str">
        <f t="shared" si="60"/>
        <v>COM</v>
      </c>
      <c r="B1032" t="str">
        <f>"60613000"</f>
        <v>60613000</v>
      </c>
      <c r="C1032" t="str">
        <f t="shared" si="58"/>
        <v>COM606130000</v>
      </c>
      <c r="E1032">
        <v>2012.77</v>
      </c>
      <c r="F1032">
        <v>0</v>
      </c>
      <c r="G1032">
        <f t="shared" si="59"/>
        <v>2012.77</v>
      </c>
    </row>
    <row r="1033" spans="1:7">
      <c r="A1033" t="str">
        <f t="shared" si="60"/>
        <v>COM</v>
      </c>
      <c r="B1033" t="str">
        <f>"60641000"</f>
        <v>60641000</v>
      </c>
      <c r="C1033" t="str">
        <f t="shared" si="58"/>
        <v>COM606410000</v>
      </c>
      <c r="E1033">
        <v>1728.49</v>
      </c>
      <c r="F1033">
        <v>0</v>
      </c>
      <c r="G1033">
        <f t="shared" si="59"/>
        <v>1728.49</v>
      </c>
    </row>
    <row r="1034" spans="1:7">
      <c r="A1034" t="str">
        <f t="shared" si="60"/>
        <v>COM</v>
      </c>
      <c r="B1034" t="str">
        <f>"60710000"</f>
        <v>60710000</v>
      </c>
      <c r="C1034" t="str">
        <f t="shared" si="58"/>
        <v>COM607100000</v>
      </c>
      <c r="E1034">
        <v>267866.34999999998</v>
      </c>
      <c r="F1034">
        <v>1394.7</v>
      </c>
      <c r="G1034">
        <f t="shared" si="59"/>
        <v>266471.64999999997</v>
      </c>
    </row>
    <row r="1035" spans="1:7">
      <c r="A1035" t="str">
        <f t="shared" si="60"/>
        <v>COM</v>
      </c>
      <c r="B1035" t="str">
        <f>"60711000"</f>
        <v>60711000</v>
      </c>
      <c r="C1035" t="str">
        <f t="shared" si="58"/>
        <v>COM607110000</v>
      </c>
      <c r="E1035">
        <v>84103.48</v>
      </c>
      <c r="F1035">
        <v>0</v>
      </c>
      <c r="G1035">
        <f t="shared" si="59"/>
        <v>84103.48</v>
      </c>
    </row>
    <row r="1036" spans="1:7">
      <c r="A1036" t="str">
        <f t="shared" si="60"/>
        <v>COM</v>
      </c>
      <c r="B1036" t="str">
        <f>"60712000"</f>
        <v>60712000</v>
      </c>
      <c r="C1036" t="str">
        <f t="shared" si="58"/>
        <v>COM607120000</v>
      </c>
      <c r="E1036">
        <v>-4925.3</v>
      </c>
      <c r="F1036">
        <v>0</v>
      </c>
      <c r="G1036">
        <f t="shared" si="59"/>
        <v>-4925.3</v>
      </c>
    </row>
    <row r="1037" spans="1:7">
      <c r="A1037" t="str">
        <f t="shared" si="60"/>
        <v>COM</v>
      </c>
      <c r="B1037" t="str">
        <f>"60713000"</f>
        <v>60713000</v>
      </c>
      <c r="C1037" t="str">
        <f t="shared" si="58"/>
        <v>COM607130000</v>
      </c>
      <c r="E1037">
        <v>41541</v>
      </c>
      <c r="F1037">
        <v>0</v>
      </c>
      <c r="G1037">
        <f t="shared" si="59"/>
        <v>41541</v>
      </c>
    </row>
    <row r="1038" spans="1:7">
      <c r="A1038" t="str">
        <f t="shared" si="60"/>
        <v>COM</v>
      </c>
      <c r="B1038" t="str">
        <f>"60714000"</f>
        <v>60714000</v>
      </c>
      <c r="C1038" t="str">
        <f t="shared" si="58"/>
        <v>COM607140000</v>
      </c>
      <c r="E1038">
        <v>-82537</v>
      </c>
      <c r="F1038">
        <v>0</v>
      </c>
      <c r="G1038">
        <f t="shared" si="59"/>
        <v>-82537</v>
      </c>
    </row>
    <row r="1039" spans="1:7">
      <c r="A1039" t="str">
        <f t="shared" si="60"/>
        <v>COM</v>
      </c>
      <c r="B1039" t="str">
        <f>"60720000"</f>
        <v>60720000</v>
      </c>
      <c r="C1039" t="str">
        <f t="shared" si="58"/>
        <v>COM607200000</v>
      </c>
      <c r="E1039">
        <v>174445.2</v>
      </c>
      <c r="F1039">
        <v>0</v>
      </c>
      <c r="G1039">
        <f t="shared" si="59"/>
        <v>174445.2</v>
      </c>
    </row>
    <row r="1040" spans="1:7">
      <c r="A1040" t="str">
        <f t="shared" si="60"/>
        <v>COM</v>
      </c>
      <c r="B1040" t="str">
        <f>"60740000"</f>
        <v>60740000</v>
      </c>
      <c r="C1040" t="str">
        <f t="shared" si="58"/>
        <v>COM607400000</v>
      </c>
      <c r="E1040">
        <v>6573.3</v>
      </c>
      <c r="F1040">
        <v>0</v>
      </c>
      <c r="G1040">
        <f t="shared" si="59"/>
        <v>6573.3</v>
      </c>
    </row>
    <row r="1041" spans="1:7">
      <c r="A1041" t="str">
        <f t="shared" si="60"/>
        <v>COM</v>
      </c>
      <c r="B1041" t="str">
        <f>"60800000"</f>
        <v>60800000</v>
      </c>
      <c r="C1041" t="str">
        <f t="shared" si="58"/>
        <v>COM608000000</v>
      </c>
      <c r="E1041">
        <v>1576.28</v>
      </c>
      <c r="F1041">
        <v>0</v>
      </c>
      <c r="G1041">
        <f t="shared" si="59"/>
        <v>1576.28</v>
      </c>
    </row>
    <row r="1042" spans="1:7">
      <c r="A1042" t="str">
        <f t="shared" si="60"/>
        <v>COM</v>
      </c>
      <c r="B1042" t="str">
        <f>"60911000"</f>
        <v>60911000</v>
      </c>
      <c r="C1042" t="str">
        <f t="shared" si="58"/>
        <v>COM609110000</v>
      </c>
      <c r="E1042">
        <v>-5782.83</v>
      </c>
      <c r="F1042">
        <v>0</v>
      </c>
      <c r="G1042">
        <f t="shared" si="59"/>
        <v>-5782.83</v>
      </c>
    </row>
    <row r="1043" spans="1:7">
      <c r="A1043" t="str">
        <f t="shared" si="60"/>
        <v>COM</v>
      </c>
      <c r="B1043" t="str">
        <f>"60912000"</f>
        <v>60912000</v>
      </c>
      <c r="C1043" t="str">
        <f t="shared" si="58"/>
        <v>COM609120000</v>
      </c>
      <c r="E1043">
        <v>-11880.26</v>
      </c>
      <c r="F1043">
        <v>0</v>
      </c>
      <c r="G1043">
        <f t="shared" si="59"/>
        <v>-11880.26</v>
      </c>
    </row>
    <row r="1044" spans="1:7">
      <c r="A1044" t="str">
        <f t="shared" si="60"/>
        <v>COM</v>
      </c>
      <c r="B1044" t="str">
        <f>"60913000"</f>
        <v>60913000</v>
      </c>
      <c r="C1044" t="str">
        <f t="shared" si="58"/>
        <v>COM609130000</v>
      </c>
      <c r="E1044">
        <v>-6788.72</v>
      </c>
      <c r="F1044">
        <v>0</v>
      </c>
      <c r="G1044">
        <f t="shared" si="59"/>
        <v>-6788.72</v>
      </c>
    </row>
    <row r="1045" spans="1:7">
      <c r="A1045" t="str">
        <f t="shared" si="60"/>
        <v>COM</v>
      </c>
      <c r="B1045" t="str">
        <f>"61100000"</f>
        <v>61100000</v>
      </c>
      <c r="C1045" t="str">
        <f t="shared" si="58"/>
        <v>COM611000000</v>
      </c>
      <c r="E1045">
        <v>0</v>
      </c>
      <c r="F1045">
        <v>0</v>
      </c>
      <c r="G1045">
        <f t="shared" si="59"/>
        <v>0</v>
      </c>
    </row>
    <row r="1046" spans="1:7">
      <c r="A1046" t="str">
        <f t="shared" si="60"/>
        <v>COM</v>
      </c>
      <c r="B1046" t="str">
        <f>"61320000"</f>
        <v>61320000</v>
      </c>
      <c r="C1046" t="str">
        <f t="shared" si="58"/>
        <v>COM613200000</v>
      </c>
      <c r="E1046">
        <v>16576.439999999999</v>
      </c>
      <c r="F1046">
        <v>0</v>
      </c>
      <c r="G1046">
        <f t="shared" si="59"/>
        <v>16576.439999999999</v>
      </c>
    </row>
    <row r="1047" spans="1:7">
      <c r="A1047" t="str">
        <f t="shared" si="60"/>
        <v>COM</v>
      </c>
      <c r="B1047" t="str">
        <f>"61352000"</f>
        <v>61352000</v>
      </c>
      <c r="C1047" t="str">
        <f t="shared" si="58"/>
        <v>COM613520000</v>
      </c>
      <c r="E1047">
        <v>5692.44</v>
      </c>
      <c r="F1047">
        <v>0</v>
      </c>
      <c r="G1047">
        <f t="shared" si="59"/>
        <v>5692.44</v>
      </c>
    </row>
    <row r="1048" spans="1:7">
      <c r="A1048" t="str">
        <f t="shared" si="60"/>
        <v>COM</v>
      </c>
      <c r="B1048" t="str">
        <f>"61353000"</f>
        <v>61353000</v>
      </c>
      <c r="C1048" t="str">
        <f t="shared" si="58"/>
        <v>COM613530000</v>
      </c>
      <c r="E1048">
        <v>540</v>
      </c>
      <c r="F1048">
        <v>0</v>
      </c>
      <c r="G1048">
        <f t="shared" si="59"/>
        <v>540</v>
      </c>
    </row>
    <row r="1049" spans="1:7">
      <c r="A1049" t="str">
        <f t="shared" si="60"/>
        <v>COM</v>
      </c>
      <c r="B1049" t="str">
        <f>"61354000"</f>
        <v>61354000</v>
      </c>
      <c r="C1049" t="str">
        <f t="shared" si="58"/>
        <v>COM613540000</v>
      </c>
      <c r="E1049">
        <v>585</v>
      </c>
      <c r="F1049">
        <v>0</v>
      </c>
      <c r="G1049">
        <f t="shared" si="59"/>
        <v>585</v>
      </c>
    </row>
    <row r="1050" spans="1:7">
      <c r="A1050" t="str">
        <f t="shared" si="60"/>
        <v>COM</v>
      </c>
      <c r="B1050" t="str">
        <f>"61520000"</f>
        <v>61520000</v>
      </c>
      <c r="C1050" t="str">
        <f t="shared" si="58"/>
        <v>COM615200000</v>
      </c>
      <c r="E1050">
        <v>3059.69</v>
      </c>
      <c r="F1050">
        <v>0</v>
      </c>
      <c r="G1050">
        <f t="shared" si="59"/>
        <v>3059.69</v>
      </c>
    </row>
    <row r="1051" spans="1:7">
      <c r="A1051" t="str">
        <f t="shared" si="60"/>
        <v>COM</v>
      </c>
      <c r="B1051" t="str">
        <f>"61550000"</f>
        <v>61550000</v>
      </c>
      <c r="C1051" t="str">
        <f t="shared" si="58"/>
        <v>COM615500000</v>
      </c>
      <c r="E1051">
        <v>0</v>
      </c>
      <c r="F1051">
        <v>-571.58000000000004</v>
      </c>
      <c r="G1051">
        <f t="shared" si="59"/>
        <v>571.58000000000004</v>
      </c>
    </row>
    <row r="1052" spans="1:7">
      <c r="A1052" t="str">
        <f t="shared" si="60"/>
        <v>COM</v>
      </c>
      <c r="B1052" t="str">
        <f>"61551000"</f>
        <v>61551000</v>
      </c>
      <c r="C1052" t="str">
        <f t="shared" si="58"/>
        <v>COM615510000</v>
      </c>
      <c r="E1052">
        <v>78</v>
      </c>
      <c r="F1052">
        <v>0</v>
      </c>
      <c r="G1052">
        <f t="shared" si="59"/>
        <v>78</v>
      </c>
    </row>
    <row r="1053" spans="1:7">
      <c r="A1053" t="str">
        <f t="shared" si="60"/>
        <v>COM</v>
      </c>
      <c r="B1053" t="str">
        <f>"61552000"</f>
        <v>61552000</v>
      </c>
      <c r="C1053" t="str">
        <f t="shared" si="58"/>
        <v>COM615520000</v>
      </c>
      <c r="E1053">
        <v>10346.49</v>
      </c>
      <c r="F1053">
        <v>0</v>
      </c>
      <c r="G1053">
        <f t="shared" si="59"/>
        <v>10346.49</v>
      </c>
    </row>
    <row r="1054" spans="1:7">
      <c r="A1054" t="str">
        <f t="shared" si="60"/>
        <v>COM</v>
      </c>
      <c r="B1054" t="str">
        <f>"61612000"</f>
        <v>61612000</v>
      </c>
      <c r="C1054" t="str">
        <f t="shared" si="58"/>
        <v>COM616120000</v>
      </c>
      <c r="E1054">
        <v>1219.82</v>
      </c>
      <c r="F1054">
        <v>0</v>
      </c>
      <c r="G1054">
        <f t="shared" si="59"/>
        <v>1219.82</v>
      </c>
    </row>
    <row r="1055" spans="1:7">
      <c r="A1055" t="str">
        <f t="shared" si="60"/>
        <v>COM</v>
      </c>
      <c r="B1055" t="str">
        <f>"61613000"</f>
        <v>61613000</v>
      </c>
      <c r="C1055" t="str">
        <f t="shared" si="58"/>
        <v>COM616130000</v>
      </c>
      <c r="E1055">
        <v>2533.2600000000002</v>
      </c>
      <c r="F1055">
        <v>0</v>
      </c>
      <c r="G1055">
        <f t="shared" si="59"/>
        <v>2533.2600000000002</v>
      </c>
    </row>
    <row r="1056" spans="1:7">
      <c r="A1056" t="str">
        <f t="shared" si="60"/>
        <v>COM</v>
      </c>
      <c r="B1056" t="str">
        <f>"61810000"</f>
        <v>61810000</v>
      </c>
      <c r="C1056" t="str">
        <f t="shared" si="58"/>
        <v>COM618100000</v>
      </c>
      <c r="E1056">
        <v>93.5</v>
      </c>
      <c r="F1056">
        <v>0</v>
      </c>
      <c r="G1056">
        <f t="shared" si="59"/>
        <v>93.5</v>
      </c>
    </row>
    <row r="1057" spans="1:7">
      <c r="A1057" t="str">
        <f t="shared" si="60"/>
        <v>COM</v>
      </c>
      <c r="B1057" t="str">
        <f>"61850000"</f>
        <v>61850000</v>
      </c>
      <c r="C1057" t="str">
        <f t="shared" si="58"/>
        <v>COM618500000</v>
      </c>
      <c r="E1057">
        <v>134.51</v>
      </c>
      <c r="F1057">
        <v>0</v>
      </c>
      <c r="G1057">
        <f t="shared" si="59"/>
        <v>134.51</v>
      </c>
    </row>
    <row r="1058" spans="1:7">
      <c r="A1058" t="str">
        <f t="shared" si="60"/>
        <v>COM</v>
      </c>
      <c r="B1058" t="str">
        <f>"62270000"</f>
        <v>62270000</v>
      </c>
      <c r="C1058" t="str">
        <f t="shared" si="58"/>
        <v>COM622700000</v>
      </c>
      <c r="E1058">
        <v>54.2</v>
      </c>
      <c r="F1058">
        <v>0</v>
      </c>
      <c r="G1058">
        <f t="shared" si="59"/>
        <v>54.2</v>
      </c>
    </row>
    <row r="1059" spans="1:7">
      <c r="A1059" t="str">
        <f t="shared" si="60"/>
        <v>COM</v>
      </c>
      <c r="B1059" t="str">
        <f>"62310000"</f>
        <v>62310000</v>
      </c>
      <c r="C1059" t="str">
        <f t="shared" si="58"/>
        <v>COM623100000</v>
      </c>
      <c r="E1059">
        <v>774.3</v>
      </c>
      <c r="F1059">
        <v>0</v>
      </c>
      <c r="G1059">
        <f t="shared" si="59"/>
        <v>774.3</v>
      </c>
    </row>
    <row r="1060" spans="1:7">
      <c r="A1060" t="str">
        <f t="shared" si="60"/>
        <v>COM</v>
      </c>
      <c r="B1060" t="str">
        <f>"62320000"</f>
        <v>62320000</v>
      </c>
      <c r="C1060" t="str">
        <f t="shared" si="58"/>
        <v>COM623200000</v>
      </c>
      <c r="E1060">
        <v>3446.37</v>
      </c>
      <c r="F1060">
        <v>0</v>
      </c>
      <c r="G1060">
        <f t="shared" si="59"/>
        <v>3446.37</v>
      </c>
    </row>
    <row r="1061" spans="1:7">
      <c r="A1061" t="str">
        <f t="shared" si="60"/>
        <v>COM</v>
      </c>
      <c r="B1061" t="str">
        <f>"62330000"</f>
        <v>62330000</v>
      </c>
      <c r="C1061" t="str">
        <f t="shared" si="58"/>
        <v>COM623300000</v>
      </c>
      <c r="E1061">
        <v>130.91999999999999</v>
      </c>
      <c r="F1061">
        <v>0</v>
      </c>
      <c r="G1061">
        <f t="shared" si="59"/>
        <v>130.91999999999999</v>
      </c>
    </row>
    <row r="1062" spans="1:7">
      <c r="A1062" t="str">
        <f t="shared" si="60"/>
        <v>COM</v>
      </c>
      <c r="B1062" t="str">
        <f>"62341000"</f>
        <v>62341000</v>
      </c>
      <c r="C1062" t="str">
        <f t="shared" si="58"/>
        <v>COM623410000</v>
      </c>
      <c r="E1062">
        <v>17176.21</v>
      </c>
      <c r="F1062">
        <v>0</v>
      </c>
      <c r="G1062">
        <f t="shared" si="59"/>
        <v>17176.21</v>
      </c>
    </row>
    <row r="1063" spans="1:7">
      <c r="A1063" t="str">
        <f t="shared" si="60"/>
        <v>COM</v>
      </c>
      <c r="B1063" t="str">
        <f>"62342000"</f>
        <v>62342000</v>
      </c>
      <c r="C1063" t="str">
        <f t="shared" si="58"/>
        <v>COM623420000</v>
      </c>
      <c r="E1063">
        <v>-195.75</v>
      </c>
      <c r="F1063">
        <v>0</v>
      </c>
      <c r="G1063">
        <f t="shared" si="59"/>
        <v>-195.75</v>
      </c>
    </row>
    <row r="1064" spans="1:7">
      <c r="A1064" t="str">
        <f t="shared" si="60"/>
        <v>COM</v>
      </c>
      <c r="B1064" t="str">
        <f>"62370000"</f>
        <v>62370000</v>
      </c>
      <c r="C1064" t="str">
        <f t="shared" si="58"/>
        <v>COM623700000</v>
      </c>
      <c r="E1064">
        <v>615.33000000000004</v>
      </c>
      <c r="F1064">
        <v>-221.9</v>
      </c>
      <c r="G1064">
        <f t="shared" si="59"/>
        <v>837.23</v>
      </c>
    </row>
    <row r="1065" spans="1:7">
      <c r="A1065" t="str">
        <f t="shared" si="60"/>
        <v>COM</v>
      </c>
      <c r="B1065" t="str">
        <f>"62380000"</f>
        <v>62380000</v>
      </c>
      <c r="C1065" t="str">
        <f t="shared" si="58"/>
        <v>COM623800000</v>
      </c>
      <c r="E1065">
        <v>20</v>
      </c>
      <c r="F1065">
        <v>0</v>
      </c>
      <c r="G1065">
        <f t="shared" si="59"/>
        <v>20</v>
      </c>
    </row>
    <row r="1066" spans="1:7">
      <c r="A1066" t="str">
        <f t="shared" si="60"/>
        <v>COM</v>
      </c>
      <c r="B1066" t="str">
        <f>"62381000"</f>
        <v>62381000</v>
      </c>
      <c r="C1066" t="str">
        <f t="shared" si="58"/>
        <v>COM623810000</v>
      </c>
      <c r="E1066">
        <v>0</v>
      </c>
      <c r="F1066">
        <v>0</v>
      </c>
      <c r="G1066">
        <f t="shared" si="59"/>
        <v>0</v>
      </c>
    </row>
    <row r="1067" spans="1:7">
      <c r="A1067" t="str">
        <f t="shared" si="60"/>
        <v>COM</v>
      </c>
      <c r="B1067" t="str">
        <f>"62420000"</f>
        <v>62420000</v>
      </c>
      <c r="C1067" t="str">
        <f t="shared" si="58"/>
        <v>COM624200000</v>
      </c>
      <c r="E1067">
        <v>9079.34</v>
      </c>
      <c r="F1067">
        <v>0</v>
      </c>
      <c r="G1067">
        <f t="shared" si="59"/>
        <v>9079.34</v>
      </c>
    </row>
    <row r="1068" spans="1:7">
      <c r="A1068" t="str">
        <f t="shared" si="60"/>
        <v>COM</v>
      </c>
      <c r="B1068" t="str">
        <f>"62510000"</f>
        <v>62510000</v>
      </c>
      <c r="C1068" t="str">
        <f t="shared" si="58"/>
        <v>COM625100000</v>
      </c>
      <c r="E1068">
        <v>14968.57</v>
      </c>
      <c r="F1068">
        <v>0</v>
      </c>
      <c r="G1068">
        <f t="shared" si="59"/>
        <v>14968.57</v>
      </c>
    </row>
    <row r="1069" spans="1:7">
      <c r="A1069" t="str">
        <f t="shared" si="60"/>
        <v>COM</v>
      </c>
      <c r="B1069" t="str">
        <f>"62520000"</f>
        <v>62520000</v>
      </c>
      <c r="C1069" t="str">
        <f t="shared" si="58"/>
        <v>COM625200000</v>
      </c>
      <c r="E1069">
        <v>2068.9899999999998</v>
      </c>
      <c r="F1069">
        <v>0</v>
      </c>
      <c r="G1069">
        <f t="shared" si="59"/>
        <v>2068.9899999999998</v>
      </c>
    </row>
    <row r="1070" spans="1:7">
      <c r="A1070" t="str">
        <f t="shared" si="60"/>
        <v>COM</v>
      </c>
      <c r="B1070" t="str">
        <f>"62560000"</f>
        <v>62560000</v>
      </c>
      <c r="C1070" t="str">
        <f t="shared" si="58"/>
        <v>COM625600000</v>
      </c>
      <c r="E1070">
        <v>25.23</v>
      </c>
      <c r="F1070">
        <v>0</v>
      </c>
      <c r="G1070">
        <f t="shared" si="59"/>
        <v>25.23</v>
      </c>
    </row>
    <row r="1071" spans="1:7">
      <c r="A1071" t="str">
        <f t="shared" si="60"/>
        <v>COM</v>
      </c>
      <c r="B1071" t="str">
        <f>"62570000"</f>
        <v>62570000</v>
      </c>
      <c r="C1071" t="str">
        <f t="shared" si="58"/>
        <v>COM625700000</v>
      </c>
      <c r="E1071">
        <v>222.34</v>
      </c>
      <c r="F1071">
        <v>0</v>
      </c>
      <c r="G1071">
        <f t="shared" si="59"/>
        <v>222.34</v>
      </c>
    </row>
    <row r="1072" spans="1:7">
      <c r="A1072" t="str">
        <f t="shared" si="60"/>
        <v>COM</v>
      </c>
      <c r="B1072" t="str">
        <f>"62571000"</f>
        <v>62571000</v>
      </c>
      <c r="C1072" t="str">
        <f t="shared" si="58"/>
        <v>COM625710000</v>
      </c>
      <c r="E1072">
        <v>3766.29</v>
      </c>
      <c r="F1072">
        <v>0</v>
      </c>
      <c r="G1072">
        <f t="shared" si="59"/>
        <v>3766.29</v>
      </c>
    </row>
    <row r="1073" spans="1:7">
      <c r="A1073" t="str">
        <f t="shared" si="60"/>
        <v>COM</v>
      </c>
      <c r="B1073" t="str">
        <f>"62600000"</f>
        <v>62600000</v>
      </c>
      <c r="C1073" t="str">
        <f t="shared" si="58"/>
        <v>COM626000000</v>
      </c>
      <c r="E1073">
        <v>3814.2</v>
      </c>
      <c r="F1073">
        <v>0</v>
      </c>
      <c r="G1073">
        <f t="shared" si="59"/>
        <v>3814.2</v>
      </c>
    </row>
    <row r="1074" spans="1:7">
      <c r="A1074" t="str">
        <f t="shared" si="60"/>
        <v>COM</v>
      </c>
      <c r="B1074" t="str">
        <f>"62610000"</f>
        <v>62610000</v>
      </c>
      <c r="C1074" t="str">
        <f t="shared" si="58"/>
        <v>COM626100000</v>
      </c>
      <c r="E1074">
        <v>512.5</v>
      </c>
      <c r="F1074">
        <v>0</v>
      </c>
      <c r="G1074">
        <f t="shared" si="59"/>
        <v>512.5</v>
      </c>
    </row>
    <row r="1075" spans="1:7">
      <c r="A1075" t="str">
        <f t="shared" si="60"/>
        <v>COM</v>
      </c>
      <c r="B1075" t="str">
        <f>"62752000"</f>
        <v>62752000</v>
      </c>
      <c r="C1075" t="str">
        <f t="shared" si="58"/>
        <v>COM627520000</v>
      </c>
      <c r="E1075">
        <v>36</v>
      </c>
      <c r="F1075">
        <v>0</v>
      </c>
      <c r="G1075">
        <f t="shared" si="59"/>
        <v>36</v>
      </c>
    </row>
    <row r="1076" spans="1:7">
      <c r="A1076" t="str">
        <f t="shared" si="60"/>
        <v>COM</v>
      </c>
      <c r="B1076" t="str">
        <f>"63330000"</f>
        <v>63330000</v>
      </c>
      <c r="C1076" t="str">
        <f t="shared" si="58"/>
        <v>COM633300000</v>
      </c>
      <c r="E1076">
        <v>706</v>
      </c>
      <c r="F1076">
        <v>0</v>
      </c>
      <c r="G1076">
        <f t="shared" si="59"/>
        <v>706</v>
      </c>
    </row>
    <row r="1077" spans="1:7">
      <c r="A1077" t="str">
        <f t="shared" si="60"/>
        <v>COM</v>
      </c>
      <c r="B1077" t="str">
        <f>"63340000"</f>
        <v>63340000</v>
      </c>
      <c r="C1077" t="str">
        <f t="shared" si="58"/>
        <v>COM633400000</v>
      </c>
      <c r="E1077">
        <v>389</v>
      </c>
      <c r="F1077">
        <v>0</v>
      </c>
      <c r="G1077">
        <f t="shared" si="59"/>
        <v>389</v>
      </c>
    </row>
    <row r="1078" spans="1:7">
      <c r="A1078" t="str">
        <f t="shared" si="60"/>
        <v>COM</v>
      </c>
      <c r="B1078" t="str">
        <f>"63350000"</f>
        <v>63350000</v>
      </c>
      <c r="C1078" t="str">
        <f t="shared" si="58"/>
        <v>COM633500000</v>
      </c>
      <c r="E1078">
        <v>588</v>
      </c>
      <c r="F1078">
        <v>0</v>
      </c>
      <c r="G1078">
        <f t="shared" si="59"/>
        <v>588</v>
      </c>
    </row>
    <row r="1079" spans="1:7">
      <c r="A1079" t="str">
        <f t="shared" si="60"/>
        <v>COM</v>
      </c>
      <c r="B1079" t="str">
        <f>"63511000"</f>
        <v>63511000</v>
      </c>
      <c r="C1079" t="str">
        <f t="shared" si="58"/>
        <v>COM635110000</v>
      </c>
      <c r="E1079">
        <v>4014</v>
      </c>
      <c r="F1079">
        <v>0</v>
      </c>
      <c r="G1079">
        <f t="shared" si="59"/>
        <v>4014</v>
      </c>
    </row>
    <row r="1080" spans="1:7">
      <c r="A1080" t="str">
        <f t="shared" si="60"/>
        <v>COM</v>
      </c>
      <c r="B1080" t="str">
        <f>"63512000"</f>
        <v>63512000</v>
      </c>
      <c r="C1080" t="str">
        <f t="shared" si="58"/>
        <v>COM635120000</v>
      </c>
      <c r="E1080">
        <v>2875.2</v>
      </c>
      <c r="F1080">
        <v>0</v>
      </c>
      <c r="G1080">
        <f t="shared" si="59"/>
        <v>2875.2</v>
      </c>
    </row>
    <row r="1081" spans="1:7">
      <c r="A1081" t="str">
        <f t="shared" si="60"/>
        <v>COM</v>
      </c>
      <c r="B1081" t="str">
        <f>"63514000"</f>
        <v>63514000</v>
      </c>
      <c r="C1081" t="str">
        <f t="shared" si="58"/>
        <v>COM635140000</v>
      </c>
      <c r="E1081">
        <v>11</v>
      </c>
      <c r="F1081">
        <v>0</v>
      </c>
      <c r="G1081">
        <f t="shared" si="59"/>
        <v>11</v>
      </c>
    </row>
    <row r="1082" spans="1:7">
      <c r="A1082" t="str">
        <f t="shared" si="60"/>
        <v>COM</v>
      </c>
      <c r="B1082" t="str">
        <f>"63710000"</f>
        <v>63710000</v>
      </c>
      <c r="C1082" t="str">
        <f t="shared" si="58"/>
        <v>COM637100000</v>
      </c>
      <c r="E1082">
        <v>1165.18</v>
      </c>
      <c r="F1082">
        <v>0</v>
      </c>
      <c r="G1082">
        <f t="shared" si="59"/>
        <v>1165.18</v>
      </c>
    </row>
    <row r="1083" spans="1:7">
      <c r="A1083" t="str">
        <f t="shared" si="60"/>
        <v>COM</v>
      </c>
      <c r="B1083" t="str">
        <f>"64110000"</f>
        <v>64110000</v>
      </c>
      <c r="C1083" t="str">
        <f t="shared" si="58"/>
        <v>COM641100000</v>
      </c>
      <c r="E1083">
        <v>93629.62</v>
      </c>
      <c r="F1083">
        <v>0</v>
      </c>
      <c r="G1083">
        <f t="shared" si="59"/>
        <v>93629.62</v>
      </c>
    </row>
    <row r="1084" spans="1:7">
      <c r="A1084" t="str">
        <f t="shared" si="60"/>
        <v>COM</v>
      </c>
      <c r="B1084" t="str">
        <f>"64111000"</f>
        <v>64111000</v>
      </c>
      <c r="C1084" t="str">
        <f t="shared" si="58"/>
        <v>COM641110000</v>
      </c>
      <c r="E1084">
        <v>-75</v>
      </c>
      <c r="F1084">
        <v>0</v>
      </c>
      <c r="G1084">
        <f t="shared" si="59"/>
        <v>-75</v>
      </c>
    </row>
    <row r="1085" spans="1:7">
      <c r="A1085" t="str">
        <f t="shared" si="60"/>
        <v>COM</v>
      </c>
      <c r="B1085" t="str">
        <f>"64120000"</f>
        <v>64120000</v>
      </c>
      <c r="C1085" t="str">
        <f t="shared" si="58"/>
        <v>COM641200000</v>
      </c>
      <c r="E1085">
        <v>7695.86</v>
      </c>
      <c r="F1085">
        <v>7491.15</v>
      </c>
      <c r="G1085">
        <f t="shared" si="59"/>
        <v>204.71000000000004</v>
      </c>
    </row>
    <row r="1086" spans="1:7">
      <c r="A1086" t="str">
        <f t="shared" si="60"/>
        <v>COM</v>
      </c>
      <c r="B1086" t="str">
        <f>"64121000"</f>
        <v>64121000</v>
      </c>
      <c r="C1086" t="str">
        <f t="shared" si="58"/>
        <v>COM641210000</v>
      </c>
      <c r="E1086">
        <v>3338.46</v>
      </c>
      <c r="F1086">
        <v>3311.84</v>
      </c>
      <c r="G1086">
        <f t="shared" si="59"/>
        <v>26.619999999999891</v>
      </c>
    </row>
    <row r="1087" spans="1:7">
      <c r="A1087" t="str">
        <f t="shared" si="60"/>
        <v>COM</v>
      </c>
      <c r="B1087" t="str">
        <f>"64510000"</f>
        <v>64510000</v>
      </c>
      <c r="C1087" t="str">
        <f t="shared" si="58"/>
        <v>COM645100000</v>
      </c>
      <c r="E1087">
        <v>27566.03</v>
      </c>
      <c r="F1087">
        <v>0</v>
      </c>
      <c r="G1087">
        <f t="shared" si="59"/>
        <v>27566.03</v>
      </c>
    </row>
    <row r="1088" spans="1:7">
      <c r="A1088" t="str">
        <f t="shared" si="60"/>
        <v>COM</v>
      </c>
      <c r="B1088" t="str">
        <f>"64520000"</f>
        <v>64520000</v>
      </c>
      <c r="C1088" t="str">
        <f t="shared" si="58"/>
        <v>COM645200000</v>
      </c>
      <c r="E1088">
        <v>3185.52</v>
      </c>
      <c r="F1088">
        <v>0</v>
      </c>
      <c r="G1088">
        <f t="shared" si="59"/>
        <v>3185.52</v>
      </c>
    </row>
    <row r="1089" spans="1:13">
      <c r="A1089" t="str">
        <f t="shared" si="60"/>
        <v>COM</v>
      </c>
      <c r="B1089" t="str">
        <f>"64530000"</f>
        <v>64530000</v>
      </c>
      <c r="C1089" t="str">
        <f t="shared" si="58"/>
        <v>COM645300000</v>
      </c>
      <c r="E1089">
        <v>6376.57</v>
      </c>
      <c r="F1089">
        <v>0</v>
      </c>
      <c r="G1089">
        <f t="shared" si="59"/>
        <v>6376.57</v>
      </c>
    </row>
    <row r="1090" spans="1:13">
      <c r="A1090" t="str">
        <f t="shared" si="60"/>
        <v>COM</v>
      </c>
      <c r="B1090" t="str">
        <f>"64540000"</f>
        <v>64540000</v>
      </c>
      <c r="C1090" t="str">
        <f t="shared" si="58"/>
        <v>COM645400000</v>
      </c>
      <c r="E1090">
        <v>3677.49</v>
      </c>
      <c r="F1090">
        <v>0</v>
      </c>
      <c r="G1090">
        <f t="shared" si="59"/>
        <v>3677.49</v>
      </c>
    </row>
    <row r="1091" spans="1:13">
      <c r="A1091" t="str">
        <f t="shared" si="60"/>
        <v>COM</v>
      </c>
      <c r="B1091" t="str">
        <f>"64590000"</f>
        <v>64590000</v>
      </c>
      <c r="C1091" t="str">
        <f t="shared" ref="C1091:C1154" si="61">+A1091&amp;B1091*10</f>
        <v>COM645900000</v>
      </c>
      <c r="E1091">
        <v>-33.159999999999997</v>
      </c>
      <c r="F1091">
        <v>0</v>
      </c>
      <c r="G1091">
        <f t="shared" ref="G1091:G1154" si="62">+E1091-F1091</f>
        <v>-33.159999999999997</v>
      </c>
    </row>
    <row r="1092" spans="1:13">
      <c r="A1092" t="str">
        <f t="shared" si="60"/>
        <v>COM</v>
      </c>
      <c r="B1092" t="str">
        <f>"64710000"</f>
        <v>64710000</v>
      </c>
      <c r="C1092" t="str">
        <f t="shared" si="61"/>
        <v>COM647100000</v>
      </c>
      <c r="E1092">
        <v>39.6</v>
      </c>
      <c r="F1092">
        <v>0</v>
      </c>
      <c r="G1092">
        <f t="shared" si="62"/>
        <v>39.6</v>
      </c>
    </row>
    <row r="1093" spans="1:13">
      <c r="A1093" t="str">
        <f t="shared" si="60"/>
        <v>COM</v>
      </c>
      <c r="B1093" t="str">
        <f>"64740000"</f>
        <v>64740000</v>
      </c>
      <c r="C1093" t="str">
        <f t="shared" si="61"/>
        <v>COM647400000</v>
      </c>
      <c r="E1093">
        <v>99.4</v>
      </c>
      <c r="F1093">
        <v>0</v>
      </c>
      <c r="G1093">
        <f t="shared" si="62"/>
        <v>99.4</v>
      </c>
    </row>
    <row r="1094" spans="1:13">
      <c r="A1094" t="str">
        <f t="shared" si="60"/>
        <v>COM</v>
      </c>
      <c r="B1094" t="str">
        <f>"64750000"</f>
        <v>64750000</v>
      </c>
      <c r="C1094" t="str">
        <f t="shared" si="61"/>
        <v>COM647500000</v>
      </c>
      <c r="E1094">
        <v>185</v>
      </c>
      <c r="F1094">
        <v>0</v>
      </c>
      <c r="G1094">
        <f t="shared" si="62"/>
        <v>185</v>
      </c>
    </row>
    <row r="1095" spans="1:13">
      <c r="A1095" t="s">
        <v>526</v>
      </c>
      <c r="B1095" t="str">
        <f>"64800000"</f>
        <v>64800000</v>
      </c>
      <c r="C1095" t="str">
        <f t="shared" si="61"/>
        <v>COM648000000</v>
      </c>
      <c r="E1095" s="19">
        <v>378.25840000000005</v>
      </c>
      <c r="G1095" s="19">
        <f t="shared" si="62"/>
        <v>378.25840000000005</v>
      </c>
      <c r="H1095" s="433">
        <v>378.25840000000005</v>
      </c>
      <c r="I1095" s="113" t="s">
        <v>526</v>
      </c>
    </row>
    <row r="1096" spans="1:13">
      <c r="A1096" t="str">
        <f t="shared" ref="A1096:A1104" si="63">"COM"</f>
        <v>COM</v>
      </c>
      <c r="B1096" t="str">
        <f>"65410000"</f>
        <v>65410000</v>
      </c>
      <c r="C1096" t="str">
        <f t="shared" si="61"/>
        <v>COM654100000</v>
      </c>
      <c r="E1096">
        <v>1.94</v>
      </c>
      <c r="F1096">
        <v>0.35</v>
      </c>
      <c r="G1096">
        <f t="shared" si="62"/>
        <v>1.5899999999999999</v>
      </c>
    </row>
    <row r="1097" spans="1:13">
      <c r="A1097" t="str">
        <f t="shared" si="63"/>
        <v>COM</v>
      </c>
      <c r="B1097" t="str">
        <f>"65420000"</f>
        <v>65420000</v>
      </c>
      <c r="C1097" t="str">
        <f t="shared" si="61"/>
        <v>COM654200000</v>
      </c>
      <c r="E1097">
        <v>10.77</v>
      </c>
      <c r="F1097">
        <v>0</v>
      </c>
      <c r="G1097">
        <f t="shared" si="62"/>
        <v>10.77</v>
      </c>
    </row>
    <row r="1098" spans="1:13">
      <c r="A1098" t="str">
        <f t="shared" si="63"/>
        <v>COM</v>
      </c>
      <c r="B1098" t="str">
        <f>"65440000"</f>
        <v>65440000</v>
      </c>
      <c r="C1098" t="str">
        <f t="shared" si="61"/>
        <v>COM654400000</v>
      </c>
      <c r="E1098">
        <v>0</v>
      </c>
      <c r="F1098">
        <v>0</v>
      </c>
      <c r="G1098">
        <f t="shared" si="62"/>
        <v>0</v>
      </c>
    </row>
    <row r="1099" spans="1:13">
      <c r="A1099" t="str">
        <f t="shared" si="63"/>
        <v>COM</v>
      </c>
      <c r="B1099" t="str">
        <f>"66500000"</f>
        <v>66500000</v>
      </c>
      <c r="C1099" t="str">
        <f t="shared" si="61"/>
        <v>COM665000000</v>
      </c>
      <c r="E1099">
        <v>545.42999999999995</v>
      </c>
      <c r="F1099">
        <v>0</v>
      </c>
      <c r="G1099">
        <f t="shared" si="62"/>
        <v>545.42999999999995</v>
      </c>
    </row>
    <row r="1100" spans="1:13">
      <c r="A1100" t="str">
        <f t="shared" si="63"/>
        <v>COM</v>
      </c>
      <c r="B1100" t="str">
        <f>"68112000"</f>
        <v>68112000</v>
      </c>
      <c r="C1100" t="str">
        <f t="shared" si="61"/>
        <v>COM681120000</v>
      </c>
      <c r="E1100">
        <v>3706.17</v>
      </c>
      <c r="F1100">
        <v>0</v>
      </c>
      <c r="G1100">
        <f t="shared" si="62"/>
        <v>3706.17</v>
      </c>
    </row>
    <row r="1101" spans="1:13">
      <c r="A1101" t="str">
        <f t="shared" si="63"/>
        <v>COM</v>
      </c>
      <c r="B1101" t="str">
        <f>"68150000"</f>
        <v>68150000</v>
      </c>
      <c r="C1101" t="str">
        <f t="shared" si="61"/>
        <v>COM681500000</v>
      </c>
      <c r="E1101">
        <v>16800</v>
      </c>
      <c r="F1101">
        <v>0</v>
      </c>
      <c r="G1101">
        <f t="shared" si="62"/>
        <v>16800</v>
      </c>
    </row>
    <row r="1102" spans="1:13">
      <c r="A1102" t="str">
        <f t="shared" si="63"/>
        <v>COM</v>
      </c>
      <c r="B1102" t="str">
        <f>"68173000"</f>
        <v>68173000</v>
      </c>
      <c r="C1102" t="str">
        <f t="shared" si="61"/>
        <v>COM681730000</v>
      </c>
      <c r="E1102">
        <v>7367.03</v>
      </c>
      <c r="F1102">
        <v>0</v>
      </c>
      <c r="G1102">
        <f t="shared" si="62"/>
        <v>7367.03</v>
      </c>
    </row>
    <row r="1103" spans="1:13">
      <c r="A1103" t="str">
        <f t="shared" si="63"/>
        <v>COM</v>
      </c>
      <c r="B1103" t="str">
        <f>"68174000"</f>
        <v>68174000</v>
      </c>
      <c r="C1103" t="str">
        <f t="shared" si="61"/>
        <v>COM681740000</v>
      </c>
      <c r="E1103">
        <v>1172.52</v>
      </c>
      <c r="F1103">
        <v>0</v>
      </c>
      <c r="G1103">
        <f t="shared" si="62"/>
        <v>1172.52</v>
      </c>
    </row>
    <row r="1104" spans="1:13">
      <c r="A1104" t="str">
        <f t="shared" si="63"/>
        <v>COM</v>
      </c>
      <c r="B1104" t="str">
        <f>"68725000"</f>
        <v>68725000</v>
      </c>
      <c r="C1104" t="str">
        <f t="shared" si="61"/>
        <v>COM687250000</v>
      </c>
      <c r="E1104">
        <v>195.63</v>
      </c>
      <c r="F1104">
        <v>0</v>
      </c>
      <c r="G1104">
        <f t="shared" si="62"/>
        <v>195.63</v>
      </c>
      <c r="M1104" s="113"/>
    </row>
    <row r="1105" spans="1:7">
      <c r="A1105" t="str">
        <f t="shared" ref="A1105:A1168" si="64">"CST"</f>
        <v>CST</v>
      </c>
      <c r="B1105" t="str">
        <f>"60610000"</f>
        <v>60610000</v>
      </c>
      <c r="C1105" t="str">
        <f t="shared" si="61"/>
        <v>CST606100000</v>
      </c>
      <c r="E1105">
        <v>3464.76</v>
      </c>
      <c r="F1105">
        <v>0</v>
      </c>
      <c r="G1105">
        <f t="shared" si="62"/>
        <v>3464.76</v>
      </c>
    </row>
    <row r="1106" spans="1:7">
      <c r="A1106" t="str">
        <f t="shared" si="64"/>
        <v>CST</v>
      </c>
      <c r="B1106" t="str">
        <f>"60613000"</f>
        <v>60613000</v>
      </c>
      <c r="C1106" t="str">
        <f t="shared" si="61"/>
        <v>CST606130000</v>
      </c>
      <c r="E1106">
        <v>7567.65</v>
      </c>
      <c r="F1106">
        <v>0</v>
      </c>
      <c r="G1106">
        <f t="shared" si="62"/>
        <v>7567.65</v>
      </c>
    </row>
    <row r="1107" spans="1:7">
      <c r="A1107" t="str">
        <f t="shared" si="64"/>
        <v>CST</v>
      </c>
      <c r="B1107" t="str">
        <f>"60641000"</f>
        <v>60641000</v>
      </c>
      <c r="C1107" t="str">
        <f t="shared" si="61"/>
        <v>CST606410000</v>
      </c>
      <c r="E1107">
        <v>1366.76</v>
      </c>
      <c r="F1107">
        <v>0</v>
      </c>
      <c r="G1107">
        <f t="shared" si="62"/>
        <v>1366.76</v>
      </c>
    </row>
    <row r="1108" spans="1:7">
      <c r="A1108" t="str">
        <f t="shared" si="64"/>
        <v>CST</v>
      </c>
      <c r="B1108" t="str">
        <f>"60710000"</f>
        <v>60710000</v>
      </c>
      <c r="C1108" t="str">
        <f t="shared" si="61"/>
        <v>CST607100000</v>
      </c>
      <c r="E1108">
        <v>305114.49</v>
      </c>
      <c r="F1108">
        <v>249</v>
      </c>
      <c r="G1108">
        <f t="shared" si="62"/>
        <v>304865.49</v>
      </c>
    </row>
    <row r="1109" spans="1:7">
      <c r="A1109" t="str">
        <f t="shared" si="64"/>
        <v>CST</v>
      </c>
      <c r="B1109" t="str">
        <f>"60711000"</f>
        <v>60711000</v>
      </c>
      <c r="C1109" t="str">
        <f t="shared" si="61"/>
        <v>CST607110000</v>
      </c>
      <c r="E1109">
        <v>15139.46</v>
      </c>
      <c r="F1109">
        <v>0</v>
      </c>
      <c r="G1109">
        <f t="shared" si="62"/>
        <v>15139.46</v>
      </c>
    </row>
    <row r="1110" spans="1:7">
      <c r="A1110" t="str">
        <f t="shared" si="64"/>
        <v>CST</v>
      </c>
      <c r="B1110" t="str">
        <f>"60712000"</f>
        <v>60712000</v>
      </c>
      <c r="C1110" t="str">
        <f t="shared" si="61"/>
        <v>CST607120000</v>
      </c>
      <c r="E1110">
        <v>-144.6</v>
      </c>
      <c r="F1110">
        <v>0</v>
      </c>
      <c r="G1110">
        <f t="shared" si="62"/>
        <v>-144.6</v>
      </c>
    </row>
    <row r="1111" spans="1:7">
      <c r="A1111" t="str">
        <f t="shared" si="64"/>
        <v>CST</v>
      </c>
      <c r="B1111" t="str">
        <f>"60713000"</f>
        <v>60713000</v>
      </c>
      <c r="C1111" t="str">
        <f t="shared" si="61"/>
        <v>CST607130000</v>
      </c>
      <c r="E1111">
        <v>14757</v>
      </c>
      <c r="F1111">
        <v>0</v>
      </c>
      <c r="G1111">
        <f t="shared" si="62"/>
        <v>14757</v>
      </c>
    </row>
    <row r="1112" spans="1:7">
      <c r="A1112" t="str">
        <f t="shared" si="64"/>
        <v>CST</v>
      </c>
      <c r="B1112" t="str">
        <f>"60714000"</f>
        <v>60714000</v>
      </c>
      <c r="C1112" t="str">
        <f t="shared" si="61"/>
        <v>CST607140000</v>
      </c>
      <c r="E1112">
        <v>-18352</v>
      </c>
      <c r="F1112">
        <v>0</v>
      </c>
      <c r="G1112">
        <f t="shared" si="62"/>
        <v>-18352</v>
      </c>
    </row>
    <row r="1113" spans="1:7">
      <c r="A1113" t="str">
        <f t="shared" si="64"/>
        <v>CST</v>
      </c>
      <c r="B1113" t="str">
        <f>"60720000"</f>
        <v>60720000</v>
      </c>
      <c r="C1113" t="str">
        <f t="shared" si="61"/>
        <v>CST607200000</v>
      </c>
      <c r="E1113">
        <v>126576.77</v>
      </c>
      <c r="F1113">
        <v>0</v>
      </c>
      <c r="G1113">
        <f t="shared" si="62"/>
        <v>126576.77</v>
      </c>
    </row>
    <row r="1114" spans="1:7">
      <c r="A1114" t="str">
        <f t="shared" si="64"/>
        <v>CST</v>
      </c>
      <c r="B1114" t="str">
        <f>"60740000"</f>
        <v>60740000</v>
      </c>
      <c r="C1114" t="str">
        <f t="shared" si="61"/>
        <v>CST607400000</v>
      </c>
      <c r="E1114">
        <v>3239.54</v>
      </c>
      <c r="F1114">
        <v>0</v>
      </c>
      <c r="G1114">
        <f t="shared" si="62"/>
        <v>3239.54</v>
      </c>
    </row>
    <row r="1115" spans="1:7">
      <c r="A1115" t="str">
        <f t="shared" si="64"/>
        <v>CST</v>
      </c>
      <c r="B1115" t="str">
        <f>"60800000"</f>
        <v>60800000</v>
      </c>
      <c r="C1115" t="str">
        <f t="shared" si="61"/>
        <v>CST608000000</v>
      </c>
      <c r="E1115">
        <v>1704.45</v>
      </c>
      <c r="F1115">
        <v>0</v>
      </c>
      <c r="G1115">
        <f t="shared" si="62"/>
        <v>1704.45</v>
      </c>
    </row>
    <row r="1116" spans="1:7">
      <c r="A1116" t="str">
        <f t="shared" si="64"/>
        <v>CST</v>
      </c>
      <c r="B1116" t="str">
        <f>"60911000"</f>
        <v>60911000</v>
      </c>
      <c r="C1116" t="str">
        <f t="shared" si="61"/>
        <v>CST609110000</v>
      </c>
      <c r="E1116">
        <v>-6029.91</v>
      </c>
      <c r="F1116">
        <v>0</v>
      </c>
      <c r="G1116">
        <f t="shared" si="62"/>
        <v>-6029.91</v>
      </c>
    </row>
    <row r="1117" spans="1:7">
      <c r="A1117" t="str">
        <f t="shared" si="64"/>
        <v>CST</v>
      </c>
      <c r="B1117" t="str">
        <f>"60912000"</f>
        <v>60912000</v>
      </c>
      <c r="C1117" t="str">
        <f t="shared" si="61"/>
        <v>CST609120000</v>
      </c>
      <c r="E1117">
        <v>-8782.9699999999993</v>
      </c>
      <c r="F1117">
        <v>0</v>
      </c>
      <c r="G1117">
        <f t="shared" si="62"/>
        <v>-8782.9699999999993</v>
      </c>
    </row>
    <row r="1118" spans="1:7">
      <c r="A1118" t="str">
        <f t="shared" si="64"/>
        <v>CST</v>
      </c>
      <c r="B1118" t="str">
        <f>"60913000"</f>
        <v>60913000</v>
      </c>
      <c r="C1118" t="str">
        <f t="shared" si="61"/>
        <v>CST609130000</v>
      </c>
      <c r="E1118">
        <v>-5018.84</v>
      </c>
      <c r="F1118">
        <v>0</v>
      </c>
      <c r="G1118">
        <f t="shared" si="62"/>
        <v>-5018.84</v>
      </c>
    </row>
    <row r="1119" spans="1:7">
      <c r="A1119" t="str">
        <f t="shared" si="64"/>
        <v>CST</v>
      </c>
      <c r="B1119" t="str">
        <f>"61100000"</f>
        <v>61100000</v>
      </c>
      <c r="C1119" t="str">
        <f t="shared" si="61"/>
        <v>CST611000000</v>
      </c>
      <c r="E1119">
        <v>7.5</v>
      </c>
      <c r="F1119">
        <v>0</v>
      </c>
      <c r="G1119">
        <f t="shared" si="62"/>
        <v>7.5</v>
      </c>
    </row>
    <row r="1120" spans="1:7">
      <c r="A1120" t="str">
        <f t="shared" si="64"/>
        <v>CST</v>
      </c>
      <c r="B1120" t="str">
        <f>"61320000"</f>
        <v>61320000</v>
      </c>
      <c r="C1120" t="str">
        <f t="shared" si="61"/>
        <v>CST613200000</v>
      </c>
      <c r="E1120">
        <v>30663.759999999998</v>
      </c>
      <c r="F1120">
        <v>0</v>
      </c>
      <c r="G1120">
        <f t="shared" si="62"/>
        <v>30663.759999999998</v>
      </c>
    </row>
    <row r="1121" spans="1:10">
      <c r="A1121" t="str">
        <f t="shared" si="64"/>
        <v>CST</v>
      </c>
      <c r="B1121" t="str">
        <f>"61352000"</f>
        <v>61352000</v>
      </c>
      <c r="C1121" t="str">
        <f t="shared" si="61"/>
        <v>CST613520000</v>
      </c>
      <c r="E1121">
        <v>2873.88</v>
      </c>
      <c r="F1121">
        <v>0</v>
      </c>
      <c r="G1121">
        <f t="shared" si="62"/>
        <v>2873.88</v>
      </c>
    </row>
    <row r="1122" spans="1:10">
      <c r="A1122" t="str">
        <f t="shared" si="64"/>
        <v>CST</v>
      </c>
      <c r="B1122" t="str">
        <f>"61353000"</f>
        <v>61353000</v>
      </c>
      <c r="C1122" t="str">
        <f t="shared" si="61"/>
        <v>CST613530000</v>
      </c>
      <c r="E1122">
        <v>180</v>
      </c>
      <c r="F1122">
        <v>0</v>
      </c>
      <c r="G1122">
        <f t="shared" si="62"/>
        <v>180</v>
      </c>
    </row>
    <row r="1123" spans="1:10">
      <c r="A1123" t="str">
        <f t="shared" si="64"/>
        <v>CST</v>
      </c>
      <c r="B1123" t="str">
        <f>"61354000"</f>
        <v>61354000</v>
      </c>
      <c r="C1123" t="str">
        <f t="shared" si="61"/>
        <v>CST613540000</v>
      </c>
      <c r="E1123">
        <v>90</v>
      </c>
      <c r="F1123">
        <v>0</v>
      </c>
      <c r="G1123">
        <f t="shared" si="62"/>
        <v>90</v>
      </c>
      <c r="I1123" s="26"/>
      <c r="J1123" s="26"/>
    </row>
    <row r="1124" spans="1:10">
      <c r="A1124" t="str">
        <f t="shared" si="64"/>
        <v>CST</v>
      </c>
      <c r="B1124" t="str">
        <f>"61400000"</f>
        <v>61400000</v>
      </c>
      <c r="C1124" t="str">
        <f t="shared" si="61"/>
        <v>CST614000000</v>
      </c>
      <c r="E1124">
        <v>27.66</v>
      </c>
      <c r="F1124">
        <v>0</v>
      </c>
      <c r="G1124">
        <f t="shared" si="62"/>
        <v>27.66</v>
      </c>
    </row>
    <row r="1125" spans="1:10">
      <c r="A1125" t="str">
        <f t="shared" si="64"/>
        <v>CST</v>
      </c>
      <c r="B1125" t="str">
        <f>"61520000"</f>
        <v>61520000</v>
      </c>
      <c r="C1125" t="str">
        <f t="shared" si="61"/>
        <v>CST615200000</v>
      </c>
      <c r="E1125">
        <v>1645.24</v>
      </c>
      <c r="F1125">
        <v>0</v>
      </c>
      <c r="G1125">
        <f t="shared" si="62"/>
        <v>1645.24</v>
      </c>
    </row>
    <row r="1126" spans="1:10">
      <c r="A1126" t="str">
        <f t="shared" si="64"/>
        <v>CST</v>
      </c>
      <c r="B1126" t="str">
        <f>"61550000"</f>
        <v>61550000</v>
      </c>
      <c r="C1126" t="str">
        <f t="shared" si="61"/>
        <v>CST615500000</v>
      </c>
      <c r="E1126">
        <v>934</v>
      </c>
      <c r="F1126">
        <v>14</v>
      </c>
      <c r="G1126">
        <f t="shared" si="62"/>
        <v>920</v>
      </c>
    </row>
    <row r="1127" spans="1:10">
      <c r="A1127" t="str">
        <f t="shared" si="64"/>
        <v>CST</v>
      </c>
      <c r="B1127" t="str">
        <f>"61551000"</f>
        <v>61551000</v>
      </c>
      <c r="C1127" t="str">
        <f t="shared" si="61"/>
        <v>CST615510000</v>
      </c>
      <c r="E1127">
        <v>41</v>
      </c>
      <c r="F1127">
        <v>0</v>
      </c>
      <c r="G1127">
        <f t="shared" si="62"/>
        <v>41</v>
      </c>
    </row>
    <row r="1128" spans="1:10">
      <c r="A1128" t="str">
        <f t="shared" si="64"/>
        <v>CST</v>
      </c>
      <c r="B1128" t="str">
        <f>"61552000"</f>
        <v>61552000</v>
      </c>
      <c r="C1128" t="str">
        <f t="shared" si="61"/>
        <v>CST615520000</v>
      </c>
      <c r="E1128">
        <v>3700.46</v>
      </c>
      <c r="F1128">
        <v>0</v>
      </c>
      <c r="G1128">
        <f t="shared" si="62"/>
        <v>3700.46</v>
      </c>
    </row>
    <row r="1129" spans="1:10">
      <c r="A1129" t="str">
        <f t="shared" si="64"/>
        <v>CST</v>
      </c>
      <c r="B1129" t="str">
        <f>"61612000"</f>
        <v>61612000</v>
      </c>
      <c r="C1129" t="str">
        <f t="shared" si="61"/>
        <v>CST616120000</v>
      </c>
      <c r="E1129">
        <v>1749.36</v>
      </c>
      <c r="F1129">
        <v>0</v>
      </c>
      <c r="G1129">
        <f t="shared" si="62"/>
        <v>1749.36</v>
      </c>
    </row>
    <row r="1130" spans="1:10">
      <c r="A1130" t="str">
        <f t="shared" si="64"/>
        <v>CST</v>
      </c>
      <c r="B1130" t="str">
        <f>"61613000"</f>
        <v>61613000</v>
      </c>
      <c r="C1130" t="str">
        <f t="shared" si="61"/>
        <v>CST616130000</v>
      </c>
      <c r="E1130">
        <v>2133.91</v>
      </c>
      <c r="F1130">
        <v>0</v>
      </c>
      <c r="G1130">
        <f t="shared" si="62"/>
        <v>2133.91</v>
      </c>
    </row>
    <row r="1131" spans="1:10">
      <c r="A1131" t="str">
        <f t="shared" si="64"/>
        <v>CST</v>
      </c>
      <c r="B1131" t="str">
        <f>"61810000"</f>
        <v>61810000</v>
      </c>
      <c r="C1131" t="str">
        <f t="shared" si="61"/>
        <v>CST618100000</v>
      </c>
      <c r="E1131">
        <v>1560.22</v>
      </c>
      <c r="F1131">
        <v>0</v>
      </c>
      <c r="G1131">
        <f t="shared" si="62"/>
        <v>1560.22</v>
      </c>
    </row>
    <row r="1132" spans="1:10">
      <c r="A1132" t="str">
        <f t="shared" si="64"/>
        <v>CST</v>
      </c>
      <c r="B1132" t="str">
        <f>"61850000"</f>
        <v>61850000</v>
      </c>
      <c r="C1132" t="str">
        <f t="shared" si="61"/>
        <v>CST618500000</v>
      </c>
      <c r="E1132">
        <v>469.85</v>
      </c>
      <c r="F1132">
        <v>0</v>
      </c>
      <c r="G1132">
        <f t="shared" si="62"/>
        <v>469.85</v>
      </c>
    </row>
    <row r="1133" spans="1:10">
      <c r="A1133" t="str">
        <f t="shared" si="64"/>
        <v>CST</v>
      </c>
      <c r="B1133" t="str">
        <f>"62270000"</f>
        <v>62270000</v>
      </c>
      <c r="C1133" t="str">
        <f t="shared" si="61"/>
        <v>CST622700000</v>
      </c>
      <c r="E1133">
        <v>201.9</v>
      </c>
      <c r="F1133">
        <v>0</v>
      </c>
      <c r="G1133">
        <f t="shared" si="62"/>
        <v>201.9</v>
      </c>
    </row>
    <row r="1134" spans="1:10">
      <c r="A1134" t="str">
        <f t="shared" si="64"/>
        <v>CST</v>
      </c>
      <c r="B1134" t="str">
        <f>"62310000"</f>
        <v>62310000</v>
      </c>
      <c r="C1134" t="str">
        <f t="shared" si="61"/>
        <v>CST623100000</v>
      </c>
      <c r="E1134">
        <v>774.3</v>
      </c>
      <c r="F1134">
        <v>0</v>
      </c>
      <c r="G1134">
        <f t="shared" si="62"/>
        <v>774.3</v>
      </c>
    </row>
    <row r="1135" spans="1:10">
      <c r="A1135" t="str">
        <f t="shared" si="64"/>
        <v>CST</v>
      </c>
      <c r="B1135" t="str">
        <f>"62320000"</f>
        <v>62320000</v>
      </c>
      <c r="C1135" t="str">
        <f t="shared" si="61"/>
        <v>CST623200000</v>
      </c>
      <c r="E1135">
        <v>3558.06</v>
      </c>
      <c r="F1135">
        <v>0</v>
      </c>
      <c r="G1135">
        <f t="shared" si="62"/>
        <v>3558.06</v>
      </c>
    </row>
    <row r="1136" spans="1:10">
      <c r="A1136" t="str">
        <f t="shared" si="64"/>
        <v>CST</v>
      </c>
      <c r="B1136" t="str">
        <f>"62341000"</f>
        <v>62341000</v>
      </c>
      <c r="C1136" t="str">
        <f t="shared" si="61"/>
        <v>CST623410000</v>
      </c>
      <c r="E1136">
        <v>1276.92</v>
      </c>
      <c r="F1136">
        <v>0</v>
      </c>
      <c r="G1136">
        <f t="shared" si="62"/>
        <v>1276.92</v>
      </c>
    </row>
    <row r="1137" spans="1:7">
      <c r="A1137" t="str">
        <f t="shared" si="64"/>
        <v>CST</v>
      </c>
      <c r="B1137" t="str">
        <f>"62342000"</f>
        <v>62342000</v>
      </c>
      <c r="C1137" t="str">
        <f t="shared" si="61"/>
        <v>CST623420000</v>
      </c>
      <c r="E1137">
        <v>-11.25</v>
      </c>
      <c r="F1137">
        <v>0</v>
      </c>
      <c r="G1137">
        <f t="shared" si="62"/>
        <v>-11.25</v>
      </c>
    </row>
    <row r="1138" spans="1:7">
      <c r="A1138" t="str">
        <f t="shared" si="64"/>
        <v>CST</v>
      </c>
      <c r="B1138" t="str">
        <f>"62370000"</f>
        <v>62370000</v>
      </c>
      <c r="C1138" t="str">
        <f t="shared" si="61"/>
        <v>CST623700000</v>
      </c>
      <c r="E1138">
        <v>630.99</v>
      </c>
      <c r="F1138">
        <v>-221.9</v>
      </c>
      <c r="G1138">
        <f t="shared" si="62"/>
        <v>852.89</v>
      </c>
    </row>
    <row r="1139" spans="1:7">
      <c r="A1139" t="str">
        <f t="shared" si="64"/>
        <v>CST</v>
      </c>
      <c r="B1139" t="str">
        <f>"62380000"</f>
        <v>62380000</v>
      </c>
      <c r="C1139" t="str">
        <f t="shared" si="61"/>
        <v>CST623800000</v>
      </c>
      <c r="E1139">
        <v>40</v>
      </c>
      <c r="F1139">
        <v>0</v>
      </c>
      <c r="G1139">
        <f t="shared" si="62"/>
        <v>40</v>
      </c>
    </row>
    <row r="1140" spans="1:7">
      <c r="A1140" t="str">
        <f t="shared" si="64"/>
        <v>CST</v>
      </c>
      <c r="B1140" t="str">
        <f>"62381000"</f>
        <v>62381000</v>
      </c>
      <c r="C1140" t="str">
        <f t="shared" si="61"/>
        <v>CST623810000</v>
      </c>
      <c r="E1140">
        <v>0</v>
      </c>
      <c r="F1140">
        <v>0</v>
      </c>
      <c r="G1140">
        <f t="shared" si="62"/>
        <v>0</v>
      </c>
    </row>
    <row r="1141" spans="1:7">
      <c r="A1141" t="str">
        <f t="shared" si="64"/>
        <v>CST</v>
      </c>
      <c r="B1141" t="str">
        <f>"62420000"</f>
        <v>62420000</v>
      </c>
      <c r="C1141" t="str">
        <f t="shared" si="61"/>
        <v>CST624200000</v>
      </c>
      <c r="E1141">
        <v>11948.34</v>
      </c>
      <c r="F1141">
        <v>0</v>
      </c>
      <c r="G1141">
        <f t="shared" si="62"/>
        <v>11948.34</v>
      </c>
    </row>
    <row r="1142" spans="1:7">
      <c r="A1142" t="str">
        <f t="shared" si="64"/>
        <v>CST</v>
      </c>
      <c r="B1142" t="str">
        <f>"62510000"</f>
        <v>62510000</v>
      </c>
      <c r="C1142" t="str">
        <f t="shared" si="61"/>
        <v>CST625100000</v>
      </c>
      <c r="E1142">
        <v>12636.89</v>
      </c>
      <c r="F1142">
        <v>587.19000000000005</v>
      </c>
      <c r="G1142">
        <f t="shared" si="62"/>
        <v>12049.699999999999</v>
      </c>
    </row>
    <row r="1143" spans="1:7">
      <c r="A1143" t="str">
        <f t="shared" si="64"/>
        <v>CST</v>
      </c>
      <c r="B1143" t="str">
        <f>"62520000"</f>
        <v>62520000</v>
      </c>
      <c r="C1143" t="str">
        <f t="shared" si="61"/>
        <v>CST625200000</v>
      </c>
      <c r="E1143">
        <v>90.12</v>
      </c>
      <c r="F1143">
        <v>0</v>
      </c>
      <c r="G1143">
        <f t="shared" si="62"/>
        <v>90.12</v>
      </c>
    </row>
    <row r="1144" spans="1:7">
      <c r="A1144" t="str">
        <f t="shared" si="64"/>
        <v>CST</v>
      </c>
      <c r="B1144" t="str">
        <f>"62560000"</f>
        <v>62560000</v>
      </c>
      <c r="C1144" t="str">
        <f t="shared" si="61"/>
        <v>CST625600000</v>
      </c>
      <c r="E1144">
        <v>25.23</v>
      </c>
      <c r="F1144">
        <v>0</v>
      </c>
      <c r="G1144">
        <f t="shared" si="62"/>
        <v>25.23</v>
      </c>
    </row>
    <row r="1145" spans="1:7">
      <c r="A1145" t="str">
        <f t="shared" si="64"/>
        <v>CST</v>
      </c>
      <c r="B1145" t="str">
        <f>"62570000"</f>
        <v>62570000</v>
      </c>
      <c r="C1145" t="str">
        <f t="shared" si="61"/>
        <v>CST625700000</v>
      </c>
      <c r="E1145">
        <v>1887.09</v>
      </c>
      <c r="F1145">
        <v>0</v>
      </c>
      <c r="G1145">
        <f t="shared" si="62"/>
        <v>1887.09</v>
      </c>
    </row>
    <row r="1146" spans="1:7">
      <c r="A1146" t="str">
        <f t="shared" si="64"/>
        <v>CST</v>
      </c>
      <c r="B1146" t="str">
        <f>"62571000"</f>
        <v>62571000</v>
      </c>
      <c r="C1146" t="str">
        <f t="shared" si="61"/>
        <v>CST625710000</v>
      </c>
      <c r="E1146">
        <v>1997.95</v>
      </c>
      <c r="F1146">
        <v>0</v>
      </c>
      <c r="G1146">
        <f t="shared" si="62"/>
        <v>1997.95</v>
      </c>
    </row>
    <row r="1147" spans="1:7">
      <c r="A1147" t="str">
        <f t="shared" si="64"/>
        <v>CST</v>
      </c>
      <c r="B1147" t="str">
        <f>"62600000"</f>
        <v>62600000</v>
      </c>
      <c r="C1147" t="str">
        <f t="shared" si="61"/>
        <v>CST626000000</v>
      </c>
      <c r="E1147">
        <v>6275.94</v>
      </c>
      <c r="F1147">
        <v>0</v>
      </c>
      <c r="G1147">
        <f t="shared" si="62"/>
        <v>6275.94</v>
      </c>
    </row>
    <row r="1148" spans="1:7">
      <c r="A1148" t="str">
        <f t="shared" si="64"/>
        <v>CST</v>
      </c>
      <c r="B1148" t="str">
        <f>"62610000"</f>
        <v>62610000</v>
      </c>
      <c r="C1148" t="str">
        <f t="shared" si="61"/>
        <v>CST626100000</v>
      </c>
      <c r="E1148">
        <v>628.6</v>
      </c>
      <c r="F1148">
        <v>0</v>
      </c>
      <c r="G1148">
        <f t="shared" si="62"/>
        <v>628.6</v>
      </c>
    </row>
    <row r="1149" spans="1:7">
      <c r="A1149" t="str">
        <f t="shared" si="64"/>
        <v>CST</v>
      </c>
      <c r="B1149" t="str">
        <f>"62752000"</f>
        <v>62752000</v>
      </c>
      <c r="C1149" t="str">
        <f t="shared" si="61"/>
        <v>CST627520000</v>
      </c>
      <c r="E1149">
        <v>192.6</v>
      </c>
      <c r="F1149">
        <v>0</v>
      </c>
      <c r="G1149">
        <f t="shared" si="62"/>
        <v>192.6</v>
      </c>
    </row>
    <row r="1150" spans="1:7">
      <c r="A1150" t="str">
        <f t="shared" si="64"/>
        <v>CST</v>
      </c>
      <c r="B1150" t="str">
        <f>"63330000"</f>
        <v>63330000</v>
      </c>
      <c r="C1150" t="str">
        <f t="shared" si="61"/>
        <v>CST633300000</v>
      </c>
      <c r="E1150">
        <v>795</v>
      </c>
      <c r="F1150">
        <v>0</v>
      </c>
      <c r="G1150">
        <f t="shared" si="62"/>
        <v>795</v>
      </c>
    </row>
    <row r="1151" spans="1:7">
      <c r="A1151" t="str">
        <f t="shared" si="64"/>
        <v>CST</v>
      </c>
      <c r="B1151" t="str">
        <f>"63340000"</f>
        <v>63340000</v>
      </c>
      <c r="C1151" t="str">
        <f t="shared" si="61"/>
        <v>CST633400000</v>
      </c>
      <c r="E1151">
        <v>438</v>
      </c>
      <c r="F1151">
        <v>0</v>
      </c>
      <c r="G1151">
        <f t="shared" si="62"/>
        <v>438</v>
      </c>
    </row>
    <row r="1152" spans="1:7">
      <c r="A1152" t="str">
        <f t="shared" si="64"/>
        <v>CST</v>
      </c>
      <c r="B1152" t="str">
        <f>"63350000"</f>
        <v>63350000</v>
      </c>
      <c r="C1152" t="str">
        <f t="shared" si="61"/>
        <v>CST633500000</v>
      </c>
      <c r="E1152">
        <v>662</v>
      </c>
      <c r="F1152">
        <v>0</v>
      </c>
      <c r="G1152">
        <f t="shared" si="62"/>
        <v>662</v>
      </c>
    </row>
    <row r="1153" spans="1:7">
      <c r="A1153" t="str">
        <f t="shared" si="64"/>
        <v>CST</v>
      </c>
      <c r="B1153" t="str">
        <f>"63511000"</f>
        <v>63511000</v>
      </c>
      <c r="C1153" t="str">
        <f t="shared" si="61"/>
        <v>CST635110000</v>
      </c>
      <c r="E1153">
        <v>1662</v>
      </c>
      <c r="F1153">
        <v>0</v>
      </c>
      <c r="G1153">
        <f t="shared" si="62"/>
        <v>1662</v>
      </c>
    </row>
    <row r="1154" spans="1:7">
      <c r="A1154" t="str">
        <f t="shared" si="64"/>
        <v>CST</v>
      </c>
      <c r="B1154" t="str">
        <f>"63512000"</f>
        <v>63512000</v>
      </c>
      <c r="C1154" t="str">
        <f t="shared" si="61"/>
        <v>CST635120000</v>
      </c>
      <c r="E1154">
        <v>1632.38</v>
      </c>
      <c r="F1154">
        <v>0</v>
      </c>
      <c r="G1154">
        <f t="shared" si="62"/>
        <v>1632.38</v>
      </c>
    </row>
    <row r="1155" spans="1:7">
      <c r="A1155" t="str">
        <f t="shared" si="64"/>
        <v>CST</v>
      </c>
      <c r="B1155" t="str">
        <f>"63710000"</f>
        <v>63710000</v>
      </c>
      <c r="C1155" t="str">
        <f t="shared" ref="C1155:C1218" si="65">+A1155&amp;B1155*10</f>
        <v>CST637100000</v>
      </c>
      <c r="E1155">
        <v>1276.05</v>
      </c>
      <c r="F1155">
        <v>0</v>
      </c>
      <c r="G1155">
        <f t="shared" ref="G1155:G1218" si="66">+E1155-F1155</f>
        <v>1276.05</v>
      </c>
    </row>
    <row r="1156" spans="1:7">
      <c r="A1156" t="str">
        <f t="shared" si="64"/>
        <v>CST</v>
      </c>
      <c r="B1156" t="str">
        <f>"64110000"</f>
        <v>64110000</v>
      </c>
      <c r="C1156" t="str">
        <f t="shared" si="65"/>
        <v>CST641100000</v>
      </c>
      <c r="E1156">
        <v>102547.5</v>
      </c>
      <c r="F1156">
        <v>4146.16</v>
      </c>
      <c r="G1156">
        <f t="shared" si="66"/>
        <v>98401.34</v>
      </c>
    </row>
    <row r="1157" spans="1:7">
      <c r="A1157" t="str">
        <f t="shared" si="64"/>
        <v>CST</v>
      </c>
      <c r="B1157" t="str">
        <f>"64111000"</f>
        <v>64111000</v>
      </c>
      <c r="C1157" t="str">
        <f t="shared" si="65"/>
        <v>CST641110000</v>
      </c>
      <c r="E1157">
        <v>243.11</v>
      </c>
      <c r="F1157">
        <v>0</v>
      </c>
      <c r="G1157">
        <f t="shared" si="66"/>
        <v>243.11</v>
      </c>
    </row>
    <row r="1158" spans="1:7">
      <c r="A1158" t="str">
        <f t="shared" si="64"/>
        <v>CST</v>
      </c>
      <c r="B1158" t="str">
        <f>"64120000"</f>
        <v>64120000</v>
      </c>
      <c r="C1158" t="str">
        <f t="shared" si="65"/>
        <v>CST641200000</v>
      </c>
      <c r="E1158">
        <v>8263.84</v>
      </c>
      <c r="F1158">
        <v>3562.78</v>
      </c>
      <c r="G1158">
        <f t="shared" si="66"/>
        <v>4701.0599999999995</v>
      </c>
    </row>
    <row r="1159" spans="1:7">
      <c r="A1159" t="str">
        <f t="shared" si="64"/>
        <v>CST</v>
      </c>
      <c r="B1159" t="str">
        <f>"64121000"</f>
        <v>64121000</v>
      </c>
      <c r="C1159" t="str">
        <f t="shared" si="65"/>
        <v>CST641210000</v>
      </c>
      <c r="E1159">
        <v>3052.66</v>
      </c>
      <c r="F1159">
        <v>1303.98</v>
      </c>
      <c r="G1159">
        <f t="shared" si="66"/>
        <v>1748.6799999999998</v>
      </c>
    </row>
    <row r="1160" spans="1:7">
      <c r="A1160" t="str">
        <f t="shared" si="64"/>
        <v>CST</v>
      </c>
      <c r="B1160" t="str">
        <f>"64510000"</f>
        <v>64510000</v>
      </c>
      <c r="C1160" t="str">
        <f t="shared" si="65"/>
        <v>CST645100000</v>
      </c>
      <c r="E1160">
        <v>24676.66</v>
      </c>
      <c r="F1160">
        <v>1626.43</v>
      </c>
      <c r="G1160">
        <f t="shared" si="66"/>
        <v>23050.23</v>
      </c>
    </row>
    <row r="1161" spans="1:7">
      <c r="A1161" t="str">
        <f t="shared" si="64"/>
        <v>CST</v>
      </c>
      <c r="B1161" t="str">
        <f>"64520000"</f>
        <v>64520000</v>
      </c>
      <c r="C1161" t="str">
        <f t="shared" si="65"/>
        <v>CST645200000</v>
      </c>
      <c r="E1161">
        <v>2606</v>
      </c>
      <c r="F1161">
        <v>0</v>
      </c>
      <c r="G1161">
        <f t="shared" si="66"/>
        <v>2606</v>
      </c>
    </row>
    <row r="1162" spans="1:7">
      <c r="A1162" t="str">
        <f t="shared" si="64"/>
        <v>CST</v>
      </c>
      <c r="B1162" t="str">
        <f>"64530000"</f>
        <v>64530000</v>
      </c>
      <c r="C1162" t="str">
        <f t="shared" si="65"/>
        <v>CST645300000</v>
      </c>
      <c r="E1162">
        <v>5776.96</v>
      </c>
      <c r="F1162">
        <v>0</v>
      </c>
      <c r="G1162">
        <f t="shared" si="66"/>
        <v>5776.96</v>
      </c>
    </row>
    <row r="1163" spans="1:7">
      <c r="A1163" t="str">
        <f t="shared" si="64"/>
        <v>CST</v>
      </c>
      <c r="B1163" t="str">
        <f>"64540000"</f>
        <v>64540000</v>
      </c>
      <c r="C1163" t="str">
        <f t="shared" si="65"/>
        <v>CST645400000</v>
      </c>
      <c r="E1163">
        <v>4136.8900000000003</v>
      </c>
      <c r="F1163">
        <v>0</v>
      </c>
      <c r="G1163">
        <f t="shared" si="66"/>
        <v>4136.8900000000003</v>
      </c>
    </row>
    <row r="1164" spans="1:7">
      <c r="A1164" t="str">
        <f t="shared" si="64"/>
        <v>CST</v>
      </c>
      <c r="B1164" t="str">
        <f>"64580000"</f>
        <v>64580000</v>
      </c>
      <c r="C1164" t="str">
        <f t="shared" si="65"/>
        <v>CST645800000</v>
      </c>
      <c r="E1164">
        <v>1034.5</v>
      </c>
      <c r="F1164">
        <v>21.61</v>
      </c>
      <c r="G1164">
        <f t="shared" si="66"/>
        <v>1012.89</v>
      </c>
    </row>
    <row r="1165" spans="1:7">
      <c r="A1165" t="str">
        <f t="shared" si="64"/>
        <v>CST</v>
      </c>
      <c r="B1165" t="str">
        <f>"64590000"</f>
        <v>64590000</v>
      </c>
      <c r="C1165" t="str">
        <f t="shared" si="65"/>
        <v>CST645900000</v>
      </c>
      <c r="E1165">
        <v>90.09</v>
      </c>
      <c r="F1165">
        <v>0</v>
      </c>
      <c r="G1165">
        <f t="shared" si="66"/>
        <v>90.09</v>
      </c>
    </row>
    <row r="1166" spans="1:7">
      <c r="A1166" t="str">
        <f t="shared" si="64"/>
        <v>CST</v>
      </c>
      <c r="B1166" t="str">
        <f>"64710000"</f>
        <v>64710000</v>
      </c>
      <c r="C1166" t="str">
        <f t="shared" si="65"/>
        <v>CST647100000</v>
      </c>
      <c r="E1166">
        <v>39.6</v>
      </c>
      <c r="F1166">
        <v>0</v>
      </c>
      <c r="G1166">
        <f t="shared" si="66"/>
        <v>39.6</v>
      </c>
    </row>
    <row r="1167" spans="1:7">
      <c r="A1167" t="str">
        <f t="shared" si="64"/>
        <v>CST</v>
      </c>
      <c r="B1167" t="str">
        <f>"64740000"</f>
        <v>64740000</v>
      </c>
      <c r="C1167" t="str">
        <f t="shared" si="65"/>
        <v>CST647400000</v>
      </c>
      <c r="E1167">
        <v>21.26</v>
      </c>
      <c r="F1167">
        <v>0</v>
      </c>
      <c r="G1167">
        <f t="shared" si="66"/>
        <v>21.26</v>
      </c>
    </row>
    <row r="1168" spans="1:7">
      <c r="A1168" t="str">
        <f t="shared" si="64"/>
        <v>CST</v>
      </c>
      <c r="B1168" t="str">
        <f>"64750000"</f>
        <v>64750000</v>
      </c>
      <c r="C1168" t="str">
        <f t="shared" si="65"/>
        <v>CST647500000</v>
      </c>
      <c r="E1168">
        <v>337.9</v>
      </c>
      <c r="F1168">
        <v>0</v>
      </c>
      <c r="G1168">
        <f t="shared" si="66"/>
        <v>337.9</v>
      </c>
    </row>
    <row r="1169" spans="1:9">
      <c r="A1169" t="str">
        <f t="shared" ref="A1169:A1178" si="67">"CST"</f>
        <v>CST</v>
      </c>
      <c r="B1169" t="str">
        <f>"64800000"</f>
        <v>64800000</v>
      </c>
      <c r="C1169" t="str">
        <f t="shared" si="65"/>
        <v>CST648000000</v>
      </c>
      <c r="E1169" s="19">
        <v>5317.5019999999995</v>
      </c>
      <c r="F1169">
        <v>0</v>
      </c>
      <c r="G1169" s="19">
        <f t="shared" si="66"/>
        <v>5317.5019999999995</v>
      </c>
      <c r="H1169" s="433">
        <v>5277.7919999999995</v>
      </c>
      <c r="I1169" s="113" t="s">
        <v>419</v>
      </c>
    </row>
    <row r="1170" spans="1:9">
      <c r="A1170" t="str">
        <f t="shared" si="67"/>
        <v>CST</v>
      </c>
      <c r="B1170" t="str">
        <f>"65410000"</f>
        <v>65410000</v>
      </c>
      <c r="C1170" t="str">
        <f t="shared" si="65"/>
        <v>CST654100000</v>
      </c>
      <c r="E1170">
        <v>-2.52</v>
      </c>
      <c r="F1170">
        <v>0</v>
      </c>
      <c r="G1170">
        <f t="shared" si="66"/>
        <v>-2.52</v>
      </c>
    </row>
    <row r="1171" spans="1:9">
      <c r="A1171" t="str">
        <f t="shared" si="67"/>
        <v>CST</v>
      </c>
      <c r="B1171" t="str">
        <f>"65420000"</f>
        <v>65420000</v>
      </c>
      <c r="C1171" t="str">
        <f t="shared" si="65"/>
        <v>CST654200000</v>
      </c>
      <c r="E1171">
        <v>39.520000000000003</v>
      </c>
      <c r="F1171">
        <v>0</v>
      </c>
      <c r="G1171">
        <f t="shared" si="66"/>
        <v>39.520000000000003</v>
      </c>
    </row>
    <row r="1172" spans="1:9">
      <c r="A1172" t="str">
        <f t="shared" si="67"/>
        <v>CST</v>
      </c>
      <c r="B1172" t="str">
        <f>"65440000"</f>
        <v>65440000</v>
      </c>
      <c r="C1172" t="str">
        <f t="shared" si="65"/>
        <v>CST654400000</v>
      </c>
      <c r="E1172">
        <v>216.06</v>
      </c>
      <c r="F1172">
        <v>0</v>
      </c>
      <c r="G1172">
        <f t="shared" si="66"/>
        <v>216.06</v>
      </c>
    </row>
    <row r="1173" spans="1:9">
      <c r="A1173" t="str">
        <f t="shared" si="67"/>
        <v>CST</v>
      </c>
      <c r="B1173" t="str">
        <f>"66116000"</f>
        <v>66116000</v>
      </c>
      <c r="C1173" t="str">
        <f t="shared" si="65"/>
        <v>CST661160000</v>
      </c>
      <c r="E1173">
        <v>10649.98</v>
      </c>
      <c r="F1173">
        <v>0</v>
      </c>
      <c r="G1173">
        <f t="shared" si="66"/>
        <v>10649.98</v>
      </c>
    </row>
    <row r="1174" spans="1:9">
      <c r="A1174" t="str">
        <f t="shared" si="67"/>
        <v>CST</v>
      </c>
      <c r="B1174" t="str">
        <f>"67180000"</f>
        <v>67180000</v>
      </c>
      <c r="C1174" t="str">
        <f t="shared" si="65"/>
        <v>CST671800000</v>
      </c>
      <c r="E1174">
        <v>108.99</v>
      </c>
      <c r="F1174">
        <v>0</v>
      </c>
      <c r="G1174">
        <f t="shared" si="66"/>
        <v>108.99</v>
      </c>
    </row>
    <row r="1175" spans="1:9">
      <c r="A1175" t="str">
        <f t="shared" si="67"/>
        <v>CST</v>
      </c>
      <c r="B1175" t="str">
        <f>"68112000"</f>
        <v>68112000</v>
      </c>
      <c r="C1175" t="str">
        <f t="shared" si="65"/>
        <v>CST681120000</v>
      </c>
      <c r="E1175">
        <v>11892.03</v>
      </c>
      <c r="F1175">
        <v>0</v>
      </c>
      <c r="G1175">
        <f t="shared" si="66"/>
        <v>11892.03</v>
      </c>
    </row>
    <row r="1176" spans="1:9">
      <c r="A1176" t="str">
        <f t="shared" si="67"/>
        <v>CST</v>
      </c>
      <c r="B1176" t="str">
        <f>"68173000"</f>
        <v>68173000</v>
      </c>
      <c r="C1176" t="str">
        <f t="shared" si="65"/>
        <v>CST681730000</v>
      </c>
      <c r="E1176">
        <v>2494.0700000000002</v>
      </c>
      <c r="F1176">
        <v>0</v>
      </c>
      <c r="G1176">
        <f t="shared" si="66"/>
        <v>2494.0700000000002</v>
      </c>
    </row>
    <row r="1177" spans="1:9">
      <c r="A1177" t="str">
        <f t="shared" si="67"/>
        <v>CST</v>
      </c>
      <c r="B1177" t="str">
        <f>"68174000"</f>
        <v>68174000</v>
      </c>
      <c r="C1177" t="str">
        <f t="shared" si="65"/>
        <v>CST681740000</v>
      </c>
      <c r="E1177">
        <v>8284.84</v>
      </c>
      <c r="F1177">
        <v>0</v>
      </c>
      <c r="G1177">
        <f t="shared" si="66"/>
        <v>8284.84</v>
      </c>
    </row>
    <row r="1178" spans="1:9">
      <c r="A1178" t="str">
        <f t="shared" si="67"/>
        <v>CST</v>
      </c>
      <c r="B1178" t="str">
        <f>"68725000"</f>
        <v>68725000</v>
      </c>
      <c r="C1178" t="str">
        <f t="shared" si="65"/>
        <v>CST687250000</v>
      </c>
      <c r="E1178">
        <v>653.1</v>
      </c>
      <c r="F1178">
        <v>0</v>
      </c>
      <c r="G1178">
        <f t="shared" si="66"/>
        <v>653.1</v>
      </c>
    </row>
    <row r="1179" spans="1:9">
      <c r="A1179" t="str">
        <f t="shared" ref="A1179:A1242" si="68">"EU"</f>
        <v>EU</v>
      </c>
      <c r="B1179" t="str">
        <f>"60222000"</f>
        <v>60222000</v>
      </c>
      <c r="C1179" t="str">
        <f t="shared" si="65"/>
        <v>EU602220000</v>
      </c>
      <c r="E1179">
        <v>83.83</v>
      </c>
      <c r="F1179">
        <v>0</v>
      </c>
      <c r="G1179">
        <f t="shared" si="66"/>
        <v>83.83</v>
      </c>
    </row>
    <row r="1180" spans="1:9">
      <c r="A1180" t="str">
        <f t="shared" si="68"/>
        <v>EU</v>
      </c>
      <c r="B1180" t="str">
        <f>"60610000"</f>
        <v>60610000</v>
      </c>
      <c r="C1180" t="str">
        <f t="shared" si="65"/>
        <v>EU606100000</v>
      </c>
      <c r="E1180">
        <v>3247.43</v>
      </c>
      <c r="F1180">
        <v>0</v>
      </c>
      <c r="G1180">
        <f t="shared" si="66"/>
        <v>3247.43</v>
      </c>
    </row>
    <row r="1181" spans="1:9">
      <c r="A1181" t="str">
        <f t="shared" si="68"/>
        <v>EU</v>
      </c>
      <c r="B1181" t="str">
        <f>"60611000"</f>
        <v>60611000</v>
      </c>
      <c r="C1181" t="str">
        <f t="shared" si="65"/>
        <v>EU606110000</v>
      </c>
      <c r="E1181">
        <v>20402.14</v>
      </c>
      <c r="F1181">
        <v>0</v>
      </c>
      <c r="G1181">
        <f t="shared" si="66"/>
        <v>20402.14</v>
      </c>
    </row>
    <row r="1182" spans="1:9">
      <c r="A1182" t="str">
        <f t="shared" si="68"/>
        <v>EU</v>
      </c>
      <c r="B1182" t="str">
        <f>"60613000"</f>
        <v>60613000</v>
      </c>
      <c r="C1182" t="str">
        <f t="shared" si="65"/>
        <v>EU606130000</v>
      </c>
      <c r="E1182">
        <v>1628.08</v>
      </c>
      <c r="F1182">
        <v>0</v>
      </c>
      <c r="G1182">
        <f t="shared" si="66"/>
        <v>1628.08</v>
      </c>
    </row>
    <row r="1183" spans="1:9">
      <c r="A1183" t="str">
        <f t="shared" si="68"/>
        <v>EU</v>
      </c>
      <c r="B1183" t="str">
        <f>"60631000"</f>
        <v>60631000</v>
      </c>
      <c r="C1183" t="str">
        <f t="shared" si="65"/>
        <v>EU606310000</v>
      </c>
      <c r="E1183">
        <v>145.97</v>
      </c>
      <c r="F1183">
        <v>0</v>
      </c>
      <c r="G1183">
        <f t="shared" si="66"/>
        <v>145.97</v>
      </c>
    </row>
    <row r="1184" spans="1:9">
      <c r="A1184" t="str">
        <f t="shared" si="68"/>
        <v>EU</v>
      </c>
      <c r="B1184" t="str">
        <f>"60641000"</f>
        <v>60641000</v>
      </c>
      <c r="C1184" t="str">
        <f t="shared" si="65"/>
        <v>EU606410000</v>
      </c>
      <c r="E1184">
        <v>3078.19</v>
      </c>
      <c r="F1184">
        <v>0</v>
      </c>
      <c r="G1184">
        <f t="shared" si="66"/>
        <v>3078.19</v>
      </c>
    </row>
    <row r="1185" spans="1:7">
      <c r="A1185" t="str">
        <f t="shared" si="68"/>
        <v>EU</v>
      </c>
      <c r="B1185" t="str">
        <f>"60710000"</f>
        <v>60710000</v>
      </c>
      <c r="C1185" t="str">
        <f t="shared" si="65"/>
        <v>EU607100000</v>
      </c>
      <c r="E1185">
        <v>416827.6</v>
      </c>
      <c r="F1185">
        <v>3620.17</v>
      </c>
      <c r="G1185">
        <f t="shared" si="66"/>
        <v>413207.43</v>
      </c>
    </row>
    <row r="1186" spans="1:7">
      <c r="A1186" t="str">
        <f t="shared" si="68"/>
        <v>EU</v>
      </c>
      <c r="B1186" t="str">
        <f>"60711000"</f>
        <v>60711000</v>
      </c>
      <c r="C1186" t="str">
        <f t="shared" si="65"/>
        <v>EU607110000</v>
      </c>
      <c r="E1186">
        <v>34520.160000000003</v>
      </c>
      <c r="F1186">
        <v>0</v>
      </c>
      <c r="G1186">
        <f t="shared" si="66"/>
        <v>34520.160000000003</v>
      </c>
    </row>
    <row r="1187" spans="1:7">
      <c r="A1187" t="str">
        <f t="shared" si="68"/>
        <v>EU</v>
      </c>
      <c r="B1187" t="str">
        <f>"60712000"</f>
        <v>60712000</v>
      </c>
      <c r="C1187" t="str">
        <f t="shared" si="65"/>
        <v>EU607120000</v>
      </c>
      <c r="E1187">
        <v>-46.92</v>
      </c>
      <c r="F1187">
        <v>0</v>
      </c>
      <c r="G1187">
        <f t="shared" si="66"/>
        <v>-46.92</v>
      </c>
    </row>
    <row r="1188" spans="1:7">
      <c r="A1188" t="str">
        <f t="shared" si="68"/>
        <v>EU</v>
      </c>
      <c r="B1188" t="str">
        <f>"60713000"</f>
        <v>60713000</v>
      </c>
      <c r="C1188" t="str">
        <f t="shared" si="65"/>
        <v>EU607130000</v>
      </c>
      <c r="E1188">
        <v>35499</v>
      </c>
      <c r="F1188">
        <v>0</v>
      </c>
      <c r="G1188">
        <f t="shared" si="66"/>
        <v>35499</v>
      </c>
    </row>
    <row r="1189" spans="1:7">
      <c r="A1189" t="str">
        <f t="shared" si="68"/>
        <v>EU</v>
      </c>
      <c r="B1189" t="str">
        <f>"60714000"</f>
        <v>60714000</v>
      </c>
      <c r="C1189" t="str">
        <f t="shared" si="65"/>
        <v>EU607140000</v>
      </c>
      <c r="E1189">
        <v>-119182</v>
      </c>
      <c r="F1189">
        <v>0</v>
      </c>
      <c r="G1189">
        <f t="shared" si="66"/>
        <v>-119182</v>
      </c>
    </row>
    <row r="1190" spans="1:7">
      <c r="A1190" t="str">
        <f t="shared" si="68"/>
        <v>EU</v>
      </c>
      <c r="B1190" t="str">
        <f>"60720000"</f>
        <v>60720000</v>
      </c>
      <c r="C1190" t="str">
        <f t="shared" si="65"/>
        <v>EU607200000</v>
      </c>
      <c r="E1190">
        <v>311222.63</v>
      </c>
      <c r="F1190">
        <v>0</v>
      </c>
      <c r="G1190">
        <f t="shared" si="66"/>
        <v>311222.63</v>
      </c>
    </row>
    <row r="1191" spans="1:7">
      <c r="A1191" t="str">
        <f t="shared" si="68"/>
        <v>EU</v>
      </c>
      <c r="B1191" t="str">
        <f>"60740000"</f>
        <v>60740000</v>
      </c>
      <c r="C1191" t="str">
        <f t="shared" si="65"/>
        <v>EU607400000</v>
      </c>
      <c r="E1191">
        <v>3249.57</v>
      </c>
      <c r="F1191">
        <v>75.73</v>
      </c>
      <c r="G1191">
        <f t="shared" si="66"/>
        <v>3173.84</v>
      </c>
    </row>
    <row r="1192" spans="1:7">
      <c r="A1192" t="str">
        <f t="shared" si="68"/>
        <v>EU</v>
      </c>
      <c r="B1192" t="str">
        <f>"60800000"</f>
        <v>60800000</v>
      </c>
      <c r="C1192" t="str">
        <f t="shared" si="65"/>
        <v>EU608000000</v>
      </c>
      <c r="E1192">
        <v>666.79</v>
      </c>
      <c r="F1192">
        <v>0</v>
      </c>
      <c r="G1192">
        <f t="shared" si="66"/>
        <v>666.79</v>
      </c>
    </row>
    <row r="1193" spans="1:7">
      <c r="A1193" t="str">
        <f t="shared" si="68"/>
        <v>EU</v>
      </c>
      <c r="B1193" t="str">
        <f>"60911000"</f>
        <v>60911000</v>
      </c>
      <c r="C1193" t="str">
        <f t="shared" si="65"/>
        <v>EU609110000</v>
      </c>
      <c r="E1193">
        <v>-9195.7800000000007</v>
      </c>
      <c r="F1193">
        <v>0</v>
      </c>
      <c r="G1193">
        <f t="shared" si="66"/>
        <v>-9195.7800000000007</v>
      </c>
    </row>
    <row r="1194" spans="1:7">
      <c r="A1194" t="str">
        <f t="shared" si="68"/>
        <v>EU</v>
      </c>
      <c r="B1194" t="str">
        <f>"60912000"</f>
        <v>60912000</v>
      </c>
      <c r="C1194" t="str">
        <f t="shared" si="65"/>
        <v>EU609120000</v>
      </c>
      <c r="E1194">
        <v>-21442.82</v>
      </c>
      <c r="F1194">
        <v>0</v>
      </c>
      <c r="G1194">
        <f t="shared" si="66"/>
        <v>-21442.82</v>
      </c>
    </row>
    <row r="1195" spans="1:7">
      <c r="A1195" t="str">
        <f t="shared" si="68"/>
        <v>EU</v>
      </c>
      <c r="B1195" t="str">
        <f>"60913000"</f>
        <v>60913000</v>
      </c>
      <c r="C1195" t="str">
        <f t="shared" si="65"/>
        <v>EU609130000</v>
      </c>
      <c r="E1195">
        <v>-12253.04</v>
      </c>
      <c r="F1195">
        <v>0</v>
      </c>
      <c r="G1195">
        <f t="shared" si="66"/>
        <v>-12253.04</v>
      </c>
    </row>
    <row r="1196" spans="1:7">
      <c r="A1196" t="str">
        <f t="shared" si="68"/>
        <v>EU</v>
      </c>
      <c r="B1196" t="str">
        <f>"61320000"</f>
        <v>61320000</v>
      </c>
      <c r="C1196" t="str">
        <f t="shared" si="65"/>
        <v>EU613200000</v>
      </c>
      <c r="E1196">
        <v>36587.760000000002</v>
      </c>
      <c r="F1196">
        <v>0</v>
      </c>
      <c r="G1196">
        <f t="shared" si="66"/>
        <v>36587.760000000002</v>
      </c>
    </row>
    <row r="1197" spans="1:7">
      <c r="A1197" t="str">
        <f t="shared" si="68"/>
        <v>EU</v>
      </c>
      <c r="B1197" t="str">
        <f>"61353000"</f>
        <v>61353000</v>
      </c>
      <c r="C1197" t="str">
        <f t="shared" si="65"/>
        <v>EU613530000</v>
      </c>
      <c r="E1197">
        <v>180</v>
      </c>
      <c r="F1197">
        <v>0</v>
      </c>
      <c r="G1197">
        <f t="shared" si="66"/>
        <v>180</v>
      </c>
    </row>
    <row r="1198" spans="1:7">
      <c r="A1198" t="str">
        <f t="shared" si="68"/>
        <v>EU</v>
      </c>
      <c r="B1198" t="str">
        <f>"61354000"</f>
        <v>61354000</v>
      </c>
      <c r="C1198" t="str">
        <f t="shared" si="65"/>
        <v>EU613540000</v>
      </c>
      <c r="E1198">
        <v>854.68</v>
      </c>
      <c r="F1198">
        <v>0</v>
      </c>
      <c r="G1198">
        <f t="shared" si="66"/>
        <v>854.68</v>
      </c>
    </row>
    <row r="1199" spans="1:7">
      <c r="A1199" t="str">
        <f t="shared" si="68"/>
        <v>EU</v>
      </c>
      <c r="B1199" t="str">
        <f>"61520000"</f>
        <v>61520000</v>
      </c>
      <c r="C1199" t="str">
        <f t="shared" si="65"/>
        <v>EU615200000</v>
      </c>
      <c r="E1199">
        <v>560.37</v>
      </c>
      <c r="F1199">
        <v>0</v>
      </c>
      <c r="G1199">
        <f t="shared" si="66"/>
        <v>560.37</v>
      </c>
    </row>
    <row r="1200" spans="1:7">
      <c r="A1200" t="str">
        <f t="shared" si="68"/>
        <v>EU</v>
      </c>
      <c r="B1200" t="str">
        <f>"61550000"</f>
        <v>61550000</v>
      </c>
      <c r="C1200" t="str">
        <f t="shared" si="65"/>
        <v>EU615500000</v>
      </c>
      <c r="E1200">
        <v>1412</v>
      </c>
      <c r="F1200">
        <v>14</v>
      </c>
      <c r="G1200">
        <f t="shared" si="66"/>
        <v>1398</v>
      </c>
    </row>
    <row r="1201" spans="1:7">
      <c r="A1201" t="str">
        <f t="shared" si="68"/>
        <v>EU</v>
      </c>
      <c r="B1201" t="str">
        <f>"61551000"</f>
        <v>61551000</v>
      </c>
      <c r="C1201" t="str">
        <f t="shared" si="65"/>
        <v>EU615510000</v>
      </c>
      <c r="E1201">
        <v>4486.2700000000004</v>
      </c>
      <c r="F1201">
        <v>0</v>
      </c>
      <c r="G1201">
        <f t="shared" si="66"/>
        <v>4486.2700000000004</v>
      </c>
    </row>
    <row r="1202" spans="1:7">
      <c r="A1202" t="str">
        <f t="shared" si="68"/>
        <v>EU</v>
      </c>
      <c r="B1202" t="str">
        <f>"61552000"</f>
        <v>61552000</v>
      </c>
      <c r="C1202" t="str">
        <f t="shared" si="65"/>
        <v>EU615520000</v>
      </c>
      <c r="E1202">
        <v>1241.4100000000001</v>
      </c>
      <c r="F1202">
        <v>0</v>
      </c>
      <c r="G1202">
        <f t="shared" si="66"/>
        <v>1241.4100000000001</v>
      </c>
    </row>
    <row r="1203" spans="1:7">
      <c r="A1203" t="str">
        <f t="shared" si="68"/>
        <v>EU</v>
      </c>
      <c r="B1203" t="str">
        <f>"61612000"</f>
        <v>61612000</v>
      </c>
      <c r="C1203" t="str">
        <f t="shared" si="65"/>
        <v>EU616120000</v>
      </c>
      <c r="E1203">
        <v>1104.6300000000001</v>
      </c>
      <c r="F1203">
        <v>0</v>
      </c>
      <c r="G1203">
        <f t="shared" si="66"/>
        <v>1104.6300000000001</v>
      </c>
    </row>
    <row r="1204" spans="1:7">
      <c r="A1204" t="str">
        <f t="shared" si="68"/>
        <v>EU</v>
      </c>
      <c r="B1204" t="str">
        <f>"61613000"</f>
        <v>61613000</v>
      </c>
      <c r="C1204" t="str">
        <f t="shared" si="65"/>
        <v>EU616130000</v>
      </c>
      <c r="E1204">
        <v>4561.0200000000004</v>
      </c>
      <c r="F1204">
        <v>0</v>
      </c>
      <c r="G1204">
        <f t="shared" si="66"/>
        <v>4561.0200000000004</v>
      </c>
    </row>
    <row r="1205" spans="1:7">
      <c r="A1205" t="str">
        <f t="shared" si="68"/>
        <v>EU</v>
      </c>
      <c r="B1205" t="str">
        <f>"61810000"</f>
        <v>61810000</v>
      </c>
      <c r="C1205" t="str">
        <f t="shared" si="65"/>
        <v>EU618100000</v>
      </c>
      <c r="E1205">
        <v>56.1</v>
      </c>
      <c r="F1205">
        <v>0</v>
      </c>
      <c r="G1205">
        <f t="shared" si="66"/>
        <v>56.1</v>
      </c>
    </row>
    <row r="1206" spans="1:7">
      <c r="A1206" t="str">
        <f t="shared" si="68"/>
        <v>EU</v>
      </c>
      <c r="B1206" t="str">
        <f>"61850000"</f>
        <v>61850000</v>
      </c>
      <c r="C1206" t="str">
        <f t="shared" si="65"/>
        <v>EU618500000</v>
      </c>
      <c r="E1206">
        <v>103.81</v>
      </c>
      <c r="F1206">
        <v>0</v>
      </c>
      <c r="G1206">
        <f t="shared" si="66"/>
        <v>103.81</v>
      </c>
    </row>
    <row r="1207" spans="1:7">
      <c r="A1207" t="str">
        <f t="shared" si="68"/>
        <v>EU</v>
      </c>
      <c r="B1207" t="str">
        <f>"62310000"</f>
        <v>62310000</v>
      </c>
      <c r="C1207" t="str">
        <f t="shared" si="65"/>
        <v>EU623100000</v>
      </c>
      <c r="E1207">
        <v>1171.8</v>
      </c>
      <c r="F1207">
        <v>0</v>
      </c>
      <c r="G1207">
        <f t="shared" si="66"/>
        <v>1171.8</v>
      </c>
    </row>
    <row r="1208" spans="1:7">
      <c r="A1208" t="str">
        <f t="shared" si="68"/>
        <v>EU</v>
      </c>
      <c r="B1208" t="str">
        <f>"62320000"</f>
        <v>62320000</v>
      </c>
      <c r="C1208" t="str">
        <f t="shared" si="65"/>
        <v>EU623200000</v>
      </c>
      <c r="E1208">
        <v>3163.81</v>
      </c>
      <c r="F1208">
        <v>0</v>
      </c>
      <c r="G1208">
        <f t="shared" si="66"/>
        <v>3163.81</v>
      </c>
    </row>
    <row r="1209" spans="1:7">
      <c r="A1209" t="str">
        <f t="shared" si="68"/>
        <v>EU</v>
      </c>
      <c r="B1209" t="str">
        <f>"62330000"</f>
        <v>62330000</v>
      </c>
      <c r="C1209" t="str">
        <f t="shared" si="65"/>
        <v>EU623300000</v>
      </c>
      <c r="E1209">
        <v>130.91999999999999</v>
      </c>
      <c r="F1209">
        <v>0</v>
      </c>
      <c r="G1209">
        <f t="shared" si="66"/>
        <v>130.91999999999999</v>
      </c>
    </row>
    <row r="1210" spans="1:7">
      <c r="A1210" t="str">
        <f t="shared" si="68"/>
        <v>EU</v>
      </c>
      <c r="B1210" t="str">
        <f>"62341000"</f>
        <v>62341000</v>
      </c>
      <c r="C1210" t="str">
        <f t="shared" si="65"/>
        <v>EU623410000</v>
      </c>
      <c r="E1210">
        <v>2745.91</v>
      </c>
      <c r="F1210">
        <v>0</v>
      </c>
      <c r="G1210">
        <f t="shared" si="66"/>
        <v>2745.91</v>
      </c>
    </row>
    <row r="1211" spans="1:7">
      <c r="A1211" t="str">
        <f t="shared" si="68"/>
        <v>EU</v>
      </c>
      <c r="B1211" t="str">
        <f>"62342000"</f>
        <v>62342000</v>
      </c>
      <c r="C1211" t="str">
        <f t="shared" si="65"/>
        <v>EU623420000</v>
      </c>
      <c r="E1211">
        <v>-97.05</v>
      </c>
      <c r="F1211">
        <v>0</v>
      </c>
      <c r="G1211">
        <f t="shared" si="66"/>
        <v>-97.05</v>
      </c>
    </row>
    <row r="1212" spans="1:7">
      <c r="A1212" t="str">
        <f t="shared" si="68"/>
        <v>EU</v>
      </c>
      <c r="B1212" t="str">
        <f>"62370000"</f>
        <v>62370000</v>
      </c>
      <c r="C1212" t="str">
        <f t="shared" si="65"/>
        <v>EU623700000</v>
      </c>
      <c r="E1212">
        <v>7473.15</v>
      </c>
      <c r="F1212">
        <v>-221.9</v>
      </c>
      <c r="G1212">
        <f t="shared" si="66"/>
        <v>7695.0499999999993</v>
      </c>
    </row>
    <row r="1213" spans="1:7">
      <c r="A1213" t="str">
        <f t="shared" si="68"/>
        <v>EU</v>
      </c>
      <c r="B1213" t="str">
        <f>"62380000"</f>
        <v>62380000</v>
      </c>
      <c r="C1213" t="str">
        <f t="shared" si="65"/>
        <v>EU623800000</v>
      </c>
      <c r="E1213">
        <v>105</v>
      </c>
      <c r="F1213">
        <v>0</v>
      </c>
      <c r="G1213">
        <f t="shared" si="66"/>
        <v>105</v>
      </c>
    </row>
    <row r="1214" spans="1:7">
      <c r="A1214" t="str">
        <f t="shared" si="68"/>
        <v>EU</v>
      </c>
      <c r="B1214" t="str">
        <f>"62381000"</f>
        <v>62381000</v>
      </c>
      <c r="C1214" t="str">
        <f t="shared" si="65"/>
        <v>EU623810000</v>
      </c>
      <c r="E1214">
        <v>-8599.2800000000007</v>
      </c>
      <c r="F1214">
        <v>0</v>
      </c>
      <c r="G1214">
        <f t="shared" si="66"/>
        <v>-8599.2800000000007</v>
      </c>
    </row>
    <row r="1215" spans="1:7">
      <c r="A1215" t="str">
        <f t="shared" si="68"/>
        <v>EU</v>
      </c>
      <c r="B1215" t="str">
        <f>"62420000"</f>
        <v>62420000</v>
      </c>
      <c r="C1215" t="str">
        <f t="shared" si="65"/>
        <v>EU624200000</v>
      </c>
      <c r="E1215">
        <v>3830.88</v>
      </c>
      <c r="F1215">
        <v>0</v>
      </c>
      <c r="G1215">
        <f t="shared" si="66"/>
        <v>3830.88</v>
      </c>
    </row>
    <row r="1216" spans="1:7">
      <c r="A1216" t="str">
        <f t="shared" si="68"/>
        <v>EU</v>
      </c>
      <c r="B1216" t="str">
        <f>"62510000"</f>
        <v>62510000</v>
      </c>
      <c r="C1216" t="str">
        <f t="shared" si="65"/>
        <v>EU625100000</v>
      </c>
      <c r="E1216">
        <v>6638.01</v>
      </c>
      <c r="F1216">
        <v>0</v>
      </c>
      <c r="G1216">
        <f t="shared" si="66"/>
        <v>6638.01</v>
      </c>
    </row>
    <row r="1217" spans="1:7">
      <c r="A1217" t="str">
        <f t="shared" si="68"/>
        <v>EU</v>
      </c>
      <c r="B1217" t="str">
        <f>"62520000"</f>
        <v>62520000</v>
      </c>
      <c r="C1217" t="str">
        <f t="shared" si="65"/>
        <v>EU625200000</v>
      </c>
      <c r="E1217">
        <v>70</v>
      </c>
      <c r="F1217">
        <v>0</v>
      </c>
      <c r="G1217">
        <f t="shared" si="66"/>
        <v>70</v>
      </c>
    </row>
    <row r="1218" spans="1:7">
      <c r="A1218" t="str">
        <f t="shared" si="68"/>
        <v>EU</v>
      </c>
      <c r="B1218" t="str">
        <f>"62560000"</f>
        <v>62560000</v>
      </c>
      <c r="C1218" t="str">
        <f t="shared" si="65"/>
        <v>EU625600000</v>
      </c>
      <c r="E1218">
        <v>25.23</v>
      </c>
      <c r="F1218">
        <v>0</v>
      </c>
      <c r="G1218">
        <f t="shared" si="66"/>
        <v>25.23</v>
      </c>
    </row>
    <row r="1219" spans="1:7">
      <c r="A1219" t="str">
        <f t="shared" si="68"/>
        <v>EU</v>
      </c>
      <c r="B1219" t="str">
        <f>"62570000"</f>
        <v>62570000</v>
      </c>
      <c r="C1219" t="str">
        <f t="shared" ref="C1219:C1282" si="69">+A1219&amp;B1219*10</f>
        <v>EU625700000</v>
      </c>
      <c r="E1219">
        <v>971.73</v>
      </c>
      <c r="F1219">
        <v>0</v>
      </c>
      <c r="G1219">
        <f t="shared" ref="G1219:G1282" si="70">+E1219-F1219</f>
        <v>971.73</v>
      </c>
    </row>
    <row r="1220" spans="1:7">
      <c r="A1220" t="str">
        <f t="shared" si="68"/>
        <v>EU</v>
      </c>
      <c r="B1220" t="str">
        <f>"62571000"</f>
        <v>62571000</v>
      </c>
      <c r="C1220" t="str">
        <f t="shared" si="69"/>
        <v>EU625710000</v>
      </c>
      <c r="E1220">
        <v>16</v>
      </c>
      <c r="F1220">
        <v>0</v>
      </c>
      <c r="G1220">
        <f t="shared" si="70"/>
        <v>16</v>
      </c>
    </row>
    <row r="1221" spans="1:7">
      <c r="A1221" t="str">
        <f t="shared" si="68"/>
        <v>EU</v>
      </c>
      <c r="B1221" t="str">
        <f>"62600000"</f>
        <v>62600000</v>
      </c>
      <c r="C1221" t="str">
        <f t="shared" si="69"/>
        <v>EU626000000</v>
      </c>
      <c r="E1221">
        <v>3620.17</v>
      </c>
      <c r="F1221">
        <v>0</v>
      </c>
      <c r="G1221">
        <f t="shared" si="70"/>
        <v>3620.17</v>
      </c>
    </row>
    <row r="1222" spans="1:7">
      <c r="A1222" t="str">
        <f t="shared" si="68"/>
        <v>EU</v>
      </c>
      <c r="B1222" t="str">
        <f>"62610000"</f>
        <v>62610000</v>
      </c>
      <c r="C1222" t="str">
        <f t="shared" si="69"/>
        <v>EU626100000</v>
      </c>
      <c r="E1222">
        <v>1799.07</v>
      </c>
      <c r="F1222">
        <v>0</v>
      </c>
      <c r="G1222">
        <f t="shared" si="70"/>
        <v>1799.07</v>
      </c>
    </row>
    <row r="1223" spans="1:7">
      <c r="A1223" t="str">
        <f t="shared" si="68"/>
        <v>EU</v>
      </c>
      <c r="B1223" t="str">
        <f>"62752000"</f>
        <v>62752000</v>
      </c>
      <c r="C1223" t="str">
        <f t="shared" si="69"/>
        <v>EU627520000</v>
      </c>
      <c r="E1223">
        <v>106.8</v>
      </c>
      <c r="F1223">
        <v>0</v>
      </c>
      <c r="G1223">
        <f t="shared" si="70"/>
        <v>106.8</v>
      </c>
    </row>
    <row r="1224" spans="1:7">
      <c r="A1224" t="str">
        <f t="shared" si="68"/>
        <v>EU</v>
      </c>
      <c r="B1224" t="str">
        <f>"63330000"</f>
        <v>63330000</v>
      </c>
      <c r="C1224" t="str">
        <f t="shared" si="69"/>
        <v>EU633300000</v>
      </c>
      <c r="E1224">
        <v>1490</v>
      </c>
      <c r="F1224">
        <v>0</v>
      </c>
      <c r="G1224">
        <f t="shared" si="70"/>
        <v>1490</v>
      </c>
    </row>
    <row r="1225" spans="1:7">
      <c r="A1225" t="str">
        <f t="shared" si="68"/>
        <v>EU</v>
      </c>
      <c r="B1225" t="str">
        <f>"63340000"</f>
        <v>63340000</v>
      </c>
      <c r="C1225" t="str">
        <f t="shared" si="69"/>
        <v>EU633400000</v>
      </c>
      <c r="E1225">
        <v>820</v>
      </c>
      <c r="F1225">
        <v>0</v>
      </c>
      <c r="G1225">
        <f t="shared" si="70"/>
        <v>820</v>
      </c>
    </row>
    <row r="1226" spans="1:7">
      <c r="A1226" t="str">
        <f t="shared" si="68"/>
        <v>EU</v>
      </c>
      <c r="B1226" t="str">
        <f>"63350000"</f>
        <v>63350000</v>
      </c>
      <c r="C1226" t="str">
        <f t="shared" si="69"/>
        <v>EU633500000</v>
      </c>
      <c r="E1226">
        <v>1240</v>
      </c>
      <c r="F1226">
        <v>0</v>
      </c>
      <c r="G1226">
        <f t="shared" si="70"/>
        <v>1240</v>
      </c>
    </row>
    <row r="1227" spans="1:7">
      <c r="A1227" t="str">
        <f t="shared" si="68"/>
        <v>EU</v>
      </c>
      <c r="B1227" t="str">
        <f>"63511000"</f>
        <v>63511000</v>
      </c>
      <c r="C1227" t="str">
        <f t="shared" si="69"/>
        <v>EU635110000</v>
      </c>
      <c r="E1227">
        <v>8715</v>
      </c>
      <c r="F1227">
        <v>0</v>
      </c>
      <c r="G1227">
        <f t="shared" si="70"/>
        <v>8715</v>
      </c>
    </row>
    <row r="1228" spans="1:7">
      <c r="A1228" t="str">
        <f t="shared" si="68"/>
        <v>EU</v>
      </c>
      <c r="B1228" t="str">
        <f>"63512000"</f>
        <v>63512000</v>
      </c>
      <c r="C1228" t="str">
        <f t="shared" si="69"/>
        <v>EU635120000</v>
      </c>
      <c r="E1228">
        <v>10034</v>
      </c>
      <c r="F1228">
        <v>0</v>
      </c>
      <c r="G1228">
        <f t="shared" si="70"/>
        <v>10034</v>
      </c>
    </row>
    <row r="1229" spans="1:7">
      <c r="A1229" t="str">
        <f t="shared" si="68"/>
        <v>EU</v>
      </c>
      <c r="B1229" t="str">
        <f>"63710000"</f>
        <v>63710000</v>
      </c>
      <c r="C1229" t="str">
        <f t="shared" si="69"/>
        <v>EU637100000</v>
      </c>
      <c r="E1229">
        <v>6891.08</v>
      </c>
      <c r="F1229">
        <v>0</v>
      </c>
      <c r="G1229">
        <f t="shared" si="70"/>
        <v>6891.08</v>
      </c>
    </row>
    <row r="1230" spans="1:7">
      <c r="A1230" t="str">
        <f t="shared" si="68"/>
        <v>EU</v>
      </c>
      <c r="B1230" t="str">
        <f>"64110000"</f>
        <v>64110000</v>
      </c>
      <c r="C1230" t="str">
        <f t="shared" si="69"/>
        <v>EU641100000</v>
      </c>
      <c r="E1230">
        <v>199693.9</v>
      </c>
      <c r="F1230">
        <v>0</v>
      </c>
      <c r="G1230">
        <f t="shared" si="70"/>
        <v>199693.9</v>
      </c>
    </row>
    <row r="1231" spans="1:7">
      <c r="A1231" t="str">
        <f t="shared" si="68"/>
        <v>EU</v>
      </c>
      <c r="B1231" t="str">
        <f>"64111000"</f>
        <v>64111000</v>
      </c>
      <c r="C1231" t="str">
        <f t="shared" si="69"/>
        <v>EU641110000</v>
      </c>
      <c r="E1231">
        <v>37.5</v>
      </c>
      <c r="F1231">
        <v>0</v>
      </c>
      <c r="G1231">
        <f t="shared" si="70"/>
        <v>37.5</v>
      </c>
    </row>
    <row r="1232" spans="1:7">
      <c r="A1232" t="str">
        <f t="shared" si="68"/>
        <v>EU</v>
      </c>
      <c r="B1232" t="str">
        <f>"64120000"</f>
        <v>64120000</v>
      </c>
      <c r="C1232" t="str">
        <f t="shared" si="69"/>
        <v>EU641200000</v>
      </c>
      <c r="E1232">
        <v>16720.330000000002</v>
      </c>
      <c r="F1232">
        <v>17137</v>
      </c>
      <c r="G1232">
        <f t="shared" si="70"/>
        <v>-416.66999999999825</v>
      </c>
    </row>
    <row r="1233" spans="1:9">
      <c r="A1233" t="str">
        <f t="shared" si="68"/>
        <v>EU</v>
      </c>
      <c r="B1233" t="str">
        <f>"64121000"</f>
        <v>64121000</v>
      </c>
      <c r="C1233" t="str">
        <f t="shared" si="69"/>
        <v>EU641210000</v>
      </c>
      <c r="E1233">
        <v>5477.58</v>
      </c>
      <c r="F1233">
        <v>5495.84</v>
      </c>
      <c r="G1233">
        <f t="shared" si="70"/>
        <v>-18.260000000000218</v>
      </c>
    </row>
    <row r="1234" spans="1:9">
      <c r="A1234" t="str">
        <f t="shared" si="68"/>
        <v>EU</v>
      </c>
      <c r="B1234" t="str">
        <f>"64160000"</f>
        <v>64160000</v>
      </c>
      <c r="C1234" t="str">
        <f t="shared" si="69"/>
        <v>EU641600000</v>
      </c>
      <c r="E1234">
        <v>2645.93</v>
      </c>
      <c r="F1234">
        <v>0</v>
      </c>
      <c r="G1234">
        <f t="shared" si="70"/>
        <v>2645.93</v>
      </c>
    </row>
    <row r="1235" spans="1:9">
      <c r="A1235" t="str">
        <f t="shared" si="68"/>
        <v>EU</v>
      </c>
      <c r="B1235" t="str">
        <f>"64510000"</f>
        <v>64510000</v>
      </c>
      <c r="C1235" t="str">
        <f t="shared" si="69"/>
        <v>EU645100000</v>
      </c>
      <c r="E1235">
        <v>43516.36</v>
      </c>
      <c r="F1235">
        <v>405.2</v>
      </c>
      <c r="G1235">
        <f t="shared" si="70"/>
        <v>43111.16</v>
      </c>
    </row>
    <row r="1236" spans="1:9">
      <c r="A1236" t="str">
        <f t="shared" si="68"/>
        <v>EU</v>
      </c>
      <c r="B1236" t="str">
        <f>"64520000"</f>
        <v>64520000</v>
      </c>
      <c r="C1236" t="str">
        <f t="shared" si="69"/>
        <v>EU645200000</v>
      </c>
      <c r="E1236">
        <v>5620.84</v>
      </c>
      <c r="F1236">
        <v>0</v>
      </c>
      <c r="G1236">
        <f t="shared" si="70"/>
        <v>5620.84</v>
      </c>
    </row>
    <row r="1237" spans="1:9">
      <c r="A1237" t="str">
        <f t="shared" si="68"/>
        <v>EU</v>
      </c>
      <c r="B1237" t="str">
        <f>"64530000"</f>
        <v>64530000</v>
      </c>
      <c r="C1237" t="str">
        <f t="shared" si="69"/>
        <v>EU645300000</v>
      </c>
      <c r="E1237">
        <v>10928.15</v>
      </c>
      <c r="F1237">
        <v>0</v>
      </c>
      <c r="G1237">
        <f t="shared" si="70"/>
        <v>10928.15</v>
      </c>
    </row>
    <row r="1238" spans="1:9">
      <c r="A1238" t="str">
        <f t="shared" si="68"/>
        <v>EU</v>
      </c>
      <c r="B1238" t="str">
        <f>"64540000"</f>
        <v>64540000</v>
      </c>
      <c r="C1238" t="str">
        <f t="shared" si="69"/>
        <v>EU645400000</v>
      </c>
      <c r="E1238">
        <v>7747.87</v>
      </c>
      <c r="F1238">
        <v>0</v>
      </c>
      <c r="G1238">
        <f t="shared" si="70"/>
        <v>7747.87</v>
      </c>
    </row>
    <row r="1239" spans="1:9">
      <c r="A1239" t="str">
        <f t="shared" si="68"/>
        <v>EU</v>
      </c>
      <c r="B1239" t="str">
        <f>"64590000"</f>
        <v>64590000</v>
      </c>
      <c r="C1239" t="str">
        <f t="shared" si="69"/>
        <v>EU645900000</v>
      </c>
      <c r="E1239">
        <v>13.83</v>
      </c>
      <c r="F1239">
        <v>0</v>
      </c>
      <c r="G1239">
        <f t="shared" si="70"/>
        <v>13.83</v>
      </c>
    </row>
    <row r="1240" spans="1:9">
      <c r="A1240" t="str">
        <f t="shared" si="68"/>
        <v>EU</v>
      </c>
      <c r="B1240" t="str">
        <f>"64710000"</f>
        <v>64710000</v>
      </c>
      <c r="C1240" t="str">
        <f t="shared" si="69"/>
        <v>EU647100000</v>
      </c>
      <c r="E1240">
        <v>39.6</v>
      </c>
      <c r="F1240">
        <v>0</v>
      </c>
      <c r="G1240">
        <f t="shared" si="70"/>
        <v>39.6</v>
      </c>
    </row>
    <row r="1241" spans="1:9">
      <c r="A1241" t="str">
        <f t="shared" si="68"/>
        <v>EU</v>
      </c>
      <c r="B1241" t="str">
        <f>"64740000"</f>
        <v>64740000</v>
      </c>
      <c r="C1241" t="str">
        <f t="shared" si="69"/>
        <v>EU647400000</v>
      </c>
      <c r="E1241">
        <v>100.36</v>
      </c>
      <c r="F1241">
        <v>0</v>
      </c>
      <c r="G1241">
        <f t="shared" si="70"/>
        <v>100.36</v>
      </c>
    </row>
    <row r="1242" spans="1:9">
      <c r="A1242" t="str">
        <f t="shared" si="68"/>
        <v>EU</v>
      </c>
      <c r="B1242" t="str">
        <f>"64750000"</f>
        <v>64750000</v>
      </c>
      <c r="C1242" t="str">
        <f t="shared" si="69"/>
        <v>EU647500000</v>
      </c>
      <c r="E1242">
        <v>722.05</v>
      </c>
      <c r="F1242">
        <v>0</v>
      </c>
      <c r="G1242">
        <f t="shared" si="70"/>
        <v>722.05</v>
      </c>
    </row>
    <row r="1243" spans="1:9">
      <c r="A1243" t="str">
        <f t="shared" ref="A1243:A1254" si="71">"EU"</f>
        <v>EU</v>
      </c>
      <c r="B1243" t="str">
        <f>"64800000"</f>
        <v>64800000</v>
      </c>
      <c r="C1243" t="str">
        <f t="shared" si="69"/>
        <v>EU648000000</v>
      </c>
      <c r="E1243" s="19">
        <v>24584.285439999996</v>
      </c>
      <c r="F1243">
        <v>0.41</v>
      </c>
      <c r="G1243" s="19">
        <f t="shared" si="70"/>
        <v>24583.875439999996</v>
      </c>
      <c r="H1243" s="433">
        <v>21887.305439999996</v>
      </c>
      <c r="I1243" s="113" t="s">
        <v>334</v>
      </c>
    </row>
    <row r="1244" spans="1:9">
      <c r="A1244" t="str">
        <f t="shared" si="71"/>
        <v>EU</v>
      </c>
      <c r="B1244" t="str">
        <f>"65160000"</f>
        <v>65160000</v>
      </c>
      <c r="C1244" t="str">
        <f t="shared" si="69"/>
        <v>EU651600000</v>
      </c>
      <c r="E1244">
        <v>597.47</v>
      </c>
      <c r="F1244">
        <v>0</v>
      </c>
      <c r="G1244">
        <f t="shared" si="70"/>
        <v>597.47</v>
      </c>
    </row>
    <row r="1245" spans="1:9">
      <c r="A1245" t="str">
        <f t="shared" si="71"/>
        <v>EU</v>
      </c>
      <c r="B1245" t="str">
        <f>"65410000"</f>
        <v>65410000</v>
      </c>
      <c r="C1245" t="str">
        <f t="shared" si="69"/>
        <v>EU654100000</v>
      </c>
      <c r="E1245">
        <v>-1.32</v>
      </c>
      <c r="F1245">
        <v>0.64</v>
      </c>
      <c r="G1245">
        <f t="shared" si="70"/>
        <v>-1.96</v>
      </c>
    </row>
    <row r="1246" spans="1:9">
      <c r="A1246" t="str">
        <f t="shared" si="71"/>
        <v>EU</v>
      </c>
      <c r="B1246" t="str">
        <f>"65420000"</f>
        <v>65420000</v>
      </c>
      <c r="C1246" t="str">
        <f t="shared" si="69"/>
        <v>EU654200000</v>
      </c>
      <c r="E1246">
        <v>13.77</v>
      </c>
      <c r="F1246">
        <v>0</v>
      </c>
      <c r="G1246">
        <f t="shared" si="70"/>
        <v>13.77</v>
      </c>
    </row>
    <row r="1247" spans="1:9">
      <c r="A1247" t="str">
        <f t="shared" si="71"/>
        <v>EU</v>
      </c>
      <c r="B1247" t="str">
        <f>"65440000"</f>
        <v>65440000</v>
      </c>
      <c r="C1247" t="str">
        <f t="shared" si="69"/>
        <v>EU654400000</v>
      </c>
      <c r="E1247">
        <v>0</v>
      </c>
      <c r="F1247">
        <v>0</v>
      </c>
      <c r="G1247">
        <f t="shared" si="70"/>
        <v>0</v>
      </c>
    </row>
    <row r="1248" spans="1:9">
      <c r="A1248" t="str">
        <f t="shared" si="71"/>
        <v>EU</v>
      </c>
      <c r="B1248" t="str">
        <f>"65800000"</f>
        <v>65800000</v>
      </c>
      <c r="C1248" t="str">
        <f t="shared" si="69"/>
        <v>EU658000000</v>
      </c>
      <c r="E1248">
        <v>6640.73</v>
      </c>
      <c r="F1248">
        <v>0</v>
      </c>
      <c r="G1248">
        <f t="shared" si="70"/>
        <v>6640.73</v>
      </c>
    </row>
    <row r="1249" spans="1:13">
      <c r="A1249" t="str">
        <f t="shared" si="71"/>
        <v>EU</v>
      </c>
      <c r="B1249" t="str">
        <f>"66500000"</f>
        <v>66500000</v>
      </c>
      <c r="C1249" t="str">
        <f t="shared" si="69"/>
        <v>EU665000000</v>
      </c>
      <c r="E1249">
        <v>15.86</v>
      </c>
      <c r="F1249">
        <v>0</v>
      </c>
      <c r="G1249">
        <f t="shared" si="70"/>
        <v>15.86</v>
      </c>
    </row>
    <row r="1250" spans="1:13">
      <c r="A1250" t="str">
        <f t="shared" si="71"/>
        <v>EU</v>
      </c>
      <c r="B1250" t="str">
        <f>"67180000"</f>
        <v>67180000</v>
      </c>
      <c r="C1250" t="str">
        <f t="shared" si="69"/>
        <v>EU671800000</v>
      </c>
      <c r="E1250">
        <v>0</v>
      </c>
      <c r="F1250">
        <v>0</v>
      </c>
      <c r="G1250">
        <f t="shared" si="70"/>
        <v>0</v>
      </c>
      <c r="M1250" s="113"/>
    </row>
    <row r="1251" spans="1:13">
      <c r="A1251" t="str">
        <f t="shared" si="71"/>
        <v>EU</v>
      </c>
      <c r="B1251" t="str">
        <f>"68112000"</f>
        <v>68112000</v>
      </c>
      <c r="C1251" t="str">
        <f t="shared" si="69"/>
        <v>EU681120000</v>
      </c>
      <c r="E1251">
        <v>11713.25</v>
      </c>
      <c r="F1251">
        <v>0</v>
      </c>
      <c r="G1251">
        <f t="shared" si="70"/>
        <v>11713.25</v>
      </c>
    </row>
    <row r="1252" spans="1:13">
      <c r="A1252" t="str">
        <f t="shared" si="71"/>
        <v>EU</v>
      </c>
      <c r="B1252" t="str">
        <f>"68173000"</f>
        <v>68173000</v>
      </c>
      <c r="C1252" t="str">
        <f t="shared" si="69"/>
        <v>EU681730000</v>
      </c>
      <c r="E1252">
        <v>9660.58</v>
      </c>
      <c r="F1252">
        <v>0</v>
      </c>
      <c r="G1252">
        <f t="shared" si="70"/>
        <v>9660.58</v>
      </c>
      <c r="M1252" s="113"/>
    </row>
    <row r="1253" spans="1:13">
      <c r="A1253" t="str">
        <f t="shared" si="71"/>
        <v>EU</v>
      </c>
      <c r="B1253" t="str">
        <f>"68174000"</f>
        <v>68174000</v>
      </c>
      <c r="C1253" t="str">
        <f t="shared" si="69"/>
        <v>EU681740000</v>
      </c>
      <c r="E1253">
        <v>0</v>
      </c>
      <c r="F1253">
        <v>0</v>
      </c>
      <c r="G1253">
        <f t="shared" si="70"/>
        <v>0</v>
      </c>
    </row>
    <row r="1254" spans="1:13">
      <c r="A1254" t="str">
        <f t="shared" si="71"/>
        <v>EU</v>
      </c>
      <c r="B1254" t="str">
        <f>"68725000"</f>
        <v>68725000</v>
      </c>
      <c r="C1254" t="str">
        <f t="shared" si="69"/>
        <v>EU687250000</v>
      </c>
      <c r="E1254">
        <v>681.06</v>
      </c>
      <c r="F1254">
        <v>0</v>
      </c>
      <c r="G1254">
        <f t="shared" si="70"/>
        <v>681.06</v>
      </c>
    </row>
    <row r="1255" spans="1:13">
      <c r="A1255" t="str">
        <f t="shared" ref="A1255:A1318" si="72">"GRE"</f>
        <v>GRE</v>
      </c>
      <c r="B1255" t="str">
        <f>"60222000"</f>
        <v>60222000</v>
      </c>
      <c r="C1255" t="str">
        <f t="shared" si="69"/>
        <v>GRE602220000</v>
      </c>
      <c r="E1255">
        <v>293.76</v>
      </c>
      <c r="F1255">
        <v>0</v>
      </c>
      <c r="G1255">
        <f t="shared" si="70"/>
        <v>293.76</v>
      </c>
    </row>
    <row r="1256" spans="1:13">
      <c r="A1256" t="str">
        <f t="shared" si="72"/>
        <v>GRE</v>
      </c>
      <c r="B1256" t="str">
        <f>"60265000"</f>
        <v>60265000</v>
      </c>
      <c r="C1256" t="str">
        <f t="shared" si="69"/>
        <v>GRE602650000</v>
      </c>
      <c r="E1256">
        <v>36</v>
      </c>
      <c r="F1256">
        <v>0</v>
      </c>
      <c r="G1256">
        <f t="shared" si="70"/>
        <v>36</v>
      </c>
    </row>
    <row r="1257" spans="1:13">
      <c r="A1257" t="str">
        <f t="shared" si="72"/>
        <v>GRE</v>
      </c>
      <c r="B1257" t="str">
        <f>"60610000"</f>
        <v>60610000</v>
      </c>
      <c r="C1257" t="str">
        <f t="shared" si="69"/>
        <v>GRE606100000</v>
      </c>
      <c r="E1257">
        <v>7298.25</v>
      </c>
      <c r="F1257">
        <v>0</v>
      </c>
      <c r="G1257">
        <f t="shared" si="70"/>
        <v>7298.25</v>
      </c>
    </row>
    <row r="1258" spans="1:13">
      <c r="A1258" t="str">
        <f t="shared" si="72"/>
        <v>GRE</v>
      </c>
      <c r="B1258" t="str">
        <f>"60611000"</f>
        <v>60611000</v>
      </c>
      <c r="C1258" t="str">
        <f t="shared" si="69"/>
        <v>GRE606110000</v>
      </c>
      <c r="E1258">
        <v>2209.37</v>
      </c>
      <c r="F1258">
        <v>0</v>
      </c>
      <c r="G1258">
        <f t="shared" si="70"/>
        <v>2209.37</v>
      </c>
    </row>
    <row r="1259" spans="1:13">
      <c r="A1259" t="str">
        <f t="shared" si="72"/>
        <v>GRE</v>
      </c>
      <c r="B1259" t="str">
        <f>"60613000"</f>
        <v>60613000</v>
      </c>
      <c r="C1259" t="str">
        <f t="shared" si="69"/>
        <v>GRE606130000</v>
      </c>
      <c r="E1259">
        <v>8317.11</v>
      </c>
      <c r="F1259">
        <v>0</v>
      </c>
      <c r="G1259">
        <f t="shared" si="70"/>
        <v>8317.11</v>
      </c>
    </row>
    <row r="1260" spans="1:13">
      <c r="A1260" t="str">
        <f t="shared" si="72"/>
        <v>GRE</v>
      </c>
      <c r="B1260" t="str">
        <f>"60631000"</f>
        <v>60631000</v>
      </c>
      <c r="C1260" t="str">
        <f t="shared" si="69"/>
        <v>GRE606310000</v>
      </c>
      <c r="E1260">
        <v>24.66</v>
      </c>
      <c r="F1260">
        <v>0</v>
      </c>
      <c r="G1260">
        <f t="shared" si="70"/>
        <v>24.66</v>
      </c>
    </row>
    <row r="1261" spans="1:13">
      <c r="A1261" t="str">
        <f t="shared" si="72"/>
        <v>GRE</v>
      </c>
      <c r="B1261" t="str">
        <f>"60641000"</f>
        <v>60641000</v>
      </c>
      <c r="C1261" t="str">
        <f t="shared" si="69"/>
        <v>GRE606410000</v>
      </c>
      <c r="E1261">
        <v>3200.33</v>
      </c>
      <c r="F1261">
        <v>0</v>
      </c>
      <c r="G1261">
        <f t="shared" si="70"/>
        <v>3200.33</v>
      </c>
    </row>
    <row r="1262" spans="1:13">
      <c r="A1262" t="str">
        <f t="shared" si="72"/>
        <v>GRE</v>
      </c>
      <c r="B1262" t="str">
        <f>"60710000"</f>
        <v>60710000</v>
      </c>
      <c r="C1262" t="str">
        <f t="shared" si="69"/>
        <v>GRE607100000</v>
      </c>
      <c r="E1262">
        <v>731232.12</v>
      </c>
      <c r="F1262">
        <v>901.8</v>
      </c>
      <c r="G1262">
        <f t="shared" si="70"/>
        <v>730330.32</v>
      </c>
    </row>
    <row r="1263" spans="1:13">
      <c r="A1263" t="str">
        <f t="shared" si="72"/>
        <v>GRE</v>
      </c>
      <c r="B1263" t="str">
        <f>"60711000"</f>
        <v>60711000</v>
      </c>
      <c r="C1263" t="str">
        <f t="shared" si="69"/>
        <v>GRE607110000</v>
      </c>
      <c r="E1263">
        <v>44871.92</v>
      </c>
      <c r="F1263">
        <v>0</v>
      </c>
      <c r="G1263">
        <f t="shared" si="70"/>
        <v>44871.92</v>
      </c>
    </row>
    <row r="1264" spans="1:13">
      <c r="A1264" t="str">
        <f t="shared" si="72"/>
        <v>GRE</v>
      </c>
      <c r="B1264" t="str">
        <f>"60712000"</f>
        <v>60712000</v>
      </c>
      <c r="C1264" t="str">
        <f t="shared" si="69"/>
        <v>GRE607120000</v>
      </c>
      <c r="E1264">
        <v>-548.86</v>
      </c>
      <c r="F1264">
        <v>0</v>
      </c>
      <c r="G1264">
        <f t="shared" si="70"/>
        <v>-548.86</v>
      </c>
    </row>
    <row r="1265" spans="1:7">
      <c r="A1265" t="str">
        <f t="shared" si="72"/>
        <v>GRE</v>
      </c>
      <c r="B1265" t="str">
        <f>"60713000"</f>
        <v>60713000</v>
      </c>
      <c r="C1265" t="str">
        <f t="shared" si="69"/>
        <v>GRE607130000</v>
      </c>
      <c r="E1265">
        <v>23936</v>
      </c>
      <c r="F1265">
        <v>0</v>
      </c>
      <c r="G1265">
        <f t="shared" si="70"/>
        <v>23936</v>
      </c>
    </row>
    <row r="1266" spans="1:7">
      <c r="A1266" t="str">
        <f t="shared" si="72"/>
        <v>GRE</v>
      </c>
      <c r="B1266" t="str">
        <f>"60714000"</f>
        <v>60714000</v>
      </c>
      <c r="C1266" t="str">
        <f t="shared" si="69"/>
        <v>GRE607140000</v>
      </c>
      <c r="E1266">
        <v>-91135</v>
      </c>
      <c r="F1266">
        <v>0</v>
      </c>
      <c r="G1266">
        <f t="shared" si="70"/>
        <v>-91135</v>
      </c>
    </row>
    <row r="1267" spans="1:7">
      <c r="A1267" t="str">
        <f t="shared" si="72"/>
        <v>GRE</v>
      </c>
      <c r="B1267" t="str">
        <f>"60715000"</f>
        <v>60715000</v>
      </c>
      <c r="C1267" t="str">
        <f t="shared" si="69"/>
        <v>GRE607150000</v>
      </c>
      <c r="E1267">
        <v>84706.9</v>
      </c>
      <c r="F1267">
        <v>0</v>
      </c>
      <c r="G1267">
        <f t="shared" si="70"/>
        <v>84706.9</v>
      </c>
    </row>
    <row r="1268" spans="1:7">
      <c r="A1268" t="str">
        <f t="shared" si="72"/>
        <v>GRE</v>
      </c>
      <c r="B1268" t="str">
        <f>"60720000"</f>
        <v>60720000</v>
      </c>
      <c r="C1268" t="str">
        <f t="shared" si="69"/>
        <v>GRE607200000</v>
      </c>
      <c r="E1268">
        <v>515022.53</v>
      </c>
      <c r="F1268">
        <v>0</v>
      </c>
      <c r="G1268">
        <f t="shared" si="70"/>
        <v>515022.53</v>
      </c>
    </row>
    <row r="1269" spans="1:7">
      <c r="A1269" t="str">
        <f t="shared" si="72"/>
        <v>GRE</v>
      </c>
      <c r="B1269" t="str">
        <f>"60740000"</f>
        <v>60740000</v>
      </c>
      <c r="C1269" t="str">
        <f t="shared" si="69"/>
        <v>GRE607400000</v>
      </c>
      <c r="E1269">
        <v>9967.15</v>
      </c>
      <c r="F1269">
        <v>0</v>
      </c>
      <c r="G1269">
        <f t="shared" si="70"/>
        <v>9967.15</v>
      </c>
    </row>
    <row r="1270" spans="1:7">
      <c r="A1270" t="str">
        <f t="shared" si="72"/>
        <v>GRE</v>
      </c>
      <c r="B1270" t="str">
        <f>"60800000"</f>
        <v>60800000</v>
      </c>
      <c r="C1270" t="str">
        <f t="shared" si="69"/>
        <v>GRE608000000</v>
      </c>
      <c r="E1270">
        <v>2521.4299999999998</v>
      </c>
      <c r="F1270">
        <v>0</v>
      </c>
      <c r="G1270">
        <f t="shared" si="70"/>
        <v>2521.4299999999998</v>
      </c>
    </row>
    <row r="1271" spans="1:7">
      <c r="A1271" t="str">
        <f t="shared" si="72"/>
        <v>GRE</v>
      </c>
      <c r="B1271" t="str">
        <f>"60911000"</f>
        <v>60911000</v>
      </c>
      <c r="C1271" t="str">
        <f t="shared" si="69"/>
        <v>GRE609110000</v>
      </c>
      <c r="E1271">
        <v>-18081.11</v>
      </c>
      <c r="F1271">
        <v>0</v>
      </c>
      <c r="G1271">
        <f t="shared" si="70"/>
        <v>-18081.11</v>
      </c>
    </row>
    <row r="1272" spans="1:7">
      <c r="A1272" t="str">
        <f t="shared" si="72"/>
        <v>GRE</v>
      </c>
      <c r="B1272" t="str">
        <f>"60912000"</f>
        <v>60912000</v>
      </c>
      <c r="C1272" t="str">
        <f t="shared" si="69"/>
        <v>GRE609120000</v>
      </c>
      <c r="E1272">
        <v>-35501.040000000001</v>
      </c>
      <c r="F1272">
        <v>0</v>
      </c>
      <c r="G1272">
        <f t="shared" si="70"/>
        <v>-35501.040000000001</v>
      </c>
    </row>
    <row r="1273" spans="1:7">
      <c r="A1273" t="str">
        <f t="shared" si="72"/>
        <v>GRE</v>
      </c>
      <c r="B1273" t="str">
        <f>"60913000"</f>
        <v>60913000</v>
      </c>
      <c r="C1273" t="str">
        <f t="shared" si="69"/>
        <v>GRE609130000</v>
      </c>
      <c r="E1273">
        <v>-20286.310000000001</v>
      </c>
      <c r="F1273">
        <v>0</v>
      </c>
      <c r="G1273">
        <f t="shared" si="70"/>
        <v>-20286.310000000001</v>
      </c>
    </row>
    <row r="1274" spans="1:7">
      <c r="A1274" t="str">
        <f t="shared" si="72"/>
        <v>GRE</v>
      </c>
      <c r="B1274" t="str">
        <f>"61100000"</f>
        <v>61100000</v>
      </c>
      <c r="C1274" t="str">
        <f t="shared" si="69"/>
        <v>GRE611000000</v>
      </c>
      <c r="E1274">
        <v>142.69999999999999</v>
      </c>
      <c r="F1274">
        <v>0</v>
      </c>
      <c r="G1274">
        <f t="shared" si="70"/>
        <v>142.69999999999999</v>
      </c>
    </row>
    <row r="1275" spans="1:7">
      <c r="A1275" t="str">
        <f t="shared" si="72"/>
        <v>GRE</v>
      </c>
      <c r="B1275" t="str">
        <f>"61320000"</f>
        <v>61320000</v>
      </c>
      <c r="C1275" t="str">
        <f t="shared" si="69"/>
        <v>GRE613200000</v>
      </c>
      <c r="E1275">
        <v>46290.38</v>
      </c>
      <c r="F1275">
        <v>2552.6</v>
      </c>
      <c r="G1275">
        <f t="shared" si="70"/>
        <v>43737.78</v>
      </c>
    </row>
    <row r="1276" spans="1:7">
      <c r="A1276" t="str">
        <f t="shared" si="72"/>
        <v>GRE</v>
      </c>
      <c r="B1276" t="str">
        <f>"61352000"</f>
        <v>61352000</v>
      </c>
      <c r="C1276" t="str">
        <f t="shared" si="69"/>
        <v>GRE613520000</v>
      </c>
      <c r="E1276">
        <v>8826.6</v>
      </c>
      <c r="F1276">
        <v>0</v>
      </c>
      <c r="G1276">
        <f t="shared" si="70"/>
        <v>8826.6</v>
      </c>
    </row>
    <row r="1277" spans="1:7">
      <c r="A1277" t="str">
        <f t="shared" si="72"/>
        <v>GRE</v>
      </c>
      <c r="B1277" t="str">
        <f>"61353000"</f>
        <v>61353000</v>
      </c>
      <c r="C1277" t="str">
        <f t="shared" si="69"/>
        <v>GRE613530000</v>
      </c>
      <c r="E1277">
        <v>781.72</v>
      </c>
      <c r="F1277">
        <v>0</v>
      </c>
      <c r="G1277">
        <f t="shared" si="70"/>
        <v>781.72</v>
      </c>
    </row>
    <row r="1278" spans="1:7">
      <c r="A1278" t="str">
        <f t="shared" si="72"/>
        <v>GRE</v>
      </c>
      <c r="B1278" t="str">
        <f>"61354000"</f>
        <v>61354000</v>
      </c>
      <c r="C1278" t="str">
        <f t="shared" si="69"/>
        <v>GRE613540000</v>
      </c>
      <c r="E1278">
        <v>904.56</v>
      </c>
      <c r="F1278">
        <v>0</v>
      </c>
      <c r="G1278">
        <f t="shared" si="70"/>
        <v>904.56</v>
      </c>
    </row>
    <row r="1279" spans="1:7">
      <c r="A1279" t="str">
        <f t="shared" si="72"/>
        <v>GRE</v>
      </c>
      <c r="B1279" t="str">
        <f>"61520000"</f>
        <v>61520000</v>
      </c>
      <c r="C1279" t="str">
        <f t="shared" si="69"/>
        <v>GRE615200000</v>
      </c>
      <c r="E1279">
        <v>6463.53</v>
      </c>
      <c r="F1279">
        <v>0</v>
      </c>
      <c r="G1279">
        <f t="shared" si="70"/>
        <v>6463.53</v>
      </c>
    </row>
    <row r="1280" spans="1:7">
      <c r="A1280" t="str">
        <f t="shared" si="72"/>
        <v>GRE</v>
      </c>
      <c r="B1280" t="str">
        <f>"61550000"</f>
        <v>61550000</v>
      </c>
      <c r="C1280" t="str">
        <f t="shared" si="69"/>
        <v>GRE615500000</v>
      </c>
      <c r="E1280">
        <v>195.49</v>
      </c>
      <c r="F1280">
        <v>-332.87</v>
      </c>
      <c r="G1280">
        <f t="shared" si="70"/>
        <v>528.36</v>
      </c>
    </row>
    <row r="1281" spans="1:7">
      <c r="A1281" t="str">
        <f t="shared" si="72"/>
        <v>GRE</v>
      </c>
      <c r="B1281" t="str">
        <f>"61551000"</f>
        <v>61551000</v>
      </c>
      <c r="C1281" t="str">
        <f t="shared" si="69"/>
        <v>GRE615510000</v>
      </c>
      <c r="E1281">
        <v>471.01</v>
      </c>
      <c r="F1281">
        <v>0</v>
      </c>
      <c r="G1281">
        <f t="shared" si="70"/>
        <v>471.01</v>
      </c>
    </row>
    <row r="1282" spans="1:7">
      <c r="A1282" t="str">
        <f t="shared" si="72"/>
        <v>GRE</v>
      </c>
      <c r="B1282" t="str">
        <f>"61552000"</f>
        <v>61552000</v>
      </c>
      <c r="C1282" t="str">
        <f t="shared" si="69"/>
        <v>GRE615520000</v>
      </c>
      <c r="E1282">
        <v>7186.2</v>
      </c>
      <c r="F1282">
        <v>0</v>
      </c>
      <c r="G1282">
        <f t="shared" si="70"/>
        <v>7186.2</v>
      </c>
    </row>
    <row r="1283" spans="1:7">
      <c r="A1283" t="str">
        <f t="shared" si="72"/>
        <v>GRE</v>
      </c>
      <c r="B1283" t="str">
        <f>"61612000"</f>
        <v>61612000</v>
      </c>
      <c r="C1283" t="str">
        <f t="shared" ref="C1283:C1346" si="73">+A1283&amp;B1283*10</f>
        <v>GRE616120000</v>
      </c>
      <c r="E1283">
        <v>2590.9899999999998</v>
      </c>
      <c r="F1283">
        <v>0</v>
      </c>
      <c r="G1283">
        <f t="shared" ref="G1283:G1346" si="74">+E1283-F1283</f>
        <v>2590.9899999999998</v>
      </c>
    </row>
    <row r="1284" spans="1:7">
      <c r="A1284" t="str">
        <f t="shared" si="72"/>
        <v>GRE</v>
      </c>
      <c r="B1284" t="str">
        <f>"61613000"</f>
        <v>61613000</v>
      </c>
      <c r="C1284" t="str">
        <f t="shared" si="73"/>
        <v>GRE616130000</v>
      </c>
      <c r="E1284">
        <v>3406.57</v>
      </c>
      <c r="F1284">
        <v>0</v>
      </c>
      <c r="G1284">
        <f t="shared" si="74"/>
        <v>3406.57</v>
      </c>
    </row>
    <row r="1285" spans="1:7">
      <c r="A1285" t="str">
        <f t="shared" si="72"/>
        <v>GRE</v>
      </c>
      <c r="B1285" t="str">
        <f>"61810000"</f>
        <v>61810000</v>
      </c>
      <c r="C1285" t="str">
        <f t="shared" si="73"/>
        <v>GRE618100000</v>
      </c>
      <c r="E1285">
        <v>466.77</v>
      </c>
      <c r="F1285">
        <v>0</v>
      </c>
      <c r="G1285">
        <f t="shared" si="74"/>
        <v>466.77</v>
      </c>
    </row>
    <row r="1286" spans="1:7">
      <c r="A1286" t="str">
        <f t="shared" si="72"/>
        <v>GRE</v>
      </c>
      <c r="B1286" t="str">
        <f>"61850000"</f>
        <v>61850000</v>
      </c>
      <c r="C1286" t="str">
        <f t="shared" si="73"/>
        <v>GRE618500000</v>
      </c>
      <c r="E1286">
        <v>1251.4100000000001</v>
      </c>
      <c r="F1286">
        <v>0</v>
      </c>
      <c r="G1286">
        <f t="shared" si="74"/>
        <v>1251.4100000000001</v>
      </c>
    </row>
    <row r="1287" spans="1:7">
      <c r="A1287" t="str">
        <f t="shared" si="72"/>
        <v>GRE</v>
      </c>
      <c r="B1287" t="str">
        <f>"62110000"</f>
        <v>62110000</v>
      </c>
      <c r="C1287" t="str">
        <f t="shared" si="73"/>
        <v>GRE621100000</v>
      </c>
      <c r="E1287">
        <v>13377.97</v>
      </c>
      <c r="F1287">
        <v>0</v>
      </c>
      <c r="G1287">
        <f t="shared" si="74"/>
        <v>13377.97</v>
      </c>
    </row>
    <row r="1288" spans="1:7">
      <c r="A1288" t="str">
        <f t="shared" si="72"/>
        <v>GRE</v>
      </c>
      <c r="B1288" t="str">
        <f>"62270000"</f>
        <v>62270000</v>
      </c>
      <c r="C1288" t="str">
        <f t="shared" si="73"/>
        <v>GRE622700000</v>
      </c>
      <c r="E1288">
        <v>944.84</v>
      </c>
      <c r="F1288">
        <v>0</v>
      </c>
      <c r="G1288">
        <f t="shared" si="74"/>
        <v>944.84</v>
      </c>
    </row>
    <row r="1289" spans="1:7">
      <c r="A1289" t="str">
        <f t="shared" si="72"/>
        <v>GRE</v>
      </c>
      <c r="B1289" t="str">
        <f>"62271000"</f>
        <v>62271000</v>
      </c>
      <c r="C1289" t="str">
        <f t="shared" si="73"/>
        <v>GRE622710000</v>
      </c>
      <c r="E1289">
        <v>40</v>
      </c>
      <c r="F1289">
        <v>0</v>
      </c>
      <c r="G1289">
        <f t="shared" si="74"/>
        <v>40</v>
      </c>
    </row>
    <row r="1290" spans="1:7">
      <c r="A1290" t="str">
        <f t="shared" si="72"/>
        <v>GRE</v>
      </c>
      <c r="B1290" t="str">
        <f>"62310000"</f>
        <v>62310000</v>
      </c>
      <c r="C1290" t="str">
        <f t="shared" si="73"/>
        <v>GRE623100000</v>
      </c>
      <c r="E1290">
        <v>774.3</v>
      </c>
      <c r="F1290">
        <v>0</v>
      </c>
      <c r="G1290">
        <f t="shared" si="74"/>
        <v>774.3</v>
      </c>
    </row>
    <row r="1291" spans="1:7">
      <c r="A1291" t="str">
        <f t="shared" si="72"/>
        <v>GRE</v>
      </c>
      <c r="B1291" t="str">
        <f>"62320000"</f>
        <v>62320000</v>
      </c>
      <c r="C1291" t="str">
        <f t="shared" si="73"/>
        <v>GRE623200000</v>
      </c>
      <c r="E1291">
        <v>11392.28</v>
      </c>
      <c r="F1291">
        <v>0</v>
      </c>
      <c r="G1291">
        <f t="shared" si="74"/>
        <v>11392.28</v>
      </c>
    </row>
    <row r="1292" spans="1:7">
      <c r="A1292" t="str">
        <f t="shared" si="72"/>
        <v>GRE</v>
      </c>
      <c r="B1292" t="str">
        <f>"62341000"</f>
        <v>62341000</v>
      </c>
      <c r="C1292" t="str">
        <f t="shared" si="73"/>
        <v>GRE623410000</v>
      </c>
      <c r="E1292">
        <v>47352.02</v>
      </c>
      <c r="F1292">
        <v>0</v>
      </c>
      <c r="G1292">
        <f t="shared" si="74"/>
        <v>47352.02</v>
      </c>
    </row>
    <row r="1293" spans="1:7">
      <c r="A1293" t="str">
        <f t="shared" si="72"/>
        <v>GRE</v>
      </c>
      <c r="B1293" t="str">
        <f>"62342000"</f>
        <v>62342000</v>
      </c>
      <c r="C1293" t="str">
        <f t="shared" si="73"/>
        <v>GRE623420000</v>
      </c>
      <c r="E1293">
        <v>-566.48</v>
      </c>
      <c r="F1293">
        <v>0</v>
      </c>
      <c r="G1293">
        <f t="shared" si="74"/>
        <v>-566.48</v>
      </c>
    </row>
    <row r="1294" spans="1:7">
      <c r="A1294" t="str">
        <f t="shared" si="72"/>
        <v>GRE</v>
      </c>
      <c r="B1294" t="str">
        <f>"62370000"</f>
        <v>62370000</v>
      </c>
      <c r="C1294" t="str">
        <f t="shared" si="73"/>
        <v>GRE623700000</v>
      </c>
      <c r="E1294">
        <v>2743.94</v>
      </c>
      <c r="F1294">
        <v>-221.9</v>
      </c>
      <c r="G1294">
        <f t="shared" si="74"/>
        <v>2965.84</v>
      </c>
    </row>
    <row r="1295" spans="1:7">
      <c r="A1295" t="str">
        <f t="shared" si="72"/>
        <v>GRE</v>
      </c>
      <c r="B1295" t="str">
        <f>"62380000"</f>
        <v>62380000</v>
      </c>
      <c r="C1295" t="str">
        <f t="shared" si="73"/>
        <v>GRE623800000</v>
      </c>
      <c r="E1295">
        <v>40</v>
      </c>
      <c r="F1295">
        <v>0</v>
      </c>
      <c r="G1295">
        <f t="shared" si="74"/>
        <v>40</v>
      </c>
    </row>
    <row r="1296" spans="1:7">
      <c r="A1296" t="str">
        <f t="shared" si="72"/>
        <v>GRE</v>
      </c>
      <c r="B1296" t="str">
        <f>"62381000"</f>
        <v>62381000</v>
      </c>
      <c r="C1296" t="str">
        <f t="shared" si="73"/>
        <v>GRE623810000</v>
      </c>
      <c r="E1296">
        <v>0</v>
      </c>
      <c r="F1296">
        <v>0</v>
      </c>
      <c r="G1296">
        <f t="shared" si="74"/>
        <v>0</v>
      </c>
    </row>
    <row r="1297" spans="1:7">
      <c r="A1297" t="str">
        <f t="shared" si="72"/>
        <v>GRE</v>
      </c>
      <c r="B1297" t="str">
        <f>"62420000"</f>
        <v>62420000</v>
      </c>
      <c r="C1297" t="str">
        <f t="shared" si="73"/>
        <v>GRE624200000</v>
      </c>
      <c r="E1297">
        <v>8253.9699999999993</v>
      </c>
      <c r="F1297">
        <v>0</v>
      </c>
      <c r="G1297">
        <f t="shared" si="74"/>
        <v>8253.9699999999993</v>
      </c>
    </row>
    <row r="1298" spans="1:7">
      <c r="A1298" t="str">
        <f t="shared" si="72"/>
        <v>GRE</v>
      </c>
      <c r="B1298" t="str">
        <f>"62510000"</f>
        <v>62510000</v>
      </c>
      <c r="C1298" t="str">
        <f t="shared" si="73"/>
        <v>GRE625100000</v>
      </c>
      <c r="E1298">
        <v>12979.64</v>
      </c>
      <c r="F1298">
        <v>374.56</v>
      </c>
      <c r="G1298">
        <f t="shared" si="74"/>
        <v>12605.08</v>
      </c>
    </row>
    <row r="1299" spans="1:7">
      <c r="A1299" t="str">
        <f t="shared" si="72"/>
        <v>GRE</v>
      </c>
      <c r="B1299" t="str">
        <f>"62520000"</f>
        <v>62520000</v>
      </c>
      <c r="C1299" t="str">
        <f t="shared" si="73"/>
        <v>GRE625200000</v>
      </c>
      <c r="E1299">
        <v>42.98</v>
      </c>
      <c r="F1299">
        <v>0</v>
      </c>
      <c r="G1299">
        <f t="shared" si="74"/>
        <v>42.98</v>
      </c>
    </row>
    <row r="1300" spans="1:7">
      <c r="A1300" t="str">
        <f t="shared" si="72"/>
        <v>GRE</v>
      </c>
      <c r="B1300" t="str">
        <f>"62560000"</f>
        <v>62560000</v>
      </c>
      <c r="C1300" t="str">
        <f t="shared" si="73"/>
        <v>GRE625600000</v>
      </c>
      <c r="E1300">
        <v>25.23</v>
      </c>
      <c r="F1300">
        <v>0</v>
      </c>
      <c r="G1300">
        <f t="shared" si="74"/>
        <v>25.23</v>
      </c>
    </row>
    <row r="1301" spans="1:7">
      <c r="A1301" t="str">
        <f t="shared" si="72"/>
        <v>GRE</v>
      </c>
      <c r="B1301" t="str">
        <f>"62570000"</f>
        <v>62570000</v>
      </c>
      <c r="C1301" t="str">
        <f t="shared" si="73"/>
        <v>GRE625700000</v>
      </c>
      <c r="E1301">
        <v>9287.77</v>
      </c>
      <c r="F1301">
        <v>0</v>
      </c>
      <c r="G1301">
        <f t="shared" si="74"/>
        <v>9287.77</v>
      </c>
    </row>
    <row r="1302" spans="1:7">
      <c r="A1302" t="str">
        <f t="shared" si="72"/>
        <v>GRE</v>
      </c>
      <c r="B1302" t="str">
        <f>"62571000"</f>
        <v>62571000</v>
      </c>
      <c r="C1302" t="str">
        <f t="shared" si="73"/>
        <v>GRE625710000</v>
      </c>
      <c r="E1302">
        <v>6205.61</v>
      </c>
      <c r="F1302">
        <v>0</v>
      </c>
      <c r="G1302">
        <f t="shared" si="74"/>
        <v>6205.61</v>
      </c>
    </row>
    <row r="1303" spans="1:7">
      <c r="A1303" t="str">
        <f t="shared" si="72"/>
        <v>GRE</v>
      </c>
      <c r="B1303" t="str">
        <f>"62600000"</f>
        <v>62600000</v>
      </c>
      <c r="C1303" t="str">
        <f t="shared" si="73"/>
        <v>GRE626000000</v>
      </c>
      <c r="E1303">
        <v>5693.88</v>
      </c>
      <c r="F1303">
        <v>0</v>
      </c>
      <c r="G1303">
        <f t="shared" si="74"/>
        <v>5693.88</v>
      </c>
    </row>
    <row r="1304" spans="1:7">
      <c r="A1304" t="str">
        <f t="shared" si="72"/>
        <v>GRE</v>
      </c>
      <c r="B1304" t="str">
        <f>"62610000"</f>
        <v>62610000</v>
      </c>
      <c r="C1304" t="str">
        <f t="shared" si="73"/>
        <v>GRE626100000</v>
      </c>
      <c r="E1304">
        <v>673.41</v>
      </c>
      <c r="F1304">
        <v>0</v>
      </c>
      <c r="G1304">
        <f t="shared" si="74"/>
        <v>673.41</v>
      </c>
    </row>
    <row r="1305" spans="1:7">
      <c r="A1305" t="str">
        <f t="shared" si="72"/>
        <v>GRE</v>
      </c>
      <c r="B1305" t="str">
        <f>"62752000"</f>
        <v>62752000</v>
      </c>
      <c r="C1305" t="str">
        <f t="shared" si="73"/>
        <v>GRE627520000</v>
      </c>
      <c r="E1305">
        <v>330</v>
      </c>
      <c r="F1305">
        <v>0</v>
      </c>
      <c r="G1305">
        <f t="shared" si="74"/>
        <v>330</v>
      </c>
    </row>
    <row r="1306" spans="1:7">
      <c r="A1306" t="str">
        <f t="shared" si="72"/>
        <v>GRE</v>
      </c>
      <c r="B1306" t="str">
        <f>"63330000"</f>
        <v>63330000</v>
      </c>
      <c r="C1306" t="str">
        <f t="shared" si="73"/>
        <v>GRE633300000</v>
      </c>
      <c r="E1306">
        <v>1369</v>
      </c>
      <c r="F1306">
        <v>0</v>
      </c>
      <c r="G1306">
        <f t="shared" si="74"/>
        <v>1369</v>
      </c>
    </row>
    <row r="1307" spans="1:7">
      <c r="A1307" t="str">
        <f t="shared" si="72"/>
        <v>GRE</v>
      </c>
      <c r="B1307" t="str">
        <f>"63340000"</f>
        <v>63340000</v>
      </c>
      <c r="C1307" t="str">
        <f t="shared" si="73"/>
        <v>GRE633400000</v>
      </c>
      <c r="E1307">
        <v>745</v>
      </c>
      <c r="F1307">
        <v>0</v>
      </c>
      <c r="G1307">
        <f t="shared" si="74"/>
        <v>745</v>
      </c>
    </row>
    <row r="1308" spans="1:7">
      <c r="A1308" t="str">
        <f t="shared" si="72"/>
        <v>GRE</v>
      </c>
      <c r="B1308" t="str">
        <f>"63350000"</f>
        <v>63350000</v>
      </c>
      <c r="C1308" t="str">
        <f t="shared" si="73"/>
        <v>GRE633500000</v>
      </c>
      <c r="E1308">
        <v>1126</v>
      </c>
      <c r="F1308">
        <v>0</v>
      </c>
      <c r="G1308">
        <f t="shared" si="74"/>
        <v>1126</v>
      </c>
    </row>
    <row r="1309" spans="1:7">
      <c r="A1309" t="str">
        <f t="shared" si="72"/>
        <v>GRE</v>
      </c>
      <c r="B1309" t="str">
        <f>"63511000"</f>
        <v>63511000</v>
      </c>
      <c r="C1309" t="str">
        <f t="shared" si="73"/>
        <v>GRE635110000</v>
      </c>
      <c r="E1309">
        <v>8650</v>
      </c>
      <c r="F1309">
        <v>0</v>
      </c>
      <c r="G1309">
        <f t="shared" si="74"/>
        <v>8650</v>
      </c>
    </row>
    <row r="1310" spans="1:7">
      <c r="A1310" t="str">
        <f t="shared" si="72"/>
        <v>GRE</v>
      </c>
      <c r="B1310" t="str">
        <f>"63512000"</f>
        <v>63512000</v>
      </c>
      <c r="C1310" t="str">
        <f t="shared" si="73"/>
        <v>GRE635120000</v>
      </c>
      <c r="E1310">
        <v>5867</v>
      </c>
      <c r="F1310">
        <v>62</v>
      </c>
      <c r="G1310">
        <f t="shared" si="74"/>
        <v>5805</v>
      </c>
    </row>
    <row r="1311" spans="1:7">
      <c r="A1311" t="str">
        <f t="shared" si="72"/>
        <v>GRE</v>
      </c>
      <c r="B1311" t="str">
        <f>"63710000"</f>
        <v>63710000</v>
      </c>
      <c r="C1311" t="str">
        <f t="shared" si="73"/>
        <v>GRE637100000</v>
      </c>
      <c r="E1311">
        <v>3315.36</v>
      </c>
      <c r="F1311">
        <v>0</v>
      </c>
      <c r="G1311">
        <f t="shared" si="74"/>
        <v>3315.36</v>
      </c>
    </row>
    <row r="1312" spans="1:7">
      <c r="A1312" t="str">
        <f t="shared" si="72"/>
        <v>GRE</v>
      </c>
      <c r="B1312" t="str">
        <f>"64110000"</f>
        <v>64110000</v>
      </c>
      <c r="C1312" t="str">
        <f t="shared" si="73"/>
        <v>GRE641100000</v>
      </c>
      <c r="E1312">
        <v>179095.48</v>
      </c>
      <c r="F1312">
        <v>4200.01</v>
      </c>
      <c r="G1312">
        <f t="shared" si="74"/>
        <v>174895.47</v>
      </c>
    </row>
    <row r="1313" spans="1:9">
      <c r="A1313" t="str">
        <f t="shared" si="72"/>
        <v>GRE</v>
      </c>
      <c r="B1313" t="str">
        <f>"64111000"</f>
        <v>64111000</v>
      </c>
      <c r="C1313" t="str">
        <f t="shared" si="73"/>
        <v>GRE641110000</v>
      </c>
      <c r="E1313">
        <v>4100</v>
      </c>
      <c r="F1313">
        <v>0</v>
      </c>
      <c r="G1313">
        <f t="shared" si="74"/>
        <v>4100</v>
      </c>
    </row>
    <row r="1314" spans="1:9">
      <c r="A1314" t="str">
        <f t="shared" si="72"/>
        <v>GRE</v>
      </c>
      <c r="B1314" t="str">
        <f>"64120000"</f>
        <v>64120000</v>
      </c>
      <c r="C1314" t="str">
        <f t="shared" si="73"/>
        <v>GRE641200000</v>
      </c>
      <c r="E1314">
        <v>13681.86</v>
      </c>
      <c r="F1314">
        <v>16124.04</v>
      </c>
      <c r="G1314">
        <f t="shared" si="74"/>
        <v>-2442.1800000000003</v>
      </c>
    </row>
    <row r="1315" spans="1:9">
      <c r="A1315" t="str">
        <f t="shared" si="72"/>
        <v>GRE</v>
      </c>
      <c r="B1315" t="str">
        <f>"64121000"</f>
        <v>64121000</v>
      </c>
      <c r="C1315" t="str">
        <f t="shared" si="73"/>
        <v>GRE641210000</v>
      </c>
      <c r="E1315">
        <v>5162.17</v>
      </c>
      <c r="F1315">
        <v>6091.66</v>
      </c>
      <c r="G1315">
        <f t="shared" si="74"/>
        <v>-929.48999999999978</v>
      </c>
    </row>
    <row r="1316" spans="1:9">
      <c r="A1316" t="str">
        <f t="shared" si="72"/>
        <v>GRE</v>
      </c>
      <c r="B1316" t="str">
        <f>"64160000"</f>
        <v>64160000</v>
      </c>
      <c r="C1316" t="str">
        <f t="shared" si="73"/>
        <v>GRE641600000</v>
      </c>
      <c r="E1316">
        <v>3383.37</v>
      </c>
      <c r="F1316">
        <v>0</v>
      </c>
      <c r="G1316">
        <f t="shared" si="74"/>
        <v>3383.37</v>
      </c>
    </row>
    <row r="1317" spans="1:9">
      <c r="A1317" t="str">
        <f t="shared" si="72"/>
        <v>GRE</v>
      </c>
      <c r="B1317" t="str">
        <f>"64510000"</f>
        <v>64510000</v>
      </c>
      <c r="C1317" t="str">
        <f t="shared" si="73"/>
        <v>GRE645100000</v>
      </c>
      <c r="E1317">
        <v>45682.9</v>
      </c>
      <c r="F1317">
        <v>1907.18</v>
      </c>
      <c r="G1317">
        <f t="shared" si="74"/>
        <v>43775.72</v>
      </c>
    </row>
    <row r="1318" spans="1:9">
      <c r="A1318" t="str">
        <f t="shared" si="72"/>
        <v>GRE</v>
      </c>
      <c r="B1318" t="str">
        <f>"64520000"</f>
        <v>64520000</v>
      </c>
      <c r="C1318" t="str">
        <f t="shared" si="73"/>
        <v>GRE645200000</v>
      </c>
      <c r="E1318">
        <v>5273.97</v>
      </c>
      <c r="F1318">
        <v>0</v>
      </c>
      <c r="G1318">
        <f t="shared" si="74"/>
        <v>5273.97</v>
      </c>
    </row>
    <row r="1319" spans="1:9">
      <c r="A1319" t="str">
        <f t="shared" ref="A1319:A1336" si="75">"GRE"</f>
        <v>GRE</v>
      </c>
      <c r="B1319" t="str">
        <f>"64530000"</f>
        <v>64530000</v>
      </c>
      <c r="C1319" t="str">
        <f t="shared" si="73"/>
        <v>GRE645300000</v>
      </c>
      <c r="E1319">
        <v>10840.97</v>
      </c>
      <c r="F1319">
        <v>0</v>
      </c>
      <c r="G1319">
        <f t="shared" si="74"/>
        <v>10840.97</v>
      </c>
    </row>
    <row r="1320" spans="1:9">
      <c r="A1320" t="str">
        <f t="shared" si="75"/>
        <v>GRE</v>
      </c>
      <c r="B1320" t="str">
        <f>"64540000"</f>
        <v>64540000</v>
      </c>
      <c r="C1320" t="str">
        <f t="shared" si="73"/>
        <v>GRE645400000</v>
      </c>
      <c r="E1320">
        <v>7037.03</v>
      </c>
      <c r="F1320">
        <v>0</v>
      </c>
      <c r="G1320">
        <f t="shared" si="74"/>
        <v>7037.03</v>
      </c>
    </row>
    <row r="1321" spans="1:9">
      <c r="A1321" t="str">
        <f t="shared" si="75"/>
        <v>GRE</v>
      </c>
      <c r="B1321" t="str">
        <f>"64590000"</f>
        <v>64590000</v>
      </c>
      <c r="C1321" t="str">
        <f t="shared" si="73"/>
        <v>GRE645900000</v>
      </c>
      <c r="E1321">
        <v>1545.62</v>
      </c>
      <c r="F1321">
        <v>0</v>
      </c>
      <c r="G1321">
        <f t="shared" si="74"/>
        <v>1545.62</v>
      </c>
    </row>
    <row r="1322" spans="1:9">
      <c r="A1322" t="str">
        <f t="shared" si="75"/>
        <v>GRE</v>
      </c>
      <c r="B1322" t="str">
        <f>"64710000"</f>
        <v>64710000</v>
      </c>
      <c r="C1322" t="str">
        <f t="shared" si="73"/>
        <v>GRE647100000</v>
      </c>
      <c r="E1322">
        <v>39.6</v>
      </c>
      <c r="F1322">
        <v>0</v>
      </c>
      <c r="G1322">
        <f t="shared" si="74"/>
        <v>39.6</v>
      </c>
    </row>
    <row r="1323" spans="1:9">
      <c r="A1323" t="str">
        <f t="shared" si="75"/>
        <v>GRE</v>
      </c>
      <c r="B1323" t="str">
        <f>"64740000"</f>
        <v>64740000</v>
      </c>
      <c r="C1323" t="str">
        <f t="shared" si="73"/>
        <v>GRE647400000</v>
      </c>
      <c r="E1323">
        <v>129.88</v>
      </c>
      <c r="F1323">
        <v>0</v>
      </c>
      <c r="G1323">
        <f t="shared" si="74"/>
        <v>129.88</v>
      </c>
    </row>
    <row r="1324" spans="1:9">
      <c r="A1324" t="str">
        <f t="shared" si="75"/>
        <v>GRE</v>
      </c>
      <c r="B1324" t="str">
        <f>"64750000"</f>
        <v>64750000</v>
      </c>
      <c r="C1324" t="str">
        <f t="shared" si="73"/>
        <v>GRE647500000</v>
      </c>
      <c r="E1324">
        <v>374.78</v>
      </c>
      <c r="F1324">
        <v>0</v>
      </c>
      <c r="G1324">
        <f t="shared" si="74"/>
        <v>374.78</v>
      </c>
    </row>
    <row r="1325" spans="1:9">
      <c r="A1325" t="str">
        <f t="shared" si="75"/>
        <v>GRE</v>
      </c>
      <c r="B1325" t="str">
        <f>"64800000"</f>
        <v>64800000</v>
      </c>
      <c r="C1325" t="str">
        <f t="shared" si="73"/>
        <v>GRE648000000</v>
      </c>
      <c r="E1325" s="19">
        <v>21909.478320000002</v>
      </c>
      <c r="F1325">
        <v>0</v>
      </c>
      <c r="G1325" s="19">
        <f t="shared" si="74"/>
        <v>21909.478320000002</v>
      </c>
      <c r="H1325" s="433">
        <v>20009.73832</v>
      </c>
      <c r="I1325" s="113" t="s">
        <v>527</v>
      </c>
    </row>
    <row r="1326" spans="1:9">
      <c r="A1326" t="str">
        <f t="shared" si="75"/>
        <v>GRE</v>
      </c>
      <c r="B1326" t="str">
        <f>"65410000"</f>
        <v>65410000</v>
      </c>
      <c r="C1326" t="str">
        <f t="shared" si="73"/>
        <v>GRE654100000</v>
      </c>
      <c r="E1326">
        <v>7.54</v>
      </c>
      <c r="F1326">
        <v>20.67</v>
      </c>
      <c r="G1326">
        <f t="shared" si="74"/>
        <v>-13.130000000000003</v>
      </c>
    </row>
    <row r="1327" spans="1:9">
      <c r="A1327" t="str">
        <f t="shared" si="75"/>
        <v>GRE</v>
      </c>
      <c r="B1327" t="str">
        <f>"65420000"</f>
        <v>65420000</v>
      </c>
      <c r="C1327" t="str">
        <f t="shared" si="73"/>
        <v>GRE654200000</v>
      </c>
      <c r="E1327">
        <v>65.069999999999993</v>
      </c>
      <c r="F1327">
        <v>0.04</v>
      </c>
      <c r="G1327">
        <f t="shared" si="74"/>
        <v>65.029999999999987</v>
      </c>
    </row>
    <row r="1328" spans="1:9">
      <c r="A1328" t="str">
        <f t="shared" si="75"/>
        <v>GRE</v>
      </c>
      <c r="B1328" t="str">
        <f>"65440000"</f>
        <v>65440000</v>
      </c>
      <c r="C1328" t="str">
        <f t="shared" si="73"/>
        <v>GRE654400000</v>
      </c>
      <c r="E1328">
        <v>2281.9699999999998</v>
      </c>
      <c r="F1328">
        <v>0</v>
      </c>
      <c r="G1328">
        <f t="shared" si="74"/>
        <v>2281.9699999999998</v>
      </c>
    </row>
    <row r="1329" spans="1:7">
      <c r="A1329" t="str">
        <f t="shared" si="75"/>
        <v>GRE</v>
      </c>
      <c r="B1329" t="str">
        <f>"65800000"</f>
        <v>65800000</v>
      </c>
      <c r="C1329" t="str">
        <f t="shared" si="73"/>
        <v>GRE658000000</v>
      </c>
      <c r="E1329">
        <v>2478.77</v>
      </c>
      <c r="F1329">
        <v>0</v>
      </c>
      <c r="G1329">
        <f t="shared" si="74"/>
        <v>2478.77</v>
      </c>
    </row>
    <row r="1330" spans="1:7">
      <c r="A1330" t="str">
        <f t="shared" si="75"/>
        <v>GRE</v>
      </c>
      <c r="B1330" t="str">
        <f>"66500000"</f>
        <v>66500000</v>
      </c>
      <c r="C1330" t="str">
        <f t="shared" si="73"/>
        <v>GRE665000000</v>
      </c>
      <c r="E1330">
        <v>1198.95</v>
      </c>
      <c r="F1330">
        <v>0</v>
      </c>
      <c r="G1330">
        <f t="shared" si="74"/>
        <v>1198.95</v>
      </c>
    </row>
    <row r="1331" spans="1:7">
      <c r="A1331" t="str">
        <f t="shared" si="75"/>
        <v>GRE</v>
      </c>
      <c r="B1331" t="str">
        <f>"67180000"</f>
        <v>67180000</v>
      </c>
      <c r="C1331" t="str">
        <f t="shared" si="73"/>
        <v>GRE671800000</v>
      </c>
      <c r="E1331">
        <v>0</v>
      </c>
      <c r="F1331">
        <v>0</v>
      </c>
      <c r="G1331">
        <f t="shared" si="74"/>
        <v>0</v>
      </c>
    </row>
    <row r="1332" spans="1:7">
      <c r="A1332" t="str">
        <f t="shared" si="75"/>
        <v>GRE</v>
      </c>
      <c r="B1332" t="str">
        <f>"68112000"</f>
        <v>68112000</v>
      </c>
      <c r="C1332" t="str">
        <f t="shared" si="73"/>
        <v>GRE681120000</v>
      </c>
      <c r="E1332">
        <v>12214.3</v>
      </c>
      <c r="F1332">
        <v>0</v>
      </c>
      <c r="G1332">
        <f t="shared" si="74"/>
        <v>12214.3</v>
      </c>
    </row>
    <row r="1333" spans="1:7">
      <c r="A1333" t="str">
        <f t="shared" si="75"/>
        <v>GRE</v>
      </c>
      <c r="B1333" t="str">
        <f>"68150000"</f>
        <v>68150000</v>
      </c>
      <c r="C1333" t="str">
        <f t="shared" si="73"/>
        <v>GRE681500000</v>
      </c>
      <c r="E1333">
        <v>1200</v>
      </c>
      <c r="F1333">
        <v>0</v>
      </c>
      <c r="G1333">
        <f t="shared" si="74"/>
        <v>1200</v>
      </c>
    </row>
    <row r="1334" spans="1:7">
      <c r="A1334" t="str">
        <f t="shared" si="75"/>
        <v>GRE</v>
      </c>
      <c r="B1334" t="str">
        <f>"68173000"</f>
        <v>68173000</v>
      </c>
      <c r="C1334" t="str">
        <f t="shared" si="73"/>
        <v>GRE681730000</v>
      </c>
      <c r="E1334">
        <v>10741.5</v>
      </c>
      <c r="F1334">
        <v>0</v>
      </c>
      <c r="G1334">
        <f t="shared" si="74"/>
        <v>10741.5</v>
      </c>
    </row>
    <row r="1335" spans="1:7">
      <c r="A1335" t="str">
        <f t="shared" si="75"/>
        <v>GRE</v>
      </c>
      <c r="B1335" t="str">
        <f>"68174000"</f>
        <v>68174000</v>
      </c>
      <c r="C1335" t="str">
        <f t="shared" si="73"/>
        <v>GRE681740000</v>
      </c>
      <c r="E1335">
        <v>12221.3</v>
      </c>
      <c r="F1335">
        <v>0</v>
      </c>
      <c r="G1335">
        <f t="shared" si="74"/>
        <v>12221.3</v>
      </c>
    </row>
    <row r="1336" spans="1:7">
      <c r="A1336" t="str">
        <f t="shared" si="75"/>
        <v>GRE</v>
      </c>
      <c r="B1336" t="str">
        <f>"68725000"</f>
        <v>68725000</v>
      </c>
      <c r="C1336" t="str">
        <f t="shared" si="73"/>
        <v>GRE687250000</v>
      </c>
      <c r="E1336">
        <v>417.72</v>
      </c>
      <c r="F1336">
        <v>0</v>
      </c>
      <c r="G1336">
        <f t="shared" si="74"/>
        <v>417.72</v>
      </c>
    </row>
    <row r="1337" spans="1:7">
      <c r="A1337" t="str">
        <f t="shared" ref="A1337:A1399" si="76">"LEN"</f>
        <v>LEN</v>
      </c>
      <c r="B1337" t="str">
        <f>"60610000"</f>
        <v>60610000</v>
      </c>
      <c r="C1337" t="str">
        <f t="shared" si="73"/>
        <v>LEN606100000</v>
      </c>
      <c r="E1337">
        <v>1396.63</v>
      </c>
      <c r="F1337">
        <v>0</v>
      </c>
      <c r="G1337">
        <f t="shared" si="74"/>
        <v>1396.63</v>
      </c>
    </row>
    <row r="1338" spans="1:7">
      <c r="A1338" t="str">
        <f t="shared" si="76"/>
        <v>LEN</v>
      </c>
      <c r="B1338" t="str">
        <f>"60611000"</f>
        <v>60611000</v>
      </c>
      <c r="C1338" t="str">
        <f t="shared" si="73"/>
        <v>LEN606110000</v>
      </c>
      <c r="E1338">
        <v>2396.7199999999998</v>
      </c>
      <c r="F1338">
        <v>0</v>
      </c>
      <c r="G1338">
        <f t="shared" si="74"/>
        <v>2396.7199999999998</v>
      </c>
    </row>
    <row r="1339" spans="1:7">
      <c r="A1339" t="str">
        <f t="shared" si="76"/>
        <v>LEN</v>
      </c>
      <c r="B1339" t="str">
        <f>"60613000"</f>
        <v>60613000</v>
      </c>
      <c r="C1339" t="str">
        <f t="shared" si="73"/>
        <v>LEN606130000</v>
      </c>
      <c r="E1339">
        <v>1108.8399999999999</v>
      </c>
      <c r="F1339">
        <v>0</v>
      </c>
      <c r="G1339">
        <f t="shared" si="74"/>
        <v>1108.8399999999999</v>
      </c>
    </row>
    <row r="1340" spans="1:7">
      <c r="A1340" t="str">
        <f t="shared" si="76"/>
        <v>LEN</v>
      </c>
      <c r="B1340" t="str">
        <f>"60631000"</f>
        <v>60631000</v>
      </c>
      <c r="C1340" t="str">
        <f t="shared" si="73"/>
        <v>LEN606310000</v>
      </c>
      <c r="E1340">
        <v>5</v>
      </c>
      <c r="F1340">
        <v>0</v>
      </c>
      <c r="G1340">
        <f t="shared" si="74"/>
        <v>5</v>
      </c>
    </row>
    <row r="1341" spans="1:7">
      <c r="A1341" t="str">
        <f t="shared" si="76"/>
        <v>LEN</v>
      </c>
      <c r="B1341" t="str">
        <f>"60641000"</f>
        <v>60641000</v>
      </c>
      <c r="C1341" t="str">
        <f t="shared" si="73"/>
        <v>LEN606410000</v>
      </c>
      <c r="E1341">
        <v>1376.06</v>
      </c>
      <c r="F1341">
        <v>0</v>
      </c>
      <c r="G1341">
        <f t="shared" si="74"/>
        <v>1376.06</v>
      </c>
    </row>
    <row r="1342" spans="1:7">
      <c r="A1342" t="str">
        <f t="shared" si="76"/>
        <v>LEN</v>
      </c>
      <c r="B1342" t="str">
        <f>"60710000"</f>
        <v>60710000</v>
      </c>
      <c r="C1342" t="str">
        <f t="shared" si="73"/>
        <v>LEN607100000</v>
      </c>
      <c r="E1342">
        <v>72435.429999999993</v>
      </c>
      <c r="F1342">
        <v>0</v>
      </c>
      <c r="G1342">
        <f t="shared" si="74"/>
        <v>72435.429999999993</v>
      </c>
    </row>
    <row r="1343" spans="1:7">
      <c r="A1343" t="str">
        <f t="shared" si="76"/>
        <v>LEN</v>
      </c>
      <c r="B1343" t="str">
        <f>"60711000"</f>
        <v>60711000</v>
      </c>
      <c r="C1343" t="str">
        <f t="shared" si="73"/>
        <v>LEN607110000</v>
      </c>
      <c r="E1343">
        <v>5799.9</v>
      </c>
      <c r="F1343">
        <v>0</v>
      </c>
      <c r="G1343">
        <f t="shared" si="74"/>
        <v>5799.9</v>
      </c>
    </row>
    <row r="1344" spans="1:7">
      <c r="A1344" t="str">
        <f t="shared" si="76"/>
        <v>LEN</v>
      </c>
      <c r="B1344" t="str">
        <f>"60713000"</f>
        <v>60713000</v>
      </c>
      <c r="C1344" t="str">
        <f t="shared" si="73"/>
        <v>LEN607130000</v>
      </c>
      <c r="E1344">
        <v>118329</v>
      </c>
      <c r="F1344">
        <v>0</v>
      </c>
      <c r="G1344">
        <f t="shared" si="74"/>
        <v>118329</v>
      </c>
    </row>
    <row r="1345" spans="1:7">
      <c r="A1345" t="str">
        <f t="shared" si="76"/>
        <v>LEN</v>
      </c>
      <c r="B1345" t="str">
        <f>"60714000"</f>
        <v>60714000</v>
      </c>
      <c r="C1345" t="str">
        <f t="shared" si="73"/>
        <v>LEN607140000</v>
      </c>
      <c r="E1345">
        <v>-50448</v>
      </c>
      <c r="F1345">
        <v>0</v>
      </c>
      <c r="G1345">
        <f t="shared" si="74"/>
        <v>-50448</v>
      </c>
    </row>
    <row r="1346" spans="1:7">
      <c r="A1346" t="str">
        <f t="shared" si="76"/>
        <v>LEN</v>
      </c>
      <c r="B1346" t="str">
        <f>"60715000"</f>
        <v>60715000</v>
      </c>
      <c r="C1346" t="str">
        <f t="shared" si="73"/>
        <v>LEN607150000</v>
      </c>
      <c r="E1346">
        <v>29246.400000000001</v>
      </c>
      <c r="F1346">
        <v>0</v>
      </c>
      <c r="G1346">
        <f t="shared" si="74"/>
        <v>29246.400000000001</v>
      </c>
    </row>
    <row r="1347" spans="1:7">
      <c r="A1347" t="str">
        <f t="shared" si="76"/>
        <v>LEN</v>
      </c>
      <c r="B1347" t="str">
        <f>"60720000"</f>
        <v>60720000</v>
      </c>
      <c r="C1347" t="str">
        <f t="shared" ref="C1347:C1410" si="77">+A1347&amp;B1347*10</f>
        <v>LEN607200000</v>
      </c>
      <c r="E1347">
        <v>146235.66</v>
      </c>
      <c r="F1347">
        <v>0</v>
      </c>
      <c r="G1347">
        <f t="shared" ref="G1347:G1410" si="78">+E1347-F1347</f>
        <v>146235.66</v>
      </c>
    </row>
    <row r="1348" spans="1:7">
      <c r="A1348" t="str">
        <f t="shared" si="76"/>
        <v>LEN</v>
      </c>
      <c r="B1348" t="str">
        <f>"60740000"</f>
        <v>60740000</v>
      </c>
      <c r="C1348" t="str">
        <f t="shared" si="77"/>
        <v>LEN607400000</v>
      </c>
      <c r="E1348">
        <v>2327.13</v>
      </c>
      <c r="F1348">
        <v>0</v>
      </c>
      <c r="G1348">
        <f t="shared" si="78"/>
        <v>2327.13</v>
      </c>
    </row>
    <row r="1349" spans="1:7">
      <c r="A1349" t="str">
        <f t="shared" si="76"/>
        <v>LEN</v>
      </c>
      <c r="B1349" t="str">
        <f>"60800000"</f>
        <v>60800000</v>
      </c>
      <c r="C1349" t="str">
        <f t="shared" si="77"/>
        <v>LEN608000000</v>
      </c>
      <c r="E1349">
        <v>855.56</v>
      </c>
      <c r="F1349">
        <v>0</v>
      </c>
      <c r="G1349">
        <f t="shared" si="78"/>
        <v>855.56</v>
      </c>
    </row>
    <row r="1350" spans="1:7">
      <c r="A1350" t="str">
        <f t="shared" si="76"/>
        <v>LEN</v>
      </c>
      <c r="B1350" t="str">
        <f>"60911000"</f>
        <v>60911000</v>
      </c>
      <c r="C1350" t="str">
        <f t="shared" si="77"/>
        <v>LEN609110000</v>
      </c>
      <c r="E1350">
        <v>-7249.43</v>
      </c>
      <c r="F1350">
        <v>0</v>
      </c>
      <c r="G1350">
        <f t="shared" si="78"/>
        <v>-7249.43</v>
      </c>
    </row>
    <row r="1351" spans="1:7">
      <c r="A1351" t="str">
        <f t="shared" si="76"/>
        <v>LEN</v>
      </c>
      <c r="B1351" t="str">
        <f>"60912000"</f>
        <v>60912000</v>
      </c>
      <c r="C1351" t="str">
        <f t="shared" si="77"/>
        <v>LEN609120000</v>
      </c>
      <c r="E1351">
        <v>-10259.120000000001</v>
      </c>
      <c r="F1351">
        <v>0</v>
      </c>
      <c r="G1351">
        <f t="shared" si="78"/>
        <v>-10259.120000000001</v>
      </c>
    </row>
    <row r="1352" spans="1:7">
      <c r="A1352" t="str">
        <f t="shared" si="76"/>
        <v>LEN</v>
      </c>
      <c r="B1352" t="str">
        <f>"60913000"</f>
        <v>60913000</v>
      </c>
      <c r="C1352" t="str">
        <f t="shared" si="77"/>
        <v>LEN609130000</v>
      </c>
      <c r="E1352">
        <v>-5862.35</v>
      </c>
      <c r="F1352">
        <v>0</v>
      </c>
      <c r="G1352">
        <f t="shared" si="78"/>
        <v>-5862.35</v>
      </c>
    </row>
    <row r="1353" spans="1:7">
      <c r="A1353" t="str">
        <f t="shared" si="76"/>
        <v>LEN</v>
      </c>
      <c r="B1353" t="str">
        <f>"61320000"</f>
        <v>61320000</v>
      </c>
      <c r="C1353" t="str">
        <f t="shared" si="77"/>
        <v>LEN613200000</v>
      </c>
      <c r="E1353">
        <v>19345.330000000002</v>
      </c>
      <c r="F1353">
        <v>0</v>
      </c>
      <c r="G1353">
        <f t="shared" si="78"/>
        <v>19345.330000000002</v>
      </c>
    </row>
    <row r="1354" spans="1:7">
      <c r="A1354" t="str">
        <f t="shared" si="76"/>
        <v>LEN</v>
      </c>
      <c r="B1354" t="str">
        <f>"61352000"</f>
        <v>61352000</v>
      </c>
      <c r="C1354" t="str">
        <f t="shared" si="77"/>
        <v>LEN613520000</v>
      </c>
      <c r="E1354">
        <v>3748.08</v>
      </c>
      <c r="F1354">
        <v>0</v>
      </c>
      <c r="G1354">
        <f t="shared" si="78"/>
        <v>3748.08</v>
      </c>
    </row>
    <row r="1355" spans="1:7">
      <c r="A1355" t="str">
        <f t="shared" si="76"/>
        <v>LEN</v>
      </c>
      <c r="B1355" t="str">
        <f>"61353000"</f>
        <v>61353000</v>
      </c>
      <c r="C1355" t="str">
        <f t="shared" si="77"/>
        <v>LEN613530000</v>
      </c>
      <c r="E1355">
        <v>180</v>
      </c>
      <c r="F1355">
        <v>0</v>
      </c>
      <c r="G1355">
        <f t="shared" si="78"/>
        <v>180</v>
      </c>
    </row>
    <row r="1356" spans="1:7">
      <c r="A1356" t="str">
        <f t="shared" si="76"/>
        <v>LEN</v>
      </c>
      <c r="B1356" t="str">
        <f>"61520000"</f>
        <v>61520000</v>
      </c>
      <c r="C1356" t="str">
        <f t="shared" si="77"/>
        <v>LEN615200000</v>
      </c>
      <c r="E1356">
        <v>2332.7600000000002</v>
      </c>
      <c r="F1356">
        <v>0</v>
      </c>
      <c r="G1356">
        <f t="shared" si="78"/>
        <v>2332.7600000000002</v>
      </c>
    </row>
    <row r="1357" spans="1:7">
      <c r="A1357" t="str">
        <f t="shared" si="76"/>
        <v>LEN</v>
      </c>
      <c r="B1357" t="str">
        <f>"61550000"</f>
        <v>61550000</v>
      </c>
      <c r="C1357" t="str">
        <f t="shared" si="77"/>
        <v>LEN615500000</v>
      </c>
      <c r="E1357">
        <v>736.8</v>
      </c>
      <c r="F1357">
        <v>11.2</v>
      </c>
      <c r="G1357">
        <f t="shared" si="78"/>
        <v>725.59999999999991</v>
      </c>
    </row>
    <row r="1358" spans="1:7">
      <c r="A1358" t="str">
        <f t="shared" si="76"/>
        <v>LEN</v>
      </c>
      <c r="B1358" t="str">
        <f>"61551000"</f>
        <v>61551000</v>
      </c>
      <c r="C1358" t="str">
        <f t="shared" si="77"/>
        <v>LEN615510000</v>
      </c>
      <c r="E1358">
        <v>71</v>
      </c>
      <c r="F1358">
        <v>0</v>
      </c>
      <c r="G1358">
        <f t="shared" si="78"/>
        <v>71</v>
      </c>
    </row>
    <row r="1359" spans="1:7">
      <c r="A1359" t="str">
        <f t="shared" si="76"/>
        <v>LEN</v>
      </c>
      <c r="B1359" t="str">
        <f>"61552000"</f>
        <v>61552000</v>
      </c>
      <c r="C1359" t="str">
        <f t="shared" si="77"/>
        <v>LEN615520000</v>
      </c>
      <c r="E1359">
        <v>935.37</v>
      </c>
      <c r="F1359">
        <v>0</v>
      </c>
      <c r="G1359">
        <f t="shared" si="78"/>
        <v>935.37</v>
      </c>
    </row>
    <row r="1360" spans="1:7">
      <c r="A1360" t="str">
        <f t="shared" si="76"/>
        <v>LEN</v>
      </c>
      <c r="B1360" t="str">
        <f>"61612000"</f>
        <v>61612000</v>
      </c>
      <c r="C1360" t="str">
        <f t="shared" si="77"/>
        <v>LEN616120000</v>
      </c>
      <c r="E1360">
        <v>325.81</v>
      </c>
      <c r="F1360">
        <v>0</v>
      </c>
      <c r="G1360">
        <f t="shared" si="78"/>
        <v>325.81</v>
      </c>
    </row>
    <row r="1361" spans="1:7">
      <c r="A1361" t="str">
        <f t="shared" si="76"/>
        <v>LEN</v>
      </c>
      <c r="B1361" t="str">
        <f>"61613000"</f>
        <v>61613000</v>
      </c>
      <c r="C1361" t="str">
        <f t="shared" si="77"/>
        <v>LEN616130000</v>
      </c>
      <c r="E1361">
        <v>2014.58</v>
      </c>
      <c r="F1361">
        <v>0</v>
      </c>
      <c r="G1361">
        <f t="shared" si="78"/>
        <v>2014.58</v>
      </c>
    </row>
    <row r="1362" spans="1:7">
      <c r="A1362" t="str">
        <f t="shared" si="76"/>
        <v>LEN</v>
      </c>
      <c r="B1362" t="str">
        <f>"61810000"</f>
        <v>61810000</v>
      </c>
      <c r="C1362" t="str">
        <f t="shared" si="77"/>
        <v>LEN618100000</v>
      </c>
      <c r="E1362">
        <v>127.65</v>
      </c>
      <c r="F1362">
        <v>0</v>
      </c>
      <c r="G1362">
        <f t="shared" si="78"/>
        <v>127.65</v>
      </c>
    </row>
    <row r="1363" spans="1:7">
      <c r="A1363" t="str">
        <f t="shared" si="76"/>
        <v>LEN</v>
      </c>
      <c r="B1363" t="str">
        <f>"61850000"</f>
        <v>61850000</v>
      </c>
      <c r="C1363" t="str">
        <f t="shared" si="77"/>
        <v>LEN618500000</v>
      </c>
      <c r="E1363">
        <v>360.3</v>
      </c>
      <c r="F1363">
        <v>0</v>
      </c>
      <c r="G1363">
        <f t="shared" si="78"/>
        <v>360.3</v>
      </c>
    </row>
    <row r="1364" spans="1:7">
      <c r="A1364" t="str">
        <f t="shared" si="76"/>
        <v>LEN</v>
      </c>
      <c r="B1364" t="str">
        <f>"62270000"</f>
        <v>62270000</v>
      </c>
      <c r="C1364" t="str">
        <f t="shared" si="77"/>
        <v>LEN622700000</v>
      </c>
      <c r="E1364">
        <v>114.19</v>
      </c>
      <c r="F1364">
        <v>0</v>
      </c>
      <c r="G1364">
        <f t="shared" si="78"/>
        <v>114.19</v>
      </c>
    </row>
    <row r="1365" spans="1:7">
      <c r="A1365" t="str">
        <f t="shared" si="76"/>
        <v>LEN</v>
      </c>
      <c r="B1365" t="str">
        <f>"62310000"</f>
        <v>62310000</v>
      </c>
      <c r="C1365" t="str">
        <f t="shared" si="77"/>
        <v>LEN623100000</v>
      </c>
      <c r="E1365">
        <v>774.3</v>
      </c>
      <c r="F1365">
        <v>0</v>
      </c>
      <c r="G1365">
        <f t="shared" si="78"/>
        <v>774.3</v>
      </c>
    </row>
    <row r="1366" spans="1:7">
      <c r="A1366" t="str">
        <f t="shared" si="76"/>
        <v>LEN</v>
      </c>
      <c r="B1366" t="str">
        <f>"62320000"</f>
        <v>62320000</v>
      </c>
      <c r="C1366" t="str">
        <f t="shared" si="77"/>
        <v>LEN623200000</v>
      </c>
      <c r="E1366">
        <v>4900.7700000000004</v>
      </c>
      <c r="F1366">
        <v>0</v>
      </c>
      <c r="G1366">
        <f t="shared" si="78"/>
        <v>4900.7700000000004</v>
      </c>
    </row>
    <row r="1367" spans="1:7">
      <c r="A1367" t="str">
        <f t="shared" si="76"/>
        <v>LEN</v>
      </c>
      <c r="B1367" t="str">
        <f>"62330000"</f>
        <v>62330000</v>
      </c>
      <c r="C1367" t="str">
        <f t="shared" si="77"/>
        <v>LEN623300000</v>
      </c>
      <c r="E1367">
        <v>130.91999999999999</v>
      </c>
      <c r="F1367">
        <v>0</v>
      </c>
      <c r="G1367">
        <f t="shared" si="78"/>
        <v>130.91999999999999</v>
      </c>
    </row>
    <row r="1368" spans="1:7">
      <c r="A1368" t="str">
        <f t="shared" si="76"/>
        <v>LEN</v>
      </c>
      <c r="B1368" t="str">
        <f>"62341000"</f>
        <v>62341000</v>
      </c>
      <c r="C1368" t="str">
        <f t="shared" si="77"/>
        <v>LEN623410000</v>
      </c>
      <c r="E1368">
        <v>2684.93</v>
      </c>
      <c r="F1368">
        <v>0</v>
      </c>
      <c r="G1368">
        <f t="shared" si="78"/>
        <v>2684.93</v>
      </c>
    </row>
    <row r="1369" spans="1:7">
      <c r="A1369" t="str">
        <f t="shared" si="76"/>
        <v>LEN</v>
      </c>
      <c r="B1369" t="str">
        <f>"62342000"</f>
        <v>62342000</v>
      </c>
      <c r="C1369" t="str">
        <f t="shared" si="77"/>
        <v>LEN623420000</v>
      </c>
      <c r="E1369">
        <v>-96.57</v>
      </c>
      <c r="F1369">
        <v>0</v>
      </c>
      <c r="G1369">
        <f t="shared" si="78"/>
        <v>-96.57</v>
      </c>
    </row>
    <row r="1370" spans="1:7">
      <c r="A1370" t="str">
        <f t="shared" si="76"/>
        <v>LEN</v>
      </c>
      <c r="B1370" t="str">
        <f>"62370000"</f>
        <v>62370000</v>
      </c>
      <c r="C1370" t="str">
        <f t="shared" si="77"/>
        <v>LEN623700000</v>
      </c>
      <c r="E1370">
        <v>-78.34</v>
      </c>
      <c r="F1370">
        <v>-221.9</v>
      </c>
      <c r="G1370">
        <f t="shared" si="78"/>
        <v>143.56</v>
      </c>
    </row>
    <row r="1371" spans="1:7">
      <c r="A1371" t="str">
        <f t="shared" si="76"/>
        <v>LEN</v>
      </c>
      <c r="B1371" t="str">
        <f>"62380000"</f>
        <v>62380000</v>
      </c>
      <c r="C1371" t="str">
        <f t="shared" si="77"/>
        <v>LEN623800000</v>
      </c>
      <c r="E1371">
        <v>35</v>
      </c>
      <c r="F1371">
        <v>0</v>
      </c>
      <c r="G1371">
        <f t="shared" si="78"/>
        <v>35</v>
      </c>
    </row>
    <row r="1372" spans="1:7">
      <c r="A1372" t="str">
        <f t="shared" si="76"/>
        <v>LEN</v>
      </c>
      <c r="B1372" t="str">
        <f>"62381000"</f>
        <v>62381000</v>
      </c>
      <c r="C1372" t="str">
        <f t="shared" si="77"/>
        <v>LEN623810000</v>
      </c>
      <c r="E1372">
        <v>0</v>
      </c>
      <c r="F1372">
        <v>0</v>
      </c>
      <c r="G1372">
        <f t="shared" si="78"/>
        <v>0</v>
      </c>
    </row>
    <row r="1373" spans="1:7">
      <c r="A1373" t="str">
        <f t="shared" si="76"/>
        <v>LEN</v>
      </c>
      <c r="B1373" t="str">
        <f>"62420000"</f>
        <v>62420000</v>
      </c>
      <c r="C1373" t="str">
        <f t="shared" si="77"/>
        <v>LEN624200000</v>
      </c>
      <c r="E1373">
        <v>3723.06</v>
      </c>
      <c r="F1373">
        <v>0</v>
      </c>
      <c r="G1373">
        <f t="shared" si="78"/>
        <v>3723.06</v>
      </c>
    </row>
    <row r="1374" spans="1:7">
      <c r="A1374" t="str">
        <f t="shared" si="76"/>
        <v>LEN</v>
      </c>
      <c r="B1374" t="str">
        <f>"62510000"</f>
        <v>62510000</v>
      </c>
      <c r="C1374" t="str">
        <f t="shared" si="77"/>
        <v>LEN625100000</v>
      </c>
      <c r="E1374">
        <v>2586.2199999999998</v>
      </c>
      <c r="F1374">
        <v>0.72</v>
      </c>
      <c r="G1374">
        <f t="shared" si="78"/>
        <v>2585.5</v>
      </c>
    </row>
    <row r="1375" spans="1:7">
      <c r="A1375" t="str">
        <f t="shared" si="76"/>
        <v>LEN</v>
      </c>
      <c r="B1375" t="str">
        <f>"62560000"</f>
        <v>62560000</v>
      </c>
      <c r="C1375" t="str">
        <f t="shared" si="77"/>
        <v>LEN625600000</v>
      </c>
      <c r="E1375">
        <v>25.23</v>
      </c>
      <c r="F1375">
        <v>0</v>
      </c>
      <c r="G1375">
        <f t="shared" si="78"/>
        <v>25.23</v>
      </c>
    </row>
    <row r="1376" spans="1:7">
      <c r="A1376" t="str">
        <f t="shared" si="76"/>
        <v>LEN</v>
      </c>
      <c r="B1376" t="str">
        <f>"62570000"</f>
        <v>62570000</v>
      </c>
      <c r="C1376" t="str">
        <f t="shared" si="77"/>
        <v>LEN625700000</v>
      </c>
      <c r="E1376">
        <v>1497.63</v>
      </c>
      <c r="F1376">
        <v>0</v>
      </c>
      <c r="G1376">
        <f t="shared" si="78"/>
        <v>1497.63</v>
      </c>
    </row>
    <row r="1377" spans="1:7">
      <c r="A1377" t="str">
        <f t="shared" si="76"/>
        <v>LEN</v>
      </c>
      <c r="B1377" t="str">
        <f>"62600000"</f>
        <v>62600000</v>
      </c>
      <c r="C1377" t="str">
        <f t="shared" si="77"/>
        <v>LEN626000000</v>
      </c>
      <c r="E1377">
        <v>3208.07</v>
      </c>
      <c r="F1377">
        <v>0</v>
      </c>
      <c r="G1377">
        <f t="shared" si="78"/>
        <v>3208.07</v>
      </c>
    </row>
    <row r="1378" spans="1:7">
      <c r="A1378" t="str">
        <f t="shared" si="76"/>
        <v>LEN</v>
      </c>
      <c r="B1378" t="str">
        <f>"62610000"</f>
        <v>62610000</v>
      </c>
      <c r="C1378" t="str">
        <f t="shared" si="77"/>
        <v>LEN626100000</v>
      </c>
      <c r="E1378">
        <v>517.09</v>
      </c>
      <c r="F1378">
        <v>0</v>
      </c>
      <c r="G1378">
        <f t="shared" si="78"/>
        <v>517.09</v>
      </c>
    </row>
    <row r="1379" spans="1:7">
      <c r="A1379" t="str">
        <f t="shared" si="76"/>
        <v>LEN</v>
      </c>
      <c r="B1379" t="str">
        <f>"62752000"</f>
        <v>62752000</v>
      </c>
      <c r="C1379" t="str">
        <f t="shared" si="77"/>
        <v>LEN627520000</v>
      </c>
      <c r="E1379">
        <v>9</v>
      </c>
      <c r="F1379">
        <v>0</v>
      </c>
      <c r="G1379">
        <f t="shared" si="78"/>
        <v>9</v>
      </c>
    </row>
    <row r="1380" spans="1:7">
      <c r="A1380" t="str">
        <f t="shared" si="76"/>
        <v>LEN</v>
      </c>
      <c r="B1380" t="str">
        <f>"63330000"</f>
        <v>63330000</v>
      </c>
      <c r="C1380" t="str">
        <f t="shared" si="77"/>
        <v>LEN633300000</v>
      </c>
      <c r="E1380">
        <v>340</v>
      </c>
      <c r="F1380">
        <v>0</v>
      </c>
      <c r="G1380">
        <f t="shared" si="78"/>
        <v>340</v>
      </c>
    </row>
    <row r="1381" spans="1:7">
      <c r="A1381" t="str">
        <f t="shared" si="76"/>
        <v>LEN</v>
      </c>
      <c r="B1381" t="str">
        <f>"63340000"</f>
        <v>63340000</v>
      </c>
      <c r="C1381" t="str">
        <f t="shared" si="77"/>
        <v>LEN633400000</v>
      </c>
      <c r="E1381">
        <v>188</v>
      </c>
      <c r="F1381">
        <v>0</v>
      </c>
      <c r="G1381">
        <f t="shared" si="78"/>
        <v>188</v>
      </c>
    </row>
    <row r="1382" spans="1:7">
      <c r="A1382" t="str">
        <f t="shared" si="76"/>
        <v>LEN</v>
      </c>
      <c r="B1382" t="str">
        <f>"63350000"</f>
        <v>63350000</v>
      </c>
      <c r="C1382" t="str">
        <f t="shared" si="77"/>
        <v>LEN633500000</v>
      </c>
      <c r="E1382">
        <v>283</v>
      </c>
      <c r="F1382">
        <v>0</v>
      </c>
      <c r="G1382">
        <f t="shared" si="78"/>
        <v>283</v>
      </c>
    </row>
    <row r="1383" spans="1:7">
      <c r="A1383" t="str">
        <f t="shared" si="76"/>
        <v>LEN</v>
      </c>
      <c r="B1383" t="str">
        <f>"63511000"</f>
        <v>63511000</v>
      </c>
      <c r="C1383" t="str">
        <f t="shared" si="77"/>
        <v>LEN635110000</v>
      </c>
      <c r="E1383">
        <v>5097</v>
      </c>
      <c r="F1383">
        <v>0</v>
      </c>
      <c r="G1383">
        <f t="shared" si="78"/>
        <v>5097</v>
      </c>
    </row>
    <row r="1384" spans="1:7">
      <c r="A1384" t="str">
        <f t="shared" si="76"/>
        <v>LEN</v>
      </c>
      <c r="B1384" t="str">
        <f>"63512000"</f>
        <v>63512000</v>
      </c>
      <c r="C1384" t="str">
        <f t="shared" si="77"/>
        <v>LEN635120000</v>
      </c>
      <c r="E1384">
        <v>2094</v>
      </c>
      <c r="F1384">
        <v>0</v>
      </c>
      <c r="G1384">
        <f t="shared" si="78"/>
        <v>2094</v>
      </c>
    </row>
    <row r="1385" spans="1:7">
      <c r="A1385" t="str">
        <f t="shared" si="76"/>
        <v>LEN</v>
      </c>
      <c r="B1385" t="str">
        <f>"63710000"</f>
        <v>63710000</v>
      </c>
      <c r="C1385" t="str">
        <f t="shared" si="77"/>
        <v>LEN637100000</v>
      </c>
      <c r="E1385">
        <v>697.34</v>
      </c>
      <c r="F1385">
        <v>0</v>
      </c>
      <c r="G1385">
        <f t="shared" si="78"/>
        <v>697.34</v>
      </c>
    </row>
    <row r="1386" spans="1:7">
      <c r="A1386" t="str">
        <f t="shared" si="76"/>
        <v>LEN</v>
      </c>
      <c r="B1386" t="str">
        <f>"64110000"</f>
        <v>64110000</v>
      </c>
      <c r="C1386" t="str">
        <f t="shared" si="77"/>
        <v>LEN641100000</v>
      </c>
      <c r="E1386">
        <v>51409.2</v>
      </c>
      <c r="F1386">
        <v>5210.7700000000004</v>
      </c>
      <c r="G1386">
        <f t="shared" si="78"/>
        <v>46198.429999999993</v>
      </c>
    </row>
    <row r="1387" spans="1:7">
      <c r="A1387" t="str">
        <f t="shared" si="76"/>
        <v>LEN</v>
      </c>
      <c r="B1387" t="str">
        <f>"64111000"</f>
        <v>64111000</v>
      </c>
      <c r="C1387" t="str">
        <f t="shared" si="77"/>
        <v>LEN641110000</v>
      </c>
      <c r="E1387">
        <v>-436.75</v>
      </c>
      <c r="F1387">
        <v>0</v>
      </c>
      <c r="G1387">
        <f t="shared" si="78"/>
        <v>-436.75</v>
      </c>
    </row>
    <row r="1388" spans="1:7">
      <c r="A1388" t="str">
        <f t="shared" si="76"/>
        <v>LEN</v>
      </c>
      <c r="B1388" t="str">
        <f>"64111200"</f>
        <v>64111200</v>
      </c>
      <c r="C1388" t="str">
        <f t="shared" si="77"/>
        <v>LEN641112000</v>
      </c>
      <c r="E1388">
        <v>3602.82</v>
      </c>
      <c r="F1388">
        <v>7731.76</v>
      </c>
      <c r="G1388">
        <f t="shared" si="78"/>
        <v>-4128.9400000000005</v>
      </c>
    </row>
    <row r="1389" spans="1:7">
      <c r="A1389" t="str">
        <f t="shared" si="76"/>
        <v>LEN</v>
      </c>
      <c r="B1389" t="str">
        <f>"64120000"</f>
        <v>64120000</v>
      </c>
      <c r="C1389" t="str">
        <f t="shared" si="77"/>
        <v>LEN641200000</v>
      </c>
      <c r="E1389">
        <v>5502.03</v>
      </c>
      <c r="F1389">
        <v>6360.82</v>
      </c>
      <c r="G1389">
        <f t="shared" si="78"/>
        <v>-858.79</v>
      </c>
    </row>
    <row r="1390" spans="1:7">
      <c r="A1390" t="str">
        <f t="shared" si="76"/>
        <v>LEN</v>
      </c>
      <c r="B1390" t="str">
        <f>"64121000"</f>
        <v>64121000</v>
      </c>
      <c r="C1390" t="str">
        <f t="shared" si="77"/>
        <v>LEN641210000</v>
      </c>
      <c r="E1390">
        <v>1670.42</v>
      </c>
      <c r="F1390">
        <v>2433.65</v>
      </c>
      <c r="G1390">
        <f t="shared" si="78"/>
        <v>-763.23</v>
      </c>
    </row>
    <row r="1391" spans="1:7">
      <c r="A1391" t="str">
        <f t="shared" si="76"/>
        <v>LEN</v>
      </c>
      <c r="B1391" t="str">
        <f>"64510000"</f>
        <v>64510000</v>
      </c>
      <c r="C1391" t="str">
        <f t="shared" si="77"/>
        <v>LEN645100000</v>
      </c>
      <c r="E1391">
        <v>18665.47</v>
      </c>
      <c r="F1391">
        <v>2087.83</v>
      </c>
      <c r="G1391">
        <f t="shared" si="78"/>
        <v>16577.64</v>
      </c>
    </row>
    <row r="1392" spans="1:7">
      <c r="A1392" t="str">
        <f t="shared" si="76"/>
        <v>LEN</v>
      </c>
      <c r="B1392" t="str">
        <f>"64520000"</f>
        <v>64520000</v>
      </c>
      <c r="C1392" t="str">
        <f t="shared" si="77"/>
        <v>LEN645200000</v>
      </c>
      <c r="E1392">
        <v>557.44000000000005</v>
      </c>
      <c r="F1392">
        <v>0</v>
      </c>
      <c r="G1392">
        <f t="shared" si="78"/>
        <v>557.44000000000005</v>
      </c>
    </row>
    <row r="1393" spans="1:9">
      <c r="A1393" t="str">
        <f t="shared" si="76"/>
        <v>LEN</v>
      </c>
      <c r="B1393" t="str">
        <f>"64530000"</f>
        <v>64530000</v>
      </c>
      <c r="C1393" t="str">
        <f t="shared" si="77"/>
        <v>LEN645300000</v>
      </c>
      <c r="E1393">
        <v>1544.24</v>
      </c>
      <c r="F1393">
        <v>0</v>
      </c>
      <c r="G1393">
        <f t="shared" si="78"/>
        <v>1544.24</v>
      </c>
    </row>
    <row r="1394" spans="1:9">
      <c r="A1394" t="str">
        <f t="shared" si="76"/>
        <v>LEN</v>
      </c>
      <c r="B1394" t="str">
        <f>"64540000"</f>
        <v>64540000</v>
      </c>
      <c r="C1394" t="str">
        <f t="shared" si="77"/>
        <v>LEN645400000</v>
      </c>
      <c r="E1394">
        <v>1786.84</v>
      </c>
      <c r="F1394">
        <v>15.44</v>
      </c>
      <c r="G1394">
        <f t="shared" si="78"/>
        <v>1771.3999999999999</v>
      </c>
    </row>
    <row r="1395" spans="1:9">
      <c r="A1395" t="str">
        <f t="shared" si="76"/>
        <v>LEN</v>
      </c>
      <c r="B1395" t="str">
        <f>"64580000"</f>
        <v>64580000</v>
      </c>
      <c r="C1395" t="str">
        <f t="shared" si="77"/>
        <v>LEN645800000</v>
      </c>
      <c r="E1395">
        <v>1840.45</v>
      </c>
      <c r="F1395">
        <v>101.48</v>
      </c>
      <c r="G1395">
        <f t="shared" si="78"/>
        <v>1738.97</v>
      </c>
    </row>
    <row r="1396" spans="1:9">
      <c r="A1396" t="str">
        <f t="shared" si="76"/>
        <v>LEN</v>
      </c>
      <c r="B1396" t="str">
        <f>"64590000"</f>
        <v>64590000</v>
      </c>
      <c r="C1396" t="str">
        <f t="shared" si="77"/>
        <v>LEN645900000</v>
      </c>
      <c r="E1396">
        <v>-207.18</v>
      </c>
      <c r="F1396">
        <v>0</v>
      </c>
      <c r="G1396">
        <f t="shared" si="78"/>
        <v>-207.18</v>
      </c>
    </row>
    <row r="1397" spans="1:9">
      <c r="A1397" t="str">
        <f t="shared" si="76"/>
        <v>LEN</v>
      </c>
      <c r="B1397" t="str">
        <f>"64710000"</f>
        <v>64710000</v>
      </c>
      <c r="C1397" t="str">
        <f t="shared" si="77"/>
        <v>LEN647100000</v>
      </c>
      <c r="E1397">
        <v>39.6</v>
      </c>
      <c r="F1397">
        <v>0</v>
      </c>
      <c r="G1397">
        <f t="shared" si="78"/>
        <v>39.6</v>
      </c>
    </row>
    <row r="1398" spans="1:9">
      <c r="A1398" t="str">
        <f t="shared" si="76"/>
        <v>LEN</v>
      </c>
      <c r="B1398" t="str">
        <f>"64740000"</f>
        <v>64740000</v>
      </c>
      <c r="C1398" t="str">
        <f t="shared" si="77"/>
        <v>LEN647400000</v>
      </c>
      <c r="E1398">
        <v>72.3</v>
      </c>
      <c r="F1398">
        <v>0</v>
      </c>
      <c r="G1398">
        <f t="shared" si="78"/>
        <v>72.3</v>
      </c>
    </row>
    <row r="1399" spans="1:9">
      <c r="A1399" t="str">
        <f t="shared" si="76"/>
        <v>LEN</v>
      </c>
      <c r="B1399" t="str">
        <f>"64750000"</f>
        <v>64750000</v>
      </c>
      <c r="C1399" t="str">
        <f t="shared" si="77"/>
        <v>LEN647500000</v>
      </c>
      <c r="E1399">
        <v>224.7</v>
      </c>
      <c r="F1399">
        <v>0</v>
      </c>
      <c r="G1399">
        <f t="shared" si="78"/>
        <v>224.7</v>
      </c>
    </row>
    <row r="1400" spans="1:9">
      <c r="A1400" t="s">
        <v>28</v>
      </c>
      <c r="B1400" t="str">
        <f>"64800000"</f>
        <v>64800000</v>
      </c>
      <c r="C1400" t="str">
        <f t="shared" si="77"/>
        <v>LEN648000000</v>
      </c>
      <c r="E1400" s="19">
        <v>346.03191999999996</v>
      </c>
      <c r="G1400" s="19">
        <f t="shared" si="78"/>
        <v>346.03191999999996</v>
      </c>
      <c r="H1400" s="433">
        <v>346.03191999999996</v>
      </c>
      <c r="I1400" s="113" t="s">
        <v>28</v>
      </c>
    </row>
    <row r="1401" spans="1:9">
      <c r="A1401" t="str">
        <f t="shared" ref="A1401:A1410" si="79">"LEN"</f>
        <v>LEN</v>
      </c>
      <c r="B1401" t="str">
        <f>"65410000"</f>
        <v>65410000</v>
      </c>
      <c r="C1401" t="str">
        <f t="shared" si="77"/>
        <v>LEN654100000</v>
      </c>
      <c r="E1401">
        <v>0.06</v>
      </c>
      <c r="F1401">
        <v>0.98</v>
      </c>
      <c r="G1401">
        <f t="shared" si="78"/>
        <v>-0.91999999999999993</v>
      </c>
    </row>
    <row r="1402" spans="1:9">
      <c r="A1402" t="str">
        <f t="shared" si="79"/>
        <v>LEN</v>
      </c>
      <c r="B1402" t="str">
        <f>"65420000"</f>
        <v>65420000</v>
      </c>
      <c r="C1402" t="str">
        <f t="shared" si="77"/>
        <v>LEN654200000</v>
      </c>
      <c r="E1402">
        <v>3.59</v>
      </c>
      <c r="F1402">
        <v>0</v>
      </c>
      <c r="G1402">
        <f t="shared" si="78"/>
        <v>3.59</v>
      </c>
    </row>
    <row r="1403" spans="1:9">
      <c r="A1403" t="str">
        <f t="shared" si="79"/>
        <v>LEN</v>
      </c>
      <c r="B1403" t="str">
        <f>"65440000"</f>
        <v>65440000</v>
      </c>
      <c r="C1403" t="str">
        <f t="shared" si="77"/>
        <v>LEN654400000</v>
      </c>
      <c r="E1403">
        <v>9578.86</v>
      </c>
      <c r="F1403">
        <v>0</v>
      </c>
      <c r="G1403">
        <f t="shared" si="78"/>
        <v>9578.86</v>
      </c>
    </row>
    <row r="1404" spans="1:9">
      <c r="A1404" t="str">
        <f t="shared" si="79"/>
        <v>LEN</v>
      </c>
      <c r="B1404" t="str">
        <f>"65800000"</f>
        <v>65800000</v>
      </c>
      <c r="C1404" t="str">
        <f t="shared" si="77"/>
        <v>LEN658000000</v>
      </c>
      <c r="E1404">
        <v>1980.04</v>
      </c>
      <c r="F1404">
        <v>0</v>
      </c>
      <c r="G1404">
        <f t="shared" si="78"/>
        <v>1980.04</v>
      </c>
    </row>
    <row r="1405" spans="1:9">
      <c r="A1405" t="str">
        <f t="shared" si="79"/>
        <v>LEN</v>
      </c>
      <c r="B1405" t="str">
        <f>"67180000"</f>
        <v>67180000</v>
      </c>
      <c r="C1405" t="str">
        <f t="shared" si="77"/>
        <v>LEN671800000</v>
      </c>
      <c r="E1405">
        <v>0</v>
      </c>
      <c r="F1405">
        <v>0</v>
      </c>
      <c r="G1405">
        <f t="shared" si="78"/>
        <v>0</v>
      </c>
    </row>
    <row r="1406" spans="1:9">
      <c r="A1406" t="str">
        <f t="shared" si="79"/>
        <v>LEN</v>
      </c>
      <c r="B1406" t="str">
        <f>"68112000"</f>
        <v>68112000</v>
      </c>
      <c r="C1406" t="str">
        <f t="shared" si="77"/>
        <v>LEN681120000</v>
      </c>
      <c r="E1406">
        <v>3328</v>
      </c>
      <c r="F1406">
        <v>0</v>
      </c>
      <c r="G1406">
        <f t="shared" si="78"/>
        <v>3328</v>
      </c>
    </row>
    <row r="1407" spans="1:9">
      <c r="A1407" t="str">
        <f t="shared" si="79"/>
        <v>LEN</v>
      </c>
      <c r="B1407" t="str">
        <f>"68150000"</f>
        <v>68150000</v>
      </c>
      <c r="C1407" t="str">
        <f t="shared" si="77"/>
        <v>LEN681500000</v>
      </c>
      <c r="E1407">
        <v>28000</v>
      </c>
      <c r="F1407">
        <v>0</v>
      </c>
      <c r="G1407">
        <f t="shared" si="78"/>
        <v>28000</v>
      </c>
    </row>
    <row r="1408" spans="1:9">
      <c r="A1408" t="str">
        <f t="shared" si="79"/>
        <v>LEN</v>
      </c>
      <c r="B1408" t="str">
        <f>"68173000"</f>
        <v>68173000</v>
      </c>
      <c r="C1408" t="str">
        <f t="shared" si="77"/>
        <v>LEN681730000</v>
      </c>
      <c r="E1408">
        <v>5368.39</v>
      </c>
      <c r="F1408">
        <v>0</v>
      </c>
      <c r="G1408">
        <f t="shared" si="78"/>
        <v>5368.39</v>
      </c>
    </row>
    <row r="1409" spans="1:7">
      <c r="A1409" t="str">
        <f t="shared" si="79"/>
        <v>LEN</v>
      </c>
      <c r="B1409" t="str">
        <f>"68174000"</f>
        <v>68174000</v>
      </c>
      <c r="C1409" t="str">
        <f t="shared" si="77"/>
        <v>LEN681740000</v>
      </c>
      <c r="E1409">
        <v>635.6</v>
      </c>
      <c r="F1409">
        <v>0</v>
      </c>
      <c r="G1409">
        <f t="shared" si="78"/>
        <v>635.6</v>
      </c>
    </row>
    <row r="1410" spans="1:7">
      <c r="A1410" t="str">
        <f t="shared" si="79"/>
        <v>LEN</v>
      </c>
      <c r="B1410" t="str">
        <f>"68725000"</f>
        <v>68725000</v>
      </c>
      <c r="C1410" t="str">
        <f t="shared" si="77"/>
        <v>LEN687250000</v>
      </c>
      <c r="E1410">
        <v>186.42</v>
      </c>
      <c r="F1410">
        <v>0</v>
      </c>
      <c r="G1410">
        <f t="shared" si="78"/>
        <v>186.42</v>
      </c>
    </row>
    <row r="1411" spans="1:7">
      <c r="A1411" t="str">
        <f t="shared" ref="A1411:A1474" si="80">"LIL"</f>
        <v>LIL</v>
      </c>
      <c r="B1411" t="str">
        <f>"60610000"</f>
        <v>60610000</v>
      </c>
      <c r="C1411" t="str">
        <f t="shared" ref="C1411:C1474" si="81">+A1411&amp;B1411*10</f>
        <v>LIL606100000</v>
      </c>
      <c r="E1411">
        <v>222.51</v>
      </c>
      <c r="F1411">
        <v>0</v>
      </c>
      <c r="G1411">
        <f t="shared" ref="G1411:G1474" si="82">+E1411-F1411</f>
        <v>222.51</v>
      </c>
    </row>
    <row r="1412" spans="1:7">
      <c r="A1412" t="str">
        <f t="shared" si="80"/>
        <v>LIL</v>
      </c>
      <c r="B1412" t="str">
        <f>"60611000"</f>
        <v>60611000</v>
      </c>
      <c r="C1412" t="str">
        <f t="shared" si="81"/>
        <v>LIL606110000</v>
      </c>
      <c r="E1412">
        <v>1444.06</v>
      </c>
      <c r="F1412">
        <v>0</v>
      </c>
      <c r="G1412">
        <f t="shared" si="82"/>
        <v>1444.06</v>
      </c>
    </row>
    <row r="1413" spans="1:7">
      <c r="A1413" t="str">
        <f t="shared" si="80"/>
        <v>LIL</v>
      </c>
      <c r="B1413" t="str">
        <f>"60613000"</f>
        <v>60613000</v>
      </c>
      <c r="C1413" t="str">
        <f t="shared" si="81"/>
        <v>LIL606130000</v>
      </c>
      <c r="E1413">
        <v>6288.79</v>
      </c>
      <c r="F1413">
        <v>0</v>
      </c>
      <c r="G1413">
        <f t="shared" si="82"/>
        <v>6288.79</v>
      </c>
    </row>
    <row r="1414" spans="1:7">
      <c r="A1414" t="str">
        <f t="shared" si="80"/>
        <v>LIL</v>
      </c>
      <c r="B1414" t="str">
        <f>"60641000"</f>
        <v>60641000</v>
      </c>
      <c r="C1414" t="str">
        <f t="shared" si="81"/>
        <v>LIL606410000</v>
      </c>
      <c r="E1414">
        <v>31903.62</v>
      </c>
      <c r="F1414">
        <v>-4953</v>
      </c>
      <c r="G1414">
        <f t="shared" si="82"/>
        <v>36856.619999999995</v>
      </c>
    </row>
    <row r="1415" spans="1:7">
      <c r="A1415" t="str">
        <f t="shared" si="80"/>
        <v>LIL</v>
      </c>
      <c r="B1415" t="str">
        <f>"60710000"</f>
        <v>60710000</v>
      </c>
      <c r="C1415" t="str">
        <f t="shared" si="81"/>
        <v>LIL607100000</v>
      </c>
      <c r="E1415">
        <v>56786.86</v>
      </c>
      <c r="F1415">
        <v>0</v>
      </c>
      <c r="G1415">
        <f t="shared" si="82"/>
        <v>56786.86</v>
      </c>
    </row>
    <row r="1416" spans="1:7">
      <c r="A1416" t="str">
        <f t="shared" si="80"/>
        <v>LIL</v>
      </c>
      <c r="B1416" t="str">
        <f>"60711000"</f>
        <v>60711000</v>
      </c>
      <c r="C1416" t="str">
        <f t="shared" si="81"/>
        <v>LIL607110000</v>
      </c>
      <c r="E1416">
        <v>8831.91</v>
      </c>
      <c r="F1416">
        <v>0</v>
      </c>
      <c r="G1416">
        <f t="shared" si="82"/>
        <v>8831.91</v>
      </c>
    </row>
    <row r="1417" spans="1:7">
      <c r="A1417" t="str">
        <f t="shared" si="80"/>
        <v>LIL</v>
      </c>
      <c r="B1417" t="str">
        <f>"60713000"</f>
        <v>60713000</v>
      </c>
      <c r="C1417" t="str">
        <f t="shared" si="81"/>
        <v>LIL607130000</v>
      </c>
      <c r="E1417">
        <v>74</v>
      </c>
      <c r="F1417">
        <v>0</v>
      </c>
      <c r="G1417">
        <f t="shared" si="82"/>
        <v>74</v>
      </c>
    </row>
    <row r="1418" spans="1:7">
      <c r="A1418" t="str">
        <f t="shared" si="80"/>
        <v>LIL</v>
      </c>
      <c r="B1418" t="str">
        <f>"60740000"</f>
        <v>60740000</v>
      </c>
      <c r="C1418" t="str">
        <f t="shared" si="81"/>
        <v>LIL607400000</v>
      </c>
      <c r="E1418">
        <v>473.76</v>
      </c>
      <c r="F1418">
        <v>0</v>
      </c>
      <c r="G1418">
        <f t="shared" si="82"/>
        <v>473.76</v>
      </c>
    </row>
    <row r="1419" spans="1:7">
      <c r="A1419" t="str">
        <f t="shared" si="80"/>
        <v>LIL</v>
      </c>
      <c r="B1419" t="str">
        <f>"60800000"</f>
        <v>60800000</v>
      </c>
      <c r="C1419" t="str">
        <f t="shared" si="81"/>
        <v>LIL608000000</v>
      </c>
      <c r="E1419">
        <v>23.98</v>
      </c>
      <c r="F1419">
        <v>0</v>
      </c>
      <c r="G1419">
        <f t="shared" si="82"/>
        <v>23.98</v>
      </c>
    </row>
    <row r="1420" spans="1:7">
      <c r="A1420" t="str">
        <f t="shared" si="80"/>
        <v>LIL</v>
      </c>
      <c r="B1420" t="str">
        <f>"60911000"</f>
        <v>60911000</v>
      </c>
      <c r="C1420" t="str">
        <f t="shared" si="81"/>
        <v>LIL609110000</v>
      </c>
      <c r="E1420">
        <v>12195.85</v>
      </c>
      <c r="F1420">
        <v>0</v>
      </c>
      <c r="G1420">
        <f t="shared" si="82"/>
        <v>12195.85</v>
      </c>
    </row>
    <row r="1421" spans="1:7">
      <c r="A1421" t="str">
        <f t="shared" si="80"/>
        <v>LIL</v>
      </c>
      <c r="B1421" t="str">
        <f>"61100000"</f>
        <v>61100000</v>
      </c>
      <c r="C1421" t="str">
        <f t="shared" si="81"/>
        <v>LIL611000000</v>
      </c>
      <c r="E1421">
        <v>17453.419999999998</v>
      </c>
      <c r="F1421">
        <v>0</v>
      </c>
      <c r="G1421">
        <f t="shared" si="82"/>
        <v>17453.419999999998</v>
      </c>
    </row>
    <row r="1422" spans="1:7">
      <c r="A1422" t="str">
        <f t="shared" si="80"/>
        <v>LIL</v>
      </c>
      <c r="B1422" t="str">
        <f>"61250000"</f>
        <v>61250000</v>
      </c>
      <c r="C1422" t="str">
        <f t="shared" si="81"/>
        <v>LIL612500000</v>
      </c>
      <c r="E1422">
        <v>3830.54</v>
      </c>
      <c r="F1422">
        <v>1094.44</v>
      </c>
      <c r="G1422">
        <f t="shared" si="82"/>
        <v>2736.1</v>
      </c>
    </row>
    <row r="1423" spans="1:7">
      <c r="A1423" t="str">
        <f t="shared" si="80"/>
        <v>LIL</v>
      </c>
      <c r="B1423" t="str">
        <f>"61320000"</f>
        <v>61320000</v>
      </c>
      <c r="C1423" t="str">
        <f t="shared" si="81"/>
        <v>LIL613200000</v>
      </c>
      <c r="E1423">
        <v>27057.78</v>
      </c>
      <c r="F1423">
        <v>0</v>
      </c>
      <c r="G1423">
        <f t="shared" si="82"/>
        <v>27057.78</v>
      </c>
    </row>
    <row r="1424" spans="1:7">
      <c r="A1424" t="str">
        <f t="shared" si="80"/>
        <v>LIL</v>
      </c>
      <c r="B1424" t="str">
        <f>"61351000"</f>
        <v>61351000</v>
      </c>
      <c r="C1424" t="str">
        <f t="shared" si="81"/>
        <v>LIL613510000</v>
      </c>
      <c r="E1424">
        <v>1155.68</v>
      </c>
      <c r="F1424">
        <v>335.69</v>
      </c>
      <c r="G1424">
        <f t="shared" si="82"/>
        <v>819.99</v>
      </c>
    </row>
    <row r="1425" spans="1:7">
      <c r="A1425" t="str">
        <f t="shared" si="80"/>
        <v>LIL</v>
      </c>
      <c r="B1425" t="str">
        <f>"61352000"</f>
        <v>61352000</v>
      </c>
      <c r="C1425" t="str">
        <f t="shared" si="81"/>
        <v>LIL613520000</v>
      </c>
      <c r="E1425">
        <v>6019.19</v>
      </c>
      <c r="F1425">
        <v>0</v>
      </c>
      <c r="G1425">
        <f t="shared" si="82"/>
        <v>6019.19</v>
      </c>
    </row>
    <row r="1426" spans="1:7">
      <c r="A1426" t="str">
        <f t="shared" si="80"/>
        <v>LIL</v>
      </c>
      <c r="B1426" t="str">
        <f>"61353000"</f>
        <v>61353000</v>
      </c>
      <c r="C1426" t="str">
        <f t="shared" si="81"/>
        <v>LIL613530000</v>
      </c>
      <c r="E1426">
        <v>8571.9699999999993</v>
      </c>
      <c r="F1426">
        <v>1547.41</v>
      </c>
      <c r="G1426">
        <f t="shared" si="82"/>
        <v>7024.5599999999995</v>
      </c>
    </row>
    <row r="1427" spans="1:7">
      <c r="A1427" t="str">
        <f t="shared" si="80"/>
        <v>LIL</v>
      </c>
      <c r="B1427" t="str">
        <f>"61354000"</f>
        <v>61354000</v>
      </c>
      <c r="C1427" t="str">
        <f t="shared" si="81"/>
        <v>LIL613540000</v>
      </c>
      <c r="E1427">
        <v>58.1</v>
      </c>
      <c r="F1427">
        <v>0</v>
      </c>
      <c r="G1427">
        <f t="shared" si="82"/>
        <v>58.1</v>
      </c>
    </row>
    <row r="1428" spans="1:7">
      <c r="A1428" t="str">
        <f t="shared" si="80"/>
        <v>LIL</v>
      </c>
      <c r="B1428" t="str">
        <f>"61550000"</f>
        <v>61550000</v>
      </c>
      <c r="C1428" t="str">
        <f t="shared" si="81"/>
        <v>LIL615500000</v>
      </c>
      <c r="E1428">
        <v>24356.1</v>
      </c>
      <c r="F1428">
        <v>171.49</v>
      </c>
      <c r="G1428">
        <f t="shared" si="82"/>
        <v>24184.609999999997</v>
      </c>
    </row>
    <row r="1429" spans="1:7">
      <c r="A1429" t="str">
        <f t="shared" si="80"/>
        <v>LIL</v>
      </c>
      <c r="B1429" t="str">
        <f>"61551000"</f>
        <v>61551000</v>
      </c>
      <c r="C1429" t="str">
        <f t="shared" si="81"/>
        <v>LIL615510000</v>
      </c>
      <c r="E1429">
        <v>6438.52</v>
      </c>
      <c r="F1429">
        <v>0</v>
      </c>
      <c r="G1429">
        <f t="shared" si="82"/>
        <v>6438.52</v>
      </c>
    </row>
    <row r="1430" spans="1:7">
      <c r="A1430" t="str">
        <f t="shared" si="80"/>
        <v>LIL</v>
      </c>
      <c r="B1430" t="str">
        <f>"61552000"</f>
        <v>61552000</v>
      </c>
      <c r="C1430" t="str">
        <f t="shared" si="81"/>
        <v>LIL615520000</v>
      </c>
      <c r="E1430">
        <v>2495.06</v>
      </c>
      <c r="F1430">
        <v>0</v>
      </c>
      <c r="G1430">
        <f t="shared" si="82"/>
        <v>2495.06</v>
      </c>
    </row>
    <row r="1431" spans="1:7">
      <c r="A1431" t="str">
        <f t="shared" si="80"/>
        <v>LIL</v>
      </c>
      <c r="B1431" t="str">
        <f>"61612000"</f>
        <v>61612000</v>
      </c>
      <c r="C1431" t="str">
        <f t="shared" si="81"/>
        <v>LIL616120000</v>
      </c>
      <c r="E1431">
        <v>2328.67</v>
      </c>
      <c r="F1431">
        <v>0</v>
      </c>
      <c r="G1431">
        <f t="shared" si="82"/>
        <v>2328.67</v>
      </c>
    </row>
    <row r="1432" spans="1:7">
      <c r="A1432" t="str">
        <f t="shared" si="80"/>
        <v>LIL</v>
      </c>
      <c r="B1432" t="str">
        <f>"61613000"</f>
        <v>61613000</v>
      </c>
      <c r="C1432" t="str">
        <f t="shared" si="81"/>
        <v>LIL616130000</v>
      </c>
      <c r="E1432">
        <v>3373.8</v>
      </c>
      <c r="F1432">
        <v>0</v>
      </c>
      <c r="G1432">
        <f t="shared" si="82"/>
        <v>3373.8</v>
      </c>
    </row>
    <row r="1433" spans="1:7">
      <c r="A1433" t="str">
        <f t="shared" si="80"/>
        <v>LIL</v>
      </c>
      <c r="B1433" t="str">
        <f>"61614000"</f>
        <v>61614000</v>
      </c>
      <c r="C1433" t="str">
        <f t="shared" si="81"/>
        <v>LIL616140000</v>
      </c>
      <c r="E1433">
        <v>61000</v>
      </c>
      <c r="F1433">
        <v>10000</v>
      </c>
      <c r="G1433">
        <f t="shared" si="82"/>
        <v>51000</v>
      </c>
    </row>
    <row r="1434" spans="1:7">
      <c r="A1434" t="str">
        <f t="shared" si="80"/>
        <v>LIL</v>
      </c>
      <c r="B1434" t="str">
        <f>"61810000"</f>
        <v>61810000</v>
      </c>
      <c r="C1434" t="str">
        <f t="shared" si="81"/>
        <v>LIL618100000</v>
      </c>
      <c r="E1434">
        <v>1975.14</v>
      </c>
      <c r="F1434">
        <v>0</v>
      </c>
      <c r="G1434">
        <f t="shared" si="82"/>
        <v>1975.14</v>
      </c>
    </row>
    <row r="1435" spans="1:7">
      <c r="A1435" t="str">
        <f t="shared" si="80"/>
        <v>LIL</v>
      </c>
      <c r="B1435" t="str">
        <f>"61850000"</f>
        <v>61850000</v>
      </c>
      <c r="C1435" t="str">
        <f t="shared" si="81"/>
        <v>LIL618500000</v>
      </c>
      <c r="E1435">
        <v>4167.1099999999997</v>
      </c>
      <c r="F1435">
        <v>-407.44</v>
      </c>
      <c r="G1435">
        <f t="shared" si="82"/>
        <v>4574.5499999999993</v>
      </c>
    </row>
    <row r="1436" spans="1:7">
      <c r="A1436" t="str">
        <f t="shared" si="80"/>
        <v>LIL</v>
      </c>
      <c r="B1436" t="str">
        <f>"62110000"</f>
        <v>62110000</v>
      </c>
      <c r="C1436" t="str">
        <f t="shared" si="81"/>
        <v>LIL621100000</v>
      </c>
      <c r="E1436">
        <v>11648.8</v>
      </c>
      <c r="F1436">
        <v>0</v>
      </c>
      <c r="G1436">
        <f t="shared" si="82"/>
        <v>11648.8</v>
      </c>
    </row>
    <row r="1437" spans="1:7">
      <c r="A1437" t="str">
        <f t="shared" si="80"/>
        <v>LIL</v>
      </c>
      <c r="B1437" t="str">
        <f>"62120000"</f>
        <v>62120000</v>
      </c>
      <c r="C1437" t="str">
        <f t="shared" si="81"/>
        <v>LIL621200000</v>
      </c>
      <c r="E1437">
        <v>249571.02</v>
      </c>
      <c r="F1437">
        <v>0</v>
      </c>
      <c r="G1437">
        <f t="shared" si="82"/>
        <v>249571.02</v>
      </c>
    </row>
    <row r="1438" spans="1:7">
      <c r="A1438" t="str">
        <f t="shared" si="80"/>
        <v>LIL</v>
      </c>
      <c r="B1438" t="str">
        <f>"62220000"</f>
        <v>62220000</v>
      </c>
      <c r="C1438" t="str">
        <f t="shared" si="81"/>
        <v>LIL622200000</v>
      </c>
      <c r="E1438">
        <v>13.58</v>
      </c>
      <c r="F1438">
        <v>0</v>
      </c>
      <c r="G1438">
        <f t="shared" si="82"/>
        <v>13.58</v>
      </c>
    </row>
    <row r="1439" spans="1:7">
      <c r="A1439" t="str">
        <f t="shared" si="80"/>
        <v>LIL</v>
      </c>
      <c r="B1439" t="str">
        <f>"62260000"</f>
        <v>62260000</v>
      </c>
      <c r="C1439" t="str">
        <f t="shared" si="81"/>
        <v>LIL622600000</v>
      </c>
      <c r="E1439">
        <v>41960</v>
      </c>
      <c r="F1439">
        <v>13460</v>
      </c>
      <c r="G1439">
        <f t="shared" si="82"/>
        <v>28500</v>
      </c>
    </row>
    <row r="1440" spans="1:7">
      <c r="A1440" t="str">
        <f t="shared" si="80"/>
        <v>LIL</v>
      </c>
      <c r="B1440" t="str">
        <f>"62270000"</f>
        <v>62270000</v>
      </c>
      <c r="C1440" t="str">
        <f t="shared" si="81"/>
        <v>LIL622700000</v>
      </c>
      <c r="E1440">
        <v>1433.98</v>
      </c>
      <c r="F1440">
        <v>0</v>
      </c>
      <c r="G1440">
        <f t="shared" si="82"/>
        <v>1433.98</v>
      </c>
    </row>
    <row r="1441" spans="1:7">
      <c r="A1441" t="str">
        <f t="shared" si="80"/>
        <v>LIL</v>
      </c>
      <c r="B1441" t="str">
        <f>"62271000"</f>
        <v>62271000</v>
      </c>
      <c r="C1441" t="str">
        <f t="shared" si="81"/>
        <v>LIL622710000</v>
      </c>
      <c r="E1441">
        <v>1287</v>
      </c>
      <c r="F1441">
        <v>0</v>
      </c>
      <c r="G1441">
        <f t="shared" si="82"/>
        <v>1287</v>
      </c>
    </row>
    <row r="1442" spans="1:7">
      <c r="A1442" t="str">
        <f t="shared" si="80"/>
        <v>LIL</v>
      </c>
      <c r="B1442" t="str">
        <f>"62310000"</f>
        <v>62310000</v>
      </c>
      <c r="C1442" t="str">
        <f t="shared" si="81"/>
        <v>LIL623100000</v>
      </c>
      <c r="E1442">
        <v>774.3</v>
      </c>
      <c r="F1442">
        <v>0</v>
      </c>
      <c r="G1442">
        <f t="shared" si="82"/>
        <v>774.3</v>
      </c>
    </row>
    <row r="1443" spans="1:7">
      <c r="A1443" t="str">
        <f t="shared" si="80"/>
        <v>LIL</v>
      </c>
      <c r="B1443" t="str">
        <f>"62320000"</f>
        <v>62320000</v>
      </c>
      <c r="C1443" t="str">
        <f t="shared" si="81"/>
        <v>LIL623200000</v>
      </c>
      <c r="E1443">
        <v>5158.18</v>
      </c>
      <c r="F1443">
        <v>0</v>
      </c>
      <c r="G1443">
        <f t="shared" si="82"/>
        <v>5158.18</v>
      </c>
    </row>
    <row r="1444" spans="1:7">
      <c r="A1444" t="str">
        <f t="shared" si="80"/>
        <v>LIL</v>
      </c>
      <c r="B1444" t="str">
        <f>"62330000"</f>
        <v>62330000</v>
      </c>
      <c r="C1444" t="str">
        <f t="shared" si="81"/>
        <v>LIL623300000</v>
      </c>
      <c r="E1444">
        <v>820.84</v>
      </c>
      <c r="F1444">
        <v>0</v>
      </c>
      <c r="G1444">
        <f t="shared" si="82"/>
        <v>820.84</v>
      </c>
    </row>
    <row r="1445" spans="1:7">
      <c r="A1445" t="str">
        <f t="shared" si="80"/>
        <v>LIL</v>
      </c>
      <c r="B1445" t="str">
        <f>"62341000"</f>
        <v>62341000</v>
      </c>
      <c r="C1445" t="str">
        <f t="shared" si="81"/>
        <v>LIL623410000</v>
      </c>
      <c r="E1445">
        <v>17966.080000000002</v>
      </c>
      <c r="F1445">
        <v>7334</v>
      </c>
      <c r="G1445">
        <f t="shared" si="82"/>
        <v>10632.080000000002</v>
      </c>
    </row>
    <row r="1446" spans="1:7">
      <c r="A1446" t="str">
        <f t="shared" si="80"/>
        <v>LIL</v>
      </c>
      <c r="B1446" t="str">
        <f>"62342000"</f>
        <v>62342000</v>
      </c>
      <c r="C1446" t="str">
        <f t="shared" si="81"/>
        <v>LIL623420000</v>
      </c>
      <c r="E1446">
        <v>-248.14</v>
      </c>
      <c r="F1446">
        <v>0</v>
      </c>
      <c r="G1446">
        <f t="shared" si="82"/>
        <v>-248.14</v>
      </c>
    </row>
    <row r="1447" spans="1:7">
      <c r="A1447" t="str">
        <f t="shared" si="80"/>
        <v>LIL</v>
      </c>
      <c r="B1447" t="str">
        <f>"62370000"</f>
        <v>62370000</v>
      </c>
      <c r="C1447" t="str">
        <f t="shared" si="81"/>
        <v>LIL623700000</v>
      </c>
      <c r="E1447">
        <v>39366.410000000003</v>
      </c>
      <c r="F1447">
        <v>23865.72</v>
      </c>
      <c r="G1447">
        <f t="shared" si="82"/>
        <v>15500.690000000002</v>
      </c>
    </row>
    <row r="1448" spans="1:7">
      <c r="A1448" t="str">
        <f t="shared" si="80"/>
        <v>LIL</v>
      </c>
      <c r="B1448" t="str">
        <f>"62510000"</f>
        <v>62510000</v>
      </c>
      <c r="C1448" t="str">
        <f t="shared" si="81"/>
        <v>LIL625100000</v>
      </c>
      <c r="E1448">
        <v>32869.589999999997</v>
      </c>
      <c r="F1448">
        <v>27.2</v>
      </c>
      <c r="G1448">
        <f t="shared" si="82"/>
        <v>32842.39</v>
      </c>
    </row>
    <row r="1449" spans="1:7">
      <c r="A1449" t="str">
        <f t="shared" si="80"/>
        <v>LIL</v>
      </c>
      <c r="B1449" t="str">
        <f>"62520000"</f>
        <v>62520000</v>
      </c>
      <c r="C1449" t="str">
        <f t="shared" si="81"/>
        <v>LIL625200000</v>
      </c>
      <c r="E1449">
        <v>40.4</v>
      </c>
      <c r="F1449">
        <v>0</v>
      </c>
      <c r="G1449">
        <f t="shared" si="82"/>
        <v>40.4</v>
      </c>
    </row>
    <row r="1450" spans="1:7">
      <c r="A1450" t="str">
        <f t="shared" si="80"/>
        <v>LIL</v>
      </c>
      <c r="B1450" t="str">
        <f>"62560000"</f>
        <v>62560000</v>
      </c>
      <c r="C1450" t="str">
        <f t="shared" si="81"/>
        <v>LIL625600000</v>
      </c>
      <c r="E1450">
        <v>145.22999999999999</v>
      </c>
      <c r="F1450">
        <v>0</v>
      </c>
      <c r="G1450">
        <f t="shared" si="82"/>
        <v>145.22999999999999</v>
      </c>
    </row>
    <row r="1451" spans="1:7">
      <c r="A1451" t="str">
        <f t="shared" si="80"/>
        <v>LIL</v>
      </c>
      <c r="B1451" t="str">
        <f>"62570000"</f>
        <v>62570000</v>
      </c>
      <c r="C1451" t="str">
        <f t="shared" si="81"/>
        <v>LIL625700000</v>
      </c>
      <c r="E1451">
        <v>1153.3</v>
      </c>
      <c r="F1451">
        <v>0</v>
      </c>
      <c r="G1451">
        <f t="shared" si="82"/>
        <v>1153.3</v>
      </c>
    </row>
    <row r="1452" spans="1:7">
      <c r="A1452" t="str">
        <f t="shared" si="80"/>
        <v>LIL</v>
      </c>
      <c r="B1452" t="str">
        <f>"62571000"</f>
        <v>62571000</v>
      </c>
      <c r="C1452" t="str">
        <f t="shared" si="81"/>
        <v>LIL625710000</v>
      </c>
      <c r="E1452">
        <v>66.77</v>
      </c>
      <c r="F1452">
        <v>0</v>
      </c>
      <c r="G1452">
        <f t="shared" si="82"/>
        <v>66.77</v>
      </c>
    </row>
    <row r="1453" spans="1:7">
      <c r="A1453" t="str">
        <f t="shared" si="80"/>
        <v>LIL</v>
      </c>
      <c r="B1453" t="str">
        <f>"62600000"</f>
        <v>62600000</v>
      </c>
      <c r="C1453" t="str">
        <f t="shared" si="81"/>
        <v>LIL626000000</v>
      </c>
      <c r="E1453">
        <v>39896.04</v>
      </c>
      <c r="F1453">
        <v>0</v>
      </c>
      <c r="G1453">
        <f t="shared" si="82"/>
        <v>39896.04</v>
      </c>
    </row>
    <row r="1454" spans="1:7">
      <c r="A1454" t="str">
        <f t="shared" si="80"/>
        <v>LIL</v>
      </c>
      <c r="B1454" t="str">
        <f>"62610000"</f>
        <v>62610000</v>
      </c>
      <c r="C1454" t="str">
        <f t="shared" si="81"/>
        <v>LIL626100000</v>
      </c>
      <c r="E1454">
        <v>51674.17</v>
      </c>
      <c r="F1454">
        <v>416.66</v>
      </c>
      <c r="G1454">
        <f t="shared" si="82"/>
        <v>51257.509999999995</v>
      </c>
    </row>
    <row r="1455" spans="1:7">
      <c r="A1455" t="str">
        <f t="shared" si="80"/>
        <v>LIL</v>
      </c>
      <c r="B1455" t="str">
        <f>"62751000"</f>
        <v>62751000</v>
      </c>
      <c r="C1455" t="str">
        <f t="shared" si="81"/>
        <v>LIL627510000</v>
      </c>
      <c r="E1455">
        <v>18805.18</v>
      </c>
      <c r="F1455">
        <v>43</v>
      </c>
      <c r="G1455">
        <f t="shared" si="82"/>
        <v>18762.18</v>
      </c>
    </row>
    <row r="1456" spans="1:7">
      <c r="A1456" t="str">
        <f t="shared" si="80"/>
        <v>LIL</v>
      </c>
      <c r="B1456" t="str">
        <f>"62752000"</f>
        <v>62752000</v>
      </c>
      <c r="C1456" t="str">
        <f t="shared" si="81"/>
        <v>LIL627520000</v>
      </c>
      <c r="E1456">
        <v>111.4</v>
      </c>
      <c r="F1456">
        <v>0</v>
      </c>
      <c r="G1456">
        <f t="shared" si="82"/>
        <v>111.4</v>
      </c>
    </row>
    <row r="1457" spans="1:7">
      <c r="A1457" t="str">
        <f t="shared" si="80"/>
        <v>LIL</v>
      </c>
      <c r="B1457" t="str">
        <f>"62840000"</f>
        <v>62840000</v>
      </c>
      <c r="C1457" t="str">
        <f t="shared" si="81"/>
        <v>LIL628400000</v>
      </c>
      <c r="E1457">
        <v>1140</v>
      </c>
      <c r="F1457">
        <v>0</v>
      </c>
      <c r="G1457">
        <f t="shared" si="82"/>
        <v>1140</v>
      </c>
    </row>
    <row r="1458" spans="1:7">
      <c r="A1458" t="str">
        <f t="shared" si="80"/>
        <v>LIL</v>
      </c>
      <c r="B1458" t="str">
        <f>"63330000"</f>
        <v>63330000</v>
      </c>
      <c r="C1458" t="str">
        <f t="shared" si="81"/>
        <v>LIL633300000</v>
      </c>
      <c r="E1458">
        <v>60701.25</v>
      </c>
      <c r="F1458">
        <v>0</v>
      </c>
      <c r="G1458">
        <f t="shared" si="82"/>
        <v>60701.25</v>
      </c>
    </row>
    <row r="1459" spans="1:7">
      <c r="A1459" t="str">
        <f t="shared" si="80"/>
        <v>LIL</v>
      </c>
      <c r="B1459" t="str">
        <f>"63340000"</f>
        <v>63340000</v>
      </c>
      <c r="C1459" t="str">
        <f t="shared" si="81"/>
        <v>LIL633400000</v>
      </c>
      <c r="E1459">
        <v>1586</v>
      </c>
      <c r="F1459">
        <v>0</v>
      </c>
      <c r="G1459">
        <f t="shared" si="82"/>
        <v>1586</v>
      </c>
    </row>
    <row r="1460" spans="1:7">
      <c r="A1460" t="str">
        <f t="shared" si="80"/>
        <v>LIL</v>
      </c>
      <c r="B1460" t="str">
        <f>"63350000"</f>
        <v>63350000</v>
      </c>
      <c r="C1460" t="str">
        <f t="shared" si="81"/>
        <v>LIL633500000</v>
      </c>
      <c r="E1460">
        <v>1745</v>
      </c>
      <c r="F1460">
        <v>0</v>
      </c>
      <c r="G1460">
        <f t="shared" si="82"/>
        <v>1745</v>
      </c>
    </row>
    <row r="1461" spans="1:7">
      <c r="A1461" t="str">
        <f t="shared" si="80"/>
        <v>LIL</v>
      </c>
      <c r="B1461" t="str">
        <f>"63511000"</f>
        <v>63511000</v>
      </c>
      <c r="C1461" t="str">
        <f t="shared" si="81"/>
        <v>LIL635110000</v>
      </c>
      <c r="E1461">
        <v>9131</v>
      </c>
      <c r="F1461">
        <v>0</v>
      </c>
      <c r="G1461">
        <f t="shared" si="82"/>
        <v>9131</v>
      </c>
    </row>
    <row r="1462" spans="1:7">
      <c r="A1462" t="str">
        <f t="shared" si="80"/>
        <v>LIL</v>
      </c>
      <c r="B1462" t="str">
        <f>"63540000"</f>
        <v>63540000</v>
      </c>
      <c r="C1462" t="str">
        <f t="shared" si="81"/>
        <v>LIL635400000</v>
      </c>
      <c r="E1462">
        <v>10685</v>
      </c>
      <c r="F1462">
        <v>0</v>
      </c>
      <c r="G1462">
        <f t="shared" si="82"/>
        <v>10685</v>
      </c>
    </row>
    <row r="1463" spans="1:7">
      <c r="A1463" t="str">
        <f t="shared" si="80"/>
        <v>LIL</v>
      </c>
      <c r="B1463" t="str">
        <f>"63581000"</f>
        <v>63581000</v>
      </c>
      <c r="C1463" t="str">
        <f t="shared" si="81"/>
        <v>LIL635810000</v>
      </c>
      <c r="E1463">
        <v>20500</v>
      </c>
      <c r="F1463">
        <v>0</v>
      </c>
      <c r="G1463">
        <f t="shared" si="82"/>
        <v>20500</v>
      </c>
    </row>
    <row r="1464" spans="1:7">
      <c r="A1464" t="str">
        <f t="shared" si="80"/>
        <v>LIL</v>
      </c>
      <c r="B1464" t="str">
        <f>"63710000"</f>
        <v>63710000</v>
      </c>
      <c r="C1464" t="str">
        <f t="shared" si="81"/>
        <v>LIL637100000</v>
      </c>
      <c r="E1464">
        <v>357.81</v>
      </c>
      <c r="F1464">
        <v>0</v>
      </c>
      <c r="G1464">
        <f t="shared" si="82"/>
        <v>357.81</v>
      </c>
    </row>
    <row r="1465" spans="1:7">
      <c r="A1465" t="str">
        <f t="shared" si="80"/>
        <v>LIL</v>
      </c>
      <c r="B1465" t="str">
        <f>"63711000"</f>
        <v>63711000</v>
      </c>
      <c r="C1465" t="str">
        <f t="shared" si="81"/>
        <v>LIL637110000</v>
      </c>
      <c r="E1465">
        <v>15064.56</v>
      </c>
      <c r="F1465">
        <v>0</v>
      </c>
      <c r="G1465">
        <f t="shared" si="82"/>
        <v>15064.56</v>
      </c>
    </row>
    <row r="1466" spans="1:7">
      <c r="A1466" t="str">
        <f t="shared" si="80"/>
        <v>LIL</v>
      </c>
      <c r="B1466" t="str">
        <f>"64110000"</f>
        <v>64110000</v>
      </c>
      <c r="C1466" t="str">
        <f t="shared" si="81"/>
        <v>LIL641100000</v>
      </c>
      <c r="E1466">
        <v>354401.1</v>
      </c>
      <c r="F1466">
        <v>0</v>
      </c>
      <c r="G1466">
        <f t="shared" si="82"/>
        <v>354401.1</v>
      </c>
    </row>
    <row r="1467" spans="1:7">
      <c r="A1467" t="str">
        <f t="shared" si="80"/>
        <v>LIL</v>
      </c>
      <c r="B1467" t="str">
        <f>"64111000"</f>
        <v>64111000</v>
      </c>
      <c r="C1467" t="str">
        <f t="shared" si="81"/>
        <v>LIL641110000</v>
      </c>
      <c r="E1467">
        <v>3214</v>
      </c>
      <c r="F1467">
        <v>239</v>
      </c>
      <c r="G1467">
        <f t="shared" si="82"/>
        <v>2975</v>
      </c>
    </row>
    <row r="1468" spans="1:7">
      <c r="A1468" t="str">
        <f t="shared" si="80"/>
        <v>LIL</v>
      </c>
      <c r="B1468" t="str">
        <f>"64111100"</f>
        <v>64111100</v>
      </c>
      <c r="C1468" t="str">
        <f t="shared" si="81"/>
        <v>LIL641111000</v>
      </c>
      <c r="E1468">
        <v>4236</v>
      </c>
      <c r="F1468">
        <v>0</v>
      </c>
      <c r="G1468">
        <f t="shared" si="82"/>
        <v>4236</v>
      </c>
    </row>
    <row r="1469" spans="1:7">
      <c r="A1469" t="str">
        <f t="shared" si="80"/>
        <v>LIL</v>
      </c>
      <c r="B1469" t="str">
        <f>"64111300"</f>
        <v>64111300</v>
      </c>
      <c r="C1469" t="str">
        <f t="shared" si="81"/>
        <v>LIL641113000</v>
      </c>
      <c r="E1469">
        <v>160.1</v>
      </c>
      <c r="F1469">
        <v>0</v>
      </c>
      <c r="G1469">
        <f t="shared" si="82"/>
        <v>160.1</v>
      </c>
    </row>
    <row r="1470" spans="1:7">
      <c r="A1470" t="str">
        <f t="shared" si="80"/>
        <v>LIL</v>
      </c>
      <c r="B1470" t="str">
        <f>"64120000"</f>
        <v>64120000</v>
      </c>
      <c r="C1470" t="str">
        <f t="shared" si="81"/>
        <v>LIL641200000</v>
      </c>
      <c r="E1470">
        <v>29808.48</v>
      </c>
      <c r="F1470">
        <v>33755.019999999997</v>
      </c>
      <c r="G1470">
        <f t="shared" si="82"/>
        <v>-3946.5399999999972</v>
      </c>
    </row>
    <row r="1471" spans="1:7">
      <c r="A1471" t="str">
        <f t="shared" si="80"/>
        <v>LIL</v>
      </c>
      <c r="B1471" t="str">
        <f>"64121000"</f>
        <v>64121000</v>
      </c>
      <c r="C1471" t="str">
        <f t="shared" si="81"/>
        <v>LIL641210000</v>
      </c>
      <c r="E1471">
        <v>11875.7</v>
      </c>
      <c r="F1471">
        <v>13910.44</v>
      </c>
      <c r="G1471">
        <f t="shared" si="82"/>
        <v>-2034.7399999999998</v>
      </c>
    </row>
    <row r="1472" spans="1:7">
      <c r="A1472" t="str">
        <f t="shared" si="80"/>
        <v>LIL</v>
      </c>
      <c r="B1472" t="str">
        <f>"64142000"</f>
        <v>64142000</v>
      </c>
      <c r="C1472" t="str">
        <f t="shared" si="81"/>
        <v>LIL641420000</v>
      </c>
      <c r="E1472">
        <v>571.79999999999995</v>
      </c>
      <c r="F1472">
        <v>0</v>
      </c>
      <c r="G1472">
        <f t="shared" si="82"/>
        <v>571.79999999999995</v>
      </c>
    </row>
    <row r="1473" spans="1:9">
      <c r="A1473" t="str">
        <f t="shared" si="80"/>
        <v>LIL</v>
      </c>
      <c r="B1473" t="str">
        <f>"64160000"</f>
        <v>64160000</v>
      </c>
      <c r="C1473" t="str">
        <f t="shared" si="81"/>
        <v>LIL641600000</v>
      </c>
      <c r="E1473">
        <v>2000</v>
      </c>
      <c r="F1473">
        <v>0</v>
      </c>
      <c r="G1473">
        <f t="shared" si="82"/>
        <v>2000</v>
      </c>
    </row>
    <row r="1474" spans="1:9">
      <c r="A1474" t="str">
        <f t="shared" si="80"/>
        <v>LIL</v>
      </c>
      <c r="B1474" t="str">
        <f>"64510000"</f>
        <v>64510000</v>
      </c>
      <c r="C1474" t="str">
        <f t="shared" si="81"/>
        <v>LIL645100000</v>
      </c>
      <c r="E1474">
        <v>89091.61</v>
      </c>
      <c r="F1474">
        <v>258.08</v>
      </c>
      <c r="G1474">
        <f t="shared" si="82"/>
        <v>88833.53</v>
      </c>
    </row>
    <row r="1475" spans="1:9">
      <c r="A1475" t="str">
        <f t="shared" ref="A1475:A1508" si="83">"LIL"</f>
        <v>LIL</v>
      </c>
      <c r="B1475" t="str">
        <f>"64520000"</f>
        <v>64520000</v>
      </c>
      <c r="C1475" t="str">
        <f t="shared" ref="C1475:C1538" si="84">+A1475&amp;B1475*10</f>
        <v>LIL645200000</v>
      </c>
      <c r="E1475">
        <v>11873.41</v>
      </c>
      <c r="F1475">
        <v>0</v>
      </c>
      <c r="G1475">
        <f t="shared" ref="G1475:G1538" si="85">+E1475-F1475</f>
        <v>11873.41</v>
      </c>
    </row>
    <row r="1476" spans="1:9">
      <c r="A1476" t="str">
        <f t="shared" si="83"/>
        <v>LIL</v>
      </c>
      <c r="B1476" t="str">
        <f>"64530000"</f>
        <v>64530000</v>
      </c>
      <c r="C1476" t="str">
        <f t="shared" si="84"/>
        <v>LIL645300000</v>
      </c>
      <c r="E1476">
        <v>23555.8</v>
      </c>
      <c r="F1476">
        <v>0</v>
      </c>
      <c r="G1476">
        <f t="shared" si="85"/>
        <v>23555.8</v>
      </c>
    </row>
    <row r="1477" spans="1:9">
      <c r="A1477" t="str">
        <f t="shared" si="83"/>
        <v>LIL</v>
      </c>
      <c r="B1477" t="str">
        <f>"64531000"</f>
        <v>64531000</v>
      </c>
      <c r="C1477" t="str">
        <f t="shared" si="84"/>
        <v>LIL645310000</v>
      </c>
      <c r="E1477">
        <v>-0.64</v>
      </c>
      <c r="F1477">
        <v>0</v>
      </c>
      <c r="G1477">
        <f t="shared" si="85"/>
        <v>-0.64</v>
      </c>
    </row>
    <row r="1478" spans="1:9">
      <c r="A1478" t="str">
        <f t="shared" si="83"/>
        <v>LIL</v>
      </c>
      <c r="B1478" t="str">
        <f>"64540000"</f>
        <v>64540000</v>
      </c>
      <c r="C1478" t="str">
        <f t="shared" si="84"/>
        <v>LIL645400000</v>
      </c>
      <c r="E1478">
        <v>14990.33</v>
      </c>
      <c r="F1478">
        <v>0</v>
      </c>
      <c r="G1478">
        <f t="shared" si="85"/>
        <v>14990.33</v>
      </c>
    </row>
    <row r="1479" spans="1:9">
      <c r="A1479" t="str">
        <f t="shared" si="83"/>
        <v>LIL</v>
      </c>
      <c r="B1479" t="str">
        <f>"64580000"</f>
        <v>64580000</v>
      </c>
      <c r="C1479" t="str">
        <f t="shared" si="84"/>
        <v>LIL645800000</v>
      </c>
      <c r="E1479">
        <v>0.37</v>
      </c>
      <c r="F1479">
        <v>0</v>
      </c>
      <c r="G1479">
        <f t="shared" si="85"/>
        <v>0.37</v>
      </c>
    </row>
    <row r="1480" spans="1:9">
      <c r="A1480" t="str">
        <f t="shared" si="83"/>
        <v>LIL</v>
      </c>
      <c r="B1480" t="str">
        <f>"64590000"</f>
        <v>64590000</v>
      </c>
      <c r="C1480" t="str">
        <f t="shared" si="84"/>
        <v>LIL645900000</v>
      </c>
      <c r="E1480">
        <v>1475.01</v>
      </c>
      <c r="F1480">
        <v>0</v>
      </c>
      <c r="G1480">
        <f t="shared" si="85"/>
        <v>1475.01</v>
      </c>
    </row>
    <row r="1481" spans="1:9">
      <c r="A1481" t="str">
        <f t="shared" si="83"/>
        <v>LIL</v>
      </c>
      <c r="B1481" t="str">
        <f>"64710000"</f>
        <v>64710000</v>
      </c>
      <c r="C1481" t="str">
        <f t="shared" si="84"/>
        <v>LIL647100000</v>
      </c>
      <c r="E1481">
        <v>1108.25</v>
      </c>
      <c r="F1481">
        <v>0</v>
      </c>
      <c r="G1481">
        <f t="shared" si="85"/>
        <v>1108.25</v>
      </c>
    </row>
    <row r="1482" spans="1:9">
      <c r="A1482" t="str">
        <f t="shared" si="83"/>
        <v>LIL</v>
      </c>
      <c r="B1482" t="str">
        <f>"64720000"</f>
        <v>64720000</v>
      </c>
      <c r="C1482" t="str">
        <f t="shared" si="84"/>
        <v>LIL647200000</v>
      </c>
      <c r="E1482">
        <v>25847.759999999998</v>
      </c>
      <c r="F1482">
        <v>0</v>
      </c>
      <c r="G1482">
        <f t="shared" si="85"/>
        <v>25847.759999999998</v>
      </c>
    </row>
    <row r="1483" spans="1:9">
      <c r="A1483" t="str">
        <f t="shared" si="83"/>
        <v>LIL</v>
      </c>
      <c r="B1483" t="str">
        <f>"64740000"</f>
        <v>64740000</v>
      </c>
      <c r="C1483" t="str">
        <f t="shared" si="84"/>
        <v>LIL647400000</v>
      </c>
      <c r="E1483">
        <v>143.94999999999999</v>
      </c>
      <c r="F1483">
        <v>0</v>
      </c>
      <c r="G1483">
        <f t="shared" si="85"/>
        <v>143.94999999999999</v>
      </c>
    </row>
    <row r="1484" spans="1:9">
      <c r="A1484" t="str">
        <f t="shared" si="83"/>
        <v>LIL</v>
      </c>
      <c r="B1484" t="str">
        <f>"64741000"</f>
        <v>64741000</v>
      </c>
      <c r="C1484" t="str">
        <f t="shared" si="84"/>
        <v>LIL647410000</v>
      </c>
      <c r="E1484">
        <v>3453.12</v>
      </c>
      <c r="F1484">
        <v>2537.61</v>
      </c>
      <c r="G1484">
        <f t="shared" si="85"/>
        <v>915.50999999999976</v>
      </c>
    </row>
    <row r="1485" spans="1:9">
      <c r="A1485" t="str">
        <f t="shared" si="83"/>
        <v>LIL</v>
      </c>
      <c r="B1485" t="str">
        <f>"64742000"</f>
        <v>64742000</v>
      </c>
      <c r="C1485" t="str">
        <f t="shared" si="84"/>
        <v>LIL647420000</v>
      </c>
      <c r="E1485">
        <v>0</v>
      </c>
      <c r="F1485">
        <v>0</v>
      </c>
      <c r="G1485">
        <f t="shared" si="85"/>
        <v>0</v>
      </c>
    </row>
    <row r="1486" spans="1:9">
      <c r="A1486" t="str">
        <f t="shared" si="83"/>
        <v>LIL</v>
      </c>
      <c r="B1486" t="str">
        <f>"64750000"</f>
        <v>64750000</v>
      </c>
      <c r="C1486" t="str">
        <f t="shared" si="84"/>
        <v>LIL647500000</v>
      </c>
      <c r="E1486">
        <v>1382.13</v>
      </c>
      <c r="F1486">
        <v>0</v>
      </c>
      <c r="G1486">
        <f t="shared" si="85"/>
        <v>1382.13</v>
      </c>
    </row>
    <row r="1487" spans="1:9">
      <c r="A1487" t="str">
        <f t="shared" si="83"/>
        <v>LIL</v>
      </c>
      <c r="B1487" t="str">
        <f>"64800000"</f>
        <v>64800000</v>
      </c>
      <c r="C1487" t="str">
        <f t="shared" si="84"/>
        <v>LIL648000000</v>
      </c>
      <c r="E1487" s="19">
        <v>9771.8207999999995</v>
      </c>
      <c r="F1487">
        <v>0</v>
      </c>
      <c r="G1487" s="19">
        <f t="shared" si="85"/>
        <v>9771.8207999999995</v>
      </c>
      <c r="H1487" s="433">
        <v>7371.5408000000007</v>
      </c>
      <c r="I1487" s="113" t="s">
        <v>528</v>
      </c>
    </row>
    <row r="1488" spans="1:9">
      <c r="A1488" t="str">
        <f t="shared" si="83"/>
        <v>LIL</v>
      </c>
      <c r="B1488" t="str">
        <f>"65410000"</f>
        <v>65410000</v>
      </c>
      <c r="C1488" t="str">
        <f t="shared" si="84"/>
        <v>LIL654100000</v>
      </c>
      <c r="E1488">
        <v>5.49</v>
      </c>
      <c r="F1488">
        <v>24.31</v>
      </c>
      <c r="G1488">
        <f t="shared" si="85"/>
        <v>-18.82</v>
      </c>
    </row>
    <row r="1489" spans="1:7">
      <c r="A1489" t="str">
        <f t="shared" si="83"/>
        <v>LIL</v>
      </c>
      <c r="B1489" t="str">
        <f>"65420000"</f>
        <v>65420000</v>
      </c>
      <c r="C1489" t="str">
        <f t="shared" si="84"/>
        <v>LIL654200000</v>
      </c>
      <c r="E1489">
        <v>9.59</v>
      </c>
      <c r="F1489">
        <v>52.6</v>
      </c>
      <c r="G1489">
        <f t="shared" si="85"/>
        <v>-43.010000000000005</v>
      </c>
    </row>
    <row r="1490" spans="1:7">
      <c r="A1490" t="str">
        <f t="shared" si="83"/>
        <v>LIL</v>
      </c>
      <c r="B1490" t="str">
        <f>"66116000"</f>
        <v>66116000</v>
      </c>
      <c r="C1490" t="str">
        <f t="shared" si="84"/>
        <v>LIL661160000</v>
      </c>
      <c r="E1490">
        <v>35441.589999999997</v>
      </c>
      <c r="F1490">
        <v>0</v>
      </c>
      <c r="G1490">
        <f t="shared" si="85"/>
        <v>35441.589999999997</v>
      </c>
    </row>
    <row r="1491" spans="1:7">
      <c r="A1491" t="str">
        <f t="shared" si="83"/>
        <v>LIL</v>
      </c>
      <c r="B1491" t="str">
        <f>"66150000"</f>
        <v>66150000</v>
      </c>
      <c r="C1491" t="str">
        <f t="shared" si="84"/>
        <v>LIL661500000</v>
      </c>
      <c r="E1491">
        <v>1688.9</v>
      </c>
      <c r="F1491">
        <v>0</v>
      </c>
      <c r="G1491">
        <f t="shared" si="85"/>
        <v>1688.9</v>
      </c>
    </row>
    <row r="1492" spans="1:7">
      <c r="A1492" t="str">
        <f t="shared" si="83"/>
        <v>LIL</v>
      </c>
      <c r="B1492" t="str">
        <f>"66151000"</f>
        <v>66151000</v>
      </c>
      <c r="C1492" t="str">
        <f t="shared" si="84"/>
        <v>LIL661510000</v>
      </c>
      <c r="E1492">
        <v>8510.3799999999992</v>
      </c>
      <c r="F1492">
        <v>0</v>
      </c>
      <c r="G1492">
        <f t="shared" si="85"/>
        <v>8510.3799999999992</v>
      </c>
    </row>
    <row r="1493" spans="1:7">
      <c r="A1493" t="str">
        <f t="shared" si="83"/>
        <v>LIL</v>
      </c>
      <c r="B1493" t="str">
        <f>"66160000"</f>
        <v>66160000</v>
      </c>
      <c r="C1493" t="str">
        <f t="shared" si="84"/>
        <v>LIL661600000</v>
      </c>
      <c r="E1493">
        <v>18699.060000000001</v>
      </c>
      <c r="F1493">
        <v>0</v>
      </c>
      <c r="G1493">
        <f t="shared" si="85"/>
        <v>18699.060000000001</v>
      </c>
    </row>
    <row r="1494" spans="1:7">
      <c r="A1494" t="str">
        <f t="shared" si="83"/>
        <v>LIL</v>
      </c>
      <c r="B1494" t="str">
        <f>"66162000"</f>
        <v>66162000</v>
      </c>
      <c r="C1494" t="str">
        <f t="shared" si="84"/>
        <v>LIL661620000</v>
      </c>
      <c r="E1494">
        <v>12285.2</v>
      </c>
      <c r="F1494">
        <v>0</v>
      </c>
      <c r="G1494">
        <f t="shared" si="85"/>
        <v>12285.2</v>
      </c>
    </row>
    <row r="1495" spans="1:7">
      <c r="A1495" t="str">
        <f t="shared" si="83"/>
        <v>LIL</v>
      </c>
      <c r="B1495" t="str">
        <f>"66181000"</f>
        <v>66181000</v>
      </c>
      <c r="C1495" t="str">
        <f t="shared" si="84"/>
        <v>LIL661810000</v>
      </c>
      <c r="E1495">
        <v>-1662.79</v>
      </c>
      <c r="F1495">
        <v>0</v>
      </c>
      <c r="G1495">
        <f t="shared" si="85"/>
        <v>-1662.79</v>
      </c>
    </row>
    <row r="1496" spans="1:7">
      <c r="A1496" t="str">
        <f t="shared" si="83"/>
        <v>LIL</v>
      </c>
      <c r="B1496" t="str">
        <f>"66188000"</f>
        <v>66188000</v>
      </c>
      <c r="C1496" t="str">
        <f t="shared" si="84"/>
        <v>LIL661880000</v>
      </c>
      <c r="E1496">
        <v>2095.65</v>
      </c>
      <c r="F1496">
        <v>1047.81</v>
      </c>
      <c r="G1496">
        <f t="shared" si="85"/>
        <v>1047.8400000000001</v>
      </c>
    </row>
    <row r="1497" spans="1:7">
      <c r="A1497" t="str">
        <f t="shared" si="83"/>
        <v>LIL</v>
      </c>
      <c r="B1497" t="str">
        <f>"66500000"</f>
        <v>66500000</v>
      </c>
      <c r="C1497" t="str">
        <f t="shared" si="84"/>
        <v>LIL665000000</v>
      </c>
      <c r="E1497">
        <v>711.02</v>
      </c>
      <c r="F1497">
        <v>1764.55</v>
      </c>
      <c r="G1497">
        <f t="shared" si="85"/>
        <v>-1053.53</v>
      </c>
    </row>
    <row r="1498" spans="1:7">
      <c r="A1498" t="str">
        <f t="shared" si="83"/>
        <v>LIL</v>
      </c>
      <c r="B1498" t="str">
        <f>"67120000"</f>
        <v>67120000</v>
      </c>
      <c r="C1498" t="str">
        <f t="shared" si="84"/>
        <v>LIL671200000</v>
      </c>
      <c r="E1498">
        <v>3507.13</v>
      </c>
      <c r="F1498">
        <v>0</v>
      </c>
      <c r="G1498">
        <f t="shared" si="85"/>
        <v>3507.13</v>
      </c>
    </row>
    <row r="1499" spans="1:7">
      <c r="A1499" t="str">
        <f t="shared" si="83"/>
        <v>LIL</v>
      </c>
      <c r="B1499" t="str">
        <f>"67180000"</f>
        <v>67180000</v>
      </c>
      <c r="C1499" t="str">
        <f t="shared" si="84"/>
        <v>LIL671800000</v>
      </c>
      <c r="E1499">
        <v>50229.47</v>
      </c>
      <c r="F1499">
        <v>0</v>
      </c>
      <c r="G1499">
        <f t="shared" si="85"/>
        <v>50229.47</v>
      </c>
    </row>
    <row r="1500" spans="1:7">
      <c r="A1500" t="str">
        <f t="shared" si="83"/>
        <v>LIL</v>
      </c>
      <c r="B1500" t="str">
        <f>"67510000"</f>
        <v>67510000</v>
      </c>
      <c r="C1500" t="str">
        <f t="shared" si="84"/>
        <v>LIL675100000</v>
      </c>
      <c r="E1500">
        <v>-1289.81</v>
      </c>
      <c r="F1500">
        <v>0</v>
      </c>
      <c r="G1500">
        <f t="shared" si="85"/>
        <v>-1289.81</v>
      </c>
    </row>
    <row r="1501" spans="1:7">
      <c r="A1501" t="str">
        <f t="shared" si="83"/>
        <v>LIL</v>
      </c>
      <c r="B1501" t="str">
        <f>"67520000"</f>
        <v>67520000</v>
      </c>
      <c r="C1501" t="str">
        <f t="shared" si="84"/>
        <v>LIL675200000</v>
      </c>
      <c r="E1501">
        <v>235.62</v>
      </c>
      <c r="F1501">
        <v>0</v>
      </c>
      <c r="G1501">
        <f t="shared" si="85"/>
        <v>235.62</v>
      </c>
    </row>
    <row r="1502" spans="1:7">
      <c r="A1502" t="str">
        <f t="shared" si="83"/>
        <v>LIL</v>
      </c>
      <c r="B1502" t="str">
        <f>"67560000"</f>
        <v>67560000</v>
      </c>
      <c r="C1502" t="str">
        <f t="shared" si="84"/>
        <v>LIL675600000</v>
      </c>
      <c r="E1502">
        <v>1500</v>
      </c>
      <c r="F1502">
        <v>0</v>
      </c>
      <c r="G1502">
        <f t="shared" si="85"/>
        <v>1500</v>
      </c>
    </row>
    <row r="1503" spans="1:7">
      <c r="A1503" t="str">
        <f t="shared" si="83"/>
        <v>LIL</v>
      </c>
      <c r="B1503" t="str">
        <f>"68111000"</f>
        <v>68111000</v>
      </c>
      <c r="C1503" t="str">
        <f t="shared" si="84"/>
        <v>LIL681110000</v>
      </c>
      <c r="E1503">
        <v>11609.78</v>
      </c>
      <c r="F1503">
        <v>0</v>
      </c>
      <c r="G1503">
        <f t="shared" si="85"/>
        <v>11609.78</v>
      </c>
    </row>
    <row r="1504" spans="1:7">
      <c r="A1504" t="str">
        <f t="shared" si="83"/>
        <v>LIL</v>
      </c>
      <c r="B1504" t="str">
        <f>"68112000"</f>
        <v>68112000</v>
      </c>
      <c r="C1504" t="str">
        <f t="shared" si="84"/>
        <v>LIL681120000</v>
      </c>
      <c r="E1504">
        <v>13526.11</v>
      </c>
      <c r="F1504">
        <v>0</v>
      </c>
      <c r="G1504">
        <f t="shared" si="85"/>
        <v>13526.11</v>
      </c>
    </row>
    <row r="1505" spans="1:9">
      <c r="A1505" t="str">
        <f t="shared" si="83"/>
        <v>LIL</v>
      </c>
      <c r="B1505" t="str">
        <f>"68173000"</f>
        <v>68173000</v>
      </c>
      <c r="C1505" t="str">
        <f t="shared" si="84"/>
        <v>LIL681730000</v>
      </c>
      <c r="E1505">
        <v>937.42</v>
      </c>
      <c r="F1505">
        <v>0</v>
      </c>
      <c r="G1505">
        <f t="shared" si="85"/>
        <v>937.42</v>
      </c>
    </row>
    <row r="1506" spans="1:9">
      <c r="A1506" t="str">
        <f t="shared" si="83"/>
        <v>LIL</v>
      </c>
      <c r="B1506" t="str">
        <f>"68725000"</f>
        <v>68725000</v>
      </c>
      <c r="C1506" t="str">
        <f t="shared" si="84"/>
        <v>LIL687250000</v>
      </c>
      <c r="E1506">
        <v>7079.23</v>
      </c>
      <c r="F1506">
        <v>0</v>
      </c>
      <c r="G1506">
        <f t="shared" si="85"/>
        <v>7079.23</v>
      </c>
    </row>
    <row r="1507" spans="1:9">
      <c r="A1507" t="str">
        <f t="shared" si="83"/>
        <v>LIL</v>
      </c>
      <c r="B1507" t="str">
        <f>"69120000"</f>
        <v>69120000</v>
      </c>
      <c r="C1507" t="str">
        <f t="shared" si="84"/>
        <v>LIL691200000</v>
      </c>
      <c r="E1507">
        <f>0+80000</f>
        <v>80000</v>
      </c>
      <c r="F1507">
        <v>0</v>
      </c>
      <c r="G1507">
        <f t="shared" si="85"/>
        <v>80000</v>
      </c>
      <c r="H1507">
        <v>80000</v>
      </c>
      <c r="I1507" t="s">
        <v>560</v>
      </c>
    </row>
    <row r="1508" spans="1:9">
      <c r="A1508" t="str">
        <f t="shared" si="83"/>
        <v>LIL</v>
      </c>
      <c r="B1508" t="str">
        <f>"69510000"</f>
        <v>69510000</v>
      </c>
      <c r="C1508" t="str">
        <f t="shared" si="84"/>
        <v>LIL695100000</v>
      </c>
      <c r="E1508">
        <f>66008-46536</f>
        <v>19472</v>
      </c>
      <c r="F1508">
        <v>19472</v>
      </c>
      <c r="G1508">
        <f t="shared" si="85"/>
        <v>0</v>
      </c>
      <c r="H1508">
        <v>-46536</v>
      </c>
      <c r="I1508" t="s">
        <v>561</v>
      </c>
    </row>
    <row r="1509" spans="1:9">
      <c r="A1509" t="str">
        <f t="shared" ref="A1509:A1572" si="86">"MAD"</f>
        <v>MAD</v>
      </c>
      <c r="B1509" t="str">
        <f>"60222000"</f>
        <v>60222000</v>
      </c>
      <c r="C1509" t="str">
        <f t="shared" si="84"/>
        <v>MAD602220000</v>
      </c>
      <c r="E1509">
        <v>25.42</v>
      </c>
      <c r="F1509">
        <v>0</v>
      </c>
      <c r="G1509">
        <f t="shared" si="85"/>
        <v>25.42</v>
      </c>
    </row>
    <row r="1510" spans="1:9">
      <c r="A1510" t="str">
        <f t="shared" si="86"/>
        <v>MAD</v>
      </c>
      <c r="B1510" t="str">
        <f>"60265000"</f>
        <v>60265000</v>
      </c>
      <c r="C1510" t="str">
        <f t="shared" si="84"/>
        <v>MAD602650000</v>
      </c>
      <c r="E1510">
        <v>164.7</v>
      </c>
      <c r="F1510">
        <v>0</v>
      </c>
      <c r="G1510">
        <f t="shared" si="85"/>
        <v>164.7</v>
      </c>
    </row>
    <row r="1511" spans="1:9">
      <c r="A1511" t="str">
        <f t="shared" si="86"/>
        <v>MAD</v>
      </c>
      <c r="B1511" t="str">
        <f>"60610000"</f>
        <v>60610000</v>
      </c>
      <c r="C1511" t="str">
        <f t="shared" si="84"/>
        <v>MAD606100000</v>
      </c>
      <c r="E1511">
        <v>2289.4499999999998</v>
      </c>
      <c r="F1511">
        <v>0</v>
      </c>
      <c r="G1511">
        <f t="shared" si="85"/>
        <v>2289.4499999999998</v>
      </c>
    </row>
    <row r="1512" spans="1:9">
      <c r="A1512" t="str">
        <f t="shared" si="86"/>
        <v>MAD</v>
      </c>
      <c r="B1512" t="str">
        <f>"60611000"</f>
        <v>60611000</v>
      </c>
      <c r="C1512" t="str">
        <f t="shared" si="84"/>
        <v>MAD606110000</v>
      </c>
      <c r="E1512">
        <v>2733.16</v>
      </c>
      <c r="F1512">
        <v>0</v>
      </c>
      <c r="G1512">
        <f t="shared" si="85"/>
        <v>2733.16</v>
      </c>
    </row>
    <row r="1513" spans="1:9">
      <c r="A1513" t="str">
        <f t="shared" si="86"/>
        <v>MAD</v>
      </c>
      <c r="B1513" t="str">
        <f>"60613000"</f>
        <v>60613000</v>
      </c>
      <c r="C1513" t="str">
        <f t="shared" si="84"/>
        <v>MAD606130000</v>
      </c>
      <c r="E1513">
        <v>2368.33</v>
      </c>
      <c r="F1513">
        <v>0</v>
      </c>
      <c r="G1513">
        <f t="shared" si="85"/>
        <v>2368.33</v>
      </c>
    </row>
    <row r="1514" spans="1:9">
      <c r="A1514" t="str">
        <f t="shared" si="86"/>
        <v>MAD</v>
      </c>
      <c r="B1514" t="str">
        <f>"60631000"</f>
        <v>60631000</v>
      </c>
      <c r="C1514" t="str">
        <f t="shared" si="84"/>
        <v>MAD606310000</v>
      </c>
      <c r="E1514">
        <v>75.510000000000005</v>
      </c>
      <c r="F1514">
        <v>0</v>
      </c>
      <c r="G1514">
        <f t="shared" si="85"/>
        <v>75.510000000000005</v>
      </c>
    </row>
    <row r="1515" spans="1:9">
      <c r="A1515" t="str">
        <f t="shared" si="86"/>
        <v>MAD</v>
      </c>
      <c r="B1515" t="str">
        <f>"60641000"</f>
        <v>60641000</v>
      </c>
      <c r="C1515" t="str">
        <f t="shared" si="84"/>
        <v>MAD606410000</v>
      </c>
      <c r="E1515">
        <v>2487.81</v>
      </c>
      <c r="F1515">
        <v>0</v>
      </c>
      <c r="G1515">
        <f t="shared" si="85"/>
        <v>2487.81</v>
      </c>
    </row>
    <row r="1516" spans="1:9">
      <c r="A1516" t="str">
        <f t="shared" si="86"/>
        <v>MAD</v>
      </c>
      <c r="B1516" t="str">
        <f>"60710000"</f>
        <v>60710000</v>
      </c>
      <c r="C1516" t="str">
        <f t="shared" si="84"/>
        <v>MAD607100000</v>
      </c>
      <c r="E1516">
        <v>453162.68</v>
      </c>
      <c r="F1516">
        <v>207.39</v>
      </c>
      <c r="G1516">
        <f t="shared" si="85"/>
        <v>452955.29</v>
      </c>
    </row>
    <row r="1517" spans="1:9">
      <c r="A1517" t="str">
        <f t="shared" si="86"/>
        <v>MAD</v>
      </c>
      <c r="B1517" t="str">
        <f>"60711000"</f>
        <v>60711000</v>
      </c>
      <c r="C1517" t="str">
        <f t="shared" si="84"/>
        <v>MAD607110000</v>
      </c>
      <c r="E1517">
        <v>59170.85</v>
      </c>
      <c r="F1517">
        <v>0</v>
      </c>
      <c r="G1517">
        <f t="shared" si="85"/>
        <v>59170.85</v>
      </c>
    </row>
    <row r="1518" spans="1:9">
      <c r="A1518" t="str">
        <f t="shared" si="86"/>
        <v>MAD</v>
      </c>
      <c r="B1518" t="str">
        <f>"60712000"</f>
        <v>60712000</v>
      </c>
      <c r="C1518" t="str">
        <f t="shared" si="84"/>
        <v>MAD607120000</v>
      </c>
      <c r="E1518">
        <v>-5286.66</v>
      </c>
      <c r="F1518">
        <v>0</v>
      </c>
      <c r="G1518">
        <f t="shared" si="85"/>
        <v>-5286.66</v>
      </c>
    </row>
    <row r="1519" spans="1:9">
      <c r="A1519" t="str">
        <f t="shared" si="86"/>
        <v>MAD</v>
      </c>
      <c r="B1519" t="str">
        <f>"60713000"</f>
        <v>60713000</v>
      </c>
      <c r="C1519" t="str">
        <f t="shared" si="84"/>
        <v>MAD607130000</v>
      </c>
      <c r="E1519">
        <v>115416</v>
      </c>
      <c r="F1519">
        <v>0</v>
      </c>
      <c r="G1519">
        <f t="shared" si="85"/>
        <v>115416</v>
      </c>
    </row>
    <row r="1520" spans="1:9">
      <c r="A1520" t="str">
        <f t="shared" si="86"/>
        <v>MAD</v>
      </c>
      <c r="B1520" t="str">
        <f>"60714000"</f>
        <v>60714000</v>
      </c>
      <c r="C1520" t="str">
        <f t="shared" si="84"/>
        <v>MAD607140000</v>
      </c>
      <c r="E1520">
        <v>-309562</v>
      </c>
      <c r="F1520">
        <v>0</v>
      </c>
      <c r="G1520">
        <f t="shared" si="85"/>
        <v>-309562</v>
      </c>
    </row>
    <row r="1521" spans="1:7">
      <c r="A1521" t="str">
        <f t="shared" si="86"/>
        <v>MAD</v>
      </c>
      <c r="B1521" t="str">
        <f>"60720000"</f>
        <v>60720000</v>
      </c>
      <c r="C1521" t="str">
        <f t="shared" si="84"/>
        <v>MAD607200000</v>
      </c>
      <c r="E1521">
        <v>325045.37</v>
      </c>
      <c r="F1521">
        <v>0</v>
      </c>
      <c r="G1521">
        <f t="shared" si="85"/>
        <v>325045.37</v>
      </c>
    </row>
    <row r="1522" spans="1:7">
      <c r="A1522" t="str">
        <f t="shared" si="86"/>
        <v>MAD</v>
      </c>
      <c r="B1522" t="str">
        <f>"60740000"</f>
        <v>60740000</v>
      </c>
      <c r="C1522" t="str">
        <f t="shared" si="84"/>
        <v>MAD607400000</v>
      </c>
      <c r="E1522">
        <v>3023.94</v>
      </c>
      <c r="F1522">
        <v>0</v>
      </c>
      <c r="G1522">
        <f t="shared" si="85"/>
        <v>3023.94</v>
      </c>
    </row>
    <row r="1523" spans="1:7">
      <c r="A1523" t="str">
        <f t="shared" si="86"/>
        <v>MAD</v>
      </c>
      <c r="B1523" t="str">
        <f>"60800000"</f>
        <v>60800000</v>
      </c>
      <c r="C1523" t="str">
        <f t="shared" si="84"/>
        <v>MAD608000000</v>
      </c>
      <c r="E1523">
        <v>913.17</v>
      </c>
      <c r="F1523">
        <v>0</v>
      </c>
      <c r="G1523">
        <f t="shared" si="85"/>
        <v>913.17</v>
      </c>
    </row>
    <row r="1524" spans="1:7">
      <c r="A1524" t="str">
        <f t="shared" si="86"/>
        <v>MAD</v>
      </c>
      <c r="B1524" t="str">
        <f>"60911000"</f>
        <v>60911000</v>
      </c>
      <c r="C1524" t="str">
        <f t="shared" si="84"/>
        <v>MAD609110000</v>
      </c>
      <c r="E1524">
        <v>-13864.9</v>
      </c>
      <c r="F1524">
        <v>0</v>
      </c>
      <c r="G1524">
        <f t="shared" si="85"/>
        <v>-13864.9</v>
      </c>
    </row>
    <row r="1525" spans="1:7">
      <c r="A1525" t="str">
        <f t="shared" si="86"/>
        <v>MAD</v>
      </c>
      <c r="B1525" t="str">
        <f>"60912000"</f>
        <v>60912000</v>
      </c>
      <c r="C1525" t="str">
        <f t="shared" si="84"/>
        <v>MAD609120000</v>
      </c>
      <c r="E1525">
        <v>-22037.33</v>
      </c>
      <c r="F1525">
        <v>0</v>
      </c>
      <c r="G1525">
        <f t="shared" si="85"/>
        <v>-22037.33</v>
      </c>
    </row>
    <row r="1526" spans="1:7">
      <c r="A1526" t="str">
        <f t="shared" si="86"/>
        <v>MAD</v>
      </c>
      <c r="B1526" t="str">
        <f>"60913000"</f>
        <v>60913000</v>
      </c>
      <c r="C1526" t="str">
        <f t="shared" si="84"/>
        <v>MAD609130000</v>
      </c>
      <c r="E1526">
        <v>-12592.76</v>
      </c>
      <c r="F1526">
        <v>0</v>
      </c>
      <c r="G1526">
        <f t="shared" si="85"/>
        <v>-12592.76</v>
      </c>
    </row>
    <row r="1527" spans="1:7">
      <c r="A1527" t="str">
        <f t="shared" si="86"/>
        <v>MAD</v>
      </c>
      <c r="B1527" t="str">
        <f>"61320000"</f>
        <v>61320000</v>
      </c>
      <c r="C1527" t="str">
        <f t="shared" si="84"/>
        <v>MAD613200000</v>
      </c>
      <c r="E1527">
        <v>33738.199999999997</v>
      </c>
      <c r="F1527">
        <v>0</v>
      </c>
      <c r="G1527">
        <f t="shared" si="85"/>
        <v>33738.199999999997</v>
      </c>
    </row>
    <row r="1528" spans="1:7">
      <c r="A1528" t="str">
        <f t="shared" si="86"/>
        <v>MAD</v>
      </c>
      <c r="B1528" t="str">
        <f>"61352000"</f>
        <v>61352000</v>
      </c>
      <c r="C1528" t="str">
        <f t="shared" si="84"/>
        <v>MAD613520000</v>
      </c>
      <c r="E1528">
        <v>230.44</v>
      </c>
      <c r="F1528">
        <v>0</v>
      </c>
      <c r="G1528">
        <f t="shared" si="85"/>
        <v>230.44</v>
      </c>
    </row>
    <row r="1529" spans="1:7">
      <c r="A1529" t="str">
        <f t="shared" si="86"/>
        <v>MAD</v>
      </c>
      <c r="B1529" t="str">
        <f>"61353000"</f>
        <v>61353000</v>
      </c>
      <c r="C1529" t="str">
        <f t="shared" si="84"/>
        <v>MAD613530000</v>
      </c>
      <c r="E1529">
        <v>180</v>
      </c>
      <c r="F1529">
        <v>0</v>
      </c>
      <c r="G1529">
        <f t="shared" si="85"/>
        <v>180</v>
      </c>
    </row>
    <row r="1530" spans="1:7">
      <c r="A1530" t="str">
        <f t="shared" si="86"/>
        <v>MAD</v>
      </c>
      <c r="B1530" t="str">
        <f>"61354000"</f>
        <v>61354000</v>
      </c>
      <c r="C1530" t="str">
        <f t="shared" si="84"/>
        <v>MAD613540000</v>
      </c>
      <c r="E1530">
        <v>515</v>
      </c>
      <c r="F1530">
        <v>0</v>
      </c>
      <c r="G1530">
        <f t="shared" si="85"/>
        <v>515</v>
      </c>
    </row>
    <row r="1531" spans="1:7">
      <c r="A1531" t="str">
        <f t="shared" si="86"/>
        <v>MAD</v>
      </c>
      <c r="B1531" t="str">
        <f>"61400000"</f>
        <v>61400000</v>
      </c>
      <c r="C1531" t="str">
        <f t="shared" si="84"/>
        <v>MAD614000000</v>
      </c>
      <c r="E1531">
        <v>6505.42</v>
      </c>
      <c r="F1531">
        <v>0</v>
      </c>
      <c r="G1531">
        <f t="shared" si="85"/>
        <v>6505.42</v>
      </c>
    </row>
    <row r="1532" spans="1:7">
      <c r="A1532" t="str">
        <f t="shared" si="86"/>
        <v>MAD</v>
      </c>
      <c r="B1532" t="str">
        <f>"61520000"</f>
        <v>61520000</v>
      </c>
      <c r="C1532" t="str">
        <f t="shared" si="84"/>
        <v>MAD615200000</v>
      </c>
      <c r="E1532">
        <v>2060.2399999999998</v>
      </c>
      <c r="F1532">
        <v>0</v>
      </c>
      <c r="G1532">
        <f t="shared" si="85"/>
        <v>2060.2399999999998</v>
      </c>
    </row>
    <row r="1533" spans="1:7">
      <c r="A1533" t="str">
        <f t="shared" si="86"/>
        <v>MAD</v>
      </c>
      <c r="B1533" t="str">
        <f>"61550000"</f>
        <v>61550000</v>
      </c>
      <c r="C1533" t="str">
        <f t="shared" si="84"/>
        <v>MAD615500000</v>
      </c>
      <c r="E1533">
        <v>736.8</v>
      </c>
      <c r="F1533">
        <v>11.2</v>
      </c>
      <c r="G1533">
        <f t="shared" si="85"/>
        <v>725.59999999999991</v>
      </c>
    </row>
    <row r="1534" spans="1:7">
      <c r="A1534" t="str">
        <f t="shared" si="86"/>
        <v>MAD</v>
      </c>
      <c r="B1534" t="str">
        <f>"61552000"</f>
        <v>61552000</v>
      </c>
      <c r="C1534" t="str">
        <f t="shared" si="84"/>
        <v>MAD615520000</v>
      </c>
      <c r="E1534">
        <v>1698.5</v>
      </c>
      <c r="F1534">
        <v>0</v>
      </c>
      <c r="G1534">
        <f t="shared" si="85"/>
        <v>1698.5</v>
      </c>
    </row>
    <row r="1535" spans="1:7">
      <c r="A1535" t="str">
        <f t="shared" si="86"/>
        <v>MAD</v>
      </c>
      <c r="B1535" t="str">
        <f>"61612000"</f>
        <v>61612000</v>
      </c>
      <c r="C1535" t="str">
        <f t="shared" si="84"/>
        <v>MAD616120000</v>
      </c>
      <c r="E1535">
        <v>1171.48</v>
      </c>
      <c r="F1535">
        <v>0</v>
      </c>
      <c r="G1535">
        <f t="shared" si="85"/>
        <v>1171.48</v>
      </c>
    </row>
    <row r="1536" spans="1:7">
      <c r="A1536" t="str">
        <f t="shared" si="86"/>
        <v>MAD</v>
      </c>
      <c r="B1536" t="str">
        <f>"61613000"</f>
        <v>61613000</v>
      </c>
      <c r="C1536" t="str">
        <f t="shared" si="84"/>
        <v>MAD616130000</v>
      </c>
      <c r="E1536">
        <v>2549.5100000000002</v>
      </c>
      <c r="F1536">
        <v>0</v>
      </c>
      <c r="G1536">
        <f t="shared" si="85"/>
        <v>2549.5100000000002</v>
      </c>
    </row>
    <row r="1537" spans="1:7">
      <c r="A1537" t="str">
        <f t="shared" si="86"/>
        <v>MAD</v>
      </c>
      <c r="B1537" t="str">
        <f>"61810000"</f>
        <v>61810000</v>
      </c>
      <c r="C1537" t="str">
        <f t="shared" si="84"/>
        <v>MAD618100000</v>
      </c>
      <c r="E1537">
        <v>431.1</v>
      </c>
      <c r="F1537">
        <v>0</v>
      </c>
      <c r="G1537">
        <f t="shared" si="85"/>
        <v>431.1</v>
      </c>
    </row>
    <row r="1538" spans="1:7">
      <c r="A1538" t="str">
        <f t="shared" si="86"/>
        <v>MAD</v>
      </c>
      <c r="B1538" t="str">
        <f>"61850000"</f>
        <v>61850000</v>
      </c>
      <c r="C1538" t="str">
        <f t="shared" si="84"/>
        <v>MAD618500000</v>
      </c>
      <c r="E1538">
        <v>1097.83</v>
      </c>
      <c r="F1538">
        <v>0</v>
      </c>
      <c r="G1538">
        <f t="shared" si="85"/>
        <v>1097.83</v>
      </c>
    </row>
    <row r="1539" spans="1:7">
      <c r="A1539" t="str">
        <f t="shared" si="86"/>
        <v>MAD</v>
      </c>
      <c r="B1539" t="str">
        <f>"62120000"</f>
        <v>62120000</v>
      </c>
      <c r="C1539" t="str">
        <f t="shared" ref="C1539:C1602" si="87">+A1539&amp;B1539*10</f>
        <v>MAD621200000</v>
      </c>
      <c r="E1539">
        <v>121.78</v>
      </c>
      <c r="F1539">
        <v>0</v>
      </c>
      <c r="G1539">
        <f t="shared" ref="G1539:G1602" si="88">+E1539-F1539</f>
        <v>121.78</v>
      </c>
    </row>
    <row r="1540" spans="1:7">
      <c r="A1540" t="str">
        <f t="shared" si="86"/>
        <v>MAD</v>
      </c>
      <c r="B1540" t="str">
        <f>"62260000"</f>
        <v>62260000</v>
      </c>
      <c r="C1540" t="str">
        <f t="shared" si="87"/>
        <v>MAD622600000</v>
      </c>
      <c r="E1540">
        <v>758.84</v>
      </c>
      <c r="F1540">
        <v>0</v>
      </c>
      <c r="G1540">
        <f t="shared" si="88"/>
        <v>758.84</v>
      </c>
    </row>
    <row r="1541" spans="1:7">
      <c r="A1541" t="str">
        <f t="shared" si="86"/>
        <v>MAD</v>
      </c>
      <c r="B1541" t="str">
        <f>"62270000"</f>
        <v>62270000</v>
      </c>
      <c r="C1541" t="str">
        <f t="shared" si="87"/>
        <v>MAD622700000</v>
      </c>
      <c r="E1541">
        <v>-1.35</v>
      </c>
      <c r="F1541">
        <v>0</v>
      </c>
      <c r="G1541">
        <f t="shared" si="88"/>
        <v>-1.35</v>
      </c>
    </row>
    <row r="1542" spans="1:7">
      <c r="A1542" t="str">
        <f t="shared" si="86"/>
        <v>MAD</v>
      </c>
      <c r="B1542" t="str">
        <f>"62310000"</f>
        <v>62310000</v>
      </c>
      <c r="C1542" t="str">
        <f t="shared" si="87"/>
        <v>MAD623100000</v>
      </c>
      <c r="E1542">
        <v>774.3</v>
      </c>
      <c r="F1542">
        <v>0</v>
      </c>
      <c r="G1542">
        <f t="shared" si="88"/>
        <v>774.3</v>
      </c>
    </row>
    <row r="1543" spans="1:7">
      <c r="A1543" t="str">
        <f t="shared" si="86"/>
        <v>MAD</v>
      </c>
      <c r="B1543" t="str">
        <f>"62320000"</f>
        <v>62320000</v>
      </c>
      <c r="C1543" t="str">
        <f t="shared" si="87"/>
        <v>MAD623200000</v>
      </c>
      <c r="E1543">
        <v>4964.03</v>
      </c>
      <c r="F1543">
        <v>0</v>
      </c>
      <c r="G1543">
        <f t="shared" si="88"/>
        <v>4964.03</v>
      </c>
    </row>
    <row r="1544" spans="1:7">
      <c r="A1544" t="str">
        <f t="shared" si="86"/>
        <v>MAD</v>
      </c>
      <c r="B1544" t="str">
        <f>"62330000"</f>
        <v>62330000</v>
      </c>
      <c r="C1544" t="str">
        <f t="shared" si="87"/>
        <v>MAD623300000</v>
      </c>
      <c r="E1544">
        <v>130.91999999999999</v>
      </c>
      <c r="F1544">
        <v>0</v>
      </c>
      <c r="G1544">
        <f t="shared" si="88"/>
        <v>130.91999999999999</v>
      </c>
    </row>
    <row r="1545" spans="1:7">
      <c r="A1545" t="str">
        <f t="shared" si="86"/>
        <v>MAD</v>
      </c>
      <c r="B1545" t="str">
        <f>"62341000"</f>
        <v>62341000</v>
      </c>
      <c r="C1545" t="str">
        <f t="shared" si="87"/>
        <v>MAD623410000</v>
      </c>
      <c r="E1545">
        <v>28075.59</v>
      </c>
      <c r="F1545">
        <v>0</v>
      </c>
      <c r="G1545">
        <f t="shared" si="88"/>
        <v>28075.59</v>
      </c>
    </row>
    <row r="1546" spans="1:7">
      <c r="A1546" t="str">
        <f t="shared" si="86"/>
        <v>MAD</v>
      </c>
      <c r="B1546" t="str">
        <f>"62342000"</f>
        <v>62342000</v>
      </c>
      <c r="C1546" t="str">
        <f t="shared" si="87"/>
        <v>MAD623420000</v>
      </c>
      <c r="E1546">
        <v>-339.26</v>
      </c>
      <c r="F1546">
        <v>0</v>
      </c>
      <c r="G1546">
        <f t="shared" si="88"/>
        <v>-339.26</v>
      </c>
    </row>
    <row r="1547" spans="1:7">
      <c r="A1547" t="str">
        <f t="shared" si="86"/>
        <v>MAD</v>
      </c>
      <c r="B1547" t="str">
        <f>"62370000"</f>
        <v>62370000</v>
      </c>
      <c r="C1547" t="str">
        <f t="shared" si="87"/>
        <v>MAD623700000</v>
      </c>
      <c r="E1547">
        <v>921.96</v>
      </c>
      <c r="F1547">
        <v>-221.9</v>
      </c>
      <c r="G1547">
        <f t="shared" si="88"/>
        <v>1143.8600000000001</v>
      </c>
    </row>
    <row r="1548" spans="1:7">
      <c r="A1548" t="str">
        <f t="shared" si="86"/>
        <v>MAD</v>
      </c>
      <c r="B1548" t="str">
        <f>"62380000"</f>
        <v>62380000</v>
      </c>
      <c r="C1548" t="str">
        <f t="shared" si="87"/>
        <v>MAD623800000</v>
      </c>
      <c r="E1548">
        <v>10</v>
      </c>
      <c r="F1548">
        <v>0</v>
      </c>
      <c r="G1548">
        <f t="shared" si="88"/>
        <v>10</v>
      </c>
    </row>
    <row r="1549" spans="1:7">
      <c r="A1549" t="str">
        <f t="shared" si="86"/>
        <v>MAD</v>
      </c>
      <c r="B1549" t="str">
        <f>"62381000"</f>
        <v>62381000</v>
      </c>
      <c r="C1549" t="str">
        <f t="shared" si="87"/>
        <v>MAD623810000</v>
      </c>
      <c r="E1549">
        <v>0</v>
      </c>
      <c r="F1549">
        <v>0</v>
      </c>
      <c r="G1549">
        <f t="shared" si="88"/>
        <v>0</v>
      </c>
    </row>
    <row r="1550" spans="1:7">
      <c r="A1550" t="str">
        <f t="shared" si="86"/>
        <v>MAD</v>
      </c>
      <c r="B1550" t="str">
        <f>"62420000"</f>
        <v>62420000</v>
      </c>
      <c r="C1550" t="str">
        <f t="shared" si="87"/>
        <v>MAD624200000</v>
      </c>
      <c r="E1550">
        <v>7338.94</v>
      </c>
      <c r="F1550">
        <v>0</v>
      </c>
      <c r="G1550">
        <f t="shared" si="88"/>
        <v>7338.94</v>
      </c>
    </row>
    <row r="1551" spans="1:7">
      <c r="A1551" t="str">
        <f t="shared" si="86"/>
        <v>MAD</v>
      </c>
      <c r="B1551" t="str">
        <f>"62510000"</f>
        <v>62510000</v>
      </c>
      <c r="C1551" t="str">
        <f t="shared" si="87"/>
        <v>MAD625100000</v>
      </c>
      <c r="E1551">
        <v>20983.78</v>
      </c>
      <c r="F1551">
        <v>6957.23</v>
      </c>
      <c r="G1551">
        <f t="shared" si="88"/>
        <v>14026.55</v>
      </c>
    </row>
    <row r="1552" spans="1:7">
      <c r="A1552" t="str">
        <f t="shared" si="86"/>
        <v>MAD</v>
      </c>
      <c r="B1552" t="str">
        <f>"62520000"</f>
        <v>62520000</v>
      </c>
      <c r="C1552" t="str">
        <f t="shared" si="87"/>
        <v>MAD625200000</v>
      </c>
      <c r="E1552">
        <v>133.22</v>
      </c>
      <c r="F1552">
        <v>0</v>
      </c>
      <c r="G1552">
        <f t="shared" si="88"/>
        <v>133.22</v>
      </c>
    </row>
    <row r="1553" spans="1:7">
      <c r="A1553" t="str">
        <f t="shared" si="86"/>
        <v>MAD</v>
      </c>
      <c r="B1553" t="str">
        <f>"62560000"</f>
        <v>62560000</v>
      </c>
      <c r="C1553" t="str">
        <f t="shared" si="87"/>
        <v>MAD625600000</v>
      </c>
      <c r="E1553">
        <v>25.23</v>
      </c>
      <c r="F1553">
        <v>0</v>
      </c>
      <c r="G1553">
        <f t="shared" si="88"/>
        <v>25.23</v>
      </c>
    </row>
    <row r="1554" spans="1:7">
      <c r="A1554" t="str">
        <f t="shared" si="86"/>
        <v>MAD</v>
      </c>
      <c r="B1554" t="str">
        <f>"62570000"</f>
        <v>62570000</v>
      </c>
      <c r="C1554" t="str">
        <f t="shared" si="87"/>
        <v>MAD625700000</v>
      </c>
      <c r="E1554">
        <v>2587.77</v>
      </c>
      <c r="F1554">
        <v>0</v>
      </c>
      <c r="G1554">
        <f t="shared" si="88"/>
        <v>2587.77</v>
      </c>
    </row>
    <row r="1555" spans="1:7">
      <c r="A1555" t="str">
        <f t="shared" si="86"/>
        <v>MAD</v>
      </c>
      <c r="B1555" t="str">
        <f>"62571000"</f>
        <v>62571000</v>
      </c>
      <c r="C1555" t="str">
        <f t="shared" si="87"/>
        <v>MAD625710000</v>
      </c>
      <c r="E1555">
        <v>3882.27</v>
      </c>
      <c r="F1555">
        <v>0</v>
      </c>
      <c r="G1555">
        <f t="shared" si="88"/>
        <v>3882.27</v>
      </c>
    </row>
    <row r="1556" spans="1:7">
      <c r="A1556" t="str">
        <f t="shared" si="86"/>
        <v>MAD</v>
      </c>
      <c r="B1556" t="str">
        <f>"62600000"</f>
        <v>62600000</v>
      </c>
      <c r="C1556" t="str">
        <f t="shared" si="87"/>
        <v>MAD626000000</v>
      </c>
      <c r="E1556">
        <v>6354.17</v>
      </c>
      <c r="F1556">
        <v>0</v>
      </c>
      <c r="G1556">
        <f t="shared" si="88"/>
        <v>6354.17</v>
      </c>
    </row>
    <row r="1557" spans="1:7">
      <c r="A1557" t="str">
        <f t="shared" si="86"/>
        <v>MAD</v>
      </c>
      <c r="B1557" t="str">
        <f>"62610000"</f>
        <v>62610000</v>
      </c>
      <c r="C1557" t="str">
        <f t="shared" si="87"/>
        <v>MAD626100000</v>
      </c>
      <c r="E1557">
        <v>507.86</v>
      </c>
      <c r="F1557">
        <v>0</v>
      </c>
      <c r="G1557">
        <f t="shared" si="88"/>
        <v>507.86</v>
      </c>
    </row>
    <row r="1558" spans="1:7">
      <c r="A1558" t="str">
        <f t="shared" si="86"/>
        <v>MAD</v>
      </c>
      <c r="B1558" t="str">
        <f>"62752000"</f>
        <v>62752000</v>
      </c>
      <c r="C1558" t="str">
        <f t="shared" si="87"/>
        <v>MAD627520000</v>
      </c>
      <c r="E1558">
        <v>96.9</v>
      </c>
      <c r="F1558">
        <v>0</v>
      </c>
      <c r="G1558">
        <f t="shared" si="88"/>
        <v>96.9</v>
      </c>
    </row>
    <row r="1559" spans="1:7">
      <c r="A1559" t="str">
        <f t="shared" si="86"/>
        <v>MAD</v>
      </c>
      <c r="B1559" t="str">
        <f>"63330000"</f>
        <v>63330000</v>
      </c>
      <c r="C1559" t="str">
        <f t="shared" si="87"/>
        <v>MAD633300000</v>
      </c>
      <c r="E1559">
        <v>1104</v>
      </c>
      <c r="F1559">
        <v>0</v>
      </c>
      <c r="G1559">
        <f t="shared" si="88"/>
        <v>1104</v>
      </c>
    </row>
    <row r="1560" spans="1:7">
      <c r="A1560" t="str">
        <f t="shared" si="86"/>
        <v>MAD</v>
      </c>
      <c r="B1560" t="str">
        <f>"63340000"</f>
        <v>63340000</v>
      </c>
      <c r="C1560" t="str">
        <f t="shared" si="87"/>
        <v>MAD633400000</v>
      </c>
      <c r="E1560">
        <v>608</v>
      </c>
      <c r="F1560">
        <v>0</v>
      </c>
      <c r="G1560">
        <f t="shared" si="88"/>
        <v>608</v>
      </c>
    </row>
    <row r="1561" spans="1:7">
      <c r="A1561" t="str">
        <f t="shared" si="86"/>
        <v>MAD</v>
      </c>
      <c r="B1561" t="str">
        <f>"63350000"</f>
        <v>63350000</v>
      </c>
      <c r="C1561" t="str">
        <f t="shared" si="87"/>
        <v>MAD633500000</v>
      </c>
      <c r="E1561">
        <v>919</v>
      </c>
      <c r="F1561">
        <v>0</v>
      </c>
      <c r="G1561">
        <f t="shared" si="88"/>
        <v>919</v>
      </c>
    </row>
    <row r="1562" spans="1:7">
      <c r="A1562" t="str">
        <f t="shared" si="86"/>
        <v>MAD</v>
      </c>
      <c r="B1562" t="str">
        <f>"63511000"</f>
        <v>63511000</v>
      </c>
      <c r="C1562" t="str">
        <f t="shared" si="87"/>
        <v>MAD635110000</v>
      </c>
      <c r="E1562">
        <v>8069</v>
      </c>
      <c r="F1562">
        <v>0</v>
      </c>
      <c r="G1562">
        <f t="shared" si="88"/>
        <v>8069</v>
      </c>
    </row>
    <row r="1563" spans="1:7">
      <c r="A1563" t="str">
        <f t="shared" si="86"/>
        <v>MAD</v>
      </c>
      <c r="B1563" t="str">
        <f>"63512000"</f>
        <v>63512000</v>
      </c>
      <c r="C1563" t="str">
        <f t="shared" si="87"/>
        <v>MAD635120000</v>
      </c>
      <c r="E1563">
        <v>0</v>
      </c>
      <c r="F1563">
        <v>0</v>
      </c>
      <c r="G1563">
        <f t="shared" si="88"/>
        <v>0</v>
      </c>
    </row>
    <row r="1564" spans="1:7">
      <c r="A1564" t="str">
        <f t="shared" si="86"/>
        <v>MAD</v>
      </c>
      <c r="B1564" t="str">
        <f>"63710000"</f>
        <v>63710000</v>
      </c>
      <c r="C1564" t="str">
        <f t="shared" si="87"/>
        <v>MAD637100000</v>
      </c>
      <c r="E1564">
        <v>1496.77</v>
      </c>
      <c r="F1564">
        <v>0</v>
      </c>
      <c r="G1564">
        <f t="shared" si="88"/>
        <v>1496.77</v>
      </c>
    </row>
    <row r="1565" spans="1:7">
      <c r="A1565" t="str">
        <f t="shared" si="86"/>
        <v>MAD</v>
      </c>
      <c r="B1565" t="str">
        <f>"64110000"</f>
        <v>64110000</v>
      </c>
      <c r="C1565" t="str">
        <f t="shared" si="87"/>
        <v>MAD641100000</v>
      </c>
      <c r="E1565">
        <v>141128.82</v>
      </c>
      <c r="F1565">
        <v>31624.400000000001</v>
      </c>
      <c r="G1565">
        <f t="shared" si="88"/>
        <v>109504.42000000001</v>
      </c>
    </row>
    <row r="1566" spans="1:7">
      <c r="A1566" t="str">
        <f t="shared" si="86"/>
        <v>MAD</v>
      </c>
      <c r="B1566" t="str">
        <f>"64111000"</f>
        <v>64111000</v>
      </c>
      <c r="C1566" t="str">
        <f t="shared" si="87"/>
        <v>MAD641110000</v>
      </c>
      <c r="E1566">
        <v>3000</v>
      </c>
      <c r="F1566">
        <v>0</v>
      </c>
      <c r="G1566">
        <f t="shared" si="88"/>
        <v>3000</v>
      </c>
    </row>
    <row r="1567" spans="1:7">
      <c r="A1567" t="str">
        <f t="shared" si="86"/>
        <v>MAD</v>
      </c>
      <c r="B1567" t="str">
        <f>"64120000"</f>
        <v>64120000</v>
      </c>
      <c r="C1567" t="str">
        <f t="shared" si="87"/>
        <v>MAD641200000</v>
      </c>
      <c r="E1567">
        <v>10646.45</v>
      </c>
      <c r="F1567">
        <v>12188.86</v>
      </c>
      <c r="G1567">
        <f t="shared" si="88"/>
        <v>-1542.4099999999999</v>
      </c>
    </row>
    <row r="1568" spans="1:7">
      <c r="A1568" t="str">
        <f t="shared" si="86"/>
        <v>MAD</v>
      </c>
      <c r="B1568" t="str">
        <f>"64121000"</f>
        <v>64121000</v>
      </c>
      <c r="C1568" t="str">
        <f t="shared" si="87"/>
        <v>MAD641210000</v>
      </c>
      <c r="E1568">
        <v>4319.26</v>
      </c>
      <c r="F1568">
        <v>5110.79</v>
      </c>
      <c r="G1568">
        <f t="shared" si="88"/>
        <v>-791.52999999999975</v>
      </c>
    </row>
    <row r="1569" spans="1:9">
      <c r="A1569" t="str">
        <f t="shared" si="86"/>
        <v>MAD</v>
      </c>
      <c r="B1569" t="str">
        <f>"64142000"</f>
        <v>64142000</v>
      </c>
      <c r="C1569" t="str">
        <f t="shared" si="87"/>
        <v>MAD641420000</v>
      </c>
      <c r="E1569">
        <v>159.85</v>
      </c>
      <c r="F1569">
        <v>0</v>
      </c>
      <c r="G1569">
        <f t="shared" si="88"/>
        <v>159.85</v>
      </c>
    </row>
    <row r="1570" spans="1:9">
      <c r="A1570" t="str">
        <f t="shared" si="86"/>
        <v>MAD</v>
      </c>
      <c r="B1570" t="str">
        <f>"64510000"</f>
        <v>64510000</v>
      </c>
      <c r="C1570" t="str">
        <f t="shared" si="87"/>
        <v>MAD645100000</v>
      </c>
      <c r="E1570">
        <v>38226.629999999997</v>
      </c>
      <c r="F1570">
        <v>14198.34</v>
      </c>
      <c r="G1570">
        <f t="shared" si="88"/>
        <v>24028.289999999997</v>
      </c>
    </row>
    <row r="1571" spans="1:9">
      <c r="A1571" t="str">
        <f t="shared" si="86"/>
        <v>MAD</v>
      </c>
      <c r="B1571" t="str">
        <f>"64520000"</f>
        <v>64520000</v>
      </c>
      <c r="C1571" t="str">
        <f t="shared" si="87"/>
        <v>MAD645200000</v>
      </c>
      <c r="E1571">
        <v>3801.76</v>
      </c>
      <c r="F1571">
        <v>0</v>
      </c>
      <c r="G1571">
        <f t="shared" si="88"/>
        <v>3801.76</v>
      </c>
    </row>
    <row r="1572" spans="1:9">
      <c r="A1572" t="str">
        <f t="shared" si="86"/>
        <v>MAD</v>
      </c>
      <c r="B1572" t="str">
        <f>"64530000"</f>
        <v>64530000</v>
      </c>
      <c r="C1572" t="str">
        <f t="shared" si="87"/>
        <v>MAD645300000</v>
      </c>
      <c r="E1572">
        <v>9293.49</v>
      </c>
      <c r="F1572">
        <v>0</v>
      </c>
      <c r="G1572">
        <f t="shared" si="88"/>
        <v>9293.49</v>
      </c>
    </row>
    <row r="1573" spans="1:9">
      <c r="A1573" t="str">
        <f>"MAD"</f>
        <v>MAD</v>
      </c>
      <c r="B1573" t="str">
        <f>"64540000"</f>
        <v>64540000</v>
      </c>
      <c r="C1573" t="str">
        <f t="shared" si="87"/>
        <v>MAD645400000</v>
      </c>
      <c r="E1573">
        <v>5743.75</v>
      </c>
      <c r="F1573">
        <v>0</v>
      </c>
      <c r="G1573">
        <f t="shared" si="88"/>
        <v>5743.75</v>
      </c>
    </row>
    <row r="1574" spans="1:9">
      <c r="A1574" t="str">
        <f>"MAD"</f>
        <v>MAD</v>
      </c>
      <c r="B1574" t="str">
        <f>"64590000"</f>
        <v>64590000</v>
      </c>
      <c r="C1574" t="str">
        <f t="shared" si="87"/>
        <v>MAD645900000</v>
      </c>
      <c r="E1574">
        <v>1217.0999999999999</v>
      </c>
      <c r="F1574">
        <v>0</v>
      </c>
      <c r="G1574">
        <f t="shared" si="88"/>
        <v>1217.0999999999999</v>
      </c>
    </row>
    <row r="1575" spans="1:9">
      <c r="A1575" t="str">
        <f>"MAD"</f>
        <v>MAD</v>
      </c>
      <c r="B1575" t="str">
        <f>"64710000"</f>
        <v>64710000</v>
      </c>
      <c r="C1575" t="str">
        <f t="shared" si="87"/>
        <v>MAD647100000</v>
      </c>
      <c r="E1575">
        <v>39.6</v>
      </c>
      <c r="F1575">
        <v>0</v>
      </c>
      <c r="G1575">
        <f t="shared" si="88"/>
        <v>39.6</v>
      </c>
    </row>
    <row r="1576" spans="1:9">
      <c r="A1576" t="str">
        <f>"MAD"</f>
        <v>MAD</v>
      </c>
      <c r="B1576" t="str">
        <f>"64740000"</f>
        <v>64740000</v>
      </c>
      <c r="C1576" t="str">
        <f t="shared" si="87"/>
        <v>MAD647400000</v>
      </c>
      <c r="E1576">
        <v>127.5</v>
      </c>
      <c r="F1576">
        <v>0</v>
      </c>
      <c r="G1576">
        <f t="shared" si="88"/>
        <v>127.5</v>
      </c>
    </row>
    <row r="1577" spans="1:9">
      <c r="A1577" t="str">
        <f>"MAD"</f>
        <v>MAD</v>
      </c>
      <c r="B1577" t="str">
        <f>"64750000"</f>
        <v>64750000</v>
      </c>
      <c r="C1577" t="str">
        <f t="shared" si="87"/>
        <v>MAD647500000</v>
      </c>
      <c r="E1577">
        <v>474.14</v>
      </c>
      <c r="F1577">
        <v>0</v>
      </c>
      <c r="G1577">
        <f t="shared" si="88"/>
        <v>474.14</v>
      </c>
    </row>
    <row r="1578" spans="1:9">
      <c r="A1578" t="s">
        <v>29</v>
      </c>
      <c r="B1578" t="str">
        <f>"64800000"</f>
        <v>64800000</v>
      </c>
      <c r="C1578" t="str">
        <f t="shared" si="87"/>
        <v>MAD648000000</v>
      </c>
      <c r="E1578" s="19">
        <v>160.28271999999998</v>
      </c>
      <c r="F1578"/>
      <c r="G1578" s="19">
        <f t="shared" si="88"/>
        <v>160.28271999999998</v>
      </c>
      <c r="H1578" s="433">
        <v>160.28271999999998</v>
      </c>
      <c r="I1578" s="113" t="s">
        <v>29</v>
      </c>
    </row>
    <row r="1579" spans="1:9">
      <c r="A1579" t="str">
        <f t="shared" ref="A1579:A1588" si="89">"MAD"</f>
        <v>MAD</v>
      </c>
      <c r="B1579" t="str">
        <f>"65410000"</f>
        <v>65410000</v>
      </c>
      <c r="C1579" t="str">
        <f t="shared" si="87"/>
        <v>MAD654100000</v>
      </c>
      <c r="E1579">
        <v>3.8</v>
      </c>
      <c r="F1579">
        <v>0.01</v>
      </c>
      <c r="G1579">
        <f t="shared" si="88"/>
        <v>3.79</v>
      </c>
    </row>
    <row r="1580" spans="1:9">
      <c r="A1580" t="str">
        <f t="shared" si="89"/>
        <v>MAD</v>
      </c>
      <c r="B1580" t="str">
        <f>"65440000"</f>
        <v>65440000</v>
      </c>
      <c r="C1580" t="str">
        <f t="shared" si="87"/>
        <v>MAD654400000</v>
      </c>
      <c r="E1580">
        <v>3185.8</v>
      </c>
      <c r="F1580">
        <v>0</v>
      </c>
      <c r="G1580">
        <f t="shared" si="88"/>
        <v>3185.8</v>
      </c>
    </row>
    <row r="1581" spans="1:9">
      <c r="A1581" t="str">
        <f t="shared" si="89"/>
        <v>MAD</v>
      </c>
      <c r="B1581" t="str">
        <f>"65800000"</f>
        <v>65800000</v>
      </c>
      <c r="C1581" t="str">
        <f t="shared" si="87"/>
        <v>MAD658000000</v>
      </c>
      <c r="E1581">
        <v>903.55</v>
      </c>
      <c r="F1581">
        <v>0</v>
      </c>
      <c r="G1581">
        <f t="shared" si="88"/>
        <v>903.55</v>
      </c>
    </row>
    <row r="1582" spans="1:9">
      <c r="A1582" t="str">
        <f t="shared" si="89"/>
        <v>MAD</v>
      </c>
      <c r="B1582" t="str">
        <f>"66500000"</f>
        <v>66500000</v>
      </c>
      <c r="C1582" t="str">
        <f t="shared" si="87"/>
        <v>MAD665000000</v>
      </c>
      <c r="E1582">
        <v>673.27</v>
      </c>
      <c r="F1582">
        <v>0</v>
      </c>
      <c r="G1582">
        <f t="shared" si="88"/>
        <v>673.27</v>
      </c>
    </row>
    <row r="1583" spans="1:9">
      <c r="A1583" t="str">
        <f t="shared" si="89"/>
        <v>MAD</v>
      </c>
      <c r="B1583" t="str">
        <f>"67180000"</f>
        <v>67180000</v>
      </c>
      <c r="C1583" t="str">
        <f t="shared" si="87"/>
        <v>MAD671800000</v>
      </c>
      <c r="E1583">
        <v>0</v>
      </c>
      <c r="F1583">
        <v>0</v>
      </c>
      <c r="G1583">
        <f t="shared" si="88"/>
        <v>0</v>
      </c>
    </row>
    <row r="1584" spans="1:9">
      <c r="A1584" t="str">
        <f t="shared" si="89"/>
        <v>MAD</v>
      </c>
      <c r="B1584" t="str">
        <f>"67520000"</f>
        <v>67520000</v>
      </c>
      <c r="C1584" t="str">
        <f t="shared" si="87"/>
        <v>MAD675200000</v>
      </c>
      <c r="E1584">
        <v>929.52</v>
      </c>
      <c r="F1584">
        <v>0</v>
      </c>
      <c r="G1584">
        <f t="shared" si="88"/>
        <v>929.52</v>
      </c>
    </row>
    <row r="1585" spans="1:7">
      <c r="A1585" t="str">
        <f t="shared" si="89"/>
        <v>MAD</v>
      </c>
      <c r="B1585" t="str">
        <f>"68112000"</f>
        <v>68112000</v>
      </c>
      <c r="C1585" t="str">
        <f t="shared" si="87"/>
        <v>MAD681120000</v>
      </c>
      <c r="E1585">
        <v>10321.1</v>
      </c>
      <c r="F1585">
        <v>0</v>
      </c>
      <c r="G1585">
        <f t="shared" si="88"/>
        <v>10321.1</v>
      </c>
    </row>
    <row r="1586" spans="1:7">
      <c r="A1586" t="str">
        <f t="shared" si="89"/>
        <v>MAD</v>
      </c>
      <c r="B1586" t="str">
        <f>"68173000"</f>
        <v>68173000</v>
      </c>
      <c r="C1586" t="str">
        <f t="shared" si="87"/>
        <v>MAD681730000</v>
      </c>
      <c r="E1586">
        <v>5530.79</v>
      </c>
      <c r="F1586">
        <v>0</v>
      </c>
      <c r="G1586">
        <f t="shared" si="88"/>
        <v>5530.79</v>
      </c>
    </row>
    <row r="1587" spans="1:7">
      <c r="A1587" t="str">
        <f t="shared" si="89"/>
        <v>MAD</v>
      </c>
      <c r="B1587" t="str">
        <f>"68174000"</f>
        <v>68174000</v>
      </c>
      <c r="C1587" t="str">
        <f t="shared" si="87"/>
        <v>MAD681740000</v>
      </c>
      <c r="E1587">
        <v>5976.77</v>
      </c>
      <c r="F1587">
        <v>0</v>
      </c>
      <c r="G1587">
        <f t="shared" si="88"/>
        <v>5976.77</v>
      </c>
    </row>
    <row r="1588" spans="1:7">
      <c r="A1588" t="str">
        <f t="shared" si="89"/>
        <v>MAD</v>
      </c>
      <c r="B1588" t="str">
        <f>"68725000"</f>
        <v>68725000</v>
      </c>
      <c r="C1588" t="str">
        <f t="shared" si="87"/>
        <v>MAD687250000</v>
      </c>
      <c r="E1588">
        <v>2262.91</v>
      </c>
      <c r="F1588">
        <v>0</v>
      </c>
      <c r="G1588">
        <f t="shared" si="88"/>
        <v>2262.91</v>
      </c>
    </row>
    <row r="1589" spans="1:7">
      <c r="A1589" t="str">
        <f t="shared" ref="A1589:A1649" si="90">"MAR"</f>
        <v>MAR</v>
      </c>
      <c r="B1589" t="str">
        <f>"60222000"</f>
        <v>60222000</v>
      </c>
      <c r="C1589" t="str">
        <f t="shared" si="87"/>
        <v>MAR602220000</v>
      </c>
      <c r="E1589">
        <v>0</v>
      </c>
      <c r="F1589">
        <v>0</v>
      </c>
      <c r="G1589">
        <f t="shared" si="88"/>
        <v>0</v>
      </c>
    </row>
    <row r="1590" spans="1:7">
      <c r="A1590" t="str">
        <f t="shared" si="90"/>
        <v>MAR</v>
      </c>
      <c r="B1590" t="str">
        <f>"60610000"</f>
        <v>60610000</v>
      </c>
      <c r="C1590" t="str">
        <f t="shared" si="87"/>
        <v>MAR606100000</v>
      </c>
      <c r="E1590">
        <v>1640.06</v>
      </c>
      <c r="F1590">
        <v>0</v>
      </c>
      <c r="G1590">
        <f t="shared" si="88"/>
        <v>1640.06</v>
      </c>
    </row>
    <row r="1591" spans="1:7">
      <c r="A1591" t="str">
        <f t="shared" si="90"/>
        <v>MAR</v>
      </c>
      <c r="B1591" t="str">
        <f>"60611000"</f>
        <v>60611000</v>
      </c>
      <c r="C1591" t="str">
        <f t="shared" si="87"/>
        <v>MAR606110000</v>
      </c>
      <c r="E1591">
        <v>1623.06</v>
      </c>
      <c r="F1591">
        <v>0</v>
      </c>
      <c r="G1591">
        <f t="shared" si="88"/>
        <v>1623.06</v>
      </c>
    </row>
    <row r="1592" spans="1:7">
      <c r="A1592" t="str">
        <f t="shared" si="90"/>
        <v>MAR</v>
      </c>
      <c r="B1592" t="str">
        <f>"60613000"</f>
        <v>60613000</v>
      </c>
      <c r="C1592" t="str">
        <f t="shared" si="87"/>
        <v>MAR606130000</v>
      </c>
      <c r="E1592">
        <v>438.16</v>
      </c>
      <c r="F1592">
        <v>0</v>
      </c>
      <c r="G1592">
        <f t="shared" si="88"/>
        <v>438.16</v>
      </c>
    </row>
    <row r="1593" spans="1:7">
      <c r="A1593" t="str">
        <f t="shared" si="90"/>
        <v>MAR</v>
      </c>
      <c r="B1593" t="str">
        <f>"60631000"</f>
        <v>60631000</v>
      </c>
      <c r="C1593" t="str">
        <f t="shared" si="87"/>
        <v>MAR606310000</v>
      </c>
      <c r="E1593">
        <v>30.14</v>
      </c>
      <c r="F1593">
        <v>0</v>
      </c>
      <c r="G1593">
        <f t="shared" si="88"/>
        <v>30.14</v>
      </c>
    </row>
    <row r="1594" spans="1:7">
      <c r="A1594" t="str">
        <f t="shared" si="90"/>
        <v>MAR</v>
      </c>
      <c r="B1594" t="str">
        <f>"60641000"</f>
        <v>60641000</v>
      </c>
      <c r="C1594" t="str">
        <f t="shared" si="87"/>
        <v>MAR606410000</v>
      </c>
      <c r="E1594">
        <v>1295.31</v>
      </c>
      <c r="F1594">
        <v>0</v>
      </c>
      <c r="G1594">
        <f t="shared" si="88"/>
        <v>1295.31</v>
      </c>
    </row>
    <row r="1595" spans="1:7">
      <c r="A1595" t="str">
        <f t="shared" si="90"/>
        <v>MAR</v>
      </c>
      <c r="B1595" t="str">
        <f>"60710000"</f>
        <v>60710000</v>
      </c>
      <c r="C1595" t="str">
        <f t="shared" si="87"/>
        <v>MAR607100000</v>
      </c>
      <c r="E1595">
        <v>49647.08</v>
      </c>
      <c r="F1595">
        <v>251</v>
      </c>
      <c r="G1595">
        <f t="shared" si="88"/>
        <v>49396.08</v>
      </c>
    </row>
    <row r="1596" spans="1:7">
      <c r="A1596" t="str">
        <f t="shared" si="90"/>
        <v>MAR</v>
      </c>
      <c r="B1596" t="str">
        <f>"60711000"</f>
        <v>60711000</v>
      </c>
      <c r="C1596" t="str">
        <f t="shared" si="87"/>
        <v>MAR607110000</v>
      </c>
      <c r="E1596">
        <v>921.54</v>
      </c>
      <c r="F1596">
        <v>0</v>
      </c>
      <c r="G1596">
        <f t="shared" si="88"/>
        <v>921.54</v>
      </c>
    </row>
    <row r="1597" spans="1:7">
      <c r="A1597" t="str">
        <f t="shared" si="90"/>
        <v>MAR</v>
      </c>
      <c r="B1597" t="str">
        <f>"60713000"</f>
        <v>60713000</v>
      </c>
      <c r="C1597" t="str">
        <f t="shared" si="87"/>
        <v>MAR607130000</v>
      </c>
      <c r="E1597">
        <v>80317</v>
      </c>
      <c r="F1597">
        <v>0</v>
      </c>
      <c r="G1597">
        <f t="shared" si="88"/>
        <v>80317</v>
      </c>
    </row>
    <row r="1598" spans="1:7">
      <c r="A1598" t="str">
        <f t="shared" si="90"/>
        <v>MAR</v>
      </c>
      <c r="B1598" t="str">
        <f>"60714000"</f>
        <v>60714000</v>
      </c>
      <c r="C1598" t="str">
        <f t="shared" si="87"/>
        <v>MAR607140000</v>
      </c>
      <c r="E1598">
        <v>-10972</v>
      </c>
      <c r="F1598">
        <v>0</v>
      </c>
      <c r="G1598">
        <f t="shared" si="88"/>
        <v>-10972</v>
      </c>
    </row>
    <row r="1599" spans="1:7">
      <c r="A1599" t="str">
        <f t="shared" si="90"/>
        <v>MAR</v>
      </c>
      <c r="B1599" t="str">
        <f>"60720000"</f>
        <v>60720000</v>
      </c>
      <c r="C1599" t="str">
        <f t="shared" si="87"/>
        <v>MAR607200000</v>
      </c>
      <c r="E1599">
        <v>50792.9</v>
      </c>
      <c r="F1599">
        <v>0</v>
      </c>
      <c r="G1599">
        <f t="shared" si="88"/>
        <v>50792.9</v>
      </c>
    </row>
    <row r="1600" spans="1:7">
      <c r="A1600" t="str">
        <f t="shared" si="90"/>
        <v>MAR</v>
      </c>
      <c r="B1600" t="str">
        <f>"60740000"</f>
        <v>60740000</v>
      </c>
      <c r="C1600" t="str">
        <f t="shared" si="87"/>
        <v>MAR607400000</v>
      </c>
      <c r="E1600">
        <v>1128.3699999999999</v>
      </c>
      <c r="F1600">
        <v>35</v>
      </c>
      <c r="G1600">
        <f t="shared" si="88"/>
        <v>1093.3699999999999</v>
      </c>
    </row>
    <row r="1601" spans="1:7">
      <c r="A1601" t="str">
        <f t="shared" si="90"/>
        <v>MAR</v>
      </c>
      <c r="B1601" t="str">
        <f>"60800000"</f>
        <v>60800000</v>
      </c>
      <c r="C1601" t="str">
        <f t="shared" si="87"/>
        <v>MAR608000000</v>
      </c>
      <c r="E1601">
        <v>131.13999999999999</v>
      </c>
      <c r="F1601">
        <v>0</v>
      </c>
      <c r="G1601">
        <f t="shared" si="88"/>
        <v>131.13999999999999</v>
      </c>
    </row>
    <row r="1602" spans="1:7">
      <c r="A1602" t="str">
        <f t="shared" si="90"/>
        <v>MAR</v>
      </c>
      <c r="B1602" t="str">
        <f>"60911000"</f>
        <v>60911000</v>
      </c>
      <c r="C1602" t="str">
        <f t="shared" si="87"/>
        <v>MAR609110000</v>
      </c>
      <c r="E1602">
        <v>-1113.97</v>
      </c>
      <c r="F1602">
        <v>0</v>
      </c>
      <c r="G1602">
        <f t="shared" si="88"/>
        <v>-1113.97</v>
      </c>
    </row>
    <row r="1603" spans="1:7">
      <c r="A1603" t="str">
        <f t="shared" si="90"/>
        <v>MAR</v>
      </c>
      <c r="B1603" t="str">
        <f>"60912000"</f>
        <v>60912000</v>
      </c>
      <c r="C1603" t="str">
        <f t="shared" ref="C1603:C1666" si="91">+A1603&amp;B1603*10</f>
        <v>MAR609120000</v>
      </c>
      <c r="E1603">
        <v>-3951.58</v>
      </c>
      <c r="F1603">
        <v>0</v>
      </c>
      <c r="G1603">
        <f t="shared" ref="G1603:G1666" si="92">+E1603-F1603</f>
        <v>-3951.58</v>
      </c>
    </row>
    <row r="1604" spans="1:7">
      <c r="A1604" t="str">
        <f t="shared" si="90"/>
        <v>MAR</v>
      </c>
      <c r="B1604" t="str">
        <f>"60913000"</f>
        <v>60913000</v>
      </c>
      <c r="C1604" t="str">
        <f t="shared" si="91"/>
        <v>MAR609130000</v>
      </c>
      <c r="E1604">
        <v>-2258.04</v>
      </c>
      <c r="F1604">
        <v>0</v>
      </c>
      <c r="G1604">
        <f t="shared" si="92"/>
        <v>-2258.04</v>
      </c>
    </row>
    <row r="1605" spans="1:7">
      <c r="A1605" t="str">
        <f t="shared" si="90"/>
        <v>MAR</v>
      </c>
      <c r="B1605" t="str">
        <f>"61320000"</f>
        <v>61320000</v>
      </c>
      <c r="C1605" t="str">
        <f t="shared" si="91"/>
        <v>MAR613200000</v>
      </c>
      <c r="E1605">
        <v>32092.55</v>
      </c>
      <c r="F1605">
        <v>4515</v>
      </c>
      <c r="G1605">
        <f t="shared" si="92"/>
        <v>27577.55</v>
      </c>
    </row>
    <row r="1606" spans="1:7">
      <c r="A1606" t="str">
        <f t="shared" si="90"/>
        <v>MAR</v>
      </c>
      <c r="B1606" t="str">
        <f>"61353000"</f>
        <v>61353000</v>
      </c>
      <c r="C1606" t="str">
        <f t="shared" si="91"/>
        <v>MAR613530000</v>
      </c>
      <c r="E1606">
        <v>180</v>
      </c>
      <c r="F1606">
        <v>0</v>
      </c>
      <c r="G1606">
        <f t="shared" si="92"/>
        <v>180</v>
      </c>
    </row>
    <row r="1607" spans="1:7">
      <c r="A1607" t="str">
        <f t="shared" si="90"/>
        <v>MAR</v>
      </c>
      <c r="B1607" t="str">
        <f>"61520000"</f>
        <v>61520000</v>
      </c>
      <c r="C1607" t="str">
        <f t="shared" si="91"/>
        <v>MAR615200000</v>
      </c>
      <c r="E1607">
        <v>3307.15</v>
      </c>
      <c r="F1607">
        <v>0</v>
      </c>
      <c r="G1607">
        <f t="shared" si="92"/>
        <v>3307.15</v>
      </c>
    </row>
    <row r="1608" spans="1:7">
      <c r="A1608" t="str">
        <f t="shared" si="90"/>
        <v>MAR</v>
      </c>
      <c r="B1608" t="str">
        <f>"61550000"</f>
        <v>61550000</v>
      </c>
      <c r="C1608" t="str">
        <f t="shared" si="91"/>
        <v>MAR615500000</v>
      </c>
      <c r="E1608">
        <v>934</v>
      </c>
      <c r="F1608">
        <v>14</v>
      </c>
      <c r="G1608">
        <f t="shared" si="92"/>
        <v>920</v>
      </c>
    </row>
    <row r="1609" spans="1:7">
      <c r="A1609" t="str">
        <f t="shared" si="90"/>
        <v>MAR</v>
      </c>
      <c r="B1609" t="str">
        <f>"61551000"</f>
        <v>61551000</v>
      </c>
      <c r="C1609" t="str">
        <f t="shared" si="91"/>
        <v>MAR615510000</v>
      </c>
      <c r="E1609">
        <v>486.28</v>
      </c>
      <c r="F1609">
        <v>4.5599999999999996</v>
      </c>
      <c r="G1609">
        <f t="shared" si="92"/>
        <v>481.71999999999997</v>
      </c>
    </row>
    <row r="1610" spans="1:7">
      <c r="A1610" t="str">
        <f t="shared" si="90"/>
        <v>MAR</v>
      </c>
      <c r="B1610" t="str">
        <f>"61552000"</f>
        <v>61552000</v>
      </c>
      <c r="C1610" t="str">
        <f t="shared" si="91"/>
        <v>MAR615520000</v>
      </c>
      <c r="E1610">
        <v>445.29</v>
      </c>
      <c r="F1610">
        <v>0</v>
      </c>
      <c r="G1610">
        <f t="shared" si="92"/>
        <v>445.29</v>
      </c>
    </row>
    <row r="1611" spans="1:7">
      <c r="A1611" t="str">
        <f t="shared" si="90"/>
        <v>MAR</v>
      </c>
      <c r="B1611" t="str">
        <f>"61612000"</f>
        <v>61612000</v>
      </c>
      <c r="C1611" t="str">
        <f t="shared" si="91"/>
        <v>MAR616120000</v>
      </c>
      <c r="E1611">
        <v>457.83</v>
      </c>
      <c r="F1611">
        <v>0</v>
      </c>
      <c r="G1611">
        <f t="shared" si="92"/>
        <v>457.83</v>
      </c>
    </row>
    <row r="1612" spans="1:7">
      <c r="A1612" t="str">
        <f t="shared" si="90"/>
        <v>MAR</v>
      </c>
      <c r="B1612" t="str">
        <f>"61613000"</f>
        <v>61613000</v>
      </c>
      <c r="C1612" t="str">
        <f t="shared" si="91"/>
        <v>MAR616130000</v>
      </c>
      <c r="E1612">
        <v>1832.5</v>
      </c>
      <c r="F1612">
        <v>0</v>
      </c>
      <c r="G1612">
        <f t="shared" si="92"/>
        <v>1832.5</v>
      </c>
    </row>
    <row r="1613" spans="1:7">
      <c r="A1613" t="str">
        <f t="shared" si="90"/>
        <v>MAR</v>
      </c>
      <c r="B1613" t="str">
        <f>"61810000"</f>
        <v>61810000</v>
      </c>
      <c r="C1613" t="str">
        <f t="shared" si="91"/>
        <v>MAR618100000</v>
      </c>
      <c r="E1613">
        <v>37.4</v>
      </c>
      <c r="F1613">
        <v>0</v>
      </c>
      <c r="G1613">
        <f t="shared" si="92"/>
        <v>37.4</v>
      </c>
    </row>
    <row r="1614" spans="1:7">
      <c r="A1614" t="str">
        <f t="shared" si="90"/>
        <v>MAR</v>
      </c>
      <c r="B1614" t="str">
        <f>"61850000"</f>
        <v>61850000</v>
      </c>
      <c r="C1614" t="str">
        <f t="shared" si="91"/>
        <v>MAR618500000</v>
      </c>
      <c r="E1614">
        <v>50.9</v>
      </c>
      <c r="F1614">
        <v>0</v>
      </c>
      <c r="G1614">
        <f t="shared" si="92"/>
        <v>50.9</v>
      </c>
    </row>
    <row r="1615" spans="1:7">
      <c r="A1615" t="str">
        <f t="shared" si="90"/>
        <v>MAR</v>
      </c>
      <c r="B1615" t="str">
        <f>"62310000"</f>
        <v>62310000</v>
      </c>
      <c r="C1615" t="str">
        <f t="shared" si="91"/>
        <v>MAR623100000</v>
      </c>
      <c r="E1615">
        <v>834.3</v>
      </c>
      <c r="F1615">
        <v>0</v>
      </c>
      <c r="G1615">
        <f t="shared" si="92"/>
        <v>834.3</v>
      </c>
    </row>
    <row r="1616" spans="1:7">
      <c r="A1616" t="str">
        <f t="shared" si="90"/>
        <v>MAR</v>
      </c>
      <c r="B1616" t="str">
        <f>"62320000"</f>
        <v>62320000</v>
      </c>
      <c r="C1616" t="str">
        <f t="shared" si="91"/>
        <v>MAR623200000</v>
      </c>
      <c r="E1616">
        <v>1967.16</v>
      </c>
      <c r="F1616">
        <v>0</v>
      </c>
      <c r="G1616">
        <f t="shared" si="92"/>
        <v>1967.16</v>
      </c>
    </row>
    <row r="1617" spans="1:7">
      <c r="A1617" t="str">
        <f t="shared" si="90"/>
        <v>MAR</v>
      </c>
      <c r="B1617" t="str">
        <f>"62341000"</f>
        <v>62341000</v>
      </c>
      <c r="C1617" t="str">
        <f t="shared" si="91"/>
        <v>MAR623410000</v>
      </c>
      <c r="E1617">
        <v>1438.62</v>
      </c>
      <c r="F1617">
        <v>0</v>
      </c>
      <c r="G1617">
        <f t="shared" si="92"/>
        <v>1438.62</v>
      </c>
    </row>
    <row r="1618" spans="1:7">
      <c r="A1618" t="str">
        <f t="shared" si="90"/>
        <v>MAR</v>
      </c>
      <c r="B1618" t="str">
        <f>"62342000"</f>
        <v>62342000</v>
      </c>
      <c r="C1618" t="str">
        <f t="shared" si="91"/>
        <v>MAR623420000</v>
      </c>
      <c r="E1618">
        <v>-12.45</v>
      </c>
      <c r="F1618">
        <v>0</v>
      </c>
      <c r="G1618">
        <f t="shared" si="92"/>
        <v>-12.45</v>
      </c>
    </row>
    <row r="1619" spans="1:7">
      <c r="A1619" t="str">
        <f t="shared" si="90"/>
        <v>MAR</v>
      </c>
      <c r="B1619" t="str">
        <f>"62370000"</f>
        <v>62370000</v>
      </c>
      <c r="C1619" t="str">
        <f t="shared" si="91"/>
        <v>MAR623700000</v>
      </c>
      <c r="E1619">
        <v>360.78</v>
      </c>
      <c r="F1619">
        <v>-221.9</v>
      </c>
      <c r="G1619">
        <f t="shared" si="92"/>
        <v>582.67999999999995</v>
      </c>
    </row>
    <row r="1620" spans="1:7">
      <c r="A1620" t="str">
        <f t="shared" si="90"/>
        <v>MAR</v>
      </c>
      <c r="B1620" t="str">
        <f>"62380000"</f>
        <v>62380000</v>
      </c>
      <c r="C1620" t="str">
        <f t="shared" si="91"/>
        <v>MAR623800000</v>
      </c>
      <c r="E1620">
        <v>20</v>
      </c>
      <c r="F1620">
        <v>0</v>
      </c>
      <c r="G1620">
        <f t="shared" si="92"/>
        <v>20</v>
      </c>
    </row>
    <row r="1621" spans="1:7">
      <c r="A1621" t="str">
        <f t="shared" si="90"/>
        <v>MAR</v>
      </c>
      <c r="B1621" t="str">
        <f>"62381000"</f>
        <v>62381000</v>
      </c>
      <c r="C1621" t="str">
        <f t="shared" si="91"/>
        <v>MAR623810000</v>
      </c>
      <c r="E1621">
        <v>0</v>
      </c>
      <c r="F1621">
        <v>0</v>
      </c>
      <c r="G1621">
        <f t="shared" si="92"/>
        <v>0</v>
      </c>
    </row>
    <row r="1622" spans="1:7">
      <c r="A1622" t="str">
        <f t="shared" si="90"/>
        <v>MAR</v>
      </c>
      <c r="B1622" t="str">
        <f>"62420000"</f>
        <v>62420000</v>
      </c>
      <c r="C1622" t="str">
        <f t="shared" si="91"/>
        <v>MAR624200000</v>
      </c>
      <c r="E1622">
        <v>308.37</v>
      </c>
      <c r="F1622">
        <v>0</v>
      </c>
      <c r="G1622">
        <f t="shared" si="92"/>
        <v>308.37</v>
      </c>
    </row>
    <row r="1623" spans="1:7">
      <c r="A1623" t="str">
        <f t="shared" si="90"/>
        <v>MAR</v>
      </c>
      <c r="B1623" t="str">
        <f>"62510000"</f>
        <v>62510000</v>
      </c>
      <c r="C1623" t="str">
        <f t="shared" si="91"/>
        <v>MAR625100000</v>
      </c>
      <c r="E1623">
        <v>3129.64</v>
      </c>
      <c r="F1623">
        <v>0</v>
      </c>
      <c r="G1623">
        <f t="shared" si="92"/>
        <v>3129.64</v>
      </c>
    </row>
    <row r="1624" spans="1:7">
      <c r="A1624" t="str">
        <f t="shared" si="90"/>
        <v>MAR</v>
      </c>
      <c r="B1624" t="str">
        <f>"62520000"</f>
        <v>62520000</v>
      </c>
      <c r="C1624" t="str">
        <f t="shared" si="91"/>
        <v>MAR625200000</v>
      </c>
      <c r="E1624">
        <v>33.93</v>
      </c>
      <c r="F1624">
        <v>0</v>
      </c>
      <c r="G1624">
        <f t="shared" si="92"/>
        <v>33.93</v>
      </c>
    </row>
    <row r="1625" spans="1:7">
      <c r="A1625" t="str">
        <f t="shared" si="90"/>
        <v>MAR</v>
      </c>
      <c r="B1625" t="str">
        <f>"62560000"</f>
        <v>62560000</v>
      </c>
      <c r="C1625" t="str">
        <f t="shared" si="91"/>
        <v>MAR625600000</v>
      </c>
      <c r="E1625">
        <v>25.23</v>
      </c>
      <c r="F1625">
        <v>0</v>
      </c>
      <c r="G1625">
        <f t="shared" si="92"/>
        <v>25.23</v>
      </c>
    </row>
    <row r="1626" spans="1:7">
      <c r="A1626" t="str">
        <f t="shared" si="90"/>
        <v>MAR</v>
      </c>
      <c r="B1626" t="str">
        <f>"62570000"</f>
        <v>62570000</v>
      </c>
      <c r="C1626" t="str">
        <f t="shared" si="91"/>
        <v>MAR625700000</v>
      </c>
      <c r="E1626">
        <v>1094.01</v>
      </c>
      <c r="F1626">
        <v>0</v>
      </c>
      <c r="G1626">
        <f t="shared" si="92"/>
        <v>1094.01</v>
      </c>
    </row>
    <row r="1627" spans="1:7">
      <c r="A1627" t="str">
        <f t="shared" si="90"/>
        <v>MAR</v>
      </c>
      <c r="B1627" t="str">
        <f>"62571000"</f>
        <v>62571000</v>
      </c>
      <c r="C1627" t="str">
        <f t="shared" si="91"/>
        <v>MAR625710000</v>
      </c>
      <c r="E1627">
        <v>687.42</v>
      </c>
      <c r="F1627">
        <v>0</v>
      </c>
      <c r="G1627">
        <f t="shared" si="92"/>
        <v>687.42</v>
      </c>
    </row>
    <row r="1628" spans="1:7">
      <c r="A1628" t="str">
        <f t="shared" si="90"/>
        <v>MAR</v>
      </c>
      <c r="B1628" t="str">
        <f>"62600000"</f>
        <v>62600000</v>
      </c>
      <c r="C1628" t="str">
        <f t="shared" si="91"/>
        <v>MAR626000000</v>
      </c>
      <c r="E1628">
        <v>2711.61</v>
      </c>
      <c r="F1628">
        <v>0</v>
      </c>
      <c r="G1628">
        <f t="shared" si="92"/>
        <v>2711.61</v>
      </c>
    </row>
    <row r="1629" spans="1:7">
      <c r="A1629" t="str">
        <f t="shared" si="90"/>
        <v>MAR</v>
      </c>
      <c r="B1629" t="str">
        <f>"62610000"</f>
        <v>62610000</v>
      </c>
      <c r="C1629" t="str">
        <f t="shared" si="91"/>
        <v>MAR626100000</v>
      </c>
      <c r="E1629">
        <v>685.88</v>
      </c>
      <c r="F1629">
        <v>0</v>
      </c>
      <c r="G1629">
        <f t="shared" si="92"/>
        <v>685.88</v>
      </c>
    </row>
    <row r="1630" spans="1:7">
      <c r="A1630" t="str">
        <f t="shared" si="90"/>
        <v>MAR</v>
      </c>
      <c r="B1630" t="str">
        <f>"62752000"</f>
        <v>62752000</v>
      </c>
      <c r="C1630" t="str">
        <f t="shared" si="91"/>
        <v>MAR627520000</v>
      </c>
      <c r="E1630">
        <v>45</v>
      </c>
      <c r="F1630">
        <v>0</v>
      </c>
      <c r="G1630">
        <f t="shared" si="92"/>
        <v>45</v>
      </c>
    </row>
    <row r="1631" spans="1:7">
      <c r="A1631" t="str">
        <f t="shared" si="90"/>
        <v>MAR</v>
      </c>
      <c r="B1631" t="str">
        <f>"63330000"</f>
        <v>63330000</v>
      </c>
      <c r="C1631" t="str">
        <f t="shared" si="91"/>
        <v>MAR633300000</v>
      </c>
      <c r="E1631">
        <v>285</v>
      </c>
      <c r="F1631">
        <v>0</v>
      </c>
      <c r="G1631">
        <f t="shared" si="92"/>
        <v>285</v>
      </c>
    </row>
    <row r="1632" spans="1:7">
      <c r="A1632" t="str">
        <f t="shared" si="90"/>
        <v>MAR</v>
      </c>
      <c r="B1632" t="str">
        <f>"63340000"</f>
        <v>63340000</v>
      </c>
      <c r="C1632" t="str">
        <f t="shared" si="91"/>
        <v>MAR633400000</v>
      </c>
      <c r="E1632">
        <v>157</v>
      </c>
      <c r="F1632">
        <v>0</v>
      </c>
      <c r="G1632">
        <f t="shared" si="92"/>
        <v>157</v>
      </c>
    </row>
    <row r="1633" spans="1:7">
      <c r="A1633" t="str">
        <f t="shared" si="90"/>
        <v>MAR</v>
      </c>
      <c r="B1633" t="str">
        <f>"63350000"</f>
        <v>63350000</v>
      </c>
      <c r="C1633" t="str">
        <f t="shared" si="91"/>
        <v>MAR633500000</v>
      </c>
      <c r="E1633">
        <v>237</v>
      </c>
      <c r="F1633">
        <v>0</v>
      </c>
      <c r="G1633">
        <f t="shared" si="92"/>
        <v>237</v>
      </c>
    </row>
    <row r="1634" spans="1:7">
      <c r="A1634" t="str">
        <f t="shared" si="90"/>
        <v>MAR</v>
      </c>
      <c r="B1634" t="str">
        <f>"63511000"</f>
        <v>63511000</v>
      </c>
      <c r="C1634" t="str">
        <f t="shared" si="91"/>
        <v>MAR635110000</v>
      </c>
      <c r="E1634">
        <v>2498</v>
      </c>
      <c r="F1634">
        <v>0</v>
      </c>
      <c r="G1634">
        <f t="shared" si="92"/>
        <v>2498</v>
      </c>
    </row>
    <row r="1635" spans="1:7">
      <c r="A1635" t="str">
        <f t="shared" si="90"/>
        <v>MAR</v>
      </c>
      <c r="B1635" t="str">
        <f>"63512000"</f>
        <v>63512000</v>
      </c>
      <c r="C1635" t="str">
        <f t="shared" si="91"/>
        <v>MAR635120000</v>
      </c>
      <c r="E1635">
        <v>3054</v>
      </c>
      <c r="F1635">
        <v>0</v>
      </c>
      <c r="G1635">
        <f t="shared" si="92"/>
        <v>3054</v>
      </c>
    </row>
    <row r="1636" spans="1:7">
      <c r="A1636" t="str">
        <f t="shared" si="90"/>
        <v>MAR</v>
      </c>
      <c r="B1636" t="str">
        <f>"63530000"</f>
        <v>63530000</v>
      </c>
      <c r="C1636" t="str">
        <f t="shared" si="91"/>
        <v>MAR635300000</v>
      </c>
      <c r="E1636">
        <v>0</v>
      </c>
      <c r="F1636">
        <v>0</v>
      </c>
      <c r="G1636">
        <f t="shared" si="92"/>
        <v>0</v>
      </c>
    </row>
    <row r="1637" spans="1:7">
      <c r="A1637" t="str">
        <f t="shared" si="90"/>
        <v>MAR</v>
      </c>
      <c r="B1637" t="str">
        <f>"63710000"</f>
        <v>63710000</v>
      </c>
      <c r="C1637" t="str">
        <f t="shared" si="91"/>
        <v>MAR637100000</v>
      </c>
      <c r="E1637">
        <v>487.93</v>
      </c>
      <c r="F1637">
        <v>0</v>
      </c>
      <c r="G1637">
        <f t="shared" si="92"/>
        <v>487.93</v>
      </c>
    </row>
    <row r="1638" spans="1:7">
      <c r="A1638" t="str">
        <f t="shared" si="90"/>
        <v>MAR</v>
      </c>
      <c r="B1638" t="str">
        <f>"64110000"</f>
        <v>64110000</v>
      </c>
      <c r="C1638" t="str">
        <f t="shared" si="91"/>
        <v>MAR641100000</v>
      </c>
      <c r="E1638">
        <v>44404.07</v>
      </c>
      <c r="F1638">
        <v>0</v>
      </c>
      <c r="G1638">
        <f t="shared" si="92"/>
        <v>44404.07</v>
      </c>
    </row>
    <row r="1639" spans="1:7">
      <c r="A1639" t="str">
        <f t="shared" si="90"/>
        <v>MAR</v>
      </c>
      <c r="B1639" t="str">
        <f>"64111000"</f>
        <v>64111000</v>
      </c>
      <c r="C1639" t="str">
        <f t="shared" si="91"/>
        <v>MAR641110000</v>
      </c>
      <c r="E1639">
        <v>0</v>
      </c>
      <c r="F1639">
        <v>0</v>
      </c>
      <c r="G1639">
        <f t="shared" si="92"/>
        <v>0</v>
      </c>
    </row>
    <row r="1640" spans="1:7">
      <c r="A1640" t="str">
        <f t="shared" si="90"/>
        <v>MAR</v>
      </c>
      <c r="B1640" t="str">
        <f>"64120000"</f>
        <v>64120000</v>
      </c>
      <c r="C1640" t="str">
        <f t="shared" si="91"/>
        <v>MAR641200000</v>
      </c>
      <c r="E1640">
        <v>3641.36</v>
      </c>
      <c r="F1640">
        <v>5251.85</v>
      </c>
      <c r="G1640">
        <f t="shared" si="92"/>
        <v>-1610.4900000000002</v>
      </c>
    </row>
    <row r="1641" spans="1:7">
      <c r="A1641" t="str">
        <f t="shared" si="90"/>
        <v>MAR</v>
      </c>
      <c r="B1641" t="str">
        <f>"64121000"</f>
        <v>64121000</v>
      </c>
      <c r="C1641" t="str">
        <f t="shared" si="91"/>
        <v>MAR641210000</v>
      </c>
      <c r="E1641">
        <v>902.69</v>
      </c>
      <c r="F1641">
        <v>1424.3</v>
      </c>
      <c r="G1641">
        <f t="shared" si="92"/>
        <v>-521.6099999999999</v>
      </c>
    </row>
    <row r="1642" spans="1:7">
      <c r="A1642" t="str">
        <f t="shared" si="90"/>
        <v>MAR</v>
      </c>
      <c r="B1642" t="str">
        <f>"64510000"</f>
        <v>64510000</v>
      </c>
      <c r="C1642" t="str">
        <f t="shared" si="91"/>
        <v>MAR645100000</v>
      </c>
      <c r="E1642">
        <v>8149.99</v>
      </c>
      <c r="F1642">
        <v>0</v>
      </c>
      <c r="G1642">
        <f t="shared" si="92"/>
        <v>8149.99</v>
      </c>
    </row>
    <row r="1643" spans="1:7">
      <c r="A1643" t="str">
        <f t="shared" si="90"/>
        <v>MAR</v>
      </c>
      <c r="B1643" t="str">
        <f>"64520000"</f>
        <v>64520000</v>
      </c>
      <c r="C1643" t="str">
        <f t="shared" si="91"/>
        <v>MAR645200000</v>
      </c>
      <c r="E1643">
        <v>1029.1199999999999</v>
      </c>
      <c r="F1643">
        <v>0</v>
      </c>
      <c r="G1643">
        <f t="shared" si="92"/>
        <v>1029.1199999999999</v>
      </c>
    </row>
    <row r="1644" spans="1:7">
      <c r="A1644" t="str">
        <f t="shared" si="90"/>
        <v>MAR</v>
      </c>
      <c r="B1644" t="str">
        <f>"64530000"</f>
        <v>64530000</v>
      </c>
      <c r="C1644" t="str">
        <f t="shared" si="91"/>
        <v>MAR645300000</v>
      </c>
      <c r="E1644">
        <v>1988.5</v>
      </c>
      <c r="F1644">
        <v>0</v>
      </c>
      <c r="G1644">
        <f t="shared" si="92"/>
        <v>1988.5</v>
      </c>
    </row>
    <row r="1645" spans="1:7">
      <c r="A1645" t="str">
        <f t="shared" si="90"/>
        <v>MAR</v>
      </c>
      <c r="B1645" t="str">
        <f>"64540000"</f>
        <v>64540000</v>
      </c>
      <c r="C1645" t="str">
        <f t="shared" si="91"/>
        <v>MAR645400000</v>
      </c>
      <c r="E1645">
        <v>1484.53</v>
      </c>
      <c r="F1645">
        <v>0</v>
      </c>
      <c r="G1645">
        <f t="shared" si="92"/>
        <v>1484.53</v>
      </c>
    </row>
    <row r="1646" spans="1:7">
      <c r="A1646" t="str">
        <f t="shared" si="90"/>
        <v>MAR</v>
      </c>
      <c r="B1646" t="str">
        <f>"64590000"</f>
        <v>64590000</v>
      </c>
      <c r="C1646" t="str">
        <f t="shared" si="91"/>
        <v>MAR645900000</v>
      </c>
      <c r="E1646">
        <v>-3.5</v>
      </c>
      <c r="F1646">
        <v>0</v>
      </c>
      <c r="G1646">
        <f t="shared" si="92"/>
        <v>-3.5</v>
      </c>
    </row>
    <row r="1647" spans="1:7">
      <c r="A1647" t="str">
        <f t="shared" si="90"/>
        <v>MAR</v>
      </c>
      <c r="B1647" t="str">
        <f>"64710000"</f>
        <v>64710000</v>
      </c>
      <c r="C1647" t="str">
        <f t="shared" si="91"/>
        <v>MAR647100000</v>
      </c>
      <c r="E1647">
        <v>39.6</v>
      </c>
      <c r="F1647">
        <v>0</v>
      </c>
      <c r="G1647">
        <f t="shared" si="92"/>
        <v>39.6</v>
      </c>
    </row>
    <row r="1648" spans="1:7">
      <c r="A1648" t="str">
        <f t="shared" si="90"/>
        <v>MAR</v>
      </c>
      <c r="B1648" t="str">
        <f>"64740000"</f>
        <v>64740000</v>
      </c>
      <c r="C1648" t="str">
        <f t="shared" si="91"/>
        <v>MAR647400000</v>
      </c>
      <c r="E1648">
        <v>115.79</v>
      </c>
      <c r="F1648">
        <v>0</v>
      </c>
      <c r="G1648">
        <f t="shared" si="92"/>
        <v>115.79</v>
      </c>
    </row>
    <row r="1649" spans="1:9">
      <c r="A1649" t="str">
        <f t="shared" si="90"/>
        <v>MAR</v>
      </c>
      <c r="B1649" t="str">
        <f>"64750000"</f>
        <v>64750000</v>
      </c>
      <c r="C1649" t="str">
        <f t="shared" si="91"/>
        <v>MAR647500000</v>
      </c>
      <c r="E1649">
        <v>137</v>
      </c>
      <c r="F1649">
        <v>0</v>
      </c>
      <c r="G1649">
        <f t="shared" si="92"/>
        <v>137</v>
      </c>
    </row>
    <row r="1650" spans="1:9">
      <c r="A1650" t="s">
        <v>529</v>
      </c>
      <c r="B1650" t="str">
        <f>"64800000"</f>
        <v>64800000</v>
      </c>
      <c r="C1650" t="str">
        <f t="shared" si="91"/>
        <v>MAR648000000</v>
      </c>
      <c r="E1650" s="19">
        <v>1626.3499200000001</v>
      </c>
      <c r="F1650"/>
      <c r="G1650" s="19">
        <f t="shared" si="92"/>
        <v>1626.3499200000001</v>
      </c>
      <c r="H1650" s="433">
        <v>1626.3499200000001</v>
      </c>
      <c r="I1650" s="113" t="s">
        <v>529</v>
      </c>
    </row>
    <row r="1651" spans="1:9">
      <c r="A1651" t="str">
        <f t="shared" ref="A1651:A1657" si="93">"MAR"</f>
        <v>MAR</v>
      </c>
      <c r="B1651" t="str">
        <f>"65410000"</f>
        <v>65410000</v>
      </c>
      <c r="C1651" t="str">
        <f t="shared" si="91"/>
        <v>MAR654100000</v>
      </c>
      <c r="E1651">
        <v>1.58</v>
      </c>
      <c r="F1651">
        <v>0.18</v>
      </c>
      <c r="G1651">
        <f t="shared" si="92"/>
        <v>1.4000000000000001</v>
      </c>
    </row>
    <row r="1652" spans="1:9">
      <c r="A1652" t="str">
        <f t="shared" si="93"/>
        <v>MAR</v>
      </c>
      <c r="B1652" t="str">
        <f>"65800000"</f>
        <v>65800000</v>
      </c>
      <c r="C1652" t="str">
        <f t="shared" si="91"/>
        <v>MAR658000000</v>
      </c>
      <c r="E1652">
        <v>1152.5</v>
      </c>
      <c r="F1652">
        <v>0</v>
      </c>
      <c r="G1652">
        <f t="shared" si="92"/>
        <v>1152.5</v>
      </c>
    </row>
    <row r="1653" spans="1:9">
      <c r="A1653" t="str">
        <f t="shared" si="93"/>
        <v>MAR</v>
      </c>
      <c r="B1653" t="str">
        <f>"66500000"</f>
        <v>66500000</v>
      </c>
      <c r="C1653" t="str">
        <f t="shared" si="91"/>
        <v>MAR665000000</v>
      </c>
      <c r="E1653">
        <v>3.59</v>
      </c>
      <c r="F1653">
        <v>0</v>
      </c>
      <c r="G1653">
        <f t="shared" si="92"/>
        <v>3.59</v>
      </c>
    </row>
    <row r="1654" spans="1:9">
      <c r="A1654" t="str">
        <f t="shared" si="93"/>
        <v>MAR</v>
      </c>
      <c r="B1654" t="str">
        <f>"67180000"</f>
        <v>67180000</v>
      </c>
      <c r="C1654" t="str">
        <f t="shared" si="91"/>
        <v>MAR671800000</v>
      </c>
      <c r="E1654">
        <v>0</v>
      </c>
      <c r="F1654">
        <v>0</v>
      </c>
      <c r="G1654">
        <f t="shared" si="92"/>
        <v>0</v>
      </c>
    </row>
    <row r="1655" spans="1:9">
      <c r="A1655" t="str">
        <f t="shared" si="93"/>
        <v>MAR</v>
      </c>
      <c r="B1655" t="str">
        <f>"68112000"</f>
        <v>68112000</v>
      </c>
      <c r="C1655" t="str">
        <f t="shared" si="91"/>
        <v>MAR681120000</v>
      </c>
      <c r="E1655">
        <v>1385.26</v>
      </c>
      <c r="F1655">
        <v>0</v>
      </c>
      <c r="G1655">
        <f t="shared" si="92"/>
        <v>1385.26</v>
      </c>
    </row>
    <row r="1656" spans="1:9">
      <c r="A1656" t="str">
        <f t="shared" si="93"/>
        <v>MAR</v>
      </c>
      <c r="B1656" t="str">
        <f>"68173000"</f>
        <v>68173000</v>
      </c>
      <c r="C1656" t="str">
        <f t="shared" si="91"/>
        <v>MAR681730000</v>
      </c>
      <c r="E1656">
        <v>2921.85</v>
      </c>
      <c r="F1656">
        <v>0</v>
      </c>
      <c r="G1656">
        <f t="shared" si="92"/>
        <v>2921.85</v>
      </c>
    </row>
    <row r="1657" spans="1:9">
      <c r="A1657" t="str">
        <f t="shared" si="93"/>
        <v>MAR</v>
      </c>
      <c r="B1657" t="str">
        <f>"68174000"</f>
        <v>68174000</v>
      </c>
      <c r="C1657" t="str">
        <f t="shared" si="91"/>
        <v>MAR681740000</v>
      </c>
      <c r="E1657">
        <v>87.32</v>
      </c>
      <c r="F1657">
        <v>0</v>
      </c>
      <c r="G1657">
        <f t="shared" si="92"/>
        <v>87.32</v>
      </c>
    </row>
    <row r="1658" spans="1:9">
      <c r="A1658" t="str">
        <f t="shared" ref="A1658:A1721" si="94">"MON"</f>
        <v>MON</v>
      </c>
      <c r="B1658" t="str">
        <f>"60610000"</f>
        <v>60610000</v>
      </c>
      <c r="C1658" t="str">
        <f t="shared" si="91"/>
        <v>MON606100000</v>
      </c>
      <c r="E1658">
        <v>2621.1</v>
      </c>
      <c r="F1658">
        <v>0</v>
      </c>
      <c r="G1658">
        <f t="shared" si="92"/>
        <v>2621.1</v>
      </c>
    </row>
    <row r="1659" spans="1:9">
      <c r="A1659" t="str">
        <f t="shared" si="94"/>
        <v>MON</v>
      </c>
      <c r="B1659" t="str">
        <f>"60613000"</f>
        <v>60613000</v>
      </c>
      <c r="C1659" t="str">
        <f t="shared" si="91"/>
        <v>MON606130000</v>
      </c>
      <c r="E1659">
        <v>5328.93</v>
      </c>
      <c r="F1659">
        <v>0</v>
      </c>
      <c r="G1659">
        <f t="shared" si="92"/>
        <v>5328.93</v>
      </c>
    </row>
    <row r="1660" spans="1:9">
      <c r="A1660" t="str">
        <f t="shared" si="94"/>
        <v>MON</v>
      </c>
      <c r="B1660" t="str">
        <f>"60631000"</f>
        <v>60631000</v>
      </c>
      <c r="C1660" t="str">
        <f t="shared" si="91"/>
        <v>MON606310000</v>
      </c>
      <c r="E1660">
        <v>705.17</v>
      </c>
      <c r="F1660">
        <v>0</v>
      </c>
      <c r="G1660">
        <f t="shared" si="92"/>
        <v>705.17</v>
      </c>
    </row>
    <row r="1661" spans="1:9">
      <c r="A1661" t="str">
        <f t="shared" si="94"/>
        <v>MON</v>
      </c>
      <c r="B1661" t="str">
        <f>"60641000"</f>
        <v>60641000</v>
      </c>
      <c r="C1661" t="str">
        <f t="shared" si="91"/>
        <v>MON606410000</v>
      </c>
      <c r="E1661">
        <v>2008.68</v>
      </c>
      <c r="F1661">
        <v>0</v>
      </c>
      <c r="G1661">
        <f t="shared" si="92"/>
        <v>2008.68</v>
      </c>
    </row>
    <row r="1662" spans="1:9">
      <c r="A1662" t="str">
        <f t="shared" si="94"/>
        <v>MON</v>
      </c>
      <c r="B1662" t="str">
        <f>"60710000"</f>
        <v>60710000</v>
      </c>
      <c r="C1662" t="str">
        <f t="shared" si="91"/>
        <v>MON607100000</v>
      </c>
      <c r="E1662">
        <v>275573.21000000002</v>
      </c>
      <c r="F1662">
        <v>389.84</v>
      </c>
      <c r="G1662">
        <f t="shared" si="92"/>
        <v>275183.37</v>
      </c>
    </row>
    <row r="1663" spans="1:9">
      <c r="A1663" t="str">
        <f t="shared" si="94"/>
        <v>MON</v>
      </c>
      <c r="B1663" t="str">
        <f>"60711000"</f>
        <v>60711000</v>
      </c>
      <c r="C1663" t="str">
        <f t="shared" si="91"/>
        <v>MON607110000</v>
      </c>
      <c r="E1663">
        <v>14913.96</v>
      </c>
      <c r="F1663">
        <v>1152.01</v>
      </c>
      <c r="G1663">
        <f t="shared" si="92"/>
        <v>13761.949999999999</v>
      </c>
    </row>
    <row r="1664" spans="1:9">
      <c r="A1664" t="str">
        <f t="shared" si="94"/>
        <v>MON</v>
      </c>
      <c r="B1664" t="str">
        <f>"60712000"</f>
        <v>60712000</v>
      </c>
      <c r="C1664" t="str">
        <f t="shared" si="91"/>
        <v>MON607120000</v>
      </c>
      <c r="E1664">
        <v>-217.76</v>
      </c>
      <c r="F1664">
        <v>0</v>
      </c>
      <c r="G1664">
        <f t="shared" si="92"/>
        <v>-217.76</v>
      </c>
    </row>
    <row r="1665" spans="1:9">
      <c r="A1665" t="str">
        <f t="shared" si="94"/>
        <v>MON</v>
      </c>
      <c r="B1665" t="str">
        <f>"60713000"</f>
        <v>60713000</v>
      </c>
      <c r="C1665" t="str">
        <f t="shared" si="91"/>
        <v>MON607130000</v>
      </c>
      <c r="E1665">
        <v>10603</v>
      </c>
      <c r="F1665">
        <v>0</v>
      </c>
      <c r="G1665">
        <f t="shared" si="92"/>
        <v>10603</v>
      </c>
    </row>
    <row r="1666" spans="1:9">
      <c r="A1666" t="str">
        <f t="shared" si="94"/>
        <v>MON</v>
      </c>
      <c r="B1666" t="str">
        <f>"60714000"</f>
        <v>60714000</v>
      </c>
      <c r="C1666" t="str">
        <f t="shared" si="91"/>
        <v>MON607140000</v>
      </c>
      <c r="E1666">
        <v>-2768</v>
      </c>
      <c r="F1666">
        <v>0</v>
      </c>
      <c r="G1666">
        <f t="shared" si="92"/>
        <v>-2768</v>
      </c>
    </row>
    <row r="1667" spans="1:9">
      <c r="A1667" t="str">
        <f t="shared" si="94"/>
        <v>MON</v>
      </c>
      <c r="B1667" t="str">
        <f>"60715000"</f>
        <v>60715000</v>
      </c>
      <c r="C1667" t="str">
        <f t="shared" ref="C1667:C1730" si="95">+A1667&amp;B1667*10</f>
        <v>MON607150000</v>
      </c>
      <c r="E1667">
        <v>36929.96</v>
      </c>
      <c r="F1667">
        <v>0</v>
      </c>
      <c r="G1667">
        <f t="shared" ref="G1667:G1730" si="96">+E1667-F1667</f>
        <v>36929.96</v>
      </c>
    </row>
    <row r="1668" spans="1:9">
      <c r="A1668" t="str">
        <f t="shared" si="94"/>
        <v>MON</v>
      </c>
      <c r="B1668" t="str">
        <f>"60720000"</f>
        <v>60720000</v>
      </c>
      <c r="C1668" t="str">
        <f t="shared" si="95"/>
        <v>MON607200000</v>
      </c>
      <c r="E1668">
        <v>179190</v>
      </c>
      <c r="F1668">
        <v>1586.3</v>
      </c>
      <c r="G1668">
        <f t="shared" si="96"/>
        <v>177603.7</v>
      </c>
    </row>
    <row r="1669" spans="1:9">
      <c r="A1669" t="str">
        <f t="shared" si="94"/>
        <v>MON</v>
      </c>
      <c r="B1669" t="str">
        <f>"60740000"</f>
        <v>60740000</v>
      </c>
      <c r="C1669" t="str">
        <f t="shared" si="95"/>
        <v>MON607400000</v>
      </c>
      <c r="E1669">
        <v>4435.97</v>
      </c>
      <c r="F1669">
        <v>12.9</v>
      </c>
      <c r="G1669">
        <f t="shared" si="96"/>
        <v>4423.0700000000006</v>
      </c>
    </row>
    <row r="1670" spans="1:9">
      <c r="A1670" t="str">
        <f t="shared" si="94"/>
        <v>MON</v>
      </c>
      <c r="B1670" t="str">
        <f>"60800000"</f>
        <v>60800000</v>
      </c>
      <c r="C1670" t="str">
        <f t="shared" si="95"/>
        <v>MON608000000</v>
      </c>
      <c r="E1670">
        <v>1987.03</v>
      </c>
      <c r="F1670">
        <v>0</v>
      </c>
      <c r="G1670">
        <f t="shared" si="96"/>
        <v>1987.03</v>
      </c>
    </row>
    <row r="1671" spans="1:9">
      <c r="A1671" t="str">
        <f t="shared" si="94"/>
        <v>MON</v>
      </c>
      <c r="B1671" t="str">
        <f>"60911000"</f>
        <v>60911000</v>
      </c>
      <c r="C1671" t="str">
        <f t="shared" si="95"/>
        <v>MON609110000</v>
      </c>
      <c r="E1671">
        <v>-9040.0499999999993</v>
      </c>
      <c r="F1671">
        <v>0</v>
      </c>
      <c r="G1671">
        <f t="shared" si="96"/>
        <v>-9040.0499999999993</v>
      </c>
    </row>
    <row r="1672" spans="1:9">
      <c r="A1672" t="str">
        <f t="shared" si="94"/>
        <v>MON</v>
      </c>
      <c r="B1672" t="str">
        <f>"60912000"</f>
        <v>60912000</v>
      </c>
      <c r="C1672" t="str">
        <f t="shared" si="95"/>
        <v>MON609120000</v>
      </c>
      <c r="E1672">
        <v>-12648.44</v>
      </c>
      <c r="F1672">
        <v>0</v>
      </c>
      <c r="G1672">
        <f t="shared" si="96"/>
        <v>-12648.44</v>
      </c>
    </row>
    <row r="1673" spans="1:9">
      <c r="A1673" t="str">
        <f t="shared" si="94"/>
        <v>MON</v>
      </c>
      <c r="B1673" t="str">
        <f>"60913000"</f>
        <v>60913000</v>
      </c>
      <c r="C1673" t="str">
        <f t="shared" si="95"/>
        <v>MON609130000</v>
      </c>
      <c r="E1673">
        <v>-7227.68</v>
      </c>
      <c r="F1673">
        <v>0</v>
      </c>
      <c r="G1673">
        <f t="shared" si="96"/>
        <v>-7227.68</v>
      </c>
      <c r="I1673" s="353"/>
    </row>
    <row r="1674" spans="1:9">
      <c r="A1674" t="str">
        <f t="shared" si="94"/>
        <v>MON</v>
      </c>
      <c r="B1674" t="str">
        <f>"61100000"</f>
        <v>61100000</v>
      </c>
      <c r="C1674" t="str">
        <f t="shared" si="95"/>
        <v>MON611000000</v>
      </c>
      <c r="E1674">
        <v>308.26</v>
      </c>
      <c r="F1674">
        <v>0</v>
      </c>
      <c r="G1674">
        <f t="shared" si="96"/>
        <v>308.26</v>
      </c>
    </row>
    <row r="1675" spans="1:9">
      <c r="A1675" t="str">
        <f t="shared" si="94"/>
        <v>MON</v>
      </c>
      <c r="B1675" t="str">
        <f>"61320000"</f>
        <v>61320000</v>
      </c>
      <c r="C1675" t="str">
        <f t="shared" si="95"/>
        <v>MON613200000</v>
      </c>
      <c r="E1675">
        <v>30508.79</v>
      </c>
      <c r="F1675">
        <v>0</v>
      </c>
      <c r="G1675">
        <f t="shared" si="96"/>
        <v>30508.79</v>
      </c>
    </row>
    <row r="1676" spans="1:9">
      <c r="A1676" t="str">
        <f t="shared" si="94"/>
        <v>MON</v>
      </c>
      <c r="B1676" t="str">
        <f>"61352000"</f>
        <v>61352000</v>
      </c>
      <c r="C1676" t="str">
        <f t="shared" si="95"/>
        <v>MON613520000</v>
      </c>
      <c r="E1676">
        <v>8372.84</v>
      </c>
      <c r="F1676">
        <v>0</v>
      </c>
      <c r="G1676">
        <f t="shared" si="96"/>
        <v>8372.84</v>
      </c>
    </row>
    <row r="1677" spans="1:9">
      <c r="A1677" t="str">
        <f t="shared" si="94"/>
        <v>MON</v>
      </c>
      <c r="B1677" t="str">
        <f>"61353000"</f>
        <v>61353000</v>
      </c>
      <c r="C1677" t="str">
        <f t="shared" si="95"/>
        <v>MON613530000</v>
      </c>
      <c r="E1677">
        <v>180</v>
      </c>
      <c r="F1677">
        <v>0</v>
      </c>
      <c r="G1677">
        <f t="shared" si="96"/>
        <v>180</v>
      </c>
    </row>
    <row r="1678" spans="1:9">
      <c r="A1678" t="str">
        <f t="shared" si="94"/>
        <v>MON</v>
      </c>
      <c r="B1678" t="str">
        <f>"61354000"</f>
        <v>61354000</v>
      </c>
      <c r="C1678" t="str">
        <f t="shared" si="95"/>
        <v>MON613540000</v>
      </c>
      <c r="E1678">
        <v>568</v>
      </c>
      <c r="F1678">
        <v>0</v>
      </c>
      <c r="G1678">
        <f t="shared" si="96"/>
        <v>568</v>
      </c>
    </row>
    <row r="1679" spans="1:9">
      <c r="A1679" t="str">
        <f t="shared" si="94"/>
        <v>MON</v>
      </c>
      <c r="B1679" t="str">
        <f>"61520000"</f>
        <v>61520000</v>
      </c>
      <c r="C1679" t="str">
        <f t="shared" si="95"/>
        <v>MON615200000</v>
      </c>
      <c r="E1679">
        <v>4333.6899999999996</v>
      </c>
      <c r="F1679">
        <v>0</v>
      </c>
      <c r="G1679">
        <f t="shared" si="96"/>
        <v>4333.6899999999996</v>
      </c>
    </row>
    <row r="1680" spans="1:9">
      <c r="A1680" t="str">
        <f t="shared" si="94"/>
        <v>MON</v>
      </c>
      <c r="B1680" t="str">
        <f>"61550000"</f>
        <v>61550000</v>
      </c>
      <c r="C1680" t="str">
        <f t="shared" si="95"/>
        <v>MON615500000</v>
      </c>
      <c r="E1680">
        <v>0</v>
      </c>
      <c r="F1680">
        <v>-571.58000000000004</v>
      </c>
      <c r="G1680">
        <f t="shared" si="96"/>
        <v>571.58000000000004</v>
      </c>
    </row>
    <row r="1681" spans="1:7">
      <c r="A1681" t="str">
        <f t="shared" si="94"/>
        <v>MON</v>
      </c>
      <c r="B1681" t="str">
        <f>"61551000"</f>
        <v>61551000</v>
      </c>
      <c r="C1681" t="str">
        <f t="shared" si="95"/>
        <v>MON615510000</v>
      </c>
      <c r="E1681">
        <v>655.01</v>
      </c>
      <c r="F1681">
        <v>0</v>
      </c>
      <c r="G1681">
        <f t="shared" si="96"/>
        <v>655.01</v>
      </c>
    </row>
    <row r="1682" spans="1:7">
      <c r="A1682" t="str">
        <f t="shared" si="94"/>
        <v>MON</v>
      </c>
      <c r="B1682" t="str">
        <f>"61552000"</f>
        <v>61552000</v>
      </c>
      <c r="C1682" t="str">
        <f t="shared" si="95"/>
        <v>MON615520000</v>
      </c>
      <c r="E1682">
        <v>8546.41</v>
      </c>
      <c r="F1682">
        <v>0</v>
      </c>
      <c r="G1682">
        <f t="shared" si="96"/>
        <v>8546.41</v>
      </c>
    </row>
    <row r="1683" spans="1:7">
      <c r="A1683" t="str">
        <f t="shared" si="94"/>
        <v>MON</v>
      </c>
      <c r="B1683" t="str">
        <f>"61612000"</f>
        <v>61612000</v>
      </c>
      <c r="C1683" t="str">
        <f t="shared" si="95"/>
        <v>MON616120000</v>
      </c>
      <c r="E1683">
        <v>1801.55</v>
      </c>
      <c r="F1683">
        <v>0</v>
      </c>
      <c r="G1683">
        <f t="shared" si="96"/>
        <v>1801.55</v>
      </c>
    </row>
    <row r="1684" spans="1:7">
      <c r="A1684" t="str">
        <f t="shared" si="94"/>
        <v>MON</v>
      </c>
      <c r="B1684" t="str">
        <f>"61613000"</f>
        <v>61613000</v>
      </c>
      <c r="C1684" t="str">
        <f t="shared" si="95"/>
        <v>MON616130000</v>
      </c>
      <c r="E1684">
        <v>2934.97</v>
      </c>
      <c r="F1684">
        <v>0</v>
      </c>
      <c r="G1684">
        <f t="shared" si="96"/>
        <v>2934.97</v>
      </c>
    </row>
    <row r="1685" spans="1:7">
      <c r="A1685" t="str">
        <f t="shared" si="94"/>
        <v>MON</v>
      </c>
      <c r="B1685" t="str">
        <f>"61810000"</f>
        <v>61810000</v>
      </c>
      <c r="C1685" t="str">
        <f t="shared" si="95"/>
        <v>MON618100000</v>
      </c>
      <c r="E1685">
        <v>377.04</v>
      </c>
      <c r="F1685">
        <v>24.4</v>
      </c>
      <c r="G1685">
        <f t="shared" si="96"/>
        <v>352.64000000000004</v>
      </c>
    </row>
    <row r="1686" spans="1:7">
      <c r="A1686" t="str">
        <f t="shared" si="94"/>
        <v>MON</v>
      </c>
      <c r="B1686" t="str">
        <f>"61850000"</f>
        <v>61850000</v>
      </c>
      <c r="C1686" t="str">
        <f t="shared" si="95"/>
        <v>MON618500000</v>
      </c>
      <c r="E1686">
        <v>1129.7</v>
      </c>
      <c r="F1686">
        <v>0</v>
      </c>
      <c r="G1686">
        <f t="shared" si="96"/>
        <v>1129.7</v>
      </c>
    </row>
    <row r="1687" spans="1:7">
      <c r="A1687" t="str">
        <f t="shared" si="94"/>
        <v>MON</v>
      </c>
      <c r="B1687" t="str">
        <f>"62110000"</f>
        <v>62110000</v>
      </c>
      <c r="C1687" t="str">
        <f t="shared" si="95"/>
        <v>MON621100000</v>
      </c>
      <c r="E1687">
        <v>3143.56</v>
      </c>
      <c r="F1687">
        <v>0</v>
      </c>
      <c r="G1687">
        <f t="shared" si="96"/>
        <v>3143.56</v>
      </c>
    </row>
    <row r="1688" spans="1:7">
      <c r="A1688" t="str">
        <f t="shared" si="94"/>
        <v>MON</v>
      </c>
      <c r="B1688" t="str">
        <f>"62270000"</f>
        <v>62270000</v>
      </c>
      <c r="C1688" t="str">
        <f t="shared" si="95"/>
        <v>MON622700000</v>
      </c>
      <c r="E1688">
        <v>598.66999999999996</v>
      </c>
      <c r="F1688">
        <v>38.869999999999997</v>
      </c>
      <c r="G1688">
        <f t="shared" si="96"/>
        <v>559.79999999999995</v>
      </c>
    </row>
    <row r="1689" spans="1:7">
      <c r="A1689" t="str">
        <f t="shared" si="94"/>
        <v>MON</v>
      </c>
      <c r="B1689" t="str">
        <f>"62310000"</f>
        <v>62310000</v>
      </c>
      <c r="C1689" t="str">
        <f t="shared" si="95"/>
        <v>MON623100000</v>
      </c>
      <c r="E1689">
        <v>774.3</v>
      </c>
      <c r="F1689">
        <v>0</v>
      </c>
      <c r="G1689">
        <f t="shared" si="96"/>
        <v>774.3</v>
      </c>
    </row>
    <row r="1690" spans="1:7">
      <c r="A1690" t="str">
        <f t="shared" si="94"/>
        <v>MON</v>
      </c>
      <c r="B1690" t="str">
        <f>"62320000"</f>
        <v>62320000</v>
      </c>
      <c r="C1690" t="str">
        <f t="shared" si="95"/>
        <v>MON623200000</v>
      </c>
      <c r="E1690">
        <v>4276.83</v>
      </c>
      <c r="F1690">
        <v>0</v>
      </c>
      <c r="G1690">
        <f t="shared" si="96"/>
        <v>4276.83</v>
      </c>
    </row>
    <row r="1691" spans="1:7">
      <c r="A1691" t="str">
        <f t="shared" si="94"/>
        <v>MON</v>
      </c>
      <c r="B1691" t="str">
        <f>"62341000"</f>
        <v>62341000</v>
      </c>
      <c r="C1691" t="str">
        <f t="shared" si="95"/>
        <v>MON623410000</v>
      </c>
      <c r="E1691">
        <v>4714.6499999999996</v>
      </c>
      <c r="F1691">
        <v>0</v>
      </c>
      <c r="G1691">
        <f t="shared" si="96"/>
        <v>4714.6499999999996</v>
      </c>
    </row>
    <row r="1692" spans="1:7">
      <c r="A1692" t="str">
        <f t="shared" si="94"/>
        <v>MON</v>
      </c>
      <c r="B1692" t="str">
        <f>"62342000"</f>
        <v>62342000</v>
      </c>
      <c r="C1692" t="str">
        <f t="shared" si="95"/>
        <v>MON623420000</v>
      </c>
      <c r="E1692">
        <v>-181.39</v>
      </c>
      <c r="F1692">
        <v>0</v>
      </c>
      <c r="G1692">
        <f t="shared" si="96"/>
        <v>-181.39</v>
      </c>
    </row>
    <row r="1693" spans="1:7">
      <c r="A1693" t="str">
        <f t="shared" si="94"/>
        <v>MON</v>
      </c>
      <c r="B1693" t="str">
        <f>"62370000"</f>
        <v>62370000</v>
      </c>
      <c r="C1693" t="str">
        <f t="shared" si="95"/>
        <v>MON623700000</v>
      </c>
      <c r="E1693">
        <v>1613.64</v>
      </c>
      <c r="F1693">
        <v>-221.9</v>
      </c>
      <c r="G1693">
        <f t="shared" si="96"/>
        <v>1835.5400000000002</v>
      </c>
    </row>
    <row r="1694" spans="1:7">
      <c r="A1694" t="str">
        <f t="shared" si="94"/>
        <v>MON</v>
      </c>
      <c r="B1694" t="str">
        <f>"62381000"</f>
        <v>62381000</v>
      </c>
      <c r="C1694" t="str">
        <f t="shared" si="95"/>
        <v>MON623810000</v>
      </c>
      <c r="E1694">
        <v>-1554.33</v>
      </c>
      <c r="F1694">
        <v>0</v>
      </c>
      <c r="G1694">
        <f t="shared" si="96"/>
        <v>-1554.33</v>
      </c>
    </row>
    <row r="1695" spans="1:7">
      <c r="A1695" t="str">
        <f t="shared" si="94"/>
        <v>MON</v>
      </c>
      <c r="B1695" t="str">
        <f>"62420000"</f>
        <v>62420000</v>
      </c>
      <c r="C1695" t="str">
        <f t="shared" si="95"/>
        <v>MON624200000</v>
      </c>
      <c r="E1695">
        <v>5777.37</v>
      </c>
      <c r="F1695">
        <v>0</v>
      </c>
      <c r="G1695">
        <f t="shared" si="96"/>
        <v>5777.37</v>
      </c>
    </row>
    <row r="1696" spans="1:7">
      <c r="A1696" t="str">
        <f t="shared" si="94"/>
        <v>MON</v>
      </c>
      <c r="B1696" t="str">
        <f>"62510000"</f>
        <v>62510000</v>
      </c>
      <c r="C1696" t="str">
        <f t="shared" si="95"/>
        <v>MON625100000</v>
      </c>
      <c r="E1696">
        <v>10153.43</v>
      </c>
      <c r="F1696">
        <v>0</v>
      </c>
      <c r="G1696">
        <f t="shared" si="96"/>
        <v>10153.43</v>
      </c>
    </row>
    <row r="1697" spans="1:7">
      <c r="A1697" t="str">
        <f t="shared" si="94"/>
        <v>MON</v>
      </c>
      <c r="B1697" t="str">
        <f>"62520000"</f>
        <v>62520000</v>
      </c>
      <c r="C1697" t="str">
        <f t="shared" si="95"/>
        <v>MON625200000</v>
      </c>
      <c r="E1697">
        <v>596.94000000000005</v>
      </c>
      <c r="F1697">
        <v>0</v>
      </c>
      <c r="G1697">
        <f t="shared" si="96"/>
        <v>596.94000000000005</v>
      </c>
    </row>
    <row r="1698" spans="1:7">
      <c r="A1698" t="str">
        <f t="shared" si="94"/>
        <v>MON</v>
      </c>
      <c r="B1698" t="str">
        <f>"62551000"</f>
        <v>62551000</v>
      </c>
      <c r="C1698" t="str">
        <f t="shared" si="95"/>
        <v>MON625510000</v>
      </c>
      <c r="E1698">
        <v>855</v>
      </c>
      <c r="F1698">
        <v>0</v>
      </c>
      <c r="G1698">
        <f t="shared" si="96"/>
        <v>855</v>
      </c>
    </row>
    <row r="1699" spans="1:7">
      <c r="A1699" t="str">
        <f t="shared" si="94"/>
        <v>MON</v>
      </c>
      <c r="B1699" t="str">
        <f>"62560000"</f>
        <v>62560000</v>
      </c>
      <c r="C1699" t="str">
        <f t="shared" si="95"/>
        <v>MON625600000</v>
      </c>
      <c r="E1699">
        <v>25.23</v>
      </c>
      <c r="F1699">
        <v>0</v>
      </c>
      <c r="G1699">
        <f t="shared" si="96"/>
        <v>25.23</v>
      </c>
    </row>
    <row r="1700" spans="1:7">
      <c r="A1700" t="str">
        <f t="shared" si="94"/>
        <v>MON</v>
      </c>
      <c r="B1700" t="str">
        <f>"62570000"</f>
        <v>62570000</v>
      </c>
      <c r="C1700" t="str">
        <f t="shared" si="95"/>
        <v>MON625700000</v>
      </c>
      <c r="E1700">
        <v>5224.66</v>
      </c>
      <c r="F1700">
        <v>0</v>
      </c>
      <c r="G1700">
        <f t="shared" si="96"/>
        <v>5224.66</v>
      </c>
    </row>
    <row r="1701" spans="1:7">
      <c r="A1701" t="str">
        <f t="shared" si="94"/>
        <v>MON</v>
      </c>
      <c r="B1701" t="str">
        <f>"62571000"</f>
        <v>62571000</v>
      </c>
      <c r="C1701" t="str">
        <f t="shared" si="95"/>
        <v>MON625710000</v>
      </c>
      <c r="E1701">
        <v>4737.4399999999996</v>
      </c>
      <c r="F1701">
        <v>0</v>
      </c>
      <c r="G1701">
        <f t="shared" si="96"/>
        <v>4737.4399999999996</v>
      </c>
    </row>
    <row r="1702" spans="1:7">
      <c r="A1702" t="str">
        <f t="shared" si="94"/>
        <v>MON</v>
      </c>
      <c r="B1702" t="str">
        <f>"62600000"</f>
        <v>62600000</v>
      </c>
      <c r="C1702" t="str">
        <f t="shared" si="95"/>
        <v>MON626000000</v>
      </c>
      <c r="E1702">
        <v>6123</v>
      </c>
      <c r="F1702">
        <v>0</v>
      </c>
      <c r="G1702">
        <f t="shared" si="96"/>
        <v>6123</v>
      </c>
    </row>
    <row r="1703" spans="1:7">
      <c r="A1703" t="str">
        <f t="shared" si="94"/>
        <v>MON</v>
      </c>
      <c r="B1703" t="str">
        <f>"62610000"</f>
        <v>62610000</v>
      </c>
      <c r="C1703" t="str">
        <f t="shared" si="95"/>
        <v>MON626100000</v>
      </c>
      <c r="E1703">
        <v>957.12</v>
      </c>
      <c r="F1703">
        <v>0</v>
      </c>
      <c r="G1703">
        <f t="shared" si="96"/>
        <v>957.12</v>
      </c>
    </row>
    <row r="1704" spans="1:7">
      <c r="A1704" t="str">
        <f t="shared" si="94"/>
        <v>MON</v>
      </c>
      <c r="B1704" t="str">
        <f>"62752000"</f>
        <v>62752000</v>
      </c>
      <c r="C1704" t="str">
        <f t="shared" si="95"/>
        <v>MON627520000</v>
      </c>
      <c r="E1704">
        <v>402.4</v>
      </c>
      <c r="F1704">
        <v>0</v>
      </c>
      <c r="G1704">
        <f t="shared" si="96"/>
        <v>402.4</v>
      </c>
    </row>
    <row r="1705" spans="1:7">
      <c r="A1705" t="str">
        <f t="shared" si="94"/>
        <v>MON</v>
      </c>
      <c r="B1705" t="str">
        <f>"63330000"</f>
        <v>63330000</v>
      </c>
      <c r="C1705" t="str">
        <f t="shared" si="95"/>
        <v>MON633300000</v>
      </c>
      <c r="E1705">
        <v>791</v>
      </c>
      <c r="F1705">
        <v>0</v>
      </c>
      <c r="G1705">
        <f t="shared" si="96"/>
        <v>791</v>
      </c>
    </row>
    <row r="1706" spans="1:7">
      <c r="A1706" t="str">
        <f t="shared" si="94"/>
        <v>MON</v>
      </c>
      <c r="B1706" t="str">
        <f>"63340000"</f>
        <v>63340000</v>
      </c>
      <c r="C1706" t="str">
        <f t="shared" si="95"/>
        <v>MON633400000</v>
      </c>
      <c r="E1706">
        <v>436</v>
      </c>
      <c r="F1706">
        <v>0</v>
      </c>
      <c r="G1706">
        <f t="shared" si="96"/>
        <v>436</v>
      </c>
    </row>
    <row r="1707" spans="1:7">
      <c r="A1707" t="str">
        <f t="shared" si="94"/>
        <v>MON</v>
      </c>
      <c r="B1707" t="str">
        <f>"63350000"</f>
        <v>63350000</v>
      </c>
      <c r="C1707" t="str">
        <f t="shared" si="95"/>
        <v>MON633500000</v>
      </c>
      <c r="E1707">
        <v>659</v>
      </c>
      <c r="F1707">
        <v>0</v>
      </c>
      <c r="G1707">
        <f t="shared" si="96"/>
        <v>659</v>
      </c>
    </row>
    <row r="1708" spans="1:7">
      <c r="A1708" t="str">
        <f t="shared" si="94"/>
        <v>MON</v>
      </c>
      <c r="B1708" t="str">
        <f>"63511000"</f>
        <v>63511000</v>
      </c>
      <c r="C1708" t="str">
        <f t="shared" si="95"/>
        <v>MON635110000</v>
      </c>
      <c r="E1708">
        <v>7941</v>
      </c>
      <c r="F1708">
        <v>0</v>
      </c>
      <c r="G1708">
        <f t="shared" si="96"/>
        <v>7941</v>
      </c>
    </row>
    <row r="1709" spans="1:7">
      <c r="A1709" t="str">
        <f t="shared" si="94"/>
        <v>MON</v>
      </c>
      <c r="B1709" t="str">
        <f>"63512000"</f>
        <v>63512000</v>
      </c>
      <c r="C1709" t="str">
        <f t="shared" si="95"/>
        <v>MON635120000</v>
      </c>
      <c r="E1709">
        <v>2804.24</v>
      </c>
      <c r="F1709">
        <v>0</v>
      </c>
      <c r="G1709">
        <f t="shared" si="96"/>
        <v>2804.24</v>
      </c>
    </row>
    <row r="1710" spans="1:7">
      <c r="A1710" t="str">
        <f t="shared" si="94"/>
        <v>MON</v>
      </c>
      <c r="B1710" t="str">
        <f>"63710000"</f>
        <v>63710000</v>
      </c>
      <c r="C1710" t="str">
        <f t="shared" si="95"/>
        <v>MON637100000</v>
      </c>
      <c r="E1710">
        <v>1292.6500000000001</v>
      </c>
      <c r="F1710">
        <v>0</v>
      </c>
      <c r="G1710">
        <f t="shared" si="96"/>
        <v>1292.6500000000001</v>
      </c>
    </row>
    <row r="1711" spans="1:7">
      <c r="A1711" t="str">
        <f t="shared" si="94"/>
        <v>MON</v>
      </c>
      <c r="B1711" t="str">
        <f>"64110000"</f>
        <v>64110000</v>
      </c>
      <c r="C1711" t="str">
        <f t="shared" si="95"/>
        <v>MON641100000</v>
      </c>
      <c r="E1711">
        <v>103428.22</v>
      </c>
      <c r="F1711">
        <v>0</v>
      </c>
      <c r="G1711">
        <f t="shared" si="96"/>
        <v>103428.22</v>
      </c>
    </row>
    <row r="1712" spans="1:7">
      <c r="A1712" t="str">
        <f t="shared" si="94"/>
        <v>MON</v>
      </c>
      <c r="B1712" t="str">
        <f>"64111000"</f>
        <v>64111000</v>
      </c>
      <c r="C1712" t="str">
        <f t="shared" si="95"/>
        <v>MON641110000</v>
      </c>
      <c r="E1712">
        <v>-270</v>
      </c>
      <c r="F1712">
        <v>0</v>
      </c>
      <c r="G1712">
        <f t="shared" si="96"/>
        <v>-270</v>
      </c>
    </row>
    <row r="1713" spans="1:9">
      <c r="A1713" t="str">
        <f t="shared" si="94"/>
        <v>MON</v>
      </c>
      <c r="B1713" t="str">
        <f>"64120000"</f>
        <v>64120000</v>
      </c>
      <c r="C1713" t="str">
        <f t="shared" si="95"/>
        <v>MON641200000</v>
      </c>
      <c r="E1713">
        <v>8626.51</v>
      </c>
      <c r="F1713">
        <v>9227.7099999999991</v>
      </c>
      <c r="G1713">
        <f t="shared" si="96"/>
        <v>-601.19999999999891</v>
      </c>
    </row>
    <row r="1714" spans="1:9">
      <c r="A1714" t="str">
        <f t="shared" si="94"/>
        <v>MON</v>
      </c>
      <c r="B1714" t="str">
        <f>"64121000"</f>
        <v>64121000</v>
      </c>
      <c r="C1714" t="str">
        <f t="shared" si="95"/>
        <v>MON641210000</v>
      </c>
      <c r="E1714">
        <v>3458.37</v>
      </c>
      <c r="F1714">
        <v>3656.02</v>
      </c>
      <c r="G1714">
        <f t="shared" si="96"/>
        <v>-197.65000000000009</v>
      </c>
    </row>
    <row r="1715" spans="1:9">
      <c r="A1715" t="str">
        <f t="shared" si="94"/>
        <v>MON</v>
      </c>
      <c r="B1715" t="str">
        <f>"64510000"</f>
        <v>64510000</v>
      </c>
      <c r="C1715" t="str">
        <f t="shared" si="95"/>
        <v>MON645100000</v>
      </c>
      <c r="E1715">
        <v>28145.32</v>
      </c>
      <c r="F1715">
        <v>0</v>
      </c>
      <c r="G1715">
        <f t="shared" si="96"/>
        <v>28145.32</v>
      </c>
    </row>
    <row r="1716" spans="1:9">
      <c r="A1716" t="str">
        <f t="shared" si="94"/>
        <v>MON</v>
      </c>
      <c r="B1716" t="str">
        <f>"64520000"</f>
        <v>64520000</v>
      </c>
      <c r="C1716" t="str">
        <f t="shared" si="95"/>
        <v>MON645200000</v>
      </c>
      <c r="E1716">
        <v>2642.26</v>
      </c>
      <c r="F1716">
        <v>0</v>
      </c>
      <c r="G1716">
        <f t="shared" si="96"/>
        <v>2642.26</v>
      </c>
    </row>
    <row r="1717" spans="1:9">
      <c r="A1717" t="str">
        <f t="shared" si="94"/>
        <v>MON</v>
      </c>
      <c r="B1717" t="str">
        <f>"64530000"</f>
        <v>64530000</v>
      </c>
      <c r="C1717" t="str">
        <f t="shared" si="95"/>
        <v>MON645300000</v>
      </c>
      <c r="E1717">
        <v>6068.78</v>
      </c>
      <c r="F1717">
        <v>0</v>
      </c>
      <c r="G1717">
        <f t="shared" si="96"/>
        <v>6068.78</v>
      </c>
    </row>
    <row r="1718" spans="1:9">
      <c r="A1718" t="str">
        <f t="shared" si="94"/>
        <v>MON</v>
      </c>
      <c r="B1718" t="str">
        <f>"64540000"</f>
        <v>64540000</v>
      </c>
      <c r="C1718" t="str">
        <f t="shared" si="95"/>
        <v>MON645400000</v>
      </c>
      <c r="E1718">
        <v>4113.7700000000004</v>
      </c>
      <c r="F1718">
        <v>0</v>
      </c>
      <c r="G1718">
        <f t="shared" si="96"/>
        <v>4113.7700000000004</v>
      </c>
    </row>
    <row r="1719" spans="1:9">
      <c r="A1719" t="str">
        <f t="shared" si="94"/>
        <v>MON</v>
      </c>
      <c r="B1719" t="str">
        <f>"64590000"</f>
        <v>64590000</v>
      </c>
      <c r="C1719" t="str">
        <f t="shared" si="95"/>
        <v>MON645900000</v>
      </c>
      <c r="E1719">
        <v>-105.79</v>
      </c>
      <c r="F1719">
        <v>0</v>
      </c>
      <c r="G1719">
        <f t="shared" si="96"/>
        <v>-105.79</v>
      </c>
    </row>
    <row r="1720" spans="1:9">
      <c r="A1720" t="str">
        <f t="shared" si="94"/>
        <v>MON</v>
      </c>
      <c r="B1720" t="str">
        <f>"64710000"</f>
        <v>64710000</v>
      </c>
      <c r="C1720" t="str">
        <f t="shared" si="95"/>
        <v>MON647100000</v>
      </c>
      <c r="E1720">
        <v>39.6</v>
      </c>
      <c r="F1720">
        <v>0</v>
      </c>
      <c r="G1720">
        <f t="shared" si="96"/>
        <v>39.6</v>
      </c>
    </row>
    <row r="1721" spans="1:9">
      <c r="A1721" t="str">
        <f t="shared" si="94"/>
        <v>MON</v>
      </c>
      <c r="B1721" t="str">
        <f>"64740000"</f>
        <v>64740000</v>
      </c>
      <c r="C1721" t="str">
        <f t="shared" si="95"/>
        <v>MON647400000</v>
      </c>
      <c r="E1721">
        <v>113.75</v>
      </c>
      <c r="F1721">
        <v>0</v>
      </c>
      <c r="G1721">
        <f t="shared" si="96"/>
        <v>113.75</v>
      </c>
    </row>
    <row r="1722" spans="1:9">
      <c r="A1722" t="str">
        <f>"MON"</f>
        <v>MON</v>
      </c>
      <c r="B1722" t="str">
        <f>"64750000"</f>
        <v>64750000</v>
      </c>
      <c r="C1722" t="str">
        <f t="shared" si="95"/>
        <v>MON647500000</v>
      </c>
      <c r="E1722">
        <v>518.82000000000005</v>
      </c>
      <c r="F1722">
        <v>0</v>
      </c>
      <c r="G1722">
        <f t="shared" si="96"/>
        <v>518.82000000000005</v>
      </c>
    </row>
    <row r="1723" spans="1:9">
      <c r="A1723" t="s">
        <v>530</v>
      </c>
      <c r="B1723" t="str">
        <f>"64800000"</f>
        <v>64800000</v>
      </c>
      <c r="C1723" t="str">
        <f t="shared" si="95"/>
        <v>MON648000000</v>
      </c>
      <c r="E1723" s="19">
        <v>192.27832000000001</v>
      </c>
      <c r="F1723"/>
      <c r="G1723" s="19">
        <f t="shared" si="96"/>
        <v>192.27832000000001</v>
      </c>
      <c r="H1723" s="433">
        <v>192.27832000000001</v>
      </c>
      <c r="I1723" s="113" t="s">
        <v>530</v>
      </c>
    </row>
    <row r="1724" spans="1:9">
      <c r="A1724" t="str">
        <f t="shared" ref="A1724:A1736" si="97">"MON"</f>
        <v>MON</v>
      </c>
      <c r="B1724" t="str">
        <f>"65160000"</f>
        <v>65160000</v>
      </c>
      <c r="C1724" t="str">
        <f t="shared" si="95"/>
        <v>MON651600000</v>
      </c>
      <c r="E1724">
        <v>191.46</v>
      </c>
      <c r="F1724">
        <v>0</v>
      </c>
      <c r="G1724">
        <f t="shared" si="96"/>
        <v>191.46</v>
      </c>
    </row>
    <row r="1725" spans="1:9">
      <c r="A1725" t="str">
        <f t="shared" si="97"/>
        <v>MON</v>
      </c>
      <c r="B1725" t="str">
        <f>"65410000"</f>
        <v>65410000</v>
      </c>
      <c r="C1725" t="str">
        <f t="shared" si="95"/>
        <v>MON654100000</v>
      </c>
      <c r="E1725">
        <v>8.5</v>
      </c>
      <c r="F1725">
        <v>0.89</v>
      </c>
      <c r="G1725">
        <f t="shared" si="96"/>
        <v>7.61</v>
      </c>
    </row>
    <row r="1726" spans="1:9">
      <c r="A1726" t="str">
        <f t="shared" si="97"/>
        <v>MON</v>
      </c>
      <c r="B1726" t="str">
        <f>"65440000"</f>
        <v>65440000</v>
      </c>
      <c r="C1726" t="str">
        <f t="shared" si="95"/>
        <v>MON654400000</v>
      </c>
      <c r="E1726">
        <v>2686.8</v>
      </c>
      <c r="F1726">
        <v>0</v>
      </c>
      <c r="G1726">
        <f t="shared" si="96"/>
        <v>2686.8</v>
      </c>
    </row>
    <row r="1727" spans="1:9">
      <c r="A1727" t="str">
        <f t="shared" si="97"/>
        <v>MON</v>
      </c>
      <c r="B1727" t="str">
        <f>"65800000"</f>
        <v>65800000</v>
      </c>
      <c r="C1727" t="str">
        <f t="shared" si="95"/>
        <v>MON658000000</v>
      </c>
      <c r="E1727">
        <v>25149.21</v>
      </c>
      <c r="F1727">
        <v>0</v>
      </c>
      <c r="G1727">
        <f t="shared" si="96"/>
        <v>25149.21</v>
      </c>
    </row>
    <row r="1728" spans="1:9">
      <c r="A1728" t="str">
        <f t="shared" si="97"/>
        <v>MON</v>
      </c>
      <c r="B1728" t="str">
        <f>"66500000"</f>
        <v>66500000</v>
      </c>
      <c r="C1728" t="str">
        <f t="shared" si="95"/>
        <v>MON665000000</v>
      </c>
      <c r="E1728">
        <v>15.47</v>
      </c>
      <c r="F1728">
        <v>0</v>
      </c>
      <c r="G1728">
        <f t="shared" si="96"/>
        <v>15.47</v>
      </c>
    </row>
    <row r="1729" spans="1:7">
      <c r="A1729" t="str">
        <f t="shared" si="97"/>
        <v>MON</v>
      </c>
      <c r="B1729" t="str">
        <f>"66510000"</f>
        <v>66510000</v>
      </c>
      <c r="C1729" t="str">
        <f t="shared" si="95"/>
        <v>MON665100000</v>
      </c>
      <c r="E1729">
        <v>140.84</v>
      </c>
      <c r="F1729">
        <v>0</v>
      </c>
      <c r="G1729">
        <f t="shared" si="96"/>
        <v>140.84</v>
      </c>
    </row>
    <row r="1730" spans="1:7">
      <c r="A1730" t="str">
        <f t="shared" si="97"/>
        <v>MON</v>
      </c>
      <c r="B1730" t="str">
        <f>"67180000"</f>
        <v>67180000</v>
      </c>
      <c r="C1730" t="str">
        <f t="shared" si="95"/>
        <v>MON671800000</v>
      </c>
      <c r="E1730">
        <v>-3.5</v>
      </c>
      <c r="F1730">
        <v>0</v>
      </c>
      <c r="G1730">
        <f t="shared" si="96"/>
        <v>-3.5</v>
      </c>
    </row>
    <row r="1731" spans="1:7">
      <c r="A1731" t="str">
        <f t="shared" si="97"/>
        <v>MON</v>
      </c>
      <c r="B1731" t="str">
        <f>"67520000"</f>
        <v>67520000</v>
      </c>
      <c r="C1731" t="str">
        <f t="shared" ref="C1731:C1794" si="98">+A1731&amp;B1731*10</f>
        <v>MON675200000</v>
      </c>
      <c r="E1731">
        <v>11418.54</v>
      </c>
      <c r="F1731">
        <v>0</v>
      </c>
      <c r="G1731">
        <f t="shared" ref="G1731:G1794" si="99">+E1731-F1731</f>
        <v>11418.54</v>
      </c>
    </row>
    <row r="1732" spans="1:7">
      <c r="A1732" t="str">
        <f t="shared" si="97"/>
        <v>MON</v>
      </c>
      <c r="B1732" t="str">
        <f>"68112000"</f>
        <v>68112000</v>
      </c>
      <c r="C1732" t="str">
        <f t="shared" si="98"/>
        <v>MON681120000</v>
      </c>
      <c r="E1732">
        <v>5077.04</v>
      </c>
      <c r="F1732">
        <v>0</v>
      </c>
      <c r="G1732">
        <f t="shared" si="99"/>
        <v>5077.04</v>
      </c>
    </row>
    <row r="1733" spans="1:7">
      <c r="A1733" t="str">
        <f t="shared" si="97"/>
        <v>MON</v>
      </c>
      <c r="B1733" t="str">
        <f>"68150000"</f>
        <v>68150000</v>
      </c>
      <c r="C1733" t="str">
        <f t="shared" si="98"/>
        <v>MON681500000</v>
      </c>
      <c r="E1733">
        <v>21300</v>
      </c>
      <c r="F1733">
        <v>0</v>
      </c>
      <c r="G1733">
        <f t="shared" si="99"/>
        <v>21300</v>
      </c>
    </row>
    <row r="1734" spans="1:7">
      <c r="A1734" t="str">
        <f t="shared" si="97"/>
        <v>MON</v>
      </c>
      <c r="B1734" t="str">
        <f>"68173000"</f>
        <v>68173000</v>
      </c>
      <c r="C1734" t="str">
        <f t="shared" si="98"/>
        <v>MON681730000</v>
      </c>
      <c r="E1734">
        <v>12087.76</v>
      </c>
      <c r="F1734">
        <v>0</v>
      </c>
      <c r="G1734">
        <f t="shared" si="99"/>
        <v>12087.76</v>
      </c>
    </row>
    <row r="1735" spans="1:7">
      <c r="A1735" t="str">
        <f t="shared" si="97"/>
        <v>MON</v>
      </c>
      <c r="B1735" t="str">
        <f>"68174000"</f>
        <v>68174000</v>
      </c>
      <c r="C1735" t="str">
        <f t="shared" si="98"/>
        <v>MON681740000</v>
      </c>
      <c r="E1735">
        <v>39650.120000000003</v>
      </c>
      <c r="F1735">
        <v>0</v>
      </c>
      <c r="G1735">
        <f t="shared" si="99"/>
        <v>39650.120000000003</v>
      </c>
    </row>
    <row r="1736" spans="1:7">
      <c r="A1736" t="str">
        <f t="shared" si="97"/>
        <v>MON</v>
      </c>
      <c r="B1736" t="str">
        <f>"68725000"</f>
        <v>68725000</v>
      </c>
      <c r="C1736" t="str">
        <f t="shared" si="98"/>
        <v>MON687250000</v>
      </c>
      <c r="E1736">
        <v>1987.89</v>
      </c>
      <c r="F1736">
        <v>0</v>
      </c>
      <c r="G1736">
        <f t="shared" si="99"/>
        <v>1987.89</v>
      </c>
    </row>
    <row r="1737" spans="1:7">
      <c r="A1737" t="str">
        <f t="shared" ref="A1737:A1800" si="100">"NAN"</f>
        <v>NAN</v>
      </c>
      <c r="B1737" t="str">
        <f>"60222000"</f>
        <v>60222000</v>
      </c>
      <c r="C1737" t="str">
        <f t="shared" si="98"/>
        <v>NAN602220000</v>
      </c>
      <c r="E1737">
        <v>263.52</v>
      </c>
      <c r="F1737">
        <v>0</v>
      </c>
      <c r="G1737">
        <f t="shared" si="99"/>
        <v>263.52</v>
      </c>
    </row>
    <row r="1738" spans="1:7">
      <c r="A1738" t="str">
        <f t="shared" si="100"/>
        <v>NAN</v>
      </c>
      <c r="B1738" t="str">
        <f>"60610000"</f>
        <v>60610000</v>
      </c>
      <c r="C1738" t="str">
        <f t="shared" si="98"/>
        <v>NAN606100000</v>
      </c>
      <c r="E1738">
        <v>4557.51</v>
      </c>
      <c r="F1738">
        <v>0</v>
      </c>
      <c r="G1738">
        <f t="shared" si="99"/>
        <v>4557.51</v>
      </c>
    </row>
    <row r="1739" spans="1:7">
      <c r="A1739" t="str">
        <f t="shared" si="100"/>
        <v>NAN</v>
      </c>
      <c r="B1739" t="str">
        <f>"60611000"</f>
        <v>60611000</v>
      </c>
      <c r="C1739" t="str">
        <f t="shared" si="98"/>
        <v>NAN606110000</v>
      </c>
      <c r="E1739">
        <v>6567.2</v>
      </c>
      <c r="F1739">
        <v>0</v>
      </c>
      <c r="G1739">
        <f t="shared" si="99"/>
        <v>6567.2</v>
      </c>
    </row>
    <row r="1740" spans="1:7">
      <c r="A1740" t="str">
        <f t="shared" si="100"/>
        <v>NAN</v>
      </c>
      <c r="B1740" t="str">
        <f>"60613000"</f>
        <v>60613000</v>
      </c>
      <c r="C1740" t="str">
        <f t="shared" si="98"/>
        <v>NAN606130000</v>
      </c>
      <c r="E1740">
        <v>3312.92</v>
      </c>
      <c r="F1740">
        <v>0</v>
      </c>
      <c r="G1740">
        <f t="shared" si="99"/>
        <v>3312.92</v>
      </c>
    </row>
    <row r="1741" spans="1:7">
      <c r="A1741" t="str">
        <f t="shared" si="100"/>
        <v>NAN</v>
      </c>
      <c r="B1741" t="str">
        <f>"60614100"</f>
        <v>60614100</v>
      </c>
      <c r="C1741" t="str">
        <f t="shared" si="98"/>
        <v>NAN606141000</v>
      </c>
      <c r="E1741">
        <v>147.80000000000001</v>
      </c>
      <c r="F1741">
        <v>0</v>
      </c>
      <c r="G1741">
        <f t="shared" si="99"/>
        <v>147.80000000000001</v>
      </c>
    </row>
    <row r="1742" spans="1:7">
      <c r="A1742" t="str">
        <f t="shared" si="100"/>
        <v>NAN</v>
      </c>
      <c r="B1742" t="str">
        <f>"60631000"</f>
        <v>60631000</v>
      </c>
      <c r="C1742" t="str">
        <f t="shared" si="98"/>
        <v>NAN606310000</v>
      </c>
      <c r="E1742">
        <v>113.45</v>
      </c>
      <c r="F1742">
        <v>0</v>
      </c>
      <c r="G1742">
        <f t="shared" si="99"/>
        <v>113.45</v>
      </c>
    </row>
    <row r="1743" spans="1:7">
      <c r="A1743" t="str">
        <f t="shared" si="100"/>
        <v>NAN</v>
      </c>
      <c r="B1743" t="str">
        <f>"60641000"</f>
        <v>60641000</v>
      </c>
      <c r="C1743" t="str">
        <f t="shared" si="98"/>
        <v>NAN606410000</v>
      </c>
      <c r="E1743">
        <v>3654.33</v>
      </c>
      <c r="F1743">
        <v>0</v>
      </c>
      <c r="G1743">
        <f t="shared" si="99"/>
        <v>3654.33</v>
      </c>
    </row>
    <row r="1744" spans="1:7">
      <c r="A1744" t="str">
        <f t="shared" si="100"/>
        <v>NAN</v>
      </c>
      <c r="B1744" t="str">
        <f>"60710000"</f>
        <v>60710000</v>
      </c>
      <c r="C1744" t="str">
        <f t="shared" si="98"/>
        <v>NAN607100000</v>
      </c>
      <c r="E1744">
        <v>314120.32000000001</v>
      </c>
      <c r="F1744">
        <v>172.08</v>
      </c>
      <c r="G1744">
        <f t="shared" si="99"/>
        <v>313948.24</v>
      </c>
    </row>
    <row r="1745" spans="1:9">
      <c r="A1745" t="str">
        <f t="shared" si="100"/>
        <v>NAN</v>
      </c>
      <c r="B1745" t="str">
        <f>"60711000"</f>
        <v>60711000</v>
      </c>
      <c r="C1745" t="str">
        <f t="shared" si="98"/>
        <v>NAN607110000</v>
      </c>
      <c r="E1745">
        <v>24061.57</v>
      </c>
      <c r="F1745">
        <v>0</v>
      </c>
      <c r="G1745">
        <f t="shared" si="99"/>
        <v>24061.57</v>
      </c>
      <c r="I1745" s="353"/>
    </row>
    <row r="1746" spans="1:9">
      <c r="A1746" t="str">
        <f t="shared" si="100"/>
        <v>NAN</v>
      </c>
      <c r="B1746" t="str">
        <f>"60712000"</f>
        <v>60712000</v>
      </c>
      <c r="C1746" t="str">
        <f t="shared" si="98"/>
        <v>NAN607120000</v>
      </c>
      <c r="E1746">
        <v>0</v>
      </c>
      <c r="F1746">
        <v>0</v>
      </c>
      <c r="G1746">
        <f t="shared" si="99"/>
        <v>0</v>
      </c>
    </row>
    <row r="1747" spans="1:9">
      <c r="A1747" t="str">
        <f t="shared" si="100"/>
        <v>NAN</v>
      </c>
      <c r="B1747" t="str">
        <f>"60713000"</f>
        <v>60713000</v>
      </c>
      <c r="C1747" t="str">
        <f t="shared" si="98"/>
        <v>NAN607130000</v>
      </c>
      <c r="E1747">
        <v>30633</v>
      </c>
      <c r="F1747">
        <v>0</v>
      </c>
      <c r="G1747">
        <f t="shared" si="99"/>
        <v>30633</v>
      </c>
    </row>
    <row r="1748" spans="1:9">
      <c r="A1748" t="str">
        <f t="shared" si="100"/>
        <v>NAN</v>
      </c>
      <c r="B1748" t="str">
        <f>"60714000"</f>
        <v>60714000</v>
      </c>
      <c r="C1748" t="str">
        <f t="shared" si="98"/>
        <v>NAN607140000</v>
      </c>
      <c r="E1748">
        <v>-1730</v>
      </c>
      <c r="F1748">
        <v>0</v>
      </c>
      <c r="G1748">
        <f t="shared" si="99"/>
        <v>-1730</v>
      </c>
    </row>
    <row r="1749" spans="1:9">
      <c r="A1749" t="str">
        <f t="shared" si="100"/>
        <v>NAN</v>
      </c>
      <c r="B1749" t="str">
        <f>"60720000"</f>
        <v>60720000</v>
      </c>
      <c r="C1749" t="str">
        <f t="shared" si="98"/>
        <v>NAN607200000</v>
      </c>
      <c r="E1749">
        <v>215776.77</v>
      </c>
      <c r="F1749">
        <v>0</v>
      </c>
      <c r="G1749">
        <f t="shared" si="99"/>
        <v>215776.77</v>
      </c>
    </row>
    <row r="1750" spans="1:9">
      <c r="A1750" t="str">
        <f t="shared" si="100"/>
        <v>NAN</v>
      </c>
      <c r="B1750" t="str">
        <f>"60740000"</f>
        <v>60740000</v>
      </c>
      <c r="C1750" t="str">
        <f t="shared" si="98"/>
        <v>NAN607400000</v>
      </c>
      <c r="E1750">
        <v>7553.77</v>
      </c>
      <c r="F1750">
        <v>35</v>
      </c>
      <c r="G1750">
        <f t="shared" si="99"/>
        <v>7518.77</v>
      </c>
    </row>
    <row r="1751" spans="1:9">
      <c r="A1751" t="str">
        <f t="shared" si="100"/>
        <v>NAN</v>
      </c>
      <c r="B1751" t="str">
        <f>"60800000"</f>
        <v>60800000</v>
      </c>
      <c r="C1751" t="str">
        <f t="shared" si="98"/>
        <v>NAN608000000</v>
      </c>
      <c r="E1751">
        <v>1375.83</v>
      </c>
      <c r="F1751">
        <v>0</v>
      </c>
      <c r="G1751">
        <f t="shared" si="99"/>
        <v>1375.83</v>
      </c>
    </row>
    <row r="1752" spans="1:9">
      <c r="A1752" t="str">
        <f t="shared" si="100"/>
        <v>NAN</v>
      </c>
      <c r="B1752" t="str">
        <f>"60911000"</f>
        <v>60911000</v>
      </c>
      <c r="C1752" t="str">
        <f t="shared" si="98"/>
        <v>NAN609110000</v>
      </c>
      <c r="E1752">
        <v>-7549.4</v>
      </c>
      <c r="F1752">
        <v>0</v>
      </c>
      <c r="G1752">
        <f t="shared" si="99"/>
        <v>-7549.4</v>
      </c>
    </row>
    <row r="1753" spans="1:9">
      <c r="A1753" t="str">
        <f t="shared" si="100"/>
        <v>NAN</v>
      </c>
      <c r="B1753" t="str">
        <f>"60912000"</f>
        <v>60912000</v>
      </c>
      <c r="C1753" t="str">
        <f t="shared" si="98"/>
        <v>NAN609120000</v>
      </c>
      <c r="E1753">
        <v>-15130.37</v>
      </c>
      <c r="F1753">
        <v>0</v>
      </c>
      <c r="G1753">
        <f t="shared" si="99"/>
        <v>-15130.37</v>
      </c>
    </row>
    <row r="1754" spans="1:9">
      <c r="A1754" t="str">
        <f t="shared" si="100"/>
        <v>NAN</v>
      </c>
      <c r="B1754" t="str">
        <f>"60913000"</f>
        <v>60913000</v>
      </c>
      <c r="C1754" t="str">
        <f t="shared" si="98"/>
        <v>NAN609130000</v>
      </c>
      <c r="E1754">
        <v>-8645.93</v>
      </c>
      <c r="F1754">
        <v>0</v>
      </c>
      <c r="G1754">
        <f t="shared" si="99"/>
        <v>-8645.93</v>
      </c>
    </row>
    <row r="1755" spans="1:9">
      <c r="A1755" t="str">
        <f t="shared" si="100"/>
        <v>NAN</v>
      </c>
      <c r="B1755" t="str">
        <f>"61100000"</f>
        <v>61100000</v>
      </c>
      <c r="C1755" t="str">
        <f t="shared" si="98"/>
        <v>NAN611000000</v>
      </c>
      <c r="E1755">
        <v>546.32000000000005</v>
      </c>
      <c r="F1755">
        <v>0</v>
      </c>
      <c r="G1755">
        <f t="shared" si="99"/>
        <v>546.32000000000005</v>
      </c>
    </row>
    <row r="1756" spans="1:9">
      <c r="A1756" t="str">
        <f t="shared" si="100"/>
        <v>NAN</v>
      </c>
      <c r="B1756" t="str">
        <f>"61320000"</f>
        <v>61320000</v>
      </c>
      <c r="C1756" t="str">
        <f t="shared" si="98"/>
        <v>NAN613200000</v>
      </c>
      <c r="E1756">
        <v>51956.88</v>
      </c>
      <c r="F1756">
        <v>0</v>
      </c>
      <c r="G1756">
        <f t="shared" si="99"/>
        <v>51956.88</v>
      </c>
    </row>
    <row r="1757" spans="1:9">
      <c r="A1757" t="str">
        <f t="shared" si="100"/>
        <v>NAN</v>
      </c>
      <c r="B1757" t="str">
        <f>"61351000"</f>
        <v>61351000</v>
      </c>
      <c r="C1757" t="str">
        <f t="shared" si="98"/>
        <v>NAN613510000</v>
      </c>
      <c r="E1757">
        <v>-691.32</v>
      </c>
      <c r="F1757">
        <v>0</v>
      </c>
      <c r="G1757">
        <f t="shared" si="99"/>
        <v>-691.32</v>
      </c>
    </row>
    <row r="1758" spans="1:9">
      <c r="A1758" t="str">
        <f t="shared" si="100"/>
        <v>NAN</v>
      </c>
      <c r="B1758" t="str">
        <f>"61352000"</f>
        <v>61352000</v>
      </c>
      <c r="C1758" t="str">
        <f t="shared" si="98"/>
        <v>NAN613520000</v>
      </c>
      <c r="E1758">
        <v>3524.62</v>
      </c>
      <c r="F1758">
        <v>0</v>
      </c>
      <c r="G1758">
        <f t="shared" si="99"/>
        <v>3524.62</v>
      </c>
    </row>
    <row r="1759" spans="1:9">
      <c r="A1759" t="str">
        <f t="shared" si="100"/>
        <v>NAN</v>
      </c>
      <c r="B1759" t="str">
        <f>"61353000"</f>
        <v>61353000</v>
      </c>
      <c r="C1759" t="str">
        <f t="shared" si="98"/>
        <v>NAN613530000</v>
      </c>
      <c r="E1759">
        <v>858.96</v>
      </c>
      <c r="F1759">
        <v>0</v>
      </c>
      <c r="G1759">
        <f t="shared" si="99"/>
        <v>858.96</v>
      </c>
    </row>
    <row r="1760" spans="1:9">
      <c r="A1760" t="str">
        <f t="shared" si="100"/>
        <v>NAN</v>
      </c>
      <c r="B1760" t="str">
        <f>"61354000"</f>
        <v>61354000</v>
      </c>
      <c r="C1760" t="str">
        <f t="shared" si="98"/>
        <v>NAN613540000</v>
      </c>
      <c r="E1760">
        <v>552.53</v>
      </c>
      <c r="F1760">
        <v>0</v>
      </c>
      <c r="G1760">
        <f t="shared" si="99"/>
        <v>552.53</v>
      </c>
    </row>
    <row r="1761" spans="1:7">
      <c r="A1761" t="str">
        <f t="shared" si="100"/>
        <v>NAN</v>
      </c>
      <c r="B1761" t="str">
        <f>"61520000"</f>
        <v>61520000</v>
      </c>
      <c r="C1761" t="str">
        <f t="shared" si="98"/>
        <v>NAN615200000</v>
      </c>
      <c r="E1761">
        <v>6137.76</v>
      </c>
      <c r="F1761">
        <v>0</v>
      </c>
      <c r="G1761">
        <f t="shared" si="99"/>
        <v>6137.76</v>
      </c>
    </row>
    <row r="1762" spans="1:7">
      <c r="A1762" t="str">
        <f t="shared" si="100"/>
        <v>NAN</v>
      </c>
      <c r="B1762" t="str">
        <f>"61550000"</f>
        <v>61550000</v>
      </c>
      <c r="C1762" t="str">
        <f t="shared" si="98"/>
        <v>NAN615500000</v>
      </c>
      <c r="E1762">
        <v>934</v>
      </c>
      <c r="F1762">
        <v>14</v>
      </c>
      <c r="G1762">
        <f t="shared" si="99"/>
        <v>920</v>
      </c>
    </row>
    <row r="1763" spans="1:7">
      <c r="A1763" t="str">
        <f t="shared" si="100"/>
        <v>NAN</v>
      </c>
      <c r="B1763" t="str">
        <f>"61551000"</f>
        <v>61551000</v>
      </c>
      <c r="C1763" t="str">
        <f t="shared" si="98"/>
        <v>NAN615510000</v>
      </c>
      <c r="E1763">
        <v>1112.1199999999999</v>
      </c>
      <c r="F1763">
        <v>0</v>
      </c>
      <c r="G1763">
        <f t="shared" si="99"/>
        <v>1112.1199999999999</v>
      </c>
    </row>
    <row r="1764" spans="1:7">
      <c r="A1764" t="str">
        <f t="shared" si="100"/>
        <v>NAN</v>
      </c>
      <c r="B1764" t="str">
        <f>"61552000"</f>
        <v>61552000</v>
      </c>
      <c r="C1764" t="str">
        <f t="shared" si="98"/>
        <v>NAN615520000</v>
      </c>
      <c r="E1764">
        <v>4026.84</v>
      </c>
      <c r="F1764">
        <v>0</v>
      </c>
      <c r="G1764">
        <f t="shared" si="99"/>
        <v>4026.84</v>
      </c>
    </row>
    <row r="1765" spans="1:7">
      <c r="A1765" t="str">
        <f t="shared" si="100"/>
        <v>NAN</v>
      </c>
      <c r="B1765" t="str">
        <f>"61553000"</f>
        <v>61553000</v>
      </c>
      <c r="C1765" t="str">
        <f t="shared" si="98"/>
        <v>NAN615530000</v>
      </c>
      <c r="E1765">
        <v>4.18</v>
      </c>
      <c r="F1765">
        <v>0</v>
      </c>
      <c r="G1765">
        <f t="shared" si="99"/>
        <v>4.18</v>
      </c>
    </row>
    <row r="1766" spans="1:7">
      <c r="A1766" t="str">
        <f t="shared" si="100"/>
        <v>NAN</v>
      </c>
      <c r="B1766" t="str">
        <f>"61612000"</f>
        <v>61612000</v>
      </c>
      <c r="C1766" t="str">
        <f t="shared" si="98"/>
        <v>NAN616120000</v>
      </c>
      <c r="E1766">
        <v>1452.74</v>
      </c>
      <c r="F1766">
        <v>0</v>
      </c>
      <c r="G1766">
        <f t="shared" si="99"/>
        <v>1452.74</v>
      </c>
    </row>
    <row r="1767" spans="1:7">
      <c r="A1767" t="str">
        <f t="shared" si="100"/>
        <v>NAN</v>
      </c>
      <c r="B1767" t="str">
        <f>"61613000"</f>
        <v>61613000</v>
      </c>
      <c r="C1767" t="str">
        <f t="shared" si="98"/>
        <v>NAN616130000</v>
      </c>
      <c r="E1767">
        <v>5535.68</v>
      </c>
      <c r="F1767">
        <v>561.61</v>
      </c>
      <c r="G1767">
        <f t="shared" si="99"/>
        <v>4974.0700000000006</v>
      </c>
    </row>
    <row r="1768" spans="1:7">
      <c r="A1768" t="str">
        <f t="shared" si="100"/>
        <v>NAN</v>
      </c>
      <c r="B1768" t="str">
        <f>"61810000"</f>
        <v>61810000</v>
      </c>
      <c r="C1768" t="str">
        <f t="shared" si="98"/>
        <v>NAN618100000</v>
      </c>
      <c r="E1768">
        <v>371.47</v>
      </c>
      <c r="F1768">
        <v>0</v>
      </c>
      <c r="G1768">
        <f t="shared" si="99"/>
        <v>371.47</v>
      </c>
    </row>
    <row r="1769" spans="1:7">
      <c r="A1769" t="str">
        <f t="shared" si="100"/>
        <v>NAN</v>
      </c>
      <c r="B1769" t="str">
        <f>"61850000"</f>
        <v>61850000</v>
      </c>
      <c r="C1769" t="str">
        <f t="shared" si="98"/>
        <v>NAN618500000</v>
      </c>
      <c r="E1769">
        <v>430.96</v>
      </c>
      <c r="F1769">
        <v>0</v>
      </c>
      <c r="G1769">
        <f t="shared" si="99"/>
        <v>430.96</v>
      </c>
    </row>
    <row r="1770" spans="1:7">
      <c r="A1770" t="str">
        <f t="shared" si="100"/>
        <v>NAN</v>
      </c>
      <c r="B1770" t="str">
        <f>"62270000"</f>
        <v>62270000</v>
      </c>
      <c r="C1770" t="str">
        <f t="shared" si="98"/>
        <v>NAN622700000</v>
      </c>
      <c r="E1770">
        <v>475.41</v>
      </c>
      <c r="F1770">
        <v>0</v>
      </c>
      <c r="G1770">
        <f t="shared" si="99"/>
        <v>475.41</v>
      </c>
    </row>
    <row r="1771" spans="1:7">
      <c r="A1771" t="str">
        <f t="shared" si="100"/>
        <v>NAN</v>
      </c>
      <c r="B1771" t="str">
        <f>"62310000"</f>
        <v>62310000</v>
      </c>
      <c r="C1771" t="str">
        <f t="shared" si="98"/>
        <v>NAN623100000</v>
      </c>
      <c r="E1771">
        <v>1302</v>
      </c>
      <c r="F1771">
        <v>0</v>
      </c>
      <c r="G1771">
        <f t="shared" si="99"/>
        <v>1302</v>
      </c>
    </row>
    <row r="1772" spans="1:7">
      <c r="A1772" t="str">
        <f t="shared" si="100"/>
        <v>NAN</v>
      </c>
      <c r="B1772" t="str">
        <f>"62320000"</f>
        <v>62320000</v>
      </c>
      <c r="C1772" t="str">
        <f t="shared" si="98"/>
        <v>NAN623200000</v>
      </c>
      <c r="E1772">
        <v>5943.66</v>
      </c>
      <c r="F1772">
        <v>0</v>
      </c>
      <c r="G1772">
        <f t="shared" si="99"/>
        <v>5943.66</v>
      </c>
    </row>
    <row r="1773" spans="1:7">
      <c r="A1773" t="str">
        <f t="shared" si="100"/>
        <v>NAN</v>
      </c>
      <c r="B1773" t="str">
        <f>"62341000"</f>
        <v>62341000</v>
      </c>
      <c r="C1773" t="str">
        <f t="shared" si="98"/>
        <v>NAN623410000</v>
      </c>
      <c r="E1773">
        <v>11552.54</v>
      </c>
      <c r="F1773">
        <v>0</v>
      </c>
      <c r="G1773">
        <f t="shared" si="99"/>
        <v>11552.54</v>
      </c>
    </row>
    <row r="1774" spans="1:7">
      <c r="A1774" t="str">
        <f t="shared" si="100"/>
        <v>NAN</v>
      </c>
      <c r="B1774" t="str">
        <f>"62342000"</f>
        <v>62342000</v>
      </c>
      <c r="C1774" t="str">
        <f t="shared" si="98"/>
        <v>NAN623420000</v>
      </c>
      <c r="E1774">
        <v>-371.73</v>
      </c>
      <c r="F1774">
        <v>0</v>
      </c>
      <c r="G1774">
        <f t="shared" si="99"/>
        <v>-371.73</v>
      </c>
    </row>
    <row r="1775" spans="1:7">
      <c r="A1775" t="str">
        <f t="shared" si="100"/>
        <v>NAN</v>
      </c>
      <c r="B1775" t="str">
        <f>"62370000"</f>
        <v>62370000</v>
      </c>
      <c r="C1775" t="str">
        <f t="shared" si="98"/>
        <v>NAN623700000</v>
      </c>
      <c r="E1775">
        <v>558.91</v>
      </c>
      <c r="F1775">
        <v>-749.6</v>
      </c>
      <c r="G1775">
        <f t="shared" si="99"/>
        <v>1308.51</v>
      </c>
    </row>
    <row r="1776" spans="1:7">
      <c r="A1776" t="str">
        <f t="shared" si="100"/>
        <v>NAN</v>
      </c>
      <c r="B1776" t="str">
        <f>"62380000"</f>
        <v>62380000</v>
      </c>
      <c r="C1776" t="str">
        <f t="shared" si="98"/>
        <v>NAN623800000</v>
      </c>
      <c r="E1776">
        <v>180</v>
      </c>
      <c r="F1776">
        <v>0</v>
      </c>
      <c r="G1776">
        <f t="shared" si="99"/>
        <v>180</v>
      </c>
    </row>
    <row r="1777" spans="1:7">
      <c r="A1777" t="str">
        <f t="shared" si="100"/>
        <v>NAN</v>
      </c>
      <c r="B1777" t="str">
        <f>"62381000"</f>
        <v>62381000</v>
      </c>
      <c r="C1777" t="str">
        <f t="shared" si="98"/>
        <v>NAN623810000</v>
      </c>
      <c r="E1777">
        <v>-2833.16</v>
      </c>
      <c r="F1777">
        <v>0</v>
      </c>
      <c r="G1777">
        <f t="shared" si="99"/>
        <v>-2833.16</v>
      </c>
    </row>
    <row r="1778" spans="1:7">
      <c r="A1778" t="str">
        <f t="shared" si="100"/>
        <v>NAN</v>
      </c>
      <c r="B1778" t="str">
        <f>"62420000"</f>
        <v>62420000</v>
      </c>
      <c r="C1778" t="str">
        <f t="shared" si="98"/>
        <v>NAN624200000</v>
      </c>
      <c r="E1778">
        <v>270.41000000000003</v>
      </c>
      <c r="F1778">
        <v>0</v>
      </c>
      <c r="G1778">
        <f t="shared" si="99"/>
        <v>270.41000000000003</v>
      </c>
    </row>
    <row r="1779" spans="1:7">
      <c r="A1779" t="str">
        <f t="shared" si="100"/>
        <v>NAN</v>
      </c>
      <c r="B1779" t="str">
        <f>"62510000"</f>
        <v>62510000</v>
      </c>
      <c r="C1779" t="str">
        <f t="shared" si="98"/>
        <v>NAN625100000</v>
      </c>
      <c r="E1779">
        <v>7782.84</v>
      </c>
      <c r="F1779">
        <v>0</v>
      </c>
      <c r="G1779">
        <f t="shared" si="99"/>
        <v>7782.84</v>
      </c>
    </row>
    <row r="1780" spans="1:7">
      <c r="A1780" t="str">
        <f t="shared" si="100"/>
        <v>NAN</v>
      </c>
      <c r="B1780" t="str">
        <f>"62520000"</f>
        <v>62520000</v>
      </c>
      <c r="C1780" t="str">
        <f t="shared" si="98"/>
        <v>NAN625200000</v>
      </c>
      <c r="E1780">
        <v>454.42</v>
      </c>
      <c r="F1780">
        <v>0</v>
      </c>
      <c r="G1780">
        <f t="shared" si="99"/>
        <v>454.42</v>
      </c>
    </row>
    <row r="1781" spans="1:7">
      <c r="A1781" t="str">
        <f t="shared" si="100"/>
        <v>NAN</v>
      </c>
      <c r="B1781" t="str">
        <f>"62560000"</f>
        <v>62560000</v>
      </c>
      <c r="C1781" t="str">
        <f t="shared" si="98"/>
        <v>NAN625600000</v>
      </c>
      <c r="E1781">
        <v>25.23</v>
      </c>
      <c r="F1781">
        <v>0</v>
      </c>
      <c r="G1781">
        <f t="shared" si="99"/>
        <v>25.23</v>
      </c>
    </row>
    <row r="1782" spans="1:7">
      <c r="A1782" t="str">
        <f t="shared" si="100"/>
        <v>NAN</v>
      </c>
      <c r="B1782" t="str">
        <f>"62570000"</f>
        <v>62570000</v>
      </c>
      <c r="C1782" t="str">
        <f t="shared" si="98"/>
        <v>NAN625700000</v>
      </c>
      <c r="E1782">
        <v>4412.92</v>
      </c>
      <c r="F1782">
        <v>0</v>
      </c>
      <c r="G1782">
        <f t="shared" si="99"/>
        <v>4412.92</v>
      </c>
    </row>
    <row r="1783" spans="1:7">
      <c r="A1783" t="str">
        <f t="shared" si="100"/>
        <v>NAN</v>
      </c>
      <c r="B1783" t="str">
        <f>"62571000"</f>
        <v>62571000</v>
      </c>
      <c r="C1783" t="str">
        <f t="shared" si="98"/>
        <v>NAN625710000</v>
      </c>
      <c r="E1783">
        <v>2302.13</v>
      </c>
      <c r="F1783">
        <v>0</v>
      </c>
      <c r="G1783">
        <f t="shared" si="99"/>
        <v>2302.13</v>
      </c>
    </row>
    <row r="1784" spans="1:7">
      <c r="A1784" t="str">
        <f t="shared" si="100"/>
        <v>NAN</v>
      </c>
      <c r="B1784" t="str">
        <f>"62600000"</f>
        <v>62600000</v>
      </c>
      <c r="C1784" t="str">
        <f t="shared" si="98"/>
        <v>NAN626000000</v>
      </c>
      <c r="E1784">
        <v>5661.04</v>
      </c>
      <c r="F1784">
        <v>0</v>
      </c>
      <c r="G1784">
        <f t="shared" si="99"/>
        <v>5661.04</v>
      </c>
    </row>
    <row r="1785" spans="1:7">
      <c r="A1785" t="str">
        <f t="shared" si="100"/>
        <v>NAN</v>
      </c>
      <c r="B1785" t="str">
        <f>"62610000"</f>
        <v>62610000</v>
      </c>
      <c r="C1785" t="str">
        <f t="shared" si="98"/>
        <v>NAN626100000</v>
      </c>
      <c r="E1785">
        <v>788.79</v>
      </c>
      <c r="F1785">
        <v>0</v>
      </c>
      <c r="G1785">
        <f t="shared" si="99"/>
        <v>788.79</v>
      </c>
    </row>
    <row r="1786" spans="1:7">
      <c r="A1786" t="str">
        <f t="shared" si="100"/>
        <v>NAN</v>
      </c>
      <c r="B1786" t="str">
        <f>"62752000"</f>
        <v>62752000</v>
      </c>
      <c r="C1786" t="str">
        <f t="shared" si="98"/>
        <v>NAN627520000</v>
      </c>
      <c r="E1786">
        <v>334.9</v>
      </c>
      <c r="F1786">
        <v>0</v>
      </c>
      <c r="G1786">
        <f t="shared" si="99"/>
        <v>334.9</v>
      </c>
    </row>
    <row r="1787" spans="1:7">
      <c r="A1787" t="str">
        <f t="shared" si="100"/>
        <v>NAN</v>
      </c>
      <c r="B1787" t="str">
        <f>"63330000"</f>
        <v>63330000</v>
      </c>
      <c r="C1787" t="str">
        <f t="shared" si="98"/>
        <v>NAN633300000</v>
      </c>
      <c r="E1787">
        <v>897</v>
      </c>
      <c r="F1787">
        <v>0</v>
      </c>
      <c r="G1787">
        <f t="shared" si="99"/>
        <v>897</v>
      </c>
    </row>
    <row r="1788" spans="1:7">
      <c r="A1788" t="str">
        <f t="shared" si="100"/>
        <v>NAN</v>
      </c>
      <c r="B1788" t="str">
        <f>"63340000"</f>
        <v>63340000</v>
      </c>
      <c r="C1788" t="str">
        <f t="shared" si="98"/>
        <v>NAN633400000</v>
      </c>
      <c r="E1788">
        <v>494</v>
      </c>
      <c r="F1788">
        <v>0</v>
      </c>
      <c r="G1788">
        <f t="shared" si="99"/>
        <v>494</v>
      </c>
    </row>
    <row r="1789" spans="1:7">
      <c r="A1789" t="str">
        <f t="shared" si="100"/>
        <v>NAN</v>
      </c>
      <c r="B1789" t="str">
        <f>"63350000"</f>
        <v>63350000</v>
      </c>
      <c r="C1789" t="str">
        <f t="shared" si="98"/>
        <v>NAN633500000</v>
      </c>
      <c r="E1789">
        <v>481</v>
      </c>
      <c r="F1789">
        <v>0</v>
      </c>
      <c r="G1789">
        <f t="shared" si="99"/>
        <v>481</v>
      </c>
    </row>
    <row r="1790" spans="1:7">
      <c r="A1790" t="str">
        <f t="shared" si="100"/>
        <v>NAN</v>
      </c>
      <c r="B1790" t="str">
        <f>"63511000"</f>
        <v>63511000</v>
      </c>
      <c r="C1790" t="str">
        <f t="shared" si="98"/>
        <v>NAN635110000</v>
      </c>
      <c r="E1790">
        <v>7367</v>
      </c>
      <c r="F1790">
        <v>0</v>
      </c>
      <c r="G1790">
        <f t="shared" si="99"/>
        <v>7367</v>
      </c>
    </row>
    <row r="1791" spans="1:7">
      <c r="A1791" t="str">
        <f t="shared" si="100"/>
        <v>NAN</v>
      </c>
      <c r="B1791" t="str">
        <f>"63512000"</f>
        <v>63512000</v>
      </c>
      <c r="C1791" t="str">
        <f t="shared" si="98"/>
        <v>NAN635120000</v>
      </c>
      <c r="E1791">
        <v>6573</v>
      </c>
      <c r="F1791">
        <v>0</v>
      </c>
      <c r="G1791">
        <f t="shared" si="99"/>
        <v>6573</v>
      </c>
    </row>
    <row r="1792" spans="1:7">
      <c r="A1792" t="str">
        <f t="shared" si="100"/>
        <v>NAN</v>
      </c>
      <c r="B1792" t="str">
        <f>"63710000"</f>
        <v>63710000</v>
      </c>
      <c r="C1792" t="str">
        <f t="shared" si="98"/>
        <v>NAN637100000</v>
      </c>
      <c r="E1792">
        <v>1511.25</v>
      </c>
      <c r="F1792">
        <v>0</v>
      </c>
      <c r="G1792">
        <f t="shared" si="99"/>
        <v>1511.25</v>
      </c>
    </row>
    <row r="1793" spans="1:11">
      <c r="A1793" t="str">
        <f t="shared" si="100"/>
        <v>NAN</v>
      </c>
      <c r="B1793" t="str">
        <f>"64110000"</f>
        <v>64110000</v>
      </c>
      <c r="C1793" t="str">
        <f t="shared" si="98"/>
        <v>NAN641100000</v>
      </c>
      <c r="E1793">
        <v>113183.98</v>
      </c>
      <c r="F1793">
        <v>0</v>
      </c>
      <c r="G1793">
        <f t="shared" si="99"/>
        <v>113183.98</v>
      </c>
    </row>
    <row r="1794" spans="1:11">
      <c r="A1794" t="str">
        <f t="shared" si="100"/>
        <v>NAN</v>
      </c>
      <c r="B1794" t="str">
        <f>"64111000"</f>
        <v>64111000</v>
      </c>
      <c r="C1794" t="str">
        <f t="shared" si="98"/>
        <v>NAN641110000</v>
      </c>
      <c r="E1794">
        <v>0</v>
      </c>
      <c r="F1794">
        <v>0</v>
      </c>
      <c r="G1794">
        <f t="shared" si="99"/>
        <v>0</v>
      </c>
    </row>
    <row r="1795" spans="1:11">
      <c r="A1795" t="str">
        <f t="shared" si="100"/>
        <v>NAN</v>
      </c>
      <c r="B1795" t="str">
        <f>"64120000"</f>
        <v>64120000</v>
      </c>
      <c r="C1795" t="str">
        <f t="shared" ref="C1795:C1858" si="101">+A1795&amp;B1795*10</f>
        <v>NAN641200000</v>
      </c>
      <c r="E1795">
        <v>11798.02</v>
      </c>
      <c r="F1795">
        <v>21334.23</v>
      </c>
      <c r="G1795">
        <f t="shared" ref="G1795:G1858" si="102">+E1795-F1795</f>
        <v>-9536.2099999999991</v>
      </c>
    </row>
    <row r="1796" spans="1:11">
      <c r="A1796" t="str">
        <f t="shared" si="100"/>
        <v>NAN</v>
      </c>
      <c r="B1796" t="str">
        <f>"64121000"</f>
        <v>64121000</v>
      </c>
      <c r="C1796" t="str">
        <f t="shared" si="101"/>
        <v>NAN641210000</v>
      </c>
      <c r="E1796">
        <v>4879.66</v>
      </c>
      <c r="F1796">
        <v>9163.0499999999993</v>
      </c>
      <c r="G1796">
        <f t="shared" si="102"/>
        <v>-4283.3899999999994</v>
      </c>
    </row>
    <row r="1797" spans="1:11">
      <c r="A1797" t="str">
        <f t="shared" si="100"/>
        <v>NAN</v>
      </c>
      <c r="B1797" t="str">
        <f>"64510000"</f>
        <v>64510000</v>
      </c>
      <c r="C1797" t="str">
        <f t="shared" si="101"/>
        <v>NAN645100000</v>
      </c>
      <c r="E1797">
        <v>31711.22</v>
      </c>
      <c r="F1797">
        <v>24.64</v>
      </c>
      <c r="G1797">
        <f t="shared" si="102"/>
        <v>31686.58</v>
      </c>
    </row>
    <row r="1798" spans="1:11">
      <c r="A1798" t="str">
        <f t="shared" si="100"/>
        <v>NAN</v>
      </c>
      <c r="B1798" t="str">
        <f>"64520000"</f>
        <v>64520000</v>
      </c>
      <c r="C1798" t="str">
        <f t="shared" si="101"/>
        <v>NAN645200000</v>
      </c>
      <c r="E1798">
        <v>3228.88</v>
      </c>
      <c r="F1798">
        <v>0</v>
      </c>
      <c r="G1798">
        <f t="shared" si="102"/>
        <v>3228.88</v>
      </c>
    </row>
    <row r="1799" spans="1:11">
      <c r="A1799" t="str">
        <f t="shared" si="100"/>
        <v>NAN</v>
      </c>
      <c r="B1799" t="str">
        <f>"64530000"</f>
        <v>64530000</v>
      </c>
      <c r="C1799" t="str">
        <f t="shared" si="101"/>
        <v>NAN645300000</v>
      </c>
      <c r="E1799">
        <v>7193.54</v>
      </c>
      <c r="F1799">
        <v>0</v>
      </c>
      <c r="G1799">
        <f t="shared" si="102"/>
        <v>7193.54</v>
      </c>
    </row>
    <row r="1800" spans="1:11">
      <c r="A1800" t="str">
        <f t="shared" si="100"/>
        <v>NAN</v>
      </c>
      <c r="B1800" t="str">
        <f>"64540000"</f>
        <v>64540000</v>
      </c>
      <c r="C1800" t="str">
        <f t="shared" si="101"/>
        <v>NAN645400000</v>
      </c>
      <c r="E1800">
        <v>4664.04</v>
      </c>
      <c r="F1800">
        <v>0</v>
      </c>
      <c r="G1800">
        <f t="shared" si="102"/>
        <v>4664.04</v>
      </c>
    </row>
    <row r="1801" spans="1:11">
      <c r="A1801" t="str">
        <f t="shared" ref="A1801:A1814" si="103">"NAN"</f>
        <v>NAN</v>
      </c>
      <c r="B1801" t="str">
        <f>"64590000"</f>
        <v>64590000</v>
      </c>
      <c r="C1801" t="str">
        <f t="shared" si="101"/>
        <v>NAN645900000</v>
      </c>
      <c r="E1801">
        <v>-3.19</v>
      </c>
      <c r="F1801">
        <v>0</v>
      </c>
      <c r="G1801">
        <f t="shared" si="102"/>
        <v>-3.19</v>
      </c>
    </row>
    <row r="1802" spans="1:11">
      <c r="A1802" t="str">
        <f t="shared" si="103"/>
        <v>NAN</v>
      </c>
      <c r="B1802" t="str">
        <f>"64710000"</f>
        <v>64710000</v>
      </c>
      <c r="C1802" t="str">
        <f t="shared" si="101"/>
        <v>NAN647100000</v>
      </c>
      <c r="E1802">
        <v>61.63</v>
      </c>
      <c r="F1802">
        <v>0</v>
      </c>
      <c r="G1802">
        <f t="shared" si="102"/>
        <v>61.63</v>
      </c>
    </row>
    <row r="1803" spans="1:11">
      <c r="A1803" t="str">
        <f t="shared" si="103"/>
        <v>NAN</v>
      </c>
      <c r="B1803" t="str">
        <f>"64740000"</f>
        <v>64740000</v>
      </c>
      <c r="C1803" t="str">
        <f t="shared" si="101"/>
        <v>NAN647400000</v>
      </c>
      <c r="E1803">
        <v>41.23</v>
      </c>
      <c r="F1803">
        <v>0</v>
      </c>
      <c r="G1803">
        <f t="shared" si="102"/>
        <v>41.23</v>
      </c>
    </row>
    <row r="1804" spans="1:11">
      <c r="A1804" t="str">
        <f t="shared" si="103"/>
        <v>NAN</v>
      </c>
      <c r="B1804" t="str">
        <f>"64750000"</f>
        <v>64750000</v>
      </c>
      <c r="C1804" t="str">
        <f t="shared" si="101"/>
        <v>NAN647500000</v>
      </c>
      <c r="E1804">
        <v>317.42</v>
      </c>
      <c r="F1804">
        <v>0</v>
      </c>
      <c r="G1804">
        <f t="shared" si="102"/>
        <v>317.42</v>
      </c>
    </row>
    <row r="1805" spans="1:11">
      <c r="A1805" t="str">
        <f t="shared" si="103"/>
        <v>NAN</v>
      </c>
      <c r="B1805" t="str">
        <f>"64800000"</f>
        <v>64800000</v>
      </c>
      <c r="C1805" t="str">
        <f t="shared" si="101"/>
        <v>NAN648000000</v>
      </c>
      <c r="E1805" s="19">
        <v>2443.3531200000002</v>
      </c>
      <c r="F1805">
        <v>0.12</v>
      </c>
      <c r="G1805" s="19">
        <f t="shared" si="102"/>
        <v>2443.2331200000003</v>
      </c>
      <c r="H1805" s="433">
        <v>2443.3531200000002</v>
      </c>
      <c r="I1805" s="113" t="s">
        <v>538</v>
      </c>
    </row>
    <row r="1806" spans="1:11">
      <c r="A1806" t="str">
        <f t="shared" si="103"/>
        <v>NAN</v>
      </c>
      <c r="B1806" t="str">
        <f>"65160000"</f>
        <v>65160000</v>
      </c>
      <c r="C1806" t="str">
        <f t="shared" si="101"/>
        <v>NAN651600000</v>
      </c>
      <c r="E1806">
        <v>317.39</v>
      </c>
      <c r="F1806">
        <v>0</v>
      </c>
      <c r="G1806">
        <f t="shared" si="102"/>
        <v>317.39</v>
      </c>
      <c r="I1806" s="26"/>
      <c r="J1806" s="26"/>
      <c r="K1806" s="353"/>
    </row>
    <row r="1807" spans="1:11">
      <c r="A1807" t="str">
        <f t="shared" si="103"/>
        <v>NAN</v>
      </c>
      <c r="B1807" t="str">
        <f>"65410000"</f>
        <v>65410000</v>
      </c>
      <c r="C1807" t="str">
        <f t="shared" si="101"/>
        <v>NAN654100000</v>
      </c>
      <c r="E1807">
        <v>61.21</v>
      </c>
      <c r="F1807">
        <v>0.84</v>
      </c>
      <c r="G1807">
        <f t="shared" si="102"/>
        <v>60.37</v>
      </c>
    </row>
    <row r="1808" spans="1:11">
      <c r="A1808" t="str">
        <f t="shared" si="103"/>
        <v>NAN</v>
      </c>
      <c r="B1808" t="str">
        <f>"65440000"</f>
        <v>65440000</v>
      </c>
      <c r="C1808" t="str">
        <f t="shared" si="101"/>
        <v>NAN654400000</v>
      </c>
      <c r="E1808">
        <v>3116.14</v>
      </c>
      <c r="F1808">
        <v>0</v>
      </c>
      <c r="G1808">
        <f t="shared" si="102"/>
        <v>3116.14</v>
      </c>
    </row>
    <row r="1809" spans="1:7">
      <c r="A1809" t="str">
        <f t="shared" si="103"/>
        <v>NAN</v>
      </c>
      <c r="B1809" t="str">
        <f>"66500000"</f>
        <v>66500000</v>
      </c>
      <c r="C1809" t="str">
        <f t="shared" si="101"/>
        <v>NAN665000000</v>
      </c>
      <c r="E1809">
        <v>77.150000000000006</v>
      </c>
      <c r="F1809">
        <v>0</v>
      </c>
      <c r="G1809">
        <f t="shared" si="102"/>
        <v>77.150000000000006</v>
      </c>
    </row>
    <row r="1810" spans="1:7">
      <c r="A1810" t="str">
        <f t="shared" si="103"/>
        <v>NAN</v>
      </c>
      <c r="B1810" t="str">
        <f>"67180000"</f>
        <v>67180000</v>
      </c>
      <c r="C1810" t="str">
        <f t="shared" si="101"/>
        <v>NAN671800000</v>
      </c>
      <c r="E1810">
        <v>291.04000000000002</v>
      </c>
      <c r="F1810">
        <v>0</v>
      </c>
      <c r="G1810">
        <f t="shared" si="102"/>
        <v>291.04000000000002</v>
      </c>
    </row>
    <row r="1811" spans="1:7">
      <c r="A1811" t="str">
        <f t="shared" si="103"/>
        <v>NAN</v>
      </c>
      <c r="B1811" t="str">
        <f>"67560000"</f>
        <v>67560000</v>
      </c>
      <c r="C1811" t="str">
        <f t="shared" si="101"/>
        <v>NAN675600000</v>
      </c>
      <c r="E1811">
        <v>0</v>
      </c>
      <c r="F1811">
        <v>0</v>
      </c>
      <c r="G1811">
        <f t="shared" si="102"/>
        <v>0</v>
      </c>
    </row>
    <row r="1812" spans="1:7">
      <c r="A1812" t="str">
        <f t="shared" si="103"/>
        <v>NAN</v>
      </c>
      <c r="B1812" t="str">
        <f>"68112000"</f>
        <v>68112000</v>
      </c>
      <c r="C1812" t="str">
        <f t="shared" si="101"/>
        <v>NAN681120000</v>
      </c>
      <c r="E1812">
        <v>9820.4500000000007</v>
      </c>
      <c r="F1812">
        <v>0</v>
      </c>
      <c r="G1812">
        <f t="shared" si="102"/>
        <v>9820.4500000000007</v>
      </c>
    </row>
    <row r="1813" spans="1:7">
      <c r="A1813" t="str">
        <f t="shared" si="103"/>
        <v>NAN</v>
      </c>
      <c r="B1813" t="str">
        <f>"68173000"</f>
        <v>68173000</v>
      </c>
      <c r="C1813" t="str">
        <f t="shared" si="101"/>
        <v>NAN681730000</v>
      </c>
      <c r="E1813">
        <v>3525.46</v>
      </c>
      <c r="F1813">
        <v>0</v>
      </c>
      <c r="G1813">
        <f t="shared" si="102"/>
        <v>3525.46</v>
      </c>
    </row>
    <row r="1814" spans="1:7">
      <c r="A1814" t="str">
        <f t="shared" si="103"/>
        <v>NAN</v>
      </c>
      <c r="B1814" t="str">
        <f>"68174000"</f>
        <v>68174000</v>
      </c>
      <c r="C1814" t="str">
        <f t="shared" si="101"/>
        <v>NAN681740000</v>
      </c>
      <c r="E1814">
        <v>9497.41</v>
      </c>
      <c r="F1814">
        <v>0</v>
      </c>
      <c r="G1814">
        <f t="shared" si="102"/>
        <v>9497.41</v>
      </c>
    </row>
    <row r="1815" spans="1:7">
      <c r="A1815" t="str">
        <f t="shared" ref="A1815:A1878" si="104">"ORL"</f>
        <v>ORL</v>
      </c>
      <c r="B1815" t="str">
        <f>"60265000"</f>
        <v>60265000</v>
      </c>
      <c r="C1815" t="str">
        <f t="shared" si="101"/>
        <v>ORL602650000</v>
      </c>
      <c r="E1815">
        <v>144</v>
      </c>
      <c r="F1815">
        <v>0</v>
      </c>
      <c r="G1815">
        <f t="shared" si="102"/>
        <v>144</v>
      </c>
    </row>
    <row r="1816" spans="1:7">
      <c r="A1816" t="str">
        <f t="shared" si="104"/>
        <v>ORL</v>
      </c>
      <c r="B1816" t="str">
        <f>"60610000"</f>
        <v>60610000</v>
      </c>
      <c r="C1816" t="str">
        <f t="shared" si="101"/>
        <v>ORL606100000</v>
      </c>
      <c r="E1816">
        <v>3931.85</v>
      </c>
      <c r="F1816">
        <v>0</v>
      </c>
      <c r="G1816">
        <f t="shared" si="102"/>
        <v>3931.85</v>
      </c>
    </row>
    <row r="1817" spans="1:7">
      <c r="A1817" t="str">
        <f t="shared" si="104"/>
        <v>ORL</v>
      </c>
      <c r="B1817" t="str">
        <f>"60613000"</f>
        <v>60613000</v>
      </c>
      <c r="C1817" t="str">
        <f t="shared" si="101"/>
        <v>ORL606130000</v>
      </c>
      <c r="E1817">
        <v>2841.61</v>
      </c>
      <c r="F1817">
        <v>0</v>
      </c>
      <c r="G1817">
        <f t="shared" si="102"/>
        <v>2841.61</v>
      </c>
    </row>
    <row r="1818" spans="1:7">
      <c r="A1818" t="str">
        <f t="shared" si="104"/>
        <v>ORL</v>
      </c>
      <c r="B1818" t="str">
        <f>"60631000"</f>
        <v>60631000</v>
      </c>
      <c r="C1818" t="str">
        <f t="shared" si="101"/>
        <v>ORL606310000</v>
      </c>
      <c r="E1818">
        <v>10</v>
      </c>
      <c r="F1818">
        <v>0</v>
      </c>
      <c r="G1818">
        <f t="shared" si="102"/>
        <v>10</v>
      </c>
    </row>
    <row r="1819" spans="1:7">
      <c r="A1819" t="str">
        <f t="shared" si="104"/>
        <v>ORL</v>
      </c>
      <c r="B1819" t="str">
        <f>"60641000"</f>
        <v>60641000</v>
      </c>
      <c r="C1819" t="str">
        <f t="shared" si="101"/>
        <v>ORL606410000</v>
      </c>
      <c r="E1819">
        <v>1854.84</v>
      </c>
      <c r="F1819">
        <v>0</v>
      </c>
      <c r="G1819">
        <f t="shared" si="102"/>
        <v>1854.84</v>
      </c>
    </row>
    <row r="1820" spans="1:7">
      <c r="A1820" t="str">
        <f t="shared" si="104"/>
        <v>ORL</v>
      </c>
      <c r="B1820" t="str">
        <f>"60710000"</f>
        <v>60710000</v>
      </c>
      <c r="C1820" t="str">
        <f t="shared" si="101"/>
        <v>ORL607100000</v>
      </c>
      <c r="E1820">
        <v>382128.17</v>
      </c>
      <c r="F1820">
        <v>804.91</v>
      </c>
      <c r="G1820">
        <f t="shared" si="102"/>
        <v>381323.26</v>
      </c>
    </row>
    <row r="1821" spans="1:7">
      <c r="A1821" t="str">
        <f t="shared" si="104"/>
        <v>ORL</v>
      </c>
      <c r="B1821" t="str">
        <f>"60711000"</f>
        <v>60711000</v>
      </c>
      <c r="C1821" t="str">
        <f t="shared" si="101"/>
        <v>ORL607110000</v>
      </c>
      <c r="E1821">
        <v>16707.62</v>
      </c>
      <c r="F1821">
        <v>2206.1999999999998</v>
      </c>
      <c r="G1821">
        <f t="shared" si="102"/>
        <v>14501.419999999998</v>
      </c>
    </row>
    <row r="1822" spans="1:7">
      <c r="A1822" t="str">
        <f t="shared" si="104"/>
        <v>ORL</v>
      </c>
      <c r="B1822" t="str">
        <f>"60713000"</f>
        <v>60713000</v>
      </c>
      <c r="C1822" t="str">
        <f t="shared" si="101"/>
        <v>ORL607130000</v>
      </c>
      <c r="E1822">
        <v>56438</v>
      </c>
      <c r="F1822">
        <v>0</v>
      </c>
      <c r="G1822">
        <f t="shared" si="102"/>
        <v>56438</v>
      </c>
    </row>
    <row r="1823" spans="1:7">
      <c r="A1823" t="str">
        <f t="shared" si="104"/>
        <v>ORL</v>
      </c>
      <c r="B1823" t="str">
        <f>"60714000"</f>
        <v>60714000</v>
      </c>
      <c r="C1823" t="str">
        <f t="shared" si="101"/>
        <v>ORL607140000</v>
      </c>
      <c r="E1823">
        <v>-37127</v>
      </c>
      <c r="F1823">
        <v>0</v>
      </c>
      <c r="G1823">
        <f t="shared" si="102"/>
        <v>-37127</v>
      </c>
    </row>
    <row r="1824" spans="1:7">
      <c r="A1824" t="str">
        <f t="shared" si="104"/>
        <v>ORL</v>
      </c>
      <c r="B1824" t="str">
        <f>"60720000"</f>
        <v>60720000</v>
      </c>
      <c r="C1824" t="str">
        <f t="shared" si="101"/>
        <v>ORL607200000</v>
      </c>
      <c r="E1824">
        <v>247997.54</v>
      </c>
      <c r="F1824">
        <v>0</v>
      </c>
      <c r="G1824">
        <f t="shared" si="102"/>
        <v>247997.54</v>
      </c>
    </row>
    <row r="1825" spans="1:7">
      <c r="A1825" t="str">
        <f t="shared" si="104"/>
        <v>ORL</v>
      </c>
      <c r="B1825" t="str">
        <f>"60740000"</f>
        <v>60740000</v>
      </c>
      <c r="C1825" t="str">
        <f t="shared" si="101"/>
        <v>ORL607400000</v>
      </c>
      <c r="E1825">
        <v>7492.53</v>
      </c>
      <c r="F1825">
        <v>111.46</v>
      </c>
      <c r="G1825">
        <f t="shared" si="102"/>
        <v>7381.07</v>
      </c>
    </row>
    <row r="1826" spans="1:7">
      <c r="A1826" t="str">
        <f t="shared" si="104"/>
        <v>ORL</v>
      </c>
      <c r="B1826" t="str">
        <f>"60800000"</f>
        <v>60800000</v>
      </c>
      <c r="C1826" t="str">
        <f t="shared" si="101"/>
        <v>ORL608000000</v>
      </c>
      <c r="E1826">
        <v>5804.6</v>
      </c>
      <c r="F1826">
        <v>0</v>
      </c>
      <c r="G1826">
        <f t="shared" si="102"/>
        <v>5804.6</v>
      </c>
    </row>
    <row r="1827" spans="1:7">
      <c r="A1827" t="str">
        <f t="shared" si="104"/>
        <v>ORL</v>
      </c>
      <c r="B1827" t="str">
        <f>"60911000"</f>
        <v>60911000</v>
      </c>
      <c r="C1827" t="str">
        <f t="shared" si="101"/>
        <v>ORL609110000</v>
      </c>
      <c r="E1827">
        <v>-12162.43</v>
      </c>
      <c r="F1827">
        <v>0</v>
      </c>
      <c r="G1827">
        <f t="shared" si="102"/>
        <v>-12162.43</v>
      </c>
    </row>
    <row r="1828" spans="1:7">
      <c r="A1828" t="str">
        <f t="shared" si="104"/>
        <v>ORL</v>
      </c>
      <c r="B1828" t="str">
        <f>"60912000"</f>
        <v>60912000</v>
      </c>
      <c r="C1828" t="str">
        <f t="shared" si="101"/>
        <v>ORL609120000</v>
      </c>
      <c r="E1828">
        <v>-17442.25</v>
      </c>
      <c r="F1828">
        <v>0</v>
      </c>
      <c r="G1828">
        <f t="shared" si="102"/>
        <v>-17442.25</v>
      </c>
    </row>
    <row r="1829" spans="1:7">
      <c r="A1829" t="str">
        <f t="shared" si="104"/>
        <v>ORL</v>
      </c>
      <c r="B1829" t="str">
        <f>"60913000"</f>
        <v>60913000</v>
      </c>
      <c r="C1829" t="str">
        <f t="shared" si="101"/>
        <v>ORL609130000</v>
      </c>
      <c r="E1829">
        <v>-9967</v>
      </c>
      <c r="F1829">
        <v>0</v>
      </c>
      <c r="G1829">
        <f t="shared" si="102"/>
        <v>-9967</v>
      </c>
    </row>
    <row r="1830" spans="1:7">
      <c r="A1830" t="str">
        <f t="shared" si="104"/>
        <v>ORL</v>
      </c>
      <c r="B1830" t="str">
        <f>"61100000"</f>
        <v>61100000</v>
      </c>
      <c r="C1830" t="str">
        <f t="shared" si="101"/>
        <v>ORL611000000</v>
      </c>
      <c r="E1830">
        <v>280</v>
      </c>
      <c r="F1830">
        <v>0</v>
      </c>
      <c r="G1830">
        <f t="shared" si="102"/>
        <v>280</v>
      </c>
    </row>
    <row r="1831" spans="1:7">
      <c r="A1831" t="str">
        <f t="shared" si="104"/>
        <v>ORL</v>
      </c>
      <c r="B1831" t="str">
        <f>"61320000"</f>
        <v>61320000</v>
      </c>
      <c r="C1831" t="str">
        <f t="shared" si="101"/>
        <v>ORL613200000</v>
      </c>
      <c r="E1831">
        <v>33060.54</v>
      </c>
      <c r="F1831">
        <v>0</v>
      </c>
      <c r="G1831">
        <f t="shared" si="102"/>
        <v>33060.54</v>
      </c>
    </row>
    <row r="1832" spans="1:7">
      <c r="A1832" t="str">
        <f t="shared" si="104"/>
        <v>ORL</v>
      </c>
      <c r="B1832" t="str">
        <f>"61352000"</f>
        <v>61352000</v>
      </c>
      <c r="C1832" t="str">
        <f t="shared" si="101"/>
        <v>ORL613520000</v>
      </c>
      <c r="E1832">
        <v>6256.76</v>
      </c>
      <c r="F1832">
        <v>0</v>
      </c>
      <c r="G1832">
        <f t="shared" si="102"/>
        <v>6256.76</v>
      </c>
    </row>
    <row r="1833" spans="1:7">
      <c r="A1833" t="str">
        <f t="shared" si="104"/>
        <v>ORL</v>
      </c>
      <c r="B1833" t="str">
        <f>"61353000"</f>
        <v>61353000</v>
      </c>
      <c r="C1833" t="str">
        <f t="shared" si="101"/>
        <v>ORL613530000</v>
      </c>
      <c r="E1833">
        <v>180</v>
      </c>
      <c r="F1833">
        <v>0</v>
      </c>
      <c r="G1833">
        <f t="shared" si="102"/>
        <v>180</v>
      </c>
    </row>
    <row r="1834" spans="1:7">
      <c r="A1834" t="str">
        <f t="shared" si="104"/>
        <v>ORL</v>
      </c>
      <c r="B1834" t="str">
        <f>"61354000"</f>
        <v>61354000</v>
      </c>
      <c r="C1834" t="str">
        <f t="shared" si="101"/>
        <v>ORL613540000</v>
      </c>
      <c r="E1834">
        <v>254.56</v>
      </c>
      <c r="F1834">
        <v>0</v>
      </c>
      <c r="G1834">
        <f t="shared" si="102"/>
        <v>254.56</v>
      </c>
    </row>
    <row r="1835" spans="1:7">
      <c r="A1835" t="str">
        <f t="shared" si="104"/>
        <v>ORL</v>
      </c>
      <c r="B1835" t="str">
        <f>"61520000"</f>
        <v>61520000</v>
      </c>
      <c r="C1835" t="str">
        <f t="shared" si="101"/>
        <v>ORL615200000</v>
      </c>
      <c r="E1835">
        <v>4098.62</v>
      </c>
      <c r="F1835">
        <v>0</v>
      </c>
      <c r="G1835">
        <f t="shared" si="102"/>
        <v>4098.62</v>
      </c>
    </row>
    <row r="1836" spans="1:7">
      <c r="A1836" t="str">
        <f t="shared" si="104"/>
        <v>ORL</v>
      </c>
      <c r="B1836" t="str">
        <f>"61550000"</f>
        <v>61550000</v>
      </c>
      <c r="C1836" t="str">
        <f t="shared" si="101"/>
        <v>ORL615500000</v>
      </c>
      <c r="E1836">
        <v>0</v>
      </c>
      <c r="F1836">
        <v>-571.58000000000004</v>
      </c>
      <c r="G1836">
        <f t="shared" si="102"/>
        <v>571.58000000000004</v>
      </c>
    </row>
    <row r="1837" spans="1:7">
      <c r="A1837" t="str">
        <f t="shared" si="104"/>
        <v>ORL</v>
      </c>
      <c r="B1837" t="str">
        <f>"61551000"</f>
        <v>61551000</v>
      </c>
      <c r="C1837" t="str">
        <f t="shared" si="101"/>
        <v>ORL615510000</v>
      </c>
      <c r="E1837">
        <v>676.58</v>
      </c>
      <c r="F1837">
        <v>0</v>
      </c>
      <c r="G1837">
        <f t="shared" si="102"/>
        <v>676.58</v>
      </c>
    </row>
    <row r="1838" spans="1:7">
      <c r="A1838" t="str">
        <f t="shared" si="104"/>
        <v>ORL</v>
      </c>
      <c r="B1838" t="str">
        <f>"61552000"</f>
        <v>61552000</v>
      </c>
      <c r="C1838" t="str">
        <f t="shared" si="101"/>
        <v>ORL615520000</v>
      </c>
      <c r="E1838">
        <v>2129.86</v>
      </c>
      <c r="F1838">
        <v>0</v>
      </c>
      <c r="G1838">
        <f t="shared" si="102"/>
        <v>2129.86</v>
      </c>
    </row>
    <row r="1839" spans="1:7">
      <c r="A1839" t="str">
        <f t="shared" si="104"/>
        <v>ORL</v>
      </c>
      <c r="B1839" t="str">
        <f>"61612000"</f>
        <v>61612000</v>
      </c>
      <c r="C1839" t="str">
        <f t="shared" si="101"/>
        <v>ORL616120000</v>
      </c>
      <c r="E1839">
        <v>1550.84</v>
      </c>
      <c r="F1839">
        <v>0</v>
      </c>
      <c r="G1839">
        <f t="shared" si="102"/>
        <v>1550.84</v>
      </c>
    </row>
    <row r="1840" spans="1:7">
      <c r="A1840" t="str">
        <f t="shared" si="104"/>
        <v>ORL</v>
      </c>
      <c r="B1840" t="str">
        <f>"61613000"</f>
        <v>61613000</v>
      </c>
      <c r="C1840" t="str">
        <f t="shared" si="101"/>
        <v>ORL616130000</v>
      </c>
      <c r="E1840">
        <v>2187.5300000000002</v>
      </c>
      <c r="F1840">
        <v>0</v>
      </c>
      <c r="G1840">
        <f t="shared" si="102"/>
        <v>2187.5300000000002</v>
      </c>
    </row>
    <row r="1841" spans="1:7">
      <c r="A1841" t="str">
        <f t="shared" si="104"/>
        <v>ORL</v>
      </c>
      <c r="B1841" t="str">
        <f>"61810000"</f>
        <v>61810000</v>
      </c>
      <c r="C1841" t="str">
        <f t="shared" si="101"/>
        <v>ORL618100000</v>
      </c>
      <c r="E1841">
        <v>357.06</v>
      </c>
      <c r="F1841">
        <v>0</v>
      </c>
      <c r="G1841">
        <f t="shared" si="102"/>
        <v>357.06</v>
      </c>
    </row>
    <row r="1842" spans="1:7">
      <c r="A1842" t="str">
        <f t="shared" si="104"/>
        <v>ORL</v>
      </c>
      <c r="B1842" t="str">
        <f>"61850000"</f>
        <v>61850000</v>
      </c>
      <c r="C1842" t="str">
        <f t="shared" si="101"/>
        <v>ORL618500000</v>
      </c>
      <c r="E1842">
        <v>438.44</v>
      </c>
      <c r="F1842">
        <v>0</v>
      </c>
      <c r="G1842">
        <f t="shared" si="102"/>
        <v>438.44</v>
      </c>
    </row>
    <row r="1843" spans="1:7">
      <c r="A1843" t="str">
        <f t="shared" si="104"/>
        <v>ORL</v>
      </c>
      <c r="B1843" t="str">
        <f>"62110000"</f>
        <v>62110000</v>
      </c>
      <c r="C1843" t="str">
        <f t="shared" si="101"/>
        <v>ORL621100000</v>
      </c>
      <c r="E1843">
        <v>353.85</v>
      </c>
      <c r="F1843">
        <v>0</v>
      </c>
      <c r="G1843">
        <f t="shared" si="102"/>
        <v>353.85</v>
      </c>
    </row>
    <row r="1844" spans="1:7">
      <c r="A1844" t="str">
        <f t="shared" si="104"/>
        <v>ORL</v>
      </c>
      <c r="B1844" t="str">
        <f>"62270000"</f>
        <v>62270000</v>
      </c>
      <c r="C1844" t="str">
        <f t="shared" si="101"/>
        <v>ORL622700000</v>
      </c>
      <c r="E1844">
        <v>156.26</v>
      </c>
      <c r="F1844">
        <v>0</v>
      </c>
      <c r="G1844">
        <f t="shared" si="102"/>
        <v>156.26</v>
      </c>
    </row>
    <row r="1845" spans="1:7">
      <c r="A1845" t="str">
        <f t="shared" si="104"/>
        <v>ORL</v>
      </c>
      <c r="B1845" t="str">
        <f>"62271000"</f>
        <v>62271000</v>
      </c>
      <c r="C1845" t="str">
        <f t="shared" si="101"/>
        <v>ORL622710000</v>
      </c>
      <c r="E1845">
        <v>63.1</v>
      </c>
      <c r="F1845">
        <v>0</v>
      </c>
      <c r="G1845">
        <f t="shared" si="102"/>
        <v>63.1</v>
      </c>
    </row>
    <row r="1846" spans="1:7">
      <c r="A1846" t="str">
        <f t="shared" si="104"/>
        <v>ORL</v>
      </c>
      <c r="B1846" t="str">
        <f>"62310000"</f>
        <v>62310000</v>
      </c>
      <c r="C1846" t="str">
        <f t="shared" si="101"/>
        <v>ORL623100000</v>
      </c>
      <c r="E1846">
        <v>774.2</v>
      </c>
      <c r="F1846">
        <v>0</v>
      </c>
      <c r="G1846">
        <f t="shared" si="102"/>
        <v>774.2</v>
      </c>
    </row>
    <row r="1847" spans="1:7">
      <c r="A1847" t="str">
        <f t="shared" si="104"/>
        <v>ORL</v>
      </c>
      <c r="B1847" t="str">
        <f>"62320000"</f>
        <v>62320000</v>
      </c>
      <c r="C1847" t="str">
        <f t="shared" si="101"/>
        <v>ORL623200000</v>
      </c>
      <c r="E1847">
        <v>8334.92</v>
      </c>
      <c r="F1847">
        <v>0</v>
      </c>
      <c r="G1847">
        <f t="shared" si="102"/>
        <v>8334.92</v>
      </c>
    </row>
    <row r="1848" spans="1:7">
      <c r="A1848" t="str">
        <f t="shared" si="104"/>
        <v>ORL</v>
      </c>
      <c r="B1848" t="str">
        <f>"62341000"</f>
        <v>62341000</v>
      </c>
      <c r="C1848" t="str">
        <f t="shared" si="101"/>
        <v>ORL623410000</v>
      </c>
      <c r="E1848">
        <v>22508.49</v>
      </c>
      <c r="F1848">
        <v>0</v>
      </c>
      <c r="G1848">
        <f t="shared" si="102"/>
        <v>22508.49</v>
      </c>
    </row>
    <row r="1849" spans="1:7">
      <c r="A1849" t="str">
        <f t="shared" si="104"/>
        <v>ORL</v>
      </c>
      <c r="B1849" t="str">
        <f>"62342000"</f>
        <v>62342000</v>
      </c>
      <c r="C1849" t="str">
        <f t="shared" si="101"/>
        <v>ORL623420000</v>
      </c>
      <c r="E1849">
        <v>-344.36</v>
      </c>
      <c r="F1849">
        <v>0</v>
      </c>
      <c r="G1849">
        <f t="shared" si="102"/>
        <v>-344.36</v>
      </c>
    </row>
    <row r="1850" spans="1:7">
      <c r="A1850" t="str">
        <f t="shared" si="104"/>
        <v>ORL</v>
      </c>
      <c r="B1850" t="str">
        <f>"62370000"</f>
        <v>62370000</v>
      </c>
      <c r="C1850" t="str">
        <f t="shared" si="101"/>
        <v>ORL623700000</v>
      </c>
      <c r="E1850">
        <v>1181.3499999999999</v>
      </c>
      <c r="F1850">
        <v>-221.8</v>
      </c>
      <c r="G1850">
        <f t="shared" si="102"/>
        <v>1403.1499999999999</v>
      </c>
    </row>
    <row r="1851" spans="1:7">
      <c r="A1851" t="str">
        <f t="shared" si="104"/>
        <v>ORL</v>
      </c>
      <c r="B1851" t="str">
        <f>"62380000"</f>
        <v>62380000</v>
      </c>
      <c r="C1851" t="str">
        <f t="shared" si="101"/>
        <v>ORL623800000</v>
      </c>
      <c r="E1851">
        <v>345</v>
      </c>
      <c r="F1851">
        <v>0</v>
      </c>
      <c r="G1851">
        <f t="shared" si="102"/>
        <v>345</v>
      </c>
    </row>
    <row r="1852" spans="1:7">
      <c r="A1852" t="str">
        <f t="shared" si="104"/>
        <v>ORL</v>
      </c>
      <c r="B1852" t="str">
        <f>"62381000"</f>
        <v>62381000</v>
      </c>
      <c r="C1852" t="str">
        <f t="shared" si="101"/>
        <v>ORL623810000</v>
      </c>
      <c r="E1852">
        <v>0</v>
      </c>
      <c r="F1852">
        <v>0</v>
      </c>
      <c r="G1852">
        <f t="shared" si="102"/>
        <v>0</v>
      </c>
    </row>
    <row r="1853" spans="1:7">
      <c r="A1853" t="str">
        <f t="shared" si="104"/>
        <v>ORL</v>
      </c>
      <c r="B1853" t="str">
        <f>"62420000"</f>
        <v>62420000</v>
      </c>
      <c r="C1853" t="str">
        <f t="shared" si="101"/>
        <v>ORL624200000</v>
      </c>
      <c r="E1853">
        <v>12126.85</v>
      </c>
      <c r="F1853">
        <v>0</v>
      </c>
      <c r="G1853">
        <f t="shared" si="102"/>
        <v>12126.85</v>
      </c>
    </row>
    <row r="1854" spans="1:7">
      <c r="A1854" t="str">
        <f t="shared" si="104"/>
        <v>ORL</v>
      </c>
      <c r="B1854" t="str">
        <f>"62510000"</f>
        <v>62510000</v>
      </c>
      <c r="C1854" t="str">
        <f t="shared" si="101"/>
        <v>ORL625100000</v>
      </c>
      <c r="E1854">
        <v>16816.93</v>
      </c>
      <c r="F1854">
        <v>0</v>
      </c>
      <c r="G1854">
        <f t="shared" si="102"/>
        <v>16816.93</v>
      </c>
    </row>
    <row r="1855" spans="1:7">
      <c r="A1855" t="str">
        <f t="shared" si="104"/>
        <v>ORL</v>
      </c>
      <c r="B1855" t="str">
        <f>"62520000"</f>
        <v>62520000</v>
      </c>
      <c r="C1855" t="str">
        <f t="shared" si="101"/>
        <v>ORL625200000</v>
      </c>
      <c r="E1855">
        <v>0.98</v>
      </c>
      <c r="F1855">
        <v>0</v>
      </c>
      <c r="G1855">
        <f t="shared" si="102"/>
        <v>0.98</v>
      </c>
    </row>
    <row r="1856" spans="1:7">
      <c r="A1856" t="str">
        <f t="shared" si="104"/>
        <v>ORL</v>
      </c>
      <c r="B1856" t="str">
        <f>"62560000"</f>
        <v>62560000</v>
      </c>
      <c r="C1856" t="str">
        <f t="shared" si="101"/>
        <v>ORL625600000</v>
      </c>
      <c r="E1856">
        <v>25.23</v>
      </c>
      <c r="F1856">
        <v>0</v>
      </c>
      <c r="G1856">
        <f t="shared" si="102"/>
        <v>25.23</v>
      </c>
    </row>
    <row r="1857" spans="1:10">
      <c r="A1857" t="str">
        <f t="shared" si="104"/>
        <v>ORL</v>
      </c>
      <c r="B1857" t="str">
        <f>"62570000"</f>
        <v>62570000</v>
      </c>
      <c r="C1857" t="str">
        <f t="shared" si="101"/>
        <v>ORL625700000</v>
      </c>
      <c r="E1857">
        <v>6939.43</v>
      </c>
      <c r="F1857">
        <v>0</v>
      </c>
      <c r="G1857">
        <f t="shared" si="102"/>
        <v>6939.43</v>
      </c>
    </row>
    <row r="1858" spans="1:10">
      <c r="A1858" t="str">
        <f t="shared" si="104"/>
        <v>ORL</v>
      </c>
      <c r="B1858" t="str">
        <f>"62571000"</f>
        <v>62571000</v>
      </c>
      <c r="C1858" t="str">
        <f t="shared" si="101"/>
        <v>ORL625710000</v>
      </c>
      <c r="E1858">
        <v>2679.54</v>
      </c>
      <c r="F1858">
        <v>0</v>
      </c>
      <c r="G1858">
        <f t="shared" si="102"/>
        <v>2679.54</v>
      </c>
    </row>
    <row r="1859" spans="1:10">
      <c r="A1859" t="str">
        <f t="shared" si="104"/>
        <v>ORL</v>
      </c>
      <c r="B1859" t="str">
        <f>"62600000"</f>
        <v>62600000</v>
      </c>
      <c r="C1859" t="str">
        <f t="shared" ref="C1859:C1922" si="105">+A1859&amp;B1859*10</f>
        <v>ORL626000000</v>
      </c>
      <c r="E1859">
        <v>5840.79</v>
      </c>
      <c r="F1859">
        <v>0</v>
      </c>
      <c r="G1859">
        <f t="shared" ref="G1859:G1922" si="106">+E1859-F1859</f>
        <v>5840.79</v>
      </c>
    </row>
    <row r="1860" spans="1:10">
      <c r="A1860" t="str">
        <f t="shared" si="104"/>
        <v>ORL</v>
      </c>
      <c r="B1860" t="str">
        <f>"62610000"</f>
        <v>62610000</v>
      </c>
      <c r="C1860" t="str">
        <f t="shared" si="105"/>
        <v>ORL626100000</v>
      </c>
      <c r="E1860">
        <v>940.75</v>
      </c>
      <c r="F1860">
        <v>0</v>
      </c>
      <c r="G1860">
        <f t="shared" si="106"/>
        <v>940.75</v>
      </c>
    </row>
    <row r="1861" spans="1:10">
      <c r="A1861" t="str">
        <f t="shared" si="104"/>
        <v>ORL</v>
      </c>
      <c r="B1861" t="str">
        <f>"62752000"</f>
        <v>62752000</v>
      </c>
      <c r="C1861" t="str">
        <f t="shared" si="105"/>
        <v>ORL627520000</v>
      </c>
      <c r="E1861">
        <v>170.3</v>
      </c>
      <c r="F1861">
        <v>0</v>
      </c>
      <c r="G1861">
        <f t="shared" si="106"/>
        <v>170.3</v>
      </c>
    </row>
    <row r="1862" spans="1:10">
      <c r="A1862" t="str">
        <f t="shared" si="104"/>
        <v>ORL</v>
      </c>
      <c r="B1862" t="str">
        <f>"63330000"</f>
        <v>63330000</v>
      </c>
      <c r="C1862" t="str">
        <f t="shared" si="105"/>
        <v>ORL633300000</v>
      </c>
      <c r="E1862">
        <v>666</v>
      </c>
      <c r="F1862">
        <v>0</v>
      </c>
      <c r="G1862">
        <f t="shared" si="106"/>
        <v>666</v>
      </c>
    </row>
    <row r="1863" spans="1:10">
      <c r="A1863" t="str">
        <f t="shared" si="104"/>
        <v>ORL</v>
      </c>
      <c r="B1863" t="str">
        <f>"63340000"</f>
        <v>63340000</v>
      </c>
      <c r="C1863" t="str">
        <f t="shared" si="105"/>
        <v>ORL633400000</v>
      </c>
      <c r="E1863">
        <v>367</v>
      </c>
      <c r="F1863">
        <v>0</v>
      </c>
      <c r="G1863">
        <f t="shared" si="106"/>
        <v>367</v>
      </c>
    </row>
    <row r="1864" spans="1:10">
      <c r="A1864" t="str">
        <f t="shared" si="104"/>
        <v>ORL</v>
      </c>
      <c r="B1864" t="str">
        <f>"63350000"</f>
        <v>63350000</v>
      </c>
      <c r="C1864" t="str">
        <f t="shared" si="105"/>
        <v>ORL633500000</v>
      </c>
      <c r="E1864">
        <v>555</v>
      </c>
      <c r="F1864">
        <v>0</v>
      </c>
      <c r="G1864">
        <f t="shared" si="106"/>
        <v>555</v>
      </c>
    </row>
    <row r="1865" spans="1:10">
      <c r="A1865" t="str">
        <f t="shared" si="104"/>
        <v>ORL</v>
      </c>
      <c r="B1865" t="str">
        <f>"63511000"</f>
        <v>63511000</v>
      </c>
      <c r="C1865" t="str">
        <f t="shared" si="105"/>
        <v>ORL635110000</v>
      </c>
      <c r="E1865">
        <v>1513</v>
      </c>
      <c r="F1865">
        <v>0</v>
      </c>
      <c r="G1865">
        <f t="shared" si="106"/>
        <v>1513</v>
      </c>
      <c r="I1865" s="26"/>
      <c r="J1865" s="26"/>
    </row>
    <row r="1866" spans="1:10">
      <c r="A1866" t="str">
        <f t="shared" si="104"/>
        <v>ORL</v>
      </c>
      <c r="B1866" t="str">
        <f>"63512000"</f>
        <v>63512000</v>
      </c>
      <c r="C1866" t="str">
        <f t="shared" si="105"/>
        <v>ORL635120000</v>
      </c>
      <c r="E1866">
        <v>5882.87</v>
      </c>
      <c r="F1866">
        <v>0</v>
      </c>
      <c r="G1866">
        <f t="shared" si="106"/>
        <v>5882.87</v>
      </c>
    </row>
    <row r="1867" spans="1:10">
      <c r="A1867" t="str">
        <f t="shared" si="104"/>
        <v>ORL</v>
      </c>
      <c r="B1867" t="str">
        <f>"63514000"</f>
        <v>63514000</v>
      </c>
      <c r="C1867" t="str">
        <f t="shared" si="105"/>
        <v>ORL635140000</v>
      </c>
      <c r="E1867">
        <v>36</v>
      </c>
      <c r="F1867">
        <v>0</v>
      </c>
      <c r="G1867">
        <f t="shared" si="106"/>
        <v>36</v>
      </c>
    </row>
    <row r="1868" spans="1:10">
      <c r="A1868" t="str">
        <f t="shared" si="104"/>
        <v>ORL</v>
      </c>
      <c r="B1868" t="str">
        <f>"63710000"</f>
        <v>63710000</v>
      </c>
      <c r="C1868" t="str">
        <f t="shared" si="105"/>
        <v>ORL637100000</v>
      </c>
      <c r="E1868">
        <v>1754.27</v>
      </c>
      <c r="F1868">
        <v>0</v>
      </c>
      <c r="G1868">
        <f t="shared" si="106"/>
        <v>1754.27</v>
      </c>
    </row>
    <row r="1869" spans="1:10">
      <c r="A1869" t="str">
        <f t="shared" si="104"/>
        <v>ORL</v>
      </c>
      <c r="B1869" t="str">
        <f>"64110000"</f>
        <v>64110000</v>
      </c>
      <c r="C1869" t="str">
        <f t="shared" si="105"/>
        <v>ORL641100000</v>
      </c>
      <c r="E1869">
        <v>89379.07</v>
      </c>
      <c r="F1869">
        <v>0</v>
      </c>
      <c r="G1869">
        <f t="shared" si="106"/>
        <v>89379.07</v>
      </c>
    </row>
    <row r="1870" spans="1:10">
      <c r="A1870" t="str">
        <f t="shared" si="104"/>
        <v>ORL</v>
      </c>
      <c r="B1870" t="str">
        <f>"64111000"</f>
        <v>64111000</v>
      </c>
      <c r="C1870" t="str">
        <f t="shared" si="105"/>
        <v>ORL641110000</v>
      </c>
      <c r="E1870">
        <v>-50</v>
      </c>
      <c r="F1870">
        <v>0</v>
      </c>
      <c r="G1870">
        <f t="shared" si="106"/>
        <v>-50</v>
      </c>
    </row>
    <row r="1871" spans="1:10">
      <c r="A1871" t="str">
        <f t="shared" si="104"/>
        <v>ORL</v>
      </c>
      <c r="B1871" t="str">
        <f>"64120000"</f>
        <v>64120000</v>
      </c>
      <c r="C1871" t="str">
        <f t="shared" si="105"/>
        <v>ORL641200000</v>
      </c>
      <c r="E1871">
        <v>6806.52</v>
      </c>
      <c r="F1871">
        <v>6580.34</v>
      </c>
      <c r="G1871">
        <f t="shared" si="106"/>
        <v>226.18000000000029</v>
      </c>
    </row>
    <row r="1872" spans="1:10">
      <c r="A1872" t="str">
        <f t="shared" si="104"/>
        <v>ORL</v>
      </c>
      <c r="B1872" t="str">
        <f>"64121000"</f>
        <v>64121000</v>
      </c>
      <c r="C1872" t="str">
        <f t="shared" si="105"/>
        <v>ORL641210000</v>
      </c>
      <c r="E1872">
        <v>2719.89</v>
      </c>
      <c r="F1872">
        <v>2710.44</v>
      </c>
      <c r="G1872">
        <f t="shared" si="106"/>
        <v>9.4499999999998181</v>
      </c>
    </row>
    <row r="1873" spans="1:9">
      <c r="A1873" t="str">
        <f t="shared" si="104"/>
        <v>ORL</v>
      </c>
      <c r="B1873" t="str">
        <f>"64510000"</f>
        <v>64510000</v>
      </c>
      <c r="C1873" t="str">
        <f t="shared" si="105"/>
        <v>ORL645100000</v>
      </c>
      <c r="E1873">
        <v>24668.560000000001</v>
      </c>
      <c r="F1873">
        <v>183.68</v>
      </c>
      <c r="G1873">
        <f t="shared" si="106"/>
        <v>24484.880000000001</v>
      </c>
    </row>
    <row r="1874" spans="1:9">
      <c r="A1874" t="str">
        <f t="shared" si="104"/>
        <v>ORL</v>
      </c>
      <c r="B1874" t="str">
        <f>"64520000"</f>
        <v>64520000</v>
      </c>
      <c r="C1874" t="str">
        <f t="shared" si="105"/>
        <v>ORL645200000</v>
      </c>
      <c r="E1874">
        <v>2747.89</v>
      </c>
      <c r="F1874">
        <v>0</v>
      </c>
      <c r="G1874">
        <f t="shared" si="106"/>
        <v>2747.89</v>
      </c>
    </row>
    <row r="1875" spans="1:9">
      <c r="A1875" t="str">
        <f t="shared" si="104"/>
        <v>ORL</v>
      </c>
      <c r="B1875" t="str">
        <f>"64530000"</f>
        <v>64530000</v>
      </c>
      <c r="C1875" t="str">
        <f t="shared" si="105"/>
        <v>ORL645300000</v>
      </c>
      <c r="E1875">
        <v>5698.88</v>
      </c>
      <c r="F1875">
        <v>0</v>
      </c>
      <c r="G1875">
        <f t="shared" si="106"/>
        <v>5698.88</v>
      </c>
    </row>
    <row r="1876" spans="1:9">
      <c r="A1876" t="str">
        <f t="shared" si="104"/>
        <v>ORL</v>
      </c>
      <c r="B1876" t="str">
        <f>"64540000"</f>
        <v>64540000</v>
      </c>
      <c r="C1876" t="str">
        <f t="shared" si="105"/>
        <v>ORL645400000</v>
      </c>
      <c r="E1876">
        <v>3470.61</v>
      </c>
      <c r="F1876">
        <v>0</v>
      </c>
      <c r="G1876">
        <f t="shared" si="106"/>
        <v>3470.61</v>
      </c>
    </row>
    <row r="1877" spans="1:9">
      <c r="A1877" t="str">
        <f t="shared" si="104"/>
        <v>ORL</v>
      </c>
      <c r="B1877" t="str">
        <f>"64580000"</f>
        <v>64580000</v>
      </c>
      <c r="C1877" t="str">
        <f t="shared" si="105"/>
        <v>ORL645800000</v>
      </c>
      <c r="E1877">
        <v>-138.34</v>
      </c>
      <c r="F1877">
        <v>0</v>
      </c>
      <c r="G1877">
        <f t="shared" si="106"/>
        <v>-138.34</v>
      </c>
    </row>
    <row r="1878" spans="1:9">
      <c r="A1878" t="str">
        <f t="shared" si="104"/>
        <v>ORL</v>
      </c>
      <c r="B1878" t="str">
        <f>"64590000"</f>
        <v>64590000</v>
      </c>
      <c r="C1878" t="str">
        <f t="shared" si="105"/>
        <v>ORL645900000</v>
      </c>
      <c r="E1878">
        <v>-25.52</v>
      </c>
      <c r="F1878">
        <v>0</v>
      </c>
      <c r="G1878">
        <f t="shared" si="106"/>
        <v>-25.52</v>
      </c>
    </row>
    <row r="1879" spans="1:9">
      <c r="A1879" t="str">
        <f t="shared" ref="A1879:A1891" si="107">"ORL"</f>
        <v>ORL</v>
      </c>
      <c r="B1879" t="str">
        <f>"64710000"</f>
        <v>64710000</v>
      </c>
      <c r="C1879" t="str">
        <f t="shared" si="105"/>
        <v>ORL647100000</v>
      </c>
      <c r="E1879">
        <v>39.6</v>
      </c>
      <c r="F1879">
        <v>0</v>
      </c>
      <c r="G1879">
        <f t="shared" si="106"/>
        <v>39.6</v>
      </c>
    </row>
    <row r="1880" spans="1:9">
      <c r="A1880" t="str">
        <f t="shared" si="107"/>
        <v>ORL</v>
      </c>
      <c r="B1880" t="str">
        <f>"64750000"</f>
        <v>64750000</v>
      </c>
      <c r="C1880" t="str">
        <f t="shared" si="105"/>
        <v>ORL647500000</v>
      </c>
      <c r="E1880">
        <v>118</v>
      </c>
      <c r="F1880">
        <v>0</v>
      </c>
      <c r="G1880">
        <f t="shared" si="106"/>
        <v>118</v>
      </c>
    </row>
    <row r="1881" spans="1:9">
      <c r="A1881" t="str">
        <f t="shared" si="107"/>
        <v>ORL</v>
      </c>
      <c r="B1881" t="str">
        <f>"64800000"</f>
        <v>64800000</v>
      </c>
      <c r="C1881" t="str">
        <f t="shared" si="105"/>
        <v>ORL648000000</v>
      </c>
      <c r="E1881" s="19">
        <v>7263.2748000000001</v>
      </c>
      <c r="F1881">
        <v>0</v>
      </c>
      <c r="G1881" s="19">
        <f t="shared" si="106"/>
        <v>7263.2748000000001</v>
      </c>
      <c r="H1881" s="433">
        <v>5426.8447999999999</v>
      </c>
      <c r="I1881" s="113" t="s">
        <v>531</v>
      </c>
    </row>
    <row r="1882" spans="1:9">
      <c r="A1882" t="str">
        <f t="shared" si="107"/>
        <v>ORL</v>
      </c>
      <c r="B1882" t="str">
        <f>"65410000"</f>
        <v>65410000</v>
      </c>
      <c r="C1882" t="str">
        <f t="shared" si="105"/>
        <v>ORL654100000</v>
      </c>
      <c r="E1882">
        <v>3.69</v>
      </c>
      <c r="F1882">
        <v>0.06</v>
      </c>
      <c r="G1882">
        <f t="shared" si="106"/>
        <v>3.63</v>
      </c>
    </row>
    <row r="1883" spans="1:9">
      <c r="A1883" t="str">
        <f t="shared" si="107"/>
        <v>ORL</v>
      </c>
      <c r="B1883" t="str">
        <f>"65420000"</f>
        <v>65420000</v>
      </c>
      <c r="C1883" t="str">
        <f t="shared" si="105"/>
        <v>ORL654200000</v>
      </c>
      <c r="E1883">
        <v>-3.59</v>
      </c>
      <c r="F1883">
        <v>0</v>
      </c>
      <c r="G1883">
        <f t="shared" si="106"/>
        <v>-3.59</v>
      </c>
    </row>
    <row r="1884" spans="1:9">
      <c r="A1884" t="str">
        <f t="shared" si="107"/>
        <v>ORL</v>
      </c>
      <c r="B1884" t="str">
        <f>"65440000"</f>
        <v>65440000</v>
      </c>
      <c r="C1884" t="str">
        <f t="shared" si="105"/>
        <v>ORL654400000</v>
      </c>
      <c r="E1884">
        <v>0</v>
      </c>
      <c r="F1884">
        <v>0</v>
      </c>
      <c r="G1884">
        <f t="shared" si="106"/>
        <v>0</v>
      </c>
    </row>
    <row r="1885" spans="1:9">
      <c r="A1885" t="str">
        <f t="shared" si="107"/>
        <v>ORL</v>
      </c>
      <c r="B1885" t="str">
        <f>"66500000"</f>
        <v>66500000</v>
      </c>
      <c r="C1885" t="str">
        <f t="shared" si="105"/>
        <v>ORL665000000</v>
      </c>
      <c r="E1885">
        <v>1947.52</v>
      </c>
      <c r="F1885">
        <v>0</v>
      </c>
      <c r="G1885">
        <f t="shared" si="106"/>
        <v>1947.52</v>
      </c>
    </row>
    <row r="1886" spans="1:9">
      <c r="A1886" t="str">
        <f t="shared" si="107"/>
        <v>ORL</v>
      </c>
      <c r="B1886" t="str">
        <f>"67180000"</f>
        <v>67180000</v>
      </c>
      <c r="C1886" t="str">
        <f t="shared" si="105"/>
        <v>ORL671800000</v>
      </c>
      <c r="E1886">
        <v>392.07</v>
      </c>
      <c r="F1886">
        <v>0</v>
      </c>
      <c r="G1886">
        <f t="shared" si="106"/>
        <v>392.07</v>
      </c>
    </row>
    <row r="1887" spans="1:9">
      <c r="A1887" t="str">
        <f t="shared" si="107"/>
        <v>ORL</v>
      </c>
      <c r="B1887" t="str">
        <f>"68112000"</f>
        <v>68112000</v>
      </c>
      <c r="C1887" t="str">
        <f t="shared" si="105"/>
        <v>ORL681120000</v>
      </c>
      <c r="E1887">
        <v>17866.07</v>
      </c>
      <c r="F1887">
        <v>0</v>
      </c>
      <c r="G1887">
        <f t="shared" si="106"/>
        <v>17866.07</v>
      </c>
    </row>
    <row r="1888" spans="1:9">
      <c r="A1888" t="str">
        <f t="shared" si="107"/>
        <v>ORL</v>
      </c>
      <c r="B1888" t="str">
        <f>"68150000"</f>
        <v>68150000</v>
      </c>
      <c r="C1888" t="str">
        <f t="shared" si="105"/>
        <v>ORL681500000</v>
      </c>
      <c r="E1888">
        <v>15821</v>
      </c>
      <c r="F1888">
        <v>0</v>
      </c>
      <c r="G1888">
        <f t="shared" si="106"/>
        <v>15821</v>
      </c>
    </row>
    <row r="1889" spans="1:7">
      <c r="A1889" t="str">
        <f t="shared" si="107"/>
        <v>ORL</v>
      </c>
      <c r="B1889" t="str">
        <f>"68173000"</f>
        <v>68173000</v>
      </c>
      <c r="C1889" t="str">
        <f t="shared" si="105"/>
        <v>ORL681730000</v>
      </c>
      <c r="E1889">
        <v>5221.9799999999996</v>
      </c>
      <c r="F1889">
        <v>0</v>
      </c>
      <c r="G1889">
        <f t="shared" si="106"/>
        <v>5221.9799999999996</v>
      </c>
    </row>
    <row r="1890" spans="1:7">
      <c r="A1890" t="str">
        <f t="shared" si="107"/>
        <v>ORL</v>
      </c>
      <c r="B1890" t="str">
        <f>"68174000"</f>
        <v>68174000</v>
      </c>
      <c r="C1890" t="str">
        <f t="shared" si="105"/>
        <v>ORL681740000</v>
      </c>
      <c r="E1890">
        <v>4020.06</v>
      </c>
      <c r="F1890">
        <v>0</v>
      </c>
      <c r="G1890">
        <f t="shared" si="106"/>
        <v>4020.06</v>
      </c>
    </row>
    <row r="1891" spans="1:7">
      <c r="A1891" t="str">
        <f t="shared" si="107"/>
        <v>ORL</v>
      </c>
      <c r="B1891" t="str">
        <f>"68725000"</f>
        <v>68725000</v>
      </c>
      <c r="C1891" t="str">
        <f t="shared" si="105"/>
        <v>ORL687250000</v>
      </c>
      <c r="E1891">
        <v>1135.45</v>
      </c>
      <c r="F1891">
        <v>0</v>
      </c>
      <c r="G1891">
        <f t="shared" si="106"/>
        <v>1135.45</v>
      </c>
    </row>
    <row r="1892" spans="1:7">
      <c r="A1892" t="str">
        <f t="shared" ref="A1892:A1953" si="108">"REN"</f>
        <v>REN</v>
      </c>
      <c r="B1892" t="str">
        <f>"60610000"</f>
        <v>60610000</v>
      </c>
      <c r="C1892" t="str">
        <f t="shared" si="105"/>
        <v>REN606100000</v>
      </c>
      <c r="E1892">
        <v>1097.8</v>
      </c>
      <c r="F1892">
        <v>0</v>
      </c>
      <c r="G1892">
        <f t="shared" si="106"/>
        <v>1097.8</v>
      </c>
    </row>
    <row r="1893" spans="1:7">
      <c r="A1893" t="str">
        <f t="shared" si="108"/>
        <v>REN</v>
      </c>
      <c r="B1893" t="str">
        <f>"60613000"</f>
        <v>60613000</v>
      </c>
      <c r="C1893" t="str">
        <f t="shared" si="105"/>
        <v>REN606130000</v>
      </c>
      <c r="E1893">
        <v>2158.2600000000002</v>
      </c>
      <c r="F1893">
        <v>0</v>
      </c>
      <c r="G1893">
        <f t="shared" si="106"/>
        <v>2158.2600000000002</v>
      </c>
    </row>
    <row r="1894" spans="1:7">
      <c r="A1894" t="str">
        <f t="shared" si="108"/>
        <v>REN</v>
      </c>
      <c r="B1894" t="str">
        <f>"60641000"</f>
        <v>60641000</v>
      </c>
      <c r="C1894" t="str">
        <f t="shared" si="105"/>
        <v>REN606410000</v>
      </c>
      <c r="E1894">
        <v>1310.74</v>
      </c>
      <c r="F1894">
        <v>0</v>
      </c>
      <c r="G1894">
        <f t="shared" si="106"/>
        <v>1310.74</v>
      </c>
    </row>
    <row r="1895" spans="1:7">
      <c r="A1895" t="str">
        <f t="shared" si="108"/>
        <v>REN</v>
      </c>
      <c r="B1895" t="str">
        <f>"60710000"</f>
        <v>60710000</v>
      </c>
      <c r="C1895" t="str">
        <f t="shared" si="105"/>
        <v>REN607100000</v>
      </c>
      <c r="E1895">
        <v>119198.62</v>
      </c>
      <c r="F1895">
        <v>29.57</v>
      </c>
      <c r="G1895">
        <f t="shared" si="106"/>
        <v>119169.04999999999</v>
      </c>
    </row>
    <row r="1896" spans="1:7">
      <c r="A1896" t="str">
        <f t="shared" si="108"/>
        <v>REN</v>
      </c>
      <c r="B1896" t="str">
        <f>"60711000"</f>
        <v>60711000</v>
      </c>
      <c r="C1896" t="str">
        <f t="shared" si="105"/>
        <v>REN607110000</v>
      </c>
      <c r="E1896">
        <v>31236.33</v>
      </c>
      <c r="F1896">
        <v>0</v>
      </c>
      <c r="G1896">
        <f t="shared" si="106"/>
        <v>31236.33</v>
      </c>
    </row>
    <row r="1897" spans="1:7">
      <c r="A1897" t="str">
        <f t="shared" si="108"/>
        <v>REN</v>
      </c>
      <c r="B1897" t="str">
        <f>"60712000"</f>
        <v>60712000</v>
      </c>
      <c r="C1897" t="str">
        <f t="shared" si="105"/>
        <v>REN607120000</v>
      </c>
      <c r="E1897">
        <v>-407.11</v>
      </c>
      <c r="F1897">
        <v>0</v>
      </c>
      <c r="G1897">
        <f t="shared" si="106"/>
        <v>-407.11</v>
      </c>
    </row>
    <row r="1898" spans="1:7">
      <c r="A1898" t="str">
        <f t="shared" si="108"/>
        <v>REN</v>
      </c>
      <c r="B1898" t="str">
        <f>"60713000"</f>
        <v>60713000</v>
      </c>
      <c r="C1898" t="str">
        <f t="shared" si="105"/>
        <v>REN607130000</v>
      </c>
      <c r="E1898">
        <v>71261</v>
      </c>
      <c r="F1898">
        <v>0</v>
      </c>
      <c r="G1898">
        <f t="shared" si="106"/>
        <v>71261</v>
      </c>
    </row>
    <row r="1899" spans="1:7">
      <c r="A1899" t="str">
        <f t="shared" si="108"/>
        <v>REN</v>
      </c>
      <c r="B1899" t="str">
        <f>"60714000"</f>
        <v>60714000</v>
      </c>
      <c r="C1899" t="str">
        <f t="shared" si="105"/>
        <v>REN607140000</v>
      </c>
      <c r="E1899">
        <v>-49074</v>
      </c>
      <c r="F1899">
        <v>0</v>
      </c>
      <c r="G1899">
        <f t="shared" si="106"/>
        <v>-49074</v>
      </c>
    </row>
    <row r="1900" spans="1:7">
      <c r="A1900" t="str">
        <f t="shared" si="108"/>
        <v>REN</v>
      </c>
      <c r="B1900" t="str">
        <f>"60720000"</f>
        <v>60720000</v>
      </c>
      <c r="C1900" t="str">
        <f t="shared" si="105"/>
        <v>REN607200000</v>
      </c>
      <c r="E1900">
        <v>131943.21</v>
      </c>
      <c r="F1900">
        <v>0</v>
      </c>
      <c r="G1900">
        <f t="shared" si="106"/>
        <v>131943.21</v>
      </c>
    </row>
    <row r="1901" spans="1:7">
      <c r="A1901" t="str">
        <f t="shared" si="108"/>
        <v>REN</v>
      </c>
      <c r="B1901" t="str">
        <f>"60740000"</f>
        <v>60740000</v>
      </c>
      <c r="C1901" t="str">
        <f t="shared" si="105"/>
        <v>REN607400000</v>
      </c>
      <c r="E1901">
        <v>4053.96</v>
      </c>
      <c r="F1901">
        <v>0</v>
      </c>
      <c r="G1901">
        <f t="shared" si="106"/>
        <v>4053.96</v>
      </c>
    </row>
    <row r="1902" spans="1:7">
      <c r="A1902" t="str">
        <f t="shared" si="108"/>
        <v>REN</v>
      </c>
      <c r="B1902" t="str">
        <f>"60800000"</f>
        <v>60800000</v>
      </c>
      <c r="C1902" t="str">
        <f t="shared" si="105"/>
        <v>REN608000000</v>
      </c>
      <c r="E1902">
        <v>5190</v>
      </c>
      <c r="F1902">
        <v>0</v>
      </c>
      <c r="G1902">
        <f t="shared" si="106"/>
        <v>5190</v>
      </c>
    </row>
    <row r="1903" spans="1:7">
      <c r="A1903" t="str">
        <f t="shared" si="108"/>
        <v>REN</v>
      </c>
      <c r="B1903" t="str">
        <f>"60911000"</f>
        <v>60911000</v>
      </c>
      <c r="C1903" t="str">
        <f t="shared" si="105"/>
        <v>REN609110000</v>
      </c>
      <c r="E1903">
        <v>-4389.84</v>
      </c>
      <c r="F1903">
        <v>0</v>
      </c>
      <c r="G1903">
        <f t="shared" si="106"/>
        <v>-4389.84</v>
      </c>
    </row>
    <row r="1904" spans="1:7">
      <c r="A1904" t="str">
        <f t="shared" si="108"/>
        <v>REN</v>
      </c>
      <c r="B1904" t="str">
        <f>"60912000"</f>
        <v>60912000</v>
      </c>
      <c r="C1904" t="str">
        <f t="shared" si="105"/>
        <v>REN609120000</v>
      </c>
      <c r="E1904">
        <v>-9335.14</v>
      </c>
      <c r="F1904">
        <v>0</v>
      </c>
      <c r="G1904">
        <f t="shared" si="106"/>
        <v>-9335.14</v>
      </c>
    </row>
    <row r="1905" spans="1:7">
      <c r="A1905" t="str">
        <f t="shared" si="108"/>
        <v>REN</v>
      </c>
      <c r="B1905" t="str">
        <f>"60913000"</f>
        <v>60913000</v>
      </c>
      <c r="C1905" t="str">
        <f t="shared" si="105"/>
        <v>REN609130000</v>
      </c>
      <c r="E1905">
        <v>-5334.36</v>
      </c>
      <c r="F1905">
        <v>0</v>
      </c>
      <c r="G1905">
        <f t="shared" si="106"/>
        <v>-5334.36</v>
      </c>
    </row>
    <row r="1906" spans="1:7">
      <c r="A1906" t="str">
        <f t="shared" si="108"/>
        <v>REN</v>
      </c>
      <c r="B1906" t="str">
        <f>"61100000"</f>
        <v>61100000</v>
      </c>
      <c r="C1906" t="str">
        <f t="shared" si="105"/>
        <v>REN611000000</v>
      </c>
      <c r="E1906">
        <v>7.5</v>
      </c>
      <c r="F1906">
        <v>0</v>
      </c>
      <c r="G1906">
        <f t="shared" si="106"/>
        <v>7.5</v>
      </c>
    </row>
    <row r="1907" spans="1:7">
      <c r="A1907" t="str">
        <f t="shared" si="108"/>
        <v>REN</v>
      </c>
      <c r="B1907" t="str">
        <f>"61320000"</f>
        <v>61320000</v>
      </c>
      <c r="C1907" t="str">
        <f t="shared" si="105"/>
        <v>REN613200000</v>
      </c>
      <c r="E1907">
        <v>24753.51</v>
      </c>
      <c r="F1907">
        <v>0</v>
      </c>
      <c r="G1907">
        <f t="shared" si="106"/>
        <v>24753.51</v>
      </c>
    </row>
    <row r="1908" spans="1:7">
      <c r="A1908" t="str">
        <f t="shared" si="108"/>
        <v>REN</v>
      </c>
      <c r="B1908" t="str">
        <f>"61352000"</f>
        <v>61352000</v>
      </c>
      <c r="C1908" t="str">
        <f t="shared" si="105"/>
        <v>REN613520000</v>
      </c>
      <c r="E1908">
        <v>3797.4</v>
      </c>
      <c r="F1908">
        <v>0</v>
      </c>
      <c r="G1908">
        <f t="shared" si="106"/>
        <v>3797.4</v>
      </c>
    </row>
    <row r="1909" spans="1:7">
      <c r="A1909" t="str">
        <f t="shared" si="108"/>
        <v>REN</v>
      </c>
      <c r="B1909" t="str">
        <f>"61353000"</f>
        <v>61353000</v>
      </c>
      <c r="C1909" t="str">
        <f t="shared" si="105"/>
        <v>REN613530000</v>
      </c>
      <c r="E1909">
        <v>180</v>
      </c>
      <c r="F1909">
        <v>0</v>
      </c>
      <c r="G1909">
        <f t="shared" si="106"/>
        <v>180</v>
      </c>
    </row>
    <row r="1910" spans="1:7">
      <c r="A1910" t="str">
        <f t="shared" si="108"/>
        <v>REN</v>
      </c>
      <c r="B1910" t="str">
        <f>"61400000"</f>
        <v>61400000</v>
      </c>
      <c r="C1910" t="str">
        <f t="shared" si="105"/>
        <v>REN614000000</v>
      </c>
      <c r="E1910">
        <v>4314.29</v>
      </c>
      <c r="F1910">
        <v>0</v>
      </c>
      <c r="G1910">
        <f t="shared" si="106"/>
        <v>4314.29</v>
      </c>
    </row>
    <row r="1911" spans="1:7">
      <c r="A1911" t="str">
        <f t="shared" si="108"/>
        <v>REN</v>
      </c>
      <c r="B1911" t="str">
        <f>"61520000"</f>
        <v>61520000</v>
      </c>
      <c r="C1911" t="str">
        <f t="shared" si="105"/>
        <v>REN615200000</v>
      </c>
      <c r="E1911">
        <v>852.93</v>
      </c>
      <c r="F1911">
        <v>0</v>
      </c>
      <c r="G1911">
        <f t="shared" si="106"/>
        <v>852.93</v>
      </c>
    </row>
    <row r="1912" spans="1:7">
      <c r="A1912" t="str">
        <f t="shared" si="108"/>
        <v>REN</v>
      </c>
      <c r="B1912" t="str">
        <f>"61550000"</f>
        <v>61550000</v>
      </c>
      <c r="C1912" t="str">
        <f t="shared" si="105"/>
        <v>REN615500000</v>
      </c>
      <c r="E1912">
        <v>0</v>
      </c>
      <c r="F1912">
        <v>-571.59</v>
      </c>
      <c r="G1912">
        <f t="shared" si="106"/>
        <v>571.59</v>
      </c>
    </row>
    <row r="1913" spans="1:7">
      <c r="A1913" t="str">
        <f t="shared" si="108"/>
        <v>REN</v>
      </c>
      <c r="B1913" t="str">
        <f>"61551000"</f>
        <v>61551000</v>
      </c>
      <c r="C1913" t="str">
        <f t="shared" si="105"/>
        <v>REN615510000</v>
      </c>
      <c r="E1913">
        <v>389.58</v>
      </c>
      <c r="F1913">
        <v>0</v>
      </c>
      <c r="G1913">
        <f t="shared" si="106"/>
        <v>389.58</v>
      </c>
    </row>
    <row r="1914" spans="1:7">
      <c r="A1914" t="str">
        <f t="shared" si="108"/>
        <v>REN</v>
      </c>
      <c r="B1914" t="str">
        <f>"61552000"</f>
        <v>61552000</v>
      </c>
      <c r="C1914" t="str">
        <f t="shared" si="105"/>
        <v>REN615520000</v>
      </c>
      <c r="E1914">
        <v>1395.39</v>
      </c>
      <c r="F1914">
        <v>0</v>
      </c>
      <c r="G1914">
        <f t="shared" si="106"/>
        <v>1395.39</v>
      </c>
    </row>
    <row r="1915" spans="1:7">
      <c r="A1915" t="str">
        <f t="shared" si="108"/>
        <v>REN</v>
      </c>
      <c r="B1915" t="str">
        <f>"61612000"</f>
        <v>61612000</v>
      </c>
      <c r="C1915" t="str">
        <f t="shared" si="105"/>
        <v>REN616120000</v>
      </c>
      <c r="E1915">
        <v>754.36</v>
      </c>
      <c r="F1915">
        <v>0</v>
      </c>
      <c r="G1915">
        <f t="shared" si="106"/>
        <v>754.36</v>
      </c>
    </row>
    <row r="1916" spans="1:7">
      <c r="A1916" t="str">
        <f t="shared" si="108"/>
        <v>REN</v>
      </c>
      <c r="B1916" t="str">
        <f>"61613000"</f>
        <v>61613000</v>
      </c>
      <c r="C1916" t="str">
        <f t="shared" si="105"/>
        <v>REN616130000</v>
      </c>
      <c r="E1916">
        <v>2256.1799999999998</v>
      </c>
      <c r="F1916">
        <v>0</v>
      </c>
      <c r="G1916">
        <f t="shared" si="106"/>
        <v>2256.1799999999998</v>
      </c>
    </row>
    <row r="1917" spans="1:7">
      <c r="A1917" t="str">
        <f t="shared" si="108"/>
        <v>REN</v>
      </c>
      <c r="B1917" t="str">
        <f>"61810000"</f>
        <v>61810000</v>
      </c>
      <c r="C1917" t="str">
        <f t="shared" si="105"/>
        <v>REN618100000</v>
      </c>
      <c r="E1917">
        <v>74.8</v>
      </c>
      <c r="F1917">
        <v>0</v>
      </c>
      <c r="G1917">
        <f t="shared" si="106"/>
        <v>74.8</v>
      </c>
    </row>
    <row r="1918" spans="1:7">
      <c r="A1918" t="str">
        <f t="shared" si="108"/>
        <v>REN</v>
      </c>
      <c r="B1918" t="str">
        <f>"61850000"</f>
        <v>61850000</v>
      </c>
      <c r="C1918" t="str">
        <f t="shared" si="105"/>
        <v>REN618500000</v>
      </c>
      <c r="E1918">
        <v>404.22</v>
      </c>
      <c r="F1918">
        <v>0</v>
      </c>
      <c r="G1918">
        <f t="shared" si="106"/>
        <v>404.22</v>
      </c>
    </row>
    <row r="1919" spans="1:7">
      <c r="A1919" t="str">
        <f t="shared" si="108"/>
        <v>REN</v>
      </c>
      <c r="B1919" t="str">
        <f>"62260000"</f>
        <v>62260000</v>
      </c>
      <c r="C1919" t="str">
        <f t="shared" si="105"/>
        <v>REN622600000</v>
      </c>
      <c r="E1919">
        <v>678.85</v>
      </c>
      <c r="F1919">
        <v>0</v>
      </c>
      <c r="G1919">
        <f t="shared" si="106"/>
        <v>678.85</v>
      </c>
    </row>
    <row r="1920" spans="1:7">
      <c r="A1920" t="str">
        <f t="shared" si="108"/>
        <v>REN</v>
      </c>
      <c r="B1920" t="str">
        <f>"62270000"</f>
        <v>62270000</v>
      </c>
      <c r="C1920" t="str">
        <f t="shared" si="105"/>
        <v>REN622700000</v>
      </c>
      <c r="E1920">
        <v>18.62</v>
      </c>
      <c r="F1920">
        <v>0</v>
      </c>
      <c r="G1920">
        <f t="shared" si="106"/>
        <v>18.62</v>
      </c>
    </row>
    <row r="1921" spans="1:7">
      <c r="A1921" t="str">
        <f t="shared" si="108"/>
        <v>REN</v>
      </c>
      <c r="B1921" t="str">
        <f>"62310000"</f>
        <v>62310000</v>
      </c>
      <c r="C1921" t="str">
        <f t="shared" si="105"/>
        <v>REN623100000</v>
      </c>
      <c r="E1921">
        <v>774.3</v>
      </c>
      <c r="F1921">
        <v>0</v>
      </c>
      <c r="G1921">
        <f t="shared" si="106"/>
        <v>774.3</v>
      </c>
    </row>
    <row r="1922" spans="1:7">
      <c r="A1922" t="str">
        <f t="shared" si="108"/>
        <v>REN</v>
      </c>
      <c r="B1922" t="str">
        <f>"62320000"</f>
        <v>62320000</v>
      </c>
      <c r="C1922" t="str">
        <f t="shared" si="105"/>
        <v>REN623200000</v>
      </c>
      <c r="E1922">
        <v>4716.3999999999996</v>
      </c>
      <c r="F1922">
        <v>0</v>
      </c>
      <c r="G1922">
        <f t="shared" si="106"/>
        <v>4716.3999999999996</v>
      </c>
    </row>
    <row r="1923" spans="1:7">
      <c r="A1923" t="str">
        <f t="shared" si="108"/>
        <v>REN</v>
      </c>
      <c r="B1923" t="str">
        <f>"62341000"</f>
        <v>62341000</v>
      </c>
      <c r="C1923" t="str">
        <f t="shared" ref="C1923:C1986" si="109">+A1923&amp;B1923*10</f>
        <v>REN623410000</v>
      </c>
      <c r="E1923">
        <v>2575.9499999999998</v>
      </c>
      <c r="F1923">
        <v>0</v>
      </c>
      <c r="G1923">
        <f t="shared" ref="G1923:G1986" si="110">+E1923-F1923</f>
        <v>2575.9499999999998</v>
      </c>
    </row>
    <row r="1924" spans="1:7">
      <c r="A1924" t="str">
        <f t="shared" si="108"/>
        <v>REN</v>
      </c>
      <c r="B1924" t="str">
        <f>"62342000"</f>
        <v>62342000</v>
      </c>
      <c r="C1924" t="str">
        <f t="shared" si="109"/>
        <v>REN623420000</v>
      </c>
      <c r="E1924">
        <v>-122.52</v>
      </c>
      <c r="F1924">
        <v>0</v>
      </c>
      <c r="G1924">
        <f t="shared" si="110"/>
        <v>-122.52</v>
      </c>
    </row>
    <row r="1925" spans="1:7">
      <c r="A1925" t="str">
        <f t="shared" si="108"/>
        <v>REN</v>
      </c>
      <c r="B1925" t="str">
        <f>"62370000"</f>
        <v>62370000</v>
      </c>
      <c r="C1925" t="str">
        <f t="shared" si="109"/>
        <v>REN623700000</v>
      </c>
      <c r="E1925">
        <v>1260.8900000000001</v>
      </c>
      <c r="F1925">
        <v>-221.9</v>
      </c>
      <c r="G1925">
        <f t="shared" si="110"/>
        <v>1482.7900000000002</v>
      </c>
    </row>
    <row r="1926" spans="1:7">
      <c r="A1926" t="str">
        <f t="shared" si="108"/>
        <v>REN</v>
      </c>
      <c r="B1926" t="str">
        <f>"62380000"</f>
        <v>62380000</v>
      </c>
      <c r="C1926" t="str">
        <f t="shared" si="109"/>
        <v>REN623800000</v>
      </c>
      <c r="E1926">
        <v>5</v>
      </c>
      <c r="F1926">
        <v>0</v>
      </c>
      <c r="G1926">
        <f t="shared" si="110"/>
        <v>5</v>
      </c>
    </row>
    <row r="1927" spans="1:7">
      <c r="A1927" t="str">
        <f t="shared" si="108"/>
        <v>REN</v>
      </c>
      <c r="B1927" t="str">
        <f>"62381000"</f>
        <v>62381000</v>
      </c>
      <c r="C1927" t="str">
        <f t="shared" si="109"/>
        <v>REN623810000</v>
      </c>
      <c r="E1927">
        <v>0</v>
      </c>
      <c r="F1927">
        <v>0</v>
      </c>
      <c r="G1927">
        <f t="shared" si="110"/>
        <v>0</v>
      </c>
    </row>
    <row r="1928" spans="1:7">
      <c r="A1928" t="str">
        <f t="shared" si="108"/>
        <v>REN</v>
      </c>
      <c r="B1928" t="str">
        <f>"62420000"</f>
        <v>62420000</v>
      </c>
      <c r="C1928" t="str">
        <f t="shared" si="109"/>
        <v>REN624200000</v>
      </c>
      <c r="E1928">
        <v>9054.59</v>
      </c>
      <c r="F1928">
        <v>0</v>
      </c>
      <c r="G1928">
        <f t="shared" si="110"/>
        <v>9054.59</v>
      </c>
    </row>
    <row r="1929" spans="1:7">
      <c r="A1929" t="str">
        <f t="shared" si="108"/>
        <v>REN</v>
      </c>
      <c r="B1929" t="str">
        <f>"62510000"</f>
        <v>62510000</v>
      </c>
      <c r="C1929" t="str">
        <f t="shared" si="109"/>
        <v>REN625100000</v>
      </c>
      <c r="E1929">
        <v>14783.62</v>
      </c>
      <c r="F1929">
        <v>0</v>
      </c>
      <c r="G1929">
        <f t="shared" si="110"/>
        <v>14783.62</v>
      </c>
    </row>
    <row r="1930" spans="1:7">
      <c r="A1930" t="str">
        <f t="shared" si="108"/>
        <v>REN</v>
      </c>
      <c r="B1930" t="str">
        <f>"62520000"</f>
        <v>62520000</v>
      </c>
      <c r="C1930" t="str">
        <f t="shared" si="109"/>
        <v>REN625200000</v>
      </c>
      <c r="E1930">
        <v>247.41</v>
      </c>
      <c r="F1930">
        <v>0</v>
      </c>
      <c r="G1930">
        <f t="shared" si="110"/>
        <v>247.41</v>
      </c>
    </row>
    <row r="1931" spans="1:7">
      <c r="A1931" t="str">
        <f t="shared" si="108"/>
        <v>REN</v>
      </c>
      <c r="B1931" t="str">
        <f>"62560000"</f>
        <v>62560000</v>
      </c>
      <c r="C1931" t="str">
        <f t="shared" si="109"/>
        <v>REN625600000</v>
      </c>
      <c r="E1931">
        <v>25.23</v>
      </c>
      <c r="F1931">
        <v>0</v>
      </c>
      <c r="G1931">
        <f t="shared" si="110"/>
        <v>25.23</v>
      </c>
    </row>
    <row r="1932" spans="1:7">
      <c r="A1932" t="str">
        <f t="shared" si="108"/>
        <v>REN</v>
      </c>
      <c r="B1932" t="str">
        <f>"62570000"</f>
        <v>62570000</v>
      </c>
      <c r="C1932" t="str">
        <f t="shared" si="109"/>
        <v>REN625700000</v>
      </c>
      <c r="E1932">
        <v>3499.01</v>
      </c>
      <c r="F1932">
        <v>0</v>
      </c>
      <c r="G1932">
        <f t="shared" si="110"/>
        <v>3499.01</v>
      </c>
    </row>
    <row r="1933" spans="1:7">
      <c r="A1933" t="str">
        <f t="shared" si="108"/>
        <v>REN</v>
      </c>
      <c r="B1933" t="str">
        <f>"62571000"</f>
        <v>62571000</v>
      </c>
      <c r="C1933" t="str">
        <f t="shared" si="109"/>
        <v>REN625710000</v>
      </c>
      <c r="E1933">
        <v>2090.1999999999998</v>
      </c>
      <c r="F1933">
        <v>0</v>
      </c>
      <c r="G1933">
        <f t="shared" si="110"/>
        <v>2090.1999999999998</v>
      </c>
    </row>
    <row r="1934" spans="1:7">
      <c r="A1934" t="str">
        <f t="shared" si="108"/>
        <v>REN</v>
      </c>
      <c r="B1934" t="str">
        <f>"62600000"</f>
        <v>62600000</v>
      </c>
      <c r="C1934" t="str">
        <f t="shared" si="109"/>
        <v>REN626000000</v>
      </c>
      <c r="E1934">
        <v>3742.19</v>
      </c>
      <c r="F1934">
        <v>0</v>
      </c>
      <c r="G1934">
        <f t="shared" si="110"/>
        <v>3742.19</v>
      </c>
    </row>
    <row r="1935" spans="1:7">
      <c r="A1935" t="str">
        <f t="shared" si="108"/>
        <v>REN</v>
      </c>
      <c r="B1935" t="str">
        <f>"62610000"</f>
        <v>62610000</v>
      </c>
      <c r="C1935" t="str">
        <f t="shared" si="109"/>
        <v>REN626100000</v>
      </c>
      <c r="E1935">
        <v>7415.63</v>
      </c>
      <c r="F1935">
        <v>6879.61</v>
      </c>
      <c r="G1935">
        <f t="shared" si="110"/>
        <v>536.02000000000044</v>
      </c>
    </row>
    <row r="1936" spans="1:7">
      <c r="A1936" t="str">
        <f t="shared" si="108"/>
        <v>REN</v>
      </c>
      <c r="B1936" t="str">
        <f>"62752000"</f>
        <v>62752000</v>
      </c>
      <c r="C1936" t="str">
        <f t="shared" si="109"/>
        <v>REN627520000</v>
      </c>
      <c r="E1936">
        <v>370.7</v>
      </c>
      <c r="F1936">
        <v>0</v>
      </c>
      <c r="G1936">
        <f t="shared" si="110"/>
        <v>370.7</v>
      </c>
    </row>
    <row r="1937" spans="1:7">
      <c r="A1937" t="str">
        <f t="shared" si="108"/>
        <v>REN</v>
      </c>
      <c r="B1937" t="str">
        <f>"63330000"</f>
        <v>63330000</v>
      </c>
      <c r="C1937" t="str">
        <f t="shared" si="109"/>
        <v>REN633300000</v>
      </c>
      <c r="E1937">
        <v>391</v>
      </c>
      <c r="F1937">
        <v>0</v>
      </c>
      <c r="G1937">
        <f t="shared" si="110"/>
        <v>391</v>
      </c>
    </row>
    <row r="1938" spans="1:7">
      <c r="A1938" t="str">
        <f t="shared" si="108"/>
        <v>REN</v>
      </c>
      <c r="B1938" t="str">
        <f>"63340000"</f>
        <v>63340000</v>
      </c>
      <c r="C1938" t="str">
        <f t="shared" si="109"/>
        <v>REN633400000</v>
      </c>
      <c r="E1938">
        <v>215</v>
      </c>
      <c r="F1938">
        <v>0</v>
      </c>
      <c r="G1938">
        <f t="shared" si="110"/>
        <v>215</v>
      </c>
    </row>
    <row r="1939" spans="1:7">
      <c r="A1939" t="str">
        <f t="shared" si="108"/>
        <v>REN</v>
      </c>
      <c r="B1939" t="str">
        <f>"63350000"</f>
        <v>63350000</v>
      </c>
      <c r="C1939" t="str">
        <f t="shared" si="109"/>
        <v>REN633500000</v>
      </c>
      <c r="E1939">
        <v>325</v>
      </c>
      <c r="F1939">
        <v>0</v>
      </c>
      <c r="G1939">
        <f t="shared" si="110"/>
        <v>325</v>
      </c>
    </row>
    <row r="1940" spans="1:7">
      <c r="A1940" t="str">
        <f t="shared" si="108"/>
        <v>REN</v>
      </c>
      <c r="B1940" t="str">
        <f>"63511000"</f>
        <v>63511000</v>
      </c>
      <c r="C1940" t="str">
        <f t="shared" si="109"/>
        <v>REN635110000</v>
      </c>
      <c r="E1940">
        <v>5553</v>
      </c>
      <c r="F1940">
        <v>0</v>
      </c>
      <c r="G1940">
        <f t="shared" si="110"/>
        <v>5553</v>
      </c>
    </row>
    <row r="1941" spans="1:7">
      <c r="A1941" t="str">
        <f t="shared" si="108"/>
        <v>REN</v>
      </c>
      <c r="B1941" t="str">
        <f>"63512000"</f>
        <v>63512000</v>
      </c>
      <c r="C1941" t="str">
        <f t="shared" si="109"/>
        <v>REN635120000</v>
      </c>
      <c r="E1941">
        <v>5314.15</v>
      </c>
      <c r="F1941">
        <v>0</v>
      </c>
      <c r="G1941">
        <f t="shared" si="110"/>
        <v>5314.15</v>
      </c>
    </row>
    <row r="1942" spans="1:7">
      <c r="A1942" t="str">
        <f t="shared" si="108"/>
        <v>REN</v>
      </c>
      <c r="B1942" t="str">
        <f>"63710000"</f>
        <v>63710000</v>
      </c>
      <c r="C1942" t="str">
        <f t="shared" si="109"/>
        <v>REN637100000</v>
      </c>
      <c r="E1942">
        <v>865.26</v>
      </c>
      <c r="F1942">
        <v>0</v>
      </c>
      <c r="G1942">
        <f t="shared" si="110"/>
        <v>865.26</v>
      </c>
    </row>
    <row r="1943" spans="1:7">
      <c r="A1943" t="str">
        <f t="shared" si="108"/>
        <v>REN</v>
      </c>
      <c r="B1943" t="str">
        <f>"64110000"</f>
        <v>64110000</v>
      </c>
      <c r="C1943" t="str">
        <f t="shared" si="109"/>
        <v>REN641100000</v>
      </c>
      <c r="E1943">
        <v>69131.17</v>
      </c>
      <c r="F1943">
        <v>0</v>
      </c>
      <c r="G1943">
        <f t="shared" si="110"/>
        <v>69131.17</v>
      </c>
    </row>
    <row r="1944" spans="1:7">
      <c r="A1944" t="str">
        <f t="shared" si="108"/>
        <v>REN</v>
      </c>
      <c r="B1944" t="str">
        <f>"64111000"</f>
        <v>64111000</v>
      </c>
      <c r="C1944" t="str">
        <f t="shared" si="109"/>
        <v>REN641110000</v>
      </c>
      <c r="E1944">
        <v>400</v>
      </c>
      <c r="F1944">
        <v>0</v>
      </c>
      <c r="G1944">
        <f t="shared" si="110"/>
        <v>400</v>
      </c>
    </row>
    <row r="1945" spans="1:7">
      <c r="A1945" t="str">
        <f t="shared" si="108"/>
        <v>REN</v>
      </c>
      <c r="B1945" t="str">
        <f>"64120000"</f>
        <v>64120000</v>
      </c>
      <c r="C1945" t="str">
        <f t="shared" si="109"/>
        <v>REN641200000</v>
      </c>
      <c r="E1945">
        <v>4020</v>
      </c>
      <c r="F1945">
        <v>3902.81</v>
      </c>
      <c r="G1945">
        <f t="shared" si="110"/>
        <v>117.19000000000005</v>
      </c>
    </row>
    <row r="1946" spans="1:7">
      <c r="A1946" t="str">
        <f t="shared" si="108"/>
        <v>REN</v>
      </c>
      <c r="B1946" t="str">
        <f>"64121000"</f>
        <v>64121000</v>
      </c>
      <c r="C1946" t="str">
        <f t="shared" si="109"/>
        <v>REN641210000</v>
      </c>
      <c r="E1946">
        <v>1673.12</v>
      </c>
      <c r="F1946">
        <v>1504.14</v>
      </c>
      <c r="G1946">
        <f t="shared" si="110"/>
        <v>168.97999999999979</v>
      </c>
    </row>
    <row r="1947" spans="1:7">
      <c r="A1947" t="str">
        <f t="shared" si="108"/>
        <v>REN</v>
      </c>
      <c r="B1947" t="str">
        <f>"64510000"</f>
        <v>64510000</v>
      </c>
      <c r="C1947" t="str">
        <f t="shared" si="109"/>
        <v>REN645100000</v>
      </c>
      <c r="E1947">
        <v>20931.580000000002</v>
      </c>
      <c r="F1947">
        <v>0</v>
      </c>
      <c r="G1947">
        <f t="shared" si="110"/>
        <v>20931.580000000002</v>
      </c>
    </row>
    <row r="1948" spans="1:7">
      <c r="A1948" t="str">
        <f t="shared" si="108"/>
        <v>REN</v>
      </c>
      <c r="B1948" t="str">
        <f>"64520000"</f>
        <v>64520000</v>
      </c>
      <c r="C1948" t="str">
        <f t="shared" si="109"/>
        <v>REN645200000</v>
      </c>
      <c r="E1948">
        <v>1709.54</v>
      </c>
      <c r="F1948">
        <v>0</v>
      </c>
      <c r="G1948">
        <f t="shared" si="110"/>
        <v>1709.54</v>
      </c>
    </row>
    <row r="1949" spans="1:7">
      <c r="A1949" t="str">
        <f t="shared" si="108"/>
        <v>REN</v>
      </c>
      <c r="B1949" t="str">
        <f>"64530000"</f>
        <v>64530000</v>
      </c>
      <c r="C1949" t="str">
        <f t="shared" si="109"/>
        <v>REN645300000</v>
      </c>
      <c r="E1949">
        <v>3622.58</v>
      </c>
      <c r="F1949">
        <v>0</v>
      </c>
      <c r="G1949">
        <f t="shared" si="110"/>
        <v>3622.58</v>
      </c>
    </row>
    <row r="1950" spans="1:7">
      <c r="A1950" t="str">
        <f t="shared" si="108"/>
        <v>REN</v>
      </c>
      <c r="B1950" t="str">
        <f>"64540000"</f>
        <v>64540000</v>
      </c>
      <c r="C1950" t="str">
        <f t="shared" si="109"/>
        <v>REN645400000</v>
      </c>
      <c r="E1950">
        <v>2030.77</v>
      </c>
      <c r="F1950">
        <v>0</v>
      </c>
      <c r="G1950">
        <f t="shared" si="110"/>
        <v>2030.77</v>
      </c>
    </row>
    <row r="1951" spans="1:7">
      <c r="A1951" t="str">
        <f t="shared" si="108"/>
        <v>REN</v>
      </c>
      <c r="B1951" t="str">
        <f>"64590000"</f>
        <v>64590000</v>
      </c>
      <c r="C1951" t="str">
        <f t="shared" si="109"/>
        <v>REN645900000</v>
      </c>
      <c r="E1951">
        <v>171.1</v>
      </c>
      <c r="F1951">
        <v>0</v>
      </c>
      <c r="G1951">
        <f t="shared" si="110"/>
        <v>171.1</v>
      </c>
    </row>
    <row r="1952" spans="1:7">
      <c r="A1952" t="str">
        <f t="shared" si="108"/>
        <v>REN</v>
      </c>
      <c r="B1952" t="str">
        <f>"64710000"</f>
        <v>64710000</v>
      </c>
      <c r="C1952" t="str">
        <f t="shared" si="109"/>
        <v>REN647100000</v>
      </c>
      <c r="E1952">
        <v>39.6</v>
      </c>
      <c r="F1952">
        <v>0</v>
      </c>
      <c r="G1952">
        <f t="shared" si="110"/>
        <v>39.6</v>
      </c>
    </row>
    <row r="1953" spans="1:9">
      <c r="A1953" t="str">
        <f t="shared" si="108"/>
        <v>REN</v>
      </c>
      <c r="B1953" t="str">
        <f>"64750000"</f>
        <v>64750000</v>
      </c>
      <c r="C1953" t="str">
        <f t="shared" si="109"/>
        <v>REN647500000</v>
      </c>
      <c r="E1953">
        <v>213.3</v>
      </c>
      <c r="F1953">
        <v>0</v>
      </c>
      <c r="G1953">
        <f t="shared" si="110"/>
        <v>213.3</v>
      </c>
    </row>
    <row r="1954" spans="1:9">
      <c r="A1954" t="s">
        <v>532</v>
      </c>
      <c r="B1954" t="str">
        <f>"64800000"</f>
        <v>64800000</v>
      </c>
      <c r="C1954" t="str">
        <f t="shared" si="109"/>
        <v>REN648000000</v>
      </c>
      <c r="E1954" s="19">
        <v>2391.69632</v>
      </c>
      <c r="F1954"/>
      <c r="G1954" s="19">
        <f t="shared" si="110"/>
        <v>2391.69632</v>
      </c>
      <c r="H1954" s="433">
        <v>2391.69632</v>
      </c>
      <c r="I1954" s="113" t="s">
        <v>532</v>
      </c>
    </row>
    <row r="1955" spans="1:9">
      <c r="A1955" t="str">
        <f t="shared" ref="A1955:A1963" si="111">"REN"</f>
        <v>REN</v>
      </c>
      <c r="B1955" t="str">
        <f>"65410000"</f>
        <v>65410000</v>
      </c>
      <c r="C1955" t="str">
        <f t="shared" si="109"/>
        <v>REN654100000</v>
      </c>
      <c r="E1955">
        <v>-7.0000000000000007E-2</v>
      </c>
      <c r="F1955">
        <v>0</v>
      </c>
      <c r="G1955">
        <f t="shared" si="110"/>
        <v>-7.0000000000000007E-2</v>
      </c>
    </row>
    <row r="1956" spans="1:9">
      <c r="A1956" t="str">
        <f t="shared" si="111"/>
        <v>REN</v>
      </c>
      <c r="B1956" t="str">
        <f>"65420000"</f>
        <v>65420000</v>
      </c>
      <c r="C1956" t="str">
        <f t="shared" si="109"/>
        <v>REN654200000</v>
      </c>
      <c r="E1956">
        <v>10.77</v>
      </c>
      <c r="F1956">
        <v>0</v>
      </c>
      <c r="G1956">
        <f t="shared" si="110"/>
        <v>10.77</v>
      </c>
    </row>
    <row r="1957" spans="1:9">
      <c r="A1957" t="str">
        <f t="shared" si="111"/>
        <v>REN</v>
      </c>
      <c r="B1957" t="str">
        <f>"65440000"</f>
        <v>65440000</v>
      </c>
      <c r="C1957" t="str">
        <f t="shared" si="109"/>
        <v>REN654400000</v>
      </c>
      <c r="E1957">
        <v>85.12</v>
      </c>
      <c r="F1957">
        <v>0</v>
      </c>
      <c r="G1957">
        <f t="shared" si="110"/>
        <v>85.12</v>
      </c>
    </row>
    <row r="1958" spans="1:9">
      <c r="A1958" t="str">
        <f t="shared" si="111"/>
        <v>REN</v>
      </c>
      <c r="B1958" t="str">
        <f>"66500000"</f>
        <v>66500000</v>
      </c>
      <c r="C1958" t="str">
        <f t="shared" si="109"/>
        <v>REN665000000</v>
      </c>
      <c r="E1958">
        <v>198.9</v>
      </c>
      <c r="F1958">
        <v>0</v>
      </c>
      <c r="G1958">
        <f t="shared" si="110"/>
        <v>198.9</v>
      </c>
    </row>
    <row r="1959" spans="1:9">
      <c r="A1959" t="str">
        <f t="shared" si="111"/>
        <v>REN</v>
      </c>
      <c r="B1959" t="str">
        <f>"67180000"</f>
        <v>67180000</v>
      </c>
      <c r="C1959" t="str">
        <f t="shared" si="109"/>
        <v>REN671800000</v>
      </c>
      <c r="E1959">
        <v>190.14</v>
      </c>
      <c r="F1959">
        <v>0</v>
      </c>
      <c r="G1959">
        <f t="shared" si="110"/>
        <v>190.14</v>
      </c>
    </row>
    <row r="1960" spans="1:9">
      <c r="A1960" t="str">
        <f t="shared" si="111"/>
        <v>REN</v>
      </c>
      <c r="B1960" t="str">
        <f>"68112000"</f>
        <v>68112000</v>
      </c>
      <c r="C1960" t="str">
        <f t="shared" si="109"/>
        <v>REN681120000</v>
      </c>
      <c r="E1960">
        <v>2441.12</v>
      </c>
      <c r="F1960">
        <v>0</v>
      </c>
      <c r="G1960">
        <f t="shared" si="110"/>
        <v>2441.12</v>
      </c>
    </row>
    <row r="1961" spans="1:9">
      <c r="A1961" t="str">
        <f t="shared" si="111"/>
        <v>REN</v>
      </c>
      <c r="B1961" t="str">
        <f>"68173000"</f>
        <v>68173000</v>
      </c>
      <c r="C1961" t="str">
        <f t="shared" si="109"/>
        <v>REN681730000</v>
      </c>
      <c r="E1961">
        <v>5649.41</v>
      </c>
      <c r="F1961">
        <v>0</v>
      </c>
      <c r="G1961">
        <f t="shared" si="110"/>
        <v>5649.41</v>
      </c>
    </row>
    <row r="1962" spans="1:9">
      <c r="A1962" t="str">
        <f t="shared" si="111"/>
        <v>REN</v>
      </c>
      <c r="B1962" t="str">
        <f>"68174000"</f>
        <v>68174000</v>
      </c>
      <c r="C1962" t="str">
        <f t="shared" si="109"/>
        <v>REN681740000</v>
      </c>
      <c r="E1962">
        <v>718.22</v>
      </c>
      <c r="F1962">
        <v>0</v>
      </c>
      <c r="G1962">
        <f t="shared" si="110"/>
        <v>718.22</v>
      </c>
    </row>
    <row r="1963" spans="1:9">
      <c r="A1963" t="str">
        <f t="shared" si="111"/>
        <v>REN</v>
      </c>
      <c r="B1963" t="str">
        <f>"68725000"</f>
        <v>68725000</v>
      </c>
      <c r="C1963" t="str">
        <f t="shared" si="109"/>
        <v>REN687250000</v>
      </c>
      <c r="E1963">
        <v>266.35000000000002</v>
      </c>
      <c r="F1963">
        <v>0</v>
      </c>
      <c r="G1963">
        <f t="shared" si="110"/>
        <v>266.35000000000002</v>
      </c>
    </row>
    <row r="1964" spans="1:9">
      <c r="A1964" t="str">
        <f t="shared" ref="A1964:A2027" si="112">"ROA"</f>
        <v>ROA</v>
      </c>
      <c r="B1964" t="str">
        <f>"60222000"</f>
        <v>60222000</v>
      </c>
      <c r="C1964" t="str">
        <f t="shared" si="109"/>
        <v>ROA602220000</v>
      </c>
      <c r="E1964">
        <v>4.1399999999999997</v>
      </c>
      <c r="F1964">
        <v>0</v>
      </c>
      <c r="G1964">
        <f t="shared" si="110"/>
        <v>4.1399999999999997</v>
      </c>
    </row>
    <row r="1965" spans="1:9">
      <c r="A1965" t="str">
        <f t="shared" si="112"/>
        <v>ROA</v>
      </c>
      <c r="B1965" t="str">
        <f>"60610000"</f>
        <v>60610000</v>
      </c>
      <c r="C1965" t="str">
        <f t="shared" si="109"/>
        <v>ROA606100000</v>
      </c>
      <c r="E1965">
        <v>2497.87</v>
      </c>
      <c r="F1965">
        <v>0</v>
      </c>
      <c r="G1965">
        <f t="shared" si="110"/>
        <v>2497.87</v>
      </c>
    </row>
    <row r="1966" spans="1:9">
      <c r="A1966" t="str">
        <f t="shared" si="112"/>
        <v>ROA</v>
      </c>
      <c r="B1966" t="str">
        <f>"60611000"</f>
        <v>60611000</v>
      </c>
      <c r="C1966" t="str">
        <f t="shared" si="109"/>
        <v>ROA606110000</v>
      </c>
      <c r="E1966">
        <v>2581.54</v>
      </c>
      <c r="F1966">
        <v>0</v>
      </c>
      <c r="G1966">
        <f t="shared" si="110"/>
        <v>2581.54</v>
      </c>
    </row>
    <row r="1967" spans="1:9">
      <c r="A1967" t="str">
        <f t="shared" si="112"/>
        <v>ROA</v>
      </c>
      <c r="B1967" t="str">
        <f>"60613000"</f>
        <v>60613000</v>
      </c>
      <c r="C1967" t="str">
        <f t="shared" si="109"/>
        <v>ROA606130000</v>
      </c>
      <c r="E1967">
        <v>5119.51</v>
      </c>
      <c r="F1967">
        <v>0</v>
      </c>
      <c r="G1967">
        <f t="shared" si="110"/>
        <v>5119.51</v>
      </c>
    </row>
    <row r="1968" spans="1:9">
      <c r="A1968" t="str">
        <f t="shared" si="112"/>
        <v>ROA</v>
      </c>
      <c r="B1968" t="str">
        <f>"60631000"</f>
        <v>60631000</v>
      </c>
      <c r="C1968" t="str">
        <f t="shared" si="109"/>
        <v>ROA606310000</v>
      </c>
      <c r="E1968">
        <v>9.68</v>
      </c>
      <c r="F1968">
        <v>0</v>
      </c>
      <c r="G1968">
        <f t="shared" si="110"/>
        <v>9.68</v>
      </c>
    </row>
    <row r="1969" spans="1:7">
      <c r="A1969" t="str">
        <f t="shared" si="112"/>
        <v>ROA</v>
      </c>
      <c r="B1969" t="str">
        <f>"60641000"</f>
        <v>60641000</v>
      </c>
      <c r="C1969" t="str">
        <f t="shared" si="109"/>
        <v>ROA606410000</v>
      </c>
      <c r="E1969">
        <v>2941.26</v>
      </c>
      <c r="F1969">
        <v>0</v>
      </c>
      <c r="G1969">
        <f t="shared" si="110"/>
        <v>2941.26</v>
      </c>
    </row>
    <row r="1970" spans="1:7">
      <c r="A1970" t="str">
        <f t="shared" si="112"/>
        <v>ROA</v>
      </c>
      <c r="B1970" t="str">
        <f>"60710000"</f>
        <v>60710000</v>
      </c>
      <c r="C1970" t="str">
        <f t="shared" si="109"/>
        <v>ROA607100000</v>
      </c>
      <c r="E1970">
        <v>458026.23</v>
      </c>
      <c r="F1970">
        <v>477.55</v>
      </c>
      <c r="G1970">
        <f t="shared" si="110"/>
        <v>457548.68</v>
      </c>
    </row>
    <row r="1971" spans="1:7">
      <c r="A1971" t="str">
        <f t="shared" si="112"/>
        <v>ROA</v>
      </c>
      <c r="B1971" t="str">
        <f>"60711000"</f>
        <v>60711000</v>
      </c>
      <c r="C1971" t="str">
        <f t="shared" si="109"/>
        <v>ROA607110000</v>
      </c>
      <c r="E1971">
        <v>31641.51</v>
      </c>
      <c r="F1971">
        <v>750</v>
      </c>
      <c r="G1971">
        <f t="shared" si="110"/>
        <v>30891.51</v>
      </c>
    </row>
    <row r="1972" spans="1:7">
      <c r="A1972" t="str">
        <f t="shared" si="112"/>
        <v>ROA</v>
      </c>
      <c r="B1972" t="str">
        <f>"60712000"</f>
        <v>60712000</v>
      </c>
      <c r="C1972" t="str">
        <f t="shared" si="109"/>
        <v>ROA607120000</v>
      </c>
      <c r="E1972">
        <v>-273.04000000000002</v>
      </c>
      <c r="F1972">
        <v>0</v>
      </c>
      <c r="G1972">
        <f t="shared" si="110"/>
        <v>-273.04000000000002</v>
      </c>
    </row>
    <row r="1973" spans="1:7">
      <c r="A1973" t="str">
        <f t="shared" si="112"/>
        <v>ROA</v>
      </c>
      <c r="B1973" t="str">
        <f>"60713000"</f>
        <v>60713000</v>
      </c>
      <c r="C1973" t="str">
        <f t="shared" si="109"/>
        <v>ROA607130000</v>
      </c>
      <c r="E1973">
        <v>25367</v>
      </c>
      <c r="F1973">
        <v>0</v>
      </c>
      <c r="G1973">
        <f t="shared" si="110"/>
        <v>25367</v>
      </c>
    </row>
    <row r="1974" spans="1:7">
      <c r="A1974" t="str">
        <f t="shared" si="112"/>
        <v>ROA</v>
      </c>
      <c r="B1974" t="str">
        <f>"60714000"</f>
        <v>60714000</v>
      </c>
      <c r="C1974" t="str">
        <f t="shared" si="109"/>
        <v>ROA607140000</v>
      </c>
      <c r="E1974">
        <v>-33950</v>
      </c>
      <c r="F1974">
        <v>0</v>
      </c>
      <c r="G1974">
        <f t="shared" si="110"/>
        <v>-33950</v>
      </c>
    </row>
    <row r="1975" spans="1:7">
      <c r="A1975" t="str">
        <f t="shared" si="112"/>
        <v>ROA</v>
      </c>
      <c r="B1975" t="str">
        <f>"60715000"</f>
        <v>60715000</v>
      </c>
      <c r="C1975" t="str">
        <f t="shared" si="109"/>
        <v>ROA607150000</v>
      </c>
      <c r="E1975">
        <v>36338.949999999997</v>
      </c>
      <c r="F1975">
        <v>0</v>
      </c>
      <c r="G1975">
        <f t="shared" si="110"/>
        <v>36338.949999999997</v>
      </c>
    </row>
    <row r="1976" spans="1:7">
      <c r="A1976" t="str">
        <f t="shared" si="112"/>
        <v>ROA</v>
      </c>
      <c r="B1976" t="str">
        <f>"60720000"</f>
        <v>60720000</v>
      </c>
      <c r="C1976" t="str">
        <f t="shared" si="109"/>
        <v>ROA607200000</v>
      </c>
      <c r="E1976">
        <v>412075.54</v>
      </c>
      <c r="F1976">
        <v>4392.26</v>
      </c>
      <c r="G1976">
        <f t="shared" si="110"/>
        <v>407683.27999999997</v>
      </c>
    </row>
    <row r="1977" spans="1:7">
      <c r="A1977" t="str">
        <f t="shared" si="112"/>
        <v>ROA</v>
      </c>
      <c r="B1977" t="str">
        <f>"60740000"</f>
        <v>60740000</v>
      </c>
      <c r="C1977" t="str">
        <f t="shared" si="109"/>
        <v>ROA607400000</v>
      </c>
      <c r="E1977">
        <v>7436.43</v>
      </c>
      <c r="F1977">
        <v>0</v>
      </c>
      <c r="G1977">
        <f t="shared" si="110"/>
        <v>7436.43</v>
      </c>
    </row>
    <row r="1978" spans="1:7">
      <c r="A1978" t="str">
        <f t="shared" si="112"/>
        <v>ROA</v>
      </c>
      <c r="B1978" t="str">
        <f>"60800000"</f>
        <v>60800000</v>
      </c>
      <c r="C1978" t="str">
        <f t="shared" si="109"/>
        <v>ROA608000000</v>
      </c>
      <c r="E1978">
        <v>3290.67</v>
      </c>
      <c r="F1978">
        <v>0</v>
      </c>
      <c r="G1978">
        <f t="shared" si="110"/>
        <v>3290.67</v>
      </c>
    </row>
    <row r="1979" spans="1:7">
      <c r="A1979" t="str">
        <f t="shared" si="112"/>
        <v>ROA</v>
      </c>
      <c r="B1979" t="str">
        <f>"60911000"</f>
        <v>60911000</v>
      </c>
      <c r="C1979" t="str">
        <f t="shared" si="109"/>
        <v>ROA609110000</v>
      </c>
      <c r="E1979">
        <v>-10477.120000000001</v>
      </c>
      <c r="F1979">
        <v>0</v>
      </c>
      <c r="G1979">
        <f t="shared" si="110"/>
        <v>-10477.120000000001</v>
      </c>
    </row>
    <row r="1980" spans="1:7">
      <c r="A1980" t="str">
        <f t="shared" si="112"/>
        <v>ROA</v>
      </c>
      <c r="B1980" t="str">
        <f>"60912000"</f>
        <v>60912000</v>
      </c>
      <c r="C1980" t="str">
        <f t="shared" si="109"/>
        <v>ROA609120000</v>
      </c>
      <c r="E1980">
        <v>-28541.74</v>
      </c>
      <c r="F1980">
        <v>0</v>
      </c>
      <c r="G1980">
        <f t="shared" si="110"/>
        <v>-28541.74</v>
      </c>
    </row>
    <row r="1981" spans="1:7">
      <c r="A1981" t="str">
        <f t="shared" si="112"/>
        <v>ROA</v>
      </c>
      <c r="B1981" t="str">
        <f>"60913000"</f>
        <v>60913000</v>
      </c>
      <c r="C1981" t="str">
        <f t="shared" si="109"/>
        <v>ROA609130000</v>
      </c>
      <c r="E1981">
        <v>-16309.56</v>
      </c>
      <c r="F1981">
        <v>0</v>
      </c>
      <c r="G1981">
        <f t="shared" si="110"/>
        <v>-16309.56</v>
      </c>
    </row>
    <row r="1982" spans="1:7">
      <c r="A1982" t="str">
        <f t="shared" si="112"/>
        <v>ROA</v>
      </c>
      <c r="B1982" t="str">
        <f>"61100000"</f>
        <v>61100000</v>
      </c>
      <c r="C1982" t="str">
        <f t="shared" si="109"/>
        <v>ROA611000000</v>
      </c>
      <c r="E1982">
        <v>105.42</v>
      </c>
      <c r="F1982">
        <v>0</v>
      </c>
      <c r="G1982">
        <f t="shared" si="110"/>
        <v>105.42</v>
      </c>
    </row>
    <row r="1983" spans="1:7">
      <c r="A1983" t="str">
        <f t="shared" si="112"/>
        <v>ROA</v>
      </c>
      <c r="B1983" t="str">
        <f>"61320000"</f>
        <v>61320000</v>
      </c>
      <c r="C1983" t="str">
        <f t="shared" si="109"/>
        <v>ROA613200000</v>
      </c>
      <c r="E1983">
        <v>35349.79</v>
      </c>
      <c r="F1983">
        <v>0</v>
      </c>
      <c r="G1983">
        <f t="shared" si="110"/>
        <v>35349.79</v>
      </c>
    </row>
    <row r="1984" spans="1:7">
      <c r="A1984" t="str">
        <f t="shared" si="112"/>
        <v>ROA</v>
      </c>
      <c r="B1984" t="str">
        <f>"61352000"</f>
        <v>61352000</v>
      </c>
      <c r="C1984" t="str">
        <f t="shared" si="109"/>
        <v>ROA613520000</v>
      </c>
      <c r="E1984">
        <v>6467.52</v>
      </c>
      <c r="F1984">
        <v>0</v>
      </c>
      <c r="G1984">
        <f t="shared" si="110"/>
        <v>6467.52</v>
      </c>
    </row>
    <row r="1985" spans="1:7">
      <c r="A1985" t="str">
        <f t="shared" si="112"/>
        <v>ROA</v>
      </c>
      <c r="B1985" t="str">
        <f>"61353000"</f>
        <v>61353000</v>
      </c>
      <c r="C1985" t="str">
        <f t="shared" si="109"/>
        <v>ROA613530000</v>
      </c>
      <c r="E1985">
        <v>180</v>
      </c>
      <c r="F1985">
        <v>0</v>
      </c>
      <c r="G1985">
        <f t="shared" si="110"/>
        <v>180</v>
      </c>
    </row>
    <row r="1986" spans="1:7">
      <c r="A1986" t="str">
        <f t="shared" si="112"/>
        <v>ROA</v>
      </c>
      <c r="B1986" t="str">
        <f>"61400000"</f>
        <v>61400000</v>
      </c>
      <c r="C1986" t="str">
        <f t="shared" si="109"/>
        <v>ROA614000000</v>
      </c>
      <c r="E1986">
        <v>2124.41</v>
      </c>
      <c r="F1986">
        <v>0</v>
      </c>
      <c r="G1986">
        <f t="shared" si="110"/>
        <v>2124.41</v>
      </c>
    </row>
    <row r="1987" spans="1:7">
      <c r="A1987" t="str">
        <f t="shared" si="112"/>
        <v>ROA</v>
      </c>
      <c r="B1987" t="str">
        <f>"61520000"</f>
        <v>61520000</v>
      </c>
      <c r="C1987" t="str">
        <f t="shared" ref="C1987:C2050" si="113">+A1987&amp;B1987*10</f>
        <v>ROA615200000</v>
      </c>
      <c r="E1987">
        <v>9840.31</v>
      </c>
      <c r="F1987">
        <v>0</v>
      </c>
      <c r="G1987">
        <f t="shared" ref="G1987:G2050" si="114">+E1987-F1987</f>
        <v>9840.31</v>
      </c>
    </row>
    <row r="1988" spans="1:7">
      <c r="A1988" t="str">
        <f t="shared" si="112"/>
        <v>ROA</v>
      </c>
      <c r="B1988" t="str">
        <f>"61550000"</f>
        <v>61550000</v>
      </c>
      <c r="C1988" t="str">
        <f t="shared" si="113"/>
        <v>ROA615500000</v>
      </c>
      <c r="E1988">
        <v>0</v>
      </c>
      <c r="F1988">
        <v>-571.59</v>
      </c>
      <c r="G1988">
        <f t="shared" si="114"/>
        <v>571.59</v>
      </c>
    </row>
    <row r="1989" spans="1:7">
      <c r="A1989" t="str">
        <f t="shared" si="112"/>
        <v>ROA</v>
      </c>
      <c r="B1989" t="str">
        <f>"61551000"</f>
        <v>61551000</v>
      </c>
      <c r="C1989" t="str">
        <f t="shared" si="113"/>
        <v>ROA615510000</v>
      </c>
      <c r="E1989">
        <v>2633.79</v>
      </c>
      <c r="F1989">
        <v>0</v>
      </c>
      <c r="G1989">
        <f t="shared" si="114"/>
        <v>2633.79</v>
      </c>
    </row>
    <row r="1990" spans="1:7">
      <c r="A1990" t="str">
        <f t="shared" si="112"/>
        <v>ROA</v>
      </c>
      <c r="B1990" t="str">
        <f>"61552000"</f>
        <v>61552000</v>
      </c>
      <c r="C1990" t="str">
        <f t="shared" si="113"/>
        <v>ROA615520000</v>
      </c>
      <c r="E1990">
        <v>7585.74</v>
      </c>
      <c r="F1990">
        <v>0</v>
      </c>
      <c r="G1990">
        <f t="shared" si="114"/>
        <v>7585.74</v>
      </c>
    </row>
    <row r="1991" spans="1:7">
      <c r="A1991" t="str">
        <f t="shared" si="112"/>
        <v>ROA</v>
      </c>
      <c r="B1991" t="str">
        <f>"61612000"</f>
        <v>61612000</v>
      </c>
      <c r="C1991" t="str">
        <f t="shared" si="113"/>
        <v>ROA616120000</v>
      </c>
      <c r="E1991">
        <v>2276.16</v>
      </c>
      <c r="F1991">
        <v>0</v>
      </c>
      <c r="G1991">
        <f t="shared" si="114"/>
        <v>2276.16</v>
      </c>
    </row>
    <row r="1992" spans="1:7">
      <c r="A1992" t="str">
        <f t="shared" si="112"/>
        <v>ROA</v>
      </c>
      <c r="B1992" t="str">
        <f>"61613000"</f>
        <v>61613000</v>
      </c>
      <c r="C1992" t="str">
        <f t="shared" si="113"/>
        <v>ROA616130000</v>
      </c>
      <c r="E1992">
        <v>4667.33</v>
      </c>
      <c r="F1992">
        <v>647.66</v>
      </c>
      <c r="G1992">
        <f t="shared" si="114"/>
        <v>4019.67</v>
      </c>
    </row>
    <row r="1993" spans="1:7">
      <c r="A1993" t="str">
        <f t="shared" si="112"/>
        <v>ROA</v>
      </c>
      <c r="B1993" t="str">
        <f>"61810000"</f>
        <v>61810000</v>
      </c>
      <c r="C1993" t="str">
        <f t="shared" si="113"/>
        <v>ROA618100000</v>
      </c>
      <c r="E1993">
        <v>341.39</v>
      </c>
      <c r="F1993">
        <v>0</v>
      </c>
      <c r="G1993">
        <f t="shared" si="114"/>
        <v>341.39</v>
      </c>
    </row>
    <row r="1994" spans="1:7">
      <c r="A1994" t="str">
        <f t="shared" si="112"/>
        <v>ROA</v>
      </c>
      <c r="B1994" t="str">
        <f>"61850000"</f>
        <v>61850000</v>
      </c>
      <c r="C1994" t="str">
        <f t="shared" si="113"/>
        <v>ROA618500000</v>
      </c>
      <c r="E1994">
        <v>1003.21</v>
      </c>
      <c r="F1994">
        <v>0</v>
      </c>
      <c r="G1994">
        <f t="shared" si="114"/>
        <v>1003.21</v>
      </c>
    </row>
    <row r="1995" spans="1:7">
      <c r="A1995" t="str">
        <f t="shared" si="112"/>
        <v>ROA</v>
      </c>
      <c r="B1995" t="str">
        <f>"62270000"</f>
        <v>62270000</v>
      </c>
      <c r="C1995" t="str">
        <f t="shared" si="113"/>
        <v>ROA622700000</v>
      </c>
      <c r="E1995">
        <v>303.08999999999997</v>
      </c>
      <c r="F1995">
        <v>0</v>
      </c>
      <c r="G1995">
        <f t="shared" si="114"/>
        <v>303.08999999999997</v>
      </c>
    </row>
    <row r="1996" spans="1:7">
      <c r="A1996" t="str">
        <f t="shared" si="112"/>
        <v>ROA</v>
      </c>
      <c r="B1996" t="str">
        <f>"62271000"</f>
        <v>62271000</v>
      </c>
      <c r="C1996" t="str">
        <f t="shared" si="113"/>
        <v>ROA622710000</v>
      </c>
      <c r="E1996">
        <v>30</v>
      </c>
      <c r="F1996">
        <v>0</v>
      </c>
      <c r="G1996">
        <f t="shared" si="114"/>
        <v>30</v>
      </c>
    </row>
    <row r="1997" spans="1:7">
      <c r="A1997" t="str">
        <f t="shared" si="112"/>
        <v>ROA</v>
      </c>
      <c r="B1997" t="str">
        <f>"62310000"</f>
        <v>62310000</v>
      </c>
      <c r="C1997" t="str">
        <f t="shared" si="113"/>
        <v>ROA623100000</v>
      </c>
      <c r="E1997">
        <v>774.3</v>
      </c>
      <c r="F1997">
        <v>0</v>
      </c>
      <c r="G1997">
        <f t="shared" si="114"/>
        <v>774.3</v>
      </c>
    </row>
    <row r="1998" spans="1:7">
      <c r="A1998" t="str">
        <f t="shared" si="112"/>
        <v>ROA</v>
      </c>
      <c r="B1998" t="str">
        <f>"62320000"</f>
        <v>62320000</v>
      </c>
      <c r="C1998" t="str">
        <f t="shared" si="113"/>
        <v>ROA623200000</v>
      </c>
      <c r="E1998">
        <v>11074.03</v>
      </c>
      <c r="F1998">
        <v>0</v>
      </c>
      <c r="G1998">
        <f t="shared" si="114"/>
        <v>11074.03</v>
      </c>
    </row>
    <row r="1999" spans="1:7">
      <c r="A1999" t="str">
        <f t="shared" si="112"/>
        <v>ROA</v>
      </c>
      <c r="B1999" t="str">
        <f>"62341000"</f>
        <v>62341000</v>
      </c>
      <c r="C1999" t="str">
        <f t="shared" si="113"/>
        <v>ROA623410000</v>
      </c>
      <c r="E1999">
        <v>10949.14</v>
      </c>
      <c r="F1999">
        <v>0</v>
      </c>
      <c r="G1999">
        <f t="shared" si="114"/>
        <v>10949.14</v>
      </c>
    </row>
    <row r="2000" spans="1:7">
      <c r="A2000" t="str">
        <f t="shared" si="112"/>
        <v>ROA</v>
      </c>
      <c r="B2000" t="str">
        <f>"62342000"</f>
        <v>62342000</v>
      </c>
      <c r="C2000" t="str">
        <f t="shared" si="113"/>
        <v>ROA623420000</v>
      </c>
      <c r="E2000">
        <v>-325.73</v>
      </c>
      <c r="F2000">
        <v>0</v>
      </c>
      <c r="G2000">
        <f t="shared" si="114"/>
        <v>-325.73</v>
      </c>
    </row>
    <row r="2001" spans="1:7">
      <c r="A2001" t="str">
        <f t="shared" si="112"/>
        <v>ROA</v>
      </c>
      <c r="B2001" t="str">
        <f>"62370000"</f>
        <v>62370000</v>
      </c>
      <c r="C2001" t="str">
        <f t="shared" si="113"/>
        <v>ROA623700000</v>
      </c>
      <c r="E2001">
        <v>2673.2</v>
      </c>
      <c r="F2001">
        <v>-221.9</v>
      </c>
      <c r="G2001">
        <f t="shared" si="114"/>
        <v>2895.1</v>
      </c>
    </row>
    <row r="2002" spans="1:7">
      <c r="A2002" t="str">
        <f t="shared" si="112"/>
        <v>ROA</v>
      </c>
      <c r="B2002" t="str">
        <f>"62380000"</f>
        <v>62380000</v>
      </c>
      <c r="C2002" t="str">
        <f t="shared" si="113"/>
        <v>ROA623800000</v>
      </c>
      <c r="E2002">
        <v>10</v>
      </c>
      <c r="F2002">
        <v>0</v>
      </c>
      <c r="G2002">
        <f t="shared" si="114"/>
        <v>10</v>
      </c>
    </row>
    <row r="2003" spans="1:7">
      <c r="A2003" t="str">
        <f t="shared" si="112"/>
        <v>ROA</v>
      </c>
      <c r="B2003" t="str">
        <f>"62381000"</f>
        <v>62381000</v>
      </c>
      <c r="C2003" t="str">
        <f t="shared" si="113"/>
        <v>ROA623810000</v>
      </c>
      <c r="E2003">
        <v>-647.16999999999996</v>
      </c>
      <c r="F2003">
        <v>0</v>
      </c>
      <c r="G2003">
        <f t="shared" si="114"/>
        <v>-647.16999999999996</v>
      </c>
    </row>
    <row r="2004" spans="1:7">
      <c r="A2004" t="str">
        <f t="shared" si="112"/>
        <v>ROA</v>
      </c>
      <c r="B2004" t="str">
        <f>"62420000"</f>
        <v>62420000</v>
      </c>
      <c r="C2004" t="str">
        <f t="shared" si="113"/>
        <v>ROA624200000</v>
      </c>
      <c r="E2004">
        <v>6956.92</v>
      </c>
      <c r="F2004">
        <v>0</v>
      </c>
      <c r="G2004">
        <f t="shared" si="114"/>
        <v>6956.92</v>
      </c>
    </row>
    <row r="2005" spans="1:7">
      <c r="A2005" t="str">
        <f t="shared" si="112"/>
        <v>ROA</v>
      </c>
      <c r="B2005" t="str">
        <f>"62510000"</f>
        <v>62510000</v>
      </c>
      <c r="C2005" t="str">
        <f t="shared" si="113"/>
        <v>ROA625100000</v>
      </c>
      <c r="E2005">
        <v>6924.74</v>
      </c>
      <c r="F2005">
        <v>417.26</v>
      </c>
      <c r="G2005">
        <f t="shared" si="114"/>
        <v>6507.48</v>
      </c>
    </row>
    <row r="2006" spans="1:7">
      <c r="A2006" t="str">
        <f t="shared" si="112"/>
        <v>ROA</v>
      </c>
      <c r="B2006" t="str">
        <f>"62520000"</f>
        <v>62520000</v>
      </c>
      <c r="C2006" t="str">
        <f t="shared" si="113"/>
        <v>ROA625200000</v>
      </c>
      <c r="E2006">
        <v>801.28</v>
      </c>
      <c r="F2006">
        <v>0</v>
      </c>
      <c r="G2006">
        <f t="shared" si="114"/>
        <v>801.28</v>
      </c>
    </row>
    <row r="2007" spans="1:7">
      <c r="A2007" t="str">
        <f t="shared" si="112"/>
        <v>ROA</v>
      </c>
      <c r="B2007" t="str">
        <f>"62560000"</f>
        <v>62560000</v>
      </c>
      <c r="C2007" t="str">
        <f t="shared" si="113"/>
        <v>ROA625600000</v>
      </c>
      <c r="E2007">
        <v>25.23</v>
      </c>
      <c r="F2007">
        <v>0</v>
      </c>
      <c r="G2007">
        <f t="shared" si="114"/>
        <v>25.23</v>
      </c>
    </row>
    <row r="2008" spans="1:7">
      <c r="A2008" t="str">
        <f t="shared" si="112"/>
        <v>ROA</v>
      </c>
      <c r="B2008" t="str">
        <f>"62570000"</f>
        <v>62570000</v>
      </c>
      <c r="C2008" t="str">
        <f t="shared" si="113"/>
        <v>ROA625700000</v>
      </c>
      <c r="E2008">
        <v>2634.34</v>
      </c>
      <c r="F2008">
        <v>0</v>
      </c>
      <c r="G2008">
        <f t="shared" si="114"/>
        <v>2634.34</v>
      </c>
    </row>
    <row r="2009" spans="1:7">
      <c r="A2009" t="str">
        <f t="shared" si="112"/>
        <v>ROA</v>
      </c>
      <c r="B2009" t="str">
        <f>"62571000"</f>
        <v>62571000</v>
      </c>
      <c r="C2009" t="str">
        <f t="shared" si="113"/>
        <v>ROA625710000</v>
      </c>
      <c r="E2009">
        <v>3854.41</v>
      </c>
      <c r="F2009">
        <v>0</v>
      </c>
      <c r="G2009">
        <f t="shared" si="114"/>
        <v>3854.41</v>
      </c>
    </row>
    <row r="2010" spans="1:7">
      <c r="A2010" t="str">
        <f t="shared" si="112"/>
        <v>ROA</v>
      </c>
      <c r="B2010" t="str">
        <f>"62600000"</f>
        <v>62600000</v>
      </c>
      <c r="C2010" t="str">
        <f t="shared" si="113"/>
        <v>ROA626000000</v>
      </c>
      <c r="E2010">
        <v>5582.29</v>
      </c>
      <c r="F2010">
        <v>0</v>
      </c>
      <c r="G2010">
        <f t="shared" si="114"/>
        <v>5582.29</v>
      </c>
    </row>
    <row r="2011" spans="1:7">
      <c r="A2011" t="str">
        <f t="shared" si="112"/>
        <v>ROA</v>
      </c>
      <c r="B2011" t="str">
        <f>"62610000"</f>
        <v>62610000</v>
      </c>
      <c r="C2011" t="str">
        <f t="shared" si="113"/>
        <v>ROA626100000</v>
      </c>
      <c r="E2011">
        <v>1254.51</v>
      </c>
      <c r="F2011">
        <v>0</v>
      </c>
      <c r="G2011">
        <f t="shared" si="114"/>
        <v>1254.51</v>
      </c>
    </row>
    <row r="2012" spans="1:7">
      <c r="A2012" t="str">
        <f t="shared" si="112"/>
        <v>ROA</v>
      </c>
      <c r="B2012" t="str">
        <f>"62752000"</f>
        <v>62752000</v>
      </c>
      <c r="C2012" t="str">
        <f t="shared" si="113"/>
        <v>ROA627520000</v>
      </c>
      <c r="E2012">
        <v>316.89999999999998</v>
      </c>
      <c r="F2012">
        <v>0</v>
      </c>
      <c r="G2012">
        <f t="shared" si="114"/>
        <v>316.89999999999998</v>
      </c>
    </row>
    <row r="2013" spans="1:7">
      <c r="A2013" t="str">
        <f t="shared" si="112"/>
        <v>ROA</v>
      </c>
      <c r="B2013" t="str">
        <f>"63330000"</f>
        <v>63330000</v>
      </c>
      <c r="C2013" t="str">
        <f t="shared" si="113"/>
        <v>ROA633300000</v>
      </c>
      <c r="E2013">
        <v>1419</v>
      </c>
      <c r="F2013">
        <v>0</v>
      </c>
      <c r="G2013">
        <f t="shared" si="114"/>
        <v>1419</v>
      </c>
    </row>
    <row r="2014" spans="1:7">
      <c r="A2014" t="str">
        <f t="shared" si="112"/>
        <v>ROA</v>
      </c>
      <c r="B2014" t="str">
        <f>"63340000"</f>
        <v>63340000</v>
      </c>
      <c r="C2014" t="str">
        <f t="shared" si="113"/>
        <v>ROA633400000</v>
      </c>
      <c r="E2014">
        <v>765</v>
      </c>
      <c r="F2014">
        <v>0</v>
      </c>
      <c r="G2014">
        <f t="shared" si="114"/>
        <v>765</v>
      </c>
    </row>
    <row r="2015" spans="1:7">
      <c r="A2015" t="str">
        <f t="shared" si="112"/>
        <v>ROA</v>
      </c>
      <c r="B2015" t="str">
        <f>"63350000"</f>
        <v>63350000</v>
      </c>
      <c r="C2015" t="str">
        <f t="shared" si="113"/>
        <v>ROA633500000</v>
      </c>
      <c r="E2015">
        <v>1157</v>
      </c>
      <c r="F2015">
        <v>0</v>
      </c>
      <c r="G2015">
        <f t="shared" si="114"/>
        <v>1157</v>
      </c>
    </row>
    <row r="2016" spans="1:7">
      <c r="A2016" t="str">
        <f t="shared" si="112"/>
        <v>ROA</v>
      </c>
      <c r="B2016" t="str">
        <f>"63511000"</f>
        <v>63511000</v>
      </c>
      <c r="C2016" t="str">
        <f t="shared" si="113"/>
        <v>ROA635110000</v>
      </c>
      <c r="E2016">
        <v>7931</v>
      </c>
      <c r="F2016">
        <v>0</v>
      </c>
      <c r="G2016">
        <f t="shared" si="114"/>
        <v>7931</v>
      </c>
    </row>
    <row r="2017" spans="1:7">
      <c r="A2017" t="str">
        <f t="shared" si="112"/>
        <v>ROA</v>
      </c>
      <c r="B2017" t="str">
        <f>"63512000"</f>
        <v>63512000</v>
      </c>
      <c r="C2017" t="str">
        <f t="shared" si="113"/>
        <v>ROA635120000</v>
      </c>
      <c r="E2017">
        <v>4785</v>
      </c>
      <c r="F2017">
        <v>0</v>
      </c>
      <c r="G2017">
        <f t="shared" si="114"/>
        <v>4785</v>
      </c>
    </row>
    <row r="2018" spans="1:7">
      <c r="A2018" t="str">
        <f t="shared" si="112"/>
        <v>ROA</v>
      </c>
      <c r="B2018" t="str">
        <f>"63513000"</f>
        <v>63513000</v>
      </c>
      <c r="C2018" t="str">
        <f t="shared" si="113"/>
        <v>ROA635130000</v>
      </c>
      <c r="E2018">
        <v>1272</v>
      </c>
      <c r="F2018">
        <v>0</v>
      </c>
      <c r="G2018">
        <f t="shared" si="114"/>
        <v>1272</v>
      </c>
    </row>
    <row r="2019" spans="1:7">
      <c r="A2019" t="str">
        <f t="shared" si="112"/>
        <v>ROA</v>
      </c>
      <c r="B2019" t="str">
        <f>"63710000"</f>
        <v>63710000</v>
      </c>
      <c r="C2019" t="str">
        <f t="shared" si="113"/>
        <v>ROA637100000</v>
      </c>
      <c r="E2019">
        <v>3364.37</v>
      </c>
      <c r="F2019">
        <v>0</v>
      </c>
      <c r="G2019">
        <f t="shared" si="114"/>
        <v>3364.37</v>
      </c>
    </row>
    <row r="2020" spans="1:7">
      <c r="A2020" t="str">
        <f t="shared" si="112"/>
        <v>ROA</v>
      </c>
      <c r="B2020" t="str">
        <f>"64110000"</f>
        <v>64110000</v>
      </c>
      <c r="C2020" t="str">
        <f t="shared" si="113"/>
        <v>ROA641100000</v>
      </c>
      <c r="E2020">
        <v>174780.62</v>
      </c>
      <c r="F2020">
        <v>0</v>
      </c>
      <c r="G2020">
        <f t="shared" si="114"/>
        <v>174780.62</v>
      </c>
    </row>
    <row r="2021" spans="1:7">
      <c r="A2021" t="str">
        <f t="shared" si="112"/>
        <v>ROA</v>
      </c>
      <c r="B2021" t="str">
        <f>"64111000"</f>
        <v>64111000</v>
      </c>
      <c r="C2021" t="str">
        <f t="shared" si="113"/>
        <v>ROA641110000</v>
      </c>
      <c r="E2021">
        <v>1255</v>
      </c>
      <c r="F2021">
        <v>0</v>
      </c>
      <c r="G2021">
        <f t="shared" si="114"/>
        <v>1255</v>
      </c>
    </row>
    <row r="2022" spans="1:7">
      <c r="A2022" t="str">
        <f t="shared" si="112"/>
        <v>ROA</v>
      </c>
      <c r="B2022" t="str">
        <f>"64111200"</f>
        <v>64111200</v>
      </c>
      <c r="C2022" t="str">
        <f t="shared" si="113"/>
        <v>ROA641112000</v>
      </c>
      <c r="E2022">
        <v>6758.52</v>
      </c>
      <c r="F2022">
        <v>0</v>
      </c>
      <c r="G2022">
        <f t="shared" si="114"/>
        <v>6758.52</v>
      </c>
    </row>
    <row r="2023" spans="1:7">
      <c r="A2023" t="str">
        <f t="shared" si="112"/>
        <v>ROA</v>
      </c>
      <c r="B2023" t="str">
        <f>"64120000"</f>
        <v>64120000</v>
      </c>
      <c r="C2023" t="str">
        <f t="shared" si="113"/>
        <v>ROA641200000</v>
      </c>
      <c r="E2023">
        <v>13257.59</v>
      </c>
      <c r="F2023">
        <v>14976.53</v>
      </c>
      <c r="G2023">
        <f t="shared" si="114"/>
        <v>-1718.9400000000005</v>
      </c>
    </row>
    <row r="2024" spans="1:7">
      <c r="A2024" t="str">
        <f t="shared" si="112"/>
        <v>ROA</v>
      </c>
      <c r="B2024" t="str">
        <f>"64121000"</f>
        <v>64121000</v>
      </c>
      <c r="C2024" t="str">
        <f t="shared" si="113"/>
        <v>ROA641210000</v>
      </c>
      <c r="E2024">
        <v>5662.32</v>
      </c>
      <c r="F2024">
        <v>5602.72</v>
      </c>
      <c r="G2024">
        <f t="shared" si="114"/>
        <v>59.599999999999454</v>
      </c>
    </row>
    <row r="2025" spans="1:7">
      <c r="A2025" t="str">
        <f t="shared" si="112"/>
        <v>ROA</v>
      </c>
      <c r="B2025" t="str">
        <f>"64510000"</f>
        <v>64510000</v>
      </c>
      <c r="C2025" t="str">
        <f t="shared" si="113"/>
        <v>ROA645100000</v>
      </c>
      <c r="E2025">
        <v>44535.09</v>
      </c>
      <c r="F2025">
        <v>372.04</v>
      </c>
      <c r="G2025">
        <f t="shared" si="114"/>
        <v>44163.049999999996</v>
      </c>
    </row>
    <row r="2026" spans="1:7">
      <c r="A2026" t="str">
        <f t="shared" si="112"/>
        <v>ROA</v>
      </c>
      <c r="B2026" t="str">
        <f>"64520000"</f>
        <v>64520000</v>
      </c>
      <c r="C2026" t="str">
        <f t="shared" si="113"/>
        <v>ROA645200000</v>
      </c>
      <c r="E2026">
        <v>4901.42</v>
      </c>
      <c r="F2026">
        <v>0</v>
      </c>
      <c r="G2026">
        <f t="shared" si="114"/>
        <v>4901.42</v>
      </c>
    </row>
    <row r="2027" spans="1:7">
      <c r="A2027" t="str">
        <f t="shared" si="112"/>
        <v>ROA</v>
      </c>
      <c r="B2027" t="str">
        <f>"64530000"</f>
        <v>64530000</v>
      </c>
      <c r="C2027" t="str">
        <f t="shared" si="113"/>
        <v>ROA645300000</v>
      </c>
      <c r="E2027">
        <v>11177.92</v>
      </c>
      <c r="F2027">
        <v>0</v>
      </c>
      <c r="G2027">
        <f t="shared" si="114"/>
        <v>11177.92</v>
      </c>
    </row>
    <row r="2028" spans="1:7">
      <c r="A2028" t="str">
        <f t="shared" ref="A2028:A2046" si="115">"ROA"</f>
        <v>ROA</v>
      </c>
      <c r="B2028" t="str">
        <f>"64531000"</f>
        <v>64531000</v>
      </c>
      <c r="C2028" t="str">
        <f t="shared" si="113"/>
        <v>ROA645310000</v>
      </c>
      <c r="E2028">
        <v>270.33</v>
      </c>
      <c r="F2028">
        <v>0</v>
      </c>
      <c r="G2028">
        <f t="shared" si="114"/>
        <v>270.33</v>
      </c>
    </row>
    <row r="2029" spans="1:7">
      <c r="A2029" t="str">
        <f t="shared" si="115"/>
        <v>ROA</v>
      </c>
      <c r="B2029" t="str">
        <f>"64540000"</f>
        <v>64540000</v>
      </c>
      <c r="C2029" t="str">
        <f t="shared" si="113"/>
        <v>ROA645400000</v>
      </c>
      <c r="E2029">
        <v>7226.95</v>
      </c>
      <c r="F2029">
        <v>0</v>
      </c>
      <c r="G2029">
        <f t="shared" si="114"/>
        <v>7226.95</v>
      </c>
    </row>
    <row r="2030" spans="1:7">
      <c r="A2030" t="str">
        <f t="shared" si="115"/>
        <v>ROA</v>
      </c>
      <c r="B2030" t="str">
        <f>"64590000"</f>
        <v>64590000</v>
      </c>
      <c r="C2030" t="str">
        <f t="shared" si="113"/>
        <v>ROA645900000</v>
      </c>
      <c r="E2030">
        <v>670.92</v>
      </c>
      <c r="F2030">
        <v>0</v>
      </c>
      <c r="G2030">
        <f t="shared" si="114"/>
        <v>670.92</v>
      </c>
    </row>
    <row r="2031" spans="1:7">
      <c r="A2031" t="str">
        <f t="shared" si="115"/>
        <v>ROA</v>
      </c>
      <c r="B2031" t="str">
        <f>"64710000"</f>
        <v>64710000</v>
      </c>
      <c r="C2031" t="str">
        <f t="shared" si="113"/>
        <v>ROA647100000</v>
      </c>
      <c r="E2031">
        <v>55.62</v>
      </c>
      <c r="F2031">
        <v>0</v>
      </c>
      <c r="G2031">
        <f t="shared" si="114"/>
        <v>55.62</v>
      </c>
    </row>
    <row r="2032" spans="1:7">
      <c r="A2032" t="str">
        <f t="shared" si="115"/>
        <v>ROA</v>
      </c>
      <c r="B2032" t="str">
        <f>"64740000"</f>
        <v>64740000</v>
      </c>
      <c r="C2032" t="str">
        <f t="shared" si="113"/>
        <v>ROA647400000</v>
      </c>
      <c r="E2032">
        <v>59.7</v>
      </c>
      <c r="F2032">
        <v>0</v>
      </c>
      <c r="G2032">
        <f t="shared" si="114"/>
        <v>59.7</v>
      </c>
    </row>
    <row r="2033" spans="1:9">
      <c r="A2033" t="str">
        <f t="shared" si="115"/>
        <v>ROA</v>
      </c>
      <c r="B2033" t="str">
        <f>"64750000"</f>
        <v>64750000</v>
      </c>
      <c r="C2033" t="str">
        <f t="shared" si="113"/>
        <v>ROA647500000</v>
      </c>
      <c r="E2033">
        <v>436</v>
      </c>
      <c r="F2033">
        <v>0</v>
      </c>
      <c r="G2033">
        <f t="shared" si="114"/>
        <v>436</v>
      </c>
    </row>
    <row r="2034" spans="1:9">
      <c r="A2034" t="str">
        <f t="shared" si="115"/>
        <v>ROA</v>
      </c>
      <c r="B2034" t="str">
        <f>"64800000"</f>
        <v>64800000</v>
      </c>
      <c r="C2034" t="str">
        <f t="shared" si="113"/>
        <v>ROA648000000</v>
      </c>
      <c r="E2034" s="19">
        <v>21264.738320000004</v>
      </c>
      <c r="F2034">
        <v>2994.61</v>
      </c>
      <c r="G2034" s="19">
        <f t="shared" si="114"/>
        <v>18270.128320000003</v>
      </c>
      <c r="H2034" s="433">
        <v>19717.498320000002</v>
      </c>
      <c r="I2034" s="113" t="s">
        <v>533</v>
      </c>
    </row>
    <row r="2035" spans="1:9">
      <c r="A2035" t="str">
        <f t="shared" si="115"/>
        <v>ROA</v>
      </c>
      <c r="B2035" t="str">
        <f>"65410000"</f>
        <v>65410000</v>
      </c>
      <c r="C2035" t="str">
        <f t="shared" si="113"/>
        <v>ROA654100000</v>
      </c>
      <c r="E2035">
        <v>71.62</v>
      </c>
      <c r="F2035">
        <v>4.8600000000000003</v>
      </c>
      <c r="G2035">
        <f t="shared" si="114"/>
        <v>66.760000000000005</v>
      </c>
    </row>
    <row r="2036" spans="1:9">
      <c r="A2036" t="str">
        <f t="shared" si="115"/>
        <v>ROA</v>
      </c>
      <c r="B2036" t="str">
        <f>"65420000"</f>
        <v>65420000</v>
      </c>
      <c r="C2036" t="str">
        <f t="shared" si="113"/>
        <v>ROA654200000</v>
      </c>
      <c r="E2036">
        <v>17.96</v>
      </c>
      <c r="F2036">
        <v>0</v>
      </c>
      <c r="G2036">
        <f t="shared" si="114"/>
        <v>17.96</v>
      </c>
    </row>
    <row r="2037" spans="1:9">
      <c r="A2037" t="str">
        <f t="shared" si="115"/>
        <v>ROA</v>
      </c>
      <c r="B2037" t="str">
        <f>"65440000"</f>
        <v>65440000</v>
      </c>
      <c r="C2037" t="str">
        <f t="shared" si="113"/>
        <v>ROA654400000</v>
      </c>
      <c r="E2037">
        <v>499</v>
      </c>
      <c r="F2037">
        <v>0</v>
      </c>
      <c r="G2037">
        <f t="shared" si="114"/>
        <v>499</v>
      </c>
    </row>
    <row r="2038" spans="1:9">
      <c r="A2038" t="str">
        <f t="shared" si="115"/>
        <v>ROA</v>
      </c>
      <c r="B2038" t="str">
        <f>"65800000"</f>
        <v>65800000</v>
      </c>
      <c r="C2038" t="str">
        <f t="shared" si="113"/>
        <v>ROA658000000</v>
      </c>
      <c r="E2038">
        <v>2138.9699999999998</v>
      </c>
      <c r="F2038">
        <v>0</v>
      </c>
      <c r="G2038">
        <f t="shared" si="114"/>
        <v>2138.9699999999998</v>
      </c>
    </row>
    <row r="2039" spans="1:9">
      <c r="A2039" t="str">
        <f t="shared" si="115"/>
        <v>ROA</v>
      </c>
      <c r="B2039" t="str">
        <f>"66500000"</f>
        <v>66500000</v>
      </c>
      <c r="C2039" t="str">
        <f t="shared" si="113"/>
        <v>ROA665000000</v>
      </c>
      <c r="E2039">
        <v>1829.23</v>
      </c>
      <c r="F2039">
        <v>0</v>
      </c>
      <c r="G2039">
        <f t="shared" si="114"/>
        <v>1829.23</v>
      </c>
    </row>
    <row r="2040" spans="1:9">
      <c r="A2040" t="str">
        <f t="shared" si="115"/>
        <v>ROA</v>
      </c>
      <c r="B2040" t="str">
        <f>"66510000"</f>
        <v>66510000</v>
      </c>
      <c r="C2040" t="str">
        <f t="shared" si="113"/>
        <v>ROA665100000</v>
      </c>
      <c r="E2040">
        <v>125.91</v>
      </c>
      <c r="F2040">
        <v>0</v>
      </c>
      <c r="G2040">
        <f t="shared" si="114"/>
        <v>125.91</v>
      </c>
    </row>
    <row r="2041" spans="1:9">
      <c r="A2041" t="str">
        <f t="shared" si="115"/>
        <v>ROA</v>
      </c>
      <c r="B2041" t="str">
        <f>"67180000"</f>
        <v>67180000</v>
      </c>
      <c r="C2041" t="str">
        <f t="shared" si="113"/>
        <v>ROA671800000</v>
      </c>
      <c r="E2041">
        <v>0</v>
      </c>
      <c r="F2041">
        <v>0</v>
      </c>
      <c r="G2041">
        <f t="shared" si="114"/>
        <v>0</v>
      </c>
    </row>
    <row r="2042" spans="1:9">
      <c r="A2042" t="str">
        <f t="shared" si="115"/>
        <v>ROA</v>
      </c>
      <c r="B2042" t="str">
        <f>"67520000"</f>
        <v>67520000</v>
      </c>
      <c r="C2042" t="str">
        <f t="shared" si="113"/>
        <v>ROA675200000</v>
      </c>
      <c r="E2042">
        <v>1377.78</v>
      </c>
      <c r="F2042">
        <v>0</v>
      </c>
      <c r="G2042">
        <f t="shared" si="114"/>
        <v>1377.78</v>
      </c>
    </row>
    <row r="2043" spans="1:9">
      <c r="A2043" t="str">
        <f t="shared" si="115"/>
        <v>ROA</v>
      </c>
      <c r="B2043" t="str">
        <f>"68112000"</f>
        <v>68112000</v>
      </c>
      <c r="C2043" t="str">
        <f t="shared" si="113"/>
        <v>ROA681120000</v>
      </c>
      <c r="E2043">
        <v>14657.84</v>
      </c>
      <c r="F2043">
        <v>0</v>
      </c>
      <c r="G2043">
        <f t="shared" si="114"/>
        <v>14657.84</v>
      </c>
    </row>
    <row r="2044" spans="1:9">
      <c r="A2044" t="str">
        <f t="shared" si="115"/>
        <v>ROA</v>
      </c>
      <c r="B2044" t="str">
        <f>"68173000"</f>
        <v>68173000</v>
      </c>
      <c r="C2044" t="str">
        <f t="shared" si="113"/>
        <v>ROA681730000</v>
      </c>
      <c r="E2044">
        <v>9934.17</v>
      </c>
      <c r="F2044">
        <v>0</v>
      </c>
      <c r="G2044">
        <f t="shared" si="114"/>
        <v>9934.17</v>
      </c>
    </row>
    <row r="2045" spans="1:9">
      <c r="A2045" t="str">
        <f t="shared" si="115"/>
        <v>ROA</v>
      </c>
      <c r="B2045" t="str">
        <f>"68174000"</f>
        <v>68174000</v>
      </c>
      <c r="C2045" t="str">
        <f t="shared" si="113"/>
        <v>ROA681740000</v>
      </c>
      <c r="E2045">
        <v>6193.16</v>
      </c>
      <c r="F2045">
        <v>0</v>
      </c>
      <c r="G2045">
        <f t="shared" si="114"/>
        <v>6193.16</v>
      </c>
    </row>
    <row r="2046" spans="1:9">
      <c r="A2046" t="str">
        <f t="shared" si="115"/>
        <v>ROA</v>
      </c>
      <c r="B2046" t="str">
        <f>"68725000"</f>
        <v>68725000</v>
      </c>
      <c r="C2046" t="str">
        <f t="shared" si="113"/>
        <v>ROA687250000</v>
      </c>
      <c r="E2046">
        <v>2486.96</v>
      </c>
      <c r="F2046">
        <v>0</v>
      </c>
      <c r="G2046">
        <f t="shared" si="114"/>
        <v>2486.96</v>
      </c>
    </row>
    <row r="2047" spans="1:9">
      <c r="A2047" t="str">
        <f t="shared" ref="A2047:A2107" si="116">"SAU"</f>
        <v>SAU</v>
      </c>
      <c r="B2047" t="str">
        <f>"60222000"</f>
        <v>60222000</v>
      </c>
      <c r="C2047" t="str">
        <f t="shared" si="113"/>
        <v>SAU602220000</v>
      </c>
      <c r="E2047">
        <v>199.34</v>
      </c>
      <c r="F2047">
        <v>0</v>
      </c>
      <c r="G2047">
        <f t="shared" si="114"/>
        <v>199.34</v>
      </c>
    </row>
    <row r="2048" spans="1:9">
      <c r="A2048" t="str">
        <f t="shared" si="116"/>
        <v>SAU</v>
      </c>
      <c r="B2048" t="str">
        <f>"60610000"</f>
        <v>60610000</v>
      </c>
      <c r="C2048" t="str">
        <f t="shared" si="113"/>
        <v>SAU606100000</v>
      </c>
      <c r="E2048">
        <v>2050.7800000000002</v>
      </c>
      <c r="F2048">
        <v>0</v>
      </c>
      <c r="G2048">
        <f t="shared" si="114"/>
        <v>2050.7800000000002</v>
      </c>
    </row>
    <row r="2049" spans="1:7">
      <c r="A2049" t="str">
        <f t="shared" si="116"/>
        <v>SAU</v>
      </c>
      <c r="B2049" t="str">
        <f>"60613000"</f>
        <v>60613000</v>
      </c>
      <c r="C2049" t="str">
        <f t="shared" si="113"/>
        <v>SAU606130000</v>
      </c>
      <c r="E2049">
        <v>1690.33</v>
      </c>
      <c r="F2049">
        <v>0</v>
      </c>
      <c r="G2049">
        <f t="shared" si="114"/>
        <v>1690.33</v>
      </c>
    </row>
    <row r="2050" spans="1:7">
      <c r="A2050" t="str">
        <f t="shared" si="116"/>
        <v>SAU</v>
      </c>
      <c r="B2050" t="str">
        <f>"60631000"</f>
        <v>60631000</v>
      </c>
      <c r="C2050" t="str">
        <f t="shared" si="113"/>
        <v>SAU606310000</v>
      </c>
      <c r="E2050">
        <v>0</v>
      </c>
      <c r="F2050">
        <v>0</v>
      </c>
      <c r="G2050">
        <f t="shared" si="114"/>
        <v>0</v>
      </c>
    </row>
    <row r="2051" spans="1:7">
      <c r="A2051" t="str">
        <f t="shared" si="116"/>
        <v>SAU</v>
      </c>
      <c r="B2051" t="str">
        <f>"60641000"</f>
        <v>60641000</v>
      </c>
      <c r="C2051" t="str">
        <f t="shared" ref="C2051:C2114" si="117">+A2051&amp;B2051*10</f>
        <v>SAU606410000</v>
      </c>
      <c r="E2051">
        <v>1181.19</v>
      </c>
      <c r="F2051">
        <v>0</v>
      </c>
      <c r="G2051">
        <f t="shared" ref="G2051:G2114" si="118">+E2051-F2051</f>
        <v>1181.19</v>
      </c>
    </row>
    <row r="2052" spans="1:7">
      <c r="A2052" t="str">
        <f t="shared" si="116"/>
        <v>SAU</v>
      </c>
      <c r="B2052" t="str">
        <f>"60710000"</f>
        <v>60710000</v>
      </c>
      <c r="C2052" t="str">
        <f t="shared" si="117"/>
        <v>SAU607100000</v>
      </c>
      <c r="E2052">
        <v>64044.24</v>
      </c>
      <c r="F2052">
        <v>0</v>
      </c>
      <c r="G2052">
        <f t="shared" si="118"/>
        <v>64044.24</v>
      </c>
    </row>
    <row r="2053" spans="1:7">
      <c r="A2053" t="str">
        <f t="shared" si="116"/>
        <v>SAU</v>
      </c>
      <c r="B2053" t="str">
        <f>"60711000"</f>
        <v>60711000</v>
      </c>
      <c r="C2053" t="str">
        <f t="shared" si="117"/>
        <v>SAU607110000</v>
      </c>
      <c r="E2053">
        <v>2262.65</v>
      </c>
      <c r="F2053">
        <v>0</v>
      </c>
      <c r="G2053">
        <f t="shared" si="118"/>
        <v>2262.65</v>
      </c>
    </row>
    <row r="2054" spans="1:7">
      <c r="A2054" t="str">
        <f t="shared" si="116"/>
        <v>SAU</v>
      </c>
      <c r="B2054" t="str">
        <f>"60713000"</f>
        <v>60713000</v>
      </c>
      <c r="C2054" t="str">
        <f t="shared" si="117"/>
        <v>SAU607130000</v>
      </c>
      <c r="E2054">
        <v>67688</v>
      </c>
      <c r="F2054">
        <v>0</v>
      </c>
      <c r="G2054">
        <f t="shared" si="118"/>
        <v>67688</v>
      </c>
    </row>
    <row r="2055" spans="1:7">
      <c r="A2055" t="str">
        <f t="shared" si="116"/>
        <v>SAU</v>
      </c>
      <c r="B2055" t="str">
        <f>"60714000"</f>
        <v>60714000</v>
      </c>
      <c r="C2055" t="str">
        <f t="shared" si="117"/>
        <v>SAU607140000</v>
      </c>
      <c r="E2055">
        <v>-36180</v>
      </c>
      <c r="F2055">
        <v>0</v>
      </c>
      <c r="G2055">
        <f t="shared" si="118"/>
        <v>-36180</v>
      </c>
    </row>
    <row r="2056" spans="1:7">
      <c r="A2056" t="str">
        <f t="shared" si="116"/>
        <v>SAU</v>
      </c>
      <c r="B2056" t="str">
        <f>"60720000"</f>
        <v>60720000</v>
      </c>
      <c r="C2056" t="str">
        <f t="shared" si="117"/>
        <v>SAU607200000</v>
      </c>
      <c r="E2056">
        <v>73857.69</v>
      </c>
      <c r="F2056">
        <v>0</v>
      </c>
      <c r="G2056">
        <f t="shared" si="118"/>
        <v>73857.69</v>
      </c>
    </row>
    <row r="2057" spans="1:7">
      <c r="A2057" t="str">
        <f t="shared" si="116"/>
        <v>SAU</v>
      </c>
      <c r="B2057" t="str">
        <f>"60740000"</f>
        <v>60740000</v>
      </c>
      <c r="C2057" t="str">
        <f t="shared" si="117"/>
        <v>SAU607400000</v>
      </c>
      <c r="E2057">
        <v>1942.73</v>
      </c>
      <c r="F2057">
        <v>0</v>
      </c>
      <c r="G2057">
        <f t="shared" si="118"/>
        <v>1942.73</v>
      </c>
    </row>
    <row r="2058" spans="1:7">
      <c r="A2058" t="str">
        <f t="shared" si="116"/>
        <v>SAU</v>
      </c>
      <c r="B2058" t="str">
        <f>"60800000"</f>
        <v>60800000</v>
      </c>
      <c r="C2058" t="str">
        <f t="shared" si="117"/>
        <v>SAU608000000</v>
      </c>
      <c r="E2058">
        <v>1796.79</v>
      </c>
      <c r="F2058">
        <v>0</v>
      </c>
      <c r="G2058">
        <f t="shared" si="118"/>
        <v>1796.79</v>
      </c>
    </row>
    <row r="2059" spans="1:7">
      <c r="A2059" t="str">
        <f t="shared" si="116"/>
        <v>SAU</v>
      </c>
      <c r="B2059" t="str">
        <f>"60911000"</f>
        <v>60911000</v>
      </c>
      <c r="C2059" t="str">
        <f t="shared" si="117"/>
        <v>SAU609110000</v>
      </c>
      <c r="E2059">
        <v>-3571.96</v>
      </c>
      <c r="F2059">
        <v>0</v>
      </c>
      <c r="G2059">
        <f t="shared" si="118"/>
        <v>-3571.96</v>
      </c>
    </row>
    <row r="2060" spans="1:7">
      <c r="A2060" t="str">
        <f t="shared" si="116"/>
        <v>SAU</v>
      </c>
      <c r="B2060" t="str">
        <f>"60912000"</f>
        <v>60912000</v>
      </c>
      <c r="C2060" t="str">
        <f t="shared" si="117"/>
        <v>SAU609120000</v>
      </c>
      <c r="E2060">
        <v>-5912.91</v>
      </c>
      <c r="F2060">
        <v>0</v>
      </c>
      <c r="G2060">
        <f t="shared" si="118"/>
        <v>-5912.91</v>
      </c>
    </row>
    <row r="2061" spans="1:7">
      <c r="A2061" t="str">
        <f t="shared" si="116"/>
        <v>SAU</v>
      </c>
      <c r="B2061" t="str">
        <f>"60913000"</f>
        <v>60913000</v>
      </c>
      <c r="C2061" t="str">
        <f t="shared" si="117"/>
        <v>SAU609130000</v>
      </c>
      <c r="E2061">
        <v>-3378.8</v>
      </c>
      <c r="F2061">
        <v>0</v>
      </c>
      <c r="G2061">
        <f t="shared" si="118"/>
        <v>-3378.8</v>
      </c>
    </row>
    <row r="2062" spans="1:7">
      <c r="A2062" t="str">
        <f t="shared" si="116"/>
        <v>SAU</v>
      </c>
      <c r="B2062" t="str">
        <f>"61250000"</f>
        <v>61250000</v>
      </c>
      <c r="C2062" t="str">
        <f t="shared" si="117"/>
        <v>SAU612500000</v>
      </c>
      <c r="E2062">
        <v>3411.85</v>
      </c>
      <c r="F2062">
        <v>0</v>
      </c>
      <c r="G2062">
        <f t="shared" si="118"/>
        <v>3411.85</v>
      </c>
    </row>
    <row r="2063" spans="1:7">
      <c r="A2063" t="str">
        <f t="shared" si="116"/>
        <v>SAU</v>
      </c>
      <c r="B2063" t="str">
        <f>"61320000"</f>
        <v>61320000</v>
      </c>
      <c r="C2063" t="str">
        <f t="shared" si="117"/>
        <v>SAU613200000</v>
      </c>
      <c r="E2063">
        <v>22000</v>
      </c>
      <c r="F2063">
        <v>0</v>
      </c>
      <c r="G2063">
        <f t="shared" si="118"/>
        <v>22000</v>
      </c>
    </row>
    <row r="2064" spans="1:7">
      <c r="A2064" t="str">
        <f t="shared" si="116"/>
        <v>SAU</v>
      </c>
      <c r="B2064" t="str">
        <f>"61352000"</f>
        <v>61352000</v>
      </c>
      <c r="C2064" t="str">
        <f t="shared" si="117"/>
        <v>SAU613520000</v>
      </c>
      <c r="E2064">
        <v>524.9</v>
      </c>
      <c r="F2064">
        <v>524.9</v>
      </c>
      <c r="G2064">
        <f t="shared" si="118"/>
        <v>0</v>
      </c>
    </row>
    <row r="2065" spans="1:14">
      <c r="A2065" t="str">
        <f t="shared" si="116"/>
        <v>SAU</v>
      </c>
      <c r="B2065" t="str">
        <f>"61353000"</f>
        <v>61353000</v>
      </c>
      <c r="C2065" t="str">
        <f t="shared" si="117"/>
        <v>SAU613530000</v>
      </c>
      <c r="E2065">
        <v>1050.18</v>
      </c>
      <c r="F2065">
        <v>0</v>
      </c>
      <c r="G2065">
        <f t="shared" si="118"/>
        <v>1050.18</v>
      </c>
    </row>
    <row r="2066" spans="1:14">
      <c r="A2066" t="str">
        <f t="shared" si="116"/>
        <v>SAU</v>
      </c>
      <c r="B2066" t="str">
        <f>"61520000"</f>
        <v>61520000</v>
      </c>
      <c r="C2066" t="str">
        <f t="shared" si="117"/>
        <v>SAU615200000</v>
      </c>
      <c r="E2066">
        <v>2215.61</v>
      </c>
      <c r="F2066">
        <v>0</v>
      </c>
      <c r="G2066">
        <f t="shared" si="118"/>
        <v>2215.61</v>
      </c>
    </row>
    <row r="2067" spans="1:14">
      <c r="A2067" t="str">
        <f t="shared" si="116"/>
        <v>SAU</v>
      </c>
      <c r="B2067" t="str">
        <f>"61550000"</f>
        <v>61550000</v>
      </c>
      <c r="C2067" t="str">
        <f t="shared" si="117"/>
        <v>SAU615500000</v>
      </c>
      <c r="E2067">
        <v>934</v>
      </c>
      <c r="F2067">
        <v>14</v>
      </c>
      <c r="G2067">
        <f t="shared" si="118"/>
        <v>920</v>
      </c>
    </row>
    <row r="2068" spans="1:14">
      <c r="A2068" t="str">
        <f t="shared" si="116"/>
        <v>SAU</v>
      </c>
      <c r="B2068" t="str">
        <f>"61552000"</f>
        <v>61552000</v>
      </c>
      <c r="C2068" t="str">
        <f t="shared" si="117"/>
        <v>SAU615520000</v>
      </c>
      <c r="E2068">
        <v>179.07</v>
      </c>
      <c r="F2068">
        <v>0</v>
      </c>
      <c r="G2068">
        <f t="shared" si="118"/>
        <v>179.07</v>
      </c>
    </row>
    <row r="2069" spans="1:14">
      <c r="A2069" t="str">
        <f t="shared" si="116"/>
        <v>SAU</v>
      </c>
      <c r="B2069" t="str">
        <f>"61612000"</f>
        <v>61612000</v>
      </c>
      <c r="C2069" t="str">
        <f t="shared" si="117"/>
        <v>SAU616120000</v>
      </c>
      <c r="E2069">
        <v>619.79999999999995</v>
      </c>
      <c r="F2069">
        <v>0</v>
      </c>
      <c r="G2069">
        <f t="shared" si="118"/>
        <v>619.79999999999995</v>
      </c>
    </row>
    <row r="2070" spans="1:14">
      <c r="A2070" t="str">
        <f t="shared" si="116"/>
        <v>SAU</v>
      </c>
      <c r="B2070" t="str">
        <f>"61613000"</f>
        <v>61613000</v>
      </c>
      <c r="C2070" t="str">
        <f t="shared" si="117"/>
        <v>SAU616130000</v>
      </c>
      <c r="E2070">
        <v>1695.45</v>
      </c>
      <c r="F2070">
        <v>0</v>
      </c>
      <c r="G2070">
        <f t="shared" si="118"/>
        <v>1695.45</v>
      </c>
    </row>
    <row r="2071" spans="1:14">
      <c r="A2071" t="str">
        <f t="shared" si="116"/>
        <v>SAU</v>
      </c>
      <c r="B2071" t="str">
        <f>"61810000"</f>
        <v>61810000</v>
      </c>
      <c r="C2071" t="str">
        <f t="shared" si="117"/>
        <v>SAU618100000</v>
      </c>
      <c r="E2071">
        <v>81.489999999999995</v>
      </c>
      <c r="F2071">
        <v>0</v>
      </c>
      <c r="G2071">
        <f t="shared" si="118"/>
        <v>81.489999999999995</v>
      </c>
    </row>
    <row r="2072" spans="1:14">
      <c r="A2072" t="str">
        <f t="shared" si="116"/>
        <v>SAU</v>
      </c>
      <c r="B2072" t="str">
        <f>"61850000"</f>
        <v>61850000</v>
      </c>
      <c r="C2072" t="str">
        <f t="shared" si="117"/>
        <v>SAU618500000</v>
      </c>
      <c r="E2072">
        <v>404.21</v>
      </c>
      <c r="F2072">
        <v>0</v>
      </c>
      <c r="G2072">
        <f t="shared" si="118"/>
        <v>404.21</v>
      </c>
      <c r="J2072" s="113"/>
      <c r="K2072" s="434"/>
      <c r="L2072" s="435"/>
      <c r="M2072" s="27"/>
      <c r="N2072" s="435"/>
    </row>
    <row r="2073" spans="1:14">
      <c r="A2073" t="str">
        <f t="shared" si="116"/>
        <v>SAU</v>
      </c>
      <c r="B2073" t="str">
        <f>"62320000"</f>
        <v>62320000</v>
      </c>
      <c r="C2073" t="str">
        <f t="shared" si="117"/>
        <v>SAU623200000</v>
      </c>
      <c r="E2073">
        <v>2565.2199999999998</v>
      </c>
      <c r="F2073">
        <v>0</v>
      </c>
      <c r="G2073">
        <f t="shared" si="118"/>
        <v>2565.2199999999998</v>
      </c>
      <c r="I2073" s="436"/>
      <c r="J2073" s="113"/>
      <c r="K2073" s="434"/>
      <c r="L2073" s="435"/>
      <c r="M2073" s="27"/>
      <c r="N2073" s="435"/>
    </row>
    <row r="2074" spans="1:14">
      <c r="A2074" t="str">
        <f t="shared" si="116"/>
        <v>SAU</v>
      </c>
      <c r="B2074" t="str">
        <f>"62330000"</f>
        <v>62330000</v>
      </c>
      <c r="C2074" t="str">
        <f t="shared" si="117"/>
        <v>SAU623300000</v>
      </c>
      <c r="E2074">
        <v>1506</v>
      </c>
      <c r="F2074">
        <v>0</v>
      </c>
      <c r="G2074">
        <f t="shared" si="118"/>
        <v>1506</v>
      </c>
      <c r="I2074" s="436"/>
      <c r="J2074" s="113"/>
      <c r="K2074" s="431"/>
      <c r="L2074" s="435"/>
      <c r="M2074" s="27"/>
      <c r="N2074" s="435"/>
    </row>
    <row r="2075" spans="1:14">
      <c r="A2075" t="str">
        <f t="shared" si="116"/>
        <v>SAU</v>
      </c>
      <c r="B2075" t="str">
        <f>"62341000"</f>
        <v>62341000</v>
      </c>
      <c r="C2075" t="str">
        <f t="shared" si="117"/>
        <v>SAU623410000</v>
      </c>
      <c r="E2075">
        <v>1664.45</v>
      </c>
      <c r="F2075">
        <v>0</v>
      </c>
      <c r="G2075">
        <f t="shared" si="118"/>
        <v>1664.45</v>
      </c>
      <c r="I2075" s="434"/>
      <c r="J2075" s="113"/>
      <c r="K2075" s="431"/>
      <c r="L2075" s="435"/>
      <c r="M2075" s="27"/>
      <c r="N2075" s="435"/>
    </row>
    <row r="2076" spans="1:14">
      <c r="A2076" t="str">
        <f t="shared" si="116"/>
        <v>SAU</v>
      </c>
      <c r="B2076" t="str">
        <f>"62342000"</f>
        <v>62342000</v>
      </c>
      <c r="C2076" t="str">
        <f t="shared" si="117"/>
        <v>SAU623420000</v>
      </c>
      <c r="E2076">
        <v>-2.48</v>
      </c>
      <c r="F2076">
        <v>0</v>
      </c>
      <c r="G2076">
        <f t="shared" si="118"/>
        <v>-2.48</v>
      </c>
      <c r="I2076" s="436"/>
      <c r="J2076" s="113"/>
      <c r="K2076" s="431"/>
      <c r="L2076" s="435"/>
      <c r="M2076" s="27"/>
      <c r="N2076" s="435"/>
    </row>
    <row r="2077" spans="1:14">
      <c r="A2077" t="str">
        <f t="shared" si="116"/>
        <v>SAU</v>
      </c>
      <c r="B2077" t="str">
        <f>"62370000"</f>
        <v>62370000</v>
      </c>
      <c r="C2077" t="str">
        <f t="shared" si="117"/>
        <v>SAU623700000</v>
      </c>
      <c r="E2077">
        <v>2337.08</v>
      </c>
      <c r="F2077">
        <v>552.4</v>
      </c>
      <c r="G2077">
        <f t="shared" si="118"/>
        <v>1784.6799999999998</v>
      </c>
      <c r="I2077" s="434"/>
      <c r="J2077" s="113"/>
      <c r="K2077" s="431"/>
      <c r="L2077" s="435"/>
      <c r="M2077" s="27"/>
      <c r="N2077" s="435"/>
    </row>
    <row r="2078" spans="1:14">
      <c r="A2078" t="str">
        <f t="shared" si="116"/>
        <v>SAU</v>
      </c>
      <c r="B2078" t="str">
        <f>"62380000"</f>
        <v>62380000</v>
      </c>
      <c r="C2078" t="str">
        <f t="shared" si="117"/>
        <v>SAU623800000</v>
      </c>
      <c r="E2078">
        <v>15</v>
      </c>
      <c r="F2078">
        <v>0</v>
      </c>
      <c r="G2078">
        <f t="shared" si="118"/>
        <v>15</v>
      </c>
      <c r="I2078" s="434"/>
      <c r="J2078" s="113"/>
      <c r="K2078" s="431"/>
      <c r="L2078" s="435"/>
      <c r="M2078" s="27"/>
      <c r="N2078" s="435"/>
    </row>
    <row r="2079" spans="1:14">
      <c r="A2079" t="str">
        <f t="shared" si="116"/>
        <v>SAU</v>
      </c>
      <c r="B2079" t="str">
        <f>"62381000"</f>
        <v>62381000</v>
      </c>
      <c r="C2079" t="str">
        <f t="shared" si="117"/>
        <v>SAU623810000</v>
      </c>
      <c r="E2079">
        <v>0</v>
      </c>
      <c r="F2079">
        <v>0</v>
      </c>
      <c r="G2079">
        <f t="shared" si="118"/>
        <v>0</v>
      </c>
      <c r="I2079" s="434"/>
      <c r="J2079" s="113"/>
      <c r="K2079" s="431"/>
      <c r="M2079" s="27"/>
      <c r="N2079" s="435"/>
    </row>
    <row r="2080" spans="1:14">
      <c r="A2080" t="str">
        <f t="shared" si="116"/>
        <v>SAU</v>
      </c>
      <c r="B2080" t="str">
        <f>"62420000"</f>
        <v>62420000</v>
      </c>
      <c r="C2080" t="str">
        <f t="shared" si="117"/>
        <v>SAU624200000</v>
      </c>
      <c r="E2080">
        <v>1643.12</v>
      </c>
      <c r="F2080">
        <v>0</v>
      </c>
      <c r="G2080">
        <f t="shared" si="118"/>
        <v>1643.12</v>
      </c>
      <c r="I2080" s="434"/>
      <c r="J2080" s="113"/>
      <c r="K2080" s="431"/>
      <c r="M2080" s="27"/>
      <c r="N2080" s="435"/>
    </row>
    <row r="2081" spans="1:14">
      <c r="A2081" t="str">
        <f t="shared" si="116"/>
        <v>SAU</v>
      </c>
      <c r="B2081" t="str">
        <f>"62510000"</f>
        <v>62510000</v>
      </c>
      <c r="C2081" t="str">
        <f t="shared" si="117"/>
        <v>SAU625100000</v>
      </c>
      <c r="E2081">
        <v>4975.6000000000004</v>
      </c>
      <c r="F2081">
        <v>0</v>
      </c>
      <c r="G2081">
        <f t="shared" si="118"/>
        <v>4975.6000000000004</v>
      </c>
      <c r="I2081" s="434"/>
      <c r="J2081" s="113"/>
      <c r="K2081" s="431"/>
      <c r="M2081" s="27"/>
      <c r="N2081" s="435"/>
    </row>
    <row r="2082" spans="1:14">
      <c r="A2082" t="str">
        <f t="shared" si="116"/>
        <v>SAU</v>
      </c>
      <c r="B2082" t="str">
        <f>"62560000"</f>
        <v>62560000</v>
      </c>
      <c r="C2082" t="str">
        <f t="shared" si="117"/>
        <v>SAU625600000</v>
      </c>
      <c r="E2082">
        <v>25.23</v>
      </c>
      <c r="F2082">
        <v>0</v>
      </c>
      <c r="G2082">
        <f t="shared" si="118"/>
        <v>25.23</v>
      </c>
      <c r="I2082" s="434"/>
      <c r="J2082" s="113"/>
      <c r="K2082" s="434"/>
      <c r="L2082" s="435"/>
      <c r="M2082" s="27"/>
      <c r="N2082" s="435"/>
    </row>
    <row r="2083" spans="1:14">
      <c r="A2083" t="str">
        <f t="shared" si="116"/>
        <v>SAU</v>
      </c>
      <c r="B2083" t="str">
        <f>"62570000"</f>
        <v>62570000</v>
      </c>
      <c r="C2083" t="str">
        <f t="shared" si="117"/>
        <v>SAU625700000</v>
      </c>
      <c r="E2083">
        <v>1912.52</v>
      </c>
      <c r="F2083">
        <v>0</v>
      </c>
      <c r="G2083">
        <f t="shared" si="118"/>
        <v>1912.52</v>
      </c>
      <c r="I2083" s="436"/>
      <c r="J2083" s="113"/>
      <c r="K2083" s="434"/>
      <c r="L2083" s="435"/>
      <c r="M2083" s="27"/>
      <c r="N2083" s="435"/>
    </row>
    <row r="2084" spans="1:14">
      <c r="A2084" t="str">
        <f t="shared" si="116"/>
        <v>SAU</v>
      </c>
      <c r="B2084" t="str">
        <f>"62571000"</f>
        <v>62571000</v>
      </c>
      <c r="C2084" t="str">
        <f t="shared" si="117"/>
        <v>SAU625710000</v>
      </c>
      <c r="E2084">
        <v>534.08000000000004</v>
      </c>
      <c r="F2084">
        <v>0</v>
      </c>
      <c r="G2084">
        <f t="shared" si="118"/>
        <v>534.08000000000004</v>
      </c>
      <c r="I2084" s="434"/>
      <c r="J2084" s="113"/>
      <c r="K2084" s="434"/>
      <c r="L2084" s="435"/>
      <c r="M2084" s="27"/>
      <c r="N2084" s="435"/>
    </row>
    <row r="2085" spans="1:14">
      <c r="A2085" t="str">
        <f t="shared" si="116"/>
        <v>SAU</v>
      </c>
      <c r="B2085" t="str">
        <f>"62600000"</f>
        <v>62600000</v>
      </c>
      <c r="C2085" t="str">
        <f t="shared" si="117"/>
        <v>SAU626000000</v>
      </c>
      <c r="E2085">
        <v>4151.07</v>
      </c>
      <c r="F2085">
        <v>0</v>
      </c>
      <c r="G2085">
        <f t="shared" si="118"/>
        <v>4151.07</v>
      </c>
      <c r="I2085" s="434"/>
      <c r="J2085" s="113"/>
      <c r="K2085" s="434"/>
      <c r="L2085" s="435"/>
      <c r="M2085" s="27"/>
      <c r="N2085" s="435"/>
    </row>
    <row r="2086" spans="1:14">
      <c r="A2086" t="str">
        <f t="shared" si="116"/>
        <v>SAU</v>
      </c>
      <c r="B2086" t="str">
        <f>"62610000"</f>
        <v>62610000</v>
      </c>
      <c r="C2086" t="str">
        <f t="shared" si="117"/>
        <v>SAU626100000</v>
      </c>
      <c r="E2086">
        <v>465.63</v>
      </c>
      <c r="F2086">
        <v>0</v>
      </c>
      <c r="G2086">
        <f t="shared" si="118"/>
        <v>465.63</v>
      </c>
      <c r="I2086" s="434"/>
      <c r="J2086" s="113"/>
      <c r="K2086" s="434"/>
      <c r="L2086" s="435"/>
      <c r="M2086" s="27"/>
      <c r="N2086" s="435"/>
    </row>
    <row r="2087" spans="1:14">
      <c r="A2087" t="str">
        <f t="shared" si="116"/>
        <v>SAU</v>
      </c>
      <c r="B2087" t="str">
        <f>"62752000"</f>
        <v>62752000</v>
      </c>
      <c r="C2087" t="str">
        <f t="shared" si="117"/>
        <v>SAU627520000</v>
      </c>
      <c r="E2087">
        <v>88.5</v>
      </c>
      <c r="F2087">
        <v>0</v>
      </c>
      <c r="G2087">
        <f t="shared" si="118"/>
        <v>88.5</v>
      </c>
      <c r="I2087" s="436"/>
      <c r="J2087" s="113"/>
      <c r="K2087" s="434"/>
      <c r="L2087" s="435"/>
      <c r="M2087" s="27"/>
      <c r="N2087" s="435"/>
    </row>
    <row r="2088" spans="1:14">
      <c r="A2088" t="str">
        <f t="shared" si="116"/>
        <v>SAU</v>
      </c>
      <c r="B2088" t="str">
        <f>"63330000"</f>
        <v>63330000</v>
      </c>
      <c r="C2088" t="str">
        <f t="shared" si="117"/>
        <v>SAU633300000</v>
      </c>
      <c r="E2088">
        <v>365.87</v>
      </c>
      <c r="F2088">
        <v>0</v>
      </c>
      <c r="G2088">
        <f t="shared" si="118"/>
        <v>365.87</v>
      </c>
      <c r="I2088" s="434"/>
      <c r="J2088" s="113"/>
      <c r="K2088" s="434"/>
      <c r="L2088" s="435"/>
      <c r="M2088" s="27"/>
      <c r="N2088" s="435"/>
    </row>
    <row r="2089" spans="1:14">
      <c r="A2089" t="str">
        <f t="shared" si="116"/>
        <v>SAU</v>
      </c>
      <c r="B2089" t="str">
        <f>"63340000"</f>
        <v>63340000</v>
      </c>
      <c r="C2089" t="str">
        <f t="shared" si="117"/>
        <v>SAU633400000</v>
      </c>
      <c r="E2089">
        <v>182</v>
      </c>
      <c r="F2089">
        <v>0</v>
      </c>
      <c r="G2089">
        <f t="shared" si="118"/>
        <v>182</v>
      </c>
      <c r="I2089" s="434"/>
      <c r="J2089" s="437"/>
      <c r="K2089" s="434"/>
      <c r="L2089" s="435"/>
      <c r="M2089" s="27"/>
      <c r="N2089" s="435"/>
    </row>
    <row r="2090" spans="1:14">
      <c r="A2090" t="str">
        <f t="shared" si="116"/>
        <v>SAU</v>
      </c>
      <c r="B2090" t="str">
        <f>"63350000"</f>
        <v>63350000</v>
      </c>
      <c r="C2090" t="str">
        <f t="shared" si="117"/>
        <v>SAU633500000</v>
      </c>
      <c r="E2090">
        <v>275</v>
      </c>
      <c r="F2090">
        <v>0</v>
      </c>
      <c r="G2090">
        <f t="shared" si="118"/>
        <v>275</v>
      </c>
      <c r="I2090" s="434"/>
      <c r="J2090" s="113"/>
      <c r="K2090" s="431"/>
      <c r="M2090" s="27"/>
      <c r="N2090" s="435"/>
    </row>
    <row r="2091" spans="1:14">
      <c r="A2091" t="str">
        <f t="shared" si="116"/>
        <v>SAU</v>
      </c>
      <c r="B2091" t="str">
        <f>"63511000"</f>
        <v>63511000</v>
      </c>
      <c r="C2091" t="str">
        <f t="shared" si="117"/>
        <v>SAU635110000</v>
      </c>
      <c r="E2091">
        <v>1105</v>
      </c>
      <c r="F2091">
        <v>0</v>
      </c>
      <c r="G2091">
        <f t="shared" si="118"/>
        <v>1105</v>
      </c>
      <c r="I2091" s="434"/>
      <c r="J2091" s="113"/>
      <c r="K2091" s="431"/>
      <c r="M2091" s="27"/>
      <c r="N2091" s="435"/>
    </row>
    <row r="2092" spans="1:14">
      <c r="A2092" t="str">
        <f t="shared" si="116"/>
        <v>SAU</v>
      </c>
      <c r="B2092" t="str">
        <f>"63512000"</f>
        <v>63512000</v>
      </c>
      <c r="C2092" t="str">
        <f t="shared" si="117"/>
        <v>SAU635120000</v>
      </c>
      <c r="E2092">
        <v>2368</v>
      </c>
      <c r="F2092">
        <v>0</v>
      </c>
      <c r="G2092">
        <f t="shared" si="118"/>
        <v>2368</v>
      </c>
      <c r="I2092" s="434"/>
      <c r="J2092" s="113"/>
      <c r="K2092" s="434"/>
      <c r="L2092" s="435"/>
      <c r="M2092" s="27"/>
      <c r="N2092" s="435"/>
    </row>
    <row r="2093" spans="1:14">
      <c r="A2093" t="str">
        <f t="shared" si="116"/>
        <v>SAU</v>
      </c>
      <c r="B2093" t="str">
        <f>"63514000"</f>
        <v>63514000</v>
      </c>
      <c r="C2093" t="str">
        <f t="shared" si="117"/>
        <v>SAU635140000</v>
      </c>
      <c r="E2093">
        <v>69</v>
      </c>
      <c r="F2093">
        <v>0</v>
      </c>
      <c r="G2093">
        <f t="shared" si="118"/>
        <v>69</v>
      </c>
      <c r="I2093" s="434"/>
      <c r="J2093" s="113"/>
      <c r="K2093" s="434"/>
      <c r="L2093" s="435"/>
      <c r="M2093" s="27"/>
      <c r="N2093" s="435"/>
    </row>
    <row r="2094" spans="1:14">
      <c r="A2094" t="str">
        <f t="shared" si="116"/>
        <v>SAU</v>
      </c>
      <c r="B2094" t="str">
        <f>"63710000"</f>
        <v>63710000</v>
      </c>
      <c r="C2094" t="str">
        <f t="shared" si="117"/>
        <v>SAU637100000</v>
      </c>
      <c r="E2094">
        <v>442.27</v>
      </c>
      <c r="F2094">
        <v>0</v>
      </c>
      <c r="G2094">
        <f t="shared" si="118"/>
        <v>442.27</v>
      </c>
      <c r="I2094" s="434"/>
      <c r="J2094" s="113"/>
      <c r="K2094" s="434"/>
      <c r="L2094" s="435"/>
      <c r="M2094" s="27"/>
      <c r="N2094" s="435"/>
    </row>
    <row r="2095" spans="1:14">
      <c r="A2095" t="str">
        <f t="shared" si="116"/>
        <v>SAU</v>
      </c>
      <c r="B2095" t="str">
        <f>"64110000"</f>
        <v>64110000</v>
      </c>
      <c r="C2095" t="str">
        <f t="shared" si="117"/>
        <v>SAU641100000</v>
      </c>
      <c r="E2095">
        <v>58547.67</v>
      </c>
      <c r="F2095">
        <v>418.32</v>
      </c>
      <c r="G2095">
        <f t="shared" si="118"/>
        <v>58129.35</v>
      </c>
      <c r="I2095" s="436"/>
      <c r="J2095" s="113"/>
      <c r="K2095" s="434"/>
      <c r="L2095" s="435"/>
      <c r="M2095" s="27"/>
      <c r="N2095" s="435"/>
    </row>
    <row r="2096" spans="1:14">
      <c r="A2096" t="str">
        <f t="shared" si="116"/>
        <v>SAU</v>
      </c>
      <c r="B2096" t="str">
        <f>"64111000"</f>
        <v>64111000</v>
      </c>
      <c r="C2096" t="str">
        <f t="shared" si="117"/>
        <v>SAU641110000</v>
      </c>
      <c r="E2096">
        <v>-483.72</v>
      </c>
      <c r="F2096">
        <v>0</v>
      </c>
      <c r="G2096">
        <f t="shared" si="118"/>
        <v>-483.72</v>
      </c>
      <c r="I2096" s="436"/>
      <c r="J2096" s="113"/>
      <c r="K2096" s="434"/>
      <c r="M2096" s="27"/>
      <c r="N2096" s="435"/>
    </row>
    <row r="2097" spans="1:14">
      <c r="A2097" t="str">
        <f t="shared" si="116"/>
        <v>SAU</v>
      </c>
      <c r="B2097" t="str">
        <f>"64120000"</f>
        <v>64120000</v>
      </c>
      <c r="C2097" t="str">
        <f t="shared" si="117"/>
        <v>SAU641200000</v>
      </c>
      <c r="E2097">
        <v>2514.4299999999998</v>
      </c>
      <c r="F2097">
        <v>7331.41</v>
      </c>
      <c r="G2097">
        <f t="shared" si="118"/>
        <v>-4816.9799999999996</v>
      </c>
      <c r="I2097" s="434"/>
      <c r="J2097" s="113"/>
      <c r="K2097" s="434"/>
      <c r="M2097" s="27"/>
      <c r="N2097" s="435"/>
    </row>
    <row r="2098" spans="1:14">
      <c r="A2098" t="str">
        <f t="shared" si="116"/>
        <v>SAU</v>
      </c>
      <c r="B2098" t="str">
        <f>"64121000"</f>
        <v>64121000</v>
      </c>
      <c r="C2098" t="str">
        <f t="shared" si="117"/>
        <v>SAU641210000</v>
      </c>
      <c r="E2098">
        <v>844.35</v>
      </c>
      <c r="F2098">
        <v>2224.35</v>
      </c>
      <c r="G2098">
        <f t="shared" si="118"/>
        <v>-1380</v>
      </c>
      <c r="I2098" s="434"/>
      <c r="J2098" s="113"/>
      <c r="K2098" s="434"/>
      <c r="L2098" s="435"/>
      <c r="M2098" s="27"/>
      <c r="N2098" s="435"/>
    </row>
    <row r="2099" spans="1:14">
      <c r="A2099" t="str">
        <f t="shared" si="116"/>
        <v>SAU</v>
      </c>
      <c r="B2099" t="str">
        <f>"64160000"</f>
        <v>64160000</v>
      </c>
      <c r="C2099" t="str">
        <f t="shared" si="117"/>
        <v>SAU641600000</v>
      </c>
      <c r="E2099">
        <v>1500</v>
      </c>
      <c r="F2099">
        <v>0</v>
      </c>
      <c r="G2099">
        <f t="shared" si="118"/>
        <v>1500</v>
      </c>
      <c r="I2099" s="434"/>
      <c r="J2099" s="113"/>
      <c r="K2099" s="434"/>
      <c r="L2099" s="435"/>
      <c r="M2099" s="27"/>
      <c r="N2099" s="435"/>
    </row>
    <row r="2100" spans="1:14">
      <c r="A2100" t="str">
        <f t="shared" si="116"/>
        <v>SAU</v>
      </c>
      <c r="B2100" t="str">
        <f>"64510000"</f>
        <v>64510000</v>
      </c>
      <c r="C2100" t="str">
        <f t="shared" si="117"/>
        <v>SAU645100000</v>
      </c>
      <c r="E2100">
        <v>15940.86</v>
      </c>
      <c r="F2100">
        <v>128.41999999999999</v>
      </c>
      <c r="G2100">
        <f t="shared" si="118"/>
        <v>15812.44</v>
      </c>
      <c r="I2100" s="436"/>
      <c r="J2100" s="113"/>
      <c r="K2100" s="434"/>
      <c r="L2100" s="435"/>
      <c r="M2100" s="27"/>
      <c r="N2100" s="435"/>
    </row>
    <row r="2101" spans="1:14">
      <c r="A2101" t="str">
        <f t="shared" si="116"/>
        <v>SAU</v>
      </c>
      <c r="B2101" t="str">
        <f>"64520000"</f>
        <v>64520000</v>
      </c>
      <c r="C2101" t="str">
        <f t="shared" si="117"/>
        <v>SAU645200000</v>
      </c>
      <c r="E2101">
        <v>943.36</v>
      </c>
      <c r="F2101">
        <v>0</v>
      </c>
      <c r="G2101">
        <f t="shared" si="118"/>
        <v>943.36</v>
      </c>
      <c r="I2101" s="436"/>
      <c r="J2101" s="113"/>
      <c r="K2101" s="434"/>
      <c r="M2101" s="27"/>
      <c r="N2101" s="435"/>
    </row>
    <row r="2102" spans="1:14">
      <c r="A2102" t="str">
        <f t="shared" si="116"/>
        <v>SAU</v>
      </c>
      <c r="B2102" t="str">
        <f>"64530000"</f>
        <v>64530000</v>
      </c>
      <c r="C2102" t="str">
        <f t="shared" si="117"/>
        <v>SAU645300000</v>
      </c>
      <c r="E2102">
        <v>2332.79</v>
      </c>
      <c r="F2102">
        <v>23.84</v>
      </c>
      <c r="G2102">
        <f t="shared" si="118"/>
        <v>2308.9499999999998</v>
      </c>
      <c r="I2102" s="436"/>
      <c r="J2102" s="113"/>
      <c r="K2102" s="434"/>
      <c r="M2102" s="27"/>
      <c r="N2102" s="435"/>
    </row>
    <row r="2103" spans="1:14">
      <c r="A2103" t="str">
        <f t="shared" si="116"/>
        <v>SAU</v>
      </c>
      <c r="B2103" t="str">
        <f>"64540000"</f>
        <v>64540000</v>
      </c>
      <c r="C2103" t="str">
        <f t="shared" si="117"/>
        <v>SAU645400000</v>
      </c>
      <c r="E2103">
        <v>1732.05</v>
      </c>
      <c r="F2103">
        <v>18.399999999999999</v>
      </c>
      <c r="G2103">
        <f t="shared" si="118"/>
        <v>1713.6499999999999</v>
      </c>
      <c r="N2103" s="438"/>
    </row>
    <row r="2104" spans="1:14">
      <c r="A2104" t="str">
        <f t="shared" si="116"/>
        <v>SAU</v>
      </c>
      <c r="B2104" t="str">
        <f>"64590000"</f>
        <v>64590000</v>
      </c>
      <c r="C2104" t="str">
        <f t="shared" si="117"/>
        <v>SAU645900000</v>
      </c>
      <c r="E2104">
        <v>-146.76</v>
      </c>
      <c r="F2104">
        <v>0</v>
      </c>
      <c r="G2104">
        <f t="shared" si="118"/>
        <v>-146.76</v>
      </c>
      <c r="N2104" s="435"/>
    </row>
    <row r="2105" spans="1:14">
      <c r="A2105" t="str">
        <f t="shared" si="116"/>
        <v>SAU</v>
      </c>
      <c r="B2105" t="str">
        <f>"64710000"</f>
        <v>64710000</v>
      </c>
      <c r="C2105" t="str">
        <f t="shared" si="117"/>
        <v>SAU647100000</v>
      </c>
      <c r="E2105">
        <v>39.6</v>
      </c>
      <c r="F2105">
        <v>0</v>
      </c>
      <c r="G2105">
        <f t="shared" si="118"/>
        <v>39.6</v>
      </c>
      <c r="N2105" s="435"/>
    </row>
    <row r="2106" spans="1:14">
      <c r="A2106" t="str">
        <f t="shared" si="116"/>
        <v>SAU</v>
      </c>
      <c r="B2106" t="str">
        <f>"64740000"</f>
        <v>64740000</v>
      </c>
      <c r="C2106" t="str">
        <f t="shared" si="117"/>
        <v>SAU647400000</v>
      </c>
      <c r="E2106">
        <v>27.2</v>
      </c>
      <c r="F2106">
        <v>0</v>
      </c>
      <c r="G2106">
        <f t="shared" si="118"/>
        <v>27.2</v>
      </c>
      <c r="N2106" s="435"/>
    </row>
    <row r="2107" spans="1:14">
      <c r="A2107" t="str">
        <f t="shared" si="116"/>
        <v>SAU</v>
      </c>
      <c r="B2107" t="str">
        <f>"64750000"</f>
        <v>64750000</v>
      </c>
      <c r="C2107" t="str">
        <f t="shared" si="117"/>
        <v>SAU647500000</v>
      </c>
      <c r="E2107">
        <v>238</v>
      </c>
      <c r="F2107">
        <v>0</v>
      </c>
      <c r="G2107">
        <f t="shared" si="118"/>
        <v>238</v>
      </c>
    </row>
    <row r="2108" spans="1:14">
      <c r="A2108" t="s">
        <v>471</v>
      </c>
      <c r="B2108" t="str">
        <f>"64800000"</f>
        <v>64800000</v>
      </c>
      <c r="C2108" t="str">
        <f t="shared" si="117"/>
        <v>SAU648000000</v>
      </c>
      <c r="E2108" s="19">
        <v>582.29600000000005</v>
      </c>
      <c r="F2108"/>
      <c r="G2108" s="19">
        <f t="shared" si="118"/>
        <v>582.29600000000005</v>
      </c>
      <c r="H2108" s="433">
        <v>582.29600000000005</v>
      </c>
      <c r="I2108" s="113" t="s">
        <v>471</v>
      </c>
    </row>
    <row r="2109" spans="1:14">
      <c r="A2109" t="str">
        <f t="shared" ref="A2109:A2115" si="119">"SAU"</f>
        <v>SAU</v>
      </c>
      <c r="B2109" t="str">
        <f>"65410000"</f>
        <v>65410000</v>
      </c>
      <c r="C2109" t="str">
        <f t="shared" si="117"/>
        <v>SAU654100000</v>
      </c>
      <c r="E2109">
        <v>0.3</v>
      </c>
      <c r="F2109">
        <v>0.74</v>
      </c>
      <c r="G2109">
        <f t="shared" si="118"/>
        <v>-0.44</v>
      </c>
    </row>
    <row r="2110" spans="1:14">
      <c r="A2110" t="str">
        <f t="shared" si="119"/>
        <v>SAU</v>
      </c>
      <c r="B2110" t="str">
        <f>"65420000"</f>
        <v>65420000</v>
      </c>
      <c r="C2110" t="str">
        <f t="shared" si="117"/>
        <v>SAU654200000</v>
      </c>
      <c r="E2110">
        <v>3.59</v>
      </c>
      <c r="F2110">
        <v>0</v>
      </c>
      <c r="G2110">
        <f t="shared" si="118"/>
        <v>3.59</v>
      </c>
    </row>
    <row r="2111" spans="1:14">
      <c r="A2111" t="str">
        <f t="shared" si="119"/>
        <v>SAU</v>
      </c>
      <c r="B2111" t="str">
        <f>"67180000"</f>
        <v>67180000</v>
      </c>
      <c r="C2111" t="str">
        <f t="shared" si="117"/>
        <v>SAU671800000</v>
      </c>
      <c r="E2111">
        <v>238.27</v>
      </c>
      <c r="F2111">
        <v>0</v>
      </c>
      <c r="G2111">
        <f t="shared" si="118"/>
        <v>238.27</v>
      </c>
    </row>
    <row r="2112" spans="1:14">
      <c r="A2112" t="str">
        <f t="shared" si="119"/>
        <v>SAU</v>
      </c>
      <c r="B2112" t="str">
        <f>"68112000"</f>
        <v>68112000</v>
      </c>
      <c r="C2112" t="str">
        <f t="shared" si="117"/>
        <v>SAU681120000</v>
      </c>
      <c r="E2112">
        <v>2317.7199999999998</v>
      </c>
      <c r="F2112">
        <v>0</v>
      </c>
      <c r="G2112">
        <f t="shared" si="118"/>
        <v>2317.7199999999998</v>
      </c>
    </row>
    <row r="2113" spans="1:14">
      <c r="A2113" t="str">
        <f t="shared" si="119"/>
        <v>SAU</v>
      </c>
      <c r="B2113" t="str">
        <f>"68173000"</f>
        <v>68173000</v>
      </c>
      <c r="C2113" t="str">
        <f t="shared" si="117"/>
        <v>SAU681730000</v>
      </c>
      <c r="E2113">
        <v>285.38</v>
      </c>
      <c r="F2113">
        <v>0</v>
      </c>
      <c r="G2113">
        <f t="shared" si="118"/>
        <v>285.38</v>
      </c>
    </row>
    <row r="2114" spans="1:14">
      <c r="A2114" t="str">
        <f t="shared" si="119"/>
        <v>SAU</v>
      </c>
      <c r="B2114" t="str">
        <f>"68174000"</f>
        <v>68174000</v>
      </c>
      <c r="C2114" t="str">
        <f t="shared" si="117"/>
        <v>SAU681740000</v>
      </c>
      <c r="E2114">
        <v>1666.79</v>
      </c>
      <c r="F2114">
        <v>0</v>
      </c>
      <c r="G2114">
        <f t="shared" si="118"/>
        <v>1666.79</v>
      </c>
    </row>
    <row r="2115" spans="1:14">
      <c r="A2115" t="str">
        <f t="shared" si="119"/>
        <v>SAU</v>
      </c>
      <c r="B2115" t="str">
        <f>"68725000"</f>
        <v>68725000</v>
      </c>
      <c r="C2115" t="str">
        <f t="shared" ref="C2115:C2178" si="120">+A2115&amp;B2115*10</f>
        <v>SAU687250000</v>
      </c>
      <c r="E2115">
        <v>3804.03</v>
      </c>
      <c r="F2115">
        <v>0</v>
      </c>
      <c r="G2115">
        <f t="shared" ref="G2115:G2178" si="121">+E2115-F2115</f>
        <v>3804.03</v>
      </c>
    </row>
    <row r="2116" spans="1:14">
      <c r="A2116" t="str">
        <f t="shared" ref="A2116:A2179" si="122">"SOM"</f>
        <v>SOM</v>
      </c>
      <c r="B2116" t="str">
        <f>"60222000"</f>
        <v>60222000</v>
      </c>
      <c r="C2116" t="str">
        <f t="shared" si="120"/>
        <v>SOM602220000</v>
      </c>
      <c r="E2116">
        <v>12.83</v>
      </c>
      <c r="F2116">
        <v>0</v>
      </c>
      <c r="G2116">
        <f t="shared" si="121"/>
        <v>12.83</v>
      </c>
    </row>
    <row r="2117" spans="1:14">
      <c r="A2117" t="str">
        <f t="shared" si="122"/>
        <v>SOM</v>
      </c>
      <c r="B2117" t="str">
        <f>"60610000"</f>
        <v>60610000</v>
      </c>
      <c r="C2117" t="str">
        <f t="shared" si="120"/>
        <v>SOM606100000</v>
      </c>
      <c r="E2117">
        <v>5273.15</v>
      </c>
      <c r="F2117">
        <v>0</v>
      </c>
      <c r="G2117">
        <f t="shared" si="121"/>
        <v>5273.15</v>
      </c>
      <c r="M2117" s="113"/>
    </row>
    <row r="2118" spans="1:14">
      <c r="A2118" t="str">
        <f t="shared" si="122"/>
        <v>SOM</v>
      </c>
      <c r="B2118" t="str">
        <f>"60611000"</f>
        <v>60611000</v>
      </c>
      <c r="C2118" t="str">
        <f t="shared" si="120"/>
        <v>SOM606110000</v>
      </c>
      <c r="E2118">
        <v>3227.4</v>
      </c>
      <c r="F2118">
        <v>0</v>
      </c>
      <c r="G2118">
        <f t="shared" si="121"/>
        <v>3227.4</v>
      </c>
    </row>
    <row r="2119" spans="1:14">
      <c r="A2119" t="str">
        <f t="shared" si="122"/>
        <v>SOM</v>
      </c>
      <c r="B2119" t="str">
        <f>"60613000"</f>
        <v>60613000</v>
      </c>
      <c r="C2119" t="str">
        <f t="shared" si="120"/>
        <v>SOM606130000</v>
      </c>
      <c r="E2119">
        <v>2564.1799999999998</v>
      </c>
      <c r="F2119">
        <v>0</v>
      </c>
      <c r="G2119">
        <f t="shared" si="121"/>
        <v>2564.1799999999998</v>
      </c>
      <c r="M2119" s="113"/>
      <c r="N2119" s="438"/>
    </row>
    <row r="2120" spans="1:14">
      <c r="A2120" t="str">
        <f t="shared" si="122"/>
        <v>SOM</v>
      </c>
      <c r="B2120" t="str">
        <f>"60631000"</f>
        <v>60631000</v>
      </c>
      <c r="C2120" t="str">
        <f t="shared" si="120"/>
        <v>SOM606310000</v>
      </c>
      <c r="E2120">
        <v>177.49</v>
      </c>
      <c r="F2120">
        <v>0</v>
      </c>
      <c r="G2120">
        <f t="shared" si="121"/>
        <v>177.49</v>
      </c>
    </row>
    <row r="2121" spans="1:14">
      <c r="A2121" t="str">
        <f t="shared" si="122"/>
        <v>SOM</v>
      </c>
      <c r="B2121" t="str">
        <f>"60641000"</f>
        <v>60641000</v>
      </c>
      <c r="C2121" t="str">
        <f t="shared" si="120"/>
        <v>SOM606410000</v>
      </c>
      <c r="E2121">
        <v>4292.7700000000004</v>
      </c>
      <c r="F2121">
        <v>-1655</v>
      </c>
      <c r="G2121">
        <f t="shared" si="121"/>
        <v>5947.77</v>
      </c>
    </row>
    <row r="2122" spans="1:14">
      <c r="A2122" t="str">
        <f t="shared" si="122"/>
        <v>SOM</v>
      </c>
      <c r="B2122" t="str">
        <f>"60710000"</f>
        <v>60710000</v>
      </c>
      <c r="C2122" t="str">
        <f t="shared" si="120"/>
        <v>SOM607100000</v>
      </c>
      <c r="E2122">
        <v>191898.14</v>
      </c>
      <c r="F2122">
        <v>-108317.81</v>
      </c>
      <c r="G2122">
        <f t="shared" si="121"/>
        <v>300215.95</v>
      </c>
    </row>
    <row r="2123" spans="1:14">
      <c r="A2123" t="str">
        <f t="shared" si="122"/>
        <v>SOM</v>
      </c>
      <c r="B2123" t="str">
        <f>"60711000"</f>
        <v>60711000</v>
      </c>
      <c r="C2123" t="str">
        <f t="shared" si="120"/>
        <v>SOM607110000</v>
      </c>
      <c r="E2123">
        <v>10941.17</v>
      </c>
      <c r="F2123">
        <v>0</v>
      </c>
      <c r="G2123">
        <f t="shared" si="121"/>
        <v>10941.17</v>
      </c>
    </row>
    <row r="2124" spans="1:14">
      <c r="A2124" t="str">
        <f t="shared" si="122"/>
        <v>SOM</v>
      </c>
      <c r="B2124" t="str">
        <f>"60713000"</f>
        <v>60713000</v>
      </c>
      <c r="C2124" t="str">
        <f t="shared" si="120"/>
        <v>SOM607130000</v>
      </c>
      <c r="E2124">
        <v>25888</v>
      </c>
      <c r="F2124">
        <v>0</v>
      </c>
      <c r="G2124">
        <f t="shared" si="121"/>
        <v>25888</v>
      </c>
    </row>
    <row r="2125" spans="1:14">
      <c r="A2125" t="str">
        <f t="shared" si="122"/>
        <v>SOM</v>
      </c>
      <c r="B2125" t="str">
        <f>"60714000"</f>
        <v>60714000</v>
      </c>
      <c r="C2125" t="str">
        <f t="shared" si="120"/>
        <v>SOM607140000</v>
      </c>
      <c r="E2125">
        <v>-45241</v>
      </c>
      <c r="F2125">
        <v>0</v>
      </c>
      <c r="G2125">
        <f t="shared" si="121"/>
        <v>-45241</v>
      </c>
    </row>
    <row r="2126" spans="1:14">
      <c r="A2126" t="str">
        <f t="shared" si="122"/>
        <v>SOM</v>
      </c>
      <c r="B2126" t="str">
        <f>"60715000"</f>
        <v>60715000</v>
      </c>
      <c r="C2126" t="str">
        <f t="shared" si="120"/>
        <v>SOM607150000</v>
      </c>
      <c r="E2126">
        <v>1188.9000000000001</v>
      </c>
      <c r="F2126">
        <v>0</v>
      </c>
      <c r="G2126">
        <f t="shared" si="121"/>
        <v>1188.9000000000001</v>
      </c>
    </row>
    <row r="2127" spans="1:14">
      <c r="A2127" t="str">
        <f t="shared" si="122"/>
        <v>SOM</v>
      </c>
      <c r="B2127" t="str">
        <f>"60720000"</f>
        <v>60720000</v>
      </c>
      <c r="C2127" t="str">
        <f t="shared" si="120"/>
        <v>SOM607200000</v>
      </c>
      <c r="E2127">
        <v>201159.3</v>
      </c>
      <c r="F2127">
        <v>0</v>
      </c>
      <c r="G2127">
        <f t="shared" si="121"/>
        <v>201159.3</v>
      </c>
    </row>
    <row r="2128" spans="1:14">
      <c r="A2128" t="str">
        <f t="shared" si="122"/>
        <v>SOM</v>
      </c>
      <c r="B2128" t="str">
        <f>"60740000"</f>
        <v>60740000</v>
      </c>
      <c r="C2128" t="str">
        <f t="shared" si="120"/>
        <v>SOM607400000</v>
      </c>
      <c r="E2128">
        <v>2839.43</v>
      </c>
      <c r="F2128">
        <v>0</v>
      </c>
      <c r="G2128">
        <f t="shared" si="121"/>
        <v>2839.43</v>
      </c>
    </row>
    <row r="2129" spans="1:7">
      <c r="A2129" t="str">
        <f t="shared" si="122"/>
        <v>SOM</v>
      </c>
      <c r="B2129" t="str">
        <f>"60800000"</f>
        <v>60800000</v>
      </c>
      <c r="C2129" t="str">
        <f t="shared" si="120"/>
        <v>SOM608000000</v>
      </c>
      <c r="E2129">
        <v>402.31</v>
      </c>
      <c r="F2129">
        <v>0</v>
      </c>
      <c r="G2129">
        <f t="shared" si="121"/>
        <v>402.31</v>
      </c>
    </row>
    <row r="2130" spans="1:7">
      <c r="A2130" t="str">
        <f t="shared" si="122"/>
        <v>SOM</v>
      </c>
      <c r="B2130" t="str">
        <f>"60911000"</f>
        <v>60911000</v>
      </c>
      <c r="C2130" t="str">
        <f t="shared" si="120"/>
        <v>SOM609110000</v>
      </c>
      <c r="E2130">
        <v>-3700.76</v>
      </c>
      <c r="F2130">
        <v>0</v>
      </c>
      <c r="G2130">
        <f t="shared" si="121"/>
        <v>-3700.76</v>
      </c>
    </row>
    <row r="2131" spans="1:7">
      <c r="A2131" t="str">
        <f t="shared" si="122"/>
        <v>SOM</v>
      </c>
      <c r="B2131" t="str">
        <f>"60912000"</f>
        <v>60912000</v>
      </c>
      <c r="C2131" t="str">
        <f t="shared" si="120"/>
        <v>SOM609120000</v>
      </c>
      <c r="E2131">
        <v>-13910.22</v>
      </c>
      <c r="F2131">
        <v>0</v>
      </c>
      <c r="G2131">
        <f t="shared" si="121"/>
        <v>-13910.22</v>
      </c>
    </row>
    <row r="2132" spans="1:7">
      <c r="A2132" t="str">
        <f t="shared" si="122"/>
        <v>SOM</v>
      </c>
      <c r="B2132" t="str">
        <f>"60913000"</f>
        <v>60913000</v>
      </c>
      <c r="C2132" t="str">
        <f t="shared" si="120"/>
        <v>SOM609130000</v>
      </c>
      <c r="E2132">
        <v>-7948.7</v>
      </c>
      <c r="F2132">
        <v>0</v>
      </c>
      <c r="G2132">
        <f t="shared" si="121"/>
        <v>-7948.7</v>
      </c>
    </row>
    <row r="2133" spans="1:7">
      <c r="A2133" t="str">
        <f t="shared" si="122"/>
        <v>SOM</v>
      </c>
      <c r="B2133" t="str">
        <f>"61320000"</f>
        <v>61320000</v>
      </c>
      <c r="C2133" t="str">
        <f t="shared" si="120"/>
        <v>SOM613200000</v>
      </c>
      <c r="E2133">
        <v>50000.03</v>
      </c>
      <c r="F2133">
        <v>0</v>
      </c>
      <c r="G2133">
        <f t="shared" si="121"/>
        <v>50000.03</v>
      </c>
    </row>
    <row r="2134" spans="1:7">
      <c r="A2134" t="str">
        <f t="shared" si="122"/>
        <v>SOM</v>
      </c>
      <c r="B2134" t="str">
        <f>"61352000"</f>
        <v>61352000</v>
      </c>
      <c r="C2134" t="str">
        <f t="shared" si="120"/>
        <v>SOM613520000</v>
      </c>
      <c r="E2134">
        <v>3435.74</v>
      </c>
      <c r="F2134">
        <v>0</v>
      </c>
      <c r="G2134">
        <f t="shared" si="121"/>
        <v>3435.74</v>
      </c>
    </row>
    <row r="2135" spans="1:7">
      <c r="A2135" t="str">
        <f t="shared" si="122"/>
        <v>SOM</v>
      </c>
      <c r="B2135" t="str">
        <f>"61353000"</f>
        <v>61353000</v>
      </c>
      <c r="C2135" t="str">
        <f t="shared" si="120"/>
        <v>SOM613530000</v>
      </c>
      <c r="E2135">
        <v>317.14999999999998</v>
      </c>
      <c r="F2135">
        <v>0</v>
      </c>
      <c r="G2135">
        <f t="shared" si="121"/>
        <v>317.14999999999998</v>
      </c>
    </row>
    <row r="2136" spans="1:7">
      <c r="A2136" t="str">
        <f t="shared" si="122"/>
        <v>SOM</v>
      </c>
      <c r="B2136" t="str">
        <f>"61354000"</f>
        <v>61354000</v>
      </c>
      <c r="C2136" t="str">
        <f t="shared" si="120"/>
        <v>SOM613540000</v>
      </c>
      <c r="E2136">
        <v>15.34</v>
      </c>
      <c r="F2136">
        <v>0</v>
      </c>
      <c r="G2136">
        <f t="shared" si="121"/>
        <v>15.34</v>
      </c>
    </row>
    <row r="2137" spans="1:7">
      <c r="A2137" t="str">
        <f t="shared" si="122"/>
        <v>SOM</v>
      </c>
      <c r="B2137" t="str">
        <f>"61520000"</f>
        <v>61520000</v>
      </c>
      <c r="C2137" t="str">
        <f t="shared" si="120"/>
        <v>SOM615200000</v>
      </c>
      <c r="E2137">
        <v>1725.4</v>
      </c>
      <c r="F2137">
        <v>0</v>
      </c>
      <c r="G2137">
        <f t="shared" si="121"/>
        <v>1725.4</v>
      </c>
    </row>
    <row r="2138" spans="1:7">
      <c r="A2138" t="str">
        <f t="shared" si="122"/>
        <v>SOM</v>
      </c>
      <c r="B2138" t="str">
        <f>"61550000"</f>
        <v>61550000</v>
      </c>
      <c r="C2138" t="str">
        <f t="shared" si="120"/>
        <v>SOM615500000</v>
      </c>
      <c r="E2138">
        <v>85.76</v>
      </c>
      <c r="F2138">
        <v>-920</v>
      </c>
      <c r="G2138">
        <f t="shared" si="121"/>
        <v>1005.76</v>
      </c>
    </row>
    <row r="2139" spans="1:7">
      <c r="A2139" t="str">
        <f t="shared" si="122"/>
        <v>SOM</v>
      </c>
      <c r="B2139" t="str">
        <f>"61551000"</f>
        <v>61551000</v>
      </c>
      <c r="C2139" t="str">
        <f t="shared" si="120"/>
        <v>SOM615510000</v>
      </c>
      <c r="E2139">
        <v>1014.54</v>
      </c>
      <c r="F2139">
        <v>0</v>
      </c>
      <c r="G2139">
        <f t="shared" si="121"/>
        <v>1014.54</v>
      </c>
    </row>
    <row r="2140" spans="1:7">
      <c r="A2140" t="str">
        <f t="shared" si="122"/>
        <v>SOM</v>
      </c>
      <c r="B2140" t="str">
        <f>"61552000"</f>
        <v>61552000</v>
      </c>
      <c r="C2140" t="str">
        <f t="shared" si="120"/>
        <v>SOM615520000</v>
      </c>
      <c r="E2140">
        <v>2024.23</v>
      </c>
      <c r="F2140">
        <v>0</v>
      </c>
      <c r="G2140">
        <f t="shared" si="121"/>
        <v>2024.23</v>
      </c>
    </row>
    <row r="2141" spans="1:7">
      <c r="A2141" t="str">
        <f t="shared" si="122"/>
        <v>SOM</v>
      </c>
      <c r="B2141" t="str">
        <f>"61612000"</f>
        <v>61612000</v>
      </c>
      <c r="C2141" t="str">
        <f t="shared" si="120"/>
        <v>SOM616120000</v>
      </c>
      <c r="E2141">
        <v>2084.11</v>
      </c>
      <c r="F2141">
        <v>0</v>
      </c>
      <c r="G2141">
        <f t="shared" si="121"/>
        <v>2084.11</v>
      </c>
    </row>
    <row r="2142" spans="1:7">
      <c r="A2142" t="str">
        <f t="shared" si="122"/>
        <v>SOM</v>
      </c>
      <c r="B2142" t="str">
        <f>"61613000"</f>
        <v>61613000</v>
      </c>
      <c r="C2142" t="str">
        <f t="shared" si="120"/>
        <v>SOM616130000</v>
      </c>
      <c r="E2142">
        <v>3222.89</v>
      </c>
      <c r="F2142">
        <v>0</v>
      </c>
      <c r="G2142">
        <f t="shared" si="121"/>
        <v>3222.89</v>
      </c>
    </row>
    <row r="2143" spans="1:7">
      <c r="A2143" t="str">
        <f t="shared" si="122"/>
        <v>SOM</v>
      </c>
      <c r="B2143" t="str">
        <f>"61810000"</f>
        <v>61810000</v>
      </c>
      <c r="C2143" t="str">
        <f t="shared" si="120"/>
        <v>SOM618100000</v>
      </c>
      <c r="E2143">
        <v>56.1</v>
      </c>
      <c r="F2143">
        <v>0</v>
      </c>
      <c r="G2143">
        <f t="shared" si="121"/>
        <v>56.1</v>
      </c>
    </row>
    <row r="2144" spans="1:7">
      <c r="A2144" t="str">
        <f t="shared" si="122"/>
        <v>SOM</v>
      </c>
      <c r="B2144" t="str">
        <f>"61850000"</f>
        <v>61850000</v>
      </c>
      <c r="C2144" t="str">
        <f t="shared" si="120"/>
        <v>SOM618500000</v>
      </c>
      <c r="E2144">
        <v>21.71</v>
      </c>
      <c r="F2144">
        <v>0</v>
      </c>
      <c r="G2144">
        <f t="shared" si="121"/>
        <v>21.71</v>
      </c>
    </row>
    <row r="2145" spans="1:7">
      <c r="A2145" t="str">
        <f t="shared" si="122"/>
        <v>SOM</v>
      </c>
      <c r="B2145" t="str">
        <f>"62271000"</f>
        <v>62271000</v>
      </c>
      <c r="C2145" t="str">
        <f t="shared" si="120"/>
        <v>SOM622710000</v>
      </c>
      <c r="E2145">
        <v>-176.05</v>
      </c>
      <c r="F2145">
        <v>0</v>
      </c>
      <c r="G2145">
        <f t="shared" si="121"/>
        <v>-176.05</v>
      </c>
    </row>
    <row r="2146" spans="1:7">
      <c r="A2146" t="str">
        <f t="shared" si="122"/>
        <v>SOM</v>
      </c>
      <c r="B2146" t="str">
        <f>"62320000"</f>
        <v>62320000</v>
      </c>
      <c r="C2146" t="str">
        <f t="shared" si="120"/>
        <v>SOM623200000</v>
      </c>
      <c r="E2146">
        <v>5944.06</v>
      </c>
      <c r="F2146">
        <v>0</v>
      </c>
      <c r="G2146">
        <f t="shared" si="121"/>
        <v>5944.06</v>
      </c>
    </row>
    <row r="2147" spans="1:7">
      <c r="A2147" t="str">
        <f t="shared" si="122"/>
        <v>SOM</v>
      </c>
      <c r="B2147" t="str">
        <f>"62341000"</f>
        <v>62341000</v>
      </c>
      <c r="C2147" t="str">
        <f t="shared" si="120"/>
        <v>SOM623410000</v>
      </c>
      <c r="E2147">
        <v>209.1</v>
      </c>
      <c r="F2147">
        <v>0</v>
      </c>
      <c r="G2147">
        <f t="shared" si="121"/>
        <v>209.1</v>
      </c>
    </row>
    <row r="2148" spans="1:7">
      <c r="A2148" t="str">
        <f t="shared" si="122"/>
        <v>SOM</v>
      </c>
      <c r="B2148" t="str">
        <f>"62370000"</f>
        <v>62370000</v>
      </c>
      <c r="C2148" t="str">
        <f t="shared" si="120"/>
        <v>SOM623700000</v>
      </c>
      <c r="E2148">
        <v>7560.61</v>
      </c>
      <c r="F2148">
        <v>486.59</v>
      </c>
      <c r="G2148">
        <f t="shared" si="121"/>
        <v>7074.0199999999995</v>
      </c>
    </row>
    <row r="2149" spans="1:7">
      <c r="A2149" t="str">
        <f t="shared" si="122"/>
        <v>SOM</v>
      </c>
      <c r="B2149" t="str">
        <f>"62380000"</f>
        <v>62380000</v>
      </c>
      <c r="C2149" t="str">
        <f t="shared" si="120"/>
        <v>SOM623800000</v>
      </c>
      <c r="E2149">
        <v>30</v>
      </c>
      <c r="F2149">
        <v>0</v>
      </c>
      <c r="G2149">
        <f t="shared" si="121"/>
        <v>30</v>
      </c>
    </row>
    <row r="2150" spans="1:7">
      <c r="A2150" t="str">
        <f t="shared" si="122"/>
        <v>SOM</v>
      </c>
      <c r="B2150" t="str">
        <f>"62381000"</f>
        <v>62381000</v>
      </c>
      <c r="C2150" t="str">
        <f t="shared" si="120"/>
        <v>SOM623810000</v>
      </c>
      <c r="E2150">
        <v>-1900</v>
      </c>
      <c r="F2150">
        <v>0</v>
      </c>
      <c r="G2150">
        <f t="shared" si="121"/>
        <v>-1900</v>
      </c>
    </row>
    <row r="2151" spans="1:7">
      <c r="A2151" t="str">
        <f t="shared" si="122"/>
        <v>SOM</v>
      </c>
      <c r="B2151" t="str">
        <f>"62420000"</f>
        <v>62420000</v>
      </c>
      <c r="C2151" t="str">
        <f t="shared" si="120"/>
        <v>SOM624200000</v>
      </c>
      <c r="E2151">
        <v>1276.31</v>
      </c>
      <c r="F2151">
        <v>0</v>
      </c>
      <c r="G2151">
        <f t="shared" si="121"/>
        <v>1276.31</v>
      </c>
    </row>
    <row r="2152" spans="1:7">
      <c r="A2152" t="str">
        <f t="shared" si="122"/>
        <v>SOM</v>
      </c>
      <c r="B2152" t="str">
        <f>"62510000"</f>
        <v>62510000</v>
      </c>
      <c r="C2152" t="str">
        <f t="shared" si="120"/>
        <v>SOM625100000</v>
      </c>
      <c r="E2152">
        <v>2848.69</v>
      </c>
      <c r="F2152">
        <v>0</v>
      </c>
      <c r="G2152">
        <f t="shared" si="121"/>
        <v>2848.69</v>
      </c>
    </row>
    <row r="2153" spans="1:7">
      <c r="A2153" t="str">
        <f t="shared" si="122"/>
        <v>SOM</v>
      </c>
      <c r="B2153" t="str">
        <f>"62520000"</f>
        <v>62520000</v>
      </c>
      <c r="C2153" t="str">
        <f t="shared" si="120"/>
        <v>SOM625200000</v>
      </c>
      <c r="E2153">
        <v>9.6999999999999993</v>
      </c>
      <c r="F2153">
        <v>0</v>
      </c>
      <c r="G2153">
        <f t="shared" si="121"/>
        <v>9.6999999999999993</v>
      </c>
    </row>
    <row r="2154" spans="1:7">
      <c r="A2154" t="str">
        <f t="shared" si="122"/>
        <v>SOM</v>
      </c>
      <c r="B2154" t="str">
        <f>"62560000"</f>
        <v>62560000</v>
      </c>
      <c r="C2154" t="str">
        <f t="shared" si="120"/>
        <v>SOM625600000</v>
      </c>
      <c r="E2154">
        <v>25.23</v>
      </c>
      <c r="F2154">
        <v>0</v>
      </c>
      <c r="G2154">
        <f t="shared" si="121"/>
        <v>25.23</v>
      </c>
    </row>
    <row r="2155" spans="1:7">
      <c r="A2155" t="str">
        <f t="shared" si="122"/>
        <v>SOM</v>
      </c>
      <c r="B2155" t="str">
        <f>"62570000"</f>
        <v>62570000</v>
      </c>
      <c r="C2155" t="str">
        <f t="shared" si="120"/>
        <v>SOM625700000</v>
      </c>
      <c r="E2155">
        <v>1417.23</v>
      </c>
      <c r="F2155">
        <v>0</v>
      </c>
      <c r="G2155">
        <f t="shared" si="121"/>
        <v>1417.23</v>
      </c>
    </row>
    <row r="2156" spans="1:7">
      <c r="A2156" t="str">
        <f t="shared" si="122"/>
        <v>SOM</v>
      </c>
      <c r="B2156" t="str">
        <f>"62571000"</f>
        <v>62571000</v>
      </c>
      <c r="C2156" t="str">
        <f t="shared" si="120"/>
        <v>SOM625710000</v>
      </c>
      <c r="E2156">
        <v>151.93</v>
      </c>
      <c r="F2156">
        <v>0</v>
      </c>
      <c r="G2156">
        <f t="shared" si="121"/>
        <v>151.93</v>
      </c>
    </row>
    <row r="2157" spans="1:7">
      <c r="A2157" t="str">
        <f t="shared" si="122"/>
        <v>SOM</v>
      </c>
      <c r="B2157" t="str">
        <f>"62600000"</f>
        <v>62600000</v>
      </c>
      <c r="C2157" t="str">
        <f t="shared" si="120"/>
        <v>SOM626000000</v>
      </c>
      <c r="E2157">
        <v>3139.88</v>
      </c>
      <c r="F2157">
        <v>0</v>
      </c>
      <c r="G2157">
        <f t="shared" si="121"/>
        <v>3139.88</v>
      </c>
    </row>
    <row r="2158" spans="1:7">
      <c r="A2158" t="str">
        <f t="shared" si="122"/>
        <v>SOM</v>
      </c>
      <c r="B2158" t="str">
        <f>"62610000"</f>
        <v>62610000</v>
      </c>
      <c r="C2158" t="str">
        <f t="shared" si="120"/>
        <v>SOM626100000</v>
      </c>
      <c r="E2158">
        <v>485.67</v>
      </c>
      <c r="F2158">
        <v>0</v>
      </c>
      <c r="G2158">
        <f t="shared" si="121"/>
        <v>485.67</v>
      </c>
    </row>
    <row r="2159" spans="1:7">
      <c r="A2159" t="str">
        <f t="shared" si="122"/>
        <v>SOM</v>
      </c>
      <c r="B2159" t="str">
        <f>"63330000"</f>
        <v>63330000</v>
      </c>
      <c r="C2159" t="str">
        <f t="shared" si="120"/>
        <v>SOM633300000</v>
      </c>
      <c r="E2159">
        <v>1483.5</v>
      </c>
      <c r="F2159">
        <v>0</v>
      </c>
      <c r="G2159">
        <f t="shared" si="121"/>
        <v>1483.5</v>
      </c>
    </row>
    <row r="2160" spans="1:7">
      <c r="A2160" t="str">
        <f t="shared" si="122"/>
        <v>SOM</v>
      </c>
      <c r="B2160" t="str">
        <f>"63340000"</f>
        <v>63340000</v>
      </c>
      <c r="C2160" t="str">
        <f t="shared" si="120"/>
        <v>SOM633400000</v>
      </c>
      <c r="E2160">
        <v>776</v>
      </c>
      <c r="F2160">
        <v>0</v>
      </c>
      <c r="G2160">
        <f t="shared" si="121"/>
        <v>776</v>
      </c>
    </row>
    <row r="2161" spans="1:7">
      <c r="A2161" t="str">
        <f t="shared" si="122"/>
        <v>SOM</v>
      </c>
      <c r="B2161" t="str">
        <f>"63350000"</f>
        <v>63350000</v>
      </c>
      <c r="C2161" t="str">
        <f t="shared" si="120"/>
        <v>SOM633500000</v>
      </c>
      <c r="E2161">
        <v>1173</v>
      </c>
      <c r="F2161">
        <v>0</v>
      </c>
      <c r="G2161">
        <f t="shared" si="121"/>
        <v>1173</v>
      </c>
    </row>
    <row r="2162" spans="1:7">
      <c r="A2162" t="str">
        <f t="shared" si="122"/>
        <v>SOM</v>
      </c>
      <c r="B2162" t="str">
        <f>"63511000"</f>
        <v>63511000</v>
      </c>
      <c r="C2162" t="str">
        <f t="shared" si="120"/>
        <v>SOM635110000</v>
      </c>
      <c r="E2162">
        <v>0</v>
      </c>
      <c r="F2162">
        <v>0</v>
      </c>
      <c r="G2162">
        <f t="shared" si="121"/>
        <v>0</v>
      </c>
    </row>
    <row r="2163" spans="1:7">
      <c r="A2163" t="str">
        <f t="shared" si="122"/>
        <v>SOM</v>
      </c>
      <c r="B2163" t="str">
        <f>"63512000"</f>
        <v>63512000</v>
      </c>
      <c r="C2163" t="str">
        <f t="shared" si="120"/>
        <v>SOM635120000</v>
      </c>
      <c r="E2163">
        <v>4930</v>
      </c>
      <c r="F2163">
        <v>0</v>
      </c>
      <c r="G2163">
        <f t="shared" si="121"/>
        <v>4930</v>
      </c>
    </row>
    <row r="2164" spans="1:7">
      <c r="A2164" t="str">
        <f t="shared" si="122"/>
        <v>SOM</v>
      </c>
      <c r="B2164" t="str">
        <f>"63513000"</f>
        <v>63513000</v>
      </c>
      <c r="C2164" t="str">
        <f t="shared" si="120"/>
        <v>SOM635130000</v>
      </c>
      <c r="E2164">
        <v>57.52</v>
      </c>
      <c r="F2164">
        <v>0</v>
      </c>
      <c r="G2164">
        <f t="shared" si="121"/>
        <v>57.52</v>
      </c>
    </row>
    <row r="2165" spans="1:7">
      <c r="A2165" t="str">
        <f t="shared" si="122"/>
        <v>SOM</v>
      </c>
      <c r="B2165" t="str">
        <f>"63514000"</f>
        <v>63514000</v>
      </c>
      <c r="C2165" t="str">
        <f t="shared" si="120"/>
        <v>SOM635140000</v>
      </c>
      <c r="E2165">
        <v>620</v>
      </c>
      <c r="F2165">
        <v>0</v>
      </c>
      <c r="G2165">
        <f t="shared" si="121"/>
        <v>620</v>
      </c>
    </row>
    <row r="2166" spans="1:7">
      <c r="A2166" t="str">
        <f t="shared" si="122"/>
        <v>SOM</v>
      </c>
      <c r="B2166" t="str">
        <f>"63710000"</f>
        <v>63710000</v>
      </c>
      <c r="C2166" t="str">
        <f t="shared" si="120"/>
        <v>SOM637100000</v>
      </c>
      <c r="E2166">
        <v>4037.29</v>
      </c>
      <c r="F2166">
        <v>0</v>
      </c>
      <c r="G2166">
        <f t="shared" si="121"/>
        <v>4037.29</v>
      </c>
    </row>
    <row r="2167" spans="1:7">
      <c r="A2167" t="str">
        <f t="shared" si="122"/>
        <v>SOM</v>
      </c>
      <c r="B2167" t="str">
        <f>"64110000"</f>
        <v>64110000</v>
      </c>
      <c r="C2167" t="str">
        <f t="shared" si="120"/>
        <v>SOM641100000</v>
      </c>
      <c r="E2167">
        <v>184147.79</v>
      </c>
      <c r="F2167">
        <v>569.35</v>
      </c>
      <c r="G2167">
        <f t="shared" si="121"/>
        <v>183578.44</v>
      </c>
    </row>
    <row r="2168" spans="1:7">
      <c r="A2168" t="str">
        <f t="shared" si="122"/>
        <v>SOM</v>
      </c>
      <c r="B2168" t="str">
        <f>"64120000"</f>
        <v>64120000</v>
      </c>
      <c r="C2168" t="str">
        <f t="shared" si="120"/>
        <v>SOM641200000</v>
      </c>
      <c r="E2168">
        <v>16328.2</v>
      </c>
      <c r="F2168">
        <v>10533</v>
      </c>
      <c r="G2168">
        <f t="shared" si="121"/>
        <v>5795.2000000000007</v>
      </c>
    </row>
    <row r="2169" spans="1:7">
      <c r="A2169" t="str">
        <f t="shared" si="122"/>
        <v>SOM</v>
      </c>
      <c r="B2169" t="str">
        <f>"64121000"</f>
        <v>64121000</v>
      </c>
      <c r="C2169" t="str">
        <f t="shared" si="120"/>
        <v>SOM641210000</v>
      </c>
      <c r="E2169">
        <v>6312.48</v>
      </c>
      <c r="F2169">
        <v>4530</v>
      </c>
      <c r="G2169">
        <f t="shared" si="121"/>
        <v>1782.4799999999996</v>
      </c>
    </row>
    <row r="2170" spans="1:7">
      <c r="A2170" t="str">
        <f t="shared" si="122"/>
        <v>SOM</v>
      </c>
      <c r="B2170" t="str">
        <f>"64160000"</f>
        <v>64160000</v>
      </c>
      <c r="C2170" t="str">
        <f t="shared" si="120"/>
        <v>SOM641600000</v>
      </c>
      <c r="E2170">
        <v>7753.65</v>
      </c>
      <c r="F2170">
        <v>0</v>
      </c>
      <c r="G2170">
        <f t="shared" si="121"/>
        <v>7753.65</v>
      </c>
    </row>
    <row r="2171" spans="1:7">
      <c r="A2171" t="str">
        <f t="shared" si="122"/>
        <v>SOM</v>
      </c>
      <c r="B2171" t="str">
        <f>"64510000"</f>
        <v>64510000</v>
      </c>
      <c r="C2171" t="str">
        <f t="shared" si="120"/>
        <v>SOM645100000</v>
      </c>
      <c r="E2171">
        <v>45326.76</v>
      </c>
      <c r="F2171">
        <v>130.04</v>
      </c>
      <c r="G2171">
        <f t="shared" si="121"/>
        <v>45196.72</v>
      </c>
    </row>
    <row r="2172" spans="1:7">
      <c r="A2172" t="str">
        <f t="shared" si="122"/>
        <v>SOM</v>
      </c>
      <c r="B2172" t="str">
        <f>"64520000"</f>
        <v>64520000</v>
      </c>
      <c r="C2172" t="str">
        <f t="shared" si="120"/>
        <v>SOM645200000</v>
      </c>
      <c r="E2172">
        <v>6043.14</v>
      </c>
      <c r="F2172">
        <v>0</v>
      </c>
      <c r="G2172">
        <f t="shared" si="121"/>
        <v>6043.14</v>
      </c>
    </row>
    <row r="2173" spans="1:7">
      <c r="A2173" t="str">
        <f t="shared" si="122"/>
        <v>SOM</v>
      </c>
      <c r="B2173" t="str">
        <f>"64530000"</f>
        <v>64530000</v>
      </c>
      <c r="C2173" t="str">
        <f t="shared" si="120"/>
        <v>SOM645300000</v>
      </c>
      <c r="E2173">
        <v>12889.97</v>
      </c>
      <c r="F2173">
        <v>75.72</v>
      </c>
      <c r="G2173">
        <f t="shared" si="121"/>
        <v>12814.25</v>
      </c>
    </row>
    <row r="2174" spans="1:7">
      <c r="A2174" t="str">
        <f t="shared" si="122"/>
        <v>SOM</v>
      </c>
      <c r="B2174" t="str">
        <f>"64540000"</f>
        <v>64540000</v>
      </c>
      <c r="C2174" t="str">
        <f t="shared" si="120"/>
        <v>SOM645400000</v>
      </c>
      <c r="E2174">
        <v>7330.93</v>
      </c>
      <c r="F2174">
        <v>24.48</v>
      </c>
      <c r="G2174">
        <f t="shared" si="121"/>
        <v>7306.4500000000007</v>
      </c>
    </row>
    <row r="2175" spans="1:7">
      <c r="A2175" t="str">
        <f t="shared" si="122"/>
        <v>SOM</v>
      </c>
      <c r="B2175" t="str">
        <f>"64590000"</f>
        <v>64590000</v>
      </c>
      <c r="C2175" t="str">
        <f t="shared" si="120"/>
        <v>SOM645900000</v>
      </c>
      <c r="E2175">
        <v>0</v>
      </c>
      <c r="F2175">
        <v>0</v>
      </c>
      <c r="G2175">
        <f t="shared" si="121"/>
        <v>0</v>
      </c>
    </row>
    <row r="2176" spans="1:7">
      <c r="A2176" t="str">
        <f t="shared" si="122"/>
        <v>SOM</v>
      </c>
      <c r="B2176" t="str">
        <f>"64710000"</f>
        <v>64710000</v>
      </c>
      <c r="C2176" t="str">
        <f t="shared" si="120"/>
        <v>SOM647100000</v>
      </c>
      <c r="E2176">
        <v>39.6</v>
      </c>
      <c r="F2176">
        <v>0</v>
      </c>
      <c r="G2176">
        <f t="shared" si="121"/>
        <v>39.6</v>
      </c>
    </row>
    <row r="2177" spans="1:9">
      <c r="A2177" t="str">
        <f t="shared" si="122"/>
        <v>SOM</v>
      </c>
      <c r="B2177" t="str">
        <f>"64740000"</f>
        <v>64740000</v>
      </c>
      <c r="C2177" t="str">
        <f t="shared" si="120"/>
        <v>SOM647400000</v>
      </c>
      <c r="E2177">
        <v>61.61</v>
      </c>
      <c r="F2177">
        <v>0</v>
      </c>
      <c r="G2177">
        <f t="shared" si="121"/>
        <v>61.61</v>
      </c>
    </row>
    <row r="2178" spans="1:9">
      <c r="A2178" t="str">
        <f t="shared" si="122"/>
        <v>SOM</v>
      </c>
      <c r="B2178" t="str">
        <f>"64750000"</f>
        <v>64750000</v>
      </c>
      <c r="C2178" t="str">
        <f t="shared" si="120"/>
        <v>SOM647500000</v>
      </c>
      <c r="E2178">
        <v>642.74</v>
      </c>
      <c r="F2178">
        <v>0</v>
      </c>
      <c r="G2178">
        <f t="shared" si="121"/>
        <v>642.74</v>
      </c>
    </row>
    <row r="2179" spans="1:9">
      <c r="A2179" t="str">
        <f t="shared" si="122"/>
        <v>SOM</v>
      </c>
      <c r="B2179" t="str">
        <f>"64800000"</f>
        <v>64800000</v>
      </c>
      <c r="C2179" t="str">
        <f t="shared" ref="C2179:C2242" si="123">+A2179&amp;B2179*10</f>
        <v>SOM648000000</v>
      </c>
      <c r="E2179" s="19">
        <v>2463.0395200000003</v>
      </c>
      <c r="F2179">
        <v>0</v>
      </c>
      <c r="G2179" s="19">
        <f t="shared" ref="G2179:G2242" si="124">+E2179-F2179</f>
        <v>2463.0395200000003</v>
      </c>
      <c r="H2179" s="433">
        <v>559.03952000000004</v>
      </c>
      <c r="I2179" s="113" t="s">
        <v>473</v>
      </c>
    </row>
    <row r="2180" spans="1:9">
      <c r="A2180" t="str">
        <f t="shared" ref="A2180:A2187" si="125">"SOM"</f>
        <v>SOM</v>
      </c>
      <c r="B2180" t="str">
        <f>"65410000"</f>
        <v>65410000</v>
      </c>
      <c r="C2180" t="str">
        <f t="shared" si="123"/>
        <v>SOM654100000</v>
      </c>
      <c r="E2180">
        <v>42.11</v>
      </c>
      <c r="F2180">
        <v>25.96</v>
      </c>
      <c r="G2180">
        <f t="shared" si="124"/>
        <v>16.149999999999999</v>
      </c>
    </row>
    <row r="2181" spans="1:9">
      <c r="A2181" t="str">
        <f t="shared" si="125"/>
        <v>SOM</v>
      </c>
      <c r="B2181" t="str">
        <f>"65420000"</f>
        <v>65420000</v>
      </c>
      <c r="C2181" t="str">
        <f t="shared" si="123"/>
        <v>SOM654200000</v>
      </c>
      <c r="E2181">
        <v>-0.09</v>
      </c>
      <c r="F2181">
        <v>0</v>
      </c>
      <c r="G2181">
        <f t="shared" si="124"/>
        <v>-0.09</v>
      </c>
    </row>
    <row r="2182" spans="1:9">
      <c r="A2182" t="str">
        <f t="shared" si="125"/>
        <v>SOM</v>
      </c>
      <c r="B2182" t="str">
        <f>"67180000"</f>
        <v>67180000</v>
      </c>
      <c r="C2182" t="str">
        <f t="shared" si="123"/>
        <v>SOM671800000</v>
      </c>
      <c r="E2182">
        <v>92.8</v>
      </c>
      <c r="F2182">
        <v>0</v>
      </c>
      <c r="G2182">
        <f t="shared" si="124"/>
        <v>92.8</v>
      </c>
    </row>
    <row r="2183" spans="1:9">
      <c r="A2183" t="str">
        <f t="shared" si="125"/>
        <v>SOM</v>
      </c>
      <c r="B2183" t="str">
        <f>"68112000"</f>
        <v>68112000</v>
      </c>
      <c r="C2183" t="str">
        <f t="shared" si="123"/>
        <v>SOM681120000</v>
      </c>
      <c r="E2183">
        <v>20207.22</v>
      </c>
      <c r="F2183">
        <v>0</v>
      </c>
      <c r="G2183">
        <f t="shared" si="124"/>
        <v>20207.22</v>
      </c>
    </row>
    <row r="2184" spans="1:9">
      <c r="A2184" t="str">
        <f t="shared" si="125"/>
        <v>SOM</v>
      </c>
      <c r="B2184" t="str">
        <f>"68150000"</f>
        <v>68150000</v>
      </c>
      <c r="C2184" t="str">
        <f t="shared" si="123"/>
        <v>SOM681500000</v>
      </c>
      <c r="E2184">
        <v>10330</v>
      </c>
      <c r="F2184">
        <v>0</v>
      </c>
      <c r="G2184">
        <f t="shared" si="124"/>
        <v>10330</v>
      </c>
    </row>
    <row r="2185" spans="1:9">
      <c r="A2185" t="str">
        <f t="shared" si="125"/>
        <v>SOM</v>
      </c>
      <c r="B2185" t="str">
        <f>"68173000"</f>
        <v>68173000</v>
      </c>
      <c r="C2185" t="str">
        <f t="shared" si="123"/>
        <v>SOM681730000</v>
      </c>
      <c r="E2185">
        <v>4235.76</v>
      </c>
      <c r="F2185">
        <v>0</v>
      </c>
      <c r="G2185">
        <f t="shared" si="124"/>
        <v>4235.76</v>
      </c>
    </row>
    <row r="2186" spans="1:9">
      <c r="A2186" t="str">
        <f t="shared" si="125"/>
        <v>SOM</v>
      </c>
      <c r="B2186" t="str">
        <f>"68174000"</f>
        <v>68174000</v>
      </c>
      <c r="C2186" t="str">
        <f t="shared" si="123"/>
        <v>SOM681740000</v>
      </c>
      <c r="E2186">
        <v>65.989999999999995</v>
      </c>
      <c r="F2186">
        <v>0</v>
      </c>
      <c r="G2186">
        <f t="shared" si="124"/>
        <v>65.989999999999995</v>
      </c>
    </row>
    <row r="2187" spans="1:9">
      <c r="A2187" t="str">
        <f t="shared" si="125"/>
        <v>SOM</v>
      </c>
      <c r="B2187" t="str">
        <f>"68725000"</f>
        <v>68725000</v>
      </c>
      <c r="C2187" t="str">
        <f t="shared" si="123"/>
        <v>SOM687250000</v>
      </c>
      <c r="E2187">
        <v>2018.18</v>
      </c>
      <c r="F2187">
        <v>0</v>
      </c>
      <c r="G2187">
        <f t="shared" si="124"/>
        <v>2018.18</v>
      </c>
    </row>
    <row r="2188" spans="1:9">
      <c r="A2188" t="str">
        <f t="shared" ref="A2188:A2251" si="126">"THO"</f>
        <v>THO</v>
      </c>
      <c r="B2188" t="str">
        <f>"60222000"</f>
        <v>60222000</v>
      </c>
      <c r="C2188" t="str">
        <f t="shared" si="123"/>
        <v>THO602220000</v>
      </c>
      <c r="E2188">
        <v>40.85</v>
      </c>
      <c r="F2188">
        <v>0</v>
      </c>
      <c r="G2188">
        <f t="shared" si="124"/>
        <v>40.85</v>
      </c>
    </row>
    <row r="2189" spans="1:9">
      <c r="A2189" t="str">
        <f t="shared" si="126"/>
        <v>THO</v>
      </c>
      <c r="B2189" t="str">
        <f>"60610000"</f>
        <v>60610000</v>
      </c>
      <c r="C2189" t="str">
        <f t="shared" si="123"/>
        <v>THO606100000</v>
      </c>
      <c r="E2189">
        <v>2002.76</v>
      </c>
      <c r="F2189">
        <v>0</v>
      </c>
      <c r="G2189">
        <f t="shared" si="124"/>
        <v>2002.76</v>
      </c>
    </row>
    <row r="2190" spans="1:9">
      <c r="A2190" t="str">
        <f t="shared" si="126"/>
        <v>THO</v>
      </c>
      <c r="B2190" t="str">
        <f>"60611000"</f>
        <v>60611000</v>
      </c>
      <c r="C2190" t="str">
        <f t="shared" si="123"/>
        <v>THO606110000</v>
      </c>
      <c r="E2190">
        <v>4677.12</v>
      </c>
      <c r="F2190">
        <v>0</v>
      </c>
      <c r="G2190">
        <f t="shared" si="124"/>
        <v>4677.12</v>
      </c>
    </row>
    <row r="2191" spans="1:9">
      <c r="A2191" t="str">
        <f t="shared" si="126"/>
        <v>THO</v>
      </c>
      <c r="B2191" t="str">
        <f>"60613000"</f>
        <v>60613000</v>
      </c>
      <c r="C2191" t="str">
        <f t="shared" si="123"/>
        <v>THO606130000</v>
      </c>
      <c r="E2191">
        <v>2360.1799999999998</v>
      </c>
      <c r="F2191">
        <v>0</v>
      </c>
      <c r="G2191">
        <f t="shared" si="124"/>
        <v>2360.1799999999998</v>
      </c>
    </row>
    <row r="2192" spans="1:9">
      <c r="A2192" t="str">
        <f t="shared" si="126"/>
        <v>THO</v>
      </c>
      <c r="B2192" t="str">
        <f>"60641000"</f>
        <v>60641000</v>
      </c>
      <c r="C2192" t="str">
        <f t="shared" si="123"/>
        <v>THO606410000</v>
      </c>
      <c r="E2192">
        <v>2446.54</v>
      </c>
      <c r="F2192">
        <v>0</v>
      </c>
      <c r="G2192">
        <f t="shared" si="124"/>
        <v>2446.54</v>
      </c>
    </row>
    <row r="2193" spans="1:7">
      <c r="A2193" t="str">
        <f t="shared" si="126"/>
        <v>THO</v>
      </c>
      <c r="B2193" t="str">
        <f>"60710000"</f>
        <v>60710000</v>
      </c>
      <c r="C2193" t="str">
        <f t="shared" si="123"/>
        <v>THO607100000</v>
      </c>
      <c r="E2193">
        <v>257520.68</v>
      </c>
      <c r="F2193">
        <v>13.7</v>
      </c>
      <c r="G2193">
        <f t="shared" si="124"/>
        <v>257506.97999999998</v>
      </c>
    </row>
    <row r="2194" spans="1:7">
      <c r="A2194" t="str">
        <f t="shared" si="126"/>
        <v>THO</v>
      </c>
      <c r="B2194" t="str">
        <f>"60711000"</f>
        <v>60711000</v>
      </c>
      <c r="C2194" t="str">
        <f t="shared" si="123"/>
        <v>THO607110000</v>
      </c>
      <c r="E2194">
        <v>8978.98</v>
      </c>
      <c r="F2194">
        <v>0</v>
      </c>
      <c r="G2194">
        <f t="shared" si="124"/>
        <v>8978.98</v>
      </c>
    </row>
    <row r="2195" spans="1:7">
      <c r="A2195" t="str">
        <f t="shared" si="126"/>
        <v>THO</v>
      </c>
      <c r="B2195" t="str">
        <f>"60713000"</f>
        <v>60713000</v>
      </c>
      <c r="C2195" t="str">
        <f t="shared" si="123"/>
        <v>THO607130000</v>
      </c>
      <c r="E2195">
        <v>82684</v>
      </c>
      <c r="F2195">
        <v>0</v>
      </c>
      <c r="G2195">
        <f t="shared" si="124"/>
        <v>82684</v>
      </c>
    </row>
    <row r="2196" spans="1:7">
      <c r="A2196" t="str">
        <f t="shared" si="126"/>
        <v>THO</v>
      </c>
      <c r="B2196" t="str">
        <f>"60714000"</f>
        <v>60714000</v>
      </c>
      <c r="C2196" t="str">
        <f t="shared" si="123"/>
        <v>THO607140000</v>
      </c>
      <c r="E2196">
        <v>-45256</v>
      </c>
      <c r="F2196">
        <v>0</v>
      </c>
      <c r="G2196">
        <f t="shared" si="124"/>
        <v>-45256</v>
      </c>
    </row>
    <row r="2197" spans="1:7">
      <c r="A2197" t="str">
        <f t="shared" si="126"/>
        <v>THO</v>
      </c>
      <c r="B2197" t="str">
        <f>"60720000"</f>
        <v>60720000</v>
      </c>
      <c r="C2197" t="str">
        <f t="shared" si="123"/>
        <v>THO607200000</v>
      </c>
      <c r="E2197">
        <v>221470.67</v>
      </c>
      <c r="F2197">
        <v>0</v>
      </c>
      <c r="G2197">
        <f t="shared" si="124"/>
        <v>221470.67</v>
      </c>
    </row>
    <row r="2198" spans="1:7">
      <c r="A2198" t="str">
        <f t="shared" si="126"/>
        <v>THO</v>
      </c>
      <c r="B2198" t="str">
        <f>"60740000"</f>
        <v>60740000</v>
      </c>
      <c r="C2198" t="str">
        <f t="shared" si="123"/>
        <v>THO607400000</v>
      </c>
      <c r="E2198">
        <v>8494.59</v>
      </c>
      <c r="F2198">
        <v>0</v>
      </c>
      <c r="G2198">
        <f t="shared" si="124"/>
        <v>8494.59</v>
      </c>
    </row>
    <row r="2199" spans="1:7">
      <c r="A2199" t="str">
        <f t="shared" si="126"/>
        <v>THO</v>
      </c>
      <c r="B2199" t="str">
        <f>"60800000"</f>
        <v>60800000</v>
      </c>
      <c r="C2199" t="str">
        <f t="shared" si="123"/>
        <v>THO608000000</v>
      </c>
      <c r="E2199">
        <v>8414.4699999999993</v>
      </c>
      <c r="F2199">
        <v>0</v>
      </c>
      <c r="G2199">
        <f t="shared" si="124"/>
        <v>8414.4699999999993</v>
      </c>
    </row>
    <row r="2200" spans="1:7">
      <c r="A2200" t="str">
        <f t="shared" si="126"/>
        <v>THO</v>
      </c>
      <c r="B2200" t="str">
        <f>"60911000"</f>
        <v>60911000</v>
      </c>
      <c r="C2200" t="str">
        <f t="shared" si="123"/>
        <v>THO609110000</v>
      </c>
      <c r="E2200">
        <v>-4696.1400000000003</v>
      </c>
      <c r="F2200">
        <v>0</v>
      </c>
      <c r="G2200">
        <f t="shared" si="124"/>
        <v>-4696.1400000000003</v>
      </c>
    </row>
    <row r="2201" spans="1:7">
      <c r="A2201" t="str">
        <f t="shared" si="126"/>
        <v>THO</v>
      </c>
      <c r="B2201" t="str">
        <f>"60912000"</f>
        <v>60912000</v>
      </c>
      <c r="C2201" t="str">
        <f t="shared" si="123"/>
        <v>THO609120000</v>
      </c>
      <c r="E2201">
        <v>-16117.37</v>
      </c>
      <c r="F2201">
        <v>0</v>
      </c>
      <c r="G2201">
        <f t="shared" si="124"/>
        <v>-16117.37</v>
      </c>
    </row>
    <row r="2202" spans="1:7">
      <c r="A2202" t="str">
        <f t="shared" si="126"/>
        <v>THO</v>
      </c>
      <c r="B2202" t="str">
        <f>"60913000"</f>
        <v>60913000</v>
      </c>
      <c r="C2202" t="str">
        <f t="shared" si="123"/>
        <v>THO609130000</v>
      </c>
      <c r="E2202">
        <v>-9209.92</v>
      </c>
      <c r="F2202">
        <v>0</v>
      </c>
      <c r="G2202">
        <f t="shared" si="124"/>
        <v>-9209.92</v>
      </c>
    </row>
    <row r="2203" spans="1:7">
      <c r="A2203" t="str">
        <f t="shared" si="126"/>
        <v>THO</v>
      </c>
      <c r="B2203" t="str">
        <f>"61100000"</f>
        <v>61100000</v>
      </c>
      <c r="C2203" t="str">
        <f t="shared" si="123"/>
        <v>THO611000000</v>
      </c>
      <c r="E2203">
        <v>0</v>
      </c>
      <c r="F2203">
        <v>0</v>
      </c>
      <c r="G2203">
        <f t="shared" si="124"/>
        <v>0</v>
      </c>
    </row>
    <row r="2204" spans="1:7">
      <c r="A2204" t="str">
        <f t="shared" si="126"/>
        <v>THO</v>
      </c>
      <c r="B2204" t="str">
        <f>"61320000"</f>
        <v>61320000</v>
      </c>
      <c r="C2204" t="str">
        <f t="shared" si="123"/>
        <v>THO613200000</v>
      </c>
      <c r="E2204">
        <v>31769.38</v>
      </c>
      <c r="F2204">
        <v>0</v>
      </c>
      <c r="G2204">
        <f t="shared" si="124"/>
        <v>31769.38</v>
      </c>
    </row>
    <row r="2205" spans="1:7">
      <c r="A2205" t="str">
        <f t="shared" si="126"/>
        <v>THO</v>
      </c>
      <c r="B2205" t="str">
        <f>"61352000"</f>
        <v>61352000</v>
      </c>
      <c r="C2205" t="str">
        <f t="shared" si="123"/>
        <v>THO613520000</v>
      </c>
      <c r="E2205">
        <v>2540.34</v>
      </c>
      <c r="F2205">
        <v>0</v>
      </c>
      <c r="G2205">
        <f t="shared" si="124"/>
        <v>2540.34</v>
      </c>
    </row>
    <row r="2206" spans="1:7">
      <c r="A2206" t="str">
        <f t="shared" si="126"/>
        <v>THO</v>
      </c>
      <c r="B2206" t="str">
        <f>"61353000"</f>
        <v>61353000</v>
      </c>
      <c r="C2206" t="str">
        <f t="shared" si="123"/>
        <v>THO613530000</v>
      </c>
      <c r="E2206">
        <v>370.32</v>
      </c>
      <c r="F2206">
        <v>0</v>
      </c>
      <c r="G2206">
        <f t="shared" si="124"/>
        <v>370.32</v>
      </c>
    </row>
    <row r="2207" spans="1:7">
      <c r="A2207" t="str">
        <f t="shared" si="126"/>
        <v>THO</v>
      </c>
      <c r="B2207" t="str">
        <f>"61354000"</f>
        <v>61354000</v>
      </c>
      <c r="C2207" t="str">
        <f t="shared" si="123"/>
        <v>THO613540000</v>
      </c>
      <c r="E2207">
        <v>23.79</v>
      </c>
      <c r="F2207">
        <v>0</v>
      </c>
      <c r="G2207">
        <f t="shared" si="124"/>
        <v>23.79</v>
      </c>
    </row>
    <row r="2208" spans="1:7">
      <c r="A2208" t="str">
        <f t="shared" si="126"/>
        <v>THO</v>
      </c>
      <c r="B2208" t="str">
        <f>"61520000"</f>
        <v>61520000</v>
      </c>
      <c r="C2208" t="str">
        <f t="shared" si="123"/>
        <v>THO615200000</v>
      </c>
      <c r="E2208">
        <v>1601.32</v>
      </c>
      <c r="F2208">
        <v>0</v>
      </c>
      <c r="G2208">
        <f t="shared" si="124"/>
        <v>1601.32</v>
      </c>
    </row>
    <row r="2209" spans="1:12">
      <c r="A2209" t="str">
        <f t="shared" si="126"/>
        <v>THO</v>
      </c>
      <c r="B2209" t="str">
        <f>"61550000"</f>
        <v>61550000</v>
      </c>
      <c r="C2209" t="str">
        <f t="shared" si="123"/>
        <v>THO615500000</v>
      </c>
      <c r="E2209">
        <v>0</v>
      </c>
      <c r="F2209">
        <v>-571.59</v>
      </c>
      <c r="G2209">
        <f t="shared" si="124"/>
        <v>571.59</v>
      </c>
    </row>
    <row r="2210" spans="1:12">
      <c r="A2210" t="str">
        <f t="shared" si="126"/>
        <v>THO</v>
      </c>
      <c r="B2210" t="str">
        <f>"61551000"</f>
        <v>61551000</v>
      </c>
      <c r="C2210" t="str">
        <f t="shared" si="123"/>
        <v>THO615510000</v>
      </c>
      <c r="E2210">
        <v>116.76</v>
      </c>
      <c r="F2210">
        <v>0</v>
      </c>
      <c r="G2210">
        <f t="shared" si="124"/>
        <v>116.76</v>
      </c>
      <c r="I2210" s="26"/>
    </row>
    <row r="2211" spans="1:12">
      <c r="A2211" t="str">
        <f t="shared" si="126"/>
        <v>THO</v>
      </c>
      <c r="B2211" t="str">
        <f>"61552000"</f>
        <v>61552000</v>
      </c>
      <c r="C2211" t="str">
        <f t="shared" si="123"/>
        <v>THO615520000</v>
      </c>
      <c r="E2211">
        <v>1199.07</v>
      </c>
      <c r="F2211">
        <v>0</v>
      </c>
      <c r="G2211">
        <f t="shared" si="124"/>
        <v>1199.07</v>
      </c>
      <c r="J2211" s="26"/>
    </row>
    <row r="2212" spans="1:12">
      <c r="A2212" t="str">
        <f t="shared" si="126"/>
        <v>THO</v>
      </c>
      <c r="B2212" t="str">
        <f>"61612000"</f>
        <v>61612000</v>
      </c>
      <c r="C2212" t="str">
        <f t="shared" si="123"/>
        <v>THO616120000</v>
      </c>
      <c r="E2212">
        <v>1233.3</v>
      </c>
      <c r="F2212">
        <v>0</v>
      </c>
      <c r="G2212">
        <f t="shared" si="124"/>
        <v>1233.3</v>
      </c>
    </row>
    <row r="2213" spans="1:12">
      <c r="A2213" t="str">
        <f t="shared" si="126"/>
        <v>THO</v>
      </c>
      <c r="B2213" t="str">
        <f>"61613000"</f>
        <v>61613000</v>
      </c>
      <c r="C2213" t="str">
        <f t="shared" si="123"/>
        <v>THO616130000</v>
      </c>
      <c r="E2213">
        <v>2286.12</v>
      </c>
      <c r="F2213">
        <v>0</v>
      </c>
      <c r="G2213">
        <f t="shared" si="124"/>
        <v>2286.12</v>
      </c>
    </row>
    <row r="2214" spans="1:12">
      <c r="A2214" t="str">
        <f t="shared" si="126"/>
        <v>THO</v>
      </c>
      <c r="B2214" t="str">
        <f>"61810000"</f>
        <v>61810000</v>
      </c>
      <c r="C2214" t="str">
        <f t="shared" si="123"/>
        <v>THO618100000</v>
      </c>
      <c r="E2214">
        <v>200.26</v>
      </c>
      <c r="F2214">
        <v>0</v>
      </c>
      <c r="G2214">
        <f t="shared" si="124"/>
        <v>200.26</v>
      </c>
    </row>
    <row r="2215" spans="1:12">
      <c r="A2215" t="str">
        <f t="shared" si="126"/>
        <v>THO</v>
      </c>
      <c r="B2215" t="str">
        <f>"61850000"</f>
        <v>61850000</v>
      </c>
      <c r="C2215" t="str">
        <f t="shared" si="123"/>
        <v>THO618500000</v>
      </c>
      <c r="E2215">
        <v>934.59</v>
      </c>
      <c r="F2215">
        <v>0</v>
      </c>
      <c r="G2215">
        <f t="shared" si="124"/>
        <v>934.59</v>
      </c>
    </row>
    <row r="2216" spans="1:12">
      <c r="A2216" t="str">
        <f t="shared" si="126"/>
        <v>THO</v>
      </c>
      <c r="B2216" t="str">
        <f>"62270000"</f>
        <v>62270000</v>
      </c>
      <c r="C2216" t="str">
        <f t="shared" si="123"/>
        <v>THO622700000</v>
      </c>
      <c r="E2216">
        <v>197.1</v>
      </c>
      <c r="F2216">
        <v>38.869999999999997</v>
      </c>
      <c r="G2216">
        <f t="shared" si="124"/>
        <v>158.22999999999999</v>
      </c>
    </row>
    <row r="2217" spans="1:12">
      <c r="A2217" t="str">
        <f t="shared" si="126"/>
        <v>THO</v>
      </c>
      <c r="B2217" t="str">
        <f>"62310000"</f>
        <v>62310000</v>
      </c>
      <c r="C2217" t="str">
        <f t="shared" si="123"/>
        <v>THO623100000</v>
      </c>
      <c r="E2217">
        <v>774.3</v>
      </c>
      <c r="F2217">
        <v>0</v>
      </c>
      <c r="G2217">
        <f t="shared" si="124"/>
        <v>774.3</v>
      </c>
    </row>
    <row r="2218" spans="1:12">
      <c r="A2218" t="str">
        <f t="shared" si="126"/>
        <v>THO</v>
      </c>
      <c r="B2218" t="str">
        <f>"62320000"</f>
        <v>62320000</v>
      </c>
      <c r="C2218" t="str">
        <f t="shared" si="123"/>
        <v>THO623200000</v>
      </c>
      <c r="E2218">
        <v>4723.93</v>
      </c>
      <c r="F2218">
        <v>0</v>
      </c>
      <c r="G2218">
        <f t="shared" si="124"/>
        <v>4723.93</v>
      </c>
    </row>
    <row r="2219" spans="1:12">
      <c r="A2219" t="str">
        <f t="shared" si="126"/>
        <v>THO</v>
      </c>
      <c r="B2219" t="str">
        <f>"62341000"</f>
        <v>62341000</v>
      </c>
      <c r="C2219" t="str">
        <f t="shared" si="123"/>
        <v>THO623410000</v>
      </c>
      <c r="E2219">
        <v>3186.53</v>
      </c>
      <c r="F2219">
        <v>0</v>
      </c>
      <c r="G2219">
        <f t="shared" si="124"/>
        <v>3186.53</v>
      </c>
    </row>
    <row r="2220" spans="1:12">
      <c r="A2220" t="str">
        <f t="shared" si="126"/>
        <v>THO</v>
      </c>
      <c r="B2220" t="str">
        <f>"62342000"</f>
        <v>62342000</v>
      </c>
      <c r="C2220" t="str">
        <f t="shared" si="123"/>
        <v>THO623420000</v>
      </c>
      <c r="E2220">
        <v>-57.09</v>
      </c>
      <c r="F2220">
        <v>0</v>
      </c>
      <c r="G2220">
        <f t="shared" si="124"/>
        <v>-57.09</v>
      </c>
    </row>
    <row r="2221" spans="1:12">
      <c r="A2221" t="str">
        <f t="shared" si="126"/>
        <v>THO</v>
      </c>
      <c r="B2221" t="str">
        <f>"62370000"</f>
        <v>62370000</v>
      </c>
      <c r="C2221" t="str">
        <f t="shared" si="123"/>
        <v>THO623700000</v>
      </c>
      <c r="E2221">
        <v>2159.08</v>
      </c>
      <c r="F2221">
        <v>-221.9</v>
      </c>
      <c r="G2221">
        <f t="shared" si="124"/>
        <v>2380.98</v>
      </c>
    </row>
    <row r="2222" spans="1:12">
      <c r="A2222" t="str">
        <f t="shared" si="126"/>
        <v>THO</v>
      </c>
      <c r="B2222" t="str">
        <f>"62380000"</f>
        <v>62380000</v>
      </c>
      <c r="C2222" t="str">
        <f t="shared" si="123"/>
        <v>THO623800000</v>
      </c>
      <c r="E2222">
        <v>100</v>
      </c>
      <c r="F2222">
        <v>0</v>
      </c>
      <c r="G2222">
        <f t="shared" si="124"/>
        <v>100</v>
      </c>
    </row>
    <row r="2223" spans="1:12">
      <c r="A2223" t="str">
        <f t="shared" si="126"/>
        <v>THO</v>
      </c>
      <c r="B2223" t="str">
        <f>"62381000"</f>
        <v>62381000</v>
      </c>
      <c r="C2223" t="str">
        <f t="shared" si="123"/>
        <v>THO623810000</v>
      </c>
      <c r="E2223">
        <v>0</v>
      </c>
      <c r="F2223">
        <v>0</v>
      </c>
      <c r="G2223">
        <f t="shared" si="124"/>
        <v>0</v>
      </c>
      <c r="L2223" s="353"/>
    </row>
    <row r="2224" spans="1:12">
      <c r="A2224" t="str">
        <f t="shared" si="126"/>
        <v>THO</v>
      </c>
      <c r="B2224" t="str">
        <f>"62420000"</f>
        <v>62420000</v>
      </c>
      <c r="C2224" t="str">
        <f t="shared" si="123"/>
        <v>THO624200000</v>
      </c>
      <c r="E2224">
        <v>17303.580000000002</v>
      </c>
      <c r="F2224">
        <v>0</v>
      </c>
      <c r="G2224">
        <f t="shared" si="124"/>
        <v>17303.580000000002</v>
      </c>
    </row>
    <row r="2225" spans="1:7">
      <c r="A2225" t="str">
        <f t="shared" si="126"/>
        <v>THO</v>
      </c>
      <c r="B2225" t="str">
        <f>"62510000"</f>
        <v>62510000</v>
      </c>
      <c r="C2225" t="str">
        <f t="shared" si="123"/>
        <v>THO625100000</v>
      </c>
      <c r="E2225">
        <v>35728.910000000003</v>
      </c>
      <c r="F2225">
        <v>28779.05</v>
      </c>
      <c r="G2225">
        <f t="shared" si="124"/>
        <v>6949.8600000000042</v>
      </c>
    </row>
    <row r="2226" spans="1:7">
      <c r="A2226" t="str">
        <f t="shared" si="126"/>
        <v>THO</v>
      </c>
      <c r="B2226" t="str">
        <f>"62560000"</f>
        <v>62560000</v>
      </c>
      <c r="C2226" t="str">
        <f t="shared" si="123"/>
        <v>THO625600000</v>
      </c>
      <c r="E2226">
        <v>25.23</v>
      </c>
      <c r="F2226">
        <v>0</v>
      </c>
      <c r="G2226">
        <f t="shared" si="124"/>
        <v>25.23</v>
      </c>
    </row>
    <row r="2227" spans="1:7">
      <c r="A2227" t="str">
        <f t="shared" si="126"/>
        <v>THO</v>
      </c>
      <c r="B2227" t="str">
        <f>"62570000"</f>
        <v>62570000</v>
      </c>
      <c r="C2227" t="str">
        <f t="shared" si="123"/>
        <v>THO625700000</v>
      </c>
      <c r="E2227">
        <v>1281.08</v>
      </c>
      <c r="F2227">
        <v>0</v>
      </c>
      <c r="G2227">
        <f t="shared" si="124"/>
        <v>1281.08</v>
      </c>
    </row>
    <row r="2228" spans="1:7">
      <c r="A2228" t="str">
        <f t="shared" si="126"/>
        <v>THO</v>
      </c>
      <c r="B2228" t="str">
        <f>"62571000"</f>
        <v>62571000</v>
      </c>
      <c r="C2228" t="str">
        <f t="shared" si="123"/>
        <v>THO625710000</v>
      </c>
      <c r="E2228">
        <v>822.48</v>
      </c>
      <c r="F2228">
        <v>0</v>
      </c>
      <c r="G2228">
        <f t="shared" si="124"/>
        <v>822.48</v>
      </c>
    </row>
    <row r="2229" spans="1:7">
      <c r="A2229" t="str">
        <f t="shared" si="126"/>
        <v>THO</v>
      </c>
      <c r="B2229" t="str">
        <f>"62600000"</f>
        <v>62600000</v>
      </c>
      <c r="C2229" t="str">
        <f t="shared" si="123"/>
        <v>THO626000000</v>
      </c>
      <c r="E2229">
        <v>4200.2700000000004</v>
      </c>
      <c r="F2229">
        <v>0</v>
      </c>
      <c r="G2229">
        <f t="shared" si="124"/>
        <v>4200.2700000000004</v>
      </c>
    </row>
    <row r="2230" spans="1:7">
      <c r="A2230" t="str">
        <f t="shared" si="126"/>
        <v>THO</v>
      </c>
      <c r="B2230" t="str">
        <f>"62610000"</f>
        <v>62610000</v>
      </c>
      <c r="C2230" t="str">
        <f t="shared" si="123"/>
        <v>THO626100000</v>
      </c>
      <c r="E2230">
        <v>958.95</v>
      </c>
      <c r="F2230">
        <v>0</v>
      </c>
      <c r="G2230">
        <f t="shared" si="124"/>
        <v>958.95</v>
      </c>
    </row>
    <row r="2231" spans="1:7">
      <c r="A2231" t="str">
        <f t="shared" si="126"/>
        <v>THO</v>
      </c>
      <c r="B2231" t="str">
        <f>"62752000"</f>
        <v>62752000</v>
      </c>
      <c r="C2231" t="str">
        <f t="shared" si="123"/>
        <v>THO627520000</v>
      </c>
      <c r="E2231">
        <v>85.7</v>
      </c>
      <c r="F2231">
        <v>0</v>
      </c>
      <c r="G2231">
        <f t="shared" si="124"/>
        <v>85.7</v>
      </c>
    </row>
    <row r="2232" spans="1:7">
      <c r="A2232" t="str">
        <f t="shared" si="126"/>
        <v>THO</v>
      </c>
      <c r="B2232" t="str">
        <f>"63330000"</f>
        <v>63330000</v>
      </c>
      <c r="C2232" t="str">
        <f t="shared" si="123"/>
        <v>THO633300000</v>
      </c>
      <c r="E2232">
        <v>1173</v>
      </c>
      <c r="F2232">
        <v>0</v>
      </c>
      <c r="G2232">
        <f t="shared" si="124"/>
        <v>1173</v>
      </c>
    </row>
    <row r="2233" spans="1:7">
      <c r="A2233" t="str">
        <f t="shared" si="126"/>
        <v>THO</v>
      </c>
      <c r="B2233" t="str">
        <f>"63340000"</f>
        <v>63340000</v>
      </c>
      <c r="C2233" t="str">
        <f t="shared" si="123"/>
        <v>THO633400000</v>
      </c>
      <c r="E2233">
        <v>646</v>
      </c>
      <c r="F2233">
        <v>0</v>
      </c>
      <c r="G2233">
        <f t="shared" si="124"/>
        <v>646</v>
      </c>
    </row>
    <row r="2234" spans="1:7">
      <c r="A2234" t="str">
        <f t="shared" si="126"/>
        <v>THO</v>
      </c>
      <c r="B2234" t="str">
        <f>"63350000"</f>
        <v>63350000</v>
      </c>
      <c r="C2234" t="str">
        <f t="shared" si="123"/>
        <v>THO633500000</v>
      </c>
      <c r="E2234">
        <v>976</v>
      </c>
      <c r="F2234">
        <v>0</v>
      </c>
      <c r="G2234">
        <f t="shared" si="124"/>
        <v>976</v>
      </c>
    </row>
    <row r="2235" spans="1:7">
      <c r="A2235" t="str">
        <f t="shared" si="126"/>
        <v>THO</v>
      </c>
      <c r="B2235" t="str">
        <f>"63511000"</f>
        <v>63511000</v>
      </c>
      <c r="C2235" t="str">
        <f t="shared" si="123"/>
        <v>THO635110000</v>
      </c>
      <c r="E2235">
        <v>2746</v>
      </c>
      <c r="F2235">
        <v>0</v>
      </c>
      <c r="G2235">
        <f t="shared" si="124"/>
        <v>2746</v>
      </c>
    </row>
    <row r="2236" spans="1:7">
      <c r="A2236" t="str">
        <f t="shared" si="126"/>
        <v>THO</v>
      </c>
      <c r="B2236" t="str">
        <f>"63512000"</f>
        <v>63512000</v>
      </c>
      <c r="C2236" t="str">
        <f t="shared" si="123"/>
        <v>THO635120000</v>
      </c>
      <c r="E2236">
        <v>666.06</v>
      </c>
      <c r="F2236">
        <v>0</v>
      </c>
      <c r="G2236">
        <f t="shared" si="124"/>
        <v>666.06</v>
      </c>
    </row>
    <row r="2237" spans="1:7">
      <c r="A2237" t="str">
        <f t="shared" si="126"/>
        <v>THO</v>
      </c>
      <c r="B2237" t="str">
        <f>"63710000"</f>
        <v>63710000</v>
      </c>
      <c r="C2237" t="str">
        <f t="shared" si="123"/>
        <v>THO637100000</v>
      </c>
      <c r="E2237">
        <v>1354.94</v>
      </c>
      <c r="F2237">
        <v>0</v>
      </c>
      <c r="G2237">
        <f t="shared" si="124"/>
        <v>1354.94</v>
      </c>
    </row>
    <row r="2238" spans="1:7">
      <c r="A2238" t="str">
        <f t="shared" si="126"/>
        <v>THO</v>
      </c>
      <c r="B2238" t="str">
        <f>"64110000"</f>
        <v>64110000</v>
      </c>
      <c r="C2238" t="str">
        <f t="shared" si="123"/>
        <v>THO641100000</v>
      </c>
      <c r="E2238">
        <v>144808.07999999999</v>
      </c>
      <c r="F2238">
        <v>60690.8</v>
      </c>
      <c r="G2238">
        <f t="shared" si="124"/>
        <v>84117.279999999984</v>
      </c>
    </row>
    <row r="2239" spans="1:7">
      <c r="A2239" t="str">
        <f t="shared" si="126"/>
        <v>THO</v>
      </c>
      <c r="B2239" t="str">
        <f>"64111000"</f>
        <v>64111000</v>
      </c>
      <c r="C2239" t="str">
        <f t="shared" si="123"/>
        <v>THO641110000</v>
      </c>
      <c r="E2239">
        <v>400</v>
      </c>
      <c r="F2239">
        <v>0</v>
      </c>
      <c r="G2239">
        <f t="shared" si="124"/>
        <v>400</v>
      </c>
    </row>
    <row r="2240" spans="1:7">
      <c r="A2240" t="str">
        <f t="shared" si="126"/>
        <v>THO</v>
      </c>
      <c r="B2240" t="str">
        <f>"64120000"</f>
        <v>64120000</v>
      </c>
      <c r="C2240" t="str">
        <f t="shared" si="123"/>
        <v>THO641200000</v>
      </c>
      <c r="E2240">
        <v>13342.61</v>
      </c>
      <c r="F2240">
        <v>14368.03</v>
      </c>
      <c r="G2240">
        <f t="shared" si="124"/>
        <v>-1025.42</v>
      </c>
    </row>
    <row r="2241" spans="1:12">
      <c r="A2241" t="str">
        <f t="shared" si="126"/>
        <v>THO</v>
      </c>
      <c r="B2241" t="str">
        <f>"64121000"</f>
        <v>64121000</v>
      </c>
      <c r="C2241" t="str">
        <f t="shared" si="123"/>
        <v>THO641210000</v>
      </c>
      <c r="E2241">
        <v>5818.71</v>
      </c>
      <c r="F2241">
        <v>6041.76</v>
      </c>
      <c r="G2241">
        <f t="shared" si="124"/>
        <v>-223.05000000000018</v>
      </c>
    </row>
    <row r="2242" spans="1:12">
      <c r="A2242" t="str">
        <f t="shared" si="126"/>
        <v>THO</v>
      </c>
      <c r="B2242" t="str">
        <f>"64510000"</f>
        <v>64510000</v>
      </c>
      <c r="C2242" t="str">
        <f t="shared" si="123"/>
        <v>THO645100000</v>
      </c>
      <c r="E2242">
        <v>49636.92</v>
      </c>
      <c r="F2242">
        <v>29594.67</v>
      </c>
      <c r="G2242">
        <f t="shared" si="124"/>
        <v>20042.25</v>
      </c>
    </row>
    <row r="2243" spans="1:12">
      <c r="A2243" t="str">
        <f t="shared" si="126"/>
        <v>THO</v>
      </c>
      <c r="B2243" t="str">
        <f>"64520000"</f>
        <v>64520000</v>
      </c>
      <c r="C2243" t="str">
        <f t="shared" ref="C2243:C2306" si="127">+A2243&amp;B2243*10</f>
        <v>THO645200000</v>
      </c>
      <c r="E2243">
        <v>4564.8</v>
      </c>
      <c r="F2243">
        <v>0</v>
      </c>
      <c r="G2243">
        <f t="shared" ref="G2243:G2306" si="128">+E2243-F2243</f>
        <v>4564.8</v>
      </c>
    </row>
    <row r="2244" spans="1:12">
      <c r="A2244" t="str">
        <f t="shared" si="126"/>
        <v>THO</v>
      </c>
      <c r="B2244" t="str">
        <f>"64530000"</f>
        <v>64530000</v>
      </c>
      <c r="C2244" t="str">
        <f t="shared" si="127"/>
        <v>THO645300000</v>
      </c>
      <c r="E2244">
        <v>11449.32</v>
      </c>
      <c r="F2244">
        <v>0</v>
      </c>
      <c r="G2244">
        <f t="shared" si="128"/>
        <v>11449.32</v>
      </c>
    </row>
    <row r="2245" spans="1:12">
      <c r="A2245" t="str">
        <f t="shared" si="126"/>
        <v>THO</v>
      </c>
      <c r="B2245" t="str">
        <f>"64531000"</f>
        <v>64531000</v>
      </c>
      <c r="C2245" t="str">
        <f t="shared" si="127"/>
        <v>THO645310000</v>
      </c>
      <c r="E2245">
        <v>1600.76</v>
      </c>
      <c r="F2245">
        <v>0</v>
      </c>
      <c r="G2245">
        <f t="shared" si="128"/>
        <v>1600.76</v>
      </c>
    </row>
    <row r="2246" spans="1:12">
      <c r="A2246" t="str">
        <f t="shared" si="126"/>
        <v>THO</v>
      </c>
      <c r="B2246" t="str">
        <f>"64540000"</f>
        <v>64540000</v>
      </c>
      <c r="C2246" t="str">
        <f t="shared" si="127"/>
        <v>THO645400000</v>
      </c>
      <c r="E2246">
        <v>6102.52</v>
      </c>
      <c r="F2246">
        <v>0</v>
      </c>
      <c r="G2246">
        <f t="shared" si="128"/>
        <v>6102.52</v>
      </c>
    </row>
    <row r="2247" spans="1:12">
      <c r="A2247" t="str">
        <f t="shared" si="126"/>
        <v>THO</v>
      </c>
      <c r="B2247" t="str">
        <f>"64590000"</f>
        <v>64590000</v>
      </c>
      <c r="C2247" t="str">
        <f t="shared" si="127"/>
        <v>THO645900000</v>
      </c>
      <c r="E2247">
        <v>179.13</v>
      </c>
      <c r="F2247">
        <v>0</v>
      </c>
      <c r="G2247">
        <f t="shared" si="128"/>
        <v>179.13</v>
      </c>
    </row>
    <row r="2248" spans="1:12">
      <c r="A2248" t="str">
        <f t="shared" si="126"/>
        <v>THO</v>
      </c>
      <c r="B2248" t="str">
        <f>"64710000"</f>
        <v>64710000</v>
      </c>
      <c r="C2248" t="str">
        <f t="shared" si="127"/>
        <v>THO647100000</v>
      </c>
      <c r="E2248">
        <v>39.6</v>
      </c>
      <c r="F2248">
        <v>0</v>
      </c>
      <c r="G2248">
        <f t="shared" si="128"/>
        <v>39.6</v>
      </c>
      <c r="L2248" s="353"/>
    </row>
    <row r="2249" spans="1:12">
      <c r="A2249" t="str">
        <f t="shared" si="126"/>
        <v>THO</v>
      </c>
      <c r="B2249" t="str">
        <f>"64740000"</f>
        <v>64740000</v>
      </c>
      <c r="C2249" t="str">
        <f t="shared" si="127"/>
        <v>THO647400000</v>
      </c>
      <c r="E2249">
        <v>160.62</v>
      </c>
      <c r="F2249">
        <v>0</v>
      </c>
      <c r="G2249">
        <f t="shared" si="128"/>
        <v>160.62</v>
      </c>
    </row>
    <row r="2250" spans="1:12">
      <c r="A2250" t="str">
        <f t="shared" si="126"/>
        <v>THO</v>
      </c>
      <c r="B2250" t="str">
        <f>"64750000"</f>
        <v>64750000</v>
      </c>
      <c r="C2250" t="str">
        <f t="shared" si="127"/>
        <v>THO647500000</v>
      </c>
      <c r="E2250">
        <v>337</v>
      </c>
      <c r="F2250">
        <v>0</v>
      </c>
      <c r="G2250">
        <f t="shared" si="128"/>
        <v>337</v>
      </c>
    </row>
    <row r="2251" spans="1:12">
      <c r="A2251" t="str">
        <f t="shared" si="126"/>
        <v>THO</v>
      </c>
      <c r="B2251" t="str">
        <f>"64800000"</f>
        <v>64800000</v>
      </c>
      <c r="C2251" t="str">
        <f t="shared" si="127"/>
        <v>THO648000000</v>
      </c>
      <c r="E2251" s="19">
        <v>3590.9912000000004</v>
      </c>
      <c r="F2251">
        <v>0</v>
      </c>
      <c r="G2251" s="19">
        <f t="shared" si="128"/>
        <v>3590.9912000000004</v>
      </c>
      <c r="H2251" s="433">
        <v>1568.6112000000001</v>
      </c>
      <c r="I2251" s="113" t="s">
        <v>534</v>
      </c>
    </row>
    <row r="2252" spans="1:12">
      <c r="A2252" t="str">
        <f t="shared" ref="A2252:A2262" si="129">"THO"</f>
        <v>THO</v>
      </c>
      <c r="B2252" t="str">
        <f>"65410000"</f>
        <v>65410000</v>
      </c>
      <c r="C2252" t="str">
        <f t="shared" si="127"/>
        <v>THO654100000</v>
      </c>
      <c r="E2252">
        <v>0.8</v>
      </c>
      <c r="F2252">
        <v>0.74</v>
      </c>
      <c r="G2252">
        <f t="shared" si="128"/>
        <v>6.0000000000000053E-2</v>
      </c>
    </row>
    <row r="2253" spans="1:12">
      <c r="A2253" t="str">
        <f t="shared" si="129"/>
        <v>THO</v>
      </c>
      <c r="B2253" t="str">
        <f>"65420000"</f>
        <v>65420000</v>
      </c>
      <c r="C2253" t="str">
        <f t="shared" si="127"/>
        <v>THO654200000</v>
      </c>
      <c r="E2253">
        <v>17.95</v>
      </c>
      <c r="F2253">
        <v>0</v>
      </c>
      <c r="G2253">
        <f t="shared" si="128"/>
        <v>17.95</v>
      </c>
    </row>
    <row r="2254" spans="1:12">
      <c r="A2254" t="str">
        <f t="shared" si="129"/>
        <v>THO</v>
      </c>
      <c r="B2254" t="str">
        <f>"65440000"</f>
        <v>65440000</v>
      </c>
      <c r="C2254" t="str">
        <f t="shared" si="127"/>
        <v>THO654400000</v>
      </c>
      <c r="E2254">
        <v>0</v>
      </c>
      <c r="F2254">
        <v>0</v>
      </c>
      <c r="G2254">
        <f t="shared" si="128"/>
        <v>0</v>
      </c>
    </row>
    <row r="2255" spans="1:12">
      <c r="A2255" t="str">
        <f t="shared" si="129"/>
        <v>THO</v>
      </c>
      <c r="B2255" t="str">
        <f>"65800000"</f>
        <v>65800000</v>
      </c>
      <c r="C2255" t="str">
        <f t="shared" si="127"/>
        <v>THO658000000</v>
      </c>
      <c r="E2255">
        <v>1120.3900000000001</v>
      </c>
      <c r="F2255">
        <v>0</v>
      </c>
      <c r="G2255">
        <f t="shared" si="128"/>
        <v>1120.3900000000001</v>
      </c>
    </row>
    <row r="2256" spans="1:12">
      <c r="A2256" t="str">
        <f t="shared" si="129"/>
        <v>THO</v>
      </c>
      <c r="B2256" t="str">
        <f>"66161000"</f>
        <v>66161000</v>
      </c>
      <c r="C2256" t="str">
        <f t="shared" si="127"/>
        <v>THO661610000</v>
      </c>
      <c r="E2256">
        <v>518.47</v>
      </c>
      <c r="F2256">
        <v>0</v>
      </c>
      <c r="G2256">
        <f t="shared" si="128"/>
        <v>518.47</v>
      </c>
    </row>
    <row r="2257" spans="1:7">
      <c r="A2257" t="str">
        <f t="shared" si="129"/>
        <v>THO</v>
      </c>
      <c r="B2257" t="str">
        <f>"66500000"</f>
        <v>66500000</v>
      </c>
      <c r="C2257" t="str">
        <f t="shared" si="127"/>
        <v>THO665000000</v>
      </c>
      <c r="E2257">
        <v>51.37</v>
      </c>
      <c r="F2257">
        <v>0</v>
      </c>
      <c r="G2257">
        <f t="shared" si="128"/>
        <v>51.37</v>
      </c>
    </row>
    <row r="2258" spans="1:7">
      <c r="A2258" t="str">
        <f t="shared" si="129"/>
        <v>THO</v>
      </c>
      <c r="B2258" t="str">
        <f>"67180000"</f>
        <v>67180000</v>
      </c>
      <c r="C2258" t="str">
        <f t="shared" si="127"/>
        <v>THO671800000</v>
      </c>
      <c r="E2258">
        <v>0.27</v>
      </c>
      <c r="F2258">
        <v>0</v>
      </c>
      <c r="G2258">
        <f t="shared" si="128"/>
        <v>0.27</v>
      </c>
    </row>
    <row r="2259" spans="1:7">
      <c r="A2259" t="str">
        <f t="shared" si="129"/>
        <v>THO</v>
      </c>
      <c r="B2259" t="str">
        <f>"68112000"</f>
        <v>68112000</v>
      </c>
      <c r="C2259" t="str">
        <f t="shared" si="127"/>
        <v>THO681120000</v>
      </c>
      <c r="E2259">
        <v>3099.3</v>
      </c>
      <c r="F2259">
        <v>0</v>
      </c>
      <c r="G2259">
        <f t="shared" si="128"/>
        <v>3099.3</v>
      </c>
    </row>
    <row r="2260" spans="1:7">
      <c r="A2260" t="str">
        <f t="shared" si="129"/>
        <v>THO</v>
      </c>
      <c r="B2260" t="str">
        <f>"68173000"</f>
        <v>68173000</v>
      </c>
      <c r="C2260" t="str">
        <f t="shared" si="127"/>
        <v>THO681730000</v>
      </c>
      <c r="E2260">
        <v>11341.72</v>
      </c>
      <c r="F2260">
        <v>0</v>
      </c>
      <c r="G2260">
        <f t="shared" si="128"/>
        <v>11341.72</v>
      </c>
    </row>
    <row r="2261" spans="1:7">
      <c r="A2261" t="str">
        <f t="shared" si="129"/>
        <v>THO</v>
      </c>
      <c r="B2261" t="str">
        <f>"68174000"</f>
        <v>68174000</v>
      </c>
      <c r="C2261" t="str">
        <f t="shared" si="127"/>
        <v>THO681740000</v>
      </c>
      <c r="E2261">
        <v>9587.69</v>
      </c>
      <c r="F2261">
        <v>0</v>
      </c>
      <c r="G2261">
        <f t="shared" si="128"/>
        <v>9587.69</v>
      </c>
    </row>
    <row r="2262" spans="1:7">
      <c r="A2262" t="str">
        <f t="shared" si="129"/>
        <v>THO</v>
      </c>
      <c r="B2262" t="str">
        <f>"68725000"</f>
        <v>68725000</v>
      </c>
      <c r="C2262" t="str">
        <f t="shared" si="127"/>
        <v>THO687250000</v>
      </c>
      <c r="E2262">
        <v>50.87</v>
      </c>
      <c r="F2262">
        <v>0</v>
      </c>
      <c r="G2262">
        <f t="shared" si="128"/>
        <v>50.87</v>
      </c>
    </row>
    <row r="2263" spans="1:7">
      <c r="A2263" t="str">
        <f>"TOU"</f>
        <v>TOU</v>
      </c>
      <c r="B2263" t="str">
        <f>"61810000"</f>
        <v>61810000</v>
      </c>
      <c r="C2263" t="str">
        <f t="shared" si="127"/>
        <v>TOU618100000</v>
      </c>
      <c r="E2263">
        <v>0</v>
      </c>
      <c r="F2263">
        <v>0</v>
      </c>
      <c r="G2263">
        <f t="shared" si="128"/>
        <v>0</v>
      </c>
    </row>
    <row r="2264" spans="1:7">
      <c r="A2264" t="str">
        <f>"TOU"</f>
        <v>TOU</v>
      </c>
      <c r="B2264" t="str">
        <f>"62570000"</f>
        <v>62570000</v>
      </c>
      <c r="C2264" t="str">
        <f t="shared" si="127"/>
        <v>TOU625700000</v>
      </c>
      <c r="E2264">
        <v>0</v>
      </c>
      <c r="F2264">
        <v>0</v>
      </c>
      <c r="G2264">
        <f t="shared" si="128"/>
        <v>0</v>
      </c>
    </row>
    <row r="2265" spans="1:7">
      <c r="A2265" t="str">
        <f>"TOU"</f>
        <v>TOU</v>
      </c>
      <c r="B2265" t="str">
        <f>"64111000"</f>
        <v>64111000</v>
      </c>
      <c r="C2265" t="str">
        <f t="shared" si="127"/>
        <v>TOU641110000</v>
      </c>
      <c r="E2265">
        <v>0</v>
      </c>
      <c r="F2265">
        <v>0</v>
      </c>
      <c r="G2265">
        <f t="shared" si="128"/>
        <v>0</v>
      </c>
    </row>
    <row r="2266" spans="1:7">
      <c r="A2266" t="str">
        <f>"TOU"</f>
        <v>TOU</v>
      </c>
      <c r="B2266" t="str">
        <f>"64710000"</f>
        <v>64710000</v>
      </c>
      <c r="C2266" t="str">
        <f t="shared" si="127"/>
        <v>TOU647100000</v>
      </c>
      <c r="E2266">
        <v>0</v>
      </c>
      <c r="F2266">
        <v>0</v>
      </c>
      <c r="G2266">
        <f t="shared" si="128"/>
        <v>0</v>
      </c>
    </row>
    <row r="2267" spans="1:7">
      <c r="A2267" t="str">
        <f t="shared" ref="A2267:A2330" si="130">"TOURC"</f>
        <v>TOURC</v>
      </c>
      <c r="B2267" t="str">
        <f>"60610000"</f>
        <v>60610000</v>
      </c>
      <c r="C2267" t="str">
        <f t="shared" si="127"/>
        <v>TOURC606100000</v>
      </c>
      <c r="E2267">
        <v>4132.83</v>
      </c>
      <c r="F2267">
        <v>0</v>
      </c>
      <c r="G2267">
        <f t="shared" si="128"/>
        <v>4132.83</v>
      </c>
    </row>
    <row r="2268" spans="1:7">
      <c r="A2268" t="str">
        <f t="shared" si="130"/>
        <v>TOURC</v>
      </c>
      <c r="B2268" t="str">
        <f>"60611000"</f>
        <v>60611000</v>
      </c>
      <c r="C2268" t="str">
        <f t="shared" si="127"/>
        <v>TOURC606110000</v>
      </c>
      <c r="E2268">
        <v>6808.34</v>
      </c>
      <c r="F2268">
        <v>0</v>
      </c>
      <c r="G2268">
        <f t="shared" si="128"/>
        <v>6808.34</v>
      </c>
    </row>
    <row r="2269" spans="1:7">
      <c r="A2269" t="str">
        <f t="shared" si="130"/>
        <v>TOURC</v>
      </c>
      <c r="B2269" t="str">
        <f>"60613000"</f>
        <v>60613000</v>
      </c>
      <c r="C2269" t="str">
        <f t="shared" si="127"/>
        <v>TOURC606130000</v>
      </c>
      <c r="E2269">
        <v>1679.35</v>
      </c>
      <c r="F2269">
        <v>0</v>
      </c>
      <c r="G2269">
        <f t="shared" si="128"/>
        <v>1679.35</v>
      </c>
    </row>
    <row r="2270" spans="1:7">
      <c r="A2270" t="str">
        <f t="shared" si="130"/>
        <v>TOURC</v>
      </c>
      <c r="B2270" t="str">
        <f>"60631000"</f>
        <v>60631000</v>
      </c>
      <c r="C2270" t="str">
        <f t="shared" si="127"/>
        <v>TOURC606310000</v>
      </c>
      <c r="E2270">
        <v>217.64</v>
      </c>
      <c r="F2270">
        <v>0</v>
      </c>
      <c r="G2270">
        <f t="shared" si="128"/>
        <v>217.64</v>
      </c>
    </row>
    <row r="2271" spans="1:7">
      <c r="A2271" t="str">
        <f t="shared" si="130"/>
        <v>TOURC</v>
      </c>
      <c r="B2271" t="str">
        <f>"60641000"</f>
        <v>60641000</v>
      </c>
      <c r="C2271" t="str">
        <f t="shared" si="127"/>
        <v>TOURC606410000</v>
      </c>
      <c r="E2271">
        <v>1904</v>
      </c>
      <c r="F2271">
        <v>0</v>
      </c>
      <c r="G2271">
        <f t="shared" si="128"/>
        <v>1904</v>
      </c>
    </row>
    <row r="2272" spans="1:7">
      <c r="A2272" t="str">
        <f t="shared" si="130"/>
        <v>TOURC</v>
      </c>
      <c r="B2272" t="str">
        <f>"60710000"</f>
        <v>60710000</v>
      </c>
      <c r="C2272" t="str">
        <f t="shared" si="127"/>
        <v>TOURC607100000</v>
      </c>
      <c r="E2272">
        <v>91202.27</v>
      </c>
      <c r="F2272">
        <v>69.03</v>
      </c>
      <c r="G2272">
        <f t="shared" si="128"/>
        <v>91133.24</v>
      </c>
    </row>
    <row r="2273" spans="1:7">
      <c r="A2273" t="str">
        <f t="shared" si="130"/>
        <v>TOURC</v>
      </c>
      <c r="B2273" t="str">
        <f>"60711000"</f>
        <v>60711000</v>
      </c>
      <c r="C2273" t="str">
        <f t="shared" si="127"/>
        <v>TOURC607110000</v>
      </c>
      <c r="E2273">
        <v>5809.61</v>
      </c>
      <c r="F2273">
        <v>172.54</v>
      </c>
      <c r="G2273">
        <f t="shared" si="128"/>
        <v>5637.07</v>
      </c>
    </row>
    <row r="2274" spans="1:7">
      <c r="A2274" t="str">
        <f t="shared" si="130"/>
        <v>TOURC</v>
      </c>
      <c r="B2274" t="str">
        <f>"60712000"</f>
        <v>60712000</v>
      </c>
      <c r="C2274" t="str">
        <f t="shared" si="127"/>
        <v>TOURC607120000</v>
      </c>
      <c r="E2274">
        <v>0</v>
      </c>
      <c r="F2274">
        <v>0</v>
      </c>
      <c r="G2274">
        <f t="shared" si="128"/>
        <v>0</v>
      </c>
    </row>
    <row r="2275" spans="1:7">
      <c r="A2275" t="str">
        <f t="shared" si="130"/>
        <v>TOURC</v>
      </c>
      <c r="B2275" t="str">
        <f>"60713000"</f>
        <v>60713000</v>
      </c>
      <c r="C2275" t="str">
        <f t="shared" si="127"/>
        <v>TOURC607130000</v>
      </c>
      <c r="E2275">
        <v>50702</v>
      </c>
      <c r="F2275">
        <v>0</v>
      </c>
      <c r="G2275">
        <f t="shared" si="128"/>
        <v>50702</v>
      </c>
    </row>
    <row r="2276" spans="1:7">
      <c r="A2276" t="str">
        <f t="shared" si="130"/>
        <v>TOURC</v>
      </c>
      <c r="B2276" t="str">
        <f>"60714000"</f>
        <v>60714000</v>
      </c>
      <c r="C2276" t="str">
        <f t="shared" si="127"/>
        <v>TOURC607140000</v>
      </c>
      <c r="E2276">
        <v>-115080</v>
      </c>
      <c r="F2276">
        <v>0</v>
      </c>
      <c r="G2276">
        <f t="shared" si="128"/>
        <v>-115080</v>
      </c>
    </row>
    <row r="2277" spans="1:7">
      <c r="A2277" t="str">
        <f t="shared" si="130"/>
        <v>TOURC</v>
      </c>
      <c r="B2277" t="str">
        <f>"60715000"</f>
        <v>60715000</v>
      </c>
      <c r="C2277" t="str">
        <f t="shared" si="127"/>
        <v>TOURC607150000</v>
      </c>
      <c r="E2277">
        <v>102939.48</v>
      </c>
      <c r="F2277">
        <v>0</v>
      </c>
      <c r="G2277">
        <f t="shared" si="128"/>
        <v>102939.48</v>
      </c>
    </row>
    <row r="2278" spans="1:7">
      <c r="A2278" t="str">
        <f t="shared" si="130"/>
        <v>TOURC</v>
      </c>
      <c r="B2278" t="str">
        <f>"60720000"</f>
        <v>60720000</v>
      </c>
      <c r="C2278" t="str">
        <f t="shared" si="127"/>
        <v>TOURC607200000</v>
      </c>
      <c r="E2278">
        <v>134087.72</v>
      </c>
      <c r="F2278">
        <v>0</v>
      </c>
      <c r="G2278">
        <f t="shared" si="128"/>
        <v>134087.72</v>
      </c>
    </row>
    <row r="2279" spans="1:7">
      <c r="A2279" t="str">
        <f t="shared" si="130"/>
        <v>TOURC</v>
      </c>
      <c r="B2279" t="str">
        <f>"60740000"</f>
        <v>60740000</v>
      </c>
      <c r="C2279" t="str">
        <f t="shared" si="127"/>
        <v>TOURC607400000</v>
      </c>
      <c r="E2279">
        <v>3269.96</v>
      </c>
      <c r="F2279">
        <v>22</v>
      </c>
      <c r="G2279">
        <f t="shared" si="128"/>
        <v>3247.96</v>
      </c>
    </row>
    <row r="2280" spans="1:7">
      <c r="A2280" t="str">
        <f t="shared" si="130"/>
        <v>TOURC</v>
      </c>
      <c r="B2280" t="str">
        <f>"60800000"</f>
        <v>60800000</v>
      </c>
      <c r="C2280" t="str">
        <f t="shared" si="127"/>
        <v>TOURC608000000</v>
      </c>
      <c r="E2280">
        <v>1105.02</v>
      </c>
      <c r="F2280">
        <v>0</v>
      </c>
      <c r="G2280">
        <f t="shared" si="128"/>
        <v>1105.02</v>
      </c>
    </row>
    <row r="2281" spans="1:7">
      <c r="A2281" t="str">
        <f t="shared" si="130"/>
        <v>TOURC</v>
      </c>
      <c r="B2281" t="str">
        <f>"60911000"</f>
        <v>60911000</v>
      </c>
      <c r="C2281" t="str">
        <f t="shared" si="127"/>
        <v>TOURC609110000</v>
      </c>
      <c r="E2281">
        <v>-3844.73</v>
      </c>
      <c r="F2281">
        <v>0</v>
      </c>
      <c r="G2281">
        <f t="shared" si="128"/>
        <v>-3844.73</v>
      </c>
    </row>
    <row r="2282" spans="1:7">
      <c r="A2282" t="str">
        <f t="shared" si="130"/>
        <v>TOURC</v>
      </c>
      <c r="B2282" t="str">
        <f>"60912000"</f>
        <v>60912000</v>
      </c>
      <c r="C2282" t="str">
        <f t="shared" si="127"/>
        <v>TOURC609120000</v>
      </c>
      <c r="E2282">
        <v>-9654</v>
      </c>
      <c r="F2282">
        <v>0</v>
      </c>
      <c r="G2282">
        <f t="shared" si="128"/>
        <v>-9654</v>
      </c>
    </row>
    <row r="2283" spans="1:7">
      <c r="A2283" t="str">
        <f t="shared" si="130"/>
        <v>TOURC</v>
      </c>
      <c r="B2283" t="str">
        <f>"60913000"</f>
        <v>60913000</v>
      </c>
      <c r="C2283" t="str">
        <f t="shared" si="127"/>
        <v>TOURC609130000</v>
      </c>
      <c r="E2283">
        <v>-5516.57</v>
      </c>
      <c r="F2283">
        <v>0</v>
      </c>
      <c r="G2283">
        <f t="shared" si="128"/>
        <v>-5516.57</v>
      </c>
    </row>
    <row r="2284" spans="1:7">
      <c r="A2284" t="str">
        <f t="shared" si="130"/>
        <v>TOURC</v>
      </c>
      <c r="B2284" t="str">
        <f>"61100000"</f>
        <v>61100000</v>
      </c>
      <c r="C2284" t="str">
        <f t="shared" si="127"/>
        <v>TOURC611000000</v>
      </c>
      <c r="E2284">
        <v>209.02</v>
      </c>
      <c r="F2284">
        <v>0</v>
      </c>
      <c r="G2284">
        <f t="shared" si="128"/>
        <v>209.02</v>
      </c>
    </row>
    <row r="2285" spans="1:7">
      <c r="A2285" t="str">
        <f t="shared" si="130"/>
        <v>TOURC</v>
      </c>
      <c r="B2285" t="str">
        <f>"61320000"</f>
        <v>61320000</v>
      </c>
      <c r="C2285" t="str">
        <f t="shared" si="127"/>
        <v>TOURC613200000</v>
      </c>
      <c r="E2285">
        <v>36221.949999999997</v>
      </c>
      <c r="F2285">
        <v>0</v>
      </c>
      <c r="G2285">
        <f t="shared" si="128"/>
        <v>36221.949999999997</v>
      </c>
    </row>
    <row r="2286" spans="1:7">
      <c r="A2286" t="str">
        <f t="shared" si="130"/>
        <v>TOURC</v>
      </c>
      <c r="B2286" t="str">
        <f>"61352000"</f>
        <v>61352000</v>
      </c>
      <c r="C2286" t="str">
        <f t="shared" si="127"/>
        <v>TOURC613520000</v>
      </c>
      <c r="E2286">
        <v>3041.88</v>
      </c>
      <c r="F2286">
        <v>0</v>
      </c>
      <c r="G2286">
        <f t="shared" si="128"/>
        <v>3041.88</v>
      </c>
    </row>
    <row r="2287" spans="1:7">
      <c r="A2287" t="str">
        <f t="shared" si="130"/>
        <v>TOURC</v>
      </c>
      <c r="B2287" t="str">
        <f>"61353000"</f>
        <v>61353000</v>
      </c>
      <c r="C2287" t="str">
        <f t="shared" si="127"/>
        <v>TOURC613530000</v>
      </c>
      <c r="E2287">
        <v>180</v>
      </c>
      <c r="F2287">
        <v>0</v>
      </c>
      <c r="G2287">
        <f t="shared" si="128"/>
        <v>180</v>
      </c>
    </row>
    <row r="2288" spans="1:7">
      <c r="A2288" t="str">
        <f t="shared" si="130"/>
        <v>TOURC</v>
      </c>
      <c r="B2288" t="str">
        <f>"61520000"</f>
        <v>61520000</v>
      </c>
      <c r="C2288" t="str">
        <f t="shared" si="127"/>
        <v>TOURC615200000</v>
      </c>
      <c r="E2288">
        <v>3757.05</v>
      </c>
      <c r="F2288">
        <v>0</v>
      </c>
      <c r="G2288">
        <f t="shared" si="128"/>
        <v>3757.05</v>
      </c>
    </row>
    <row r="2289" spans="1:7">
      <c r="A2289" t="str">
        <f t="shared" si="130"/>
        <v>TOURC</v>
      </c>
      <c r="B2289" t="str">
        <f>"61550000"</f>
        <v>61550000</v>
      </c>
      <c r="C2289" t="str">
        <f t="shared" si="127"/>
        <v>TOURC615500000</v>
      </c>
      <c r="E2289">
        <v>736.8</v>
      </c>
      <c r="F2289">
        <v>11.2</v>
      </c>
      <c r="G2289">
        <f t="shared" si="128"/>
        <v>725.59999999999991</v>
      </c>
    </row>
    <row r="2290" spans="1:7">
      <c r="A2290" t="str">
        <f t="shared" si="130"/>
        <v>TOURC</v>
      </c>
      <c r="B2290" t="str">
        <f>"61551000"</f>
        <v>61551000</v>
      </c>
      <c r="C2290" t="str">
        <f t="shared" si="127"/>
        <v>TOURC615510000</v>
      </c>
      <c r="E2290">
        <v>1016.65</v>
      </c>
      <c r="F2290">
        <v>0</v>
      </c>
      <c r="G2290">
        <f t="shared" si="128"/>
        <v>1016.65</v>
      </c>
    </row>
    <row r="2291" spans="1:7">
      <c r="A2291" t="str">
        <f t="shared" si="130"/>
        <v>TOURC</v>
      </c>
      <c r="B2291" t="str">
        <f>"61552000"</f>
        <v>61552000</v>
      </c>
      <c r="C2291" t="str">
        <f t="shared" si="127"/>
        <v>TOURC615520000</v>
      </c>
      <c r="E2291">
        <v>2164.81</v>
      </c>
      <c r="F2291">
        <v>0</v>
      </c>
      <c r="G2291">
        <f t="shared" si="128"/>
        <v>2164.81</v>
      </c>
    </row>
    <row r="2292" spans="1:7">
      <c r="A2292" t="str">
        <f t="shared" si="130"/>
        <v>TOURC</v>
      </c>
      <c r="B2292" t="str">
        <f>"61612000"</f>
        <v>61612000</v>
      </c>
      <c r="C2292" t="str">
        <f t="shared" si="127"/>
        <v>TOURC616120000</v>
      </c>
      <c r="E2292">
        <v>614.23</v>
      </c>
      <c r="F2292">
        <v>0</v>
      </c>
      <c r="G2292">
        <f t="shared" si="128"/>
        <v>614.23</v>
      </c>
    </row>
    <row r="2293" spans="1:7">
      <c r="A2293" t="str">
        <f t="shared" si="130"/>
        <v>TOURC</v>
      </c>
      <c r="B2293" t="str">
        <f>"61613000"</f>
        <v>61613000</v>
      </c>
      <c r="C2293" t="str">
        <f t="shared" si="127"/>
        <v>TOURC616130000</v>
      </c>
      <c r="E2293">
        <v>3082.19</v>
      </c>
      <c r="F2293">
        <v>0</v>
      </c>
      <c r="G2293">
        <f t="shared" si="128"/>
        <v>3082.19</v>
      </c>
    </row>
    <row r="2294" spans="1:7">
      <c r="A2294" t="str">
        <f t="shared" si="130"/>
        <v>TOURC</v>
      </c>
      <c r="B2294" t="str">
        <f>"61810000"</f>
        <v>61810000</v>
      </c>
      <c r="C2294" t="str">
        <f t="shared" si="127"/>
        <v>TOURC618100000</v>
      </c>
      <c r="E2294">
        <v>352.4</v>
      </c>
      <c r="F2294">
        <v>0</v>
      </c>
      <c r="G2294">
        <f t="shared" si="128"/>
        <v>352.4</v>
      </c>
    </row>
    <row r="2295" spans="1:7">
      <c r="A2295" t="str">
        <f t="shared" si="130"/>
        <v>TOURC</v>
      </c>
      <c r="B2295" t="str">
        <f>"61850000"</f>
        <v>61850000</v>
      </c>
      <c r="C2295" t="str">
        <f t="shared" si="127"/>
        <v>TOURC618500000</v>
      </c>
      <c r="E2295">
        <v>442.4</v>
      </c>
      <c r="F2295">
        <v>0</v>
      </c>
      <c r="G2295">
        <f t="shared" si="128"/>
        <v>442.4</v>
      </c>
    </row>
    <row r="2296" spans="1:7">
      <c r="A2296" t="str">
        <f t="shared" si="130"/>
        <v>TOURC</v>
      </c>
      <c r="B2296" t="str">
        <f>"62120000"</f>
        <v>62120000</v>
      </c>
      <c r="C2296" t="str">
        <f t="shared" si="127"/>
        <v>TOURC621200000</v>
      </c>
      <c r="E2296">
        <v>2236.84</v>
      </c>
      <c r="F2296">
        <v>0</v>
      </c>
      <c r="G2296">
        <f t="shared" si="128"/>
        <v>2236.84</v>
      </c>
    </row>
    <row r="2297" spans="1:7">
      <c r="A2297" t="str">
        <f t="shared" si="130"/>
        <v>TOURC</v>
      </c>
      <c r="B2297" t="str">
        <f>"62270000"</f>
        <v>62270000</v>
      </c>
      <c r="C2297" t="str">
        <f t="shared" si="127"/>
        <v>TOURC622700000</v>
      </c>
      <c r="E2297">
        <v>384.61</v>
      </c>
      <c r="F2297">
        <v>77.739999999999995</v>
      </c>
      <c r="G2297">
        <f t="shared" si="128"/>
        <v>306.87</v>
      </c>
    </row>
    <row r="2298" spans="1:7">
      <c r="A2298" t="str">
        <f t="shared" si="130"/>
        <v>TOURC</v>
      </c>
      <c r="B2298" t="str">
        <f>"62271000"</f>
        <v>62271000</v>
      </c>
      <c r="C2298" t="str">
        <f t="shared" si="127"/>
        <v>TOURC622710000</v>
      </c>
      <c r="E2298">
        <v>177.17</v>
      </c>
      <c r="F2298">
        <v>0</v>
      </c>
      <c r="G2298">
        <f t="shared" si="128"/>
        <v>177.17</v>
      </c>
    </row>
    <row r="2299" spans="1:7">
      <c r="A2299" t="str">
        <f t="shared" si="130"/>
        <v>TOURC</v>
      </c>
      <c r="B2299" t="str">
        <f>"62310000"</f>
        <v>62310000</v>
      </c>
      <c r="C2299" t="str">
        <f t="shared" si="127"/>
        <v>TOURC623100000</v>
      </c>
      <c r="E2299">
        <v>774.3</v>
      </c>
      <c r="F2299">
        <v>0</v>
      </c>
      <c r="G2299">
        <f t="shared" si="128"/>
        <v>774.3</v>
      </c>
    </row>
    <row r="2300" spans="1:7">
      <c r="A2300" t="str">
        <f t="shared" si="130"/>
        <v>TOURC</v>
      </c>
      <c r="B2300" t="str">
        <f>"62320000"</f>
        <v>62320000</v>
      </c>
      <c r="C2300" t="str">
        <f t="shared" si="127"/>
        <v>TOURC623200000</v>
      </c>
      <c r="E2300">
        <v>5875.29</v>
      </c>
      <c r="F2300">
        <v>0</v>
      </c>
      <c r="G2300">
        <f t="shared" si="128"/>
        <v>5875.29</v>
      </c>
    </row>
    <row r="2301" spans="1:7">
      <c r="A2301" t="str">
        <f t="shared" si="130"/>
        <v>TOURC</v>
      </c>
      <c r="B2301" t="str">
        <f>"62330000"</f>
        <v>62330000</v>
      </c>
      <c r="C2301" t="str">
        <f t="shared" si="127"/>
        <v>TOURC623300000</v>
      </c>
      <c r="E2301">
        <v>130.91999999999999</v>
      </c>
      <c r="F2301">
        <v>0</v>
      </c>
      <c r="G2301">
        <f t="shared" si="128"/>
        <v>130.91999999999999</v>
      </c>
    </row>
    <row r="2302" spans="1:7">
      <c r="A2302" t="str">
        <f t="shared" si="130"/>
        <v>TOURC</v>
      </c>
      <c r="B2302" t="str">
        <f>"62341000"</f>
        <v>62341000</v>
      </c>
      <c r="C2302" t="str">
        <f t="shared" si="127"/>
        <v>TOURC623410000</v>
      </c>
      <c r="E2302">
        <v>3421.11</v>
      </c>
      <c r="F2302">
        <v>0</v>
      </c>
      <c r="G2302">
        <f t="shared" si="128"/>
        <v>3421.11</v>
      </c>
    </row>
    <row r="2303" spans="1:7">
      <c r="A2303" t="str">
        <f t="shared" si="130"/>
        <v>TOURC</v>
      </c>
      <c r="B2303" t="str">
        <f>"62342000"</f>
        <v>62342000</v>
      </c>
      <c r="C2303" t="str">
        <f t="shared" si="127"/>
        <v>TOURC623420000</v>
      </c>
      <c r="E2303">
        <v>-140.49</v>
      </c>
      <c r="F2303">
        <v>0</v>
      </c>
      <c r="G2303">
        <f t="shared" si="128"/>
        <v>-140.49</v>
      </c>
    </row>
    <row r="2304" spans="1:7">
      <c r="A2304" t="str">
        <f t="shared" si="130"/>
        <v>TOURC</v>
      </c>
      <c r="B2304" t="str">
        <f>"62370000"</f>
        <v>62370000</v>
      </c>
      <c r="C2304" t="str">
        <f t="shared" si="127"/>
        <v>TOURC623700000</v>
      </c>
      <c r="E2304">
        <v>1882.24</v>
      </c>
      <c r="F2304">
        <v>-221.9</v>
      </c>
      <c r="G2304">
        <f t="shared" si="128"/>
        <v>2104.14</v>
      </c>
    </row>
    <row r="2305" spans="1:7">
      <c r="A2305" t="str">
        <f t="shared" si="130"/>
        <v>TOURC</v>
      </c>
      <c r="B2305" t="str">
        <f>"62380000"</f>
        <v>62380000</v>
      </c>
      <c r="C2305" t="str">
        <f t="shared" si="127"/>
        <v>TOURC623800000</v>
      </c>
      <c r="E2305">
        <v>12</v>
      </c>
      <c r="F2305">
        <v>0</v>
      </c>
      <c r="G2305">
        <f t="shared" si="128"/>
        <v>12</v>
      </c>
    </row>
    <row r="2306" spans="1:7">
      <c r="A2306" t="str">
        <f t="shared" si="130"/>
        <v>TOURC</v>
      </c>
      <c r="B2306" t="str">
        <f>"62381000"</f>
        <v>62381000</v>
      </c>
      <c r="C2306" t="str">
        <f t="shared" si="127"/>
        <v>TOURC623810000</v>
      </c>
      <c r="E2306">
        <v>0</v>
      </c>
      <c r="F2306">
        <v>0</v>
      </c>
      <c r="G2306">
        <f t="shared" si="128"/>
        <v>0</v>
      </c>
    </row>
    <row r="2307" spans="1:7">
      <c r="A2307" t="str">
        <f t="shared" si="130"/>
        <v>TOURC</v>
      </c>
      <c r="B2307" t="str">
        <f>"62420000"</f>
        <v>62420000</v>
      </c>
      <c r="C2307" t="str">
        <f t="shared" ref="C2307:C2370" si="131">+A2307&amp;B2307*10</f>
        <v>TOURC624200000</v>
      </c>
      <c r="E2307">
        <v>1585.8</v>
      </c>
      <c r="F2307">
        <v>0</v>
      </c>
      <c r="G2307">
        <f t="shared" ref="G2307:G2370" si="132">+E2307-F2307</f>
        <v>1585.8</v>
      </c>
    </row>
    <row r="2308" spans="1:7">
      <c r="A2308" t="str">
        <f t="shared" si="130"/>
        <v>TOURC</v>
      </c>
      <c r="B2308" t="str">
        <f>"62510000"</f>
        <v>62510000</v>
      </c>
      <c r="C2308" t="str">
        <f t="shared" si="131"/>
        <v>TOURC625100000</v>
      </c>
      <c r="E2308">
        <v>9525.43</v>
      </c>
      <c r="F2308">
        <v>688.8</v>
      </c>
      <c r="G2308">
        <f t="shared" si="132"/>
        <v>8836.630000000001</v>
      </c>
    </row>
    <row r="2309" spans="1:7">
      <c r="A2309" t="str">
        <f t="shared" si="130"/>
        <v>TOURC</v>
      </c>
      <c r="B2309" t="str">
        <f>"62520000"</f>
        <v>62520000</v>
      </c>
      <c r="C2309" t="str">
        <f t="shared" si="131"/>
        <v>TOURC625200000</v>
      </c>
      <c r="E2309">
        <v>75.72</v>
      </c>
      <c r="F2309">
        <v>0</v>
      </c>
      <c r="G2309">
        <f t="shared" si="132"/>
        <v>75.72</v>
      </c>
    </row>
    <row r="2310" spans="1:7">
      <c r="A2310" t="str">
        <f t="shared" si="130"/>
        <v>TOURC</v>
      </c>
      <c r="B2310" t="str">
        <f>"62560000"</f>
        <v>62560000</v>
      </c>
      <c r="C2310" t="str">
        <f t="shared" si="131"/>
        <v>TOURC625600000</v>
      </c>
      <c r="E2310">
        <v>25.23</v>
      </c>
      <c r="F2310">
        <v>0</v>
      </c>
      <c r="G2310">
        <f t="shared" si="132"/>
        <v>25.23</v>
      </c>
    </row>
    <row r="2311" spans="1:7">
      <c r="A2311" t="str">
        <f t="shared" si="130"/>
        <v>TOURC</v>
      </c>
      <c r="B2311" t="str">
        <f>"62570000"</f>
        <v>62570000</v>
      </c>
      <c r="C2311" t="str">
        <f t="shared" si="131"/>
        <v>TOURC625700000</v>
      </c>
      <c r="E2311">
        <v>1532.33</v>
      </c>
      <c r="F2311">
        <v>0</v>
      </c>
      <c r="G2311">
        <f t="shared" si="132"/>
        <v>1532.33</v>
      </c>
    </row>
    <row r="2312" spans="1:7">
      <c r="A2312" t="str">
        <f t="shared" si="130"/>
        <v>TOURC</v>
      </c>
      <c r="B2312" t="str">
        <f>"62571000"</f>
        <v>62571000</v>
      </c>
      <c r="C2312" t="str">
        <f t="shared" si="131"/>
        <v>TOURC625710000</v>
      </c>
      <c r="E2312">
        <v>295.93</v>
      </c>
      <c r="F2312">
        <v>0</v>
      </c>
      <c r="G2312">
        <f t="shared" si="132"/>
        <v>295.93</v>
      </c>
    </row>
    <row r="2313" spans="1:7">
      <c r="A2313" t="str">
        <f t="shared" si="130"/>
        <v>TOURC</v>
      </c>
      <c r="B2313" t="str">
        <f>"62600000"</f>
        <v>62600000</v>
      </c>
      <c r="C2313" t="str">
        <f t="shared" si="131"/>
        <v>TOURC626000000</v>
      </c>
      <c r="E2313">
        <v>3607.33</v>
      </c>
      <c r="F2313">
        <v>0</v>
      </c>
      <c r="G2313">
        <f t="shared" si="132"/>
        <v>3607.33</v>
      </c>
    </row>
    <row r="2314" spans="1:7">
      <c r="A2314" t="str">
        <f t="shared" si="130"/>
        <v>TOURC</v>
      </c>
      <c r="B2314" t="str">
        <f>"62610000"</f>
        <v>62610000</v>
      </c>
      <c r="C2314" t="str">
        <f t="shared" si="131"/>
        <v>TOURC626100000</v>
      </c>
      <c r="E2314">
        <v>629.91999999999996</v>
      </c>
      <c r="F2314">
        <v>0</v>
      </c>
      <c r="G2314">
        <f t="shared" si="132"/>
        <v>629.91999999999996</v>
      </c>
    </row>
    <row r="2315" spans="1:7">
      <c r="A2315" t="str">
        <f t="shared" si="130"/>
        <v>TOURC</v>
      </c>
      <c r="B2315" t="str">
        <f>"62752000"</f>
        <v>62752000</v>
      </c>
      <c r="C2315" t="str">
        <f t="shared" si="131"/>
        <v>TOURC627520000</v>
      </c>
      <c r="E2315">
        <v>135.69999999999999</v>
      </c>
      <c r="F2315">
        <v>0</v>
      </c>
      <c r="G2315">
        <f t="shared" si="132"/>
        <v>135.69999999999999</v>
      </c>
    </row>
    <row r="2316" spans="1:7">
      <c r="A2316" t="str">
        <f t="shared" si="130"/>
        <v>TOURC</v>
      </c>
      <c r="B2316" t="str">
        <f>"63330000"</f>
        <v>63330000</v>
      </c>
      <c r="C2316" t="str">
        <f t="shared" si="131"/>
        <v>TOURC633300000</v>
      </c>
      <c r="E2316">
        <v>425</v>
      </c>
      <c r="F2316">
        <v>0</v>
      </c>
      <c r="G2316">
        <f t="shared" si="132"/>
        <v>425</v>
      </c>
    </row>
    <row r="2317" spans="1:7">
      <c r="A2317" t="str">
        <f t="shared" si="130"/>
        <v>TOURC</v>
      </c>
      <c r="B2317" t="str">
        <f>"63340000"</f>
        <v>63340000</v>
      </c>
      <c r="C2317" t="str">
        <f t="shared" si="131"/>
        <v>TOURC633400000</v>
      </c>
      <c r="E2317">
        <v>234</v>
      </c>
      <c r="F2317">
        <v>0</v>
      </c>
      <c r="G2317">
        <f t="shared" si="132"/>
        <v>234</v>
      </c>
    </row>
    <row r="2318" spans="1:7">
      <c r="A2318" t="str">
        <f t="shared" si="130"/>
        <v>TOURC</v>
      </c>
      <c r="B2318" t="str">
        <f>"63350000"</f>
        <v>63350000</v>
      </c>
      <c r="C2318" t="str">
        <f t="shared" si="131"/>
        <v>TOURC633500000</v>
      </c>
      <c r="E2318">
        <v>354</v>
      </c>
      <c r="F2318">
        <v>0</v>
      </c>
      <c r="G2318">
        <f t="shared" si="132"/>
        <v>354</v>
      </c>
    </row>
    <row r="2319" spans="1:7">
      <c r="A2319" t="str">
        <f t="shared" si="130"/>
        <v>TOURC</v>
      </c>
      <c r="B2319" t="str">
        <f>"63511000"</f>
        <v>63511000</v>
      </c>
      <c r="C2319" t="str">
        <f t="shared" si="131"/>
        <v>TOURC635110000</v>
      </c>
      <c r="E2319">
        <v>7462</v>
      </c>
      <c r="F2319">
        <v>0</v>
      </c>
      <c r="G2319">
        <f t="shared" si="132"/>
        <v>7462</v>
      </c>
    </row>
    <row r="2320" spans="1:7">
      <c r="A2320" t="str">
        <f t="shared" si="130"/>
        <v>TOURC</v>
      </c>
      <c r="B2320" t="str">
        <f>"63512000"</f>
        <v>63512000</v>
      </c>
      <c r="C2320" t="str">
        <f t="shared" si="131"/>
        <v>TOURC635120000</v>
      </c>
      <c r="E2320">
        <v>8937</v>
      </c>
      <c r="F2320">
        <v>0</v>
      </c>
      <c r="G2320">
        <f t="shared" si="132"/>
        <v>8937</v>
      </c>
    </row>
    <row r="2321" spans="1:9">
      <c r="A2321" t="str">
        <f t="shared" si="130"/>
        <v>TOURC</v>
      </c>
      <c r="B2321" t="str">
        <f>"63710000"</f>
        <v>63710000</v>
      </c>
      <c r="C2321" t="str">
        <f t="shared" si="131"/>
        <v>TOURC637100000</v>
      </c>
      <c r="E2321">
        <v>724.34</v>
      </c>
      <c r="F2321">
        <v>0</v>
      </c>
      <c r="G2321">
        <f t="shared" si="132"/>
        <v>724.34</v>
      </c>
    </row>
    <row r="2322" spans="1:9">
      <c r="A2322" t="str">
        <f t="shared" si="130"/>
        <v>TOURC</v>
      </c>
      <c r="B2322" t="str">
        <f>"64110000"</f>
        <v>64110000</v>
      </c>
      <c r="C2322" t="str">
        <f t="shared" si="131"/>
        <v>TOURC641100000</v>
      </c>
      <c r="E2322">
        <v>72397.3</v>
      </c>
      <c r="F2322">
        <v>6228</v>
      </c>
      <c r="G2322">
        <f t="shared" si="132"/>
        <v>66169.3</v>
      </c>
    </row>
    <row r="2323" spans="1:9">
      <c r="A2323" t="str">
        <f t="shared" si="130"/>
        <v>TOURC</v>
      </c>
      <c r="B2323" t="str">
        <f>"64111000"</f>
        <v>64111000</v>
      </c>
      <c r="C2323" t="str">
        <f t="shared" si="131"/>
        <v>TOURC641110000</v>
      </c>
      <c r="E2323">
        <v>-225</v>
      </c>
      <c r="F2323">
        <v>0</v>
      </c>
      <c r="G2323">
        <f t="shared" si="132"/>
        <v>-225</v>
      </c>
    </row>
    <row r="2324" spans="1:9">
      <c r="A2324" t="str">
        <f t="shared" si="130"/>
        <v>TOURC</v>
      </c>
      <c r="B2324" t="str">
        <f>"64120000"</f>
        <v>64120000</v>
      </c>
      <c r="C2324" t="str">
        <f t="shared" si="131"/>
        <v>TOURC641200000</v>
      </c>
      <c r="E2324">
        <v>4163.46</v>
      </c>
      <c r="F2324">
        <v>4671.91</v>
      </c>
      <c r="G2324">
        <f t="shared" si="132"/>
        <v>-508.44999999999982</v>
      </c>
    </row>
    <row r="2325" spans="1:9">
      <c r="A2325" t="str">
        <f t="shared" si="130"/>
        <v>TOURC</v>
      </c>
      <c r="B2325" t="str">
        <f>"64121000"</f>
        <v>64121000</v>
      </c>
      <c r="C2325" t="str">
        <f t="shared" si="131"/>
        <v>TOURC641210000</v>
      </c>
      <c r="E2325">
        <v>1516.75</v>
      </c>
      <c r="F2325">
        <v>1542.66</v>
      </c>
      <c r="G2325">
        <f t="shared" si="132"/>
        <v>-25.910000000000082</v>
      </c>
    </row>
    <row r="2326" spans="1:9">
      <c r="A2326" t="str">
        <f t="shared" si="130"/>
        <v>TOURC</v>
      </c>
      <c r="B2326" t="str">
        <f>"64160000"</f>
        <v>64160000</v>
      </c>
      <c r="C2326" t="str">
        <f t="shared" si="131"/>
        <v>TOURC641600000</v>
      </c>
      <c r="E2326">
        <v>15200</v>
      </c>
      <c r="F2326">
        <v>0</v>
      </c>
      <c r="G2326">
        <f t="shared" si="132"/>
        <v>15200</v>
      </c>
    </row>
    <row r="2327" spans="1:9">
      <c r="A2327" t="str">
        <f t="shared" si="130"/>
        <v>TOURC</v>
      </c>
      <c r="B2327" t="str">
        <f>"64510000"</f>
        <v>64510000</v>
      </c>
      <c r="C2327" t="str">
        <f t="shared" si="131"/>
        <v>TOURC645100000</v>
      </c>
      <c r="E2327">
        <v>27036.53</v>
      </c>
      <c r="F2327">
        <v>2373.04</v>
      </c>
      <c r="G2327">
        <f t="shared" si="132"/>
        <v>24663.489999999998</v>
      </c>
    </row>
    <row r="2328" spans="1:9">
      <c r="A2328" t="str">
        <f t="shared" si="130"/>
        <v>TOURC</v>
      </c>
      <c r="B2328" t="str">
        <f>"64520000"</f>
        <v>64520000</v>
      </c>
      <c r="C2328" t="str">
        <f t="shared" si="131"/>
        <v>TOURC645200000</v>
      </c>
      <c r="E2328">
        <v>1722.69</v>
      </c>
      <c r="F2328">
        <v>0</v>
      </c>
      <c r="G2328">
        <f t="shared" si="132"/>
        <v>1722.69</v>
      </c>
    </row>
    <row r="2329" spans="1:9">
      <c r="A2329" t="str">
        <f t="shared" si="130"/>
        <v>TOURC</v>
      </c>
      <c r="B2329" t="str">
        <f>"64530000"</f>
        <v>64530000</v>
      </c>
      <c r="C2329" t="str">
        <f t="shared" si="131"/>
        <v>TOURC645300000</v>
      </c>
      <c r="E2329">
        <v>2967.92</v>
      </c>
      <c r="F2329">
        <v>0</v>
      </c>
      <c r="G2329">
        <f t="shared" si="132"/>
        <v>2967.92</v>
      </c>
    </row>
    <row r="2330" spans="1:9">
      <c r="A2330" t="str">
        <f t="shared" si="130"/>
        <v>TOURC</v>
      </c>
      <c r="B2330" t="str">
        <f>"64540000"</f>
        <v>64540000</v>
      </c>
      <c r="C2330" t="str">
        <f t="shared" si="131"/>
        <v>TOURC645400000</v>
      </c>
      <c r="E2330">
        <v>2214.17</v>
      </c>
      <c r="F2330">
        <v>0</v>
      </c>
      <c r="G2330">
        <f t="shared" si="132"/>
        <v>2214.17</v>
      </c>
    </row>
    <row r="2331" spans="1:9">
      <c r="A2331" t="str">
        <f>"TOURC"</f>
        <v>TOURC</v>
      </c>
      <c r="B2331" t="str">
        <f>"64590000"</f>
        <v>64590000</v>
      </c>
      <c r="C2331" t="str">
        <f t="shared" si="131"/>
        <v>TOURC645900000</v>
      </c>
      <c r="E2331">
        <v>-74.3</v>
      </c>
      <c r="F2331">
        <v>0</v>
      </c>
      <c r="G2331">
        <f t="shared" si="132"/>
        <v>-74.3</v>
      </c>
    </row>
    <row r="2332" spans="1:9">
      <c r="A2332" t="str">
        <f>"TOURC"</f>
        <v>TOURC</v>
      </c>
      <c r="B2332" t="str">
        <f>"64710000"</f>
        <v>64710000</v>
      </c>
      <c r="C2332" t="str">
        <f t="shared" si="131"/>
        <v>TOURC647100000</v>
      </c>
      <c r="E2332">
        <v>70.19</v>
      </c>
      <c r="F2332">
        <v>0</v>
      </c>
      <c r="G2332">
        <f t="shared" si="132"/>
        <v>70.19</v>
      </c>
    </row>
    <row r="2333" spans="1:9">
      <c r="A2333" t="str">
        <f>"TOURC"</f>
        <v>TOURC</v>
      </c>
      <c r="B2333" t="str">
        <f>"64740000"</f>
        <v>64740000</v>
      </c>
      <c r="C2333" t="str">
        <f t="shared" si="131"/>
        <v>TOURC647400000</v>
      </c>
      <c r="E2333">
        <v>65.5</v>
      </c>
      <c r="F2333">
        <v>0</v>
      </c>
      <c r="G2333">
        <f t="shared" si="132"/>
        <v>65.5</v>
      </c>
    </row>
    <row r="2334" spans="1:9">
      <c r="A2334" t="str">
        <f>"TOURC"</f>
        <v>TOURC</v>
      </c>
      <c r="B2334" t="str">
        <f>"64750000"</f>
        <v>64750000</v>
      </c>
      <c r="C2334" t="str">
        <f t="shared" si="131"/>
        <v>TOURC647500000</v>
      </c>
      <c r="E2334">
        <v>201.48</v>
      </c>
      <c r="F2334">
        <v>0</v>
      </c>
      <c r="G2334">
        <f t="shared" si="132"/>
        <v>201.48</v>
      </c>
    </row>
    <row r="2335" spans="1:9">
      <c r="A2335" t="s">
        <v>535</v>
      </c>
      <c r="B2335" t="str">
        <f>"64800000"</f>
        <v>64800000</v>
      </c>
      <c r="C2335" t="str">
        <f t="shared" si="131"/>
        <v>TOURC648000000</v>
      </c>
      <c r="E2335" s="19">
        <v>160.28271999999998</v>
      </c>
      <c r="F2335"/>
      <c r="G2335" s="19">
        <f t="shared" si="132"/>
        <v>160.28271999999998</v>
      </c>
      <c r="H2335" s="433">
        <v>160.28271999999998</v>
      </c>
      <c r="I2335" s="113" t="s">
        <v>535</v>
      </c>
    </row>
    <row r="2336" spans="1:9">
      <c r="A2336" t="str">
        <f t="shared" ref="A2336:A2346" si="133">"TOURC"</f>
        <v>TOURC</v>
      </c>
      <c r="B2336" t="str">
        <f>"65410000"</f>
        <v>65410000</v>
      </c>
      <c r="C2336" t="str">
        <f t="shared" si="131"/>
        <v>TOURC654100000</v>
      </c>
      <c r="E2336">
        <v>6.51</v>
      </c>
      <c r="F2336">
        <v>0</v>
      </c>
      <c r="G2336">
        <f t="shared" si="132"/>
        <v>6.51</v>
      </c>
    </row>
    <row r="2337" spans="1:7">
      <c r="A2337" t="str">
        <f t="shared" si="133"/>
        <v>TOURC</v>
      </c>
      <c r="B2337" t="str">
        <f>"65420000"</f>
        <v>65420000</v>
      </c>
      <c r="C2337" t="str">
        <f t="shared" si="131"/>
        <v>TOURC654200000</v>
      </c>
      <c r="E2337">
        <v>7.18</v>
      </c>
      <c r="F2337">
        <v>0</v>
      </c>
      <c r="G2337">
        <f t="shared" si="132"/>
        <v>7.18</v>
      </c>
    </row>
    <row r="2338" spans="1:7">
      <c r="A2338" t="str">
        <f t="shared" si="133"/>
        <v>TOURC</v>
      </c>
      <c r="B2338" t="str">
        <f>"65440000"</f>
        <v>65440000</v>
      </c>
      <c r="C2338" t="str">
        <f t="shared" si="131"/>
        <v>TOURC654400000</v>
      </c>
      <c r="E2338">
        <v>3502.62</v>
      </c>
      <c r="F2338">
        <v>0</v>
      </c>
      <c r="G2338">
        <f t="shared" si="132"/>
        <v>3502.62</v>
      </c>
    </row>
    <row r="2339" spans="1:7">
      <c r="A2339" t="str">
        <f t="shared" si="133"/>
        <v>TOURC</v>
      </c>
      <c r="B2339" t="str">
        <f>"65800000"</f>
        <v>65800000</v>
      </c>
      <c r="C2339" t="str">
        <f t="shared" si="131"/>
        <v>TOURC658000000</v>
      </c>
      <c r="E2339">
        <v>5840.37</v>
      </c>
      <c r="F2339">
        <v>0</v>
      </c>
      <c r="G2339">
        <f t="shared" si="132"/>
        <v>5840.37</v>
      </c>
    </row>
    <row r="2340" spans="1:7">
      <c r="A2340" t="str">
        <f t="shared" si="133"/>
        <v>TOURC</v>
      </c>
      <c r="B2340" t="str">
        <f>"66500000"</f>
        <v>66500000</v>
      </c>
      <c r="C2340" t="str">
        <f t="shared" si="131"/>
        <v>TOURC665000000</v>
      </c>
      <c r="E2340">
        <v>15.33</v>
      </c>
      <c r="F2340">
        <v>0</v>
      </c>
      <c r="G2340">
        <f t="shared" si="132"/>
        <v>15.33</v>
      </c>
    </row>
    <row r="2341" spans="1:7">
      <c r="A2341" t="str">
        <f t="shared" si="133"/>
        <v>TOURC</v>
      </c>
      <c r="B2341" t="str">
        <f>"66510000"</f>
        <v>66510000</v>
      </c>
      <c r="C2341" t="str">
        <f t="shared" si="131"/>
        <v>TOURC665100000</v>
      </c>
      <c r="E2341">
        <v>1241.3499999999999</v>
      </c>
      <c r="F2341">
        <v>44.17</v>
      </c>
      <c r="G2341">
        <f t="shared" si="132"/>
        <v>1197.1799999999998</v>
      </c>
    </row>
    <row r="2342" spans="1:7">
      <c r="A2342" t="str">
        <f t="shared" si="133"/>
        <v>TOURC</v>
      </c>
      <c r="B2342" t="str">
        <f>"67180000"</f>
        <v>67180000</v>
      </c>
      <c r="C2342" t="str">
        <f t="shared" si="131"/>
        <v>TOURC671800000</v>
      </c>
      <c r="E2342">
        <v>0</v>
      </c>
      <c r="F2342">
        <v>0</v>
      </c>
      <c r="G2342">
        <f t="shared" si="132"/>
        <v>0</v>
      </c>
    </row>
    <row r="2343" spans="1:7">
      <c r="A2343" t="str">
        <f t="shared" si="133"/>
        <v>TOURC</v>
      </c>
      <c r="B2343" t="str">
        <f>"68112000"</f>
        <v>68112000</v>
      </c>
      <c r="C2343" t="str">
        <f t="shared" si="131"/>
        <v>TOURC681120000</v>
      </c>
      <c r="E2343">
        <v>9775.59</v>
      </c>
      <c r="F2343">
        <v>0</v>
      </c>
      <c r="G2343">
        <f t="shared" si="132"/>
        <v>9775.59</v>
      </c>
    </row>
    <row r="2344" spans="1:7">
      <c r="A2344" t="str">
        <f t="shared" si="133"/>
        <v>TOURC</v>
      </c>
      <c r="B2344" t="str">
        <f>"68173000"</f>
        <v>68173000</v>
      </c>
      <c r="C2344" t="str">
        <f t="shared" si="131"/>
        <v>TOURC681730000</v>
      </c>
      <c r="E2344">
        <v>11579.19</v>
      </c>
      <c r="F2344">
        <v>0</v>
      </c>
      <c r="G2344">
        <f t="shared" si="132"/>
        <v>11579.19</v>
      </c>
    </row>
    <row r="2345" spans="1:7">
      <c r="A2345" t="str">
        <f t="shared" si="133"/>
        <v>TOURC</v>
      </c>
      <c r="B2345" t="str">
        <f>"68174000"</f>
        <v>68174000</v>
      </c>
      <c r="C2345" t="str">
        <f t="shared" si="131"/>
        <v>TOURC681740000</v>
      </c>
      <c r="E2345">
        <v>5503.87</v>
      </c>
      <c r="F2345">
        <v>0</v>
      </c>
      <c r="G2345">
        <f t="shared" si="132"/>
        <v>5503.87</v>
      </c>
    </row>
    <row r="2346" spans="1:7">
      <c r="A2346" t="str">
        <f t="shared" si="133"/>
        <v>TOURC</v>
      </c>
      <c r="B2346" t="str">
        <f>"68725000"</f>
        <v>68725000</v>
      </c>
      <c r="C2346" t="str">
        <f t="shared" si="131"/>
        <v>TOURC687250000</v>
      </c>
      <c r="E2346">
        <v>1321.53</v>
      </c>
      <c r="F2346">
        <v>0</v>
      </c>
      <c r="G2346">
        <f t="shared" si="132"/>
        <v>1321.53</v>
      </c>
    </row>
    <row r="2347" spans="1:7">
      <c r="A2347" t="str">
        <f t="shared" ref="A2347:A2410" si="134">"VAN"</f>
        <v>VAN</v>
      </c>
      <c r="B2347" t="str">
        <f>"60610000"</f>
        <v>60610000</v>
      </c>
      <c r="C2347" t="str">
        <f t="shared" si="131"/>
        <v>VAN606100000</v>
      </c>
      <c r="E2347">
        <v>3055.11</v>
      </c>
      <c r="F2347">
        <v>0</v>
      </c>
      <c r="G2347">
        <f t="shared" si="132"/>
        <v>3055.11</v>
      </c>
    </row>
    <row r="2348" spans="1:7">
      <c r="A2348" t="str">
        <f t="shared" si="134"/>
        <v>VAN</v>
      </c>
      <c r="B2348" t="str">
        <f>"60611000"</f>
        <v>60611000</v>
      </c>
      <c r="C2348" t="str">
        <f t="shared" si="131"/>
        <v>VAN606110000</v>
      </c>
      <c r="E2348">
        <v>24.18</v>
      </c>
      <c r="F2348">
        <v>0</v>
      </c>
      <c r="G2348">
        <f t="shared" si="132"/>
        <v>24.18</v>
      </c>
    </row>
    <row r="2349" spans="1:7">
      <c r="A2349" t="str">
        <f t="shared" si="134"/>
        <v>VAN</v>
      </c>
      <c r="B2349" t="str">
        <f>"60613000"</f>
        <v>60613000</v>
      </c>
      <c r="C2349" t="str">
        <f t="shared" si="131"/>
        <v>VAN606130000</v>
      </c>
      <c r="E2349">
        <v>2261.56</v>
      </c>
      <c r="F2349">
        <v>0</v>
      </c>
      <c r="G2349">
        <f t="shared" si="132"/>
        <v>2261.56</v>
      </c>
    </row>
    <row r="2350" spans="1:7">
      <c r="A2350" t="str">
        <f t="shared" si="134"/>
        <v>VAN</v>
      </c>
      <c r="B2350" t="str">
        <f>"60641000"</f>
        <v>60641000</v>
      </c>
      <c r="C2350" t="str">
        <f t="shared" si="131"/>
        <v>VAN606410000</v>
      </c>
      <c r="E2350">
        <v>2763.57</v>
      </c>
      <c r="F2350">
        <v>0</v>
      </c>
      <c r="G2350">
        <f t="shared" si="132"/>
        <v>2763.57</v>
      </c>
    </row>
    <row r="2351" spans="1:7">
      <c r="A2351" t="str">
        <f t="shared" si="134"/>
        <v>VAN</v>
      </c>
      <c r="B2351" t="str">
        <f>"60710000"</f>
        <v>60710000</v>
      </c>
      <c r="C2351" t="str">
        <f t="shared" si="131"/>
        <v>VAN607100000</v>
      </c>
      <c r="E2351">
        <v>247832.65</v>
      </c>
      <c r="F2351">
        <v>367.26</v>
      </c>
      <c r="G2351">
        <f t="shared" si="132"/>
        <v>247465.38999999998</v>
      </c>
    </row>
    <row r="2352" spans="1:7">
      <c r="A2352" t="str">
        <f t="shared" si="134"/>
        <v>VAN</v>
      </c>
      <c r="B2352" t="str">
        <f>"60711000"</f>
        <v>60711000</v>
      </c>
      <c r="C2352" t="str">
        <f t="shared" si="131"/>
        <v>VAN607110000</v>
      </c>
      <c r="E2352">
        <v>18806.18</v>
      </c>
      <c r="F2352">
        <v>0</v>
      </c>
      <c r="G2352">
        <f t="shared" si="132"/>
        <v>18806.18</v>
      </c>
    </row>
    <row r="2353" spans="1:11">
      <c r="A2353" t="str">
        <f t="shared" si="134"/>
        <v>VAN</v>
      </c>
      <c r="B2353" t="str">
        <f>"60712000"</f>
        <v>60712000</v>
      </c>
      <c r="C2353" t="str">
        <f t="shared" si="131"/>
        <v>VAN607120000</v>
      </c>
      <c r="E2353">
        <v>-1783.2</v>
      </c>
      <c r="F2353">
        <v>0</v>
      </c>
      <c r="G2353">
        <f t="shared" si="132"/>
        <v>-1783.2</v>
      </c>
    </row>
    <row r="2354" spans="1:11">
      <c r="A2354" t="str">
        <f t="shared" si="134"/>
        <v>VAN</v>
      </c>
      <c r="B2354" t="str">
        <f>"60713000"</f>
        <v>60713000</v>
      </c>
      <c r="C2354" t="str">
        <f t="shared" si="131"/>
        <v>VAN607130000</v>
      </c>
      <c r="E2354">
        <v>46349</v>
      </c>
      <c r="F2354">
        <v>0</v>
      </c>
      <c r="G2354">
        <f t="shared" si="132"/>
        <v>46349</v>
      </c>
    </row>
    <row r="2355" spans="1:11">
      <c r="A2355" t="str">
        <f t="shared" si="134"/>
        <v>VAN</v>
      </c>
      <c r="B2355" t="str">
        <f>"60714000"</f>
        <v>60714000</v>
      </c>
      <c r="C2355" t="str">
        <f t="shared" si="131"/>
        <v>VAN607140000</v>
      </c>
      <c r="E2355">
        <v>-88423</v>
      </c>
      <c r="F2355">
        <v>0</v>
      </c>
      <c r="G2355">
        <f t="shared" si="132"/>
        <v>-88423</v>
      </c>
    </row>
    <row r="2356" spans="1:11">
      <c r="A2356" t="str">
        <f t="shared" si="134"/>
        <v>VAN</v>
      </c>
      <c r="B2356" t="str">
        <f>"60720000"</f>
        <v>60720000</v>
      </c>
      <c r="C2356" t="str">
        <f t="shared" si="131"/>
        <v>VAN607200000</v>
      </c>
      <c r="E2356">
        <v>249833.79</v>
      </c>
      <c r="F2356">
        <v>0</v>
      </c>
      <c r="G2356">
        <f t="shared" si="132"/>
        <v>249833.79</v>
      </c>
    </row>
    <row r="2357" spans="1:11">
      <c r="A2357" t="str">
        <f t="shared" si="134"/>
        <v>VAN</v>
      </c>
      <c r="B2357" t="str">
        <f>"60740000"</f>
        <v>60740000</v>
      </c>
      <c r="C2357" t="str">
        <f t="shared" si="131"/>
        <v>VAN607400000</v>
      </c>
      <c r="E2357">
        <v>5086.62</v>
      </c>
      <c r="F2357">
        <v>26</v>
      </c>
      <c r="G2357">
        <f t="shared" si="132"/>
        <v>5060.62</v>
      </c>
    </row>
    <row r="2358" spans="1:11">
      <c r="A2358" t="str">
        <f t="shared" si="134"/>
        <v>VAN</v>
      </c>
      <c r="B2358" t="str">
        <f>"60800000"</f>
        <v>60800000</v>
      </c>
      <c r="C2358" t="str">
        <f t="shared" si="131"/>
        <v>VAN608000000</v>
      </c>
      <c r="E2358">
        <v>5686.32</v>
      </c>
      <c r="F2358">
        <v>0</v>
      </c>
      <c r="G2358">
        <f t="shared" si="132"/>
        <v>5686.32</v>
      </c>
    </row>
    <row r="2359" spans="1:11">
      <c r="A2359" t="str">
        <f t="shared" si="134"/>
        <v>VAN</v>
      </c>
      <c r="B2359" t="str">
        <f>"60911000"</f>
        <v>60911000</v>
      </c>
      <c r="C2359" t="str">
        <f t="shared" si="131"/>
        <v>VAN609110000</v>
      </c>
      <c r="E2359">
        <v>-7703.36</v>
      </c>
      <c r="F2359">
        <v>0</v>
      </c>
      <c r="G2359">
        <f t="shared" si="132"/>
        <v>-7703.36</v>
      </c>
    </row>
    <row r="2360" spans="1:11">
      <c r="A2360" t="str">
        <f t="shared" si="134"/>
        <v>VAN</v>
      </c>
      <c r="B2360" t="str">
        <f>"60912000"</f>
        <v>60912000</v>
      </c>
      <c r="C2360" t="str">
        <f t="shared" si="131"/>
        <v>VAN609120000</v>
      </c>
      <c r="E2360">
        <v>-16533.439999999999</v>
      </c>
      <c r="F2360">
        <v>0</v>
      </c>
      <c r="G2360">
        <f t="shared" si="132"/>
        <v>-16533.439999999999</v>
      </c>
    </row>
    <row r="2361" spans="1:11">
      <c r="A2361" t="str">
        <f t="shared" si="134"/>
        <v>VAN</v>
      </c>
      <c r="B2361" t="str">
        <f>"60913000"</f>
        <v>60913000</v>
      </c>
      <c r="C2361" t="str">
        <f t="shared" si="131"/>
        <v>VAN609130000</v>
      </c>
      <c r="E2361">
        <v>-9447.68</v>
      </c>
      <c r="F2361">
        <v>0</v>
      </c>
      <c r="G2361">
        <f t="shared" si="132"/>
        <v>-9447.68</v>
      </c>
    </row>
    <row r="2362" spans="1:11">
      <c r="A2362" t="str">
        <f t="shared" si="134"/>
        <v>VAN</v>
      </c>
      <c r="B2362" t="str">
        <f>"61320000"</f>
        <v>61320000</v>
      </c>
      <c r="C2362" t="str">
        <f t="shared" si="131"/>
        <v>VAN613200000</v>
      </c>
      <c r="E2362">
        <v>28080.84</v>
      </c>
      <c r="F2362">
        <v>0</v>
      </c>
      <c r="G2362">
        <f t="shared" si="132"/>
        <v>28080.84</v>
      </c>
    </row>
    <row r="2363" spans="1:11">
      <c r="A2363" t="str">
        <f t="shared" si="134"/>
        <v>VAN</v>
      </c>
      <c r="B2363" t="str">
        <f>"61352000"</f>
        <v>61352000</v>
      </c>
      <c r="C2363" t="str">
        <f t="shared" si="131"/>
        <v>VAN613520000</v>
      </c>
      <c r="E2363">
        <v>3968.02</v>
      </c>
      <c r="F2363">
        <v>0</v>
      </c>
      <c r="G2363">
        <f t="shared" si="132"/>
        <v>3968.02</v>
      </c>
    </row>
    <row r="2364" spans="1:11">
      <c r="A2364" t="str">
        <f t="shared" si="134"/>
        <v>VAN</v>
      </c>
      <c r="B2364" t="str">
        <f>"61353000"</f>
        <v>61353000</v>
      </c>
      <c r="C2364" t="str">
        <f t="shared" si="131"/>
        <v>VAN613530000</v>
      </c>
      <c r="E2364">
        <v>180</v>
      </c>
      <c r="F2364">
        <v>0</v>
      </c>
      <c r="G2364">
        <f t="shared" si="132"/>
        <v>180</v>
      </c>
    </row>
    <row r="2365" spans="1:11">
      <c r="A2365" t="str">
        <f t="shared" si="134"/>
        <v>VAN</v>
      </c>
      <c r="B2365" t="str">
        <f>"61354000"</f>
        <v>61354000</v>
      </c>
      <c r="C2365" t="str">
        <f t="shared" si="131"/>
        <v>VAN613540000</v>
      </c>
      <c r="E2365">
        <v>372</v>
      </c>
      <c r="F2365">
        <v>0</v>
      </c>
      <c r="G2365">
        <f t="shared" si="132"/>
        <v>372</v>
      </c>
    </row>
    <row r="2366" spans="1:11">
      <c r="A2366" t="str">
        <f t="shared" si="134"/>
        <v>VAN</v>
      </c>
      <c r="B2366" t="str">
        <f>"61520000"</f>
        <v>61520000</v>
      </c>
      <c r="C2366" t="str">
        <f t="shared" si="131"/>
        <v>VAN615200000</v>
      </c>
      <c r="E2366">
        <v>718.09</v>
      </c>
      <c r="F2366">
        <v>0</v>
      </c>
      <c r="G2366">
        <f t="shared" si="132"/>
        <v>718.09</v>
      </c>
    </row>
    <row r="2367" spans="1:11">
      <c r="A2367" t="str">
        <f t="shared" si="134"/>
        <v>VAN</v>
      </c>
      <c r="B2367" t="str">
        <f>"61550000"</f>
        <v>61550000</v>
      </c>
      <c r="C2367" t="str">
        <f t="shared" si="131"/>
        <v>VAN615500000</v>
      </c>
      <c r="E2367">
        <v>0</v>
      </c>
      <c r="F2367">
        <v>-571.59</v>
      </c>
      <c r="G2367">
        <f t="shared" si="132"/>
        <v>571.59</v>
      </c>
    </row>
    <row r="2368" spans="1:11">
      <c r="A2368" t="str">
        <f t="shared" si="134"/>
        <v>VAN</v>
      </c>
      <c r="B2368" t="str">
        <f>"61551000"</f>
        <v>61551000</v>
      </c>
      <c r="C2368" t="str">
        <f t="shared" si="131"/>
        <v>VAN615510000</v>
      </c>
      <c r="E2368">
        <v>667.48</v>
      </c>
      <c r="F2368">
        <v>0</v>
      </c>
      <c r="G2368">
        <f t="shared" si="132"/>
        <v>667.48</v>
      </c>
      <c r="K2368" s="26"/>
    </row>
    <row r="2369" spans="1:7">
      <c r="A2369" t="str">
        <f t="shared" si="134"/>
        <v>VAN</v>
      </c>
      <c r="B2369" t="str">
        <f>"61552000"</f>
        <v>61552000</v>
      </c>
      <c r="C2369" t="str">
        <f t="shared" si="131"/>
        <v>VAN615520000</v>
      </c>
      <c r="E2369">
        <v>1739.78</v>
      </c>
      <c r="F2369">
        <v>0</v>
      </c>
      <c r="G2369">
        <f t="shared" si="132"/>
        <v>1739.78</v>
      </c>
    </row>
    <row r="2370" spans="1:7">
      <c r="A2370" t="str">
        <f t="shared" si="134"/>
        <v>VAN</v>
      </c>
      <c r="B2370" t="str">
        <f>"61612000"</f>
        <v>61612000</v>
      </c>
      <c r="C2370" t="str">
        <f t="shared" si="131"/>
        <v>VAN616120000</v>
      </c>
      <c r="E2370">
        <v>760.33</v>
      </c>
      <c r="F2370">
        <v>0</v>
      </c>
      <c r="G2370">
        <f t="shared" si="132"/>
        <v>760.33</v>
      </c>
    </row>
    <row r="2371" spans="1:7">
      <c r="A2371" t="str">
        <f t="shared" si="134"/>
        <v>VAN</v>
      </c>
      <c r="B2371" t="str">
        <f>"61613000"</f>
        <v>61613000</v>
      </c>
      <c r="C2371" t="str">
        <f t="shared" ref="C2371:C2434" si="135">+A2371&amp;B2371*10</f>
        <v>VAN616130000</v>
      </c>
      <c r="E2371">
        <v>2560.1</v>
      </c>
      <c r="F2371">
        <v>0</v>
      </c>
      <c r="G2371">
        <f t="shared" ref="G2371:G2434" si="136">+E2371-F2371</f>
        <v>2560.1</v>
      </c>
    </row>
    <row r="2372" spans="1:7">
      <c r="A2372" t="str">
        <f t="shared" si="134"/>
        <v>VAN</v>
      </c>
      <c r="B2372" t="str">
        <f>"61810000"</f>
        <v>61810000</v>
      </c>
      <c r="C2372" t="str">
        <f t="shared" si="135"/>
        <v>VAN618100000</v>
      </c>
      <c r="E2372">
        <v>281.45999999999998</v>
      </c>
      <c r="F2372">
        <v>0</v>
      </c>
      <c r="G2372">
        <f t="shared" si="136"/>
        <v>281.45999999999998</v>
      </c>
    </row>
    <row r="2373" spans="1:7">
      <c r="A2373" t="str">
        <f t="shared" si="134"/>
        <v>VAN</v>
      </c>
      <c r="B2373" t="str">
        <f>"61850000"</f>
        <v>61850000</v>
      </c>
      <c r="C2373" t="str">
        <f t="shared" si="135"/>
        <v>VAN618500000</v>
      </c>
      <c r="E2373">
        <v>1100.73</v>
      </c>
      <c r="F2373">
        <v>0</v>
      </c>
      <c r="G2373">
        <f t="shared" si="136"/>
        <v>1100.73</v>
      </c>
    </row>
    <row r="2374" spans="1:7">
      <c r="A2374" t="str">
        <f t="shared" si="134"/>
        <v>VAN</v>
      </c>
      <c r="B2374" t="str">
        <f>"62270000"</f>
        <v>62270000</v>
      </c>
      <c r="C2374" t="str">
        <f t="shared" si="135"/>
        <v>VAN622700000</v>
      </c>
      <c r="E2374">
        <v>253.69</v>
      </c>
      <c r="F2374">
        <v>0</v>
      </c>
      <c r="G2374">
        <f t="shared" si="136"/>
        <v>253.69</v>
      </c>
    </row>
    <row r="2375" spans="1:7">
      <c r="A2375" t="str">
        <f t="shared" si="134"/>
        <v>VAN</v>
      </c>
      <c r="B2375" t="str">
        <f>"62310000"</f>
        <v>62310000</v>
      </c>
      <c r="C2375" t="str">
        <f t="shared" si="135"/>
        <v>VAN623100000</v>
      </c>
      <c r="E2375">
        <v>774.3</v>
      </c>
      <c r="F2375">
        <v>0</v>
      </c>
      <c r="G2375">
        <f t="shared" si="136"/>
        <v>774.3</v>
      </c>
    </row>
    <row r="2376" spans="1:7">
      <c r="A2376" t="str">
        <f t="shared" si="134"/>
        <v>VAN</v>
      </c>
      <c r="B2376" t="str">
        <f>"62320000"</f>
        <v>62320000</v>
      </c>
      <c r="C2376" t="str">
        <f t="shared" si="135"/>
        <v>VAN623200000</v>
      </c>
      <c r="E2376">
        <v>7815.32</v>
      </c>
      <c r="F2376">
        <v>0</v>
      </c>
      <c r="G2376">
        <f t="shared" si="136"/>
        <v>7815.32</v>
      </c>
    </row>
    <row r="2377" spans="1:7">
      <c r="A2377" t="str">
        <f t="shared" si="134"/>
        <v>VAN</v>
      </c>
      <c r="B2377" t="str">
        <f>"62341000"</f>
        <v>62341000</v>
      </c>
      <c r="C2377" t="str">
        <f t="shared" si="135"/>
        <v>VAN623410000</v>
      </c>
      <c r="E2377">
        <v>15758.76</v>
      </c>
      <c r="F2377">
        <v>0</v>
      </c>
      <c r="G2377">
        <f t="shared" si="136"/>
        <v>15758.76</v>
      </c>
    </row>
    <row r="2378" spans="1:7">
      <c r="A2378" t="str">
        <f t="shared" si="134"/>
        <v>VAN</v>
      </c>
      <c r="B2378" t="str">
        <f>"62342000"</f>
        <v>62342000</v>
      </c>
      <c r="C2378" t="str">
        <f t="shared" si="135"/>
        <v>VAN623420000</v>
      </c>
      <c r="E2378">
        <v>-185.4</v>
      </c>
      <c r="F2378">
        <v>0</v>
      </c>
      <c r="G2378">
        <f t="shared" si="136"/>
        <v>-185.4</v>
      </c>
    </row>
    <row r="2379" spans="1:7">
      <c r="A2379" t="str">
        <f t="shared" si="134"/>
        <v>VAN</v>
      </c>
      <c r="B2379" t="str">
        <f>"62370000"</f>
        <v>62370000</v>
      </c>
      <c r="C2379" t="str">
        <f t="shared" si="135"/>
        <v>VAN623700000</v>
      </c>
      <c r="E2379">
        <v>1182.29</v>
      </c>
      <c r="F2379">
        <v>-221.9</v>
      </c>
      <c r="G2379">
        <f t="shared" si="136"/>
        <v>1404.19</v>
      </c>
    </row>
    <row r="2380" spans="1:7">
      <c r="A2380" t="str">
        <f t="shared" si="134"/>
        <v>VAN</v>
      </c>
      <c r="B2380" t="str">
        <f>"62380000"</f>
        <v>62380000</v>
      </c>
      <c r="C2380" t="str">
        <f t="shared" si="135"/>
        <v>VAN623800000</v>
      </c>
      <c r="E2380">
        <v>30</v>
      </c>
      <c r="F2380">
        <v>0</v>
      </c>
      <c r="G2380">
        <f t="shared" si="136"/>
        <v>30</v>
      </c>
    </row>
    <row r="2381" spans="1:7">
      <c r="A2381" t="str">
        <f t="shared" si="134"/>
        <v>VAN</v>
      </c>
      <c r="B2381" t="str">
        <f>"62381000"</f>
        <v>62381000</v>
      </c>
      <c r="C2381" t="str">
        <f t="shared" si="135"/>
        <v>VAN623810000</v>
      </c>
      <c r="E2381">
        <v>0</v>
      </c>
      <c r="F2381">
        <v>0</v>
      </c>
      <c r="G2381">
        <f t="shared" si="136"/>
        <v>0</v>
      </c>
    </row>
    <row r="2382" spans="1:7">
      <c r="A2382" t="str">
        <f t="shared" si="134"/>
        <v>VAN</v>
      </c>
      <c r="B2382" t="str">
        <f>"62420000"</f>
        <v>62420000</v>
      </c>
      <c r="C2382" t="str">
        <f t="shared" si="135"/>
        <v>VAN624200000</v>
      </c>
      <c r="E2382">
        <v>23705.99</v>
      </c>
      <c r="F2382">
        <v>0</v>
      </c>
      <c r="G2382">
        <f t="shared" si="136"/>
        <v>23705.99</v>
      </c>
    </row>
    <row r="2383" spans="1:7">
      <c r="A2383" t="str">
        <f t="shared" si="134"/>
        <v>VAN</v>
      </c>
      <c r="B2383" t="str">
        <f>"62510000"</f>
        <v>62510000</v>
      </c>
      <c r="C2383" t="str">
        <f t="shared" si="135"/>
        <v>VAN625100000</v>
      </c>
      <c r="E2383">
        <v>25785.41</v>
      </c>
      <c r="F2383">
        <v>9832.7099999999991</v>
      </c>
      <c r="G2383">
        <f t="shared" si="136"/>
        <v>15952.7</v>
      </c>
    </row>
    <row r="2384" spans="1:7">
      <c r="A2384" t="str">
        <f t="shared" si="134"/>
        <v>VAN</v>
      </c>
      <c r="B2384" t="str">
        <f>"62520000"</f>
        <v>62520000</v>
      </c>
      <c r="C2384" t="str">
        <f t="shared" si="135"/>
        <v>VAN625200000</v>
      </c>
      <c r="E2384">
        <v>492.57</v>
      </c>
      <c r="F2384">
        <v>0</v>
      </c>
      <c r="G2384">
        <f t="shared" si="136"/>
        <v>492.57</v>
      </c>
    </row>
    <row r="2385" spans="1:7">
      <c r="A2385" t="str">
        <f t="shared" si="134"/>
        <v>VAN</v>
      </c>
      <c r="B2385" t="str">
        <f>"62560000"</f>
        <v>62560000</v>
      </c>
      <c r="C2385" t="str">
        <f t="shared" si="135"/>
        <v>VAN625600000</v>
      </c>
      <c r="E2385">
        <v>3295.23</v>
      </c>
      <c r="F2385">
        <v>0</v>
      </c>
      <c r="G2385">
        <f t="shared" si="136"/>
        <v>3295.23</v>
      </c>
    </row>
    <row r="2386" spans="1:7">
      <c r="A2386" t="str">
        <f t="shared" si="134"/>
        <v>VAN</v>
      </c>
      <c r="B2386" t="str">
        <f>"62570000"</f>
        <v>62570000</v>
      </c>
      <c r="C2386" t="str">
        <f t="shared" si="135"/>
        <v>VAN625700000</v>
      </c>
      <c r="E2386">
        <v>2660.05</v>
      </c>
      <c r="F2386">
        <v>0</v>
      </c>
      <c r="G2386">
        <f t="shared" si="136"/>
        <v>2660.05</v>
      </c>
    </row>
    <row r="2387" spans="1:7">
      <c r="A2387" t="str">
        <f t="shared" si="134"/>
        <v>VAN</v>
      </c>
      <c r="B2387" t="str">
        <f>"62571000"</f>
        <v>62571000</v>
      </c>
      <c r="C2387" t="str">
        <f t="shared" si="135"/>
        <v>VAN625710000</v>
      </c>
      <c r="E2387">
        <v>10081.370000000001</v>
      </c>
      <c r="F2387">
        <v>0</v>
      </c>
      <c r="G2387">
        <f t="shared" si="136"/>
        <v>10081.370000000001</v>
      </c>
    </row>
    <row r="2388" spans="1:7">
      <c r="A2388" t="str">
        <f t="shared" si="134"/>
        <v>VAN</v>
      </c>
      <c r="B2388" t="str">
        <f>"62600000"</f>
        <v>62600000</v>
      </c>
      <c r="C2388" t="str">
        <f t="shared" si="135"/>
        <v>VAN626000000</v>
      </c>
      <c r="E2388">
        <v>3181.85</v>
      </c>
      <c r="F2388">
        <v>0</v>
      </c>
      <c r="G2388">
        <f t="shared" si="136"/>
        <v>3181.85</v>
      </c>
    </row>
    <row r="2389" spans="1:7">
      <c r="A2389" t="str">
        <f t="shared" si="134"/>
        <v>VAN</v>
      </c>
      <c r="B2389" t="str">
        <f>"62610000"</f>
        <v>62610000</v>
      </c>
      <c r="C2389" t="str">
        <f t="shared" si="135"/>
        <v>VAN626100000</v>
      </c>
      <c r="E2389">
        <v>566.24</v>
      </c>
      <c r="F2389">
        <v>0</v>
      </c>
      <c r="G2389">
        <f t="shared" si="136"/>
        <v>566.24</v>
      </c>
    </row>
    <row r="2390" spans="1:7">
      <c r="A2390" t="str">
        <f t="shared" si="134"/>
        <v>VAN</v>
      </c>
      <c r="B2390" t="str">
        <f>"62752000"</f>
        <v>62752000</v>
      </c>
      <c r="C2390" t="str">
        <f t="shared" si="135"/>
        <v>VAN627520000</v>
      </c>
      <c r="E2390">
        <v>157.69999999999999</v>
      </c>
      <c r="F2390">
        <v>0</v>
      </c>
      <c r="G2390">
        <f t="shared" si="136"/>
        <v>157.69999999999999</v>
      </c>
    </row>
    <row r="2391" spans="1:7">
      <c r="A2391" t="str">
        <f t="shared" si="134"/>
        <v>VAN</v>
      </c>
      <c r="B2391" t="str">
        <f>"63330000"</f>
        <v>63330000</v>
      </c>
      <c r="C2391" t="str">
        <f t="shared" si="135"/>
        <v>VAN633300000</v>
      </c>
      <c r="E2391">
        <v>990</v>
      </c>
      <c r="F2391">
        <v>0</v>
      </c>
      <c r="G2391">
        <f t="shared" si="136"/>
        <v>990</v>
      </c>
    </row>
    <row r="2392" spans="1:7">
      <c r="A2392" t="str">
        <f t="shared" si="134"/>
        <v>VAN</v>
      </c>
      <c r="B2392" t="str">
        <f>"63340000"</f>
        <v>63340000</v>
      </c>
      <c r="C2392" t="str">
        <f t="shared" si="135"/>
        <v>VAN633400000</v>
      </c>
      <c r="E2392">
        <v>546</v>
      </c>
      <c r="F2392">
        <v>0</v>
      </c>
      <c r="G2392">
        <f t="shared" si="136"/>
        <v>546</v>
      </c>
    </row>
    <row r="2393" spans="1:7">
      <c r="A2393" t="str">
        <f t="shared" si="134"/>
        <v>VAN</v>
      </c>
      <c r="B2393" t="str">
        <f>"63350000"</f>
        <v>63350000</v>
      </c>
      <c r="C2393" t="str">
        <f t="shared" si="135"/>
        <v>VAN633500000</v>
      </c>
      <c r="E2393">
        <v>824</v>
      </c>
      <c r="F2393">
        <v>0</v>
      </c>
      <c r="G2393">
        <f t="shared" si="136"/>
        <v>824</v>
      </c>
    </row>
    <row r="2394" spans="1:7">
      <c r="A2394" t="str">
        <f t="shared" si="134"/>
        <v>VAN</v>
      </c>
      <c r="B2394" t="str">
        <f>"63511000"</f>
        <v>63511000</v>
      </c>
      <c r="C2394" t="str">
        <f t="shared" si="135"/>
        <v>VAN635110000</v>
      </c>
      <c r="E2394">
        <v>4848</v>
      </c>
      <c r="F2394">
        <v>0</v>
      </c>
      <c r="G2394">
        <f t="shared" si="136"/>
        <v>4848</v>
      </c>
    </row>
    <row r="2395" spans="1:7">
      <c r="A2395" t="str">
        <f t="shared" si="134"/>
        <v>VAN</v>
      </c>
      <c r="B2395" t="str">
        <f>"63512000"</f>
        <v>63512000</v>
      </c>
      <c r="C2395" t="str">
        <f t="shared" si="135"/>
        <v>VAN635120000</v>
      </c>
      <c r="E2395">
        <v>3842</v>
      </c>
      <c r="F2395">
        <v>0</v>
      </c>
      <c r="G2395">
        <f t="shared" si="136"/>
        <v>3842</v>
      </c>
    </row>
    <row r="2396" spans="1:7">
      <c r="A2396" t="str">
        <f t="shared" si="134"/>
        <v>VAN</v>
      </c>
      <c r="B2396" t="str">
        <f>"63530000"</f>
        <v>63530000</v>
      </c>
      <c r="C2396" t="str">
        <f t="shared" si="135"/>
        <v>VAN635300000</v>
      </c>
      <c r="E2396">
        <v>0</v>
      </c>
      <c r="F2396">
        <v>0</v>
      </c>
      <c r="G2396">
        <f t="shared" si="136"/>
        <v>0</v>
      </c>
    </row>
    <row r="2397" spans="1:7">
      <c r="A2397" t="str">
        <f t="shared" si="134"/>
        <v>VAN</v>
      </c>
      <c r="B2397" t="str">
        <f>"63710000"</f>
        <v>63710000</v>
      </c>
      <c r="C2397" t="str">
        <f t="shared" si="135"/>
        <v>VAN637100000</v>
      </c>
      <c r="E2397">
        <v>1385.24</v>
      </c>
      <c r="F2397">
        <v>0</v>
      </c>
      <c r="G2397">
        <f t="shared" si="136"/>
        <v>1385.24</v>
      </c>
    </row>
    <row r="2398" spans="1:7">
      <c r="A2398" t="str">
        <f t="shared" si="134"/>
        <v>VAN</v>
      </c>
      <c r="B2398" t="str">
        <f>"64110000"</f>
        <v>64110000</v>
      </c>
      <c r="C2398" t="str">
        <f t="shared" si="135"/>
        <v>VAN641100000</v>
      </c>
      <c r="E2398">
        <v>127811</v>
      </c>
      <c r="F2398">
        <v>18068.400000000001</v>
      </c>
      <c r="G2398">
        <f t="shared" si="136"/>
        <v>109742.6</v>
      </c>
    </row>
    <row r="2399" spans="1:7">
      <c r="A2399" t="str">
        <f t="shared" si="134"/>
        <v>VAN</v>
      </c>
      <c r="B2399" t="str">
        <f>"64111000"</f>
        <v>64111000</v>
      </c>
      <c r="C2399" t="str">
        <f t="shared" si="135"/>
        <v>VAN641110000</v>
      </c>
      <c r="E2399">
        <v>1440</v>
      </c>
      <c r="F2399">
        <v>0</v>
      </c>
      <c r="G2399">
        <f t="shared" si="136"/>
        <v>1440</v>
      </c>
    </row>
    <row r="2400" spans="1:7">
      <c r="A2400" t="str">
        <f t="shared" si="134"/>
        <v>VAN</v>
      </c>
      <c r="B2400" t="str">
        <f>"64120000"</f>
        <v>64120000</v>
      </c>
      <c r="C2400" t="str">
        <f t="shared" si="135"/>
        <v>VAN641200000</v>
      </c>
      <c r="E2400">
        <v>9918.2199999999993</v>
      </c>
      <c r="F2400">
        <v>12949.92</v>
      </c>
      <c r="G2400">
        <f t="shared" si="136"/>
        <v>-3031.7000000000007</v>
      </c>
    </row>
    <row r="2401" spans="1:9">
      <c r="A2401" t="str">
        <f t="shared" si="134"/>
        <v>VAN</v>
      </c>
      <c r="B2401" t="str">
        <f>"64121000"</f>
        <v>64121000</v>
      </c>
      <c r="C2401" t="str">
        <f t="shared" si="135"/>
        <v>VAN641210000</v>
      </c>
      <c r="E2401">
        <v>3982.17</v>
      </c>
      <c r="F2401">
        <v>5113.92</v>
      </c>
      <c r="G2401">
        <f t="shared" si="136"/>
        <v>-1131.75</v>
      </c>
    </row>
    <row r="2402" spans="1:9">
      <c r="A2402" t="str">
        <f t="shared" si="134"/>
        <v>VAN</v>
      </c>
      <c r="B2402" t="str">
        <f>"64510000"</f>
        <v>64510000</v>
      </c>
      <c r="C2402" t="str">
        <f t="shared" si="135"/>
        <v>VAN645100000</v>
      </c>
      <c r="E2402">
        <v>32864.239999999998</v>
      </c>
      <c r="F2402">
        <v>7121</v>
      </c>
      <c r="G2402">
        <f t="shared" si="136"/>
        <v>25743.239999999998</v>
      </c>
    </row>
    <row r="2403" spans="1:9">
      <c r="A2403" t="str">
        <f t="shared" si="134"/>
        <v>VAN</v>
      </c>
      <c r="B2403" t="str">
        <f>"64520000"</f>
        <v>64520000</v>
      </c>
      <c r="C2403" t="str">
        <f t="shared" si="135"/>
        <v>VAN645200000</v>
      </c>
      <c r="E2403">
        <v>3747.63</v>
      </c>
      <c r="F2403">
        <v>0</v>
      </c>
      <c r="G2403">
        <f t="shared" si="136"/>
        <v>3747.63</v>
      </c>
    </row>
    <row r="2404" spans="1:9">
      <c r="A2404" t="str">
        <f t="shared" si="134"/>
        <v>VAN</v>
      </c>
      <c r="B2404" t="str">
        <f>"64530000"</f>
        <v>64530000</v>
      </c>
      <c r="C2404" t="str">
        <f t="shared" si="135"/>
        <v>VAN645300000</v>
      </c>
      <c r="E2404">
        <v>8874.81</v>
      </c>
      <c r="F2404">
        <v>0</v>
      </c>
      <c r="G2404">
        <f t="shared" si="136"/>
        <v>8874.81</v>
      </c>
    </row>
    <row r="2405" spans="1:9">
      <c r="A2405" t="str">
        <f t="shared" si="134"/>
        <v>VAN</v>
      </c>
      <c r="B2405" t="str">
        <f>"64531000"</f>
        <v>64531000</v>
      </c>
      <c r="C2405" t="str">
        <f t="shared" si="135"/>
        <v>VAN645310000</v>
      </c>
      <c r="E2405">
        <v>978.36</v>
      </c>
      <c r="F2405">
        <v>0</v>
      </c>
      <c r="G2405">
        <f t="shared" si="136"/>
        <v>978.36</v>
      </c>
    </row>
    <row r="2406" spans="1:9">
      <c r="A2406" t="str">
        <f t="shared" si="134"/>
        <v>VAN</v>
      </c>
      <c r="B2406" t="str">
        <f>"64540000"</f>
        <v>64540000</v>
      </c>
      <c r="C2406" t="str">
        <f t="shared" si="135"/>
        <v>VAN645400000</v>
      </c>
      <c r="E2406">
        <v>5153.5</v>
      </c>
      <c r="F2406">
        <v>0</v>
      </c>
      <c r="G2406">
        <f t="shared" si="136"/>
        <v>5153.5</v>
      </c>
    </row>
    <row r="2407" spans="1:9">
      <c r="A2407" t="str">
        <f t="shared" si="134"/>
        <v>VAN</v>
      </c>
      <c r="B2407" t="str">
        <f>"64590000"</f>
        <v>64590000</v>
      </c>
      <c r="C2407" t="str">
        <f t="shared" si="135"/>
        <v>VAN645900000</v>
      </c>
      <c r="E2407">
        <v>578.55999999999995</v>
      </c>
      <c r="F2407">
        <v>0</v>
      </c>
      <c r="G2407">
        <f t="shared" si="136"/>
        <v>578.55999999999995</v>
      </c>
    </row>
    <row r="2408" spans="1:9">
      <c r="A2408" t="str">
        <f t="shared" si="134"/>
        <v>VAN</v>
      </c>
      <c r="B2408" t="str">
        <f>"64710000"</f>
        <v>64710000</v>
      </c>
      <c r="C2408" t="str">
        <f t="shared" si="135"/>
        <v>VAN647100000</v>
      </c>
      <c r="E2408">
        <v>39.6</v>
      </c>
      <c r="F2408">
        <v>0</v>
      </c>
      <c r="G2408">
        <f t="shared" si="136"/>
        <v>39.6</v>
      </c>
    </row>
    <row r="2409" spans="1:9">
      <c r="A2409" t="str">
        <f t="shared" si="134"/>
        <v>VAN</v>
      </c>
      <c r="B2409" t="str">
        <f>"64740000"</f>
        <v>64740000</v>
      </c>
      <c r="C2409" t="str">
        <f t="shared" si="135"/>
        <v>VAN647400000</v>
      </c>
      <c r="E2409">
        <v>460</v>
      </c>
      <c r="F2409">
        <v>0</v>
      </c>
      <c r="G2409">
        <f t="shared" si="136"/>
        <v>460</v>
      </c>
    </row>
    <row r="2410" spans="1:9">
      <c r="A2410" t="str">
        <f t="shared" si="134"/>
        <v>VAN</v>
      </c>
      <c r="B2410" t="str">
        <f>"64750000"</f>
        <v>64750000</v>
      </c>
      <c r="C2410" t="str">
        <f t="shared" si="135"/>
        <v>VAN647500000</v>
      </c>
      <c r="E2410">
        <v>479.96</v>
      </c>
      <c r="F2410">
        <v>0</v>
      </c>
      <c r="G2410">
        <f t="shared" si="136"/>
        <v>479.96</v>
      </c>
    </row>
    <row r="2411" spans="1:9">
      <c r="A2411" t="str">
        <f t="shared" ref="A2411:A2420" si="137">"VAN"</f>
        <v>VAN</v>
      </c>
      <c r="B2411" t="str">
        <f>"64800000"</f>
        <v>64800000</v>
      </c>
      <c r="C2411" t="str">
        <f t="shared" si="135"/>
        <v>VAN648000000</v>
      </c>
      <c r="E2411" s="19">
        <v>11190.984479999999</v>
      </c>
      <c r="F2411">
        <v>763.4</v>
      </c>
      <c r="G2411" s="19">
        <f t="shared" si="136"/>
        <v>10427.58448</v>
      </c>
      <c r="H2411" s="433">
        <v>9454.4444800000001</v>
      </c>
      <c r="I2411" s="113" t="s">
        <v>536</v>
      </c>
    </row>
    <row r="2412" spans="1:9">
      <c r="A2412" t="str">
        <f t="shared" si="137"/>
        <v>VAN</v>
      </c>
      <c r="B2412" t="str">
        <f>"65160000"</f>
        <v>65160000</v>
      </c>
      <c r="C2412" t="str">
        <f t="shared" si="135"/>
        <v>VAN651600000</v>
      </c>
      <c r="E2412">
        <v>113.17</v>
      </c>
      <c r="F2412">
        <v>0</v>
      </c>
      <c r="G2412">
        <f t="shared" si="136"/>
        <v>113.17</v>
      </c>
    </row>
    <row r="2413" spans="1:9">
      <c r="A2413" t="str">
        <f t="shared" si="137"/>
        <v>VAN</v>
      </c>
      <c r="B2413" t="str">
        <f>"65410000"</f>
        <v>65410000</v>
      </c>
      <c r="C2413" t="str">
        <f t="shared" si="135"/>
        <v>VAN654100000</v>
      </c>
      <c r="E2413">
        <v>-10.69</v>
      </c>
      <c r="F2413">
        <v>0.36</v>
      </c>
      <c r="G2413">
        <f t="shared" si="136"/>
        <v>-11.049999999999999</v>
      </c>
    </row>
    <row r="2414" spans="1:9">
      <c r="A2414" t="str">
        <f t="shared" si="137"/>
        <v>VAN</v>
      </c>
      <c r="B2414" t="str">
        <f>"65420000"</f>
        <v>65420000</v>
      </c>
      <c r="C2414" t="str">
        <f t="shared" si="135"/>
        <v>VAN654200000</v>
      </c>
      <c r="E2414">
        <v>17.920000000000002</v>
      </c>
      <c r="F2414">
        <v>0</v>
      </c>
      <c r="G2414">
        <f t="shared" si="136"/>
        <v>17.920000000000002</v>
      </c>
    </row>
    <row r="2415" spans="1:9">
      <c r="A2415" t="str">
        <f t="shared" si="137"/>
        <v>VAN</v>
      </c>
      <c r="B2415" t="str">
        <f>"65440000"</f>
        <v>65440000</v>
      </c>
      <c r="C2415" t="str">
        <f t="shared" si="135"/>
        <v>VAN654400000</v>
      </c>
      <c r="E2415">
        <v>3816.45</v>
      </c>
      <c r="F2415">
        <v>0</v>
      </c>
      <c r="G2415">
        <f t="shared" si="136"/>
        <v>3816.45</v>
      </c>
    </row>
    <row r="2416" spans="1:9">
      <c r="A2416" t="str">
        <f t="shared" si="137"/>
        <v>VAN</v>
      </c>
      <c r="B2416" t="str">
        <f>"66500000"</f>
        <v>66500000</v>
      </c>
      <c r="C2416" t="str">
        <f t="shared" si="135"/>
        <v>VAN665000000</v>
      </c>
      <c r="E2416">
        <v>61.37</v>
      </c>
      <c r="F2416">
        <v>0</v>
      </c>
      <c r="G2416">
        <f t="shared" si="136"/>
        <v>61.37</v>
      </c>
    </row>
    <row r="2417" spans="1:12">
      <c r="A2417" t="str">
        <f t="shared" si="137"/>
        <v>VAN</v>
      </c>
      <c r="B2417" t="str">
        <f>"68112000"</f>
        <v>68112000</v>
      </c>
      <c r="C2417" t="str">
        <f t="shared" si="135"/>
        <v>VAN681120000</v>
      </c>
      <c r="E2417">
        <v>6148.58</v>
      </c>
      <c r="F2417">
        <v>0</v>
      </c>
      <c r="G2417">
        <f t="shared" si="136"/>
        <v>6148.58</v>
      </c>
    </row>
    <row r="2418" spans="1:12">
      <c r="A2418" t="str">
        <f t="shared" si="137"/>
        <v>VAN</v>
      </c>
      <c r="B2418" t="str">
        <f>"68173000"</f>
        <v>68173000</v>
      </c>
      <c r="C2418" t="str">
        <f t="shared" si="135"/>
        <v>VAN681730000</v>
      </c>
      <c r="E2418">
        <v>7032.88</v>
      </c>
      <c r="F2418">
        <v>0</v>
      </c>
      <c r="G2418">
        <f t="shared" si="136"/>
        <v>7032.88</v>
      </c>
    </row>
    <row r="2419" spans="1:12">
      <c r="A2419" t="str">
        <f t="shared" si="137"/>
        <v>VAN</v>
      </c>
      <c r="B2419" t="str">
        <f>"68174000"</f>
        <v>68174000</v>
      </c>
      <c r="C2419" t="str">
        <f t="shared" si="135"/>
        <v>VAN681740000</v>
      </c>
      <c r="E2419">
        <v>0</v>
      </c>
      <c r="F2419">
        <v>0</v>
      </c>
      <c r="G2419">
        <f t="shared" si="136"/>
        <v>0</v>
      </c>
    </row>
    <row r="2420" spans="1:12">
      <c r="A2420" t="str">
        <f t="shared" si="137"/>
        <v>VAN</v>
      </c>
      <c r="B2420" t="str">
        <f>"68725000"</f>
        <v>68725000</v>
      </c>
      <c r="C2420" t="str">
        <f t="shared" si="135"/>
        <v>VAN687250000</v>
      </c>
      <c r="E2420">
        <v>17.46</v>
      </c>
      <c r="F2420">
        <v>0</v>
      </c>
      <c r="G2420">
        <f t="shared" si="136"/>
        <v>17.46</v>
      </c>
      <c r="H2420">
        <f>SUM(G34:G2420)</f>
        <v>27025178.515600048</v>
      </c>
      <c r="I2420" s="26">
        <f>+[1]Conso!F223</f>
        <v>27019531.205599997</v>
      </c>
      <c r="J2420" s="26">
        <f>+H2420-I2420</f>
        <v>5647.310000050813</v>
      </c>
      <c r="K2420">
        <f>SUM(G267:G269)</f>
        <v>3394</v>
      </c>
      <c r="L2420" s="353" t="s">
        <v>562</v>
      </c>
    </row>
    <row r="2421" spans="1:12">
      <c r="A2421" t="str">
        <f t="shared" ref="A2421:A2435" si="138">"AMI"</f>
        <v>AMI</v>
      </c>
      <c r="B2421" t="str">
        <f>"70600000"</f>
        <v>70600000</v>
      </c>
      <c r="C2421" t="str">
        <f t="shared" si="135"/>
        <v>AMI706000000</v>
      </c>
      <c r="E2421">
        <v>0</v>
      </c>
      <c r="F2421">
        <v>292.64</v>
      </c>
      <c r="G2421">
        <f t="shared" si="136"/>
        <v>-292.64</v>
      </c>
      <c r="K2421">
        <f>SUM(G492:G494)</f>
        <v>2253.31</v>
      </c>
      <c r="L2421" s="353" t="s">
        <v>477</v>
      </c>
    </row>
    <row r="2422" spans="1:12">
      <c r="A2422" t="str">
        <f t="shared" si="138"/>
        <v>AMI</v>
      </c>
      <c r="B2422" t="str">
        <f>"70610000"</f>
        <v>70610000</v>
      </c>
      <c r="C2422" t="str">
        <f t="shared" si="135"/>
        <v>AMI706100000</v>
      </c>
      <c r="E2422">
        <v>0</v>
      </c>
      <c r="F2422">
        <v>22777.360000000001</v>
      </c>
      <c r="G2422">
        <f t="shared" si="136"/>
        <v>-22777.360000000001</v>
      </c>
    </row>
    <row r="2423" spans="1:12">
      <c r="A2423" t="str">
        <f t="shared" si="138"/>
        <v>AMI</v>
      </c>
      <c r="B2423" t="str">
        <f>"70713000"</f>
        <v>70713000</v>
      </c>
      <c r="C2423" t="str">
        <f t="shared" si="135"/>
        <v>AMI707130000</v>
      </c>
      <c r="E2423">
        <v>42503.14</v>
      </c>
      <c r="F2423">
        <v>376698.56</v>
      </c>
      <c r="G2423">
        <f t="shared" si="136"/>
        <v>-334195.42</v>
      </c>
    </row>
    <row r="2424" spans="1:12">
      <c r="A2424" t="str">
        <f t="shared" si="138"/>
        <v>AMI</v>
      </c>
      <c r="B2424" t="str">
        <f>"70713100"</f>
        <v>70713100</v>
      </c>
      <c r="C2424" t="str">
        <f t="shared" si="135"/>
        <v>AMI707131000</v>
      </c>
      <c r="E2424">
        <v>0</v>
      </c>
      <c r="F2424">
        <v>60349.599999999999</v>
      </c>
      <c r="G2424">
        <f t="shared" si="136"/>
        <v>-60349.599999999999</v>
      </c>
      <c r="K2424" s="26">
        <f>+J2420-SUM(K2420:K2423)</f>
        <v>5.0813468988053501E-8</v>
      </c>
    </row>
    <row r="2425" spans="1:12">
      <c r="A2425" t="str">
        <f t="shared" si="138"/>
        <v>AMI</v>
      </c>
      <c r="B2425" t="str">
        <f>"70850000"</f>
        <v>70850000</v>
      </c>
      <c r="C2425" t="str">
        <f t="shared" si="135"/>
        <v>AMI708500000</v>
      </c>
      <c r="E2425">
        <v>0</v>
      </c>
      <c r="F2425">
        <v>1419</v>
      </c>
      <c r="G2425">
        <f t="shared" si="136"/>
        <v>-1419</v>
      </c>
    </row>
    <row r="2426" spans="1:12">
      <c r="A2426" t="str">
        <f t="shared" si="138"/>
        <v>AMI</v>
      </c>
      <c r="B2426" t="str">
        <f>"70882000"</f>
        <v>70882000</v>
      </c>
      <c r="C2426" t="str">
        <f t="shared" si="135"/>
        <v>AMI708820000</v>
      </c>
      <c r="E2426">
        <v>0</v>
      </c>
      <c r="F2426">
        <v>248.7</v>
      </c>
      <c r="G2426">
        <f t="shared" si="136"/>
        <v>-248.7</v>
      </c>
    </row>
    <row r="2427" spans="1:12">
      <c r="A2427" t="str">
        <f t="shared" si="138"/>
        <v>AMI</v>
      </c>
      <c r="B2427" t="str">
        <f>"70970000"</f>
        <v>70970000</v>
      </c>
      <c r="C2427" t="str">
        <f t="shared" si="135"/>
        <v>AMI709700000</v>
      </c>
      <c r="E2427">
        <v>3387.12</v>
      </c>
      <c r="F2427">
        <v>0</v>
      </c>
      <c r="G2427">
        <f t="shared" si="136"/>
        <v>3387.12</v>
      </c>
    </row>
    <row r="2428" spans="1:12">
      <c r="A2428" t="str">
        <f t="shared" si="138"/>
        <v>AMI</v>
      </c>
      <c r="B2428" t="str">
        <f>"74000000"</f>
        <v>74000000</v>
      </c>
      <c r="C2428" t="str">
        <f t="shared" si="135"/>
        <v>AMI740000000</v>
      </c>
      <c r="E2428">
        <v>0</v>
      </c>
      <c r="F2428">
        <v>3400</v>
      </c>
      <c r="G2428">
        <f t="shared" si="136"/>
        <v>-3400</v>
      </c>
    </row>
    <row r="2429" spans="1:12">
      <c r="A2429" t="str">
        <f t="shared" si="138"/>
        <v>AMI</v>
      </c>
      <c r="B2429" t="str">
        <f>"75810000"</f>
        <v>75810000</v>
      </c>
      <c r="C2429" t="str">
        <f t="shared" si="135"/>
        <v>AMI758100000</v>
      </c>
      <c r="E2429">
        <v>0</v>
      </c>
      <c r="F2429">
        <v>5629.71</v>
      </c>
      <c r="G2429">
        <f t="shared" si="136"/>
        <v>-5629.71</v>
      </c>
    </row>
    <row r="2430" spans="1:12">
      <c r="A2430" t="str">
        <f t="shared" si="138"/>
        <v>AMI</v>
      </c>
      <c r="B2430" t="str">
        <f>"76300000"</f>
        <v>76300000</v>
      </c>
      <c r="C2430" t="str">
        <f t="shared" si="135"/>
        <v>AMI763000000</v>
      </c>
      <c r="E2430">
        <v>45</v>
      </c>
      <c r="F2430">
        <v>72</v>
      </c>
      <c r="G2430">
        <f t="shared" si="136"/>
        <v>-27</v>
      </c>
    </row>
    <row r="2431" spans="1:12">
      <c r="A2431" t="str">
        <f t="shared" si="138"/>
        <v>AMI</v>
      </c>
      <c r="B2431" t="str">
        <f>"77180000"</f>
        <v>77180000</v>
      </c>
      <c r="C2431" t="str">
        <f t="shared" si="135"/>
        <v>AMI771800000</v>
      </c>
      <c r="E2431">
        <v>0</v>
      </c>
      <c r="F2431">
        <v>3961.8</v>
      </c>
      <c r="G2431">
        <f t="shared" si="136"/>
        <v>-3961.8</v>
      </c>
    </row>
    <row r="2432" spans="1:12">
      <c r="A2432" t="str">
        <f t="shared" si="138"/>
        <v>AMI</v>
      </c>
      <c r="B2432" t="str">
        <f>"78173000"</f>
        <v>78173000</v>
      </c>
      <c r="C2432" t="str">
        <f t="shared" si="135"/>
        <v>AMI781730000</v>
      </c>
      <c r="E2432">
        <v>0</v>
      </c>
      <c r="F2432">
        <v>8594.0300000000007</v>
      </c>
      <c r="G2432">
        <f t="shared" si="136"/>
        <v>-8594.0300000000007</v>
      </c>
    </row>
    <row r="2433" spans="1:7">
      <c r="A2433" t="str">
        <f t="shared" si="138"/>
        <v>AMI</v>
      </c>
      <c r="B2433" t="str">
        <f>"78174000"</f>
        <v>78174000</v>
      </c>
      <c r="C2433" t="str">
        <f t="shared" si="135"/>
        <v>AMI781740000</v>
      </c>
      <c r="E2433">
        <v>0</v>
      </c>
      <c r="F2433">
        <v>9031.74</v>
      </c>
      <c r="G2433">
        <f t="shared" si="136"/>
        <v>-9031.74</v>
      </c>
    </row>
    <row r="2434" spans="1:7">
      <c r="A2434" t="str">
        <f t="shared" si="138"/>
        <v>AMI</v>
      </c>
      <c r="B2434" t="str">
        <f>"78725000"</f>
        <v>78725000</v>
      </c>
      <c r="C2434" t="str">
        <f t="shared" si="135"/>
        <v>AMI787250000</v>
      </c>
      <c r="E2434">
        <v>0</v>
      </c>
      <c r="F2434">
        <v>684.2</v>
      </c>
      <c r="G2434">
        <f t="shared" si="136"/>
        <v>-684.2</v>
      </c>
    </row>
    <row r="2435" spans="1:7">
      <c r="A2435" t="str">
        <f t="shared" si="138"/>
        <v>AMI</v>
      </c>
      <c r="B2435" t="str">
        <f>"79110000"</f>
        <v>79110000</v>
      </c>
      <c r="C2435" t="str">
        <f t="shared" ref="C2435:C2498" si="139">+A2435&amp;B2435*10</f>
        <v>AMI791100000</v>
      </c>
      <c r="E2435">
        <v>0</v>
      </c>
      <c r="F2435">
        <v>2392.38</v>
      </c>
      <c r="G2435">
        <f t="shared" ref="G2435:G2498" si="140">+E2435-F2435</f>
        <v>-2392.38</v>
      </c>
    </row>
    <row r="2436" spans="1:7">
      <c r="A2436" t="str">
        <f t="shared" ref="A2436:A2450" si="141">"ANG"</f>
        <v>ANG</v>
      </c>
      <c r="B2436" t="str">
        <f>"70600000"</f>
        <v>70600000</v>
      </c>
      <c r="C2436" t="str">
        <f t="shared" si="139"/>
        <v>ANG706000000</v>
      </c>
      <c r="E2436">
        <v>0</v>
      </c>
      <c r="F2436">
        <v>0</v>
      </c>
      <c r="G2436">
        <f t="shared" si="140"/>
        <v>0</v>
      </c>
    </row>
    <row r="2437" spans="1:7">
      <c r="A2437" t="str">
        <f t="shared" si="141"/>
        <v>ANG</v>
      </c>
      <c r="B2437" t="str">
        <f>"70711000"</f>
        <v>70711000</v>
      </c>
      <c r="C2437" t="str">
        <f t="shared" si="139"/>
        <v>ANG707110000</v>
      </c>
      <c r="E2437">
        <v>334.81</v>
      </c>
      <c r="F2437">
        <v>1006.89</v>
      </c>
      <c r="G2437">
        <f t="shared" si="140"/>
        <v>-672.07999999999993</v>
      </c>
    </row>
    <row r="2438" spans="1:7">
      <c r="A2438" t="str">
        <f t="shared" si="141"/>
        <v>ANG</v>
      </c>
      <c r="B2438" t="str">
        <f>"70713000"</f>
        <v>70713000</v>
      </c>
      <c r="C2438" t="str">
        <f t="shared" si="139"/>
        <v>ANG707130000</v>
      </c>
      <c r="E2438">
        <v>49549.599999999999</v>
      </c>
      <c r="F2438">
        <v>1001412.56</v>
      </c>
      <c r="G2438">
        <f t="shared" si="140"/>
        <v>-951862.96000000008</v>
      </c>
    </row>
    <row r="2439" spans="1:7">
      <c r="A2439" t="str">
        <f t="shared" si="141"/>
        <v>ANG</v>
      </c>
      <c r="B2439" t="str">
        <f>"70713100"</f>
        <v>70713100</v>
      </c>
      <c r="C2439" t="str">
        <f t="shared" si="139"/>
        <v>ANG707131000</v>
      </c>
      <c r="E2439">
        <v>0</v>
      </c>
      <c r="F2439">
        <v>265656.78999999998</v>
      </c>
      <c r="G2439">
        <f t="shared" si="140"/>
        <v>-265656.78999999998</v>
      </c>
    </row>
    <row r="2440" spans="1:7">
      <c r="A2440" t="str">
        <f t="shared" si="141"/>
        <v>ANG</v>
      </c>
      <c r="B2440" t="str">
        <f>"70850000"</f>
        <v>70850000</v>
      </c>
      <c r="C2440" t="str">
        <f t="shared" si="139"/>
        <v>ANG708500000</v>
      </c>
      <c r="E2440">
        <v>0</v>
      </c>
      <c r="F2440">
        <v>1416</v>
      </c>
      <c r="G2440">
        <f t="shared" si="140"/>
        <v>-1416</v>
      </c>
    </row>
    <row r="2441" spans="1:7">
      <c r="A2441" t="str">
        <f t="shared" si="141"/>
        <v>ANG</v>
      </c>
      <c r="B2441" t="str">
        <f>"70882000"</f>
        <v>70882000</v>
      </c>
      <c r="C2441" t="str">
        <f t="shared" si="139"/>
        <v>ANG708820000</v>
      </c>
      <c r="E2441">
        <v>50</v>
      </c>
      <c r="F2441">
        <v>636.33000000000004</v>
      </c>
      <c r="G2441">
        <f t="shared" si="140"/>
        <v>-586.33000000000004</v>
      </c>
    </row>
    <row r="2442" spans="1:7">
      <c r="A2442" t="str">
        <f t="shared" si="141"/>
        <v>ANG</v>
      </c>
      <c r="B2442" t="str">
        <f>"70970000"</f>
        <v>70970000</v>
      </c>
      <c r="C2442" t="str">
        <f t="shared" si="139"/>
        <v>ANG709700000</v>
      </c>
      <c r="E2442">
        <v>11316.46</v>
      </c>
      <c r="F2442">
        <v>-569.4</v>
      </c>
      <c r="G2442">
        <f t="shared" si="140"/>
        <v>11885.859999999999</v>
      </c>
    </row>
    <row r="2443" spans="1:7">
      <c r="A2443" t="str">
        <f t="shared" si="141"/>
        <v>ANG</v>
      </c>
      <c r="B2443" t="str">
        <f>"72200000"</f>
        <v>72200000</v>
      </c>
      <c r="C2443" t="str">
        <f t="shared" si="139"/>
        <v>ANG722000000</v>
      </c>
      <c r="E2443">
        <v>0</v>
      </c>
      <c r="F2443">
        <v>0</v>
      </c>
      <c r="G2443">
        <f t="shared" si="140"/>
        <v>0</v>
      </c>
    </row>
    <row r="2444" spans="1:7">
      <c r="A2444" t="str">
        <f t="shared" si="141"/>
        <v>ANG</v>
      </c>
      <c r="B2444" t="str">
        <f>"75800000"</f>
        <v>75800000</v>
      </c>
      <c r="C2444" t="str">
        <f t="shared" si="139"/>
        <v>ANG758000000</v>
      </c>
      <c r="E2444">
        <v>0</v>
      </c>
      <c r="F2444">
        <v>1730.59</v>
      </c>
      <c r="G2444">
        <f t="shared" si="140"/>
        <v>-1730.59</v>
      </c>
    </row>
    <row r="2445" spans="1:7">
      <c r="A2445" t="str">
        <f t="shared" si="141"/>
        <v>ANG</v>
      </c>
      <c r="B2445" t="str">
        <f>"75810000"</f>
        <v>75810000</v>
      </c>
      <c r="C2445" t="str">
        <f t="shared" si="139"/>
        <v>ANG758100000</v>
      </c>
      <c r="E2445">
        <v>0</v>
      </c>
      <c r="F2445">
        <v>319.57</v>
      </c>
      <c r="G2445">
        <f t="shared" si="140"/>
        <v>-319.57</v>
      </c>
    </row>
    <row r="2446" spans="1:7">
      <c r="A2446" t="str">
        <f t="shared" si="141"/>
        <v>ANG</v>
      </c>
      <c r="B2446" t="str">
        <f>"76300000"</f>
        <v>76300000</v>
      </c>
      <c r="C2446" t="str">
        <f t="shared" si="139"/>
        <v>ANG763000000</v>
      </c>
      <c r="E2446">
        <v>54</v>
      </c>
      <c r="F2446">
        <v>63</v>
      </c>
      <c r="G2446">
        <f t="shared" si="140"/>
        <v>-9</v>
      </c>
    </row>
    <row r="2447" spans="1:7">
      <c r="A2447" t="str">
        <f t="shared" si="141"/>
        <v>ANG</v>
      </c>
      <c r="B2447" t="str">
        <f>"77180000"</f>
        <v>77180000</v>
      </c>
      <c r="C2447" t="str">
        <f t="shared" si="139"/>
        <v>ANG771800000</v>
      </c>
      <c r="E2447">
        <v>0</v>
      </c>
      <c r="F2447">
        <v>141</v>
      </c>
      <c r="G2447">
        <f t="shared" si="140"/>
        <v>-141</v>
      </c>
    </row>
    <row r="2448" spans="1:7">
      <c r="A2448" t="str">
        <f t="shared" si="141"/>
        <v>ANG</v>
      </c>
      <c r="B2448" t="str">
        <f>"78173000"</f>
        <v>78173000</v>
      </c>
      <c r="C2448" t="str">
        <f t="shared" si="139"/>
        <v>ANG781730000</v>
      </c>
      <c r="E2448">
        <v>0</v>
      </c>
      <c r="F2448">
        <v>9253.44</v>
      </c>
      <c r="G2448">
        <f t="shared" si="140"/>
        <v>-9253.44</v>
      </c>
    </row>
    <row r="2449" spans="1:7">
      <c r="A2449" t="str">
        <f t="shared" si="141"/>
        <v>ANG</v>
      </c>
      <c r="B2449" t="str">
        <f>"78174000"</f>
        <v>78174000</v>
      </c>
      <c r="C2449" t="str">
        <f t="shared" si="139"/>
        <v>ANG781740000</v>
      </c>
      <c r="E2449">
        <v>0</v>
      </c>
      <c r="F2449">
        <v>105.89</v>
      </c>
      <c r="G2449">
        <f t="shared" si="140"/>
        <v>-105.89</v>
      </c>
    </row>
    <row r="2450" spans="1:7">
      <c r="A2450" t="str">
        <f t="shared" si="141"/>
        <v>ANG</v>
      </c>
      <c r="B2450" t="str">
        <f>"78725000"</f>
        <v>78725000</v>
      </c>
      <c r="C2450" t="str">
        <f t="shared" si="139"/>
        <v>ANG787250000</v>
      </c>
      <c r="E2450">
        <v>0</v>
      </c>
      <c r="F2450">
        <v>421.84</v>
      </c>
      <c r="G2450">
        <f t="shared" si="140"/>
        <v>-421.84</v>
      </c>
    </row>
    <row r="2451" spans="1:7">
      <c r="A2451" t="str">
        <f t="shared" ref="A2451:A2461" si="142">"BET"</f>
        <v>BET</v>
      </c>
      <c r="B2451" t="str">
        <f>"70600000"</f>
        <v>70600000</v>
      </c>
      <c r="C2451" t="str">
        <f t="shared" si="139"/>
        <v>BET706000000</v>
      </c>
      <c r="E2451">
        <v>0</v>
      </c>
      <c r="F2451">
        <v>0</v>
      </c>
      <c r="G2451">
        <f t="shared" si="140"/>
        <v>0</v>
      </c>
    </row>
    <row r="2452" spans="1:7">
      <c r="A2452" t="str">
        <f t="shared" si="142"/>
        <v>BET</v>
      </c>
      <c r="B2452" t="str">
        <f>"70713000"</f>
        <v>70713000</v>
      </c>
      <c r="C2452" t="str">
        <f t="shared" si="139"/>
        <v>BET707130000</v>
      </c>
      <c r="E2452">
        <v>7241.96</v>
      </c>
      <c r="F2452">
        <v>244862.25</v>
      </c>
      <c r="G2452">
        <f t="shared" si="140"/>
        <v>-237620.29</v>
      </c>
    </row>
    <row r="2453" spans="1:7">
      <c r="A2453" t="str">
        <f t="shared" si="142"/>
        <v>BET</v>
      </c>
      <c r="B2453" t="str">
        <f>"70713100"</f>
        <v>70713100</v>
      </c>
      <c r="C2453" t="str">
        <f t="shared" si="139"/>
        <v>BET707131000</v>
      </c>
      <c r="E2453">
        <v>0</v>
      </c>
      <c r="F2453">
        <v>68375.98</v>
      </c>
      <c r="G2453">
        <f t="shared" si="140"/>
        <v>-68375.98</v>
      </c>
    </row>
    <row r="2454" spans="1:7">
      <c r="A2454" t="str">
        <f t="shared" si="142"/>
        <v>BET</v>
      </c>
      <c r="B2454" t="str">
        <f>"70850000"</f>
        <v>70850000</v>
      </c>
      <c r="C2454" t="str">
        <f t="shared" si="139"/>
        <v>BET708500000</v>
      </c>
      <c r="E2454">
        <v>0</v>
      </c>
      <c r="F2454">
        <v>870</v>
      </c>
      <c r="G2454">
        <f t="shared" si="140"/>
        <v>-870</v>
      </c>
    </row>
    <row r="2455" spans="1:7">
      <c r="A2455" t="str">
        <f t="shared" si="142"/>
        <v>BET</v>
      </c>
      <c r="B2455" t="str">
        <f>"70970000"</f>
        <v>70970000</v>
      </c>
      <c r="C2455" t="str">
        <f t="shared" si="139"/>
        <v>BET709700000</v>
      </c>
      <c r="E2455">
        <v>167.22</v>
      </c>
      <c r="F2455">
        <v>0</v>
      </c>
      <c r="G2455">
        <f t="shared" si="140"/>
        <v>167.22</v>
      </c>
    </row>
    <row r="2456" spans="1:7">
      <c r="A2456" t="str">
        <f t="shared" si="142"/>
        <v>BET</v>
      </c>
      <c r="B2456" t="str">
        <f>"75810000"</f>
        <v>75810000</v>
      </c>
      <c r="C2456" t="str">
        <f t="shared" si="139"/>
        <v>BET758100000</v>
      </c>
      <c r="E2456">
        <v>0</v>
      </c>
      <c r="F2456">
        <v>7297</v>
      </c>
      <c r="G2456">
        <f t="shared" si="140"/>
        <v>-7297</v>
      </c>
    </row>
    <row r="2457" spans="1:7">
      <c r="A2457" t="str">
        <f t="shared" si="142"/>
        <v>BET</v>
      </c>
      <c r="B2457" t="str">
        <f>"76300000"</f>
        <v>76300000</v>
      </c>
      <c r="C2457" t="str">
        <f t="shared" si="139"/>
        <v>BET763000000</v>
      </c>
      <c r="E2457">
        <v>0</v>
      </c>
      <c r="F2457">
        <v>24.6</v>
      </c>
      <c r="G2457">
        <f t="shared" si="140"/>
        <v>-24.6</v>
      </c>
    </row>
    <row r="2458" spans="1:7">
      <c r="A2458" t="str">
        <f t="shared" si="142"/>
        <v>BET</v>
      </c>
      <c r="B2458" t="str">
        <f>"77180000"</f>
        <v>77180000</v>
      </c>
      <c r="C2458" t="str">
        <f t="shared" si="139"/>
        <v>BET771800000</v>
      </c>
      <c r="E2458">
        <v>0</v>
      </c>
      <c r="F2458">
        <v>726.32</v>
      </c>
      <c r="G2458">
        <f t="shared" si="140"/>
        <v>-726.32</v>
      </c>
    </row>
    <row r="2459" spans="1:7">
      <c r="A2459" t="str">
        <f t="shared" si="142"/>
        <v>BET</v>
      </c>
      <c r="B2459" t="str">
        <f>"78173000"</f>
        <v>78173000</v>
      </c>
      <c r="C2459" t="str">
        <f t="shared" si="139"/>
        <v>BET781730000</v>
      </c>
      <c r="E2459">
        <v>0</v>
      </c>
      <c r="F2459">
        <v>4608.42</v>
      </c>
      <c r="G2459">
        <f t="shared" si="140"/>
        <v>-4608.42</v>
      </c>
    </row>
    <row r="2460" spans="1:7">
      <c r="A2460" t="str">
        <f t="shared" si="142"/>
        <v>BET</v>
      </c>
      <c r="B2460" t="str">
        <f>"78174000"</f>
        <v>78174000</v>
      </c>
      <c r="C2460" t="str">
        <f t="shared" si="139"/>
        <v>BET781740000</v>
      </c>
      <c r="E2460">
        <v>0</v>
      </c>
      <c r="F2460">
        <v>503.37</v>
      </c>
      <c r="G2460">
        <f t="shared" si="140"/>
        <v>-503.37</v>
      </c>
    </row>
    <row r="2461" spans="1:7">
      <c r="A2461" t="str">
        <f t="shared" si="142"/>
        <v>BET</v>
      </c>
      <c r="B2461" t="str">
        <f>"78725000"</f>
        <v>78725000</v>
      </c>
      <c r="C2461" t="str">
        <f t="shared" si="139"/>
        <v>BET787250000</v>
      </c>
      <c r="E2461">
        <v>0</v>
      </c>
      <c r="F2461">
        <v>2237.63</v>
      </c>
      <c r="G2461">
        <f t="shared" si="140"/>
        <v>-2237.63</v>
      </c>
    </row>
    <row r="2462" spans="1:7">
      <c r="A2462" t="str">
        <f t="shared" ref="A2462:A2473" si="143">"BOI"</f>
        <v>BOI</v>
      </c>
      <c r="B2462" t="str">
        <f>"70600000"</f>
        <v>70600000</v>
      </c>
      <c r="C2462" t="str">
        <f t="shared" si="139"/>
        <v>BOI706000000</v>
      </c>
      <c r="E2462">
        <v>0</v>
      </c>
      <c r="F2462">
        <v>0</v>
      </c>
      <c r="G2462">
        <f t="shared" si="140"/>
        <v>0</v>
      </c>
    </row>
    <row r="2463" spans="1:7">
      <c r="A2463" t="str">
        <f t="shared" si="143"/>
        <v>BOI</v>
      </c>
      <c r="B2463" t="str">
        <f>"70711000"</f>
        <v>70711000</v>
      </c>
      <c r="C2463" t="str">
        <f t="shared" si="139"/>
        <v>BOI707110000</v>
      </c>
      <c r="E2463">
        <v>0</v>
      </c>
      <c r="F2463">
        <v>88.43</v>
      </c>
      <c r="G2463">
        <f t="shared" si="140"/>
        <v>-88.43</v>
      </c>
    </row>
    <row r="2464" spans="1:7">
      <c r="A2464" t="str">
        <f t="shared" si="143"/>
        <v>BOI</v>
      </c>
      <c r="B2464" t="str">
        <f>"70713000"</f>
        <v>70713000</v>
      </c>
      <c r="C2464" t="str">
        <f t="shared" si="139"/>
        <v>BOI707130000</v>
      </c>
      <c r="E2464">
        <v>3835.29</v>
      </c>
      <c r="F2464">
        <v>146318.32</v>
      </c>
      <c r="G2464">
        <f t="shared" si="140"/>
        <v>-142483.03</v>
      </c>
    </row>
    <row r="2465" spans="1:7">
      <c r="A2465" t="str">
        <f t="shared" si="143"/>
        <v>BOI</v>
      </c>
      <c r="B2465" t="str">
        <f>"70713100"</f>
        <v>70713100</v>
      </c>
      <c r="C2465" t="str">
        <f t="shared" si="139"/>
        <v>BOI707131000</v>
      </c>
      <c r="E2465">
        <v>0</v>
      </c>
      <c r="F2465">
        <v>113476.82</v>
      </c>
      <c r="G2465">
        <f t="shared" si="140"/>
        <v>-113476.82</v>
      </c>
    </row>
    <row r="2466" spans="1:7">
      <c r="A2466" t="str">
        <f t="shared" si="143"/>
        <v>BOI</v>
      </c>
      <c r="B2466" t="str">
        <f>"70850000"</f>
        <v>70850000</v>
      </c>
      <c r="C2466" t="str">
        <f t="shared" si="139"/>
        <v>BOI708500000</v>
      </c>
      <c r="E2466">
        <v>0</v>
      </c>
      <c r="F2466">
        <v>576</v>
      </c>
      <c r="G2466">
        <f t="shared" si="140"/>
        <v>-576</v>
      </c>
    </row>
    <row r="2467" spans="1:7">
      <c r="A2467" t="str">
        <f t="shared" si="143"/>
        <v>BOI</v>
      </c>
      <c r="B2467" t="str">
        <f>"70882000"</f>
        <v>70882000</v>
      </c>
      <c r="C2467" t="str">
        <f t="shared" si="139"/>
        <v>BOI708820000</v>
      </c>
      <c r="E2467">
        <v>0</v>
      </c>
      <c r="F2467">
        <v>35</v>
      </c>
      <c r="G2467">
        <f t="shared" si="140"/>
        <v>-35</v>
      </c>
    </row>
    <row r="2468" spans="1:7">
      <c r="A2468" t="str">
        <f t="shared" si="143"/>
        <v>BOI</v>
      </c>
      <c r="B2468" t="str">
        <f>"70970000"</f>
        <v>70970000</v>
      </c>
      <c r="C2468" t="str">
        <f t="shared" si="139"/>
        <v>BOI709700000</v>
      </c>
      <c r="E2468">
        <v>0</v>
      </c>
      <c r="F2468">
        <v>0</v>
      </c>
      <c r="G2468">
        <f t="shared" si="140"/>
        <v>0</v>
      </c>
    </row>
    <row r="2469" spans="1:7">
      <c r="A2469" t="str">
        <f t="shared" si="143"/>
        <v>BOI</v>
      </c>
      <c r="B2469" t="str">
        <f>"75800000"</f>
        <v>75800000</v>
      </c>
      <c r="C2469" t="str">
        <f t="shared" si="139"/>
        <v>BOI758000000</v>
      </c>
      <c r="E2469">
        <v>0</v>
      </c>
      <c r="F2469">
        <v>442.12</v>
      </c>
      <c r="G2469">
        <f t="shared" si="140"/>
        <v>-442.12</v>
      </c>
    </row>
    <row r="2470" spans="1:7">
      <c r="A2470" t="str">
        <f t="shared" si="143"/>
        <v>BOI</v>
      </c>
      <c r="B2470" t="str">
        <f>"76300000"</f>
        <v>76300000</v>
      </c>
      <c r="C2470" t="str">
        <f t="shared" si="139"/>
        <v>BOI763000000</v>
      </c>
      <c r="E2470">
        <v>0</v>
      </c>
      <c r="F2470">
        <v>9</v>
      </c>
      <c r="G2470">
        <f t="shared" si="140"/>
        <v>-9</v>
      </c>
    </row>
    <row r="2471" spans="1:7">
      <c r="A2471" t="str">
        <f t="shared" si="143"/>
        <v>BOI</v>
      </c>
      <c r="B2471" t="str">
        <f>"77180000"</f>
        <v>77180000</v>
      </c>
      <c r="C2471" t="str">
        <f t="shared" si="139"/>
        <v>BOI771800000</v>
      </c>
      <c r="E2471">
        <v>0</v>
      </c>
      <c r="F2471">
        <v>97</v>
      </c>
      <c r="G2471">
        <f t="shared" si="140"/>
        <v>-97</v>
      </c>
    </row>
    <row r="2472" spans="1:7">
      <c r="A2472" t="str">
        <f t="shared" si="143"/>
        <v>BOI</v>
      </c>
      <c r="B2472" t="str">
        <f>"78173000"</f>
        <v>78173000</v>
      </c>
      <c r="C2472" t="str">
        <f t="shared" si="139"/>
        <v>BOI781730000</v>
      </c>
      <c r="E2472">
        <v>0</v>
      </c>
      <c r="F2472">
        <v>799.8</v>
      </c>
      <c r="G2472">
        <f t="shared" si="140"/>
        <v>-799.8</v>
      </c>
    </row>
    <row r="2473" spans="1:7">
      <c r="A2473" t="str">
        <f t="shared" si="143"/>
        <v>BOI</v>
      </c>
      <c r="B2473" t="str">
        <f>"78725000"</f>
        <v>78725000</v>
      </c>
      <c r="C2473" t="str">
        <f t="shared" si="139"/>
        <v>BOI787250000</v>
      </c>
      <c r="E2473">
        <v>0</v>
      </c>
      <c r="F2473">
        <v>8.44</v>
      </c>
      <c r="G2473">
        <f t="shared" si="140"/>
        <v>-8.44</v>
      </c>
    </row>
    <row r="2474" spans="1:7">
      <c r="A2474" t="str">
        <f t="shared" ref="A2474:A2490" si="144">"BOS"</f>
        <v>BOS</v>
      </c>
      <c r="B2474" t="str">
        <f>"70600000"</f>
        <v>70600000</v>
      </c>
      <c r="C2474" t="str">
        <f t="shared" si="139"/>
        <v>BOS706000000</v>
      </c>
      <c r="E2474">
        <v>0</v>
      </c>
      <c r="F2474">
        <v>0</v>
      </c>
      <c r="G2474">
        <f t="shared" si="140"/>
        <v>0</v>
      </c>
    </row>
    <row r="2475" spans="1:7">
      <c r="A2475" t="str">
        <f t="shared" si="144"/>
        <v>BOS</v>
      </c>
      <c r="B2475" t="str">
        <f>"70711000"</f>
        <v>70711000</v>
      </c>
      <c r="C2475" t="str">
        <f t="shared" si="139"/>
        <v>BOS707110000</v>
      </c>
      <c r="E2475">
        <v>160</v>
      </c>
      <c r="F2475">
        <v>160</v>
      </c>
      <c r="G2475">
        <f t="shared" si="140"/>
        <v>0</v>
      </c>
    </row>
    <row r="2476" spans="1:7">
      <c r="A2476" t="str">
        <f t="shared" si="144"/>
        <v>BOS</v>
      </c>
      <c r="B2476" t="str">
        <f>"70713000"</f>
        <v>70713000</v>
      </c>
      <c r="C2476" t="str">
        <f t="shared" si="139"/>
        <v>BOS707130000</v>
      </c>
      <c r="E2476">
        <v>25751.64</v>
      </c>
      <c r="F2476">
        <v>1307404.44</v>
      </c>
      <c r="G2476">
        <f t="shared" si="140"/>
        <v>-1281652.8</v>
      </c>
    </row>
    <row r="2477" spans="1:7">
      <c r="A2477" t="str">
        <f t="shared" si="144"/>
        <v>BOS</v>
      </c>
      <c r="B2477" t="str">
        <f>"70713100"</f>
        <v>70713100</v>
      </c>
      <c r="C2477" t="str">
        <f t="shared" si="139"/>
        <v>BOS707131000</v>
      </c>
      <c r="E2477">
        <v>0</v>
      </c>
      <c r="F2477">
        <v>178246.83</v>
      </c>
      <c r="G2477">
        <f t="shared" si="140"/>
        <v>-178246.83</v>
      </c>
    </row>
    <row r="2478" spans="1:7">
      <c r="A2478" t="str">
        <f t="shared" si="144"/>
        <v>BOS</v>
      </c>
      <c r="B2478" t="str">
        <f>"70850000"</f>
        <v>70850000</v>
      </c>
      <c r="C2478" t="str">
        <f t="shared" si="139"/>
        <v>BOS708500000</v>
      </c>
      <c r="E2478">
        <v>0</v>
      </c>
      <c r="F2478">
        <v>2313</v>
      </c>
      <c r="G2478">
        <f t="shared" si="140"/>
        <v>-2313</v>
      </c>
    </row>
    <row r="2479" spans="1:7">
      <c r="A2479" t="str">
        <f t="shared" si="144"/>
        <v>BOS</v>
      </c>
      <c r="B2479" t="str">
        <f>"70882000"</f>
        <v>70882000</v>
      </c>
      <c r="C2479" t="str">
        <f t="shared" si="139"/>
        <v>BOS708820000</v>
      </c>
      <c r="E2479">
        <v>0</v>
      </c>
      <c r="F2479">
        <v>1229.29</v>
      </c>
      <c r="G2479">
        <f t="shared" si="140"/>
        <v>-1229.29</v>
      </c>
    </row>
    <row r="2480" spans="1:7">
      <c r="A2480" t="str">
        <f t="shared" si="144"/>
        <v>BOS</v>
      </c>
      <c r="B2480" t="str">
        <f>"70970000"</f>
        <v>70970000</v>
      </c>
      <c r="C2480" t="str">
        <f t="shared" si="139"/>
        <v>BOS709700000</v>
      </c>
      <c r="E2480">
        <v>26254.16</v>
      </c>
      <c r="F2480">
        <v>0</v>
      </c>
      <c r="G2480">
        <f t="shared" si="140"/>
        <v>26254.16</v>
      </c>
    </row>
    <row r="2481" spans="1:7">
      <c r="A2481" t="str">
        <f t="shared" si="144"/>
        <v>BOS</v>
      </c>
      <c r="B2481" t="str">
        <f>"74000000"</f>
        <v>74000000</v>
      </c>
      <c r="C2481" t="str">
        <f t="shared" si="139"/>
        <v>BOS740000000</v>
      </c>
      <c r="E2481">
        <v>0</v>
      </c>
      <c r="F2481">
        <v>2000</v>
      </c>
      <c r="G2481">
        <f t="shared" si="140"/>
        <v>-2000</v>
      </c>
    </row>
    <row r="2482" spans="1:7">
      <c r="A2482" t="str">
        <f t="shared" si="144"/>
        <v>BOS</v>
      </c>
      <c r="B2482" t="str">
        <f>"75800000"</f>
        <v>75800000</v>
      </c>
      <c r="C2482" t="str">
        <f t="shared" si="139"/>
        <v>BOS758000000</v>
      </c>
      <c r="E2482">
        <v>0</v>
      </c>
      <c r="F2482">
        <v>0.4</v>
      </c>
      <c r="G2482">
        <f t="shared" si="140"/>
        <v>-0.4</v>
      </c>
    </row>
    <row r="2483" spans="1:7">
      <c r="A2483" t="str">
        <f t="shared" si="144"/>
        <v>BOS</v>
      </c>
      <c r="B2483" t="str">
        <f>"75810000"</f>
        <v>75810000</v>
      </c>
      <c r="C2483" t="str">
        <f t="shared" si="139"/>
        <v>BOS758100000</v>
      </c>
      <c r="E2483">
        <v>0</v>
      </c>
      <c r="F2483">
        <v>340.45</v>
      </c>
      <c r="G2483">
        <f t="shared" si="140"/>
        <v>-340.45</v>
      </c>
    </row>
    <row r="2484" spans="1:7">
      <c r="A2484" t="str">
        <f t="shared" si="144"/>
        <v>BOS</v>
      </c>
      <c r="B2484" t="str">
        <f>"76300000"</f>
        <v>76300000</v>
      </c>
      <c r="C2484" t="str">
        <f t="shared" si="139"/>
        <v>BOS763000000</v>
      </c>
      <c r="E2484">
        <v>89.7</v>
      </c>
      <c r="F2484">
        <v>127.4</v>
      </c>
      <c r="G2484">
        <f t="shared" si="140"/>
        <v>-37.700000000000003</v>
      </c>
    </row>
    <row r="2485" spans="1:7">
      <c r="A2485" t="str">
        <f t="shared" si="144"/>
        <v>BOS</v>
      </c>
      <c r="B2485" t="str">
        <f>"77180000"</f>
        <v>77180000</v>
      </c>
      <c r="C2485" t="str">
        <f t="shared" si="139"/>
        <v>BOS771800000</v>
      </c>
      <c r="E2485">
        <v>0</v>
      </c>
      <c r="F2485">
        <v>4022.6</v>
      </c>
      <c r="G2485">
        <f t="shared" si="140"/>
        <v>-4022.6</v>
      </c>
    </row>
    <row r="2486" spans="1:7">
      <c r="A2486" t="str">
        <f t="shared" si="144"/>
        <v>BOS</v>
      </c>
      <c r="B2486" t="str">
        <f>"78150000"</f>
        <v>78150000</v>
      </c>
      <c r="C2486" t="str">
        <f t="shared" si="139"/>
        <v>BOS781500000</v>
      </c>
      <c r="E2486">
        <v>0</v>
      </c>
      <c r="F2486">
        <v>1082</v>
      </c>
      <c r="G2486">
        <f t="shared" si="140"/>
        <v>-1082</v>
      </c>
    </row>
    <row r="2487" spans="1:7">
      <c r="A2487" t="str">
        <f t="shared" si="144"/>
        <v>BOS</v>
      </c>
      <c r="B2487" t="str">
        <f>"78173000"</f>
        <v>78173000</v>
      </c>
      <c r="C2487" t="str">
        <f t="shared" si="139"/>
        <v>BOS781730000</v>
      </c>
      <c r="E2487">
        <v>0</v>
      </c>
      <c r="F2487">
        <v>11829.14</v>
      </c>
      <c r="G2487">
        <f t="shared" si="140"/>
        <v>-11829.14</v>
      </c>
    </row>
    <row r="2488" spans="1:7">
      <c r="A2488" t="str">
        <f t="shared" si="144"/>
        <v>BOS</v>
      </c>
      <c r="B2488" t="str">
        <f>"78174000"</f>
        <v>78174000</v>
      </c>
      <c r="C2488" t="str">
        <f t="shared" si="139"/>
        <v>BOS781740000</v>
      </c>
      <c r="E2488">
        <v>0</v>
      </c>
      <c r="F2488">
        <v>4006.03</v>
      </c>
      <c r="G2488">
        <f t="shared" si="140"/>
        <v>-4006.03</v>
      </c>
    </row>
    <row r="2489" spans="1:7">
      <c r="A2489" t="str">
        <f t="shared" si="144"/>
        <v>BOS</v>
      </c>
      <c r="B2489" t="str">
        <f>"78725000"</f>
        <v>78725000</v>
      </c>
      <c r="C2489" t="str">
        <f t="shared" si="139"/>
        <v>BOS787250000</v>
      </c>
      <c r="E2489">
        <v>0</v>
      </c>
      <c r="F2489">
        <v>959.34</v>
      </c>
      <c r="G2489">
        <f t="shared" si="140"/>
        <v>-959.34</v>
      </c>
    </row>
    <row r="2490" spans="1:7">
      <c r="A2490" t="str">
        <f t="shared" si="144"/>
        <v>BOS</v>
      </c>
      <c r="B2490" t="str">
        <f>"79110000"</f>
        <v>79110000</v>
      </c>
      <c r="C2490" t="str">
        <f t="shared" si="139"/>
        <v>BOS791100000</v>
      </c>
      <c r="E2490">
        <v>0</v>
      </c>
      <c r="F2490">
        <v>1181.9000000000001</v>
      </c>
      <c r="G2490">
        <f t="shared" si="140"/>
        <v>-1181.9000000000001</v>
      </c>
    </row>
    <row r="2491" spans="1:7">
      <c r="A2491" t="str">
        <f t="shared" ref="A2491:A2503" si="145">"BOU"</f>
        <v>BOU</v>
      </c>
      <c r="B2491" t="str">
        <f>"70600000"</f>
        <v>70600000</v>
      </c>
      <c r="C2491" t="str">
        <f t="shared" si="139"/>
        <v>BOU706000000</v>
      </c>
      <c r="E2491">
        <v>0</v>
      </c>
      <c r="F2491">
        <v>0</v>
      </c>
      <c r="G2491">
        <f t="shared" si="140"/>
        <v>0</v>
      </c>
    </row>
    <row r="2492" spans="1:7">
      <c r="A2492" t="str">
        <f t="shared" si="145"/>
        <v>BOU</v>
      </c>
      <c r="B2492" t="str">
        <f>"70601000"</f>
        <v>70601000</v>
      </c>
      <c r="C2492" t="str">
        <f t="shared" si="139"/>
        <v>BOU706010000</v>
      </c>
      <c r="E2492">
        <v>150</v>
      </c>
      <c r="F2492">
        <v>0</v>
      </c>
      <c r="G2492">
        <f t="shared" si="140"/>
        <v>150</v>
      </c>
    </row>
    <row r="2493" spans="1:7">
      <c r="A2493" t="str">
        <f t="shared" si="145"/>
        <v>BOU</v>
      </c>
      <c r="B2493" t="str">
        <f>"70713000"</f>
        <v>70713000</v>
      </c>
      <c r="C2493" t="str">
        <f t="shared" si="139"/>
        <v>BOU707130000</v>
      </c>
      <c r="E2493">
        <v>60122.77</v>
      </c>
      <c r="F2493">
        <v>1724538.1</v>
      </c>
      <c r="G2493">
        <f t="shared" si="140"/>
        <v>-1664415.33</v>
      </c>
    </row>
    <row r="2494" spans="1:7">
      <c r="A2494" t="str">
        <f t="shared" si="145"/>
        <v>BOU</v>
      </c>
      <c r="B2494" t="str">
        <f>"70713100"</f>
        <v>70713100</v>
      </c>
      <c r="C2494" t="str">
        <f t="shared" si="139"/>
        <v>BOU707131000</v>
      </c>
      <c r="E2494">
        <v>0</v>
      </c>
      <c r="F2494">
        <v>333230.67</v>
      </c>
      <c r="G2494">
        <f t="shared" si="140"/>
        <v>-333230.67</v>
      </c>
    </row>
    <row r="2495" spans="1:7">
      <c r="A2495" t="str">
        <f t="shared" si="145"/>
        <v>BOU</v>
      </c>
      <c r="B2495" t="str">
        <f>"70850000"</f>
        <v>70850000</v>
      </c>
      <c r="C2495" t="str">
        <f t="shared" si="139"/>
        <v>BOU708500000</v>
      </c>
      <c r="E2495">
        <v>0</v>
      </c>
      <c r="F2495">
        <v>3753</v>
      </c>
      <c r="G2495">
        <f t="shared" si="140"/>
        <v>-3753</v>
      </c>
    </row>
    <row r="2496" spans="1:7">
      <c r="A2496" t="str">
        <f t="shared" si="145"/>
        <v>BOU</v>
      </c>
      <c r="B2496" t="str">
        <f>"70970000"</f>
        <v>70970000</v>
      </c>
      <c r="C2496" t="str">
        <f t="shared" si="139"/>
        <v>BOU709700000</v>
      </c>
      <c r="E2496">
        <v>22905.54</v>
      </c>
      <c r="F2496">
        <v>0</v>
      </c>
      <c r="G2496">
        <f t="shared" si="140"/>
        <v>22905.54</v>
      </c>
    </row>
    <row r="2497" spans="1:9">
      <c r="A2497" t="str">
        <f t="shared" si="145"/>
        <v>BOU</v>
      </c>
      <c r="B2497" t="str">
        <f>"75810000"</f>
        <v>75810000</v>
      </c>
      <c r="C2497" t="str">
        <f t="shared" si="139"/>
        <v>BOU758100000</v>
      </c>
      <c r="E2497">
        <v>0</v>
      </c>
      <c r="F2497">
        <v>145.33000000000001</v>
      </c>
      <c r="G2497">
        <f t="shared" si="140"/>
        <v>-145.33000000000001</v>
      </c>
    </row>
    <row r="2498" spans="1:9">
      <c r="A2498" t="str">
        <f t="shared" si="145"/>
        <v>BOU</v>
      </c>
      <c r="B2498" t="str">
        <f>"76300000"</f>
        <v>76300000</v>
      </c>
      <c r="C2498" t="str">
        <f t="shared" si="139"/>
        <v>BOU763000000</v>
      </c>
      <c r="E2498">
        <v>235.1</v>
      </c>
      <c r="F2498">
        <v>540</v>
      </c>
      <c r="G2498">
        <f t="shared" si="140"/>
        <v>-304.89999999999998</v>
      </c>
    </row>
    <row r="2499" spans="1:9">
      <c r="A2499" t="str">
        <f t="shared" si="145"/>
        <v>BOU</v>
      </c>
      <c r="B2499" t="str">
        <f>"77180000"</f>
        <v>77180000</v>
      </c>
      <c r="C2499" t="str">
        <f t="shared" ref="C2499:C2562" si="146">+A2499&amp;B2499*10</f>
        <v>BOU771800000</v>
      </c>
      <c r="E2499">
        <v>0</v>
      </c>
      <c r="F2499">
        <v>12354.82</v>
      </c>
      <c r="G2499">
        <f t="shared" ref="G2499:G2562" si="147">+E2499-F2499</f>
        <v>-12354.82</v>
      </c>
    </row>
    <row r="2500" spans="1:9">
      <c r="A2500" t="str">
        <f t="shared" si="145"/>
        <v>BOU</v>
      </c>
      <c r="B2500" t="str">
        <f>"78173000"</f>
        <v>78173000</v>
      </c>
      <c r="C2500" t="str">
        <f t="shared" si="146"/>
        <v>BOU781730000</v>
      </c>
      <c r="E2500">
        <v>0</v>
      </c>
      <c r="F2500">
        <v>4115.6400000000003</v>
      </c>
      <c r="G2500">
        <f t="shared" si="147"/>
        <v>-4115.6400000000003</v>
      </c>
    </row>
    <row r="2501" spans="1:9">
      <c r="A2501" t="str">
        <f t="shared" si="145"/>
        <v>BOU</v>
      </c>
      <c r="B2501" t="str">
        <f>"78174000"</f>
        <v>78174000</v>
      </c>
      <c r="C2501" t="str">
        <f t="shared" si="146"/>
        <v>BOU781740000</v>
      </c>
      <c r="E2501">
        <v>0</v>
      </c>
      <c r="F2501">
        <v>15708.21</v>
      </c>
      <c r="G2501">
        <f t="shared" si="147"/>
        <v>-15708.21</v>
      </c>
    </row>
    <row r="2502" spans="1:9">
      <c r="A2502" t="str">
        <f t="shared" si="145"/>
        <v>BOU</v>
      </c>
      <c r="B2502" t="str">
        <f>"78725000"</f>
        <v>78725000</v>
      </c>
      <c r="C2502" t="str">
        <f t="shared" si="146"/>
        <v>BOU787250000</v>
      </c>
      <c r="E2502">
        <v>0</v>
      </c>
      <c r="F2502">
        <v>711.42</v>
      </c>
      <c r="G2502">
        <f t="shared" si="147"/>
        <v>-711.42</v>
      </c>
    </row>
    <row r="2503" spans="1:9">
      <c r="A2503" t="str">
        <f t="shared" si="145"/>
        <v>BOU</v>
      </c>
      <c r="B2503" t="str">
        <f>"79110000"</f>
        <v>79110000</v>
      </c>
      <c r="C2503" t="str">
        <f t="shared" si="146"/>
        <v>BOU791100000</v>
      </c>
      <c r="E2503">
        <v>0</v>
      </c>
      <c r="F2503">
        <v>787.93</v>
      </c>
      <c r="G2503">
        <f t="shared" si="147"/>
        <v>-787.93</v>
      </c>
    </row>
    <row r="2504" spans="1:9">
      <c r="A2504" t="str">
        <f>"BRE"</f>
        <v>BRE</v>
      </c>
      <c r="B2504" t="str">
        <f>"75800000"</f>
        <v>75800000</v>
      </c>
      <c r="C2504" t="str">
        <f t="shared" si="146"/>
        <v>BRE758000000</v>
      </c>
      <c r="E2504">
        <v>0</v>
      </c>
      <c r="F2504">
        <v>1479.83</v>
      </c>
      <c r="G2504">
        <f t="shared" si="147"/>
        <v>-1479.83</v>
      </c>
    </row>
    <row r="2505" spans="1:9">
      <c r="A2505" t="str">
        <f>"BRE"</f>
        <v>BRE</v>
      </c>
      <c r="B2505" t="str">
        <f>"77180000"</f>
        <v>77180000</v>
      </c>
      <c r="C2505" t="str">
        <f t="shared" si="146"/>
        <v>BRE771800000</v>
      </c>
      <c r="E2505">
        <v>0</v>
      </c>
      <c r="F2505">
        <v>0</v>
      </c>
      <c r="G2505">
        <f t="shared" si="147"/>
        <v>0</v>
      </c>
    </row>
    <row r="2506" spans="1:9">
      <c r="A2506" t="str">
        <f>"BRE"</f>
        <v>BRE</v>
      </c>
      <c r="B2506" t="str">
        <f>"78174000"</f>
        <v>78174000</v>
      </c>
      <c r="C2506" t="str">
        <f t="shared" si="146"/>
        <v>BRE781740000</v>
      </c>
      <c r="E2506">
        <v>0</v>
      </c>
      <c r="F2506">
        <v>773.48</v>
      </c>
      <c r="G2506">
        <f t="shared" si="147"/>
        <v>-773.48</v>
      </c>
    </row>
    <row r="2507" spans="1:9">
      <c r="A2507" t="str">
        <f t="shared" ref="A2507:A2519" si="148">"CAL"</f>
        <v>CAL</v>
      </c>
      <c r="B2507" t="str">
        <f>"70600000"</f>
        <v>70600000</v>
      </c>
      <c r="C2507" t="str">
        <f t="shared" si="146"/>
        <v>CAL706000000</v>
      </c>
      <c r="E2507">
        <v>0</v>
      </c>
      <c r="F2507">
        <v>0</v>
      </c>
      <c r="G2507">
        <f t="shared" si="147"/>
        <v>0</v>
      </c>
    </row>
    <row r="2508" spans="1:9">
      <c r="A2508" t="str">
        <f t="shared" si="148"/>
        <v>CAL</v>
      </c>
      <c r="B2508" t="str">
        <f>"70713000"</f>
        <v>70713000</v>
      </c>
      <c r="C2508" t="str">
        <f t="shared" si="146"/>
        <v>CAL707130000</v>
      </c>
      <c r="E2508">
        <v>46567.8</v>
      </c>
      <c r="F2508">
        <v>1034522.56</v>
      </c>
      <c r="G2508">
        <f t="shared" si="147"/>
        <v>-987954.76</v>
      </c>
    </row>
    <row r="2509" spans="1:9">
      <c r="A2509" t="str">
        <f t="shared" si="148"/>
        <v>CAL</v>
      </c>
      <c r="B2509" t="str">
        <f>"70713100"</f>
        <v>70713100</v>
      </c>
      <c r="C2509" t="str">
        <f t="shared" si="146"/>
        <v>CAL707131000</v>
      </c>
      <c r="E2509">
        <v>0</v>
      </c>
      <c r="F2509">
        <v>108082.91</v>
      </c>
      <c r="G2509">
        <f t="shared" si="147"/>
        <v>-108082.91</v>
      </c>
    </row>
    <row r="2510" spans="1:9">
      <c r="A2510" t="str">
        <f t="shared" si="148"/>
        <v>CAL</v>
      </c>
      <c r="B2510" t="str">
        <f>"70850000"</f>
        <v>70850000</v>
      </c>
      <c r="C2510" t="str">
        <f t="shared" si="146"/>
        <v>CAL708500000</v>
      </c>
      <c r="E2510">
        <v>0</v>
      </c>
      <c r="F2510">
        <v>1851</v>
      </c>
      <c r="G2510">
        <f t="shared" si="147"/>
        <v>-1851</v>
      </c>
    </row>
    <row r="2511" spans="1:9">
      <c r="A2511" t="str">
        <f t="shared" si="148"/>
        <v>CAL</v>
      </c>
      <c r="B2511" t="str">
        <f>"70970000"</f>
        <v>70970000</v>
      </c>
      <c r="C2511" t="str">
        <f t="shared" si="146"/>
        <v>CAL709700000</v>
      </c>
      <c r="E2511">
        <v>7256.67</v>
      </c>
      <c r="F2511">
        <v>0</v>
      </c>
      <c r="G2511">
        <f t="shared" si="147"/>
        <v>7256.67</v>
      </c>
    </row>
    <row r="2512" spans="1:9">
      <c r="A2512" t="str">
        <f t="shared" si="148"/>
        <v>CAL</v>
      </c>
      <c r="B2512" t="str">
        <f>"74000000"</f>
        <v>74000000</v>
      </c>
      <c r="C2512" t="str">
        <f t="shared" si="146"/>
        <v>CAL740000000</v>
      </c>
      <c r="E2512">
        <v>0</v>
      </c>
      <c r="F2512">
        <v>1500</v>
      </c>
      <c r="G2512">
        <f t="shared" si="147"/>
        <v>-1500</v>
      </c>
      <c r="I2512" s="26"/>
    </row>
    <row r="2513" spans="1:10">
      <c r="A2513" t="str">
        <f t="shared" si="148"/>
        <v>CAL</v>
      </c>
      <c r="B2513" t="str">
        <f>"75810000"</f>
        <v>75810000</v>
      </c>
      <c r="C2513" t="str">
        <f t="shared" si="146"/>
        <v>CAL758100000</v>
      </c>
      <c r="E2513">
        <v>0</v>
      </c>
      <c r="F2513">
        <v>5031.7299999999996</v>
      </c>
      <c r="G2513">
        <f t="shared" si="147"/>
        <v>-5031.7299999999996</v>
      </c>
      <c r="J2513" s="26"/>
    </row>
    <row r="2514" spans="1:10">
      <c r="A2514" t="str">
        <f t="shared" si="148"/>
        <v>CAL</v>
      </c>
      <c r="B2514" t="str">
        <f>"76300000"</f>
        <v>76300000</v>
      </c>
      <c r="C2514" t="str">
        <f t="shared" si="146"/>
        <v>CAL763000000</v>
      </c>
      <c r="E2514">
        <v>248.22</v>
      </c>
      <c r="F2514">
        <v>477.42</v>
      </c>
      <c r="G2514">
        <f t="shared" si="147"/>
        <v>-229.20000000000002</v>
      </c>
    </row>
    <row r="2515" spans="1:10">
      <c r="A2515" t="str">
        <f t="shared" si="148"/>
        <v>CAL</v>
      </c>
      <c r="B2515" t="str">
        <f>"77180000"</f>
        <v>77180000</v>
      </c>
      <c r="C2515" t="str">
        <f t="shared" si="146"/>
        <v>CAL771800000</v>
      </c>
      <c r="E2515">
        <v>0</v>
      </c>
      <c r="F2515">
        <v>1921.51</v>
      </c>
      <c r="G2515">
        <f t="shared" si="147"/>
        <v>-1921.51</v>
      </c>
    </row>
    <row r="2516" spans="1:10">
      <c r="A2516" t="str">
        <f t="shared" si="148"/>
        <v>CAL</v>
      </c>
      <c r="B2516" t="str">
        <f>"78173000"</f>
        <v>78173000</v>
      </c>
      <c r="C2516" t="str">
        <f t="shared" si="146"/>
        <v>CAL781730000</v>
      </c>
      <c r="E2516">
        <v>0</v>
      </c>
      <c r="F2516">
        <v>3229.97</v>
      </c>
      <c r="G2516">
        <f t="shared" si="147"/>
        <v>-3229.97</v>
      </c>
    </row>
    <row r="2517" spans="1:10">
      <c r="A2517" t="str">
        <f t="shared" si="148"/>
        <v>CAL</v>
      </c>
      <c r="B2517" t="str">
        <f>"78174000"</f>
        <v>78174000</v>
      </c>
      <c r="C2517" t="str">
        <f t="shared" si="146"/>
        <v>CAL781740000</v>
      </c>
      <c r="E2517">
        <v>0</v>
      </c>
      <c r="F2517">
        <v>3326.61</v>
      </c>
      <c r="G2517">
        <f t="shared" si="147"/>
        <v>-3326.61</v>
      </c>
    </row>
    <row r="2518" spans="1:10">
      <c r="A2518" t="str">
        <f t="shared" si="148"/>
        <v>CAL</v>
      </c>
      <c r="B2518" t="str">
        <f>"78725000"</f>
        <v>78725000</v>
      </c>
      <c r="C2518" t="str">
        <f t="shared" si="146"/>
        <v>CAL787250000</v>
      </c>
      <c r="E2518">
        <v>0</v>
      </c>
      <c r="F2518">
        <v>1406.11</v>
      </c>
      <c r="G2518">
        <f t="shared" si="147"/>
        <v>-1406.11</v>
      </c>
    </row>
    <row r="2519" spans="1:10">
      <c r="A2519" t="str">
        <f t="shared" si="148"/>
        <v>CAL</v>
      </c>
      <c r="B2519" t="str">
        <f>"79110000"</f>
        <v>79110000</v>
      </c>
      <c r="C2519" t="str">
        <f t="shared" si="146"/>
        <v>CAL791100000</v>
      </c>
      <c r="E2519">
        <v>0</v>
      </c>
      <c r="F2519">
        <v>16392.509999999998</v>
      </c>
      <c r="G2519">
        <f t="shared" si="147"/>
        <v>-16392.509999999998</v>
      </c>
    </row>
    <row r="2520" spans="1:10">
      <c r="A2520" t="str">
        <f t="shared" ref="A2520:A2533" si="149">"CAM"</f>
        <v>CAM</v>
      </c>
      <c r="B2520" t="str">
        <f>"70600000"</f>
        <v>70600000</v>
      </c>
      <c r="C2520" t="str">
        <f t="shared" si="146"/>
        <v>CAM706000000</v>
      </c>
      <c r="E2520">
        <v>0</v>
      </c>
      <c r="F2520">
        <v>0</v>
      </c>
      <c r="G2520">
        <f t="shared" si="147"/>
        <v>0</v>
      </c>
    </row>
    <row r="2521" spans="1:10">
      <c r="A2521" t="str">
        <f t="shared" si="149"/>
        <v>CAM</v>
      </c>
      <c r="B2521" t="str">
        <f>"70711000"</f>
        <v>70711000</v>
      </c>
      <c r="C2521" t="str">
        <f t="shared" si="146"/>
        <v>CAM707110000</v>
      </c>
      <c r="E2521">
        <v>250</v>
      </c>
      <c r="F2521">
        <v>250</v>
      </c>
      <c r="G2521">
        <f t="shared" si="147"/>
        <v>0</v>
      </c>
    </row>
    <row r="2522" spans="1:10">
      <c r="A2522" t="str">
        <f t="shared" si="149"/>
        <v>CAM</v>
      </c>
      <c r="B2522" t="str">
        <f>"70713000"</f>
        <v>70713000</v>
      </c>
      <c r="C2522" t="str">
        <f t="shared" si="146"/>
        <v>CAM707130000</v>
      </c>
      <c r="E2522">
        <v>29875.1</v>
      </c>
      <c r="F2522">
        <v>431114.5</v>
      </c>
      <c r="G2522">
        <f t="shared" si="147"/>
        <v>-401239.4</v>
      </c>
    </row>
    <row r="2523" spans="1:10">
      <c r="A2523" t="str">
        <f t="shared" si="149"/>
        <v>CAM</v>
      </c>
      <c r="B2523" t="str">
        <f>"70713100"</f>
        <v>70713100</v>
      </c>
      <c r="C2523" t="str">
        <f t="shared" si="146"/>
        <v>CAM707131000</v>
      </c>
      <c r="E2523">
        <v>0</v>
      </c>
      <c r="F2523">
        <v>281868.09999999998</v>
      </c>
      <c r="G2523">
        <f t="shared" si="147"/>
        <v>-281868.09999999998</v>
      </c>
    </row>
    <row r="2524" spans="1:10">
      <c r="A2524" t="str">
        <f t="shared" si="149"/>
        <v>CAM</v>
      </c>
      <c r="B2524" t="str">
        <f>"70850000"</f>
        <v>70850000</v>
      </c>
      <c r="C2524" t="str">
        <f t="shared" si="146"/>
        <v>CAM708500000</v>
      </c>
      <c r="E2524">
        <v>0</v>
      </c>
      <c r="F2524">
        <v>2202</v>
      </c>
      <c r="G2524">
        <f t="shared" si="147"/>
        <v>-2202</v>
      </c>
    </row>
    <row r="2525" spans="1:10">
      <c r="A2525" t="str">
        <f t="shared" si="149"/>
        <v>CAM</v>
      </c>
      <c r="B2525" t="str">
        <f>"70970000"</f>
        <v>70970000</v>
      </c>
      <c r="C2525" t="str">
        <f t="shared" si="146"/>
        <v>CAM709700000</v>
      </c>
      <c r="E2525">
        <v>2834.44</v>
      </c>
      <c r="F2525">
        <v>0</v>
      </c>
      <c r="G2525">
        <f t="shared" si="147"/>
        <v>2834.44</v>
      </c>
    </row>
    <row r="2526" spans="1:10">
      <c r="A2526" t="str">
        <f t="shared" si="149"/>
        <v>CAM</v>
      </c>
      <c r="B2526" t="str">
        <f>"76300000"</f>
        <v>76300000</v>
      </c>
      <c r="C2526" t="str">
        <f t="shared" si="146"/>
        <v>CAM763000000</v>
      </c>
      <c r="E2526">
        <v>27</v>
      </c>
      <c r="F2526">
        <v>36</v>
      </c>
      <c r="G2526">
        <f t="shared" si="147"/>
        <v>-9</v>
      </c>
    </row>
    <row r="2527" spans="1:10">
      <c r="A2527" t="str">
        <f t="shared" si="149"/>
        <v>CAM</v>
      </c>
      <c r="B2527" t="str">
        <f>"77180000"</f>
        <v>77180000</v>
      </c>
      <c r="C2527" t="str">
        <f t="shared" si="146"/>
        <v>CAM771800000</v>
      </c>
      <c r="E2527">
        <v>0</v>
      </c>
      <c r="F2527">
        <v>3743.92</v>
      </c>
      <c r="G2527">
        <f t="shared" si="147"/>
        <v>-3743.92</v>
      </c>
    </row>
    <row r="2528" spans="1:10">
      <c r="A2528" t="str">
        <f t="shared" si="149"/>
        <v>CAM</v>
      </c>
      <c r="B2528" t="str">
        <f>"78150000"</f>
        <v>78150000</v>
      </c>
      <c r="C2528" t="str">
        <f t="shared" si="146"/>
        <v>CAM781500000</v>
      </c>
      <c r="E2528">
        <v>0</v>
      </c>
      <c r="F2528">
        <v>3500</v>
      </c>
      <c r="G2528">
        <f t="shared" si="147"/>
        <v>-3500</v>
      </c>
    </row>
    <row r="2529" spans="1:7">
      <c r="A2529" t="str">
        <f t="shared" si="149"/>
        <v>CAM</v>
      </c>
      <c r="B2529" t="str">
        <f>"78173000"</f>
        <v>78173000</v>
      </c>
      <c r="C2529" t="str">
        <f t="shared" si="146"/>
        <v>CAM781730000</v>
      </c>
      <c r="E2529">
        <v>0</v>
      </c>
      <c r="F2529">
        <v>1717.58</v>
      </c>
      <c r="G2529">
        <f t="shared" si="147"/>
        <v>-1717.58</v>
      </c>
    </row>
    <row r="2530" spans="1:7">
      <c r="A2530" t="str">
        <f t="shared" si="149"/>
        <v>CAM</v>
      </c>
      <c r="B2530" t="str">
        <f>"78174000"</f>
        <v>78174000</v>
      </c>
      <c r="C2530" t="str">
        <f t="shared" si="146"/>
        <v>CAM781740000</v>
      </c>
      <c r="E2530">
        <v>0</v>
      </c>
      <c r="F2530">
        <v>3461.72</v>
      </c>
      <c r="G2530">
        <f t="shared" si="147"/>
        <v>-3461.72</v>
      </c>
    </row>
    <row r="2531" spans="1:7">
      <c r="A2531" t="str">
        <f t="shared" si="149"/>
        <v>CAM</v>
      </c>
      <c r="B2531" t="str">
        <f>"78725000"</f>
        <v>78725000</v>
      </c>
      <c r="C2531" t="str">
        <f t="shared" si="146"/>
        <v>CAM787250000</v>
      </c>
      <c r="E2531">
        <v>0</v>
      </c>
      <c r="F2531">
        <v>2334.67</v>
      </c>
      <c r="G2531">
        <f t="shared" si="147"/>
        <v>-2334.67</v>
      </c>
    </row>
    <row r="2532" spans="1:7">
      <c r="A2532" t="str">
        <f t="shared" si="149"/>
        <v>CAM</v>
      </c>
      <c r="B2532" t="str">
        <f>"79100000"</f>
        <v>79100000</v>
      </c>
      <c r="C2532" t="str">
        <f t="shared" si="146"/>
        <v>CAM791000000</v>
      </c>
      <c r="E2532">
        <v>0</v>
      </c>
      <c r="F2532">
        <v>3500</v>
      </c>
      <c r="G2532">
        <f t="shared" si="147"/>
        <v>-3500</v>
      </c>
    </row>
    <row r="2533" spans="1:7">
      <c r="A2533" t="str">
        <f t="shared" si="149"/>
        <v>CAM</v>
      </c>
      <c r="B2533" t="str">
        <f>"79110000"</f>
        <v>79110000</v>
      </c>
      <c r="C2533" t="str">
        <f t="shared" si="146"/>
        <v>CAM791100000</v>
      </c>
      <c r="E2533">
        <v>0</v>
      </c>
      <c r="F2533">
        <v>555.41</v>
      </c>
      <c r="G2533">
        <f t="shared" si="147"/>
        <v>-555.41</v>
      </c>
    </row>
    <row r="2534" spans="1:7">
      <c r="A2534" t="str">
        <f t="shared" ref="A2534:A2548" si="150">"CAU"</f>
        <v>CAU</v>
      </c>
      <c r="B2534" t="str">
        <f>"70600000"</f>
        <v>70600000</v>
      </c>
      <c r="C2534" t="str">
        <f t="shared" si="146"/>
        <v>CAU706000000</v>
      </c>
      <c r="E2534">
        <v>0</v>
      </c>
      <c r="F2534">
        <v>0</v>
      </c>
      <c r="G2534">
        <f t="shared" si="147"/>
        <v>0</v>
      </c>
    </row>
    <row r="2535" spans="1:7">
      <c r="A2535" t="str">
        <f t="shared" si="150"/>
        <v>CAU</v>
      </c>
      <c r="B2535" t="str">
        <f>"70713000"</f>
        <v>70713000</v>
      </c>
      <c r="C2535" t="str">
        <f t="shared" si="146"/>
        <v>CAU707130000</v>
      </c>
      <c r="E2535">
        <v>35894.410000000003</v>
      </c>
      <c r="F2535">
        <v>469319.77</v>
      </c>
      <c r="G2535">
        <f t="shared" si="147"/>
        <v>-433425.36</v>
      </c>
    </row>
    <row r="2536" spans="1:7">
      <c r="A2536" t="str">
        <f t="shared" si="150"/>
        <v>CAU</v>
      </c>
      <c r="B2536" t="str">
        <f>"70713100"</f>
        <v>70713100</v>
      </c>
      <c r="C2536" t="str">
        <f t="shared" si="146"/>
        <v>CAU707131000</v>
      </c>
      <c r="E2536">
        <v>0</v>
      </c>
      <c r="F2536">
        <v>147859.47</v>
      </c>
      <c r="G2536">
        <f t="shared" si="147"/>
        <v>-147859.47</v>
      </c>
    </row>
    <row r="2537" spans="1:7">
      <c r="A2537" t="str">
        <f t="shared" si="150"/>
        <v>CAU</v>
      </c>
      <c r="B2537" t="str">
        <f>"70830000"</f>
        <v>70830000</v>
      </c>
      <c r="C2537" t="str">
        <f t="shared" si="146"/>
        <v>CAU708300000</v>
      </c>
      <c r="E2537">
        <v>11447.74</v>
      </c>
      <c r="F2537">
        <v>11447.74</v>
      </c>
      <c r="G2537">
        <f t="shared" si="147"/>
        <v>0</v>
      </c>
    </row>
    <row r="2538" spans="1:7">
      <c r="A2538" t="str">
        <f t="shared" si="150"/>
        <v>CAU</v>
      </c>
      <c r="B2538" t="str">
        <f>"70850000"</f>
        <v>70850000</v>
      </c>
      <c r="C2538" t="str">
        <f t="shared" si="146"/>
        <v>CAU708500000</v>
      </c>
      <c r="E2538">
        <v>0</v>
      </c>
      <c r="F2538">
        <v>1479</v>
      </c>
      <c r="G2538">
        <f t="shared" si="147"/>
        <v>-1479</v>
      </c>
    </row>
    <row r="2539" spans="1:7">
      <c r="A2539" t="str">
        <f t="shared" si="150"/>
        <v>CAU</v>
      </c>
      <c r="B2539" t="str">
        <f>"70882000"</f>
        <v>70882000</v>
      </c>
      <c r="C2539" t="str">
        <f t="shared" si="146"/>
        <v>CAU708820000</v>
      </c>
      <c r="E2539">
        <v>0</v>
      </c>
      <c r="F2539">
        <v>15</v>
      </c>
      <c r="G2539">
        <f t="shared" si="147"/>
        <v>-15</v>
      </c>
    </row>
    <row r="2540" spans="1:7">
      <c r="A2540" t="str">
        <f t="shared" si="150"/>
        <v>CAU</v>
      </c>
      <c r="B2540" t="str">
        <f>"70970000"</f>
        <v>70970000</v>
      </c>
      <c r="C2540" t="str">
        <f t="shared" si="146"/>
        <v>CAU709700000</v>
      </c>
      <c r="E2540">
        <v>2581.1</v>
      </c>
      <c r="F2540">
        <v>0</v>
      </c>
      <c r="G2540">
        <f t="shared" si="147"/>
        <v>2581.1</v>
      </c>
    </row>
    <row r="2541" spans="1:7">
      <c r="A2541" t="str">
        <f t="shared" si="150"/>
        <v>CAU</v>
      </c>
      <c r="B2541" t="str">
        <f>"74000000"</f>
        <v>74000000</v>
      </c>
      <c r="C2541" t="str">
        <f t="shared" si="146"/>
        <v>CAU740000000</v>
      </c>
      <c r="E2541">
        <v>0</v>
      </c>
      <c r="F2541">
        <v>0</v>
      </c>
      <c r="G2541">
        <f t="shared" si="147"/>
        <v>0</v>
      </c>
    </row>
    <row r="2542" spans="1:7">
      <c r="A2542" t="str">
        <f t="shared" si="150"/>
        <v>CAU</v>
      </c>
      <c r="B2542" t="str">
        <f>"75800000"</f>
        <v>75800000</v>
      </c>
      <c r="C2542" t="str">
        <f t="shared" si="146"/>
        <v>CAU758000000</v>
      </c>
      <c r="E2542">
        <v>0</v>
      </c>
      <c r="F2542">
        <v>7637.03</v>
      </c>
      <c r="G2542">
        <f t="shared" si="147"/>
        <v>-7637.03</v>
      </c>
    </row>
    <row r="2543" spans="1:7">
      <c r="A2543" t="str">
        <f t="shared" si="150"/>
        <v>CAU</v>
      </c>
      <c r="B2543" t="str">
        <f>"75810000"</f>
        <v>75810000</v>
      </c>
      <c r="C2543" t="str">
        <f t="shared" si="146"/>
        <v>CAU758100000</v>
      </c>
      <c r="E2543">
        <v>0</v>
      </c>
      <c r="F2543">
        <v>423.32</v>
      </c>
      <c r="G2543">
        <f t="shared" si="147"/>
        <v>-423.32</v>
      </c>
    </row>
    <row r="2544" spans="1:7">
      <c r="A2544" t="str">
        <f t="shared" si="150"/>
        <v>CAU</v>
      </c>
      <c r="B2544" t="str">
        <f>"76300000"</f>
        <v>76300000</v>
      </c>
      <c r="C2544" t="str">
        <f t="shared" si="146"/>
        <v>CAU763000000</v>
      </c>
      <c r="E2544">
        <v>15.2</v>
      </c>
      <c r="F2544">
        <v>373.49</v>
      </c>
      <c r="G2544">
        <f t="shared" si="147"/>
        <v>-358.29</v>
      </c>
    </row>
    <row r="2545" spans="1:7">
      <c r="A2545" t="str">
        <f t="shared" si="150"/>
        <v>CAU</v>
      </c>
      <c r="B2545" t="str">
        <f>"77180000"</f>
        <v>77180000</v>
      </c>
      <c r="C2545" t="str">
        <f t="shared" si="146"/>
        <v>CAU771800000</v>
      </c>
      <c r="E2545">
        <v>0</v>
      </c>
      <c r="F2545">
        <v>7829.53</v>
      </c>
      <c r="G2545">
        <f t="shared" si="147"/>
        <v>-7829.53</v>
      </c>
    </row>
    <row r="2546" spans="1:7">
      <c r="A2546" t="str">
        <f t="shared" si="150"/>
        <v>CAU</v>
      </c>
      <c r="B2546" t="str">
        <f>"78173000"</f>
        <v>78173000</v>
      </c>
      <c r="C2546" t="str">
        <f t="shared" si="146"/>
        <v>CAU781730000</v>
      </c>
      <c r="E2546">
        <v>0</v>
      </c>
      <c r="F2546">
        <v>8543.6299999999992</v>
      </c>
      <c r="G2546">
        <f t="shared" si="147"/>
        <v>-8543.6299999999992</v>
      </c>
    </row>
    <row r="2547" spans="1:7">
      <c r="A2547" t="str">
        <f t="shared" si="150"/>
        <v>CAU</v>
      </c>
      <c r="B2547" t="str">
        <f>"78174000"</f>
        <v>78174000</v>
      </c>
      <c r="C2547" t="str">
        <f t="shared" si="146"/>
        <v>CAU781740000</v>
      </c>
      <c r="E2547">
        <v>0</v>
      </c>
      <c r="F2547">
        <v>969.13</v>
      </c>
      <c r="G2547">
        <f t="shared" si="147"/>
        <v>-969.13</v>
      </c>
    </row>
    <row r="2548" spans="1:7">
      <c r="A2548" t="str">
        <f t="shared" si="150"/>
        <v>CAU</v>
      </c>
      <c r="B2548" t="str">
        <f>"78725000"</f>
        <v>78725000</v>
      </c>
      <c r="C2548" t="str">
        <f t="shared" si="146"/>
        <v>CAU787250000</v>
      </c>
      <c r="E2548">
        <v>0</v>
      </c>
      <c r="F2548">
        <v>864.6</v>
      </c>
      <c r="G2548">
        <f t="shared" si="147"/>
        <v>-864.6</v>
      </c>
    </row>
    <row r="2549" spans="1:7">
      <c r="A2549" t="str">
        <f t="shared" ref="A2549:A2560" si="151">"CHA"</f>
        <v>CHA</v>
      </c>
      <c r="B2549" t="str">
        <f>"70600000"</f>
        <v>70600000</v>
      </c>
      <c r="C2549" t="str">
        <f t="shared" si="146"/>
        <v>CHA706000000</v>
      </c>
      <c r="E2549">
        <v>0</v>
      </c>
      <c r="F2549">
        <v>0</v>
      </c>
      <c r="G2549">
        <f t="shared" si="147"/>
        <v>0</v>
      </c>
    </row>
    <row r="2550" spans="1:7">
      <c r="A2550" t="str">
        <f t="shared" si="151"/>
        <v>CHA</v>
      </c>
      <c r="B2550" t="str">
        <f>"70711000"</f>
        <v>70711000</v>
      </c>
      <c r="C2550" t="str">
        <f t="shared" si="146"/>
        <v>CHA707110000</v>
      </c>
      <c r="E2550">
        <v>0</v>
      </c>
      <c r="F2550">
        <v>92.65</v>
      </c>
      <c r="G2550">
        <f t="shared" si="147"/>
        <v>-92.65</v>
      </c>
    </row>
    <row r="2551" spans="1:7">
      <c r="A2551" t="str">
        <f t="shared" si="151"/>
        <v>CHA</v>
      </c>
      <c r="B2551" t="str">
        <f>"70713000"</f>
        <v>70713000</v>
      </c>
      <c r="C2551" t="str">
        <f t="shared" si="146"/>
        <v>CHA707130000</v>
      </c>
      <c r="E2551">
        <v>37431.870000000003</v>
      </c>
      <c r="F2551">
        <v>444957.71</v>
      </c>
      <c r="G2551">
        <f t="shared" si="147"/>
        <v>-407525.84</v>
      </c>
    </row>
    <row r="2552" spans="1:7">
      <c r="A2552" t="str">
        <f t="shared" si="151"/>
        <v>CHA</v>
      </c>
      <c r="B2552" t="str">
        <f>"70713100"</f>
        <v>70713100</v>
      </c>
      <c r="C2552" t="str">
        <f t="shared" si="146"/>
        <v>CHA707131000</v>
      </c>
      <c r="E2552">
        <v>0</v>
      </c>
      <c r="F2552">
        <v>55901.68</v>
      </c>
      <c r="G2552">
        <f t="shared" si="147"/>
        <v>-55901.68</v>
      </c>
    </row>
    <row r="2553" spans="1:7">
      <c r="A2553" t="str">
        <f t="shared" si="151"/>
        <v>CHA</v>
      </c>
      <c r="B2553" t="str">
        <f>"70850000"</f>
        <v>70850000</v>
      </c>
      <c r="C2553" t="str">
        <f t="shared" si="146"/>
        <v>CHA708500000</v>
      </c>
      <c r="E2553">
        <v>0</v>
      </c>
      <c r="F2553">
        <v>261</v>
      </c>
      <c r="G2553">
        <f t="shared" si="147"/>
        <v>-261</v>
      </c>
    </row>
    <row r="2554" spans="1:7">
      <c r="A2554" t="str">
        <f t="shared" si="151"/>
        <v>CHA</v>
      </c>
      <c r="B2554" t="str">
        <f>"70882000"</f>
        <v>70882000</v>
      </c>
      <c r="C2554" t="str">
        <f t="shared" si="146"/>
        <v>CHA708820000</v>
      </c>
      <c r="E2554">
        <v>0</v>
      </c>
      <c r="F2554">
        <v>151.19</v>
      </c>
      <c r="G2554">
        <f t="shared" si="147"/>
        <v>-151.19</v>
      </c>
    </row>
    <row r="2555" spans="1:7">
      <c r="A2555" t="str">
        <f t="shared" si="151"/>
        <v>CHA</v>
      </c>
      <c r="B2555" t="str">
        <f>"70970000"</f>
        <v>70970000</v>
      </c>
      <c r="C2555" t="str">
        <f t="shared" si="146"/>
        <v>CHA709700000</v>
      </c>
      <c r="E2555">
        <v>9448.18</v>
      </c>
      <c r="F2555">
        <v>0</v>
      </c>
      <c r="G2555">
        <f t="shared" si="147"/>
        <v>9448.18</v>
      </c>
    </row>
    <row r="2556" spans="1:7">
      <c r="A2556" t="str">
        <f t="shared" si="151"/>
        <v>CHA</v>
      </c>
      <c r="B2556" t="str">
        <f>"76300000"</f>
        <v>76300000</v>
      </c>
      <c r="C2556" t="str">
        <f t="shared" si="146"/>
        <v>CHA763000000</v>
      </c>
      <c r="E2556">
        <v>42.2</v>
      </c>
      <c r="F2556">
        <v>63</v>
      </c>
      <c r="G2556">
        <f t="shared" si="147"/>
        <v>-20.799999999999997</v>
      </c>
    </row>
    <row r="2557" spans="1:7">
      <c r="A2557" t="str">
        <f t="shared" si="151"/>
        <v>CHA</v>
      </c>
      <c r="B2557" t="str">
        <f>"77180000"</f>
        <v>77180000</v>
      </c>
      <c r="C2557" t="str">
        <f t="shared" si="146"/>
        <v>CHA771800000</v>
      </c>
      <c r="E2557">
        <v>0</v>
      </c>
      <c r="F2557">
        <v>58</v>
      </c>
      <c r="G2557">
        <f t="shared" si="147"/>
        <v>-58</v>
      </c>
    </row>
    <row r="2558" spans="1:7">
      <c r="A2558" t="str">
        <f t="shared" si="151"/>
        <v>CHA</v>
      </c>
      <c r="B2558" t="str">
        <f>"78173000"</f>
        <v>78173000</v>
      </c>
      <c r="C2558" t="str">
        <f t="shared" si="146"/>
        <v>CHA781730000</v>
      </c>
      <c r="E2558">
        <v>0</v>
      </c>
      <c r="F2558">
        <v>3666.59</v>
      </c>
      <c r="G2558">
        <f t="shared" si="147"/>
        <v>-3666.59</v>
      </c>
    </row>
    <row r="2559" spans="1:7">
      <c r="A2559" t="str">
        <f t="shared" si="151"/>
        <v>CHA</v>
      </c>
      <c r="B2559" t="str">
        <f>"78174000"</f>
        <v>78174000</v>
      </c>
      <c r="C2559" t="str">
        <f t="shared" si="146"/>
        <v>CHA781740000</v>
      </c>
      <c r="E2559">
        <v>0</v>
      </c>
      <c r="F2559">
        <v>52.25</v>
      </c>
      <c r="G2559">
        <f t="shared" si="147"/>
        <v>-52.25</v>
      </c>
    </row>
    <row r="2560" spans="1:7">
      <c r="A2560" t="str">
        <f t="shared" si="151"/>
        <v>CHA</v>
      </c>
      <c r="B2560" t="str">
        <f>"78725000"</f>
        <v>78725000</v>
      </c>
      <c r="C2560" t="str">
        <f t="shared" si="146"/>
        <v>CHA787250000</v>
      </c>
      <c r="E2560">
        <v>0</v>
      </c>
      <c r="F2560">
        <v>611.32000000000005</v>
      </c>
      <c r="G2560">
        <f t="shared" si="147"/>
        <v>-611.32000000000005</v>
      </c>
    </row>
    <row r="2561" spans="1:7">
      <c r="A2561" t="str">
        <f t="shared" ref="A2561:A2574" si="152">"CHAM"</f>
        <v>CHAM</v>
      </c>
      <c r="B2561" t="str">
        <f>"70600000"</f>
        <v>70600000</v>
      </c>
      <c r="C2561" t="str">
        <f t="shared" si="146"/>
        <v>CHAM706000000</v>
      </c>
      <c r="E2561">
        <v>0</v>
      </c>
      <c r="F2561">
        <v>0</v>
      </c>
      <c r="G2561">
        <f t="shared" si="147"/>
        <v>0</v>
      </c>
    </row>
    <row r="2562" spans="1:7">
      <c r="A2562" t="str">
        <f t="shared" si="152"/>
        <v>CHAM</v>
      </c>
      <c r="B2562" t="str">
        <f>"70711000"</f>
        <v>70711000</v>
      </c>
      <c r="C2562" t="str">
        <f t="shared" si="146"/>
        <v>CHAM707110000</v>
      </c>
      <c r="E2562">
        <v>65</v>
      </c>
      <c r="F2562">
        <v>346.92</v>
      </c>
      <c r="G2562">
        <f t="shared" si="147"/>
        <v>-281.92</v>
      </c>
    </row>
    <row r="2563" spans="1:7">
      <c r="A2563" t="str">
        <f t="shared" si="152"/>
        <v>CHAM</v>
      </c>
      <c r="B2563" t="str">
        <f>"70713000"</f>
        <v>70713000</v>
      </c>
      <c r="C2563" t="str">
        <f t="shared" ref="C2563:C2626" si="153">+A2563&amp;B2563*10</f>
        <v>CHAM707130000</v>
      </c>
      <c r="E2563">
        <v>28133.1</v>
      </c>
      <c r="F2563">
        <v>690648.09</v>
      </c>
      <c r="G2563">
        <f t="shared" ref="G2563:G2626" si="154">+E2563-F2563</f>
        <v>-662514.99</v>
      </c>
    </row>
    <row r="2564" spans="1:7">
      <c r="A2564" t="str">
        <f t="shared" si="152"/>
        <v>CHAM</v>
      </c>
      <c r="B2564" t="str">
        <f>"70713100"</f>
        <v>70713100</v>
      </c>
      <c r="C2564" t="str">
        <f t="shared" si="153"/>
        <v>CHAM707131000</v>
      </c>
      <c r="E2564">
        <v>0</v>
      </c>
      <c r="F2564">
        <v>59499.03</v>
      </c>
      <c r="G2564">
        <f t="shared" si="154"/>
        <v>-59499.03</v>
      </c>
    </row>
    <row r="2565" spans="1:7">
      <c r="A2565" t="str">
        <f t="shared" si="152"/>
        <v>CHAM</v>
      </c>
      <c r="B2565" t="str">
        <f>"70850000"</f>
        <v>70850000</v>
      </c>
      <c r="C2565" t="str">
        <f t="shared" si="153"/>
        <v>CHAM708500000</v>
      </c>
      <c r="E2565">
        <v>0</v>
      </c>
      <c r="F2565">
        <v>666</v>
      </c>
      <c r="G2565">
        <f t="shared" si="154"/>
        <v>-666</v>
      </c>
    </row>
    <row r="2566" spans="1:7">
      <c r="A2566" t="str">
        <f t="shared" si="152"/>
        <v>CHAM</v>
      </c>
      <c r="B2566" t="str">
        <f>"70882000"</f>
        <v>70882000</v>
      </c>
      <c r="C2566" t="str">
        <f t="shared" si="153"/>
        <v>CHAM708820000</v>
      </c>
      <c r="E2566">
        <v>21.89</v>
      </c>
      <c r="F2566">
        <v>905.67</v>
      </c>
      <c r="G2566">
        <f t="shared" si="154"/>
        <v>-883.78</v>
      </c>
    </row>
    <row r="2567" spans="1:7">
      <c r="A2567" t="str">
        <f t="shared" si="152"/>
        <v>CHAM</v>
      </c>
      <c r="B2567" t="str">
        <f>"70970000"</f>
        <v>70970000</v>
      </c>
      <c r="C2567" t="str">
        <f t="shared" si="153"/>
        <v>CHAM709700000</v>
      </c>
      <c r="E2567">
        <v>10033.44</v>
      </c>
      <c r="F2567">
        <v>0</v>
      </c>
      <c r="G2567">
        <f t="shared" si="154"/>
        <v>10033.44</v>
      </c>
    </row>
    <row r="2568" spans="1:7">
      <c r="A2568" t="str">
        <f t="shared" si="152"/>
        <v>CHAM</v>
      </c>
      <c r="B2568" t="str">
        <f>"74000000"</f>
        <v>74000000</v>
      </c>
      <c r="C2568" t="str">
        <f t="shared" si="153"/>
        <v>CHAM740000000</v>
      </c>
      <c r="E2568">
        <v>0</v>
      </c>
      <c r="F2568">
        <v>3400</v>
      </c>
      <c r="G2568">
        <f t="shared" si="154"/>
        <v>-3400</v>
      </c>
    </row>
    <row r="2569" spans="1:7">
      <c r="A2569" t="str">
        <f t="shared" si="152"/>
        <v>CHAM</v>
      </c>
      <c r="B2569" t="str">
        <f>"76300000"</f>
        <v>76300000</v>
      </c>
      <c r="C2569" t="str">
        <f t="shared" si="153"/>
        <v>CHAM763000000</v>
      </c>
      <c r="E2569">
        <v>57</v>
      </c>
      <c r="F2569">
        <v>72</v>
      </c>
      <c r="G2569">
        <f t="shared" si="154"/>
        <v>-15</v>
      </c>
    </row>
    <row r="2570" spans="1:7">
      <c r="A2570" t="str">
        <f t="shared" si="152"/>
        <v>CHAM</v>
      </c>
      <c r="B2570" t="str">
        <f>"77180000"</f>
        <v>77180000</v>
      </c>
      <c r="C2570" t="str">
        <f t="shared" si="153"/>
        <v>CHAM771800000</v>
      </c>
      <c r="E2570">
        <v>0</v>
      </c>
      <c r="F2570">
        <v>1490</v>
      </c>
      <c r="G2570">
        <f t="shared" si="154"/>
        <v>-1490</v>
      </c>
    </row>
    <row r="2571" spans="1:7">
      <c r="A2571" t="str">
        <f t="shared" si="152"/>
        <v>CHAM</v>
      </c>
      <c r="B2571" t="str">
        <f>"78173000"</f>
        <v>78173000</v>
      </c>
      <c r="C2571" t="str">
        <f t="shared" si="153"/>
        <v>CHAM781730000</v>
      </c>
      <c r="E2571">
        <v>0</v>
      </c>
      <c r="F2571">
        <v>11879.49</v>
      </c>
      <c r="G2571">
        <f t="shared" si="154"/>
        <v>-11879.49</v>
      </c>
    </row>
    <row r="2572" spans="1:7">
      <c r="A2572" t="str">
        <f t="shared" si="152"/>
        <v>CHAM</v>
      </c>
      <c r="B2572" t="str">
        <f>"78174000"</f>
        <v>78174000</v>
      </c>
      <c r="C2572" t="str">
        <f t="shared" si="153"/>
        <v>CHAM781740000</v>
      </c>
      <c r="E2572">
        <v>0</v>
      </c>
      <c r="F2572">
        <v>537.07000000000005</v>
      </c>
      <c r="G2572">
        <f t="shared" si="154"/>
        <v>-537.07000000000005</v>
      </c>
    </row>
    <row r="2573" spans="1:7">
      <c r="A2573" t="str">
        <f t="shared" si="152"/>
        <v>CHAM</v>
      </c>
      <c r="B2573" t="str">
        <f>"78725000"</f>
        <v>78725000</v>
      </c>
      <c r="C2573" t="str">
        <f t="shared" si="153"/>
        <v>CHAM787250000</v>
      </c>
      <c r="E2573">
        <v>0</v>
      </c>
      <c r="F2573">
        <v>2999.15</v>
      </c>
      <c r="G2573">
        <f t="shared" si="154"/>
        <v>-2999.15</v>
      </c>
    </row>
    <row r="2574" spans="1:7">
      <c r="A2574" t="str">
        <f t="shared" si="152"/>
        <v>CHAM</v>
      </c>
      <c r="B2574" t="str">
        <f>"79110000"</f>
        <v>79110000</v>
      </c>
      <c r="C2574" t="str">
        <f t="shared" si="153"/>
        <v>CHAM791100000</v>
      </c>
      <c r="E2574">
        <v>0</v>
      </c>
      <c r="F2574">
        <v>4643.1400000000003</v>
      </c>
      <c r="G2574">
        <f t="shared" si="154"/>
        <v>-4643.1400000000003</v>
      </c>
    </row>
    <row r="2575" spans="1:7">
      <c r="A2575" t="str">
        <f t="shared" ref="A2575:A2588" si="155">"CHART"</f>
        <v>CHART</v>
      </c>
      <c r="B2575" t="str">
        <f>"70600000"</f>
        <v>70600000</v>
      </c>
      <c r="C2575" t="str">
        <f t="shared" si="153"/>
        <v>CHART706000000</v>
      </c>
      <c r="E2575">
        <v>0</v>
      </c>
      <c r="F2575">
        <v>0</v>
      </c>
      <c r="G2575">
        <f t="shared" si="154"/>
        <v>0</v>
      </c>
    </row>
    <row r="2576" spans="1:7">
      <c r="A2576" t="str">
        <f t="shared" si="155"/>
        <v>CHART</v>
      </c>
      <c r="B2576" t="str">
        <f>"70711000"</f>
        <v>70711000</v>
      </c>
      <c r="C2576" t="str">
        <f t="shared" si="153"/>
        <v>CHART707110000</v>
      </c>
      <c r="E2576">
        <v>0</v>
      </c>
      <c r="F2576">
        <v>106.2</v>
      </c>
      <c r="G2576">
        <f t="shared" si="154"/>
        <v>-106.2</v>
      </c>
    </row>
    <row r="2577" spans="1:7">
      <c r="A2577" t="str">
        <f t="shared" si="155"/>
        <v>CHART</v>
      </c>
      <c r="B2577" t="str">
        <f>"70713000"</f>
        <v>70713000</v>
      </c>
      <c r="C2577" t="str">
        <f t="shared" si="153"/>
        <v>CHART707130000</v>
      </c>
      <c r="E2577">
        <v>26416.43</v>
      </c>
      <c r="F2577">
        <v>785179.4</v>
      </c>
      <c r="G2577">
        <f t="shared" si="154"/>
        <v>-758762.97</v>
      </c>
    </row>
    <row r="2578" spans="1:7">
      <c r="A2578" t="str">
        <f t="shared" si="155"/>
        <v>CHART</v>
      </c>
      <c r="B2578" t="str">
        <f>"70713100"</f>
        <v>70713100</v>
      </c>
      <c r="C2578" t="str">
        <f t="shared" si="153"/>
        <v>CHART707131000</v>
      </c>
      <c r="E2578">
        <v>0</v>
      </c>
      <c r="F2578">
        <v>30007.5</v>
      </c>
      <c r="G2578">
        <f t="shared" si="154"/>
        <v>-30007.5</v>
      </c>
    </row>
    <row r="2579" spans="1:7">
      <c r="A2579" t="str">
        <f t="shared" si="155"/>
        <v>CHART</v>
      </c>
      <c r="B2579" t="str">
        <f>"70850000"</f>
        <v>70850000</v>
      </c>
      <c r="C2579" t="str">
        <f t="shared" si="153"/>
        <v>CHART708500000</v>
      </c>
      <c r="E2579">
        <v>0</v>
      </c>
      <c r="F2579">
        <v>1863</v>
      </c>
      <c r="G2579">
        <f t="shared" si="154"/>
        <v>-1863</v>
      </c>
    </row>
    <row r="2580" spans="1:7">
      <c r="A2580" t="str">
        <f t="shared" si="155"/>
        <v>CHART</v>
      </c>
      <c r="B2580" t="str">
        <f>"70882000"</f>
        <v>70882000</v>
      </c>
      <c r="C2580" t="str">
        <f t="shared" si="153"/>
        <v>CHART708820000</v>
      </c>
      <c r="E2580">
        <v>0</v>
      </c>
      <c r="F2580">
        <v>396.94</v>
      </c>
      <c r="G2580">
        <f t="shared" si="154"/>
        <v>-396.94</v>
      </c>
    </row>
    <row r="2581" spans="1:7">
      <c r="A2581" t="str">
        <f t="shared" si="155"/>
        <v>CHART</v>
      </c>
      <c r="B2581" t="str">
        <f>"70970000"</f>
        <v>70970000</v>
      </c>
      <c r="C2581" t="str">
        <f t="shared" si="153"/>
        <v>CHART709700000</v>
      </c>
      <c r="E2581">
        <v>8612.0300000000007</v>
      </c>
      <c r="F2581">
        <v>0</v>
      </c>
      <c r="G2581">
        <f t="shared" si="154"/>
        <v>8612.0300000000007</v>
      </c>
    </row>
    <row r="2582" spans="1:7">
      <c r="A2582" t="str">
        <f t="shared" si="155"/>
        <v>CHART</v>
      </c>
      <c r="B2582" t="str">
        <f>"75810000"</f>
        <v>75810000</v>
      </c>
      <c r="C2582" t="str">
        <f t="shared" si="153"/>
        <v>CHART758100000</v>
      </c>
      <c r="E2582">
        <v>0</v>
      </c>
      <c r="F2582">
        <v>990.94</v>
      </c>
      <c r="G2582">
        <f t="shared" si="154"/>
        <v>-990.94</v>
      </c>
    </row>
    <row r="2583" spans="1:7">
      <c r="A2583" t="str">
        <f t="shared" si="155"/>
        <v>CHART</v>
      </c>
      <c r="B2583" t="str">
        <f>"76300000"</f>
        <v>76300000</v>
      </c>
      <c r="C2583" t="str">
        <f t="shared" si="153"/>
        <v>CHART763000000</v>
      </c>
      <c r="E2583">
        <v>36</v>
      </c>
      <c r="F2583">
        <v>81</v>
      </c>
      <c r="G2583">
        <f t="shared" si="154"/>
        <v>-45</v>
      </c>
    </row>
    <row r="2584" spans="1:7">
      <c r="A2584" t="str">
        <f t="shared" si="155"/>
        <v>CHART</v>
      </c>
      <c r="B2584" t="str">
        <f>"77180000"</f>
        <v>77180000</v>
      </c>
      <c r="C2584" t="str">
        <f t="shared" si="153"/>
        <v>CHART771800000</v>
      </c>
      <c r="E2584">
        <v>0</v>
      </c>
      <c r="F2584">
        <v>-649.6</v>
      </c>
      <c r="G2584">
        <f t="shared" si="154"/>
        <v>649.6</v>
      </c>
    </row>
    <row r="2585" spans="1:7">
      <c r="A2585" t="str">
        <f t="shared" si="155"/>
        <v>CHART</v>
      </c>
      <c r="B2585" t="str">
        <f>"78173000"</f>
        <v>78173000</v>
      </c>
      <c r="C2585" t="str">
        <f t="shared" si="153"/>
        <v>CHART781730000</v>
      </c>
      <c r="E2585">
        <v>0</v>
      </c>
      <c r="F2585">
        <v>4043.93</v>
      </c>
      <c r="G2585">
        <f t="shared" si="154"/>
        <v>-4043.93</v>
      </c>
    </row>
    <row r="2586" spans="1:7">
      <c r="A2586" t="str">
        <f t="shared" si="155"/>
        <v>CHART</v>
      </c>
      <c r="B2586" t="str">
        <f>"78174000"</f>
        <v>78174000</v>
      </c>
      <c r="C2586" t="str">
        <f t="shared" si="153"/>
        <v>CHART781740000</v>
      </c>
      <c r="E2586">
        <v>0</v>
      </c>
      <c r="F2586">
        <v>2098.0300000000002</v>
      </c>
      <c r="G2586">
        <f t="shared" si="154"/>
        <v>-2098.0300000000002</v>
      </c>
    </row>
    <row r="2587" spans="1:7">
      <c r="A2587" t="str">
        <f t="shared" si="155"/>
        <v>CHART</v>
      </c>
      <c r="B2587" t="str">
        <f>"78725000"</f>
        <v>78725000</v>
      </c>
      <c r="C2587" t="str">
        <f t="shared" si="153"/>
        <v>CHART787250000</v>
      </c>
      <c r="E2587">
        <v>0</v>
      </c>
      <c r="F2587">
        <v>241.68</v>
      </c>
      <c r="G2587">
        <f t="shared" si="154"/>
        <v>-241.68</v>
      </c>
    </row>
    <row r="2588" spans="1:7">
      <c r="A2588" t="str">
        <f t="shared" si="155"/>
        <v>CHART</v>
      </c>
      <c r="B2588" t="str">
        <f>"79110000"</f>
        <v>79110000</v>
      </c>
      <c r="C2588" t="str">
        <f t="shared" si="153"/>
        <v>CHART791100000</v>
      </c>
      <c r="E2588">
        <v>0</v>
      </c>
      <c r="F2588">
        <v>3814.81</v>
      </c>
      <c r="G2588">
        <f t="shared" si="154"/>
        <v>-3814.81</v>
      </c>
    </row>
    <row r="2589" spans="1:7">
      <c r="A2589" t="str">
        <f t="shared" ref="A2589:A2604" si="156">"CLE"</f>
        <v>CLE</v>
      </c>
      <c r="B2589" t="str">
        <f>"70600000"</f>
        <v>70600000</v>
      </c>
      <c r="C2589" t="str">
        <f t="shared" si="153"/>
        <v>CLE706000000</v>
      </c>
      <c r="E2589">
        <v>0</v>
      </c>
      <c r="F2589">
        <v>0</v>
      </c>
      <c r="G2589">
        <f t="shared" si="154"/>
        <v>0</v>
      </c>
    </row>
    <row r="2590" spans="1:7">
      <c r="A2590" t="str">
        <f t="shared" si="156"/>
        <v>CLE</v>
      </c>
      <c r="B2590" t="str">
        <f>"70711000"</f>
        <v>70711000</v>
      </c>
      <c r="C2590" t="str">
        <f t="shared" si="153"/>
        <v>CLE707110000</v>
      </c>
      <c r="E2590">
        <v>0</v>
      </c>
      <c r="F2590">
        <v>126.78</v>
      </c>
      <c r="G2590">
        <f t="shared" si="154"/>
        <v>-126.78</v>
      </c>
    </row>
    <row r="2591" spans="1:7">
      <c r="A2591" t="str">
        <f t="shared" si="156"/>
        <v>CLE</v>
      </c>
      <c r="B2591" t="str">
        <f>"70713000"</f>
        <v>70713000</v>
      </c>
      <c r="C2591" t="str">
        <f t="shared" si="153"/>
        <v>CLE707130000</v>
      </c>
      <c r="E2591">
        <v>120035.27</v>
      </c>
      <c r="F2591">
        <v>1917694.84</v>
      </c>
      <c r="G2591">
        <f t="shared" si="154"/>
        <v>-1797659.57</v>
      </c>
    </row>
    <row r="2592" spans="1:7">
      <c r="A2592" t="str">
        <f t="shared" si="156"/>
        <v>CLE</v>
      </c>
      <c r="B2592" t="str">
        <f>"70713100"</f>
        <v>70713100</v>
      </c>
      <c r="C2592" t="str">
        <f t="shared" si="153"/>
        <v>CLE707131000</v>
      </c>
      <c r="E2592">
        <v>0</v>
      </c>
      <c r="F2592">
        <v>541056.86</v>
      </c>
      <c r="G2592">
        <f t="shared" si="154"/>
        <v>-541056.86</v>
      </c>
    </row>
    <row r="2593" spans="1:10">
      <c r="A2593" t="str">
        <f t="shared" si="156"/>
        <v>CLE</v>
      </c>
      <c r="B2593" t="str">
        <f>"70830000"</f>
        <v>70830000</v>
      </c>
      <c r="C2593" t="str">
        <f t="shared" si="153"/>
        <v>CLE708300000</v>
      </c>
      <c r="E2593">
        <v>20867.57</v>
      </c>
      <c r="F2593">
        <v>20867.57</v>
      </c>
      <c r="G2593">
        <f t="shared" si="154"/>
        <v>0</v>
      </c>
    </row>
    <row r="2594" spans="1:10">
      <c r="A2594" t="str">
        <f t="shared" si="156"/>
        <v>CLE</v>
      </c>
      <c r="B2594" t="str">
        <f>"70850000"</f>
        <v>70850000</v>
      </c>
      <c r="C2594" t="str">
        <f t="shared" si="153"/>
        <v>CLE708500000</v>
      </c>
      <c r="E2594">
        <v>0</v>
      </c>
      <c r="F2594">
        <v>334</v>
      </c>
      <c r="G2594">
        <f t="shared" si="154"/>
        <v>-334</v>
      </c>
    </row>
    <row r="2595" spans="1:10">
      <c r="A2595" t="str">
        <f t="shared" si="156"/>
        <v>CLE</v>
      </c>
      <c r="B2595" t="str">
        <f>"70882000"</f>
        <v>70882000</v>
      </c>
      <c r="C2595" t="str">
        <f t="shared" si="153"/>
        <v>CLE708820000</v>
      </c>
      <c r="E2595">
        <v>20</v>
      </c>
      <c r="F2595">
        <v>947.22</v>
      </c>
      <c r="G2595">
        <f t="shared" si="154"/>
        <v>-927.22</v>
      </c>
    </row>
    <row r="2596" spans="1:10">
      <c r="A2596" t="str">
        <f t="shared" si="156"/>
        <v>CLE</v>
      </c>
      <c r="B2596" t="str">
        <f>"70970000"</f>
        <v>70970000</v>
      </c>
      <c r="C2596" t="str">
        <f t="shared" si="153"/>
        <v>CLE709700000</v>
      </c>
      <c r="E2596">
        <v>39106.21</v>
      </c>
      <c r="F2596">
        <v>0</v>
      </c>
      <c r="G2596">
        <f t="shared" si="154"/>
        <v>39106.21</v>
      </c>
    </row>
    <row r="2597" spans="1:10">
      <c r="A2597" t="str">
        <f t="shared" si="156"/>
        <v>CLE</v>
      </c>
      <c r="B2597" t="str">
        <f>"75810000"</f>
        <v>75810000</v>
      </c>
      <c r="C2597" t="str">
        <f t="shared" si="153"/>
        <v>CLE758100000</v>
      </c>
      <c r="E2597">
        <v>0</v>
      </c>
      <c r="F2597">
        <v>1216.27</v>
      </c>
      <c r="G2597">
        <f t="shared" si="154"/>
        <v>-1216.27</v>
      </c>
    </row>
    <row r="2598" spans="1:10">
      <c r="A2598" t="str">
        <f t="shared" si="156"/>
        <v>CLE</v>
      </c>
      <c r="B2598" t="str">
        <f>"76300000"</f>
        <v>76300000</v>
      </c>
      <c r="C2598" t="str">
        <f t="shared" si="153"/>
        <v>CLE763000000</v>
      </c>
      <c r="E2598">
        <v>45</v>
      </c>
      <c r="F2598">
        <v>194.1</v>
      </c>
      <c r="G2598">
        <f t="shared" si="154"/>
        <v>-149.1</v>
      </c>
    </row>
    <row r="2599" spans="1:10">
      <c r="A2599" t="str">
        <f t="shared" si="156"/>
        <v>CLE</v>
      </c>
      <c r="B2599" t="str">
        <f>"77180000"</f>
        <v>77180000</v>
      </c>
      <c r="C2599" t="str">
        <f t="shared" si="153"/>
        <v>CLE771800000</v>
      </c>
      <c r="E2599">
        <v>0</v>
      </c>
      <c r="F2599">
        <v>2450.4299999999998</v>
      </c>
      <c r="G2599">
        <f t="shared" si="154"/>
        <v>-2450.4299999999998</v>
      </c>
    </row>
    <row r="2600" spans="1:10">
      <c r="A2600" t="str">
        <f t="shared" si="156"/>
        <v>CLE</v>
      </c>
      <c r="B2600" t="str">
        <f>"78173000"</f>
        <v>78173000</v>
      </c>
      <c r="C2600" t="str">
        <f t="shared" si="153"/>
        <v>CLE781730000</v>
      </c>
      <c r="E2600">
        <v>0</v>
      </c>
      <c r="F2600">
        <v>10514.21</v>
      </c>
      <c r="G2600">
        <f t="shared" si="154"/>
        <v>-10514.21</v>
      </c>
      <c r="I2600" s="26"/>
    </row>
    <row r="2601" spans="1:10">
      <c r="A2601" t="str">
        <f t="shared" si="156"/>
        <v>CLE</v>
      </c>
      <c r="B2601" t="str">
        <f>"78174000"</f>
        <v>78174000</v>
      </c>
      <c r="C2601" t="str">
        <f t="shared" si="153"/>
        <v>CLE781740000</v>
      </c>
      <c r="E2601">
        <v>0</v>
      </c>
      <c r="F2601">
        <v>188.25</v>
      </c>
      <c r="G2601">
        <f t="shared" si="154"/>
        <v>-188.25</v>
      </c>
      <c r="J2601" s="26"/>
    </row>
    <row r="2602" spans="1:10">
      <c r="A2602" t="str">
        <f t="shared" si="156"/>
        <v>CLE</v>
      </c>
      <c r="B2602" t="str">
        <f>"78662000"</f>
        <v>78662000</v>
      </c>
      <c r="C2602" t="str">
        <f t="shared" si="153"/>
        <v>CLE786620000</v>
      </c>
      <c r="E2602">
        <v>0</v>
      </c>
      <c r="F2602">
        <v>1808.66</v>
      </c>
      <c r="G2602">
        <f t="shared" si="154"/>
        <v>-1808.66</v>
      </c>
    </row>
    <row r="2603" spans="1:10">
      <c r="A2603" t="str">
        <f t="shared" si="156"/>
        <v>CLE</v>
      </c>
      <c r="B2603" t="str">
        <f>"78725000"</f>
        <v>78725000</v>
      </c>
      <c r="C2603" t="str">
        <f t="shared" si="153"/>
        <v>CLE787250000</v>
      </c>
      <c r="E2603">
        <v>0</v>
      </c>
      <c r="F2603">
        <v>1570.45</v>
      </c>
      <c r="G2603">
        <f t="shared" si="154"/>
        <v>-1570.45</v>
      </c>
    </row>
    <row r="2604" spans="1:10">
      <c r="A2604" t="str">
        <f t="shared" si="156"/>
        <v>CLE</v>
      </c>
      <c r="B2604" t="str">
        <f>"79110000"</f>
        <v>79110000</v>
      </c>
      <c r="C2604" t="str">
        <f t="shared" si="153"/>
        <v>CLE791100000</v>
      </c>
      <c r="E2604">
        <v>0</v>
      </c>
      <c r="F2604">
        <v>3672.45</v>
      </c>
      <c r="G2604">
        <f t="shared" si="154"/>
        <v>-3672.45</v>
      </c>
    </row>
    <row r="2605" spans="1:10">
      <c r="A2605" t="str">
        <f t="shared" ref="A2605:A2618" si="157">"COM"</f>
        <v>COM</v>
      </c>
      <c r="B2605" t="str">
        <f>"70600000"</f>
        <v>70600000</v>
      </c>
      <c r="C2605" t="str">
        <f t="shared" si="153"/>
        <v>COM706000000</v>
      </c>
      <c r="E2605">
        <v>0</v>
      </c>
      <c r="F2605">
        <v>0</v>
      </c>
      <c r="G2605">
        <f t="shared" si="154"/>
        <v>0</v>
      </c>
    </row>
    <row r="2606" spans="1:10">
      <c r="A2606" t="str">
        <f t="shared" si="157"/>
        <v>COM</v>
      </c>
      <c r="B2606" t="str">
        <f>"70711000"</f>
        <v>70711000</v>
      </c>
      <c r="C2606" t="str">
        <f t="shared" si="153"/>
        <v>COM707110000</v>
      </c>
      <c r="E2606">
        <v>700</v>
      </c>
      <c r="F2606">
        <v>877.79</v>
      </c>
      <c r="G2606">
        <f t="shared" si="154"/>
        <v>-177.78999999999996</v>
      </c>
    </row>
    <row r="2607" spans="1:10">
      <c r="A2607" t="str">
        <f t="shared" si="157"/>
        <v>COM</v>
      </c>
      <c r="B2607" t="str">
        <f>"70713000"</f>
        <v>70713000</v>
      </c>
      <c r="C2607" t="str">
        <f t="shared" si="153"/>
        <v>COM707130000</v>
      </c>
      <c r="E2607">
        <v>43152.37</v>
      </c>
      <c r="F2607">
        <v>717796.69</v>
      </c>
      <c r="G2607">
        <f t="shared" si="154"/>
        <v>-674644.32</v>
      </c>
    </row>
    <row r="2608" spans="1:10">
      <c r="A2608" t="str">
        <f t="shared" si="157"/>
        <v>COM</v>
      </c>
      <c r="B2608" t="str">
        <f>"70713100"</f>
        <v>70713100</v>
      </c>
      <c r="C2608" t="str">
        <f t="shared" si="153"/>
        <v>COM707131000</v>
      </c>
      <c r="E2608">
        <v>0</v>
      </c>
      <c r="F2608">
        <v>54033.54</v>
      </c>
      <c r="G2608">
        <f t="shared" si="154"/>
        <v>-54033.54</v>
      </c>
    </row>
    <row r="2609" spans="1:7">
      <c r="A2609" t="str">
        <f t="shared" si="157"/>
        <v>COM</v>
      </c>
      <c r="B2609" t="str">
        <f>"70723000"</f>
        <v>70723000</v>
      </c>
      <c r="C2609" t="str">
        <f t="shared" si="153"/>
        <v>COM707230000</v>
      </c>
      <c r="E2609">
        <v>0</v>
      </c>
      <c r="F2609">
        <v>4856.49</v>
      </c>
      <c r="G2609">
        <f t="shared" si="154"/>
        <v>-4856.49</v>
      </c>
    </row>
    <row r="2610" spans="1:7">
      <c r="A2610" t="str">
        <f t="shared" si="157"/>
        <v>COM</v>
      </c>
      <c r="B2610" t="str">
        <f>"70850000"</f>
        <v>70850000</v>
      </c>
      <c r="C2610" t="str">
        <f t="shared" si="153"/>
        <v>COM708500000</v>
      </c>
      <c r="E2610">
        <v>0</v>
      </c>
      <c r="F2610">
        <v>1215</v>
      </c>
      <c r="G2610">
        <f t="shared" si="154"/>
        <v>-1215</v>
      </c>
    </row>
    <row r="2611" spans="1:7">
      <c r="A2611" t="str">
        <f t="shared" si="157"/>
        <v>COM</v>
      </c>
      <c r="B2611" t="str">
        <f>"70970000"</f>
        <v>70970000</v>
      </c>
      <c r="C2611" t="str">
        <f t="shared" si="153"/>
        <v>COM709700000</v>
      </c>
      <c r="E2611">
        <v>6691.43</v>
      </c>
      <c r="F2611">
        <v>0</v>
      </c>
      <c r="G2611">
        <f t="shared" si="154"/>
        <v>6691.43</v>
      </c>
    </row>
    <row r="2612" spans="1:7">
      <c r="A2612" t="str">
        <f t="shared" si="157"/>
        <v>COM</v>
      </c>
      <c r="B2612" t="str">
        <f>"75800000"</f>
        <v>75800000</v>
      </c>
      <c r="C2612" t="str">
        <f t="shared" si="153"/>
        <v>COM758000000</v>
      </c>
      <c r="E2612">
        <v>0</v>
      </c>
      <c r="F2612">
        <v>785.99</v>
      </c>
      <c r="G2612">
        <f t="shared" si="154"/>
        <v>-785.99</v>
      </c>
    </row>
    <row r="2613" spans="1:7">
      <c r="A2613" t="str">
        <f t="shared" si="157"/>
        <v>COM</v>
      </c>
      <c r="B2613" t="str">
        <f>"75810000"</f>
        <v>75810000</v>
      </c>
      <c r="C2613" t="str">
        <f t="shared" si="153"/>
        <v>COM758100000</v>
      </c>
      <c r="E2613">
        <v>0</v>
      </c>
      <c r="F2613">
        <v>7898.56</v>
      </c>
      <c r="G2613">
        <f t="shared" si="154"/>
        <v>-7898.56</v>
      </c>
    </row>
    <row r="2614" spans="1:7">
      <c r="A2614" t="str">
        <f t="shared" si="157"/>
        <v>COM</v>
      </c>
      <c r="B2614" t="str">
        <f>"76300000"</f>
        <v>76300000</v>
      </c>
      <c r="C2614" t="str">
        <f t="shared" si="153"/>
        <v>COM763000000</v>
      </c>
      <c r="E2614">
        <v>9</v>
      </c>
      <c r="F2614">
        <v>0</v>
      </c>
      <c r="G2614">
        <f t="shared" si="154"/>
        <v>9</v>
      </c>
    </row>
    <row r="2615" spans="1:7">
      <c r="A2615" t="str">
        <f t="shared" si="157"/>
        <v>COM</v>
      </c>
      <c r="B2615" t="str">
        <f>"77180000"</f>
        <v>77180000</v>
      </c>
      <c r="C2615" t="str">
        <f t="shared" si="153"/>
        <v>COM771800000</v>
      </c>
      <c r="E2615">
        <v>0</v>
      </c>
      <c r="F2615">
        <v>5582.75</v>
      </c>
      <c r="G2615">
        <f t="shared" si="154"/>
        <v>-5582.75</v>
      </c>
    </row>
    <row r="2616" spans="1:7">
      <c r="A2616" t="str">
        <f t="shared" si="157"/>
        <v>COM</v>
      </c>
      <c r="B2616" t="str">
        <f>"78173000"</f>
        <v>78173000</v>
      </c>
      <c r="C2616" t="str">
        <f t="shared" si="153"/>
        <v>COM781730000</v>
      </c>
      <c r="E2616">
        <v>0</v>
      </c>
      <c r="F2616">
        <v>6156.19</v>
      </c>
      <c r="G2616">
        <f t="shared" si="154"/>
        <v>-6156.19</v>
      </c>
    </row>
    <row r="2617" spans="1:7">
      <c r="A2617" t="str">
        <f t="shared" si="157"/>
        <v>COM</v>
      </c>
      <c r="B2617" t="str">
        <f>"78174000"</f>
        <v>78174000</v>
      </c>
      <c r="C2617" t="str">
        <f t="shared" si="153"/>
        <v>COM781740000</v>
      </c>
      <c r="E2617">
        <v>0</v>
      </c>
      <c r="F2617">
        <v>464.71</v>
      </c>
      <c r="G2617">
        <f t="shared" si="154"/>
        <v>-464.71</v>
      </c>
    </row>
    <row r="2618" spans="1:7">
      <c r="A2618" t="str">
        <f t="shared" si="157"/>
        <v>COM</v>
      </c>
      <c r="B2618" t="str">
        <f>"78725000"</f>
        <v>78725000</v>
      </c>
      <c r="C2618" t="str">
        <f t="shared" si="153"/>
        <v>COM787250000</v>
      </c>
      <c r="E2618">
        <v>0</v>
      </c>
      <c r="F2618">
        <v>476.7</v>
      </c>
      <c r="G2618">
        <f t="shared" si="154"/>
        <v>-476.7</v>
      </c>
    </row>
    <row r="2619" spans="1:7">
      <c r="A2619" t="str">
        <f t="shared" ref="A2619:A2630" si="158">"CST"</f>
        <v>CST</v>
      </c>
      <c r="B2619" t="str">
        <f>"70600000"</f>
        <v>70600000</v>
      </c>
      <c r="C2619" t="str">
        <f t="shared" si="153"/>
        <v>CST706000000</v>
      </c>
      <c r="E2619">
        <v>0</v>
      </c>
      <c r="F2619">
        <v>0</v>
      </c>
      <c r="G2619">
        <f t="shared" si="154"/>
        <v>0</v>
      </c>
    </row>
    <row r="2620" spans="1:7">
      <c r="A2620" t="str">
        <f t="shared" si="158"/>
        <v>CST</v>
      </c>
      <c r="B2620" t="str">
        <f>"70610000"</f>
        <v>70610000</v>
      </c>
      <c r="C2620" t="str">
        <f t="shared" si="153"/>
        <v>CST706100000</v>
      </c>
      <c r="E2620">
        <v>0</v>
      </c>
      <c r="F2620">
        <v>12657.67</v>
      </c>
      <c r="G2620">
        <f t="shared" si="154"/>
        <v>-12657.67</v>
      </c>
    </row>
    <row r="2621" spans="1:7">
      <c r="A2621" t="str">
        <f t="shared" si="158"/>
        <v>CST</v>
      </c>
      <c r="B2621" t="str">
        <f>"70713000"</f>
        <v>70713000</v>
      </c>
      <c r="C2621" t="str">
        <f t="shared" si="153"/>
        <v>CST707130000</v>
      </c>
      <c r="E2621">
        <v>7988.17</v>
      </c>
      <c r="F2621">
        <v>684028.69</v>
      </c>
      <c r="G2621">
        <f t="shared" si="154"/>
        <v>-676040.5199999999</v>
      </c>
    </row>
    <row r="2622" spans="1:7">
      <c r="A2622" t="str">
        <f t="shared" si="158"/>
        <v>CST</v>
      </c>
      <c r="B2622" t="str">
        <f>"70713100"</f>
        <v>70713100</v>
      </c>
      <c r="C2622" t="str">
        <f t="shared" si="153"/>
        <v>CST707131000</v>
      </c>
      <c r="E2622">
        <v>0</v>
      </c>
      <c r="F2622">
        <v>86927.78</v>
      </c>
      <c r="G2622">
        <f t="shared" si="154"/>
        <v>-86927.78</v>
      </c>
    </row>
    <row r="2623" spans="1:7">
      <c r="A2623" t="str">
        <f t="shared" si="158"/>
        <v>CST</v>
      </c>
      <c r="B2623" t="str">
        <f>"70850000"</f>
        <v>70850000</v>
      </c>
      <c r="C2623" t="str">
        <f t="shared" si="153"/>
        <v>CST708500000</v>
      </c>
      <c r="E2623">
        <v>0</v>
      </c>
      <c r="F2623">
        <v>2784</v>
      </c>
      <c r="G2623">
        <f t="shared" si="154"/>
        <v>-2784</v>
      </c>
    </row>
    <row r="2624" spans="1:7">
      <c r="A2624" t="str">
        <f t="shared" si="158"/>
        <v>CST</v>
      </c>
      <c r="B2624" t="str">
        <f>"70882000"</f>
        <v>70882000</v>
      </c>
      <c r="C2624" t="str">
        <f t="shared" si="153"/>
        <v>CST708820000</v>
      </c>
      <c r="E2624">
        <v>17.5</v>
      </c>
      <c r="F2624">
        <v>231.1</v>
      </c>
      <c r="G2624">
        <f t="shared" si="154"/>
        <v>-213.6</v>
      </c>
    </row>
    <row r="2625" spans="1:10">
      <c r="A2625" t="str">
        <f t="shared" si="158"/>
        <v>CST</v>
      </c>
      <c r="B2625" t="str">
        <f>"70970000"</f>
        <v>70970000</v>
      </c>
      <c r="C2625" t="str">
        <f t="shared" si="153"/>
        <v>CST709700000</v>
      </c>
      <c r="E2625">
        <v>0</v>
      </c>
      <c r="F2625">
        <v>0</v>
      </c>
      <c r="G2625">
        <f t="shared" si="154"/>
        <v>0</v>
      </c>
    </row>
    <row r="2626" spans="1:10">
      <c r="A2626" t="str">
        <f t="shared" si="158"/>
        <v>CST</v>
      </c>
      <c r="B2626" t="str">
        <f>"75810000"</f>
        <v>75810000</v>
      </c>
      <c r="C2626" t="str">
        <f t="shared" si="153"/>
        <v>CST758100000</v>
      </c>
      <c r="E2626">
        <v>0</v>
      </c>
      <c r="F2626">
        <v>668.9</v>
      </c>
      <c r="G2626">
        <f t="shared" si="154"/>
        <v>-668.9</v>
      </c>
    </row>
    <row r="2627" spans="1:10">
      <c r="A2627" t="str">
        <f t="shared" si="158"/>
        <v>CST</v>
      </c>
      <c r="B2627" t="str">
        <f>"78173000"</f>
        <v>78173000</v>
      </c>
      <c r="C2627" t="str">
        <f t="shared" ref="C2627:C2690" si="159">+A2627&amp;B2627*10</f>
        <v>CST781730000</v>
      </c>
      <c r="E2627">
        <v>0</v>
      </c>
      <c r="F2627">
        <v>0</v>
      </c>
      <c r="G2627">
        <f t="shared" ref="G2627:G2690" si="160">+E2627-F2627</f>
        <v>0</v>
      </c>
    </row>
    <row r="2628" spans="1:10">
      <c r="A2628" t="str">
        <f t="shared" si="158"/>
        <v>CST</v>
      </c>
      <c r="B2628" t="str">
        <f>"78174000"</f>
        <v>78174000</v>
      </c>
      <c r="C2628" t="str">
        <f t="shared" si="159"/>
        <v>CST781740000</v>
      </c>
      <c r="E2628">
        <v>0</v>
      </c>
      <c r="F2628">
        <v>216.06</v>
      </c>
      <c r="G2628">
        <f t="shared" si="160"/>
        <v>-216.06</v>
      </c>
    </row>
    <row r="2629" spans="1:10">
      <c r="A2629" t="str">
        <f t="shared" si="158"/>
        <v>CST</v>
      </c>
      <c r="B2629" t="str">
        <f>"78725000"</f>
        <v>78725000</v>
      </c>
      <c r="C2629" t="str">
        <f t="shared" si="159"/>
        <v>CST787250000</v>
      </c>
      <c r="E2629">
        <v>0</v>
      </c>
      <c r="F2629">
        <v>24.54</v>
      </c>
      <c r="G2629">
        <f t="shared" si="160"/>
        <v>-24.54</v>
      </c>
    </row>
    <row r="2630" spans="1:10">
      <c r="A2630" t="str">
        <f t="shared" si="158"/>
        <v>CST</v>
      </c>
      <c r="B2630" t="str">
        <f>"79110000"</f>
        <v>79110000</v>
      </c>
      <c r="C2630" t="str">
        <f t="shared" si="159"/>
        <v>CST791100000</v>
      </c>
      <c r="E2630">
        <v>0</v>
      </c>
      <c r="F2630">
        <v>1697.85</v>
      </c>
      <c r="G2630">
        <f t="shared" si="160"/>
        <v>-1697.85</v>
      </c>
    </row>
    <row r="2631" spans="1:10">
      <c r="A2631" t="str">
        <f t="shared" ref="A2631:A2644" si="161">"EU"</f>
        <v>EU</v>
      </c>
      <c r="B2631" t="str">
        <f>"70600000"</f>
        <v>70600000</v>
      </c>
      <c r="C2631" t="str">
        <f t="shared" si="159"/>
        <v>EU706000000</v>
      </c>
      <c r="E2631">
        <v>0</v>
      </c>
      <c r="F2631">
        <v>0</v>
      </c>
      <c r="G2631">
        <f t="shared" si="160"/>
        <v>0</v>
      </c>
    </row>
    <row r="2632" spans="1:10">
      <c r="A2632" t="str">
        <f t="shared" si="161"/>
        <v>EU</v>
      </c>
      <c r="B2632" t="str">
        <f>"70711000"</f>
        <v>70711000</v>
      </c>
      <c r="C2632" t="str">
        <f t="shared" si="159"/>
        <v>EU707110000</v>
      </c>
      <c r="E2632">
        <v>26.62</v>
      </c>
      <c r="F2632">
        <v>2361.9</v>
      </c>
      <c r="G2632">
        <f t="shared" si="160"/>
        <v>-2335.2800000000002</v>
      </c>
      <c r="I2632" s="26"/>
    </row>
    <row r="2633" spans="1:10">
      <c r="A2633" t="str">
        <f t="shared" si="161"/>
        <v>EU</v>
      </c>
      <c r="B2633" t="str">
        <f>"70713000"</f>
        <v>70713000</v>
      </c>
      <c r="C2633" t="str">
        <f t="shared" si="159"/>
        <v>EU707130000</v>
      </c>
      <c r="E2633">
        <v>48044.88</v>
      </c>
      <c r="F2633">
        <v>396362.03</v>
      </c>
      <c r="G2633">
        <f t="shared" si="160"/>
        <v>-348317.15</v>
      </c>
      <c r="J2633" s="26"/>
    </row>
    <row r="2634" spans="1:10">
      <c r="A2634" t="str">
        <f t="shared" si="161"/>
        <v>EU</v>
      </c>
      <c r="B2634" t="str">
        <f>"70713100"</f>
        <v>70713100</v>
      </c>
      <c r="C2634" t="str">
        <f t="shared" si="159"/>
        <v>EU707131000</v>
      </c>
      <c r="E2634">
        <v>0</v>
      </c>
      <c r="F2634">
        <v>843895.33</v>
      </c>
      <c r="G2634">
        <f t="shared" si="160"/>
        <v>-843895.33</v>
      </c>
    </row>
    <row r="2635" spans="1:10">
      <c r="A2635" t="str">
        <f t="shared" si="161"/>
        <v>EU</v>
      </c>
      <c r="B2635" t="str">
        <f>"70723000"</f>
        <v>70723000</v>
      </c>
      <c r="C2635" t="str">
        <f t="shared" si="159"/>
        <v>EU707230000</v>
      </c>
      <c r="E2635">
        <v>2173.1799999999998</v>
      </c>
      <c r="F2635">
        <v>99375.99</v>
      </c>
      <c r="G2635">
        <f t="shared" si="160"/>
        <v>-97202.810000000012</v>
      </c>
    </row>
    <row r="2636" spans="1:10">
      <c r="A2636" t="str">
        <f t="shared" si="161"/>
        <v>EU</v>
      </c>
      <c r="B2636" t="str">
        <f>"70850000"</f>
        <v>70850000</v>
      </c>
      <c r="C2636" t="str">
        <f t="shared" si="159"/>
        <v>EU708500000</v>
      </c>
      <c r="E2636">
        <v>0</v>
      </c>
      <c r="F2636">
        <v>2256</v>
      </c>
      <c r="G2636">
        <f t="shared" si="160"/>
        <v>-2256</v>
      </c>
    </row>
    <row r="2637" spans="1:10">
      <c r="A2637" t="str">
        <f t="shared" si="161"/>
        <v>EU</v>
      </c>
      <c r="B2637" t="str">
        <f>"70882000"</f>
        <v>70882000</v>
      </c>
      <c r="C2637" t="str">
        <f t="shared" si="159"/>
        <v>EU708820000</v>
      </c>
      <c r="E2637">
        <v>0</v>
      </c>
      <c r="F2637">
        <v>93.14</v>
      </c>
      <c r="G2637">
        <f t="shared" si="160"/>
        <v>-93.14</v>
      </c>
    </row>
    <row r="2638" spans="1:10">
      <c r="A2638" t="str">
        <f t="shared" si="161"/>
        <v>EU</v>
      </c>
      <c r="B2638" t="str">
        <f>"70970000"</f>
        <v>70970000</v>
      </c>
      <c r="C2638" t="str">
        <f t="shared" si="159"/>
        <v>EU709700000</v>
      </c>
      <c r="E2638">
        <v>677.25</v>
      </c>
      <c r="F2638">
        <v>0</v>
      </c>
      <c r="G2638">
        <f t="shared" si="160"/>
        <v>677.25</v>
      </c>
    </row>
    <row r="2639" spans="1:10">
      <c r="A2639" t="str">
        <f t="shared" si="161"/>
        <v>EU</v>
      </c>
      <c r="B2639" t="str">
        <f>"75810000"</f>
        <v>75810000</v>
      </c>
      <c r="C2639" t="str">
        <f t="shared" si="159"/>
        <v>EU758100000</v>
      </c>
      <c r="E2639">
        <v>0</v>
      </c>
      <c r="F2639">
        <v>309.88</v>
      </c>
      <c r="G2639">
        <f t="shared" si="160"/>
        <v>-309.88</v>
      </c>
    </row>
    <row r="2640" spans="1:10">
      <c r="A2640" t="str">
        <f t="shared" si="161"/>
        <v>EU</v>
      </c>
      <c r="B2640" t="str">
        <f>"76300000"</f>
        <v>76300000</v>
      </c>
      <c r="C2640" t="str">
        <f t="shared" si="159"/>
        <v>EU763000000</v>
      </c>
      <c r="E2640">
        <v>9</v>
      </c>
      <c r="F2640">
        <v>45</v>
      </c>
      <c r="G2640">
        <f t="shared" si="160"/>
        <v>-36</v>
      </c>
    </row>
    <row r="2641" spans="1:12">
      <c r="A2641" t="str">
        <f t="shared" si="161"/>
        <v>EU</v>
      </c>
      <c r="B2641" t="str">
        <f>"77180000"</f>
        <v>77180000</v>
      </c>
      <c r="C2641" t="str">
        <f t="shared" si="159"/>
        <v>EU771800000</v>
      </c>
      <c r="E2641">
        <v>0</v>
      </c>
      <c r="F2641">
        <v>406</v>
      </c>
      <c r="G2641">
        <f t="shared" si="160"/>
        <v>-406</v>
      </c>
    </row>
    <row r="2642" spans="1:12">
      <c r="A2642" t="str">
        <f t="shared" si="161"/>
        <v>EU</v>
      </c>
      <c r="B2642" t="str">
        <f>"78173000"</f>
        <v>78173000</v>
      </c>
      <c r="C2642" t="str">
        <f t="shared" si="159"/>
        <v>EU781730000</v>
      </c>
      <c r="E2642">
        <v>0</v>
      </c>
      <c r="F2642">
        <v>9954.35</v>
      </c>
      <c r="G2642">
        <f t="shared" si="160"/>
        <v>-9954.35</v>
      </c>
    </row>
    <row r="2643" spans="1:12">
      <c r="A2643" t="str">
        <f t="shared" si="161"/>
        <v>EU</v>
      </c>
      <c r="B2643" t="str">
        <f>"78174000"</f>
        <v>78174000</v>
      </c>
      <c r="C2643" t="str">
        <f t="shared" si="159"/>
        <v>EU781740000</v>
      </c>
      <c r="E2643">
        <v>0</v>
      </c>
      <c r="F2643">
        <v>395.33</v>
      </c>
      <c r="G2643">
        <f t="shared" si="160"/>
        <v>-395.33</v>
      </c>
    </row>
    <row r="2644" spans="1:12">
      <c r="A2644" t="str">
        <f t="shared" si="161"/>
        <v>EU</v>
      </c>
      <c r="B2644" t="str">
        <f>"78725000"</f>
        <v>78725000</v>
      </c>
      <c r="C2644" t="str">
        <f t="shared" si="159"/>
        <v>EU787250000</v>
      </c>
      <c r="E2644">
        <v>0</v>
      </c>
      <c r="F2644">
        <v>295.5</v>
      </c>
      <c r="G2644">
        <f t="shared" si="160"/>
        <v>-295.5</v>
      </c>
    </row>
    <row r="2645" spans="1:12">
      <c r="A2645" t="str">
        <f t="shared" ref="A2645:A2660" si="162">"GRE"</f>
        <v>GRE</v>
      </c>
      <c r="B2645" t="str">
        <f>"70600000"</f>
        <v>70600000</v>
      </c>
      <c r="C2645" t="str">
        <f t="shared" si="159"/>
        <v>GRE706000000</v>
      </c>
      <c r="E2645">
        <v>0</v>
      </c>
      <c r="F2645">
        <v>0</v>
      </c>
      <c r="G2645">
        <f t="shared" si="160"/>
        <v>0</v>
      </c>
      <c r="K2645" s="26"/>
      <c r="L2645" s="353"/>
    </row>
    <row r="2646" spans="1:12">
      <c r="A2646" t="str">
        <f t="shared" si="162"/>
        <v>GRE</v>
      </c>
      <c r="B2646" t="str">
        <f>"70711000"</f>
        <v>70711000</v>
      </c>
      <c r="C2646" t="str">
        <f t="shared" si="159"/>
        <v>GRE707110000</v>
      </c>
      <c r="E2646">
        <v>0</v>
      </c>
      <c r="F2646">
        <v>2253</v>
      </c>
      <c r="G2646">
        <f t="shared" si="160"/>
        <v>-2253</v>
      </c>
      <c r="L2646" s="353"/>
    </row>
    <row r="2647" spans="1:12">
      <c r="A2647" t="str">
        <f t="shared" si="162"/>
        <v>GRE</v>
      </c>
      <c r="B2647" t="str">
        <f>"70713000"</f>
        <v>70713000</v>
      </c>
      <c r="C2647" t="str">
        <f t="shared" si="159"/>
        <v>GRE707130000</v>
      </c>
      <c r="E2647">
        <v>103712.74</v>
      </c>
      <c r="F2647">
        <v>1837000.44</v>
      </c>
      <c r="G2647">
        <f t="shared" si="160"/>
        <v>-1733287.7</v>
      </c>
      <c r="L2647" s="353"/>
    </row>
    <row r="2648" spans="1:12">
      <c r="A2648" t="str">
        <f t="shared" si="162"/>
        <v>GRE</v>
      </c>
      <c r="B2648" t="str">
        <f>"70713100"</f>
        <v>70713100</v>
      </c>
      <c r="C2648" t="str">
        <f t="shared" si="159"/>
        <v>GRE707131000</v>
      </c>
      <c r="E2648">
        <v>0</v>
      </c>
      <c r="F2648">
        <v>380493.63</v>
      </c>
      <c r="G2648">
        <f t="shared" si="160"/>
        <v>-380493.63</v>
      </c>
      <c r="K2648" s="26"/>
    </row>
    <row r="2649" spans="1:12">
      <c r="A2649" t="str">
        <f t="shared" si="162"/>
        <v>GRE</v>
      </c>
      <c r="B2649" t="str">
        <f>"70830000"</f>
        <v>70830000</v>
      </c>
      <c r="C2649" t="str">
        <f t="shared" si="159"/>
        <v>GRE708300000</v>
      </c>
      <c r="E2649">
        <v>2552.6</v>
      </c>
      <c r="F2649">
        <v>2552.6</v>
      </c>
      <c r="G2649">
        <f t="shared" si="160"/>
        <v>0</v>
      </c>
    </row>
    <row r="2650" spans="1:12">
      <c r="A2650" t="str">
        <f t="shared" si="162"/>
        <v>GRE</v>
      </c>
      <c r="B2650" t="str">
        <f>"70850000"</f>
        <v>70850000</v>
      </c>
      <c r="C2650" t="str">
        <f t="shared" si="159"/>
        <v>GRE708500000</v>
      </c>
      <c r="E2650">
        <v>0</v>
      </c>
      <c r="F2650">
        <v>3438</v>
      </c>
      <c r="G2650">
        <f t="shared" si="160"/>
        <v>-3438</v>
      </c>
    </row>
    <row r="2651" spans="1:12">
      <c r="A2651" t="str">
        <f t="shared" si="162"/>
        <v>GRE</v>
      </c>
      <c r="B2651" t="str">
        <f>"70882000"</f>
        <v>70882000</v>
      </c>
      <c r="C2651" t="str">
        <f t="shared" si="159"/>
        <v>GRE708820000</v>
      </c>
      <c r="E2651">
        <v>112</v>
      </c>
      <c r="F2651">
        <v>1583.77</v>
      </c>
      <c r="G2651">
        <f t="shared" si="160"/>
        <v>-1471.77</v>
      </c>
    </row>
    <row r="2652" spans="1:12">
      <c r="A2652" t="str">
        <f t="shared" si="162"/>
        <v>GRE</v>
      </c>
      <c r="B2652" t="str">
        <f>"70970000"</f>
        <v>70970000</v>
      </c>
      <c r="C2652" t="str">
        <f t="shared" si="159"/>
        <v>GRE709700000</v>
      </c>
      <c r="E2652">
        <v>51396.75</v>
      </c>
      <c r="F2652">
        <v>0</v>
      </c>
      <c r="G2652">
        <f t="shared" si="160"/>
        <v>51396.75</v>
      </c>
    </row>
    <row r="2653" spans="1:12">
      <c r="A2653" t="str">
        <f t="shared" si="162"/>
        <v>GRE</v>
      </c>
      <c r="B2653" t="str">
        <f>"75810000"</f>
        <v>75810000</v>
      </c>
      <c r="C2653" t="str">
        <f t="shared" si="159"/>
        <v>GRE758100000</v>
      </c>
      <c r="E2653">
        <v>0</v>
      </c>
      <c r="F2653">
        <v>3792.87</v>
      </c>
      <c r="G2653">
        <f t="shared" si="160"/>
        <v>-3792.87</v>
      </c>
    </row>
    <row r="2654" spans="1:12">
      <c r="A2654" t="str">
        <f t="shared" si="162"/>
        <v>GRE</v>
      </c>
      <c r="B2654" t="str">
        <f>"76300000"</f>
        <v>76300000</v>
      </c>
      <c r="C2654" t="str">
        <f t="shared" si="159"/>
        <v>GRE763000000</v>
      </c>
      <c r="E2654">
        <v>63</v>
      </c>
      <c r="F2654">
        <v>175.6</v>
      </c>
      <c r="G2654">
        <f t="shared" si="160"/>
        <v>-112.6</v>
      </c>
    </row>
    <row r="2655" spans="1:12">
      <c r="A2655" t="str">
        <f t="shared" si="162"/>
        <v>GRE</v>
      </c>
      <c r="B2655" t="str">
        <f>"77180000"</f>
        <v>77180000</v>
      </c>
      <c r="C2655" t="str">
        <f t="shared" si="159"/>
        <v>GRE771800000</v>
      </c>
      <c r="E2655">
        <v>0</v>
      </c>
      <c r="F2655">
        <v>14337.48</v>
      </c>
      <c r="G2655">
        <f t="shared" si="160"/>
        <v>-14337.48</v>
      </c>
    </row>
    <row r="2656" spans="1:12">
      <c r="A2656" t="str">
        <f t="shared" si="162"/>
        <v>GRE</v>
      </c>
      <c r="B2656" t="str">
        <f>"78173000"</f>
        <v>78173000</v>
      </c>
      <c r="C2656" t="str">
        <f t="shared" si="159"/>
        <v>GRE781730000</v>
      </c>
      <c r="E2656">
        <v>0</v>
      </c>
      <c r="F2656">
        <v>7226.26</v>
      </c>
      <c r="G2656">
        <f t="shared" si="160"/>
        <v>-7226.26</v>
      </c>
    </row>
    <row r="2657" spans="1:7">
      <c r="A2657" t="str">
        <f t="shared" si="162"/>
        <v>GRE</v>
      </c>
      <c r="B2657" t="str">
        <f>"78174000"</f>
        <v>78174000</v>
      </c>
      <c r="C2657" t="str">
        <f t="shared" si="159"/>
        <v>GRE781740000</v>
      </c>
      <c r="E2657">
        <v>0</v>
      </c>
      <c r="F2657">
        <v>2281.9699999999998</v>
      </c>
      <c r="G2657">
        <f t="shared" si="160"/>
        <v>-2281.9699999999998</v>
      </c>
    </row>
    <row r="2658" spans="1:7">
      <c r="A2658" t="str">
        <f t="shared" si="162"/>
        <v>GRE</v>
      </c>
      <c r="B2658" t="str">
        <f>"78725000"</f>
        <v>78725000</v>
      </c>
      <c r="C2658" t="str">
        <f t="shared" si="159"/>
        <v>GRE787250000</v>
      </c>
      <c r="E2658">
        <v>0</v>
      </c>
      <c r="F2658">
        <v>2967.53</v>
      </c>
      <c r="G2658">
        <f t="shared" si="160"/>
        <v>-2967.53</v>
      </c>
    </row>
    <row r="2659" spans="1:7">
      <c r="A2659" t="str">
        <f t="shared" si="162"/>
        <v>GRE</v>
      </c>
      <c r="B2659" t="str">
        <f>"79110000"</f>
        <v>79110000</v>
      </c>
      <c r="C2659" t="str">
        <f t="shared" si="159"/>
        <v>GRE791100000</v>
      </c>
      <c r="E2659">
        <v>0</v>
      </c>
      <c r="F2659">
        <v>4185.8</v>
      </c>
      <c r="G2659">
        <f t="shared" si="160"/>
        <v>-4185.8</v>
      </c>
    </row>
    <row r="2660" spans="1:7">
      <c r="A2660" t="str">
        <f t="shared" si="162"/>
        <v>GRE</v>
      </c>
      <c r="B2660" t="str">
        <f>"79160000"</f>
        <v>79160000</v>
      </c>
      <c r="C2660" t="str">
        <f t="shared" si="159"/>
        <v>GRE791600000</v>
      </c>
      <c r="E2660">
        <v>0</v>
      </c>
      <c r="F2660">
        <v>74.91</v>
      </c>
      <c r="G2660">
        <f t="shared" si="160"/>
        <v>-74.91</v>
      </c>
    </row>
    <row r="2661" spans="1:7">
      <c r="A2661" t="str">
        <f t="shared" ref="A2661:A2670" si="163">"LEN"</f>
        <v>LEN</v>
      </c>
      <c r="B2661" t="str">
        <f>"70600000"</f>
        <v>70600000</v>
      </c>
      <c r="C2661" t="str">
        <f t="shared" si="159"/>
        <v>LEN706000000</v>
      </c>
      <c r="E2661">
        <v>0</v>
      </c>
      <c r="F2661">
        <v>0</v>
      </c>
      <c r="G2661">
        <f t="shared" si="160"/>
        <v>0</v>
      </c>
    </row>
    <row r="2662" spans="1:7">
      <c r="A2662" t="str">
        <f t="shared" si="163"/>
        <v>LEN</v>
      </c>
      <c r="B2662" t="str">
        <f>"70713000"</f>
        <v>70713000</v>
      </c>
      <c r="C2662" t="str">
        <f t="shared" si="159"/>
        <v>LEN707130000</v>
      </c>
      <c r="E2662">
        <v>19770.04</v>
      </c>
      <c r="F2662">
        <v>392188.5</v>
      </c>
      <c r="G2662">
        <f t="shared" si="160"/>
        <v>-372418.46</v>
      </c>
    </row>
    <row r="2663" spans="1:7">
      <c r="A2663" t="str">
        <f t="shared" si="163"/>
        <v>LEN</v>
      </c>
      <c r="B2663" t="str">
        <f>"70713100"</f>
        <v>70713100</v>
      </c>
      <c r="C2663" t="str">
        <f t="shared" si="159"/>
        <v>LEN707131000</v>
      </c>
      <c r="E2663">
        <v>0</v>
      </c>
      <c r="F2663">
        <v>66061.89</v>
      </c>
      <c r="G2663">
        <f t="shared" si="160"/>
        <v>-66061.89</v>
      </c>
    </row>
    <row r="2664" spans="1:7">
      <c r="A2664" t="str">
        <f t="shared" si="163"/>
        <v>LEN</v>
      </c>
      <c r="B2664" t="str">
        <f>"70850000"</f>
        <v>70850000</v>
      </c>
      <c r="C2664" t="str">
        <f t="shared" si="159"/>
        <v>LEN708500000</v>
      </c>
      <c r="E2664">
        <v>0</v>
      </c>
      <c r="F2664">
        <v>411</v>
      </c>
      <c r="G2664">
        <f t="shared" si="160"/>
        <v>-411</v>
      </c>
    </row>
    <row r="2665" spans="1:7">
      <c r="A2665" t="str">
        <f t="shared" si="163"/>
        <v>LEN</v>
      </c>
      <c r="B2665" t="str">
        <f>"70970000"</f>
        <v>70970000</v>
      </c>
      <c r="C2665" t="str">
        <f t="shared" si="159"/>
        <v>LEN709700000</v>
      </c>
      <c r="E2665">
        <v>3051.85</v>
      </c>
      <c r="F2665">
        <v>0</v>
      </c>
      <c r="G2665">
        <f t="shared" si="160"/>
        <v>3051.85</v>
      </c>
    </row>
    <row r="2666" spans="1:7">
      <c r="A2666" t="str">
        <f t="shared" si="163"/>
        <v>LEN</v>
      </c>
      <c r="B2666" t="str">
        <f>"76311000"</f>
        <v>76311000</v>
      </c>
      <c r="C2666" t="str">
        <f t="shared" si="159"/>
        <v>LEN763110000</v>
      </c>
      <c r="E2666">
        <v>0</v>
      </c>
      <c r="F2666">
        <v>194.92</v>
      </c>
      <c r="G2666">
        <f t="shared" si="160"/>
        <v>-194.92</v>
      </c>
    </row>
    <row r="2667" spans="1:7">
      <c r="A2667" t="str">
        <f t="shared" si="163"/>
        <v>LEN</v>
      </c>
      <c r="B2667" t="str">
        <f>"77180000"</f>
        <v>77180000</v>
      </c>
      <c r="C2667" t="str">
        <f t="shared" si="159"/>
        <v>LEN771800000</v>
      </c>
      <c r="E2667">
        <v>0</v>
      </c>
      <c r="F2667">
        <v>5360.99</v>
      </c>
      <c r="G2667">
        <f t="shared" si="160"/>
        <v>-5360.99</v>
      </c>
    </row>
    <row r="2668" spans="1:7">
      <c r="A2668" t="str">
        <f t="shared" si="163"/>
        <v>LEN</v>
      </c>
      <c r="B2668" t="str">
        <f>"78173000"</f>
        <v>78173000</v>
      </c>
      <c r="C2668" t="str">
        <f t="shared" si="159"/>
        <v>LEN781730000</v>
      </c>
      <c r="E2668">
        <v>0</v>
      </c>
      <c r="F2668">
        <v>3412.77</v>
      </c>
      <c r="G2668">
        <f t="shared" si="160"/>
        <v>-3412.77</v>
      </c>
    </row>
    <row r="2669" spans="1:7">
      <c r="A2669" t="str">
        <f t="shared" si="163"/>
        <v>LEN</v>
      </c>
      <c r="B2669" t="str">
        <f>"78174000"</f>
        <v>78174000</v>
      </c>
      <c r="C2669" t="str">
        <f t="shared" si="159"/>
        <v>LEN781740000</v>
      </c>
      <c r="E2669">
        <v>0</v>
      </c>
      <c r="F2669">
        <v>10087.33</v>
      </c>
      <c r="G2669">
        <f t="shared" si="160"/>
        <v>-10087.33</v>
      </c>
    </row>
    <row r="2670" spans="1:7">
      <c r="A2670" t="str">
        <f t="shared" si="163"/>
        <v>LEN</v>
      </c>
      <c r="B2670" t="str">
        <f>"78725000"</f>
        <v>78725000</v>
      </c>
      <c r="C2670" t="str">
        <f t="shared" si="159"/>
        <v>LEN787250000</v>
      </c>
      <c r="E2670">
        <v>0</v>
      </c>
      <c r="F2670">
        <v>2288.89</v>
      </c>
      <c r="G2670">
        <f t="shared" si="160"/>
        <v>-2288.89</v>
      </c>
    </row>
    <row r="2671" spans="1:7">
      <c r="A2671" t="str">
        <f t="shared" ref="A2671:A2692" si="164">"LIL"</f>
        <v>LIL</v>
      </c>
      <c r="B2671" t="str">
        <f>"70600000"</f>
        <v>70600000</v>
      </c>
      <c r="C2671" t="str">
        <f t="shared" si="159"/>
        <v>LIL706000000</v>
      </c>
      <c r="E2671">
        <v>0</v>
      </c>
      <c r="F2671">
        <v>1571</v>
      </c>
      <c r="G2671">
        <f t="shared" si="160"/>
        <v>-1571</v>
      </c>
    </row>
    <row r="2672" spans="1:7">
      <c r="A2672" t="str">
        <f t="shared" si="164"/>
        <v>LIL</v>
      </c>
      <c r="B2672" t="str">
        <f>"70610000"</f>
        <v>70610000</v>
      </c>
      <c r="C2672" t="str">
        <f t="shared" si="159"/>
        <v>LIL706100000</v>
      </c>
      <c r="E2672">
        <v>0</v>
      </c>
      <c r="F2672">
        <v>129374.18</v>
      </c>
      <c r="G2672">
        <f t="shared" si="160"/>
        <v>-129374.18</v>
      </c>
    </row>
    <row r="2673" spans="1:7">
      <c r="A2673" t="str">
        <f t="shared" si="164"/>
        <v>LIL</v>
      </c>
      <c r="B2673" t="str">
        <f>"70711000"</f>
        <v>70711000</v>
      </c>
      <c r="C2673" t="str">
        <f t="shared" si="159"/>
        <v>LIL707110000</v>
      </c>
      <c r="E2673">
        <v>311.13</v>
      </c>
      <c r="F2673">
        <v>5104.0600000000004</v>
      </c>
      <c r="G2673">
        <f t="shared" si="160"/>
        <v>-4792.93</v>
      </c>
    </row>
    <row r="2674" spans="1:7">
      <c r="A2674" t="str">
        <f t="shared" si="164"/>
        <v>LIL</v>
      </c>
      <c r="B2674" t="str">
        <f>"70713000"</f>
        <v>70713000</v>
      </c>
      <c r="C2674" t="str">
        <f t="shared" si="159"/>
        <v>LIL707130000</v>
      </c>
      <c r="E2674">
        <v>5433.07</v>
      </c>
      <c r="F2674">
        <v>75385.22</v>
      </c>
      <c r="G2674">
        <f t="shared" si="160"/>
        <v>-69952.149999999994</v>
      </c>
    </row>
    <row r="2675" spans="1:7">
      <c r="A2675" t="str">
        <f t="shared" si="164"/>
        <v>LIL</v>
      </c>
      <c r="B2675" t="str">
        <f>"70850000"</f>
        <v>70850000</v>
      </c>
      <c r="C2675" t="str">
        <f t="shared" si="159"/>
        <v>LIL708500000</v>
      </c>
      <c r="E2675">
        <v>0</v>
      </c>
      <c r="F2675">
        <v>3</v>
      </c>
      <c r="G2675">
        <f t="shared" si="160"/>
        <v>-3</v>
      </c>
    </row>
    <row r="2676" spans="1:7">
      <c r="A2676" t="str">
        <f t="shared" si="164"/>
        <v>LIL</v>
      </c>
      <c r="B2676" t="str">
        <f>"70882000"</f>
        <v>70882000</v>
      </c>
      <c r="C2676" t="str">
        <f t="shared" si="159"/>
        <v>LIL708820000</v>
      </c>
      <c r="E2676">
        <v>104</v>
      </c>
      <c r="F2676">
        <v>512</v>
      </c>
      <c r="G2676">
        <f t="shared" si="160"/>
        <v>-408</v>
      </c>
    </row>
    <row r="2677" spans="1:7">
      <c r="A2677" t="str">
        <f t="shared" si="164"/>
        <v>LIL</v>
      </c>
      <c r="B2677" t="str">
        <f>"74000000"</f>
        <v>74000000</v>
      </c>
      <c r="C2677" t="str">
        <f t="shared" si="159"/>
        <v>LIL740000000</v>
      </c>
      <c r="E2677">
        <v>0</v>
      </c>
      <c r="F2677">
        <v>3915</v>
      </c>
      <c r="G2677">
        <f t="shared" si="160"/>
        <v>-3915</v>
      </c>
    </row>
    <row r="2678" spans="1:7">
      <c r="A2678" t="str">
        <f t="shared" si="164"/>
        <v>LIL</v>
      </c>
      <c r="B2678" t="str">
        <f>"75800000"</f>
        <v>75800000</v>
      </c>
      <c r="C2678" t="str">
        <f t="shared" si="159"/>
        <v>LIL758000000</v>
      </c>
      <c r="E2678">
        <v>0</v>
      </c>
      <c r="F2678">
        <v>1.22</v>
      </c>
      <c r="G2678">
        <f t="shared" si="160"/>
        <v>-1.22</v>
      </c>
    </row>
    <row r="2679" spans="1:7">
      <c r="A2679" t="str">
        <f t="shared" si="164"/>
        <v>LIL</v>
      </c>
      <c r="B2679" t="str">
        <f>"75810000"</f>
        <v>75810000</v>
      </c>
      <c r="C2679" t="str">
        <f t="shared" si="159"/>
        <v>LIL758100000</v>
      </c>
      <c r="E2679">
        <v>0</v>
      </c>
      <c r="F2679">
        <v>1304.6099999999999</v>
      </c>
      <c r="G2679">
        <f t="shared" si="160"/>
        <v>-1304.6099999999999</v>
      </c>
    </row>
    <row r="2680" spans="1:7">
      <c r="A2680" t="str">
        <f t="shared" si="164"/>
        <v>LIL</v>
      </c>
      <c r="B2680" t="str">
        <f>"76110000"</f>
        <v>76110000</v>
      </c>
      <c r="C2680" t="str">
        <f t="shared" si="159"/>
        <v>LIL761100000</v>
      </c>
      <c r="E2680">
        <v>0</v>
      </c>
      <c r="F2680">
        <v>31800</v>
      </c>
      <c r="G2680">
        <f t="shared" si="160"/>
        <v>-31800</v>
      </c>
    </row>
    <row r="2681" spans="1:7">
      <c r="A2681" t="str">
        <f t="shared" si="164"/>
        <v>LIL</v>
      </c>
      <c r="B2681" t="str">
        <f>"76170000"</f>
        <v>76170000</v>
      </c>
      <c r="C2681" t="str">
        <f t="shared" si="159"/>
        <v>LIL761700000</v>
      </c>
      <c r="E2681">
        <v>0</v>
      </c>
      <c r="F2681">
        <v>410.47</v>
      </c>
      <c r="G2681">
        <f t="shared" si="160"/>
        <v>-410.47</v>
      </c>
    </row>
    <row r="2682" spans="1:7">
      <c r="A2682" t="str">
        <f t="shared" si="164"/>
        <v>LIL</v>
      </c>
      <c r="B2682" t="str">
        <f>"76310000"</f>
        <v>76310000</v>
      </c>
      <c r="C2682" t="str">
        <f t="shared" si="159"/>
        <v>LIL763100000</v>
      </c>
      <c r="E2682">
        <v>0</v>
      </c>
      <c r="F2682">
        <v>-1662.79</v>
      </c>
      <c r="G2682">
        <f t="shared" si="160"/>
        <v>1662.79</v>
      </c>
    </row>
    <row r="2683" spans="1:7">
      <c r="A2683" t="str">
        <f t="shared" si="164"/>
        <v>LIL</v>
      </c>
      <c r="B2683" t="str">
        <f>"76500000"</f>
        <v>76500000</v>
      </c>
      <c r="C2683" t="str">
        <f t="shared" si="159"/>
        <v>LIL765000000</v>
      </c>
      <c r="E2683">
        <v>132.32</v>
      </c>
      <c r="F2683">
        <v>963.16</v>
      </c>
      <c r="G2683">
        <f t="shared" si="160"/>
        <v>-830.83999999999992</v>
      </c>
    </row>
    <row r="2684" spans="1:7">
      <c r="A2684" t="str">
        <f t="shared" si="164"/>
        <v>LIL</v>
      </c>
      <c r="B2684" t="str">
        <f>"76800000"</f>
        <v>76800000</v>
      </c>
      <c r="C2684" t="str">
        <f t="shared" si="159"/>
        <v>LIL768000000</v>
      </c>
      <c r="E2684">
        <v>0</v>
      </c>
      <c r="F2684">
        <v>210.83</v>
      </c>
      <c r="G2684">
        <f t="shared" si="160"/>
        <v>-210.83</v>
      </c>
    </row>
    <row r="2685" spans="1:7">
      <c r="A2685" t="str">
        <f t="shared" si="164"/>
        <v>LIL</v>
      </c>
      <c r="B2685" t="str">
        <f>"77180000"</f>
        <v>77180000</v>
      </c>
      <c r="C2685" t="str">
        <f t="shared" si="159"/>
        <v>LIL771800000</v>
      </c>
      <c r="E2685">
        <v>0</v>
      </c>
      <c r="F2685">
        <v>3479.99</v>
      </c>
      <c r="G2685">
        <f t="shared" si="160"/>
        <v>-3479.99</v>
      </c>
    </row>
    <row r="2686" spans="1:7">
      <c r="A2686" t="str">
        <f t="shared" si="164"/>
        <v>LIL</v>
      </c>
      <c r="B2686" t="str">
        <f>"77560000"</f>
        <v>77560000</v>
      </c>
      <c r="C2686" t="str">
        <f t="shared" si="159"/>
        <v>LIL775600000</v>
      </c>
      <c r="E2686">
        <v>0</v>
      </c>
      <c r="F2686">
        <v>7984.2</v>
      </c>
      <c r="G2686">
        <f t="shared" si="160"/>
        <v>-7984.2</v>
      </c>
    </row>
    <row r="2687" spans="1:7">
      <c r="A2687" t="str">
        <f t="shared" si="164"/>
        <v>LIL</v>
      </c>
      <c r="B2687" t="str">
        <f>"78150000"</f>
        <v>78150000</v>
      </c>
      <c r="C2687" t="str">
        <f t="shared" si="159"/>
        <v>LIL781500000</v>
      </c>
      <c r="E2687">
        <v>0</v>
      </c>
      <c r="F2687">
        <v>14625.51</v>
      </c>
      <c r="G2687">
        <f t="shared" si="160"/>
        <v>-14625.51</v>
      </c>
    </row>
    <row r="2688" spans="1:7">
      <c r="A2688" t="str">
        <f t="shared" si="164"/>
        <v>LIL</v>
      </c>
      <c r="B2688" t="str">
        <f>"78173000"</f>
        <v>78173000</v>
      </c>
      <c r="C2688" t="str">
        <f t="shared" si="159"/>
        <v>LIL781730000</v>
      </c>
      <c r="E2688">
        <v>0</v>
      </c>
      <c r="F2688">
        <v>937.42</v>
      </c>
      <c r="G2688">
        <f t="shared" si="160"/>
        <v>-937.42</v>
      </c>
    </row>
    <row r="2689" spans="1:9">
      <c r="A2689" t="str">
        <f t="shared" si="164"/>
        <v>LIL</v>
      </c>
      <c r="B2689" t="str">
        <f>"78725000"</f>
        <v>78725000</v>
      </c>
      <c r="C2689" t="str">
        <f t="shared" si="159"/>
        <v>LIL787250000</v>
      </c>
      <c r="E2689">
        <v>0</v>
      </c>
      <c r="F2689">
        <v>11577.83</v>
      </c>
      <c r="G2689">
        <f t="shared" si="160"/>
        <v>-11577.83</v>
      </c>
    </row>
    <row r="2690" spans="1:9">
      <c r="A2690" t="str">
        <f t="shared" si="164"/>
        <v>LIL</v>
      </c>
      <c r="B2690" t="str">
        <f>"79100000"</f>
        <v>79100000</v>
      </c>
      <c r="C2690" t="str">
        <f t="shared" si="159"/>
        <v>LIL791000000</v>
      </c>
      <c r="E2690">
        <v>8558</v>
      </c>
      <c r="F2690">
        <v>50116.54</v>
      </c>
      <c r="G2690">
        <f t="shared" si="160"/>
        <v>-41558.54</v>
      </c>
    </row>
    <row r="2691" spans="1:9">
      <c r="A2691" t="str">
        <f t="shared" si="164"/>
        <v>LIL</v>
      </c>
      <c r="B2691" t="str">
        <f>"79160000"</f>
        <v>79160000</v>
      </c>
      <c r="C2691" t="str">
        <f t="shared" ref="C2691:C2754" si="165">+A2691&amp;B2691*10</f>
        <v>LIL791600000</v>
      </c>
      <c r="E2691">
        <v>4606.2299999999996</v>
      </c>
      <c r="F2691">
        <v>54886.33</v>
      </c>
      <c r="G2691">
        <f t="shared" ref="G2691:G2754" si="166">+E2691-F2691</f>
        <v>-50280.100000000006</v>
      </c>
    </row>
    <row r="2692" spans="1:9">
      <c r="A2692" t="str">
        <f t="shared" si="164"/>
        <v>LIL</v>
      </c>
      <c r="B2692" t="str">
        <f>"79161000"</f>
        <v>79161000</v>
      </c>
      <c r="C2692" t="str">
        <f t="shared" si="165"/>
        <v>LIL791610000</v>
      </c>
      <c r="E2692">
        <v>0</v>
      </c>
      <c r="F2692">
        <v>593.37</v>
      </c>
      <c r="G2692">
        <f t="shared" si="166"/>
        <v>-593.37</v>
      </c>
    </row>
    <row r="2693" spans="1:9">
      <c r="A2693" t="str">
        <f t="shared" ref="A2693:A2707" si="167">"MAD"</f>
        <v>MAD</v>
      </c>
      <c r="B2693" t="str">
        <f>"70600000"</f>
        <v>70600000</v>
      </c>
      <c r="C2693" t="str">
        <f t="shared" si="165"/>
        <v>MAD706000000</v>
      </c>
      <c r="E2693">
        <v>350</v>
      </c>
      <c r="F2693">
        <v>270</v>
      </c>
      <c r="G2693">
        <f t="shared" si="166"/>
        <v>80</v>
      </c>
    </row>
    <row r="2694" spans="1:9">
      <c r="A2694" t="str">
        <f t="shared" si="167"/>
        <v>MAD</v>
      </c>
      <c r="B2694" t="str">
        <f>"70610000"</f>
        <v>70610000</v>
      </c>
      <c r="C2694" t="str">
        <f t="shared" si="165"/>
        <v>MAD706100000</v>
      </c>
      <c r="E2694">
        <v>0</v>
      </c>
      <c r="F2694">
        <v>9439.7000000000007</v>
      </c>
      <c r="G2694">
        <f t="shared" si="166"/>
        <v>-9439.7000000000007</v>
      </c>
    </row>
    <row r="2695" spans="1:9">
      <c r="A2695" t="str">
        <f t="shared" si="167"/>
        <v>MAD</v>
      </c>
      <c r="B2695" t="str">
        <f>"70711000"</f>
        <v>70711000</v>
      </c>
      <c r="C2695" t="str">
        <f t="shared" si="165"/>
        <v>MAD707110000</v>
      </c>
      <c r="E2695">
        <v>0</v>
      </c>
      <c r="F2695">
        <v>257.08</v>
      </c>
      <c r="G2695">
        <f t="shared" si="166"/>
        <v>-257.08</v>
      </c>
      <c r="I2695" s="26"/>
    </row>
    <row r="2696" spans="1:9">
      <c r="A2696" t="str">
        <f t="shared" si="167"/>
        <v>MAD</v>
      </c>
      <c r="B2696" t="str">
        <f>"70713000"</f>
        <v>70713000</v>
      </c>
      <c r="C2696" t="str">
        <f t="shared" si="165"/>
        <v>MAD707130000</v>
      </c>
      <c r="E2696">
        <v>51390.77</v>
      </c>
      <c r="F2696">
        <v>945170.42</v>
      </c>
      <c r="G2696">
        <f t="shared" si="166"/>
        <v>-893779.65</v>
      </c>
    </row>
    <row r="2697" spans="1:9">
      <c r="A2697" t="str">
        <f t="shared" si="167"/>
        <v>MAD</v>
      </c>
      <c r="B2697" t="str">
        <f>"70713100"</f>
        <v>70713100</v>
      </c>
      <c r="C2697" t="str">
        <f t="shared" si="165"/>
        <v>MAD707131000</v>
      </c>
      <c r="E2697">
        <v>0</v>
      </c>
      <c r="F2697">
        <v>56942.49</v>
      </c>
      <c r="G2697">
        <f t="shared" si="166"/>
        <v>-56942.49</v>
      </c>
    </row>
    <row r="2698" spans="1:9">
      <c r="A2698" t="str">
        <f t="shared" si="167"/>
        <v>MAD</v>
      </c>
      <c r="B2698" t="str">
        <f>"70850000"</f>
        <v>70850000</v>
      </c>
      <c r="C2698" t="str">
        <f t="shared" si="165"/>
        <v>MAD708500000</v>
      </c>
      <c r="E2698">
        <v>0</v>
      </c>
      <c r="F2698">
        <v>861</v>
      </c>
      <c r="G2698">
        <f t="shared" si="166"/>
        <v>-861</v>
      </c>
    </row>
    <row r="2699" spans="1:9">
      <c r="A2699" t="str">
        <f t="shared" si="167"/>
        <v>MAD</v>
      </c>
      <c r="B2699" t="str">
        <f>"70882000"</f>
        <v>70882000</v>
      </c>
      <c r="C2699" t="str">
        <f t="shared" si="165"/>
        <v>MAD708820000</v>
      </c>
      <c r="E2699">
        <v>0</v>
      </c>
      <c r="F2699">
        <v>287.89</v>
      </c>
      <c r="G2699">
        <f t="shared" si="166"/>
        <v>-287.89</v>
      </c>
    </row>
    <row r="2700" spans="1:9">
      <c r="A2700" t="str">
        <f t="shared" si="167"/>
        <v>MAD</v>
      </c>
      <c r="B2700" t="str">
        <f>"70970000"</f>
        <v>70970000</v>
      </c>
      <c r="C2700" t="str">
        <f t="shared" si="165"/>
        <v>MAD709700000</v>
      </c>
      <c r="E2700">
        <v>16569.39</v>
      </c>
      <c r="F2700">
        <v>0</v>
      </c>
      <c r="G2700">
        <f t="shared" si="166"/>
        <v>16569.39</v>
      </c>
    </row>
    <row r="2701" spans="1:9">
      <c r="A2701" t="str">
        <f t="shared" si="167"/>
        <v>MAD</v>
      </c>
      <c r="B2701" t="str">
        <f>"74000000"</f>
        <v>74000000</v>
      </c>
      <c r="C2701" t="str">
        <f t="shared" si="165"/>
        <v>MAD740000000</v>
      </c>
      <c r="E2701">
        <v>0</v>
      </c>
      <c r="F2701">
        <v>1700</v>
      </c>
      <c r="G2701">
        <f t="shared" si="166"/>
        <v>-1700</v>
      </c>
    </row>
    <row r="2702" spans="1:9">
      <c r="A2702" t="str">
        <f t="shared" si="167"/>
        <v>MAD</v>
      </c>
      <c r="B2702" t="str">
        <f>"76300000"</f>
        <v>76300000</v>
      </c>
      <c r="C2702" t="str">
        <f t="shared" si="165"/>
        <v>MAD763000000</v>
      </c>
      <c r="E2702">
        <v>15.2</v>
      </c>
      <c r="F2702">
        <v>40.700000000000003</v>
      </c>
      <c r="G2702">
        <f t="shared" si="166"/>
        <v>-25.500000000000004</v>
      </c>
      <c r="I2702" s="26"/>
    </row>
    <row r="2703" spans="1:9">
      <c r="A2703" t="str">
        <f t="shared" si="167"/>
        <v>MAD</v>
      </c>
      <c r="B2703" t="str">
        <f>"77180000"</f>
        <v>77180000</v>
      </c>
      <c r="C2703" t="str">
        <f t="shared" si="165"/>
        <v>MAD771800000</v>
      </c>
      <c r="E2703">
        <v>0</v>
      </c>
      <c r="F2703">
        <v>10607.99</v>
      </c>
      <c r="G2703">
        <f t="shared" si="166"/>
        <v>-10607.99</v>
      </c>
    </row>
    <row r="2704" spans="1:9">
      <c r="A2704" t="str">
        <f t="shared" si="167"/>
        <v>MAD</v>
      </c>
      <c r="B2704" t="str">
        <f>"78173000"</f>
        <v>78173000</v>
      </c>
      <c r="C2704" t="str">
        <f t="shared" si="165"/>
        <v>MAD781730000</v>
      </c>
      <c r="E2704">
        <v>0</v>
      </c>
      <c r="F2704">
        <v>3770.25</v>
      </c>
      <c r="G2704">
        <f t="shared" si="166"/>
        <v>-3770.25</v>
      </c>
    </row>
    <row r="2705" spans="1:9">
      <c r="A2705" t="str">
        <f t="shared" si="167"/>
        <v>MAD</v>
      </c>
      <c r="B2705" t="str">
        <f>"78174000"</f>
        <v>78174000</v>
      </c>
      <c r="C2705" t="str">
        <f t="shared" si="165"/>
        <v>MAD781740000</v>
      </c>
      <c r="E2705">
        <v>0</v>
      </c>
      <c r="F2705">
        <v>4529.2</v>
      </c>
      <c r="G2705">
        <f t="shared" si="166"/>
        <v>-4529.2</v>
      </c>
    </row>
    <row r="2706" spans="1:9">
      <c r="A2706" t="str">
        <f t="shared" si="167"/>
        <v>MAD</v>
      </c>
      <c r="B2706" t="str">
        <f>"78725000"</f>
        <v>78725000</v>
      </c>
      <c r="C2706" t="str">
        <f t="shared" si="165"/>
        <v>MAD787250000</v>
      </c>
      <c r="E2706">
        <v>0</v>
      </c>
      <c r="F2706">
        <v>3798.1</v>
      </c>
      <c r="G2706">
        <f t="shared" si="166"/>
        <v>-3798.1</v>
      </c>
    </row>
    <row r="2707" spans="1:9">
      <c r="A2707" t="str">
        <f t="shared" si="167"/>
        <v>MAD</v>
      </c>
      <c r="B2707" t="str">
        <f>"79110000"</f>
        <v>79110000</v>
      </c>
      <c r="C2707" t="str">
        <f t="shared" si="165"/>
        <v>MAD791100000</v>
      </c>
      <c r="E2707">
        <v>0</v>
      </c>
      <c r="F2707">
        <v>-338.83</v>
      </c>
      <c r="G2707">
        <f t="shared" si="166"/>
        <v>338.83</v>
      </c>
    </row>
    <row r="2708" spans="1:9">
      <c r="A2708" t="str">
        <f t="shared" ref="A2708:A2716" si="168">"MAR"</f>
        <v>MAR</v>
      </c>
      <c r="B2708" t="str">
        <f>"70600000"</f>
        <v>70600000</v>
      </c>
      <c r="C2708" t="str">
        <f t="shared" si="165"/>
        <v>MAR706000000</v>
      </c>
      <c r="E2708">
        <v>0</v>
      </c>
      <c r="F2708">
        <v>0</v>
      </c>
      <c r="G2708">
        <f t="shared" si="166"/>
        <v>0</v>
      </c>
      <c r="I2708" s="26"/>
    </row>
    <row r="2709" spans="1:9">
      <c r="A2709" t="str">
        <f t="shared" si="168"/>
        <v>MAR</v>
      </c>
      <c r="B2709" t="str">
        <f>"70713000"</f>
        <v>70713000</v>
      </c>
      <c r="C2709" t="str">
        <f t="shared" si="165"/>
        <v>MAR707130000</v>
      </c>
      <c r="E2709">
        <v>5569.2</v>
      </c>
      <c r="F2709">
        <v>148278.56</v>
      </c>
      <c r="G2709">
        <f t="shared" si="166"/>
        <v>-142709.35999999999</v>
      </c>
    </row>
    <row r="2710" spans="1:9">
      <c r="A2710" t="str">
        <f t="shared" si="168"/>
        <v>MAR</v>
      </c>
      <c r="B2710" t="str">
        <f>"70713100"</f>
        <v>70713100</v>
      </c>
      <c r="C2710" t="str">
        <f t="shared" si="165"/>
        <v>MAR707131000</v>
      </c>
      <c r="E2710">
        <v>0</v>
      </c>
      <c r="F2710">
        <v>159732.39000000001</v>
      </c>
      <c r="G2710">
        <f t="shared" si="166"/>
        <v>-159732.39000000001</v>
      </c>
    </row>
    <row r="2711" spans="1:9">
      <c r="A2711" t="str">
        <f t="shared" si="168"/>
        <v>MAR</v>
      </c>
      <c r="B2711" t="str">
        <f>"70830000"</f>
        <v>70830000</v>
      </c>
      <c r="C2711" t="str">
        <f t="shared" si="165"/>
        <v>MAR708300000</v>
      </c>
      <c r="E2711">
        <v>4672.4799999999996</v>
      </c>
      <c r="F2711">
        <v>4672.4799999999996</v>
      </c>
      <c r="G2711">
        <f t="shared" si="166"/>
        <v>0</v>
      </c>
    </row>
    <row r="2712" spans="1:9">
      <c r="A2712" t="str">
        <f t="shared" si="168"/>
        <v>MAR</v>
      </c>
      <c r="B2712" t="str">
        <f>"70850000"</f>
        <v>70850000</v>
      </c>
      <c r="C2712" t="str">
        <f t="shared" si="165"/>
        <v>MAR708500000</v>
      </c>
      <c r="E2712">
        <v>0</v>
      </c>
      <c r="F2712">
        <v>828</v>
      </c>
      <c r="G2712">
        <f t="shared" si="166"/>
        <v>-828</v>
      </c>
    </row>
    <row r="2713" spans="1:9">
      <c r="A2713" t="str">
        <f t="shared" si="168"/>
        <v>MAR</v>
      </c>
      <c r="B2713" t="str">
        <f>"70970000"</f>
        <v>70970000</v>
      </c>
      <c r="C2713" t="str">
        <f t="shared" si="165"/>
        <v>MAR709700000</v>
      </c>
      <c r="E2713">
        <v>2830.27</v>
      </c>
      <c r="F2713">
        <v>0</v>
      </c>
      <c r="G2713">
        <f t="shared" si="166"/>
        <v>2830.27</v>
      </c>
    </row>
    <row r="2714" spans="1:9">
      <c r="A2714" t="str">
        <f t="shared" si="168"/>
        <v>MAR</v>
      </c>
      <c r="B2714" t="str">
        <f>"75810000"</f>
        <v>75810000</v>
      </c>
      <c r="C2714" t="str">
        <f t="shared" si="165"/>
        <v>MAR758100000</v>
      </c>
      <c r="E2714">
        <v>0</v>
      </c>
      <c r="F2714">
        <v>4749.5</v>
      </c>
      <c r="G2714">
        <f t="shared" si="166"/>
        <v>-4749.5</v>
      </c>
    </row>
    <row r="2715" spans="1:9">
      <c r="A2715" t="str">
        <f t="shared" si="168"/>
        <v>MAR</v>
      </c>
      <c r="B2715" t="str">
        <f>"77180000"</f>
        <v>77180000</v>
      </c>
      <c r="C2715" t="str">
        <f t="shared" si="165"/>
        <v>MAR771800000</v>
      </c>
      <c r="E2715">
        <v>0</v>
      </c>
      <c r="F2715">
        <v>54</v>
      </c>
      <c r="G2715">
        <f t="shared" si="166"/>
        <v>-54</v>
      </c>
    </row>
    <row r="2716" spans="1:9">
      <c r="A2716" t="str">
        <f t="shared" si="168"/>
        <v>MAR</v>
      </c>
      <c r="B2716" t="str">
        <f>"78173000"</f>
        <v>78173000</v>
      </c>
      <c r="C2716" t="str">
        <f t="shared" si="165"/>
        <v>MAR781730000</v>
      </c>
      <c r="E2716">
        <v>0</v>
      </c>
      <c r="F2716">
        <v>2191.88</v>
      </c>
      <c r="G2716">
        <f t="shared" si="166"/>
        <v>-2191.88</v>
      </c>
    </row>
    <row r="2717" spans="1:9">
      <c r="A2717" t="str">
        <f t="shared" ref="A2717:A2731" si="169">"MON"</f>
        <v>MON</v>
      </c>
      <c r="B2717" t="str">
        <f>"70600000"</f>
        <v>70600000</v>
      </c>
      <c r="C2717" t="str">
        <f t="shared" si="165"/>
        <v>MON706000000</v>
      </c>
      <c r="E2717">
        <v>0</v>
      </c>
      <c r="F2717">
        <v>0</v>
      </c>
      <c r="G2717">
        <f t="shared" si="166"/>
        <v>0</v>
      </c>
    </row>
    <row r="2718" spans="1:9">
      <c r="A2718" t="str">
        <f t="shared" si="169"/>
        <v>MON</v>
      </c>
      <c r="B2718" t="str">
        <f>"70711000"</f>
        <v>70711000</v>
      </c>
      <c r="C2718" t="str">
        <f t="shared" si="165"/>
        <v>MON707110000</v>
      </c>
      <c r="E2718">
        <v>0</v>
      </c>
      <c r="F2718">
        <v>1042.3</v>
      </c>
      <c r="G2718">
        <f t="shared" si="166"/>
        <v>-1042.3</v>
      </c>
    </row>
    <row r="2719" spans="1:9">
      <c r="A2719" t="str">
        <f t="shared" si="169"/>
        <v>MON</v>
      </c>
      <c r="B2719" t="str">
        <f>"70713000"</f>
        <v>70713000</v>
      </c>
      <c r="C2719" t="str">
        <f t="shared" si="165"/>
        <v>MON707130000</v>
      </c>
      <c r="E2719">
        <v>37873.19</v>
      </c>
      <c r="F2719">
        <v>764392.15</v>
      </c>
      <c r="G2719">
        <f t="shared" si="166"/>
        <v>-726518.96</v>
      </c>
    </row>
    <row r="2720" spans="1:9">
      <c r="A2720" t="str">
        <f t="shared" si="169"/>
        <v>MON</v>
      </c>
      <c r="B2720" t="str">
        <f>"70713100"</f>
        <v>70713100</v>
      </c>
      <c r="C2720" t="str">
        <f t="shared" si="165"/>
        <v>MON707131000</v>
      </c>
      <c r="E2720">
        <v>0</v>
      </c>
      <c r="F2720">
        <v>91024.68</v>
      </c>
      <c r="G2720">
        <f t="shared" si="166"/>
        <v>-91024.68</v>
      </c>
    </row>
    <row r="2721" spans="1:10">
      <c r="A2721" t="str">
        <f t="shared" si="169"/>
        <v>MON</v>
      </c>
      <c r="B2721" t="str">
        <f>"70850000"</f>
        <v>70850000</v>
      </c>
      <c r="C2721" t="str">
        <f t="shared" si="165"/>
        <v>MON708500000</v>
      </c>
      <c r="E2721">
        <v>0</v>
      </c>
      <c r="F2721">
        <v>1458</v>
      </c>
      <c r="G2721">
        <f t="shared" si="166"/>
        <v>-1458</v>
      </c>
      <c r="I2721" s="17"/>
    </row>
    <row r="2722" spans="1:10">
      <c r="A2722" t="str">
        <f t="shared" si="169"/>
        <v>MON</v>
      </c>
      <c r="B2722" t="str">
        <f>"70882000"</f>
        <v>70882000</v>
      </c>
      <c r="C2722" t="str">
        <f t="shared" si="165"/>
        <v>MON708820000</v>
      </c>
      <c r="E2722">
        <v>0</v>
      </c>
      <c r="F2722">
        <v>35</v>
      </c>
      <c r="G2722">
        <f t="shared" si="166"/>
        <v>-35</v>
      </c>
      <c r="J2722" s="26"/>
    </row>
    <row r="2723" spans="1:10">
      <c r="A2723" t="str">
        <f t="shared" si="169"/>
        <v>MON</v>
      </c>
      <c r="B2723" t="str">
        <f>"70970000"</f>
        <v>70970000</v>
      </c>
      <c r="C2723" t="str">
        <f t="shared" si="165"/>
        <v>MON709700000</v>
      </c>
      <c r="E2723">
        <v>12029.26</v>
      </c>
      <c r="F2723">
        <v>0</v>
      </c>
      <c r="G2723">
        <f t="shared" si="166"/>
        <v>12029.26</v>
      </c>
    </row>
    <row r="2724" spans="1:10">
      <c r="A2724" t="str">
        <f t="shared" si="169"/>
        <v>MON</v>
      </c>
      <c r="B2724" t="str">
        <f>"75800000"</f>
        <v>75800000</v>
      </c>
      <c r="C2724" t="str">
        <f t="shared" si="165"/>
        <v>MON758000000</v>
      </c>
      <c r="E2724">
        <v>0</v>
      </c>
      <c r="F2724">
        <v>15478.72</v>
      </c>
      <c r="G2724">
        <f t="shared" si="166"/>
        <v>-15478.72</v>
      </c>
    </row>
    <row r="2725" spans="1:10">
      <c r="A2725" t="str">
        <f t="shared" si="169"/>
        <v>MON</v>
      </c>
      <c r="B2725" t="str">
        <f>"75810000"</f>
        <v>75810000</v>
      </c>
      <c r="C2725" t="str">
        <f t="shared" si="165"/>
        <v>MON758100000</v>
      </c>
      <c r="E2725">
        <v>0</v>
      </c>
      <c r="F2725">
        <v>30475.73</v>
      </c>
      <c r="G2725">
        <f t="shared" si="166"/>
        <v>-30475.73</v>
      </c>
    </row>
    <row r="2726" spans="1:10">
      <c r="A2726" t="str">
        <f t="shared" si="169"/>
        <v>MON</v>
      </c>
      <c r="B2726" t="str">
        <f>"76300000"</f>
        <v>76300000</v>
      </c>
      <c r="C2726" t="str">
        <f t="shared" si="165"/>
        <v>MON763000000</v>
      </c>
      <c r="E2726">
        <v>80.989999999999995</v>
      </c>
      <c r="F2726">
        <v>177.6</v>
      </c>
      <c r="G2726">
        <f t="shared" si="166"/>
        <v>-96.61</v>
      </c>
    </row>
    <row r="2727" spans="1:10">
      <c r="A2727" t="str">
        <f t="shared" si="169"/>
        <v>MON</v>
      </c>
      <c r="B2727" t="str">
        <f>"77180000"</f>
        <v>77180000</v>
      </c>
      <c r="C2727" t="str">
        <f t="shared" si="165"/>
        <v>MON771800000</v>
      </c>
      <c r="E2727">
        <v>0</v>
      </c>
      <c r="F2727">
        <v>993.81</v>
      </c>
      <c r="G2727">
        <f t="shared" si="166"/>
        <v>-993.81</v>
      </c>
    </row>
    <row r="2728" spans="1:10">
      <c r="A2728" t="str">
        <f t="shared" si="169"/>
        <v>MON</v>
      </c>
      <c r="B2728" t="str">
        <f>"78173000"</f>
        <v>78173000</v>
      </c>
      <c r="C2728" t="str">
        <f t="shared" si="165"/>
        <v>MON781730000</v>
      </c>
      <c r="E2728">
        <v>0</v>
      </c>
      <c r="F2728">
        <v>11750.54</v>
      </c>
      <c r="G2728">
        <f t="shared" si="166"/>
        <v>-11750.54</v>
      </c>
    </row>
    <row r="2729" spans="1:10">
      <c r="A2729" t="str">
        <f t="shared" si="169"/>
        <v>MON</v>
      </c>
      <c r="B2729" t="str">
        <f>"78174000"</f>
        <v>78174000</v>
      </c>
      <c r="C2729" t="str">
        <f t="shared" si="165"/>
        <v>MON781740000</v>
      </c>
      <c r="E2729">
        <v>0</v>
      </c>
      <c r="F2729">
        <v>4538.26</v>
      </c>
      <c r="G2729">
        <f t="shared" si="166"/>
        <v>-4538.26</v>
      </c>
    </row>
    <row r="2730" spans="1:10">
      <c r="A2730" t="str">
        <f t="shared" si="169"/>
        <v>MON</v>
      </c>
      <c r="B2730" t="str">
        <f>"78725000"</f>
        <v>78725000</v>
      </c>
      <c r="C2730" t="str">
        <f t="shared" si="165"/>
        <v>MON787250000</v>
      </c>
      <c r="E2730">
        <v>0</v>
      </c>
      <c r="F2730">
        <v>-264.7</v>
      </c>
      <c r="G2730">
        <f t="shared" si="166"/>
        <v>264.7</v>
      </c>
    </row>
    <row r="2731" spans="1:10">
      <c r="A2731" t="str">
        <f t="shared" si="169"/>
        <v>MON</v>
      </c>
      <c r="B2731" t="str">
        <f>"79110000"</f>
        <v>79110000</v>
      </c>
      <c r="C2731" t="str">
        <f t="shared" si="165"/>
        <v>MON791100000</v>
      </c>
      <c r="E2731">
        <v>0</v>
      </c>
      <c r="F2731">
        <v>11245.19</v>
      </c>
      <c r="G2731">
        <f t="shared" si="166"/>
        <v>-11245.19</v>
      </c>
    </row>
    <row r="2732" spans="1:10">
      <c r="A2732" t="str">
        <f t="shared" ref="A2732:A2745" si="170">"NAN"</f>
        <v>NAN</v>
      </c>
      <c r="B2732" t="str">
        <f>"70600000"</f>
        <v>70600000</v>
      </c>
      <c r="C2732" t="str">
        <f t="shared" si="165"/>
        <v>NAN706000000</v>
      </c>
      <c r="E2732">
        <v>0</v>
      </c>
      <c r="F2732">
        <v>281.5</v>
      </c>
      <c r="G2732">
        <f t="shared" si="166"/>
        <v>-281.5</v>
      </c>
    </row>
    <row r="2733" spans="1:10">
      <c r="A2733" t="str">
        <f t="shared" si="170"/>
        <v>NAN</v>
      </c>
      <c r="B2733" t="str">
        <f>"70713000"</f>
        <v>70713000</v>
      </c>
      <c r="C2733" t="str">
        <f t="shared" si="165"/>
        <v>NAN707130000</v>
      </c>
      <c r="E2733">
        <v>36155.449999999997</v>
      </c>
      <c r="F2733">
        <v>722932.18</v>
      </c>
      <c r="G2733">
        <f t="shared" si="166"/>
        <v>-686776.7300000001</v>
      </c>
    </row>
    <row r="2734" spans="1:10">
      <c r="A2734" t="str">
        <f t="shared" si="170"/>
        <v>NAN</v>
      </c>
      <c r="B2734" t="str">
        <f>"70713100"</f>
        <v>70713100</v>
      </c>
      <c r="C2734" t="str">
        <f t="shared" si="165"/>
        <v>NAN707131000</v>
      </c>
      <c r="E2734">
        <v>0</v>
      </c>
      <c r="F2734">
        <v>241244.56</v>
      </c>
      <c r="G2734">
        <f t="shared" si="166"/>
        <v>-241244.56</v>
      </c>
    </row>
    <row r="2735" spans="1:10">
      <c r="A2735" t="str">
        <f t="shared" si="170"/>
        <v>NAN</v>
      </c>
      <c r="B2735" t="str">
        <f>"70723000"</f>
        <v>70723000</v>
      </c>
      <c r="C2735" t="str">
        <f t="shared" si="165"/>
        <v>NAN707230000</v>
      </c>
      <c r="E2735">
        <v>584.39</v>
      </c>
      <c r="F2735">
        <v>21226.62</v>
      </c>
      <c r="G2735">
        <f t="shared" si="166"/>
        <v>-20642.23</v>
      </c>
      <c r="I2735" s="26"/>
    </row>
    <row r="2736" spans="1:10">
      <c r="A2736" t="str">
        <f t="shared" si="170"/>
        <v>NAN</v>
      </c>
      <c r="B2736" t="str">
        <f>"70850000"</f>
        <v>70850000</v>
      </c>
      <c r="C2736" t="str">
        <f t="shared" si="165"/>
        <v>NAN708500000</v>
      </c>
      <c r="E2736">
        <v>0</v>
      </c>
      <c r="F2736">
        <v>1023</v>
      </c>
      <c r="G2736">
        <f t="shared" si="166"/>
        <v>-1023</v>
      </c>
      <c r="I2736" s="26"/>
    </row>
    <row r="2737" spans="1:10">
      <c r="A2737" t="str">
        <f t="shared" si="170"/>
        <v>NAN</v>
      </c>
      <c r="B2737" t="str">
        <f>"70882000"</f>
        <v>70882000</v>
      </c>
      <c r="C2737" t="str">
        <f t="shared" si="165"/>
        <v>NAN708820000</v>
      </c>
      <c r="E2737">
        <v>0</v>
      </c>
      <c r="F2737">
        <v>22</v>
      </c>
      <c r="G2737">
        <f t="shared" si="166"/>
        <v>-22</v>
      </c>
    </row>
    <row r="2738" spans="1:10">
      <c r="A2738" t="str">
        <f t="shared" si="170"/>
        <v>NAN</v>
      </c>
      <c r="B2738" t="str">
        <f>"70970000"</f>
        <v>70970000</v>
      </c>
      <c r="C2738" t="str">
        <f t="shared" si="165"/>
        <v>NAN709700000</v>
      </c>
      <c r="E2738">
        <v>5459.87</v>
      </c>
      <c r="F2738">
        <v>-1747.49</v>
      </c>
      <c r="G2738">
        <f t="shared" si="166"/>
        <v>7207.36</v>
      </c>
    </row>
    <row r="2739" spans="1:10">
      <c r="A2739" t="str">
        <f t="shared" si="170"/>
        <v>NAN</v>
      </c>
      <c r="B2739" t="str">
        <f>"75810000"</f>
        <v>75810000</v>
      </c>
      <c r="C2739" t="str">
        <f t="shared" si="165"/>
        <v>NAN758100000</v>
      </c>
      <c r="E2739">
        <v>0</v>
      </c>
      <c r="F2739">
        <v>893.02</v>
      </c>
      <c r="G2739">
        <f t="shared" si="166"/>
        <v>-893.02</v>
      </c>
    </row>
    <row r="2740" spans="1:10">
      <c r="A2740" t="str">
        <f t="shared" si="170"/>
        <v>NAN</v>
      </c>
      <c r="B2740" t="str">
        <f>"77180000"</f>
        <v>77180000</v>
      </c>
      <c r="C2740" t="str">
        <f t="shared" si="165"/>
        <v>NAN771800000</v>
      </c>
      <c r="E2740">
        <v>0</v>
      </c>
      <c r="F2740">
        <v>1016.13</v>
      </c>
      <c r="G2740">
        <f t="shared" si="166"/>
        <v>-1016.13</v>
      </c>
    </row>
    <row r="2741" spans="1:10">
      <c r="A2741" t="str">
        <f t="shared" si="170"/>
        <v>NAN</v>
      </c>
      <c r="B2741" t="str">
        <f>"77560000"</f>
        <v>77560000</v>
      </c>
      <c r="C2741" t="str">
        <f t="shared" si="165"/>
        <v>NAN775600000</v>
      </c>
      <c r="E2741">
        <v>0</v>
      </c>
      <c r="F2741">
        <v>0</v>
      </c>
      <c r="G2741">
        <f t="shared" si="166"/>
        <v>0</v>
      </c>
    </row>
    <row r="2742" spans="1:10">
      <c r="A2742" t="str">
        <f t="shared" si="170"/>
        <v>NAN</v>
      </c>
      <c r="B2742" t="str">
        <f>"78173000"</f>
        <v>78173000</v>
      </c>
      <c r="C2742" t="str">
        <f t="shared" si="165"/>
        <v>NAN781730000</v>
      </c>
      <c r="E2742">
        <v>0</v>
      </c>
      <c r="F2742">
        <v>3604.22</v>
      </c>
      <c r="G2742">
        <f t="shared" si="166"/>
        <v>-3604.22</v>
      </c>
    </row>
    <row r="2743" spans="1:10">
      <c r="A2743" t="str">
        <f t="shared" si="170"/>
        <v>NAN</v>
      </c>
      <c r="B2743" t="str">
        <f>"78174000"</f>
        <v>78174000</v>
      </c>
      <c r="C2743" t="str">
        <f t="shared" si="165"/>
        <v>NAN781740000</v>
      </c>
      <c r="E2743">
        <v>0</v>
      </c>
      <c r="F2743">
        <v>7178.58</v>
      </c>
      <c r="G2743">
        <f t="shared" si="166"/>
        <v>-7178.58</v>
      </c>
    </row>
    <row r="2744" spans="1:10">
      <c r="A2744" t="str">
        <f t="shared" si="170"/>
        <v>NAN</v>
      </c>
      <c r="B2744" t="str">
        <f>"78725000"</f>
        <v>78725000</v>
      </c>
      <c r="C2744" t="str">
        <f t="shared" si="165"/>
        <v>NAN787250000</v>
      </c>
      <c r="E2744">
        <v>0</v>
      </c>
      <c r="F2744">
        <v>2898.87</v>
      </c>
      <c r="G2744">
        <f t="shared" si="166"/>
        <v>-2898.87</v>
      </c>
    </row>
    <row r="2745" spans="1:10">
      <c r="A2745" t="str">
        <f t="shared" si="170"/>
        <v>NAN</v>
      </c>
      <c r="B2745" t="str">
        <f>"79110000"</f>
        <v>79110000</v>
      </c>
      <c r="C2745" t="str">
        <f t="shared" si="165"/>
        <v>NAN791100000</v>
      </c>
      <c r="E2745">
        <v>0</v>
      </c>
      <c r="F2745">
        <v>3023.32</v>
      </c>
      <c r="G2745">
        <f t="shared" si="166"/>
        <v>-3023.32</v>
      </c>
      <c r="I2745" s="26"/>
    </row>
    <row r="2746" spans="1:10">
      <c r="A2746" t="str">
        <f t="shared" ref="A2746:A2760" si="171">"ORL"</f>
        <v>ORL</v>
      </c>
      <c r="B2746" t="str">
        <f>"70600000"</f>
        <v>70600000</v>
      </c>
      <c r="C2746" t="str">
        <f t="shared" si="165"/>
        <v>ORL706000000</v>
      </c>
      <c r="E2746">
        <v>0</v>
      </c>
      <c r="F2746">
        <v>0</v>
      </c>
      <c r="G2746">
        <f t="shared" si="166"/>
        <v>0</v>
      </c>
      <c r="J2746" s="26"/>
    </row>
    <row r="2747" spans="1:10">
      <c r="A2747" t="str">
        <f t="shared" si="171"/>
        <v>ORL</v>
      </c>
      <c r="B2747" t="str">
        <f>"70711000"</f>
        <v>70711000</v>
      </c>
      <c r="C2747" t="str">
        <f t="shared" si="165"/>
        <v>ORL707110000</v>
      </c>
      <c r="E2747">
        <v>19.66</v>
      </c>
      <c r="F2747">
        <v>255.36</v>
      </c>
      <c r="G2747">
        <f t="shared" si="166"/>
        <v>-235.70000000000002</v>
      </c>
    </row>
    <row r="2748" spans="1:10">
      <c r="A2748" t="str">
        <f t="shared" si="171"/>
        <v>ORL</v>
      </c>
      <c r="B2748" t="str">
        <f>"70713000"</f>
        <v>70713000</v>
      </c>
      <c r="C2748" t="str">
        <f t="shared" si="165"/>
        <v>ORL707130000</v>
      </c>
      <c r="E2748">
        <v>36947.22</v>
      </c>
      <c r="F2748">
        <v>986522.17</v>
      </c>
      <c r="G2748">
        <f t="shared" si="166"/>
        <v>-949574.95000000007</v>
      </c>
    </row>
    <row r="2749" spans="1:10">
      <c r="A2749" t="str">
        <f t="shared" si="171"/>
        <v>ORL</v>
      </c>
      <c r="B2749" t="str">
        <f>"70713100"</f>
        <v>70713100</v>
      </c>
      <c r="C2749" t="str">
        <f t="shared" si="165"/>
        <v>ORL707131000</v>
      </c>
      <c r="E2749">
        <v>0</v>
      </c>
      <c r="F2749">
        <v>158234.74</v>
      </c>
      <c r="G2749">
        <f t="shared" si="166"/>
        <v>-158234.74</v>
      </c>
    </row>
    <row r="2750" spans="1:10">
      <c r="A2750" t="str">
        <f t="shared" si="171"/>
        <v>ORL</v>
      </c>
      <c r="B2750" t="str">
        <f>"70850000"</f>
        <v>70850000</v>
      </c>
      <c r="C2750" t="str">
        <f t="shared" si="165"/>
        <v>ORL708500000</v>
      </c>
      <c r="E2750">
        <v>0</v>
      </c>
      <c r="F2750">
        <v>1587</v>
      </c>
      <c r="G2750">
        <f t="shared" si="166"/>
        <v>-1587</v>
      </c>
    </row>
    <row r="2751" spans="1:10">
      <c r="A2751" t="str">
        <f t="shared" si="171"/>
        <v>ORL</v>
      </c>
      <c r="B2751" t="str">
        <f>"70882000"</f>
        <v>70882000</v>
      </c>
      <c r="C2751" t="str">
        <f t="shared" si="165"/>
        <v>ORL708820000</v>
      </c>
      <c r="E2751">
        <v>0</v>
      </c>
      <c r="F2751">
        <v>313.08999999999997</v>
      </c>
      <c r="G2751">
        <f t="shared" si="166"/>
        <v>-313.08999999999997</v>
      </c>
    </row>
    <row r="2752" spans="1:10">
      <c r="A2752" t="str">
        <f t="shared" si="171"/>
        <v>ORL</v>
      </c>
      <c r="B2752" t="str">
        <f>"70970000"</f>
        <v>70970000</v>
      </c>
      <c r="C2752" t="str">
        <f t="shared" si="165"/>
        <v>ORL709700000</v>
      </c>
      <c r="E2752">
        <v>13527.79</v>
      </c>
      <c r="F2752">
        <v>0</v>
      </c>
      <c r="G2752">
        <f t="shared" si="166"/>
        <v>13527.79</v>
      </c>
    </row>
    <row r="2753" spans="1:12">
      <c r="A2753" t="str">
        <f t="shared" si="171"/>
        <v>ORL</v>
      </c>
      <c r="B2753" t="str">
        <f>"75800000"</f>
        <v>75800000</v>
      </c>
      <c r="C2753" t="str">
        <f t="shared" si="165"/>
        <v>ORL758000000</v>
      </c>
      <c r="E2753">
        <v>0</v>
      </c>
      <c r="F2753">
        <v>973.61</v>
      </c>
      <c r="G2753">
        <f t="shared" si="166"/>
        <v>-973.61</v>
      </c>
    </row>
    <row r="2754" spans="1:12">
      <c r="A2754" t="str">
        <f t="shared" si="171"/>
        <v>ORL</v>
      </c>
      <c r="B2754" t="str">
        <f>"76300000"</f>
        <v>76300000</v>
      </c>
      <c r="C2754" t="str">
        <f t="shared" si="165"/>
        <v>ORL763000000</v>
      </c>
      <c r="E2754">
        <v>18</v>
      </c>
      <c r="F2754">
        <v>27</v>
      </c>
      <c r="G2754">
        <f t="shared" si="166"/>
        <v>-9</v>
      </c>
    </row>
    <row r="2755" spans="1:12">
      <c r="A2755" t="str">
        <f t="shared" si="171"/>
        <v>ORL</v>
      </c>
      <c r="B2755" t="str">
        <f>"77180000"</f>
        <v>77180000</v>
      </c>
      <c r="C2755" t="str">
        <f t="shared" ref="C2755:C2818" si="172">+A2755&amp;B2755*10</f>
        <v>ORL771800000</v>
      </c>
      <c r="E2755">
        <v>0</v>
      </c>
      <c r="F2755">
        <v>1320</v>
      </c>
      <c r="G2755">
        <f t="shared" ref="G2755:G2818" si="173">+E2755-F2755</f>
        <v>-1320</v>
      </c>
    </row>
    <row r="2756" spans="1:12">
      <c r="A2756" t="str">
        <f t="shared" si="171"/>
        <v>ORL</v>
      </c>
      <c r="B2756" t="str">
        <f>"78173000"</f>
        <v>78173000</v>
      </c>
      <c r="C2756" t="str">
        <f t="shared" si="172"/>
        <v>ORL781730000</v>
      </c>
      <c r="E2756">
        <v>0</v>
      </c>
      <c r="F2756">
        <v>4280.58</v>
      </c>
      <c r="G2756">
        <f t="shared" si="173"/>
        <v>-4280.58</v>
      </c>
    </row>
    <row r="2757" spans="1:12">
      <c r="A2757" t="str">
        <f t="shared" si="171"/>
        <v>ORL</v>
      </c>
      <c r="B2757" t="str">
        <f>"78174000"</f>
        <v>78174000</v>
      </c>
      <c r="C2757" t="str">
        <f t="shared" si="172"/>
        <v>ORL781740000</v>
      </c>
      <c r="E2757">
        <v>0</v>
      </c>
      <c r="F2757">
        <v>269.57</v>
      </c>
      <c r="G2757">
        <f t="shared" si="173"/>
        <v>-269.57</v>
      </c>
    </row>
    <row r="2758" spans="1:12">
      <c r="A2758" t="str">
        <f t="shared" si="171"/>
        <v>ORL</v>
      </c>
      <c r="B2758" t="str">
        <f>"78725000"</f>
        <v>78725000</v>
      </c>
      <c r="C2758" t="str">
        <f t="shared" si="172"/>
        <v>ORL787250000</v>
      </c>
      <c r="E2758">
        <v>0</v>
      </c>
      <c r="F2758">
        <v>10.17</v>
      </c>
      <c r="G2758">
        <f t="shared" si="173"/>
        <v>-10.17</v>
      </c>
      <c r="L2758" s="353"/>
    </row>
    <row r="2759" spans="1:12">
      <c r="A2759" t="str">
        <f t="shared" si="171"/>
        <v>ORL</v>
      </c>
      <c r="B2759" t="str">
        <f>"79100000"</f>
        <v>79100000</v>
      </c>
      <c r="C2759" t="str">
        <f t="shared" si="172"/>
        <v>ORL791000000</v>
      </c>
      <c r="E2759">
        <v>0</v>
      </c>
      <c r="F2759">
        <v>-3590</v>
      </c>
      <c r="G2759">
        <f t="shared" si="173"/>
        <v>3590</v>
      </c>
      <c r="L2759" s="353"/>
    </row>
    <row r="2760" spans="1:12">
      <c r="A2760" t="str">
        <f t="shared" si="171"/>
        <v>ORL</v>
      </c>
      <c r="B2760" t="str">
        <f>"79110000"</f>
        <v>79110000</v>
      </c>
      <c r="C2760" t="str">
        <f t="shared" si="172"/>
        <v>ORL791100000</v>
      </c>
      <c r="E2760">
        <v>0</v>
      </c>
      <c r="F2760">
        <v>2750.2</v>
      </c>
      <c r="G2760">
        <f t="shared" si="173"/>
        <v>-2750.2</v>
      </c>
    </row>
    <row r="2761" spans="1:12">
      <c r="A2761" t="str">
        <f t="shared" ref="A2761:A2771" si="174">"REN"</f>
        <v>REN</v>
      </c>
      <c r="B2761" t="str">
        <f>"70600000"</f>
        <v>70600000</v>
      </c>
      <c r="C2761" t="str">
        <f t="shared" si="172"/>
        <v>REN706000000</v>
      </c>
      <c r="E2761">
        <v>0</v>
      </c>
      <c r="F2761">
        <v>0</v>
      </c>
      <c r="G2761">
        <f t="shared" si="173"/>
        <v>0</v>
      </c>
    </row>
    <row r="2762" spans="1:12">
      <c r="A2762" t="str">
        <f t="shared" si="174"/>
        <v>REN</v>
      </c>
      <c r="B2762" t="str">
        <f>"70713000"</f>
        <v>70713000</v>
      </c>
      <c r="C2762" t="str">
        <f t="shared" si="172"/>
        <v>REN707130000</v>
      </c>
      <c r="E2762">
        <v>19046.919999999998</v>
      </c>
      <c r="F2762">
        <v>508021.64</v>
      </c>
      <c r="G2762">
        <f t="shared" si="173"/>
        <v>-488974.72000000003</v>
      </c>
    </row>
    <row r="2763" spans="1:12">
      <c r="A2763" t="str">
        <f t="shared" si="174"/>
        <v>REN</v>
      </c>
      <c r="B2763" t="str">
        <f>"70713100"</f>
        <v>70713100</v>
      </c>
      <c r="C2763" t="str">
        <f t="shared" si="172"/>
        <v>REN707131000</v>
      </c>
      <c r="E2763">
        <v>0</v>
      </c>
      <c r="F2763">
        <v>63718.9</v>
      </c>
      <c r="G2763">
        <f t="shared" si="173"/>
        <v>-63718.9</v>
      </c>
    </row>
    <row r="2764" spans="1:12">
      <c r="A2764" t="str">
        <f t="shared" si="174"/>
        <v>REN</v>
      </c>
      <c r="B2764" t="str">
        <f>"70850000"</f>
        <v>70850000</v>
      </c>
      <c r="C2764" t="str">
        <f t="shared" si="172"/>
        <v>REN708500000</v>
      </c>
      <c r="E2764">
        <v>0</v>
      </c>
      <c r="F2764">
        <v>972</v>
      </c>
      <c r="G2764">
        <f t="shared" si="173"/>
        <v>-972</v>
      </c>
    </row>
    <row r="2765" spans="1:12">
      <c r="A2765" t="str">
        <f t="shared" si="174"/>
        <v>REN</v>
      </c>
      <c r="B2765" t="str">
        <f>"70882000"</f>
        <v>70882000</v>
      </c>
      <c r="C2765" t="str">
        <f t="shared" si="172"/>
        <v>REN708820000</v>
      </c>
      <c r="E2765">
        <v>12.4</v>
      </c>
      <c r="F2765">
        <v>416.22</v>
      </c>
      <c r="G2765">
        <f t="shared" si="173"/>
        <v>-403.82000000000005</v>
      </c>
    </row>
    <row r="2766" spans="1:12">
      <c r="A2766" t="str">
        <f t="shared" si="174"/>
        <v>REN</v>
      </c>
      <c r="B2766" t="str">
        <f>"70970000"</f>
        <v>70970000</v>
      </c>
      <c r="C2766" t="str">
        <f t="shared" si="172"/>
        <v>REN709700000</v>
      </c>
      <c r="E2766">
        <v>13598.68</v>
      </c>
      <c r="F2766">
        <v>319.39999999999998</v>
      </c>
      <c r="G2766">
        <f t="shared" si="173"/>
        <v>13279.28</v>
      </c>
    </row>
    <row r="2767" spans="1:12">
      <c r="A2767" t="str">
        <f t="shared" si="174"/>
        <v>REN</v>
      </c>
      <c r="B2767" t="str">
        <f>"75810000"</f>
        <v>75810000</v>
      </c>
      <c r="C2767" t="str">
        <f t="shared" si="172"/>
        <v>REN758100000</v>
      </c>
      <c r="E2767">
        <v>0</v>
      </c>
      <c r="F2767">
        <v>456.34</v>
      </c>
      <c r="G2767">
        <f t="shared" si="173"/>
        <v>-456.34</v>
      </c>
    </row>
    <row r="2768" spans="1:12">
      <c r="A2768" t="str">
        <f t="shared" si="174"/>
        <v>REN</v>
      </c>
      <c r="B2768" t="str">
        <f>"76300000"</f>
        <v>76300000</v>
      </c>
      <c r="C2768" t="str">
        <f t="shared" si="172"/>
        <v>REN763000000</v>
      </c>
      <c r="E2768">
        <v>72</v>
      </c>
      <c r="F2768">
        <v>159.19999999999999</v>
      </c>
      <c r="G2768">
        <f t="shared" si="173"/>
        <v>-87.199999999999989</v>
      </c>
    </row>
    <row r="2769" spans="1:7">
      <c r="A2769" t="str">
        <f t="shared" si="174"/>
        <v>REN</v>
      </c>
      <c r="B2769" t="str">
        <f>"77180000"</f>
        <v>77180000</v>
      </c>
      <c r="C2769" t="str">
        <f t="shared" si="172"/>
        <v>REN771800000</v>
      </c>
      <c r="E2769">
        <v>0</v>
      </c>
      <c r="F2769">
        <v>22</v>
      </c>
      <c r="G2769">
        <f t="shared" si="173"/>
        <v>-22</v>
      </c>
    </row>
    <row r="2770" spans="1:7">
      <c r="A2770" t="str">
        <f t="shared" si="174"/>
        <v>REN</v>
      </c>
      <c r="B2770" t="str">
        <f>"78173000"</f>
        <v>78173000</v>
      </c>
      <c r="C2770" t="str">
        <f t="shared" si="172"/>
        <v>REN781730000</v>
      </c>
      <c r="E2770">
        <v>0</v>
      </c>
      <c r="F2770">
        <v>6209</v>
      </c>
      <c r="G2770">
        <f t="shared" si="173"/>
        <v>-6209</v>
      </c>
    </row>
    <row r="2771" spans="1:7">
      <c r="A2771" t="str">
        <f t="shared" si="174"/>
        <v>REN</v>
      </c>
      <c r="B2771" t="str">
        <f>"78725000"</f>
        <v>78725000</v>
      </c>
      <c r="C2771" t="str">
        <f t="shared" si="172"/>
        <v>REN787250000</v>
      </c>
      <c r="E2771">
        <v>0</v>
      </c>
      <c r="F2771">
        <v>1112.3399999999999</v>
      </c>
      <c r="G2771">
        <f t="shared" si="173"/>
        <v>-1112.3399999999999</v>
      </c>
    </row>
    <row r="2772" spans="1:7">
      <c r="A2772" t="str">
        <f t="shared" ref="A2772:A2787" si="175">"ROA"</f>
        <v>ROA</v>
      </c>
      <c r="B2772" t="str">
        <f>"70600000"</f>
        <v>70600000</v>
      </c>
      <c r="C2772" t="str">
        <f t="shared" si="172"/>
        <v>ROA706000000</v>
      </c>
      <c r="E2772">
        <v>0</v>
      </c>
      <c r="F2772">
        <v>0</v>
      </c>
      <c r="G2772">
        <f t="shared" si="173"/>
        <v>0</v>
      </c>
    </row>
    <row r="2773" spans="1:7">
      <c r="A2773" t="str">
        <f t="shared" si="175"/>
        <v>ROA</v>
      </c>
      <c r="B2773" t="str">
        <f>"70711000"</f>
        <v>70711000</v>
      </c>
      <c r="C2773" t="str">
        <f t="shared" si="172"/>
        <v>ROA707110000</v>
      </c>
      <c r="E2773">
        <v>182.06</v>
      </c>
      <c r="F2773">
        <v>2.06</v>
      </c>
      <c r="G2773">
        <f t="shared" si="173"/>
        <v>180</v>
      </c>
    </row>
    <row r="2774" spans="1:7">
      <c r="A2774" t="str">
        <f t="shared" si="175"/>
        <v>ROA</v>
      </c>
      <c r="B2774" t="str">
        <f>"70713000"</f>
        <v>70713000</v>
      </c>
      <c r="C2774" t="str">
        <f t="shared" si="172"/>
        <v>ROA707130000</v>
      </c>
      <c r="E2774">
        <v>31416.48</v>
      </c>
      <c r="F2774">
        <v>1049185.33</v>
      </c>
      <c r="G2774">
        <f t="shared" si="173"/>
        <v>-1017768.8500000001</v>
      </c>
    </row>
    <row r="2775" spans="1:7">
      <c r="A2775" t="str">
        <f t="shared" si="175"/>
        <v>ROA</v>
      </c>
      <c r="B2775" t="str">
        <f>"70713100"</f>
        <v>70713100</v>
      </c>
      <c r="C2775" t="str">
        <f t="shared" si="172"/>
        <v>ROA707131000</v>
      </c>
      <c r="E2775">
        <v>0</v>
      </c>
      <c r="F2775">
        <v>492295.45</v>
      </c>
      <c r="G2775">
        <f t="shared" si="173"/>
        <v>-492295.45</v>
      </c>
    </row>
    <row r="2776" spans="1:7">
      <c r="A2776" t="str">
        <f t="shared" si="175"/>
        <v>ROA</v>
      </c>
      <c r="B2776" t="str">
        <f>"70850000"</f>
        <v>70850000</v>
      </c>
      <c r="C2776" t="str">
        <f t="shared" si="172"/>
        <v>ROA708500000</v>
      </c>
      <c r="E2776">
        <v>0</v>
      </c>
      <c r="F2776">
        <v>4164</v>
      </c>
      <c r="G2776">
        <f t="shared" si="173"/>
        <v>-4164</v>
      </c>
    </row>
    <row r="2777" spans="1:7">
      <c r="A2777" t="str">
        <f t="shared" si="175"/>
        <v>ROA</v>
      </c>
      <c r="B2777" t="str">
        <f>"70882000"</f>
        <v>70882000</v>
      </c>
      <c r="C2777" t="str">
        <f t="shared" si="172"/>
        <v>ROA708820000</v>
      </c>
      <c r="E2777">
        <v>36.86</v>
      </c>
      <c r="F2777">
        <v>218.08</v>
      </c>
      <c r="G2777">
        <f t="shared" si="173"/>
        <v>-181.22000000000003</v>
      </c>
    </row>
    <row r="2778" spans="1:7">
      <c r="A2778" t="str">
        <f t="shared" si="175"/>
        <v>ROA</v>
      </c>
      <c r="B2778" t="str">
        <f>"70970000"</f>
        <v>70970000</v>
      </c>
      <c r="C2778" t="str">
        <f t="shared" si="172"/>
        <v>ROA709700000</v>
      </c>
      <c r="E2778">
        <v>21249.14</v>
      </c>
      <c r="F2778">
        <v>910.54</v>
      </c>
      <c r="G2778">
        <f t="shared" si="173"/>
        <v>20338.599999999999</v>
      </c>
    </row>
    <row r="2779" spans="1:7">
      <c r="A2779" t="str">
        <f t="shared" si="175"/>
        <v>ROA</v>
      </c>
      <c r="B2779" t="str">
        <f>"75800000"</f>
        <v>75800000</v>
      </c>
      <c r="C2779" t="str">
        <f t="shared" si="172"/>
        <v>ROA758000000</v>
      </c>
      <c r="E2779">
        <v>0</v>
      </c>
      <c r="F2779">
        <v>522.91999999999996</v>
      </c>
      <c r="G2779">
        <f t="shared" si="173"/>
        <v>-522.91999999999996</v>
      </c>
    </row>
    <row r="2780" spans="1:7">
      <c r="A2780" t="str">
        <f t="shared" si="175"/>
        <v>ROA</v>
      </c>
      <c r="B2780" t="str">
        <f>"75810000"</f>
        <v>75810000</v>
      </c>
      <c r="C2780" t="str">
        <f t="shared" si="172"/>
        <v>ROA758100000</v>
      </c>
      <c r="E2780">
        <v>0</v>
      </c>
      <c r="F2780">
        <v>4221.1899999999996</v>
      </c>
      <c r="G2780">
        <f t="shared" si="173"/>
        <v>-4221.1899999999996</v>
      </c>
    </row>
    <row r="2781" spans="1:7">
      <c r="A2781" t="str">
        <f t="shared" si="175"/>
        <v>ROA</v>
      </c>
      <c r="B2781" t="str">
        <f>"76300000"</f>
        <v>76300000</v>
      </c>
      <c r="C2781" t="str">
        <f t="shared" si="172"/>
        <v>ROA763000000</v>
      </c>
      <c r="E2781">
        <v>75.59</v>
      </c>
      <c r="F2781">
        <v>201.4</v>
      </c>
      <c r="G2781">
        <f t="shared" si="173"/>
        <v>-125.81</v>
      </c>
    </row>
    <row r="2782" spans="1:7">
      <c r="A2782" t="str">
        <f t="shared" si="175"/>
        <v>ROA</v>
      </c>
      <c r="B2782" t="str">
        <f>"77140000"</f>
        <v>77140000</v>
      </c>
      <c r="C2782" t="str">
        <f t="shared" si="172"/>
        <v>ROA771400000</v>
      </c>
      <c r="E2782">
        <v>0</v>
      </c>
      <c r="F2782">
        <v>109.8</v>
      </c>
      <c r="G2782">
        <f t="shared" si="173"/>
        <v>-109.8</v>
      </c>
    </row>
    <row r="2783" spans="1:7">
      <c r="A2783" t="str">
        <f t="shared" si="175"/>
        <v>ROA</v>
      </c>
      <c r="B2783" t="str">
        <f>"77180000"</f>
        <v>77180000</v>
      </c>
      <c r="C2783" t="str">
        <f t="shared" si="172"/>
        <v>ROA771800000</v>
      </c>
      <c r="E2783">
        <v>0</v>
      </c>
      <c r="F2783">
        <v>14048.96</v>
      </c>
      <c r="G2783">
        <f t="shared" si="173"/>
        <v>-14048.96</v>
      </c>
    </row>
    <row r="2784" spans="1:7">
      <c r="A2784" t="str">
        <f t="shared" si="175"/>
        <v>ROA</v>
      </c>
      <c r="B2784" t="str">
        <f>"78173000"</f>
        <v>78173000</v>
      </c>
      <c r="C2784" t="str">
        <f t="shared" si="172"/>
        <v>ROA781730000</v>
      </c>
      <c r="E2784">
        <v>0</v>
      </c>
      <c r="F2784">
        <v>8658.32</v>
      </c>
      <c r="G2784">
        <f t="shared" si="173"/>
        <v>-8658.32</v>
      </c>
    </row>
    <row r="2785" spans="1:7">
      <c r="A2785" t="str">
        <f t="shared" si="175"/>
        <v>ROA</v>
      </c>
      <c r="B2785" t="str">
        <f>"78174000"</f>
        <v>78174000</v>
      </c>
      <c r="C2785" t="str">
        <f t="shared" si="172"/>
        <v>ROA781740000</v>
      </c>
      <c r="E2785">
        <v>0</v>
      </c>
      <c r="F2785">
        <v>1207.32</v>
      </c>
      <c r="G2785">
        <f t="shared" si="173"/>
        <v>-1207.32</v>
      </c>
    </row>
    <row r="2786" spans="1:7">
      <c r="A2786" t="str">
        <f t="shared" si="175"/>
        <v>ROA</v>
      </c>
      <c r="B2786" t="str">
        <f>"78725000"</f>
        <v>78725000</v>
      </c>
      <c r="C2786" t="str">
        <f t="shared" si="172"/>
        <v>ROA787250000</v>
      </c>
      <c r="E2786">
        <v>0</v>
      </c>
      <c r="F2786">
        <v>4679.99</v>
      </c>
      <c r="G2786">
        <f t="shared" si="173"/>
        <v>-4679.99</v>
      </c>
    </row>
    <row r="2787" spans="1:7">
      <c r="A2787" t="str">
        <f t="shared" si="175"/>
        <v>ROA</v>
      </c>
      <c r="B2787" t="str">
        <f>"79100000"</f>
        <v>79100000</v>
      </c>
      <c r="C2787" t="str">
        <f t="shared" si="172"/>
        <v>ROA791000000</v>
      </c>
      <c r="E2787">
        <v>0</v>
      </c>
      <c r="F2787">
        <v>33792.559999999998</v>
      </c>
      <c r="G2787">
        <f t="shared" si="173"/>
        <v>-33792.559999999998</v>
      </c>
    </row>
    <row r="2788" spans="1:7">
      <c r="A2788" t="str">
        <f t="shared" ref="A2788:A2794" si="176">"SAU"</f>
        <v>SAU</v>
      </c>
      <c r="B2788" t="str">
        <f>"70600000"</f>
        <v>70600000</v>
      </c>
      <c r="C2788" t="str">
        <f t="shared" si="172"/>
        <v>SAU706000000</v>
      </c>
      <c r="E2788">
        <v>0</v>
      </c>
      <c r="F2788">
        <v>0</v>
      </c>
      <c r="G2788">
        <f t="shared" si="173"/>
        <v>0</v>
      </c>
    </row>
    <row r="2789" spans="1:7">
      <c r="A2789" t="str">
        <f t="shared" si="176"/>
        <v>SAU</v>
      </c>
      <c r="B2789" t="str">
        <f>"70713000"</f>
        <v>70713000</v>
      </c>
      <c r="C2789" t="str">
        <f t="shared" si="172"/>
        <v>SAU707130000</v>
      </c>
      <c r="E2789">
        <v>17143.689999999999</v>
      </c>
      <c r="F2789">
        <v>191300.4</v>
      </c>
      <c r="G2789">
        <f t="shared" si="173"/>
        <v>-174156.71</v>
      </c>
    </row>
    <row r="2790" spans="1:7">
      <c r="A2790" t="str">
        <f t="shared" si="176"/>
        <v>SAU</v>
      </c>
      <c r="B2790" t="str">
        <f>"70713100"</f>
        <v>70713100</v>
      </c>
      <c r="C2790" t="str">
        <f t="shared" si="172"/>
        <v>SAU707131000</v>
      </c>
      <c r="E2790">
        <v>0</v>
      </c>
      <c r="F2790">
        <v>102510.62</v>
      </c>
      <c r="G2790">
        <f t="shared" si="173"/>
        <v>-102510.62</v>
      </c>
    </row>
    <row r="2791" spans="1:7">
      <c r="A2791" t="str">
        <f t="shared" si="176"/>
        <v>SAU</v>
      </c>
      <c r="B2791" t="str">
        <f>"70850000"</f>
        <v>70850000</v>
      </c>
      <c r="C2791" t="str">
        <f t="shared" si="172"/>
        <v>SAU708500000</v>
      </c>
      <c r="E2791">
        <v>0</v>
      </c>
      <c r="F2791">
        <v>888</v>
      </c>
      <c r="G2791">
        <f t="shared" si="173"/>
        <v>-888</v>
      </c>
    </row>
    <row r="2792" spans="1:7">
      <c r="A2792" t="str">
        <f t="shared" si="176"/>
        <v>SAU</v>
      </c>
      <c r="B2792" t="str">
        <f>"70970000"</f>
        <v>70970000</v>
      </c>
      <c r="C2792" t="str">
        <f t="shared" si="172"/>
        <v>SAU709700000</v>
      </c>
      <c r="E2792">
        <v>1137.1199999999999</v>
      </c>
      <c r="F2792">
        <v>0</v>
      </c>
      <c r="G2792">
        <f t="shared" si="173"/>
        <v>1137.1199999999999</v>
      </c>
    </row>
    <row r="2793" spans="1:7">
      <c r="A2793" t="str">
        <f t="shared" si="176"/>
        <v>SAU</v>
      </c>
      <c r="B2793" t="str">
        <f>"77180000"</f>
        <v>77180000</v>
      </c>
      <c r="C2793" t="str">
        <f t="shared" si="172"/>
        <v>SAU771800000</v>
      </c>
      <c r="E2793">
        <v>0</v>
      </c>
      <c r="F2793">
        <v>267.01</v>
      </c>
      <c r="G2793">
        <f t="shared" si="173"/>
        <v>-267.01</v>
      </c>
    </row>
    <row r="2794" spans="1:7">
      <c r="A2794" t="str">
        <f t="shared" si="176"/>
        <v>SAU</v>
      </c>
      <c r="B2794" t="str">
        <f>"78173000"</f>
        <v>78173000</v>
      </c>
      <c r="C2794" t="str">
        <f t="shared" si="172"/>
        <v>SAU781730000</v>
      </c>
      <c r="E2794">
        <v>0</v>
      </c>
      <c r="F2794">
        <v>0</v>
      </c>
      <c r="G2794">
        <f t="shared" si="173"/>
        <v>0</v>
      </c>
    </row>
    <row r="2795" spans="1:7">
      <c r="A2795" t="str">
        <f t="shared" ref="A2795:A2801" si="177">"SOM"</f>
        <v>SOM</v>
      </c>
      <c r="B2795" t="str">
        <f>"70600000"</f>
        <v>70600000</v>
      </c>
      <c r="C2795" t="str">
        <f t="shared" si="172"/>
        <v>SOM706000000</v>
      </c>
      <c r="E2795">
        <v>0</v>
      </c>
      <c r="F2795">
        <v>0</v>
      </c>
      <c r="G2795">
        <f t="shared" si="173"/>
        <v>0</v>
      </c>
    </row>
    <row r="2796" spans="1:7">
      <c r="A2796" t="str">
        <f t="shared" si="177"/>
        <v>SOM</v>
      </c>
      <c r="B2796" t="str">
        <f>"70713000"</f>
        <v>70713000</v>
      </c>
      <c r="C2796" t="str">
        <f t="shared" si="172"/>
        <v>SOM707130000</v>
      </c>
      <c r="E2796">
        <v>25961.78</v>
      </c>
      <c r="F2796">
        <v>106020.14</v>
      </c>
      <c r="G2796">
        <f t="shared" si="173"/>
        <v>-80058.36</v>
      </c>
    </row>
    <row r="2797" spans="1:7">
      <c r="A2797" t="str">
        <f t="shared" si="177"/>
        <v>SOM</v>
      </c>
      <c r="B2797" t="str">
        <f>"70713100"</f>
        <v>70713100</v>
      </c>
      <c r="C2797" t="str">
        <f t="shared" si="172"/>
        <v>SOM707131000</v>
      </c>
      <c r="E2797">
        <v>0</v>
      </c>
      <c r="F2797">
        <v>596684.06000000006</v>
      </c>
      <c r="G2797">
        <f t="shared" si="173"/>
        <v>-596684.06000000006</v>
      </c>
    </row>
    <row r="2798" spans="1:7">
      <c r="A2798" t="str">
        <f t="shared" si="177"/>
        <v>SOM</v>
      </c>
      <c r="B2798" t="str">
        <f>"70723000"</f>
        <v>70723000</v>
      </c>
      <c r="C2798" t="str">
        <f t="shared" si="172"/>
        <v>SOM707230000</v>
      </c>
      <c r="E2798">
        <v>506.42</v>
      </c>
      <c r="F2798">
        <v>53196.98</v>
      </c>
      <c r="G2798">
        <f t="shared" si="173"/>
        <v>-52690.560000000005</v>
      </c>
    </row>
    <row r="2799" spans="1:7">
      <c r="A2799" t="str">
        <f t="shared" si="177"/>
        <v>SOM</v>
      </c>
      <c r="B2799" t="str">
        <f>"70850000"</f>
        <v>70850000</v>
      </c>
      <c r="C2799" t="str">
        <f t="shared" si="172"/>
        <v>SOM708500000</v>
      </c>
      <c r="E2799">
        <v>0</v>
      </c>
      <c r="F2799">
        <v>126</v>
      </c>
      <c r="G2799">
        <f t="shared" si="173"/>
        <v>-126</v>
      </c>
    </row>
    <row r="2800" spans="1:7">
      <c r="A2800" t="str">
        <f t="shared" si="177"/>
        <v>SOM</v>
      </c>
      <c r="B2800" t="str">
        <f>"70970000"</f>
        <v>70970000</v>
      </c>
      <c r="C2800" t="str">
        <f t="shared" si="172"/>
        <v>SOM709700000</v>
      </c>
      <c r="E2800">
        <v>0</v>
      </c>
      <c r="F2800">
        <v>0</v>
      </c>
      <c r="G2800">
        <f t="shared" si="173"/>
        <v>0</v>
      </c>
    </row>
    <row r="2801" spans="1:7">
      <c r="A2801" t="str">
        <f t="shared" si="177"/>
        <v>SOM</v>
      </c>
      <c r="B2801" t="str">
        <f>"77180000"</f>
        <v>77180000</v>
      </c>
      <c r="C2801" t="str">
        <f t="shared" si="172"/>
        <v>SOM771800000</v>
      </c>
      <c r="E2801">
        <v>0</v>
      </c>
      <c r="F2801">
        <v>533</v>
      </c>
      <c r="G2801">
        <f t="shared" si="173"/>
        <v>-533</v>
      </c>
    </row>
    <row r="2802" spans="1:7">
      <c r="A2802" t="str">
        <f t="shared" ref="A2802:A2813" si="178">"THO"</f>
        <v>THO</v>
      </c>
      <c r="B2802" t="str">
        <f>"70600000"</f>
        <v>70600000</v>
      </c>
      <c r="C2802" t="str">
        <f t="shared" si="172"/>
        <v>THO706000000</v>
      </c>
      <c r="E2802">
        <v>0</v>
      </c>
      <c r="F2802">
        <v>0</v>
      </c>
      <c r="G2802">
        <f t="shared" si="173"/>
        <v>0</v>
      </c>
    </row>
    <row r="2803" spans="1:7">
      <c r="A2803" t="str">
        <f t="shared" si="178"/>
        <v>THO</v>
      </c>
      <c r="B2803" t="str">
        <f>"70711000"</f>
        <v>70711000</v>
      </c>
      <c r="C2803" t="str">
        <f t="shared" si="172"/>
        <v>THO707110000</v>
      </c>
      <c r="E2803">
        <v>0</v>
      </c>
      <c r="F2803">
        <v>300</v>
      </c>
      <c r="G2803">
        <f t="shared" si="173"/>
        <v>-300</v>
      </c>
    </row>
    <row r="2804" spans="1:7">
      <c r="A2804" t="str">
        <f t="shared" si="178"/>
        <v>THO</v>
      </c>
      <c r="B2804" t="str">
        <f>"70713000"</f>
        <v>70713000</v>
      </c>
      <c r="C2804" t="str">
        <f t="shared" si="172"/>
        <v>THO707130000</v>
      </c>
      <c r="E2804">
        <v>26895.38</v>
      </c>
      <c r="F2804">
        <v>648643.02</v>
      </c>
      <c r="G2804">
        <f t="shared" si="173"/>
        <v>-621747.64</v>
      </c>
    </row>
    <row r="2805" spans="1:7">
      <c r="A2805" t="str">
        <f t="shared" si="178"/>
        <v>THO</v>
      </c>
      <c r="B2805" t="str">
        <f>"70713100"</f>
        <v>70713100</v>
      </c>
      <c r="C2805" t="str">
        <f t="shared" si="172"/>
        <v>THO707131000</v>
      </c>
      <c r="E2805">
        <v>0</v>
      </c>
      <c r="F2805">
        <v>230692.72</v>
      </c>
      <c r="G2805">
        <f t="shared" si="173"/>
        <v>-230692.72</v>
      </c>
    </row>
    <row r="2806" spans="1:7">
      <c r="A2806" t="str">
        <f t="shared" si="178"/>
        <v>THO</v>
      </c>
      <c r="B2806" t="str">
        <f>"70850000"</f>
        <v>70850000</v>
      </c>
      <c r="C2806" t="str">
        <f t="shared" si="172"/>
        <v>THO708500000</v>
      </c>
      <c r="E2806">
        <v>0</v>
      </c>
      <c r="F2806">
        <v>2271</v>
      </c>
      <c r="G2806">
        <f t="shared" si="173"/>
        <v>-2271</v>
      </c>
    </row>
    <row r="2807" spans="1:7">
      <c r="A2807" t="str">
        <f t="shared" si="178"/>
        <v>THO</v>
      </c>
      <c r="B2807" t="str">
        <f>"70970000"</f>
        <v>70970000</v>
      </c>
      <c r="C2807" t="str">
        <f t="shared" si="172"/>
        <v>THO709700000</v>
      </c>
      <c r="E2807">
        <v>8171.4</v>
      </c>
      <c r="F2807">
        <v>0</v>
      </c>
      <c r="G2807">
        <f t="shared" si="173"/>
        <v>8171.4</v>
      </c>
    </row>
    <row r="2808" spans="1:7">
      <c r="A2808" t="str">
        <f t="shared" si="178"/>
        <v>THO</v>
      </c>
      <c r="B2808" t="str">
        <f>"76300000"</f>
        <v>76300000</v>
      </c>
      <c r="C2808" t="str">
        <f t="shared" si="172"/>
        <v>THO763000000</v>
      </c>
      <c r="E2808">
        <v>33.200000000000003</v>
      </c>
      <c r="F2808">
        <v>49.2</v>
      </c>
      <c r="G2808">
        <f t="shared" si="173"/>
        <v>-16</v>
      </c>
    </row>
    <row r="2809" spans="1:7">
      <c r="A2809" t="str">
        <f t="shared" si="178"/>
        <v>THO</v>
      </c>
      <c r="B2809" t="str">
        <f>"77180000"</f>
        <v>77180000</v>
      </c>
      <c r="C2809" t="str">
        <f t="shared" si="172"/>
        <v>THO771800000</v>
      </c>
      <c r="E2809">
        <v>0</v>
      </c>
      <c r="F2809">
        <v>1600.1</v>
      </c>
      <c r="G2809">
        <f t="shared" si="173"/>
        <v>-1600.1</v>
      </c>
    </row>
    <row r="2810" spans="1:7">
      <c r="A2810" t="str">
        <f t="shared" si="178"/>
        <v>THO</v>
      </c>
      <c r="B2810" t="str">
        <f>"78173000"</f>
        <v>78173000</v>
      </c>
      <c r="C2810" t="str">
        <f t="shared" si="172"/>
        <v>THO781730000</v>
      </c>
      <c r="E2810">
        <v>0</v>
      </c>
      <c r="F2810">
        <v>9617.52</v>
      </c>
      <c r="G2810">
        <f t="shared" si="173"/>
        <v>-9617.52</v>
      </c>
    </row>
    <row r="2811" spans="1:7">
      <c r="A2811" t="str">
        <f t="shared" si="178"/>
        <v>THO</v>
      </c>
      <c r="B2811" t="str">
        <f>"78174000"</f>
        <v>78174000</v>
      </c>
      <c r="C2811" t="str">
        <f t="shared" si="172"/>
        <v>THO781740000</v>
      </c>
      <c r="E2811">
        <v>0</v>
      </c>
      <c r="F2811">
        <v>971.29</v>
      </c>
      <c r="G2811">
        <f t="shared" si="173"/>
        <v>-971.29</v>
      </c>
    </row>
    <row r="2812" spans="1:7">
      <c r="A2812" t="str">
        <f t="shared" si="178"/>
        <v>THO</v>
      </c>
      <c r="B2812" t="str">
        <f>"78725000"</f>
        <v>78725000</v>
      </c>
      <c r="C2812" t="str">
        <f t="shared" si="172"/>
        <v>THO787250000</v>
      </c>
      <c r="E2812">
        <v>0</v>
      </c>
      <c r="F2812">
        <v>587.89</v>
      </c>
      <c r="G2812">
        <f t="shared" si="173"/>
        <v>-587.89</v>
      </c>
    </row>
    <row r="2813" spans="1:7">
      <c r="A2813" t="str">
        <f t="shared" si="178"/>
        <v>THO</v>
      </c>
      <c r="B2813" t="str">
        <f>"79110000"</f>
        <v>79110000</v>
      </c>
      <c r="C2813" t="str">
        <f t="shared" si="172"/>
        <v>THO791100000</v>
      </c>
      <c r="E2813">
        <v>0</v>
      </c>
      <c r="F2813">
        <v>706.53</v>
      </c>
      <c r="G2813">
        <f t="shared" si="173"/>
        <v>-706.53</v>
      </c>
    </row>
    <row r="2814" spans="1:7">
      <c r="A2814" t="str">
        <f>"TOU"</f>
        <v>TOU</v>
      </c>
      <c r="B2814" t="str">
        <f>"78174000"</f>
        <v>78174000</v>
      </c>
      <c r="C2814" t="str">
        <f t="shared" si="172"/>
        <v>TOU781740000</v>
      </c>
      <c r="E2814">
        <v>0</v>
      </c>
      <c r="F2814">
        <v>61.54</v>
      </c>
      <c r="G2814">
        <f t="shared" si="173"/>
        <v>-61.54</v>
      </c>
    </row>
    <row r="2815" spans="1:7">
      <c r="A2815" t="str">
        <f t="shared" ref="A2815:A2827" si="179">"TOURC"</f>
        <v>TOURC</v>
      </c>
      <c r="B2815" t="str">
        <f>"70600000"</f>
        <v>70600000</v>
      </c>
      <c r="C2815" t="str">
        <f t="shared" si="172"/>
        <v>TOURC706000000</v>
      </c>
      <c r="E2815">
        <v>0</v>
      </c>
      <c r="F2815">
        <v>0</v>
      </c>
      <c r="G2815">
        <f t="shared" si="173"/>
        <v>0</v>
      </c>
    </row>
    <row r="2816" spans="1:7">
      <c r="A2816" t="str">
        <f t="shared" si="179"/>
        <v>TOURC</v>
      </c>
      <c r="B2816" t="str">
        <f>"70713000"</f>
        <v>70713000</v>
      </c>
      <c r="C2816" t="str">
        <f t="shared" si="172"/>
        <v>TOURC707130000</v>
      </c>
      <c r="E2816">
        <v>29736.799999999999</v>
      </c>
      <c r="F2816">
        <v>371732.67</v>
      </c>
      <c r="G2816">
        <f t="shared" si="173"/>
        <v>-341995.87</v>
      </c>
    </row>
    <row r="2817" spans="1:7">
      <c r="A2817" t="str">
        <f t="shared" si="179"/>
        <v>TOURC</v>
      </c>
      <c r="B2817" t="str">
        <f>"70713100"</f>
        <v>70713100</v>
      </c>
      <c r="C2817" t="str">
        <f t="shared" si="172"/>
        <v>TOURC707131000</v>
      </c>
      <c r="E2817">
        <v>0</v>
      </c>
      <c r="F2817">
        <v>114523.49</v>
      </c>
      <c r="G2817">
        <f t="shared" si="173"/>
        <v>-114523.49</v>
      </c>
    </row>
    <row r="2818" spans="1:7">
      <c r="A2818" t="str">
        <f t="shared" si="179"/>
        <v>TOURC</v>
      </c>
      <c r="B2818" t="str">
        <f>"70850000"</f>
        <v>70850000</v>
      </c>
      <c r="C2818" t="str">
        <f t="shared" si="172"/>
        <v>TOURC708500000</v>
      </c>
      <c r="E2818">
        <v>0</v>
      </c>
      <c r="F2818">
        <v>1209</v>
      </c>
      <c r="G2818">
        <f t="shared" si="173"/>
        <v>-1209</v>
      </c>
    </row>
    <row r="2819" spans="1:7">
      <c r="A2819" t="str">
        <f t="shared" si="179"/>
        <v>TOURC</v>
      </c>
      <c r="B2819" t="str">
        <f>"70882000"</f>
        <v>70882000</v>
      </c>
      <c r="C2819" t="str">
        <f t="shared" ref="C2819:C2838" si="180">+A2819&amp;B2819*10</f>
        <v>TOURC708820000</v>
      </c>
      <c r="E2819">
        <v>0</v>
      </c>
      <c r="F2819">
        <v>75.37</v>
      </c>
      <c r="G2819">
        <f t="shared" ref="G2819:G2838" si="181">+E2819-F2819</f>
        <v>-75.37</v>
      </c>
    </row>
    <row r="2820" spans="1:7">
      <c r="A2820" t="str">
        <f t="shared" si="179"/>
        <v>TOURC</v>
      </c>
      <c r="B2820" t="str">
        <f>"70970000"</f>
        <v>70970000</v>
      </c>
      <c r="C2820" t="str">
        <f t="shared" si="180"/>
        <v>TOURC709700000</v>
      </c>
      <c r="E2820">
        <v>3896.33</v>
      </c>
      <c r="F2820">
        <v>-288.45999999999998</v>
      </c>
      <c r="G2820">
        <f t="shared" si="181"/>
        <v>4184.79</v>
      </c>
    </row>
    <row r="2821" spans="1:7">
      <c r="A2821" t="str">
        <f t="shared" si="179"/>
        <v>TOURC</v>
      </c>
      <c r="B2821" t="str">
        <f>"75800000"</f>
        <v>75800000</v>
      </c>
      <c r="C2821" t="str">
        <f t="shared" si="180"/>
        <v>TOURC758000000</v>
      </c>
      <c r="E2821">
        <v>0</v>
      </c>
      <c r="F2821">
        <v>207.74</v>
      </c>
      <c r="G2821">
        <f t="shared" si="181"/>
        <v>-207.74</v>
      </c>
    </row>
    <row r="2822" spans="1:7">
      <c r="A2822" t="str">
        <f t="shared" si="179"/>
        <v>TOURC</v>
      </c>
      <c r="B2822" t="str">
        <f>"75810000"</f>
        <v>75810000</v>
      </c>
      <c r="C2822" t="str">
        <f t="shared" si="180"/>
        <v>TOURC758100000</v>
      </c>
      <c r="E2822">
        <v>0</v>
      </c>
      <c r="F2822">
        <v>842.32</v>
      </c>
      <c r="G2822">
        <f t="shared" si="181"/>
        <v>-842.32</v>
      </c>
    </row>
    <row r="2823" spans="1:7">
      <c r="A2823" t="str">
        <f t="shared" si="179"/>
        <v>TOURC</v>
      </c>
      <c r="B2823" t="str">
        <f>"76300000"</f>
        <v>76300000</v>
      </c>
      <c r="C2823" t="str">
        <f t="shared" si="180"/>
        <v>TOURC763000000</v>
      </c>
      <c r="E2823">
        <v>9</v>
      </c>
      <c r="F2823">
        <v>52.5</v>
      </c>
      <c r="G2823">
        <f t="shared" si="181"/>
        <v>-43.5</v>
      </c>
    </row>
    <row r="2824" spans="1:7">
      <c r="A2824" t="str">
        <f t="shared" si="179"/>
        <v>TOURC</v>
      </c>
      <c r="B2824" t="str">
        <f>"77180000"</f>
        <v>77180000</v>
      </c>
      <c r="C2824" t="str">
        <f t="shared" si="180"/>
        <v>TOURC771800000</v>
      </c>
      <c r="E2824">
        <v>0</v>
      </c>
      <c r="F2824">
        <v>1234</v>
      </c>
      <c r="G2824">
        <f t="shared" si="181"/>
        <v>-1234</v>
      </c>
    </row>
    <row r="2825" spans="1:7">
      <c r="A2825" t="str">
        <f t="shared" si="179"/>
        <v>TOURC</v>
      </c>
      <c r="B2825" t="str">
        <f>"78173000"</f>
        <v>78173000</v>
      </c>
      <c r="C2825" t="str">
        <f t="shared" si="180"/>
        <v>TOURC781730000</v>
      </c>
      <c r="E2825">
        <v>0</v>
      </c>
      <c r="F2825">
        <v>6567.39</v>
      </c>
      <c r="G2825">
        <f t="shared" si="181"/>
        <v>-6567.39</v>
      </c>
    </row>
    <row r="2826" spans="1:7">
      <c r="A2826" t="str">
        <f t="shared" si="179"/>
        <v>TOURC</v>
      </c>
      <c r="B2826" t="str">
        <f>"78174000"</f>
        <v>78174000</v>
      </c>
      <c r="C2826" t="str">
        <f t="shared" si="180"/>
        <v>TOURC781740000</v>
      </c>
      <c r="E2826">
        <v>0</v>
      </c>
      <c r="F2826">
        <v>3644.49</v>
      </c>
      <c r="G2826">
        <f t="shared" si="181"/>
        <v>-3644.49</v>
      </c>
    </row>
    <row r="2827" spans="1:7">
      <c r="A2827" t="str">
        <f t="shared" si="179"/>
        <v>TOURC</v>
      </c>
      <c r="B2827" t="str">
        <f>"78725000"</f>
        <v>78725000</v>
      </c>
      <c r="C2827" t="str">
        <f t="shared" si="180"/>
        <v>TOURC787250000</v>
      </c>
      <c r="E2827">
        <v>0</v>
      </c>
      <c r="F2827">
        <v>3479.14</v>
      </c>
      <c r="G2827">
        <f t="shared" si="181"/>
        <v>-3479.14</v>
      </c>
    </row>
    <row r="2828" spans="1:7">
      <c r="A2828" t="str">
        <f t="shared" ref="A2828:A2838" si="182">"VAN"</f>
        <v>VAN</v>
      </c>
      <c r="B2828" t="str">
        <f>"70600000"</f>
        <v>70600000</v>
      </c>
      <c r="C2828" t="str">
        <f t="shared" si="180"/>
        <v>VAN706000000</v>
      </c>
      <c r="E2828">
        <v>0</v>
      </c>
      <c r="F2828">
        <v>0</v>
      </c>
      <c r="G2828">
        <f t="shared" si="181"/>
        <v>0</v>
      </c>
    </row>
    <row r="2829" spans="1:7">
      <c r="A2829" t="str">
        <f t="shared" si="182"/>
        <v>VAN</v>
      </c>
      <c r="B2829" t="str">
        <f>"70713000"</f>
        <v>70713000</v>
      </c>
      <c r="C2829" t="str">
        <f t="shared" si="180"/>
        <v>VAN707130000</v>
      </c>
      <c r="E2829">
        <v>35330.160000000003</v>
      </c>
      <c r="F2829">
        <v>805442</v>
      </c>
      <c r="G2829">
        <f t="shared" si="181"/>
        <v>-770111.84</v>
      </c>
    </row>
    <row r="2830" spans="1:7">
      <c r="A2830" t="str">
        <f t="shared" si="182"/>
        <v>VAN</v>
      </c>
      <c r="B2830" t="str">
        <f>"70713100"</f>
        <v>70713100</v>
      </c>
      <c r="C2830" t="str">
        <f t="shared" si="180"/>
        <v>VAN707131000</v>
      </c>
      <c r="E2830">
        <v>0</v>
      </c>
      <c r="F2830">
        <v>105991.09</v>
      </c>
      <c r="G2830">
        <f t="shared" si="181"/>
        <v>-105991.09</v>
      </c>
    </row>
    <row r="2831" spans="1:7">
      <c r="A2831" t="str">
        <f t="shared" si="182"/>
        <v>VAN</v>
      </c>
      <c r="B2831" t="str">
        <f>"70850000"</f>
        <v>70850000</v>
      </c>
      <c r="C2831" t="str">
        <f t="shared" si="180"/>
        <v>VAN708500000</v>
      </c>
      <c r="E2831">
        <v>0</v>
      </c>
      <c r="F2831">
        <v>1920</v>
      </c>
      <c r="G2831">
        <f t="shared" si="181"/>
        <v>-1920</v>
      </c>
    </row>
    <row r="2832" spans="1:7">
      <c r="A2832" t="str">
        <f t="shared" si="182"/>
        <v>VAN</v>
      </c>
      <c r="B2832" t="str">
        <f>"70882000"</f>
        <v>70882000</v>
      </c>
      <c r="C2832" t="str">
        <f t="shared" si="180"/>
        <v>VAN708820000</v>
      </c>
      <c r="E2832">
        <v>0</v>
      </c>
      <c r="F2832">
        <v>16.5</v>
      </c>
      <c r="G2832">
        <f t="shared" si="181"/>
        <v>-16.5</v>
      </c>
    </row>
    <row r="2833" spans="1:12">
      <c r="A2833" t="str">
        <f t="shared" si="182"/>
        <v>VAN</v>
      </c>
      <c r="B2833" t="str">
        <f>"70970000"</f>
        <v>70970000</v>
      </c>
      <c r="C2833" t="str">
        <f t="shared" si="180"/>
        <v>VAN709700000</v>
      </c>
      <c r="E2833">
        <v>12264.2</v>
      </c>
      <c r="F2833">
        <v>0</v>
      </c>
      <c r="G2833">
        <f t="shared" si="181"/>
        <v>12264.2</v>
      </c>
    </row>
    <row r="2834" spans="1:12">
      <c r="A2834" t="str">
        <f t="shared" si="182"/>
        <v>VAN</v>
      </c>
      <c r="B2834" t="str">
        <f>"75810000"</f>
        <v>75810000</v>
      </c>
      <c r="C2834" t="str">
        <f t="shared" si="180"/>
        <v>VAN758100000</v>
      </c>
      <c r="E2834">
        <v>0</v>
      </c>
      <c r="F2834">
        <v>378.12</v>
      </c>
      <c r="G2834">
        <f t="shared" si="181"/>
        <v>-378.12</v>
      </c>
    </row>
    <row r="2835" spans="1:12">
      <c r="A2835" t="str">
        <f t="shared" si="182"/>
        <v>VAN</v>
      </c>
      <c r="B2835" t="str">
        <f>"77180000"</f>
        <v>77180000</v>
      </c>
      <c r="C2835" t="str">
        <f t="shared" si="180"/>
        <v>VAN771800000</v>
      </c>
      <c r="E2835">
        <v>0</v>
      </c>
      <c r="F2835">
        <v>720.76</v>
      </c>
      <c r="G2835">
        <f t="shared" si="181"/>
        <v>-720.76</v>
      </c>
    </row>
    <row r="2836" spans="1:12">
      <c r="A2836" t="str">
        <f t="shared" si="182"/>
        <v>VAN</v>
      </c>
      <c r="B2836" t="str">
        <f>"78173000"</f>
        <v>78173000</v>
      </c>
      <c r="C2836" t="str">
        <f t="shared" si="180"/>
        <v>VAN781730000</v>
      </c>
      <c r="E2836">
        <v>0</v>
      </c>
      <c r="F2836">
        <v>8584.09</v>
      </c>
      <c r="G2836">
        <f t="shared" si="181"/>
        <v>-8584.09</v>
      </c>
    </row>
    <row r="2837" spans="1:12">
      <c r="A2837" t="str">
        <f t="shared" si="182"/>
        <v>VAN</v>
      </c>
      <c r="B2837" t="str">
        <f>"78174000"</f>
        <v>78174000</v>
      </c>
      <c r="C2837" t="str">
        <f t="shared" si="180"/>
        <v>VAN781740000</v>
      </c>
      <c r="E2837">
        <v>0</v>
      </c>
      <c r="F2837">
        <v>5058.3500000000004</v>
      </c>
      <c r="G2837">
        <f t="shared" si="181"/>
        <v>-5058.3500000000004</v>
      </c>
    </row>
    <row r="2838" spans="1:12">
      <c r="A2838" t="str">
        <f t="shared" si="182"/>
        <v>VAN</v>
      </c>
      <c r="B2838" t="str">
        <f>"78725000"</f>
        <v>78725000</v>
      </c>
      <c r="C2838" t="str">
        <f t="shared" si="180"/>
        <v>VAN787250000</v>
      </c>
      <c r="E2838">
        <v>0</v>
      </c>
      <c r="F2838">
        <v>3397.15</v>
      </c>
      <c r="G2838">
        <f t="shared" si="181"/>
        <v>-3397.15</v>
      </c>
      <c r="H2838">
        <f>SUM(G2421:G2838)</f>
        <v>-27797140.049999982</v>
      </c>
      <c r="I2838" s="26">
        <f>+[1]Conso!F222</f>
        <v>27793016.539999999</v>
      </c>
      <c r="J2838" s="26">
        <f>+H2838+I2838</f>
        <v>-4123.5099999830127</v>
      </c>
      <c r="K2838" s="26">
        <f>SUM(G2504:G2506)</f>
        <v>-2253.31</v>
      </c>
      <c r="L2838" s="353" t="s">
        <v>259</v>
      </c>
    </row>
    <row r="2839" spans="1:12">
      <c r="K2839">
        <f>+G2814</f>
        <v>-61.54</v>
      </c>
      <c r="L2839" s="353" t="s">
        <v>81</v>
      </c>
    </row>
    <row r="2840" spans="1:12">
      <c r="K2840">
        <f>+G2602</f>
        <v>-1808.66</v>
      </c>
      <c r="L2840" s="353" t="s">
        <v>563</v>
      </c>
    </row>
    <row r="2841" spans="1:12">
      <c r="K2841" s="26">
        <f>+J2838-SUM(K2838:K2840)</f>
        <v>1.6987542039714754E-8</v>
      </c>
    </row>
  </sheetData>
  <phoneticPr fontId="0" type="noConversion"/>
  <hyperlinks>
    <hyperlink ref="B1" location="Sommaire!A1" display="Retour au sommaire"/>
  </hyperlinks>
  <pageMargins left="0" right="0" top="0" bottom="0" header="0.51181102362204722" footer="0.51181102362204722"/>
  <pageSetup paperSize="9" scale="84" orientation="portrait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 enableFormatConditionsCalculation="0">
    <tabColor indexed="42"/>
    <pageSetUpPr fitToPage="1"/>
  </sheetPr>
  <dimension ref="A1:O257"/>
  <sheetViews>
    <sheetView topLeftCell="F1" workbookViewId="0">
      <selection activeCell="M2" sqref="M2"/>
    </sheetView>
  </sheetViews>
  <sheetFormatPr baseColWidth="10" defaultRowHeight="11.25"/>
  <cols>
    <col min="1" max="1" width="60" style="2" customWidth="1"/>
    <col min="2" max="2" width="6.28515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322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-IF(ISNA(VLOOKUP("CHART707130000",Balance!C:G,5,FALSE))=TRUE,0,VLOOKUP("CHART707130000",Balance!C:G,5,FALSE))</f>
        <v>687702.04</v>
      </c>
      <c r="D8" s="117">
        <f>+[2]Chartres!$H8</f>
        <v>886200</v>
      </c>
      <c r="E8" s="160">
        <f>-IF(ISNA(VLOOKUP("CHART707130000",Balanceanp!C:G,5,FALSE))=TRUE,0,VLOOKUP("CHART707130000",Balanceanp!C:G,5,FALSE))</f>
        <v>758762.97</v>
      </c>
      <c r="F8" s="368">
        <v>980000</v>
      </c>
      <c r="G8" s="570">
        <v>1170550</v>
      </c>
      <c r="H8" s="401"/>
      <c r="I8" s="149">
        <f>+IF((E8)=0,,(F8-E8)/E8)</f>
        <v>0.29157594498845935</v>
      </c>
      <c r="J8" s="271">
        <f>+IF((F8)=0,,(G8-F8)/F8)</f>
        <v>0.19443877551020408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1170550</v>
      </c>
    </row>
    <row r="9" spans="1:15" ht="12.75">
      <c r="A9" s="5" t="s">
        <v>422</v>
      </c>
      <c r="B9" s="92"/>
      <c r="C9" s="160">
        <f>-IF(ISNA(VLOOKUP("CHART707131000",Balance!C:G,5,FALSE))=TRUE,0,VLOOKUP("CHART707131000",Balance!C:G,5,FALSE))</f>
        <v>0</v>
      </c>
      <c r="D9" s="117">
        <f>+[2]Chartres!$H9</f>
        <v>0</v>
      </c>
      <c r="E9" s="160">
        <f>-IF(ISNA(VLOOKUP("CHART707131000",Balanceanp!C:G,5,FALSE))=TRUE,0,VLOOKUP("CHART707131000",Balanceanp!C:G,5,FALSE))</f>
        <v>30007.5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-IF(ISNA(VLOOKUP("CHART707300000",Balance!C:G,5,FALSE))=TRUE,0,VLOOKUP("CHART707300000",Balance!C:G,5,FALSE))</f>
        <v>0</v>
      </c>
      <c r="D10" s="117">
        <f>+[2]Chartres!$H10</f>
        <v>0</v>
      </c>
      <c r="E10" s="160">
        <f>-IF(ISNA(VLOOKUP("CHART707300000",Balanceanp!C:G,5,FALSE))=TRUE,0,VLOOKUP("CHART707300000",Balanceanp!C:G,5,FALSE))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-IF(ISNA(VLOOKUP("CHART707110000",Balance!C:G,5,FALSE))=TRUE,0,VLOOKUP("CHART707110000",Balance!C:G,5,FALSE))</f>
        <v>0</v>
      </c>
      <c r="D11" s="117">
        <f>+[2]Chartres!$H11</f>
        <v>0</v>
      </c>
      <c r="E11" s="160">
        <f>-IF(ISNA(VLOOKUP("CHART707110000",Balanceanp!C:G,5,FALSE))=TRUE,0,VLOOKUP("CHART707110000",Balanceanp!C:G,5,FALSE))</f>
        <v>106.2</v>
      </c>
      <c r="F11" s="368">
        <f t="shared" si="2"/>
        <v>0</v>
      </c>
      <c r="G11" s="570">
        <v>0</v>
      </c>
      <c r="H11" s="401"/>
      <c r="I11" s="149">
        <f t="shared" si="1"/>
        <v>-1</v>
      </c>
      <c r="J11" s="271">
        <f t="shared" si="1"/>
        <v>0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-IF(ISNA(VLOOKUP("CHART707120000",Balance!C:G,5,FALSE))=TRUE,0,VLOOKUP("CHART707120000",Balance!C:G,5,FALSE))</f>
        <v>0</v>
      </c>
      <c r="D12" s="117">
        <f>+[2]Chartres!$H12</f>
        <v>0</v>
      </c>
      <c r="E12" s="160">
        <f>-IF(ISNA(VLOOKUP("CHART707120000",Balanceanp!C:G,5,FALSE))=TRUE,0,VLOOKUP("CHART707120000",Balanceanp!C:G,5,FALSE))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-IF(ISNA(VLOOKUP("CHART707230000",Balance!C:G,5,FALSE))=TRUE,0,VLOOKUP("CHART707230000",Balance!C:G,5,FALSE))</f>
        <v>0</v>
      </c>
      <c r="D13" s="117">
        <f>+[2]Chartres!$H13</f>
        <v>0</v>
      </c>
      <c r="E13" s="160">
        <f>-IF(ISNA(VLOOKUP("CHART707230000",Balanceanp!C:G,5,FALSE))=TRUE,0,VLOOKUP("CHART707230000",Balanceanp!C:G,5,FALSE))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-IF(ISNA(VLOOKUP("CHART708820000",Balance!C:G,5,FALSE))=TRUE,0,VLOOKUP("CHART708820000",Balance!C:G,5,FALSE))</f>
        <v>229.12</v>
      </c>
      <c r="D14" s="117">
        <f>+[2]Chartres!$H14</f>
        <v>0</v>
      </c>
      <c r="E14" s="160">
        <f>-IF(ISNA(VLOOKUP("CHART708820000",Balanceanp!C:G,5,FALSE))=TRUE,0,VLOOKUP("CHART708820000",Balanceanp!C:G,5,FALSE))</f>
        <v>396.94</v>
      </c>
      <c r="F14" s="368">
        <f t="shared" si="2"/>
        <v>229.12</v>
      </c>
      <c r="G14" s="570">
        <v>0</v>
      </c>
      <c r="H14" s="401"/>
      <c r="I14" s="149">
        <f t="shared" si="1"/>
        <v>-0.42278429989419053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-IF(ISNA(VLOOKUP("CHART708500000",Balance!C:G,5,FALSE))=TRUE,0,VLOOKUP("CHART708500000",Balance!C:G,5,FALSE))</f>
        <v>1521</v>
      </c>
      <c r="D15" s="117">
        <f>+[2]Chartres!$H15</f>
        <v>0</v>
      </c>
      <c r="E15" s="160">
        <f>-IF(ISNA(VLOOKUP("CHART708500000",Balanceanp!C:G,5,FALSE))=TRUE,0,VLOOKUP("CHART708500000",Balanceanp!C:G,5,FALSE))</f>
        <v>1863</v>
      </c>
      <c r="F15" s="368">
        <f t="shared" si="2"/>
        <v>1521</v>
      </c>
      <c r="G15" s="570">
        <v>0</v>
      </c>
      <c r="H15" s="401"/>
      <c r="I15" s="149">
        <f t="shared" si="1"/>
        <v>-0.18357487922705315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IF(ISNA(VLOOKUP("CHART706000000",Balance!C:G,5,FALSE))=TRUE,0,-VLOOKUP("CHART706000000",Balance!C:G,5,FALSE))+IF(ISNA(VLOOKUP("CHART706010000",Balance!C:G,5,FALSE))=TRUE,0,-VLOOKUP("CHART706010000",Balance!C:G,5,FALSE))</f>
        <v>0</v>
      </c>
      <c r="D16" s="117">
        <f>+[2]Chartres!$H16</f>
        <v>0</v>
      </c>
      <c r="E16" s="160">
        <f>IF(ISNA(VLOOKUP("CHART706000000",Balanceanp!C:G,5,FALSE))=TRUE,0,-VLOOKUP("CHART706000000",Balanceanp!C:G,5,FALSE))+IF(ISNA(VLOOKUP("CHART706010000",Balanceanp!C:G,5,FALSE))=TRUE,0,-VLOOKUP("CHART706010000",Balanceanp!C:G,5,FALSE))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IF(ISNA(VLOOKUP("chart707500000",Balance!C:G,5,FALSE))=TRUE,0,-VLOOKUP("chart707500000",Balance!C:G,5,FALSE))</f>
        <v>0</v>
      </c>
      <c r="D17" s="117">
        <f>+[2]Chartres!$H17</f>
        <v>0</v>
      </c>
      <c r="E17" s="160">
        <f>IF(ISNA(VLOOKUP("chart707500000",Balanceanp!C:G,5,FALSE))=TRUE,0,-VLOOKUP("chart707500000",Balanceanp!C:G,5,FALSE))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IF(ISNA(VLOOKUP("chart707510000",Balance!C:G,5,FALSE))=TRUE,0,-VLOOKUP("chart707510000",Balance!C:G,5,FALSE))</f>
        <v>0</v>
      </c>
      <c r="D18" s="117">
        <f>+[2]Chartres!$H18</f>
        <v>0</v>
      </c>
      <c r="E18" s="160">
        <f>IF(ISNA(VLOOKUP("chart707510000",Balanceanp!C:G,5,FALSE))=TRUE,0,-VLOOKUP("chart707510000",Balanceanp!C:G,5,FALSE))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IF(ISNA(VLOOKUP("chart708300000",Balance!C:G,5,FALSE))=TRUE,0,-VLOOKUP("chart708300000",Balance!C:G,5,FALSE))</f>
        <v>0</v>
      </c>
      <c r="D19" s="117">
        <f>+[2]Chartres!$H19</f>
        <v>0</v>
      </c>
      <c r="E19" s="160">
        <f>IF(ISNA(VLOOKUP("chart708300000",Balanceanp!C:G,5,FALSE))=TRUE,0,-VLOOKUP("chart708300000",Balanceanp!C:G,5,FALSE))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689452.16</v>
      </c>
      <c r="D21" s="118">
        <f>SUM(D7:D20)</f>
        <v>886200</v>
      </c>
      <c r="E21" s="163">
        <f>SUM(E7:E20)</f>
        <v>791136.60999999987</v>
      </c>
      <c r="F21" s="136">
        <f>SUM(F7:F20)</f>
        <v>981750.12</v>
      </c>
      <c r="G21" s="136">
        <f>SUM(G7:G20)</f>
        <v>1170550</v>
      </c>
      <c r="H21" s="312"/>
      <c r="I21" s="272">
        <f>+IF((E21)=0,,(F21-E21)/E21)</f>
        <v>0.24093627774348625</v>
      </c>
      <c r="J21" s="188">
        <f>+IF((F21)=0,,(G21-F21)/F21)</f>
        <v>0.19230950539634262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IF(ISNA(VLOOKUP("chart602650000",Balance!C:G,5,FALSE))=TRUE,0,VLOOKUP("chart602650000",Balance!C:G,5,FALSE))</f>
        <v>0</v>
      </c>
      <c r="D23" s="115"/>
      <c r="E23" s="160">
        <f>IF(ISNA(VLOOKUP("chart602650000",Balanceanp!C:G,5,FALSE))=TRUE,0,VLOOKUP("chart602650000",Balanceanp!C:G,5,FALSE))</f>
        <v>0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IF(ISNA(VLOOKUP("chart607100000",Balance!C:G,5,FALSE))=TRUE,0,VLOOKUP("chart607100000",Balance!C:G,5,FALSE))</f>
        <v>301753.59999999998</v>
      </c>
      <c r="D24" s="115"/>
      <c r="E24" s="160">
        <f>IF(ISNA(VLOOKUP("chart607100000",Balanceanp!C:G,5,FALSE))=TRUE,0,VLOOKUP("chart607100000",Balanceanp!C:G,5,FALSE))</f>
        <v>300145.17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IF(ISNA(VLOOKUP("chart607110000",Balance!C:G,5,FALSE))=TRUE,0,VLOOKUP("chart607110000",Balance!C:G,5,FALSE))+IF(ISNA(VLOOKUP("chart607120000",Balance!C:G,5,FALSE))=TRUE,0,VLOOKUP("chart607120000",Balance!C:G,5,FALSE))</f>
        <v>24253.43</v>
      </c>
      <c r="D25" s="115"/>
      <c r="E25" s="160">
        <f>IF(ISNA(VLOOKUP("chart607110000",Balanceanp!C:G,5,FALSE))=TRUE,0,VLOOKUP("chart607110000",Balanceanp!C:G,5,FALSE))+IF(ISNA(VLOOKUP("chart607120000",Balanceanp!C:G,5,FALSE))=TRUE,0,VLOOKUP("chart607120000",Balanceanp!C:G,5,FALSE))</f>
        <v>26016.58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IF(ISNA(VLOOKUP("chart607130000",Balance!C:G,5,FALSE))=TRUE,0,VLOOKUP("chart607130000",Balance!C:G,5,FALSE))</f>
        <v>45801.8</v>
      </c>
      <c r="D26" s="115"/>
      <c r="E26" s="160">
        <f>IF(ISNA(VLOOKUP("chart607130000",Balanceanp!C:G,5,FALSE))=TRUE,0,VLOOKUP("chart607130000",Balanceanp!C:G,5,FALSE))</f>
        <v>51551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IF(ISNA(VLOOKUP("chart607140000",Balance!C:G,5,FALSE))=TRUE,0,VLOOKUP("chart607140000",Balance!C:G,5,FALSE))</f>
        <v>-26889.43</v>
      </c>
      <c r="D27" s="115"/>
      <c r="E27" s="160">
        <f>IF(ISNA(VLOOKUP("chart607140000",Balanceanp!C:G,5,FALSE))=TRUE,0,VLOOKUP("chart607140000",Balanceanp!C:G,5,FALSE))</f>
        <v>-38926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IF(ISNA(VLOOKUP("chart607200000",Balance!C:G,5,FALSE))=TRUE,0,VLOOKUP("chart607200000",Balance!C:G,5,FALSE))</f>
        <v>175392.05</v>
      </c>
      <c r="D28" s="115"/>
      <c r="E28" s="160">
        <f>IF(ISNA(VLOOKUP("chart607200000",Balanceanp!C:G,5,FALSE))=TRUE,0,VLOOKUP("chart607200000",Balanceanp!C:G,5,FALSE))</f>
        <v>167029.82</v>
      </c>
      <c r="F28" s="134"/>
      <c r="G28" s="1161">
        <v>200000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200000</v>
      </c>
    </row>
    <row r="29" spans="1:13" ht="12.75">
      <c r="A29" s="5" t="s">
        <v>293</v>
      </c>
      <c r="B29" s="92"/>
      <c r="C29" s="160">
        <f>IF(ISNA(VLOOKUP("chart607150000",Balance!C:G,5,FALSE))=TRUE,0,VLOOKUP("chart607150000",Balance!C:G,5,FALSE))</f>
        <v>0</v>
      </c>
      <c r="D29" s="115"/>
      <c r="E29" s="357">
        <f>IF(ISNA(VLOOKUP("chart607150000",Balanceanp!C:G,5,FALSE))=TRUE,0,VLOOKUP("chart607150000",Balanceanp!C:G,5,FALSE))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520311.44999999995</v>
      </c>
      <c r="D30" s="119"/>
      <c r="E30" s="164">
        <f>SUM(E23:E29)</f>
        <v>505816.57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222478.93000000008</v>
      </c>
      <c r="D32" s="120"/>
      <c r="E32" s="166">
        <f>+E21-E30-E38</f>
        <v>277314.84059999988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0.32268943794446892</v>
      </c>
      <c r="D33" s="120"/>
      <c r="E33" s="196">
        <f>+E32/E21</f>
        <v>0.35052712400706615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IF(ISNA(VLOOKUP("chart607400000",Balance!C:G,5,FALSE))=TRUE,0,VLOOKUP("chart607400000",Balance!C:G,5,FALSE))</f>
        <v>8047.91</v>
      </c>
      <c r="D35" s="115"/>
      <c r="E35" s="160">
        <f>IF(ISNA(VLOOKUP("chart607400000",Balanceanp!C:G,5,FALSE))=TRUE,0,VLOOKUP("chart607400000",Balanceanp!C:G,5,FALSE))</f>
        <v>7944.79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IF(ISNA(VLOOKUP("chart608000000",Balance!C:G,5,FALSE))=TRUE,0,VLOOKUP("chart608000000",Balance!C:G,5,FALSE))</f>
        <v>6904.13</v>
      </c>
      <c r="D36" s="115"/>
      <c r="E36" s="160">
        <f>IF(ISNA(VLOOKUP("chart608000000",Balanceanp!C:G,5,FALSE))=TRUE,0,VLOOKUP("chart608000000",Balanceanp!C:G,5,FALSE))</f>
        <v>7020.88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IF(ISNA(VLOOKUP("chart608100000",Balance!C:G,5,FALSE))=TRUE,0,VLOOKUP("chart608100000",Balance!C:G,5,FALSE))</f>
        <v>0</v>
      </c>
      <c r="D37" s="115"/>
      <c r="E37" s="160">
        <f>IF(ISNA(VLOOKUP("chart608100000",Balanceanp!C:G,5,FALSE))=TRUE,0,VLOOKUP("chart608100000",Balanceanp!C:G,5,FALSE))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-53338.22</v>
      </c>
      <c r="D38" s="115"/>
      <c r="E38" s="160">
        <f>+E56-E57</f>
        <v>8005.1993999999831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IF(ISNA(VLOOKUP("chart681730000",Balance!C:G,5,FALSE))=TRUE,0,VLOOKUP("chart681730000",Balance!C:G,5,FALSE))</f>
        <v>0</v>
      </c>
      <c r="D39" s="115"/>
      <c r="E39" s="160">
        <f>IF(ISNA(VLOOKUP("chart681730000",Balanceanp!C:G,5,FALSE))=TRUE,0,VLOOKUP("chart681730000",Balanceanp!C:G,5,FALSE))</f>
        <v>4726.3999999999996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IF(ISNA(VLOOKUP("chart781730000",Balance!C:G,5,FALSE))=TRUE,0,VLOOKUP("chart781730000",Balance!C:G,5,FALSE))</f>
        <v>-4726.3999999999996</v>
      </c>
      <c r="D40" s="115"/>
      <c r="E40" s="160">
        <f>IF(ISNA(VLOOKUP("chart781730000",Balanceanp!C:G,5,FALSE))=TRUE,0,VLOOKUP("chart781730000",Balanceanp!C:G,5,FALSE))</f>
        <v>-4043.93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IF(ISNA(VLOOKUP("chart609110000",Balance!C:G,5,FALSE))=TRUE,0,VLOOKUP("chart609110000",Balance!C:G,5,FALSE))</f>
        <v>-664.64</v>
      </c>
      <c r="D41" s="115"/>
      <c r="E41" s="160">
        <f>IF(ISNA(VLOOKUP("chart609110000",Balanceanp!C:G,5,FALSE))=TRUE,0,VLOOKUP("chart609110000",Balanceanp!C:G,5,FALSE))</f>
        <v>-8089.32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IF(ISNA(VLOOKUP("chart609120000",Balance!C:G,5,FALSE))=TRUE,0,VLOOKUP("chart609120000",Balance!C:G,5,FALSE))</f>
        <v>-11946.69</v>
      </c>
      <c r="D42" s="115"/>
      <c r="E42" s="160">
        <f>IF(ISNA(VLOOKUP("chart609120000",Balanceanp!C:G,5,FALSE))=TRUE,0,VLOOKUP("chart609120000",Balanceanp!C:G,5,FALSE))</f>
        <v>-12231.6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464587.53999999992</v>
      </c>
      <c r="D44" s="121"/>
      <c r="E44" s="163">
        <f>+E30+SUM(E34:E43)</f>
        <v>509148.98939999996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224864.62000000011</v>
      </c>
      <c r="D46" s="120"/>
      <c r="E46" s="166">
        <f>+E21-E44</f>
        <v>281987.62059999991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0.32614970703696122</v>
      </c>
      <c r="D47" s="120"/>
      <c r="E47" s="196">
        <f>+E46/E21</f>
        <v>0.35643353756565499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1.0878202194623626E-2</v>
      </c>
      <c r="C49" s="160">
        <f>IF(ISNA(VLOOKUP("chart709700000",Balance!C:G,5,FALSE))=TRUE,0,VLOOKUP("chart709700000",Balance!C:G,5,FALSE))</f>
        <v>7500</v>
      </c>
      <c r="D49" s="117">
        <f>+[2]Chartres!$H49</f>
        <v>10000</v>
      </c>
      <c r="E49" s="160">
        <f>IF(ISNA(VLOOKUP("chart709700000",Balanceanp!C:G,5,FALSE))=TRUE,0,VLOOKUP("chart709700000",Balanceanp!C:G,5,FALSE))</f>
        <v>8612.0300000000007</v>
      </c>
      <c r="F49" s="135">
        <v>8000</v>
      </c>
      <c r="G49" s="425">
        <v>10000</v>
      </c>
      <c r="H49" s="419"/>
      <c r="I49" s="149">
        <f>+IF((E49)=0,,(F49-E49)/E49)</f>
        <v>-7.1066868090334176E-2</v>
      </c>
      <c r="J49" s="271">
        <f>+IF((F49)=0,,(G49-F49)/F49)</f>
        <v>0.25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10000</v>
      </c>
    </row>
    <row r="50" spans="1:13" ht="12.75">
      <c r="A50" s="5"/>
      <c r="B50" s="92"/>
      <c r="C50" s="160"/>
      <c r="D50" s="115"/>
      <c r="E50" s="160"/>
      <c r="F50" s="134"/>
      <c r="G50" s="428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681952.16</v>
      </c>
      <c r="D51" s="118">
        <f>+D21-D49</f>
        <v>876200</v>
      </c>
      <c r="E51" s="163">
        <f>+E21-E49</f>
        <v>782524.57999999984</v>
      </c>
      <c r="F51" s="136">
        <f>+F21-F49</f>
        <v>973750.12</v>
      </c>
      <c r="G51" s="136">
        <f>+G21-G49</f>
        <v>1160550</v>
      </c>
      <c r="H51" s="312"/>
      <c r="I51" s="272">
        <f>+IF((E51)=0,,(F51-E51)/E51)</f>
        <v>0.24437001071582978</v>
      </c>
      <c r="J51" s="188">
        <f>+IF((F51)=0,,(G51-F51)/F51)</f>
        <v>0.19183553990216709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217364.62000000011</v>
      </c>
      <c r="D53" s="122"/>
      <c r="E53" s="169">
        <f>+E51-E44</f>
        <v>273375.59059999988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0.31873881006550386</v>
      </c>
      <c r="D54" s="123"/>
      <c r="E54" s="197">
        <f>+E53/E51</f>
        <v>0.34935080326805829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+[2]Chartres!$C56</f>
        <v>145174.78</v>
      </c>
      <c r="D56" s="115"/>
      <c r="E56" s="160">
        <f>+[1]Chartres!$G56</f>
        <v>149388.61489999999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+[2]Chartres!$C57</f>
        <v>198513</v>
      </c>
      <c r="D57" s="115"/>
      <c r="E57" s="160">
        <f>+[1]Chartres!$G57</f>
        <v>141383.4155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+[2]Chartres!$C60</f>
        <v>0.36</v>
      </c>
      <c r="D60" s="123">
        <f>+[2]Chartres!$H60</f>
        <v>0.35499999999999998</v>
      </c>
      <c r="E60" s="197">
        <v>0.35</v>
      </c>
      <c r="F60" s="141">
        <v>0.35</v>
      </c>
      <c r="G60" s="141">
        <v>0.35499999999999998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+[2]Chartres!$C61</f>
        <v>0.374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245502.7776</v>
      </c>
      <c r="D62" s="122">
        <f>D51*D60</f>
        <v>311051</v>
      </c>
      <c r="E62" s="169">
        <f>+E51*E60</f>
        <v>273883.60299999994</v>
      </c>
      <c r="F62" s="140">
        <f>+F51*F60</f>
        <v>340812.54199999996</v>
      </c>
      <c r="G62" s="140">
        <f>+G51*G60</f>
        <v>411995.25</v>
      </c>
      <c r="H62" s="405"/>
      <c r="I62" s="224">
        <f>+IF((E62)=0,,(F62-E62)/E62)</f>
        <v>0.24437001071582962</v>
      </c>
      <c r="J62" s="123">
        <f>+IF((F62)=0,,(G62-F62)/F62)</f>
        <v>0.20886176190076963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IF(ISNA(VLOOKUP("chart613520000",Balance!C:G,5,FALSE))=TRUE,0,VLOOKUP("chart613520000",Balance!C:G,5,FALSE))</f>
        <v>1365.21</v>
      </c>
      <c r="D64" s="117">
        <f>+[2]Chartres!$H64</f>
        <v>6867.24</v>
      </c>
      <c r="E64" s="160">
        <f>IF(ISNA(VLOOKUP("chart613520000",Balanceanp!C:G,5,FALSE))=TRUE,0,VLOOKUP("chart613520000",Balanceanp!C:G,5,FALSE))</f>
        <v>3790.67</v>
      </c>
      <c r="F64" s="368">
        <v>2895</v>
      </c>
      <c r="G64" s="570">
        <f>+(270*1.03+358.83)*12</f>
        <v>7643.1600000000008</v>
      </c>
      <c r="H64" s="401"/>
      <c r="I64" s="149">
        <f t="shared" ref="I64:J68" si="4">+IF((E64)=0,,(F64-E64)/E64)</f>
        <v>-0.23628276795395012</v>
      </c>
      <c r="J64" s="271">
        <f t="shared" si="4"/>
        <v>1.6401243523316065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7643.1600000000008</v>
      </c>
    </row>
    <row r="65" spans="1:13" ht="12.75">
      <c r="A65" s="5" t="s">
        <v>314</v>
      </c>
      <c r="B65" s="92"/>
      <c r="C65" s="160"/>
      <c r="D65" s="117">
        <f>+[2]Chartres!$H65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IF(ISNA(VLOOKUP("chart616120000",Balance!C:G,5,FALSE))=TRUE,0,VLOOKUP("chart616120000",Balance!C:G,5,FALSE))</f>
        <v>1430.31</v>
      </c>
      <c r="D66" s="117">
        <f>+[2]Chartres!$H66</f>
        <v>1310</v>
      </c>
      <c r="E66" s="160">
        <f>IF(ISNA(VLOOKUP("chart616120000",Balanceanp!C:G,5,FALSE))=TRUE,0,VLOOKUP("chart616120000",Balanceanp!C:G,5,FALSE))</f>
        <v>827.96</v>
      </c>
      <c r="F66" s="368">
        <f>+C66+C66/9*(12-Clients!$I$14)</f>
        <v>1907.08</v>
      </c>
      <c r="G66" s="570">
        <v>2400</v>
      </c>
      <c r="H66" s="401"/>
      <c r="I66" s="149">
        <f t="shared" si="4"/>
        <v>1.3033479878254985</v>
      </c>
      <c r="J66" s="271">
        <f t="shared" si="4"/>
        <v>0.25846844390376916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2400</v>
      </c>
    </row>
    <row r="67" spans="1:13" ht="12.75">
      <c r="A67" s="5" t="s">
        <v>107</v>
      </c>
      <c r="B67" s="92"/>
      <c r="C67" s="160">
        <f>IF(ISNA(VLOOKUP("chart615520000",Balance!C:G,5,FALSE))=TRUE,0,VLOOKUP("chart615520000",Balance!C:G,5,FALSE))</f>
        <v>2098.1799999999998</v>
      </c>
      <c r="D67" s="117">
        <f>+[2]Chartres!$H67</f>
        <v>3100</v>
      </c>
      <c r="E67" s="160">
        <f>IF(ISNA(VLOOKUP("chart615520000",Balanceanp!C:G,5,FALSE))=TRUE,0,VLOOKUP("chart615520000",Balanceanp!C:G,5,FALSE))</f>
        <v>2270.3000000000002</v>
      </c>
      <c r="F67" s="368">
        <f>+C67+C67/9*(12-Clients!$I$14)</f>
        <v>2797.5733333333333</v>
      </c>
      <c r="G67" s="570">
        <v>3100</v>
      </c>
      <c r="H67" s="401"/>
      <c r="I67" s="149">
        <f t="shared" si="4"/>
        <v>0.23224830785946043</v>
      </c>
      <c r="J67" s="271">
        <f t="shared" si="4"/>
        <v>0.10810321326101671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3100</v>
      </c>
    </row>
    <row r="68" spans="1:13" ht="12.75">
      <c r="A68" s="5" t="s">
        <v>125</v>
      </c>
      <c r="B68" s="92"/>
      <c r="C68" s="160">
        <f>IF(ISNA(VLOOKUP("chart606130000",Balance!C:G,5,FALSE))=TRUE,0,VLOOKUP("chart606130000",Balance!C:G,5,FALSE))</f>
        <v>3332.54</v>
      </c>
      <c r="D68" s="117">
        <f>+[2]Chartres!$H68</f>
        <v>4500</v>
      </c>
      <c r="E68" s="160">
        <f>IF(ISNA(VLOOKUP("chart606130000",Balanceanp!C:G,5,FALSE))=TRUE,0,VLOOKUP("chart606130000",Balanceanp!C:G,5,FALSE))</f>
        <v>1933.52</v>
      </c>
      <c r="F68" s="368">
        <f>+C68+C68/9*(12-Clients!$I$14)</f>
        <v>4443.3866666666672</v>
      </c>
      <c r="G68" s="570">
        <v>5500</v>
      </c>
      <c r="H68" s="410"/>
      <c r="I68" s="149">
        <f t="shared" si="4"/>
        <v>1.2980815645385966</v>
      </c>
      <c r="J68" s="271">
        <f t="shared" si="4"/>
        <v>0.2377945951136369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5500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8226.24</v>
      </c>
      <c r="D70" s="125">
        <f>SUM(D64:D69)</f>
        <v>15777.24</v>
      </c>
      <c r="E70" s="276">
        <f>SUM(E64:E69)</f>
        <v>8822.4500000000007</v>
      </c>
      <c r="F70" s="370">
        <f>SUM(F64:F69)</f>
        <v>12043.04</v>
      </c>
      <c r="G70" s="359">
        <f>SUM(G64:G69)</f>
        <v>18643.16</v>
      </c>
      <c r="H70" s="412"/>
      <c r="I70" s="384">
        <f>+IF((E70)=0,,(F70-E70)/E70)</f>
        <v>0.36504485715419183</v>
      </c>
      <c r="J70" s="279">
        <f>+IF((F70)=0,,(G70-F70)/F70)</f>
        <v>0.54804434760658427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IF(ISNA(VLOOKUP("chart602220000",Balance!C:G,5,FALSE))=TRUE,0,VLOOKUP("chart602220000",Balance!C:G,5,FALSE))</f>
        <v>0</v>
      </c>
      <c r="D72" s="117">
        <f>+[2]Chartres!$H72</f>
        <v>311.12319410499998</v>
      </c>
      <c r="E72" s="160">
        <f>IF(ISNA(VLOOKUP("chart602220000",Balanceanp!C:G,5,FALSE))=TRUE,0,VLOOKUP("chart602220000",Balanceanp!C:G,5,FALSE))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0</v>
      </c>
      <c r="J72" s="271">
        <f t="shared" si="5"/>
        <v>0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0</v>
      </c>
    </row>
    <row r="73" spans="1:13" ht="12.75">
      <c r="A73" s="5" t="s">
        <v>123</v>
      </c>
      <c r="B73" s="92"/>
      <c r="C73" s="160">
        <f>IF(ISNA(VLOOKUP("chart606100000",Balance!C:G,5,FALSE))=TRUE,0,VLOOKUP("chart606100000",Balance!C:G,5,FALSE))</f>
        <v>1374.17</v>
      </c>
      <c r="D73" s="117">
        <f>+[2]Chartres!$H73</f>
        <v>1238.7308861973897</v>
      </c>
      <c r="E73" s="160">
        <f>IF(ISNA(VLOOKUP("chart606100000",Balanceanp!C:G,5,FALSE))=TRUE,0,VLOOKUP("chart606100000",Balanceanp!C:G,5,FALSE))</f>
        <v>1264.25</v>
      </c>
      <c r="F73" s="368">
        <f>+C73+C73/9*(12-Clients!$I$14)</f>
        <v>1832.2266666666669</v>
      </c>
      <c r="G73" s="396">
        <f t="shared" ref="G73:G101" si="6">+F73*1.03</f>
        <v>1887.1934666666671</v>
      </c>
      <c r="H73" s="409"/>
      <c r="I73" s="149">
        <f t="shared" si="5"/>
        <v>0.44925977193329397</v>
      </c>
      <c r="J73" s="271">
        <f t="shared" si="5"/>
        <v>3.0000000000000075E-2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1887.1934666666671</v>
      </c>
    </row>
    <row r="74" spans="1:13" ht="12.75">
      <c r="A74" s="5" t="s">
        <v>124</v>
      </c>
      <c r="B74" s="92"/>
      <c r="C74" s="160">
        <f>IF(ISNA(VLOOKUP("chart606110000",Balance!C:G,5,FALSE))=TRUE,0,VLOOKUP("chart606110000",Balance!C:G,5,FALSE))</f>
        <v>3784.87</v>
      </c>
      <c r="D74" s="117">
        <f>+[2]Chartres!$H74</f>
        <v>5261.6249565865483</v>
      </c>
      <c r="E74" s="160">
        <f>IF(ISNA(VLOOKUP("chart606110000",Balanceanp!C:G,5,FALSE))=TRUE,0,VLOOKUP("chart606110000",Balanceanp!C:G,5,FALSE))</f>
        <v>5106.7</v>
      </c>
      <c r="F74" s="368">
        <f>+C74+C74/9*(12-Clients!$I$14)</f>
        <v>5046.4933333333329</v>
      </c>
      <c r="G74" s="396">
        <f t="shared" si="6"/>
        <v>5197.8881333333329</v>
      </c>
      <c r="H74" s="409"/>
      <c r="I74" s="149">
        <f t="shared" si="5"/>
        <v>-1.1789740275846816E-2</v>
      </c>
      <c r="J74" s="271">
        <f t="shared" si="5"/>
        <v>3.0000000000000009E-2</v>
      </c>
      <c r="K74" s="2" t="s">
        <v>720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5197.8881333333329</v>
      </c>
    </row>
    <row r="75" spans="1:13" ht="12.75">
      <c r="A75" s="5" t="s">
        <v>360</v>
      </c>
      <c r="B75" s="92"/>
      <c r="C75" s="160">
        <f>IF(ISNA(VLOOKUP("chart606140000",Balance!C:G,5,FALSE))=TRUE,0,VLOOKUP("chart606140000",Balance!C:G,5,FALSE))</f>
        <v>0</v>
      </c>
      <c r="D75" s="117">
        <f>+[2]Chartres!$H75</f>
        <v>0</v>
      </c>
      <c r="E75" s="160">
        <f>IF(ISNA(VLOOKUP("chart606140000",Balanceanp!C:G,5,FALSE))=TRUE,0,VLOOKUP("chart606140000",Balanceanp!C:G,5,FALSE))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IF(ISNA(VLOOKUP("chart606310000",Balance!C:G,5,FALSE))=TRUE,0,VLOOKUP("chart606310000",Balance!C:G,5,FALSE))</f>
        <v>33.11</v>
      </c>
      <c r="D76" s="117">
        <f>+[2]Chartres!$H76</f>
        <v>6.4645516292753475</v>
      </c>
      <c r="E76" s="160">
        <f>IF(ISNA(VLOOKUP("chart606310000",Balanceanp!C:G,5,FALSE))=TRUE,0,VLOOKUP("chart606310000",Balanceanp!C:G,5,FALSE))</f>
        <v>0</v>
      </c>
      <c r="F76" s="368">
        <f>+C76+C76/9*(12-Clients!$I$14)</f>
        <v>44.146666666666668</v>
      </c>
      <c r="G76" s="396">
        <f t="shared" si="6"/>
        <v>45.471066666666673</v>
      </c>
      <c r="H76" s="409"/>
      <c r="I76" s="149">
        <f t="shared" si="5"/>
        <v>0</v>
      </c>
      <c r="J76" s="271">
        <f t="shared" si="5"/>
        <v>3.0000000000000096E-2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45.471066666666673</v>
      </c>
    </row>
    <row r="77" spans="1:13" ht="12.75">
      <c r="A77" s="5" t="s">
        <v>127</v>
      </c>
      <c r="B77" s="92"/>
      <c r="C77" s="160">
        <f>IF(ISNA(VLOOKUP("chart606410000",Balance!C:G,5,FALSE))=TRUE,0,VLOOKUP("chart606410000",Balance!C:G,5,FALSE))</f>
        <v>3017.41</v>
      </c>
      <c r="D77" s="117">
        <f>+[2]Chartres!$H77</f>
        <v>3282.5395067025433</v>
      </c>
      <c r="E77" s="160">
        <f>IF(ISNA(VLOOKUP("chart606410000",Balanceanp!C:G,5,FALSE))=TRUE,0,VLOOKUP("chart606410000",Balanceanp!C:G,5,FALSE))</f>
        <v>2958.25</v>
      </c>
      <c r="F77" s="368">
        <f>+C77+C77/9*(12-Clients!$I$14)</f>
        <v>4023.2133333333331</v>
      </c>
      <c r="G77" s="570">
        <v>2500</v>
      </c>
      <c r="H77" s="409"/>
      <c r="I77" s="149">
        <f t="shared" si="5"/>
        <v>0.35999774641539189</v>
      </c>
      <c r="J77" s="271">
        <f t="shared" si="5"/>
        <v>-0.378606155610275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2500</v>
      </c>
    </row>
    <row r="78" spans="1:13" ht="12.75">
      <c r="A78" s="5" t="s">
        <v>101</v>
      </c>
      <c r="B78" s="92"/>
      <c r="C78" s="160">
        <f>IF(ISNA(VLOOKUP("chart611000000",Balance!C:G,5,FALSE))=TRUE,0,VLOOKUP("chart611000000",Balance!C:G,5,FALSE))</f>
        <v>0</v>
      </c>
      <c r="D78" s="117">
        <f>+[2]Chartres!$H78</f>
        <v>0.54434764633645838</v>
      </c>
      <c r="E78" s="160">
        <f>IF(ISNA(VLOOKUP("chart611000000",Balanceanp!C:G,5,FALSE))=TRUE,0,VLOOKUP("chart611000000",Balanceanp!C:G,5,FALSE))</f>
        <v>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0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IF(ISNA(VLOOKUP("chart613200000",Balance!C:G,5,FALSE))=TRUE,0,VLOOKUP("chart613200000",Balance!C:G,5,FALSE))</f>
        <v>16592.580000000002</v>
      </c>
      <c r="D79" s="117">
        <f>+[2]Chartres!$H79</f>
        <v>21466.042511737091</v>
      </c>
      <c r="E79" s="160">
        <f>IF(ISNA(VLOOKUP("chart613200000",Balanceanp!C:G,5,FALSE))=TRUE,0,VLOOKUP("chart613200000",Balanceanp!C:G,5,FALSE))</f>
        <v>22303.56</v>
      </c>
      <c r="F79" s="425">
        <f>5347.48*4</f>
        <v>21389.919999999998</v>
      </c>
      <c r="G79" s="425">
        <f>+(5347.48*1.01268357810414)*4</f>
        <v>21661.220720961301</v>
      </c>
      <c r="H79" s="413"/>
      <c r="I79" s="149">
        <f t="shared" si="5"/>
        <v>-4.0963864064750333E-2</v>
      </c>
      <c r="J79" s="271">
        <f t="shared" si="5"/>
        <v>1.2683578104139821E-2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21661.220720961301</v>
      </c>
    </row>
    <row r="80" spans="1:13" ht="12.75">
      <c r="A80" s="5" t="s">
        <v>325</v>
      </c>
      <c r="B80" s="92"/>
      <c r="C80" s="160">
        <f>IF(ISNA(VLOOKUP("chart614000000",Balance!C:G,5,FALSE))=TRUE,0,VLOOKUP("chart614000000",Balance!C:G,5,FALSE))</f>
        <v>1270.3599999999999</v>
      </c>
      <c r="D80" s="117">
        <f>+[2]Chartres!$H80</f>
        <v>1727.7315667830558</v>
      </c>
      <c r="E80" s="160">
        <f>IF(ISNA(VLOOKUP("chart614000000",Balanceanp!C:G,5,FALSE))=TRUE,0,VLOOKUP("chart614000000",Balanceanp!C:G,5,FALSE))</f>
        <v>1404</v>
      </c>
      <c r="F80" s="368">
        <f>+C80+C80/9*(12-Clients!$I$14)</f>
        <v>1693.8133333333333</v>
      </c>
      <c r="G80" s="396">
        <v>2500</v>
      </c>
      <c r="H80" s="409"/>
      <c r="I80" s="149">
        <f t="shared" si="5"/>
        <v>0.20641975308641972</v>
      </c>
      <c r="J80" s="271">
        <f t="shared" si="5"/>
        <v>0.47595957051544452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2500</v>
      </c>
    </row>
    <row r="81" spans="1:13" ht="12.75">
      <c r="A81" s="5" t="s">
        <v>103</v>
      </c>
      <c r="B81" s="92"/>
      <c r="C81" s="160">
        <f>IF(ISNA(VLOOKUP("chart613510000",Balance!C:G,5,FALSE))=TRUE,0,VLOOKUP("chart613510000",Balance!C:G,5,FALSE))</f>
        <v>0</v>
      </c>
      <c r="D81" s="117">
        <f>+[2]Chartres!$H81</f>
        <v>0</v>
      </c>
      <c r="E81" s="160">
        <f>IF(ISNA(VLOOKUP("chart613510000",Balanceanp!C:G,5,FALSE))=TRUE,0,VLOOKUP("chart613510000",Balanceanp!C:G,5,FALSE))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IF(ISNA(VLOOKUP("chart613530000",Balance!C:G,5,FALSE))=TRUE,0,VLOOKUP("chart613530000",Balance!C:G,5,FALSE))</f>
        <v>135</v>
      </c>
      <c r="D82" s="117">
        <f>+[2]Chartres!$H82</f>
        <v>189.61060427187499</v>
      </c>
      <c r="E82" s="160">
        <f>IF(ISNA(VLOOKUP("chart613530000",Balanceanp!C:G,5,FALSE))=TRUE,0,VLOOKUP("chart613530000",Balanceanp!C:G,5,FALSE))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IF(ISNA(VLOOKUP("chart613540000",Balance!C:G,5,FALSE))=TRUE,0,VLOOKUP("chart613540000",Balance!C:G,5,FALSE))</f>
        <v>0</v>
      </c>
      <c r="D83" s="117">
        <f>+[2]Chartres!$H83</f>
        <v>0</v>
      </c>
      <c r="E83" s="160">
        <f>IF(ISNA(VLOOKUP("chart613540000",Balanceanp!C:G,5,FALSE))=TRUE,0,VLOOKUP("chart613540000",Balanceanp!C:G,5,FALSE))</f>
        <v>0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0</v>
      </c>
      <c r="J83" s="271">
        <f t="shared" si="5"/>
        <v>0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0</v>
      </c>
    </row>
    <row r="84" spans="1:13" ht="12.75">
      <c r="A84" s="5" t="s">
        <v>108</v>
      </c>
      <c r="B84" s="92"/>
      <c r="C84" s="160">
        <f>IF(ISNA(VLOOKUP("chart615200000",Balance!C:G,5,FALSE))=TRUE,0,VLOOKUP("chart615200000",Balance!C:G,5,FALSE))</f>
        <v>2846.67</v>
      </c>
      <c r="D84" s="117">
        <f>+[2]Chartres!$H84</f>
        <v>4002.292370643604</v>
      </c>
      <c r="E84" s="160">
        <f>IF(ISNA(VLOOKUP("chart615200000",Balanceanp!C:G,5,FALSE))=TRUE,0,VLOOKUP("chart615200000",Balanceanp!C:G,5,FALSE))</f>
        <v>3882.52</v>
      </c>
      <c r="F84" s="368">
        <f>+C84+C84/9*(12-Clients!$I$14)</f>
        <v>3795.5600000000004</v>
      </c>
      <c r="G84" s="396">
        <f t="shared" si="6"/>
        <v>3909.4268000000006</v>
      </c>
      <c r="H84" s="409"/>
      <c r="I84" s="149">
        <f t="shared" si="5"/>
        <v>-2.2397824093629802E-2</v>
      </c>
      <c r="J84" s="271">
        <f t="shared" si="5"/>
        <v>3.0000000000000061E-2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3909.4268000000006</v>
      </c>
    </row>
    <row r="85" spans="1:13" ht="12.75">
      <c r="A85" s="5" t="s">
        <v>109</v>
      </c>
      <c r="B85" s="92"/>
      <c r="C85" s="160">
        <f>IF(ISNA(VLOOKUP("chart615500000",Balance!C:G,5,FALSE))=TRUE,0,VLOOKUP("chart615500000",Balance!C:G,5,FALSE))</f>
        <v>934</v>
      </c>
      <c r="D85" s="117">
        <f>+[2]Chartres!$H85</f>
        <v>1290.7355068125</v>
      </c>
      <c r="E85" s="160">
        <f>IF(ISNA(VLOOKUP("chart615500000",Balanceanp!C:G,5,FALSE))=TRUE,0,VLOOKUP("chart615500000",Balanceanp!C:G,5,FALSE))</f>
        <v>920</v>
      </c>
      <c r="F85" s="368">
        <f>+C85+C85/9*(12-Clients!$I$14)</f>
        <v>1245.3333333333333</v>
      </c>
      <c r="G85" s="396">
        <f t="shared" si="6"/>
        <v>1282.6933333333334</v>
      </c>
      <c r="H85" s="409"/>
      <c r="I85" s="149">
        <f t="shared" si="5"/>
        <v>0.35362318840579704</v>
      </c>
      <c r="J85" s="271">
        <f t="shared" si="5"/>
        <v>3.0000000000000103E-2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1282.6933333333334</v>
      </c>
    </row>
    <row r="86" spans="1:13" ht="12.75">
      <c r="A86" s="5" t="s">
        <v>106</v>
      </c>
      <c r="B86" s="92"/>
      <c r="C86" s="160">
        <f>IF(ISNA(VLOOKUP("chart615510000",Balance!C:G,5,FALSE))=TRUE,0,VLOOKUP("chart615510000",Balance!C:G,5,FALSE))</f>
        <v>0</v>
      </c>
      <c r="D86" s="117">
        <f>+[2]Chartres!$H86</f>
        <v>318.53906500490729</v>
      </c>
      <c r="E86" s="160">
        <f>IF(ISNA(VLOOKUP("chart615510000",Balanceanp!C:G,5,FALSE))=TRUE,0,VLOOKUP("chart615510000",Balanceanp!C:G,5,FALSE))</f>
        <v>160</v>
      </c>
      <c r="F86" s="368">
        <f>+C86+C86/9*(12-Clients!$I$14)</f>
        <v>0</v>
      </c>
      <c r="G86" s="396">
        <f t="shared" si="6"/>
        <v>0</v>
      </c>
      <c r="H86" s="409"/>
      <c r="I86" s="149">
        <f t="shared" si="5"/>
        <v>-1</v>
      </c>
      <c r="J86" s="271">
        <f t="shared" si="5"/>
        <v>0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0</v>
      </c>
    </row>
    <row r="87" spans="1:13" ht="12.75">
      <c r="A87" s="5" t="s">
        <v>363</v>
      </c>
      <c r="B87" s="92"/>
      <c r="C87" s="160">
        <f>IF(ISNA(VLOOKUP("chart615530000",Balance!C:G,5,FALSE))=TRUE,0,VLOOKUP("chart615530000",Balance!C:G,5,FALSE))</f>
        <v>0</v>
      </c>
      <c r="D87" s="117">
        <f>+[2]Chartres!$H87</f>
        <v>0</v>
      </c>
      <c r="E87" s="160">
        <f>IF(ISNA(VLOOKUP("chart615530000",Balanceanp!C:G,5,FALSE))=TRUE,0,VLOOKUP("chart615530000",Balanceanp!C:G,5,FALSE))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IF(ISNA(VLOOKUP("chart616130000",Balance!C:G,5,FALSE))=TRUE,0,VLOOKUP("chart616130000",Balance!C:G,5,FALSE))</f>
        <v>2019.6</v>
      </c>
      <c r="D88" s="117">
        <f>+[2]Chartres!$H88</f>
        <v>2692.801125</v>
      </c>
      <c r="E88" s="160">
        <f>IF(ISNA(VLOOKUP("chart616130000",Balanceanp!C:G,5,FALSE))=TRUE,0,VLOOKUP("chart616130000",Balanceanp!C:G,5,FALSE))</f>
        <v>2426.4899999999998</v>
      </c>
      <c r="F88" s="368">
        <f>+C88+C88/9*(12-Clients!$I$14)</f>
        <v>2692.7999999999997</v>
      </c>
      <c r="G88" s="397">
        <f>+F88*1.05</f>
        <v>2827.44</v>
      </c>
      <c r="H88" s="413"/>
      <c r="I88" s="149">
        <f t="shared" ref="I88:I101" si="7">+IF((E88)=0,,(F88-E88)/E88)</f>
        <v>0.10975112199102406</v>
      </c>
      <c r="J88" s="271">
        <f t="shared" ref="J88:J101" si="8">+IF((F88)=0,,(G88-F88)/F88)</f>
        <v>5.0000000000000128E-2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2827.44</v>
      </c>
    </row>
    <row r="89" spans="1:13" ht="12.75">
      <c r="A89" s="5" t="s">
        <v>315</v>
      </c>
      <c r="B89" s="92"/>
      <c r="C89" s="160"/>
      <c r="D89" s="117">
        <f>+[2]Chartres!$H89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IF(ISNA(VLOOKUP("chart618100000",Balance!C:G,5,FALSE))=TRUE,0,VLOOKUP("chart618100000",Balance!C:G,5,FALSE))</f>
        <v>208.69</v>
      </c>
      <c r="D90" s="117">
        <f>+[2]Chartres!$H90</f>
        <v>384.31837892318748</v>
      </c>
      <c r="E90" s="160">
        <f>IF(ISNA(VLOOKUP("chart618100000",Balanceanp!C:G,5,FALSE))=TRUE,0,VLOOKUP("chart618100000",Balanceanp!C:G,5,FALSE))</f>
        <v>398.07</v>
      </c>
      <c r="F90" s="368">
        <f>+C90+C90/9*(12-Clients!$I$14)</f>
        <v>278.25333333333333</v>
      </c>
      <c r="G90" s="396">
        <f t="shared" si="6"/>
        <v>286.60093333333333</v>
      </c>
      <c r="H90" s="409"/>
      <c r="I90" s="149">
        <f t="shared" si="7"/>
        <v>-0.30099396253590238</v>
      </c>
      <c r="J90" s="271">
        <f t="shared" si="8"/>
        <v>0.03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286.60093333333333</v>
      </c>
    </row>
    <row r="91" spans="1:13" ht="12.75">
      <c r="A91" s="5" t="s">
        <v>113</v>
      </c>
      <c r="B91" s="92"/>
      <c r="C91" s="160">
        <f>IF(ISNA(VLOOKUP("chart618500000",Balance!C:G,5,FALSE))=TRUE,0,VLOOKUP("chart618500000",Balance!C:G,5,FALSE))</f>
        <v>800.83</v>
      </c>
      <c r="D91" s="117">
        <f>+[2]Chartres!$H91</f>
        <v>435.209731535625</v>
      </c>
      <c r="E91" s="160">
        <f>IF(ISNA(VLOOKUP("chart618500000",Balanceanp!C:G,5,FALSE))=TRUE,0,VLOOKUP("chart618500000",Balanceanp!C:G,5,FALSE))</f>
        <v>372.81</v>
      </c>
      <c r="F91" s="368">
        <f>+C91+C91/9*(12-Clients!$I$14)</f>
        <v>1067.7733333333335</v>
      </c>
      <c r="G91" s="396">
        <f t="shared" si="6"/>
        <v>1099.8065333333336</v>
      </c>
      <c r="H91" s="409"/>
      <c r="I91" s="149">
        <f t="shared" si="7"/>
        <v>1.8641220282002458</v>
      </c>
      <c r="J91" s="271">
        <f t="shared" si="8"/>
        <v>3.0000000000000068E-2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1099.8065333333336</v>
      </c>
    </row>
    <row r="92" spans="1:13" ht="12.75">
      <c r="A92" s="5" t="s">
        <v>309</v>
      </c>
      <c r="B92" s="92"/>
      <c r="C92" s="160">
        <f>IF(ISNA(VLOOKUP("chart622200000",Balance!C:G,5,FALSE))=TRUE,0,VLOOKUP("chart622200000",Balance!C:G,5,FALSE))</f>
        <v>0</v>
      </c>
      <c r="D92" s="117">
        <f>+[2]Chartres!$H92</f>
        <v>0</v>
      </c>
      <c r="E92" s="160">
        <f>IF(ISNA(VLOOKUP("chart622200000",Balanceanp!C:G,5,FALSE))=TRUE,0,VLOOKUP("chart622200000",Balanceanp!C:G,5,FALSE))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IF(ISNA(VLOOKUP("chart622600000",Balance!C:G,5,FALSE))=TRUE,0,VLOOKUP("chart622600000",Balance!C:G,5,FALSE))</f>
        <v>0</v>
      </c>
      <c r="D93" s="117">
        <f>+[2]Chartres!$H93</f>
        <v>0</v>
      </c>
      <c r="E93" s="160">
        <f>IF(ISNA(VLOOKUP("chart622600000",Balanceanp!C:G,5,FALSE))=TRUE,0,VLOOKUP("chart622600000",Balanceanp!C:G,5,FALSE))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0</v>
      </c>
    </row>
    <row r="94" spans="1:13" ht="12.75">
      <c r="A94" s="5" t="s">
        <v>42</v>
      </c>
      <c r="B94" s="92"/>
      <c r="C94" s="160">
        <f>IF(ISNA(VLOOKUP("chart622710000",Balance!C:G,5,FALSE))=TRUE,0,VLOOKUP("chart622710000",Balance!C:G,5,FALSE))</f>
        <v>0</v>
      </c>
      <c r="D94" s="117">
        <f>+[2]Chartres!$H94</f>
        <v>0</v>
      </c>
      <c r="E94" s="160">
        <f>IF(ISNA(VLOOKUP("chart622710000",Balanceanp!C:G,5,FALSE))=TRUE,0,VLOOKUP("chart622710000",Balanceanp!C:G,5,FALSE))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7.9485573009155548E-3</v>
      </c>
      <c r="C95" s="160">
        <f>IF(ISNA(VLOOKUP("chart624200000",Balance!C:G,5,FALSE))=TRUE,0,VLOOKUP("chart624200000",Balance!C:G,5,FALSE))</f>
        <v>5480.15</v>
      </c>
      <c r="D95" s="117">
        <f>+[2]Chartres!$H95</f>
        <v>10505.010239203124</v>
      </c>
      <c r="E95" s="160">
        <f>IF(ISNA(VLOOKUP("chart624200000",Balanceanp!C:G,5,FALSE))=TRUE,0,VLOOKUP("chart624200000",Balanceanp!C:G,5,FALSE))</f>
        <v>10128.52</v>
      </c>
      <c r="F95" s="368">
        <f>+C95+C95/9*(12-Clients!$I$14)</f>
        <v>7306.8666666666668</v>
      </c>
      <c r="G95" s="396">
        <v>10000</v>
      </c>
      <c r="H95" s="420">
        <f>+G95/$G$21</f>
        <v>8.5429926103113927E-3</v>
      </c>
      <c r="I95" s="149">
        <f t="shared" si="7"/>
        <v>-0.27858495943467887</v>
      </c>
      <c r="J95" s="271">
        <f t="shared" si="8"/>
        <v>0.36857567767305638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10000</v>
      </c>
    </row>
    <row r="96" spans="1:13" ht="12.75">
      <c r="A96" s="5" t="s">
        <v>118</v>
      </c>
      <c r="B96" s="92"/>
      <c r="C96" s="160">
        <f>IF(ISNA(VLOOKUP("chart625100000",Balance!C:G,5,FALSE))=TRUE,0,VLOOKUP("chart625100000",Balance!C:G,5,FALSE))</f>
        <v>3343.58</v>
      </c>
      <c r="D96" s="117">
        <f>+[2]Chartres!$H96</f>
        <v>7000</v>
      </c>
      <c r="E96" s="160">
        <f>IF(ISNA(VLOOKUP("chart625100000",Balanceanp!C:G,5,FALSE))=TRUE,0,VLOOKUP("chart625100000",Balanceanp!C:G,5,FALSE))</f>
        <v>3575.28</v>
      </c>
      <c r="F96" s="368">
        <f>+C96+C96/9*(12-Clients!$I$14)</f>
        <v>4458.1066666666666</v>
      </c>
      <c r="G96" s="570">
        <v>7000</v>
      </c>
      <c r="H96" s="401"/>
      <c r="I96" s="149">
        <f t="shared" si="7"/>
        <v>0.24692518254980486</v>
      </c>
      <c r="J96" s="271">
        <f t="shared" si="8"/>
        <v>0.57017328731479433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7000</v>
      </c>
    </row>
    <row r="97" spans="1:13" ht="12.75">
      <c r="A97" s="5" t="s">
        <v>7</v>
      </c>
      <c r="B97" s="92"/>
      <c r="C97" s="160">
        <f>IF(ISNA(VLOOKUP("CHART625200000",Balance!C:G,5,FALSE))=TRUE,0,VLOOKUP("CHART625200000",Balance!C:G,5,FALSE))</f>
        <v>110.1</v>
      </c>
      <c r="D97" s="117">
        <f>+[2]Chartres!$H97</f>
        <v>0</v>
      </c>
      <c r="E97" s="160">
        <f>IF(ISNA(VLOOKUP("CHART625200000",Balanceanp!C:G,5,FALSE))=TRUE,0,VLOOKUP("CHART625200000",Balanceanp!C:G,5,FALSE))</f>
        <v>0</v>
      </c>
      <c r="F97" s="368">
        <f>+C97+C97/9*(12-Clients!$I$14)</f>
        <v>146.79999999999998</v>
      </c>
      <c r="G97" s="395">
        <v>0</v>
      </c>
      <c r="H97" s="401"/>
      <c r="I97" s="149">
        <f t="shared" si="7"/>
        <v>0</v>
      </c>
      <c r="J97" s="271">
        <f t="shared" si="8"/>
        <v>-1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0</v>
      </c>
    </row>
    <row r="98" spans="1:13" ht="12.75">
      <c r="A98" s="5" t="s">
        <v>307</v>
      </c>
      <c r="B98" s="92"/>
      <c r="C98" s="160">
        <f>IF(ISNA(VLOOKUP("chart625510000",Balance!C:G,5,FALSE))=TRUE,0,VLOOKUP("chart625510000",Balance!C:G,5,FALSE))</f>
        <v>0</v>
      </c>
      <c r="D98" s="117">
        <f>+[2]Chartres!$H98</f>
        <v>0</v>
      </c>
      <c r="E98" s="160">
        <f>IF(ISNA(VLOOKUP("chart625510000",Balanceanp!C:G,5,FALSE))=TRUE,0,VLOOKUP("chart625510000",Balanceanp!C:G,5,FALSE))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IF(ISNA(VLOOKUP("chart626000000",Balance!C:G,5,FALSE))=TRUE,0,VLOOKUP("chart626000000",Balance!C:G,5,FALSE))</f>
        <v>3142.22</v>
      </c>
      <c r="D99" s="117">
        <f>+[2]Chartres!$H99</f>
        <v>3656.7293783065502</v>
      </c>
      <c r="E99" s="160">
        <f>IF(ISNA(VLOOKUP("chart626000000",Balanceanp!C:G,5,FALSE))=TRUE,0,VLOOKUP("chart626000000",Balanceanp!C:G,5,FALSE))</f>
        <v>3457.45</v>
      </c>
      <c r="F99" s="368">
        <f>+C99+C99/9*(12-Clients!$I$14)</f>
        <v>4189.6266666666661</v>
      </c>
      <c r="G99" s="396">
        <v>5500</v>
      </c>
      <c r="H99" s="409"/>
      <c r="I99" s="149">
        <f t="shared" si="7"/>
        <v>0.21176782503482808</v>
      </c>
      <c r="J99" s="271">
        <f t="shared" si="8"/>
        <v>0.31276613349797294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5500</v>
      </c>
    </row>
    <row r="100" spans="1:13" ht="12.75">
      <c r="A100" s="5" t="s">
        <v>120</v>
      </c>
      <c r="B100" s="92"/>
      <c r="C100" s="160">
        <f>IF(ISNA(VLOOKUP("chart626100000",Balance!C:G,5,FALSE))=TRUE,0,VLOOKUP("chart626100000",Balance!C:G,5,FALSE))</f>
        <v>1042.1400000000001</v>
      </c>
      <c r="D100" s="117">
        <f>+[2]Chartres!$H100</f>
        <v>781.82343036545183</v>
      </c>
      <c r="E100" s="160">
        <f>IF(ISNA(VLOOKUP("chart626100000",Balanceanp!C:G,5,FALSE))=TRUE,0,VLOOKUP("chart626100000",Balanceanp!C:G,5,FALSE))</f>
        <v>774.13</v>
      </c>
      <c r="F100" s="368">
        <f>+C100+C100/9*(12-Clients!$I$14)</f>
        <v>1389.5200000000002</v>
      </c>
      <c r="G100" s="396">
        <f t="shared" si="6"/>
        <v>1431.2056000000002</v>
      </c>
      <c r="H100" s="409"/>
      <c r="I100" s="149">
        <f t="shared" si="7"/>
        <v>0.79494400165346935</v>
      </c>
      <c r="J100" s="271">
        <f t="shared" si="8"/>
        <v>3.0000000000000013E-2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1431.2056000000002</v>
      </c>
    </row>
    <row r="101" spans="1:13" ht="12.75">
      <c r="A101" s="5" t="s">
        <v>121</v>
      </c>
      <c r="B101" s="92"/>
      <c r="C101" s="160">
        <f>IF(ISNA(VLOOKUP("chart628400000",Balance!C:G,5,FALSE))=TRUE,0,VLOOKUP("chart628400000",Balance!C:G,5,FALSE))</f>
        <v>0</v>
      </c>
      <c r="D101" s="117">
        <f>+[2]Chartres!$H101</f>
        <v>0</v>
      </c>
      <c r="E101" s="160">
        <f>IF(ISNA(VLOOKUP("chart628400000",Balanceanp!C:G,5,FALSE))=TRUE,0,VLOOKUP("chart628400000",Balanceanp!C:G,5,FALSE))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7.8847704241002028E-2</v>
      </c>
      <c r="C103" s="163">
        <f>SUM(C70:C102)</f>
        <v>54361.720000000008</v>
      </c>
      <c r="D103" s="118">
        <f>SUM(D70:D102)</f>
        <v>80329.111351454048</v>
      </c>
      <c r="E103" s="163">
        <f>SUM(E70:E102)</f>
        <v>68134.48</v>
      </c>
      <c r="F103" s="136">
        <f>SUM(F70:F102)</f>
        <v>72823.493333333332</v>
      </c>
      <c r="G103" s="136">
        <f>SUM(G70:G102)</f>
        <v>85957.506587627984</v>
      </c>
      <c r="H103" s="421">
        <f>+G103/$G$21</f>
        <v>7.3433434357889862E-2</v>
      </c>
      <c r="I103" s="272">
        <f>+IF((E103)=0,,(F103-E103)/E103)</f>
        <v>6.8819976806652611E-2</v>
      </c>
      <c r="J103" s="188">
        <f>+IF((F103)=0,,(G103-F103)/F103)</f>
        <v>0.18035406780304578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IF(ISNA(VLOOKUP("chart623100000",Balance!C:G,5,FALSE))=TRUE,0,VLOOKUP("chart623100000",Balance!C:G,5,FALSE))</f>
        <v>0</v>
      </c>
      <c r="D105" s="117">
        <f>+[2]Chartres!$H105</f>
        <v>1000</v>
      </c>
      <c r="E105" s="160">
        <f>IF(ISNA(VLOOKUP("chart623100000",Balanceanp!C:G,5,FALSE))=TRUE,0,VLOOKUP("chart623100000",Balanceanp!C:G,5,FALSE))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IF(ISNA(VLOOKUP("chart623200000",Balance!C:G,5,FALSE))=TRUE,0,VLOOKUP("chart623200000",Balance!C:G,5,FALSE))</f>
        <v>7659</v>
      </c>
      <c r="D106" s="117">
        <f>+[2]Chartres!$H106</f>
        <v>3000</v>
      </c>
      <c r="E106" s="160">
        <f>IF(ISNA(VLOOKUP("chart623200000",Balanceanp!C:G,5,FALSE))=TRUE,0,VLOOKUP("chart623200000",Balanceanp!C:G,5,FALSE))</f>
        <v>6656.19</v>
      </c>
      <c r="F106" s="368">
        <f>+C106+C106/9*(12-Clients!$I$14)</f>
        <v>10212</v>
      </c>
      <c r="G106" s="570">
        <v>6000</v>
      </c>
      <c r="H106" s="401"/>
      <c r="I106" s="149">
        <f t="shared" si="9"/>
        <v>0.53421101260631088</v>
      </c>
      <c r="J106" s="271">
        <f t="shared" si="9"/>
        <v>-0.41245593419506466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6000</v>
      </c>
    </row>
    <row r="107" spans="1:13" ht="12.75">
      <c r="A107" s="5" t="s">
        <v>131</v>
      </c>
      <c r="B107" s="92"/>
      <c r="C107" s="160">
        <f>IF(ISNA(VLOOKUP("chart629000000",Balance!C:G,5,FALSE))=TRUE,0,VLOOKUP("chart629000000",Balance!C:G,5,FALSE))</f>
        <v>0</v>
      </c>
      <c r="D107" s="117">
        <f>+[2]Chartres!$H107</f>
        <v>0</v>
      </c>
      <c r="E107" s="160">
        <f>IF(ISNA(VLOOKUP("chart629000000",Balanceanp!C:G,5,FALSE))=TRUE,0,VLOOKUP("chart629000000",Balanceanp!C:G,5,FALSE))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IF(ISNA(VLOOKUP("chart623300000",Balance!C:G,5,FALSE))=TRUE,0,VLOOKUP("chart623300000",Balance!C:G,5,FALSE))</f>
        <v>888.49</v>
      </c>
      <c r="D108" s="117">
        <f>+[2]Chartres!$H108</f>
        <v>0</v>
      </c>
      <c r="E108" s="160">
        <f>IF(ISNA(VLOOKUP("chart623300000",Balanceanp!C:G,5,FALSE))=TRUE,0,VLOOKUP("chart623300000",Balanceanp!C:G,5,FALSE))</f>
        <v>0</v>
      </c>
      <c r="F108" s="368">
        <f>+C108+C108/9*(12-Clients!$I$14)</f>
        <v>1184.6533333333334</v>
      </c>
      <c r="G108" s="570">
        <v>0</v>
      </c>
      <c r="H108" s="401"/>
      <c r="I108" s="149">
        <f t="shared" si="9"/>
        <v>0</v>
      </c>
      <c r="J108" s="271">
        <f t="shared" si="9"/>
        <v>-1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0</v>
      </c>
    </row>
    <row r="109" spans="1:13" ht="12.75">
      <c r="A109" s="5" t="s">
        <v>133</v>
      </c>
      <c r="B109" s="92"/>
      <c r="C109" s="160">
        <f>IF(ISNA(VLOOKUP("chart623700000",Balance!C:G,5,FALSE))=TRUE,0,VLOOKUP("chart623700000",Balance!C:G,5,FALSE))</f>
        <v>2640.9100000000003</v>
      </c>
      <c r="D109" s="117">
        <f>+[2]Chartres!$H109</f>
        <v>6000</v>
      </c>
      <c r="E109" s="160">
        <f>IF(ISNA(VLOOKUP("chart623700000",Balanceanp!C:G,5,FALSE))=TRUE,0,VLOOKUP("chart623700000",Balanceanp!C:G,5,FALSE))</f>
        <v>3757.36</v>
      </c>
      <c r="F109" s="368">
        <f>+C109+C109/9*(12-Clients!$I$14)</f>
        <v>3521.2133333333336</v>
      </c>
      <c r="G109" s="570">
        <v>4500</v>
      </c>
      <c r="H109" s="401"/>
      <c r="I109" s="149">
        <f t="shared" si="9"/>
        <v>-6.2849092625318445E-2</v>
      </c>
      <c r="J109" s="271">
        <f t="shared" si="9"/>
        <v>0.27796857901253724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4500</v>
      </c>
    </row>
    <row r="110" spans="1:13" ht="12.75">
      <c r="A110" s="5" t="s">
        <v>134</v>
      </c>
      <c r="B110" s="92"/>
      <c r="C110" s="160">
        <f>IF(ISNA(VLOOKUP("chart623410000",Balance!C:G,5,FALSE))=TRUE,0,VLOOKUP("chart623410000",Balance!C:G,5,FALSE))+IF(ISNA(VLOOKUP("chart623420000",Balance!C:G,5,FALSE))=TRUE,0,VLOOKUP("chart623420000",Balance!C:G,5,FALSE))</f>
        <v>7401.4</v>
      </c>
      <c r="D110" s="117">
        <f>+[2]Chartres!$H110</f>
        <v>10000</v>
      </c>
      <c r="E110" s="160">
        <f>IF(ISNA(VLOOKUP("chart623410000",Balanceanp!C:G,5,FALSE))=TRUE,0,VLOOKUP("chart623410000",Balanceanp!C:G,5,FALSE))+IF(ISNA(VLOOKUP("chart623420000",Balanceanp!C:G,5,FALSE))=TRUE,0,VLOOKUP("chart623420000",Balanceanp!C:G,5,FALSE))</f>
        <v>588.38999999999987</v>
      </c>
      <c r="F110" s="368">
        <f>+C110+C110/9*(12-Clients!$I$14)</f>
        <v>9868.5333333333328</v>
      </c>
      <c r="G110" s="570">
        <v>10000</v>
      </c>
      <c r="H110" s="401"/>
      <c r="I110" s="149">
        <f t="shared" si="9"/>
        <v>15.772095605522418</v>
      </c>
      <c r="J110" s="271">
        <f t="shared" si="9"/>
        <v>1.3321803983030287E-2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10000</v>
      </c>
    </row>
    <row r="111" spans="1:13" ht="12.75">
      <c r="A111" s="5" t="s">
        <v>135</v>
      </c>
      <c r="B111" s="92"/>
      <c r="C111" s="160">
        <f>IF(ISNA(VLOOKUP("CHART623800000",Balance!C:G,5,FALSE))=TRUE,0,VLOOKUP("CHART623800000",Balance!C:G,5,FALSE))+IF(ISNA(VLOOKUP("CHART623820000",Balance!C:G,5,FALSE))=TRUE,0,VLOOKUP("CHART623820000",Balance!C:G,5,FALSE))</f>
        <v>180.85</v>
      </c>
      <c r="D111" s="117">
        <f>+[2]Chartres!$H111</f>
        <v>100</v>
      </c>
      <c r="E111" s="160">
        <f>IF(ISNA(VLOOKUP("chart623800000",Balanceanp!C:G,5,FALSE))=TRUE,0,VLOOKUP("chart623800000",Balanceanp!C:G,5,FALSE))</f>
        <v>150</v>
      </c>
      <c r="F111" s="368">
        <f>+C111+C111/9*(12-Clients!$I$14)</f>
        <v>241.13333333333333</v>
      </c>
      <c r="G111" s="570">
        <v>100</v>
      </c>
      <c r="H111" s="401"/>
      <c r="I111" s="149">
        <f t="shared" si="9"/>
        <v>0.60755555555555552</v>
      </c>
      <c r="J111" s="271">
        <f t="shared" si="9"/>
        <v>-0.58529167818634231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100</v>
      </c>
    </row>
    <row r="112" spans="1:13" ht="12.75">
      <c r="A112" s="5" t="s">
        <v>136</v>
      </c>
      <c r="B112" s="92"/>
      <c r="C112" s="160">
        <f>IF(ISNA(VLOOKUP("chart625600000",Balance!C:G,5,FALSE))=TRUE,0,VLOOKUP("chart625600000",Balance!C:G,5,FALSE))</f>
        <v>0</v>
      </c>
      <c r="D112" s="117">
        <f>+[2]Chartres!$H112</f>
        <v>0</v>
      </c>
      <c r="E112" s="160">
        <f>IF(ISNA(VLOOKUP("chart625600000",Balanceanp!C:G,5,FALSE))=TRUE,0,VLOOKUP("chart625600000",Balanceanp!C:G,5,FALSE))</f>
        <v>25.23</v>
      </c>
      <c r="F112" s="368">
        <f>+C112+C112/9*(12-Clients!$I$14)</f>
        <v>0</v>
      </c>
      <c r="G112" s="570">
        <v>0</v>
      </c>
      <c r="H112" s="401"/>
      <c r="I112" s="149">
        <f t="shared" si="9"/>
        <v>-1</v>
      </c>
      <c r="J112" s="271">
        <f t="shared" si="9"/>
        <v>0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0</v>
      </c>
    </row>
    <row r="113" spans="1:13" ht="12.75">
      <c r="A113" s="5" t="s">
        <v>137</v>
      </c>
      <c r="B113" s="92"/>
      <c r="C113" s="160">
        <f>IF(ISNA(VLOOKUP("chart625700000",Balance!C:G,5,FALSE))=TRUE,0,VLOOKUP("chart625700000",Balance!C:G,5,FALSE))+IF(ISNA(VLOOKUP("chart625710000",Balance!C:G,5,FALSE))=TRUE,0,VLOOKUP("chart625710000",Balance!C:G,5,FALSE))</f>
        <v>5637.7</v>
      </c>
      <c r="D113" s="117">
        <f>+[2]Chartres!$H113</f>
        <v>5500</v>
      </c>
      <c r="E113" s="160">
        <f>IF(ISNA(VLOOKUP("chart625700000",Balanceanp!C:G,5,FALSE))=TRUE,0,VLOOKUP("chart625700000",Balanceanp!C:G,5,FALSE))+IF(ISNA(VLOOKUP("chart625710000",Balanceanp!C:G,5,FALSE))=TRUE,0,VLOOKUP("chart625710000",Balanceanp!C:G,5,FALSE))</f>
        <v>11823.03</v>
      </c>
      <c r="F113" s="368">
        <v>4828.9399999999996</v>
      </c>
      <c r="G113" s="570">
        <v>7500</v>
      </c>
      <c r="H113" s="401"/>
      <c r="I113" s="149">
        <f t="shared" si="9"/>
        <v>-0.5915649372453593</v>
      </c>
      <c r="J113" s="271">
        <f t="shared" si="9"/>
        <v>0.55313588489399346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7500</v>
      </c>
    </row>
    <row r="114" spans="1:13" ht="12.75">
      <c r="A114" s="5" t="s">
        <v>138</v>
      </c>
      <c r="B114" s="92"/>
      <c r="C114" s="160">
        <f>IF(ISNA(VLOOKUP("chart623810000",Balance!C:G,5,FALSE))=TRUE,0,VLOOKUP("chart623810000",Balance!C:G,5,FALSE))</f>
        <v>0</v>
      </c>
      <c r="D114" s="117">
        <f>+[2]Chartres!$H114</f>
        <v>0</v>
      </c>
      <c r="E114" s="160">
        <f>IF(ISNA(VLOOKUP("chart623810000",Balanceanp!C:G,5,FALSE))=TRUE,0,VLOOKUP("chart623810000",Balanceanp!C:G,5,FALSE))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3.5402528871618877E-2</v>
      </c>
      <c r="C116" s="163">
        <f>SUM(C104:C115)</f>
        <v>24408.35</v>
      </c>
      <c r="D116" s="118">
        <f>SUM(D104:D115)</f>
        <v>25600</v>
      </c>
      <c r="E116" s="163">
        <f>SUM(E104:E115)</f>
        <v>23774.5</v>
      </c>
      <c r="F116" s="136">
        <f>SUM(F104:F115)</f>
        <v>29856.473333333335</v>
      </c>
      <c r="G116" s="136">
        <f>SUM(G104:G115)</f>
        <v>29100</v>
      </c>
      <c r="H116" s="421">
        <f>+G116/$G$21</f>
        <v>2.4860108496006152E-2</v>
      </c>
      <c r="I116" s="272">
        <f>+IF((E116)=0,,(F116-E116)/E116)</f>
        <v>0.25581919002853204</v>
      </c>
      <c r="J116" s="188">
        <f>+IF((F116)=0,,(G116-F116)/F116)</f>
        <v>-2.5336995595148494E-2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IF(ISNA(VLOOKUP("chart633300000",Balance!C:G,5,FALSE))=TRUE,0,VLOOKUP("chart633300000",Balance!C:G,5,FALSE))</f>
        <v>1187.3599999999999</v>
      </c>
      <c r="D118" s="117">
        <f>+[2]Chartres!$H118</f>
        <v>650.99999999999989</v>
      </c>
      <c r="E118" s="160">
        <f>IF(ISNA(VLOOKUP("chart633300000",Balanceanp!C:G,5,FALSE))=TRUE,0,VLOOKUP("chart633300000",Balanceanp!C:G,5,FALSE))</f>
        <v>500</v>
      </c>
      <c r="F118" s="368">
        <f>+C118+C118/9*(12-Clients!$I$14)</f>
        <v>1583.1466666666665</v>
      </c>
      <c r="G118" s="396">
        <f>G131*(0.2+0.5)%</f>
        <v>909.99999999999989</v>
      </c>
      <c r="H118" s="409"/>
      <c r="I118" s="149">
        <f t="shared" ref="I118:J127" si="10">+IF((E118)=0,,(F118-E118)/E118)</f>
        <v>2.166293333333333</v>
      </c>
      <c r="J118" s="271">
        <f t="shared" si="10"/>
        <v>-0.42519539145667701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909.99999999999989</v>
      </c>
    </row>
    <row r="119" spans="1:13" ht="12.75">
      <c r="A119" s="5" t="s">
        <v>140</v>
      </c>
      <c r="B119" s="92"/>
      <c r="C119" s="160">
        <f>IF(ISNA(VLOOKUP("chart633400000",Balance!C:G,5,FALSE))=TRUE,0,VLOOKUP("chart633400000",Balance!C:G,5,FALSE))</f>
        <v>0</v>
      </c>
      <c r="D119" s="117">
        <f>+[2]Chartres!$H119</f>
        <v>418.50000000000006</v>
      </c>
      <c r="E119" s="160">
        <f>IF(ISNA(VLOOKUP("chart633400000",Balanceanp!C:G,5,FALSE))=TRUE,0,VLOOKUP("chart633400000",Balanceanp!C:G,5,FALSE))</f>
        <v>275</v>
      </c>
      <c r="F119" s="368">
        <f>+C119+C119/9*(12-Clients!$I$14)</f>
        <v>0</v>
      </c>
      <c r="G119" s="396">
        <f>+G131*0.45%</f>
        <v>585.00000000000011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585.00000000000011</v>
      </c>
    </row>
    <row r="120" spans="1:13" ht="12.75">
      <c r="A120" s="5" t="s">
        <v>141</v>
      </c>
      <c r="B120" s="92"/>
      <c r="C120" s="160">
        <f>IF(ISNA(VLOOKUP("chart633500000",Balance!C:G,5,FALSE))=TRUE,0,VLOOKUP("chart633500000",Balance!C:G,5,FALSE))</f>
        <v>0</v>
      </c>
      <c r="D120" s="117">
        <f>+[2]Chartres!$H120</f>
        <v>725.40000000000009</v>
      </c>
      <c r="E120" s="160">
        <f>IF(ISNA(VLOOKUP("chart633500000",Balanceanp!C:G,5,FALSE))=TRUE,0,VLOOKUP("chart633500000",Balanceanp!C:G,5,FALSE))</f>
        <v>416</v>
      </c>
      <c r="F120" s="368">
        <f>+C120+C120/9*(12-Clients!$I$14)</f>
        <v>0</v>
      </c>
      <c r="G120" s="396">
        <f>+G131*(0.6+0.18)%</f>
        <v>1014.0000000000001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1014.0000000000001</v>
      </c>
    </row>
    <row r="121" spans="1:13" ht="12.75">
      <c r="A121" s="5" t="s">
        <v>706</v>
      </c>
      <c r="B121" s="92"/>
      <c r="C121" s="160">
        <f>IF(ISNA(VLOOKUP("chart635110000",Balance!C:G,5,FALSE))=TRUE,0,VLOOKUP("chart635110000",Balance!C:G,5,FALSE))</f>
        <v>1912.05</v>
      </c>
      <c r="D121" s="117">
        <f>+[2]Chartres!$H121</f>
        <v>2549.4</v>
      </c>
      <c r="E121" s="160">
        <f>IF(ISNA(VLOOKUP("chart635110000",Balanceanp!C:G,5,FALSE))=TRUE,0,VLOOKUP("chart635110000",Balanceanp!C:G,5,FALSE))</f>
        <v>2428</v>
      </c>
      <c r="F121" s="570">
        <v>580</v>
      </c>
      <c r="G121" s="570">
        <f>+F121*1.05</f>
        <v>609</v>
      </c>
      <c r="H121" s="413"/>
      <c r="I121" s="149">
        <f t="shared" si="10"/>
        <v>-0.76112026359143325</v>
      </c>
      <c r="J121" s="271">
        <f t="shared" si="10"/>
        <v>0.05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609</v>
      </c>
    </row>
    <row r="122" spans="1:13" ht="12.75">
      <c r="A122" s="5" t="s">
        <v>143</v>
      </c>
      <c r="B122" s="92"/>
      <c r="C122" s="160">
        <f>IF(ISNA(VLOOKUP("chart635120000",Balance!C:G,5,FALSE))=TRUE,0,VLOOKUP("chart635120000",Balance!C:G,5,FALSE))</f>
        <v>1283.58</v>
      </c>
      <c r="D122" s="117">
        <f>+[2]Chartres!$H122</f>
        <v>1711.41644625</v>
      </c>
      <c r="E122" s="160">
        <f>IF(ISNA(VLOOKUP("chart635120000",Balanceanp!C:G,5,FALSE))=TRUE,0,VLOOKUP("chart635120000",Balanceanp!C:G,5,FALSE))</f>
        <v>1136.72</v>
      </c>
      <c r="F122" s="397">
        <f>+C122+C122/9*(12-Clients!$I$14)</f>
        <v>1711.44</v>
      </c>
      <c r="G122" s="397">
        <f>+F122*1.05</f>
        <v>1797.0120000000002</v>
      </c>
      <c r="H122" s="413"/>
      <c r="I122" s="149">
        <f t="shared" si="10"/>
        <v>0.50559504539376454</v>
      </c>
      <c r="J122" s="271">
        <f t="shared" si="10"/>
        <v>5.0000000000000065E-2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1797.0119999999999</v>
      </c>
    </row>
    <row r="123" spans="1:13" ht="12.75">
      <c r="A123" s="5" t="s">
        <v>144</v>
      </c>
      <c r="B123" s="92"/>
      <c r="C123" s="160">
        <f>IF(ISNA(VLOOKUP("chart635130000",Balance!C:G,5,FALSE))=TRUE,0,VLOOKUP("chart635130000",Balance!C:G,5,FALSE))</f>
        <v>0</v>
      </c>
      <c r="D123" s="117">
        <f>+[2]Chartres!$H123</f>
        <v>50</v>
      </c>
      <c r="E123" s="160">
        <f>IF(ISNA(VLOOKUP("chart635130000",Balanceanp!C:G,5,FALSE))=TRUE,0,VLOOKUP("chart635130000",Balanceanp!C:G,5,FALSE))</f>
        <v>0</v>
      </c>
      <c r="F123" s="368">
        <f>+C123+C123/9*(12-Clients!$I$14)</f>
        <v>0</v>
      </c>
      <c r="G123" s="397">
        <v>200</v>
      </c>
      <c r="H123" s="413"/>
      <c r="I123" s="149">
        <f t="shared" si="10"/>
        <v>0</v>
      </c>
      <c r="J123" s="271">
        <f t="shared" si="10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200</v>
      </c>
    </row>
    <row r="124" spans="1:13" ht="12.75">
      <c r="A124" s="5" t="s">
        <v>145</v>
      </c>
      <c r="B124" s="92"/>
      <c r="C124" s="160">
        <f>IF(ISNA(VLOOKUP("chart635140000",Balance!C:G,5,FALSE))=TRUE,0,VLOOKUP("chart635140000",Balance!C:G,5,FALSE))</f>
        <v>0</v>
      </c>
      <c r="D124" s="117">
        <f>+[2]Chartres!$H124</f>
        <v>0</v>
      </c>
      <c r="E124" s="160">
        <f>IF(ISNA(VLOOKUP("chart635140000",Balanceanp!C:G,5,FALSE))=TRUE,0,VLOOKUP("chart635140000",Balanceanp!C:G,5,FALSE))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0"/>
        <v>0</v>
      </c>
      <c r="J124" s="271">
        <f t="shared" si="10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IF(ISNA(VLOOKUP("chart635300000",Balance!C:G,5,FALSE))=TRUE,0,VLOOKUP("chart635300000",Balance!C:G,5,FALSE))</f>
        <v>0</v>
      </c>
      <c r="D125" s="117">
        <f>+[2]Chartres!$H125</f>
        <v>0</v>
      </c>
      <c r="E125" s="160">
        <f>IF(ISNA(VLOOKUP("chart635300000",Balanceanp!C:G,5,FALSE))=TRUE,0,VLOOKUP("chart635300000",Balanceanp!C:G,5,FALSE))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IF(ISNA(VLOOKUP("chart635400000",Balance!C:G,5,FALSE))=TRUE,0,VLOOKUP("chart635400000",Balance!C:G,5,FALSE))</f>
        <v>0</v>
      </c>
      <c r="D126" s="117">
        <f>+[2]Chartres!$H126</f>
        <v>0</v>
      </c>
      <c r="E126" s="160">
        <f>IF(ISNA(VLOOKUP("chart635400000",Balanceanp!C:G,5,FALSE))=TRUE,0,VLOOKUP("chart635400000",Balanceanp!C:G,5,FALSE))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IF(ISNA(VLOOKUP("chart637100000",Balance!C:G,5,FALSE))=TRUE,0,VLOOKUP("chart637100000",Balance!C:G,5,FALSE))</f>
        <v>1213.3399999999999</v>
      </c>
      <c r="D127" s="117">
        <f>+[2]Chartres!$H127</f>
        <v>1401.92</v>
      </c>
      <c r="E127" s="160">
        <f>IF(ISNA(VLOOKUP("chart637100000",Balanceanp!C:G,5,FALSE))=TRUE,0,VLOOKUP("chart637100000",Balanceanp!C:G,5,FALSE))</f>
        <v>1251.51</v>
      </c>
      <c r="F127" s="368">
        <f>+C127+C127/9*(12-Clients!$I$14)</f>
        <v>1617.7866666666664</v>
      </c>
      <c r="G127" s="396">
        <f>+G51*0.16%</f>
        <v>1856.88</v>
      </c>
      <c r="H127" s="409"/>
      <c r="I127" s="149">
        <f t="shared" si="10"/>
        <v>0.2926677906422373</v>
      </c>
      <c r="J127" s="271">
        <f t="shared" si="10"/>
        <v>0.14779039675606204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1856.88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8.1170679050450723E-3</v>
      </c>
      <c r="C129" s="163">
        <f>SUM(C117:C128)</f>
        <v>5596.33</v>
      </c>
      <c r="D129" s="118">
        <f>SUM(D117:D128)</f>
        <v>7507.6364462500005</v>
      </c>
      <c r="E129" s="163">
        <f>SUM(E117:E128)</f>
        <v>6007.2300000000005</v>
      </c>
      <c r="F129" s="136">
        <f>SUM(F117:F128)</f>
        <v>5492.373333333333</v>
      </c>
      <c r="G129" s="136">
        <f>SUM(G117:G128)</f>
        <v>6971.8920000000007</v>
      </c>
      <c r="H129" s="421">
        <f>+G129/$G$21</f>
        <v>5.956082183588912E-3</v>
      </c>
      <c r="I129" s="272">
        <f>+IF((E129)=0,,(F129-E129)/E129)</f>
        <v>-8.5706168511388348E-2</v>
      </c>
      <c r="J129" s="188">
        <f>+IF((F129)=0,,(G129-F129)/F129)</f>
        <v>0.26937692994892332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6971.8919999999998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IF(ISNA(VLOOKUP("chart641100000",Balance!C:G,5,FALSE))=TRUE,0,VLOOKUP("chart641100000",Balance!C:G,5,FALSE))</f>
        <v>67493.47</v>
      </c>
      <c r="D131" s="117">
        <f>+[2]Chartres!$H131</f>
        <v>93000</v>
      </c>
      <c r="E131" s="160">
        <f>IF(ISNA(VLOOKUP("chart641100000",Balanceanp!C:G,5,FALSE))=TRUE,0,VLOOKUP("chart641100000",Balanceanp!C:G,5,FALSE))</f>
        <v>70604.12</v>
      </c>
      <c r="F131" s="368">
        <f>+C131+C131/9*(12-Clients!$I$14)</f>
        <v>89991.293333333335</v>
      </c>
      <c r="G131" s="570">
        <v>130000</v>
      </c>
      <c r="H131" s="401"/>
      <c r="I131" s="149">
        <f t="shared" ref="I131:J146" si="11">+IF((E131)=0,,(F131-E131)/E131)</f>
        <v>0.27458983035739759</v>
      </c>
      <c r="J131" s="271">
        <f t="shared" si="11"/>
        <v>0.44458419458949139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130000</v>
      </c>
    </row>
    <row r="132" spans="1:13" ht="12.75">
      <c r="A132" s="5" t="s">
        <v>149</v>
      </c>
      <c r="B132" s="92"/>
      <c r="C132" s="160">
        <f>IF(ISNA(VLOOKUP("chart641110000",Balance!C:G,5,FALSE))=TRUE,0,VLOOKUP("chart641110000",Balance!C:G,5,FALSE))</f>
        <v>-1057.1600000000001</v>
      </c>
      <c r="D132" s="117">
        <f>+[2]Chartres!$H132</f>
        <v>0</v>
      </c>
      <c r="E132" s="160">
        <f>IF(ISNA(VLOOKUP("chart641110000",Balanceanp!C:G,5,FALSE))=TRUE,0,VLOOKUP("chart641110000",Balanceanp!C:G,5,FALSE))</f>
        <v>192.8</v>
      </c>
      <c r="F132" s="368">
        <f>+C132+C132/9*(12-Clients!$I$14)</f>
        <v>-1409.5466666666669</v>
      </c>
      <c r="G132" s="570">
        <v>0</v>
      </c>
      <c r="H132" s="401"/>
      <c r="I132" s="149">
        <f t="shared" si="11"/>
        <v>-8.3109266943291846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IF(ISNA(VLOOKUP("chart641111000",Balance!C:G,5,FALSE))=TRUE,0,VLOOKUP("chart641111000",Balance!C:G,5,FALSE))</f>
        <v>272</v>
      </c>
      <c r="D133" s="117">
        <f>+[2]Chartres!$H133</f>
        <v>0</v>
      </c>
      <c r="E133" s="160">
        <f>IF(ISNA(VLOOKUP("chart641111000",Balanceanp!C:G,5,FALSE))=TRUE,0,VLOOKUP("chart641111000",Balanceanp!C:G,5,FALSE))</f>
        <v>200</v>
      </c>
      <c r="F133" s="368">
        <f>+C133+C133/9*(12-Clients!$I$14)</f>
        <v>362.66666666666663</v>
      </c>
      <c r="G133" s="570">
        <v>0</v>
      </c>
      <c r="H133" s="401"/>
      <c r="I133" s="149">
        <f t="shared" si="11"/>
        <v>0.81333333333333313</v>
      </c>
      <c r="J133" s="271">
        <f t="shared" si="11"/>
        <v>-1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IF(ISNA(VLOOKUP("chart641200000",Balance!C:G,5,FALSE))=TRUE,0,VLOOKUP("chart641200000",Balance!C:G,5,FALSE))</f>
        <v>0</v>
      </c>
      <c r="D134" s="117">
        <f>+[2]Chartres!$H134</f>
        <v>0</v>
      </c>
      <c r="E134" s="160">
        <f>IF(ISNA(VLOOKUP("chart641200000",Balanceanp!C:G,5,FALSE))=TRUE,0,VLOOKUP("chart641200000",Balanceanp!C:G,5,FALSE))</f>
        <v>-2767.5699999999997</v>
      </c>
      <c r="F134" s="368">
        <f>+C134+C134/9*(12-Clients!$I$14)</f>
        <v>0</v>
      </c>
      <c r="G134" s="570">
        <f t="shared" ref="G134:G140" si="12">+F134*1.03</f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IF(ISNA(VLOOKUP("chart621100000",Balance!C:G,5,FALSE))=TRUE,0,VLOOKUP("chart621100000",Balance!C:G,5,FALSE))</f>
        <v>0</v>
      </c>
      <c r="D135" s="117">
        <f>+[2]Chartres!$H135</f>
        <v>0</v>
      </c>
      <c r="E135" s="160">
        <f>IF(ISNA(VLOOKUP("chart621100000",Balanceanp!C:G,5,FALSE))=TRUE,0,VLOOKUP("chart621100000",Balanceanp!C:G,5,FALSE))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IF(ISNA(VLOOKUP("chart621200000",Balance!C:G,5,FALSE))=TRUE,0,VLOOKUP("chart621200000",Balance!C:G,5,FALSE))</f>
        <v>0</v>
      </c>
      <c r="D136" s="117">
        <f>+[2]Chartres!$H136</f>
        <v>0</v>
      </c>
      <c r="E136" s="160">
        <f>IF(ISNA(VLOOKUP("chart621200000",Balanceanp!C:G,5,FALSE))=TRUE,0,VLOOKUP("chart621200000",Balanceanp!C:G,5,FALSE))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IF(ISNA(VLOOKUP("chart706100000",Balance!C:G,5,FALSE))=TRUE,0,-VLOOKUP("chart706100000",Balance!C:G,5,FALSE))</f>
        <v>0</v>
      </c>
      <c r="D137" s="117">
        <f>+[2]Chartres!$H137</f>
        <v>0</v>
      </c>
      <c r="E137" s="160">
        <f>IF(ISNA(VLOOKUP("chart706100000",Balanceanp!C:G,5,FALSE))=TRUE,0,-VLOOKUP("chart706100000",Balanceanp!C:G,5,FALSE))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IF(ISNA(VLOOKUP("chart641210000",Balance!C:G,5,FALSE))=TRUE,0,VLOOKUP("chart641210000",Balance!C:G,5,FALSE))</f>
        <v>0</v>
      </c>
      <c r="D138" s="117">
        <f>+[2]Chartres!$H138</f>
        <v>0</v>
      </c>
      <c r="E138" s="160">
        <f>IF(ISNA(VLOOKUP("chart641210000",Balanceanp!C:G,5,FALSE))=TRUE,0,VLOOKUP("chart641210000",Balanceanp!C:G,5,FALSE))</f>
        <v>-977.05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IF(ISNA(VLOOKUP("chart641400000",Balance!C:G,5,FALSE))=TRUE,0,VLOOKUP("chart641400000",Balance!C:G,5,FALSE))</f>
        <v>0</v>
      </c>
      <c r="D139" s="117">
        <f>+[2]Chartres!$H139</f>
        <v>0</v>
      </c>
      <c r="E139" s="160">
        <f>IF(ISNA(VLOOKUP("chart641400000",Balanceanp!C:G,5,FALSE))=TRUE,0,VLOOKUP("chart641400000",Balanceanp!C:G,5,FALSE))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IF(ISNA(VLOOKUP("chart641600000",Balance!C:G,5,FALSE))=TRUE,0,VLOOKUP("chart641600000",Balance!C:G,5,FALSE))</f>
        <v>0</v>
      </c>
      <c r="D140" s="117">
        <f>+[2]Chartres!$H140</f>
        <v>0</v>
      </c>
      <c r="E140" s="160">
        <f>IF(ISNA(VLOOKUP("chart641600000",Balanceanp!C:G,5,FALSE))=TRUE,0,VLOOKUP("chart641600000",Balanceanp!C:G,5,FALSE))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IF(ISNA(VLOOKUP("chart645100000",Balance!C:G,5,FALSE))=TRUE,0,VLOOKUP("chart645100000",Balance!C:G,5,FALSE))</f>
        <v>16394.87</v>
      </c>
      <c r="D141" s="117">
        <f>+[2]Chartres!$H141</f>
        <v>24706.909735103942</v>
      </c>
      <c r="E141" s="160">
        <f>IF(ISNA(VLOOKUP("chart645100000",Balanceanp!C:G,5,FALSE))=TRUE,0,VLOOKUP("chart645100000",Balanceanp!C:G,5,FALSE))</f>
        <v>18357.560000000001</v>
      </c>
      <c r="F141" s="368">
        <f>+C141+C141/9*(12-Clients!$I$14)</f>
        <v>21859.826666666664</v>
      </c>
      <c r="G141" s="396">
        <f t="shared" ref="G141:G146" si="13">+($G$131/$C$131*C141)*1.01</f>
        <v>31894.143700123877</v>
      </c>
      <c r="H141" s="409"/>
      <c r="I141" s="149">
        <f t="shared" si="11"/>
        <v>0.19078061935609431</v>
      </c>
      <c r="J141" s="271">
        <f t="shared" si="11"/>
        <v>0.45903003653538643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31894.143700123877</v>
      </c>
    </row>
    <row r="142" spans="1:13" ht="12.75">
      <c r="A142" s="5" t="s">
        <v>156</v>
      </c>
      <c r="B142" s="92"/>
      <c r="C142" s="160">
        <f>IF(ISNA(VLOOKUP("chart645200000",Balance!C:G,5,FALSE))=TRUE,0,VLOOKUP("chart645200000",Balance!C:G,5,FALSE))</f>
        <v>1712.09</v>
      </c>
      <c r="D142" s="117">
        <f>+[2]Chartres!$H142</f>
        <v>2411.6993895571159</v>
      </c>
      <c r="E142" s="160">
        <f>IF(ISNA(VLOOKUP("chart645200000",Balanceanp!C:G,5,FALSE))=TRUE,0,VLOOKUP("chart645200000",Balanceanp!C:G,5,FALSE))</f>
        <v>1832.87</v>
      </c>
      <c r="F142" s="368">
        <f>+C142+C142/9*(12-Clients!$I$14)</f>
        <v>2282.7866666666669</v>
      </c>
      <c r="G142" s="396">
        <f t="shared" si="13"/>
        <v>3330.6543136691589</v>
      </c>
      <c r="H142" s="409"/>
      <c r="I142" s="149">
        <f t="shared" si="11"/>
        <v>0.24547112815784372</v>
      </c>
      <c r="J142" s="271">
        <f t="shared" si="11"/>
        <v>0.45903003653538599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3330.6543136691589</v>
      </c>
    </row>
    <row r="143" spans="1:13" ht="12.75">
      <c r="A143" s="5" t="s">
        <v>157</v>
      </c>
      <c r="B143" s="92"/>
      <c r="C143" s="160">
        <f>IF(ISNA(VLOOKUP("chart645300000",Balance!C:G,5,FALSE))=TRUE,0,VLOOKUP("chart645300000",Balance!C:G,5,FALSE))</f>
        <v>4050.24</v>
      </c>
      <c r="D143" s="117">
        <f>+[2]Chartres!$H143</f>
        <v>5364.0998178405061</v>
      </c>
      <c r="E143" s="160">
        <f>IF(ISNA(VLOOKUP("chart645300000",Balanceanp!C:G,5,FALSE))=TRUE,0,VLOOKUP("chart645300000",Balanceanp!C:G,5,FALSE))</f>
        <v>4107.3500000000004</v>
      </c>
      <c r="F143" s="368">
        <f>+C143+C143/9*(12-Clients!$I$14)</f>
        <v>5400.32</v>
      </c>
      <c r="G143" s="396">
        <f t="shared" si="13"/>
        <v>7879.2290869027775</v>
      </c>
      <c r="H143" s="409"/>
      <c r="I143" s="149">
        <f t="shared" si="11"/>
        <v>0.31479421037895461</v>
      </c>
      <c r="J143" s="271">
        <f t="shared" si="11"/>
        <v>0.45903003653538638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7879.2290869027775</v>
      </c>
    </row>
    <row r="144" spans="1:13" ht="12.75">
      <c r="A144" s="5" t="s">
        <v>326</v>
      </c>
      <c r="B144" s="92"/>
      <c r="C144" s="160">
        <f>IF(ISNA(VLOOKUP("chart645310000",Balance!C:G,5,FALSE))=TRUE,0,VLOOKUP("chart645310000",Balance!C:G,5,FALSE))</f>
        <v>0</v>
      </c>
      <c r="D144" s="117">
        <f>+[2]Chartres!$H144</f>
        <v>0</v>
      </c>
      <c r="E144" s="160">
        <f>IF(ISNA(VLOOKUP("chart645310000",Balanceanp!C:G,5,FALSE))=TRUE,0,VLOOKUP("chart645310000",Balanceanp!C:G,5,FALSE))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0</v>
      </c>
    </row>
    <row r="145" spans="1:13" ht="12.75">
      <c r="A145" s="5" t="s">
        <v>158</v>
      </c>
      <c r="B145" s="92"/>
      <c r="C145" s="160">
        <f>IF(ISNA(VLOOKUP("chart645400000",Balance!C:G,5,FALSE))=TRUE,0,VLOOKUP("chart645400000",Balance!C:G,5,FALSE))</f>
        <v>2823.99</v>
      </c>
      <c r="D145" s="117">
        <f>+[2]Chartres!$H145</f>
        <v>3364.3697587429606</v>
      </c>
      <c r="E145" s="160">
        <f>IF(ISNA(VLOOKUP("chart645400000",Balanceanp!C:G,5,FALSE))=TRUE,0,VLOOKUP("chart645400000",Balanceanp!C:G,5,FALSE))</f>
        <v>2604.23</v>
      </c>
      <c r="F145" s="368">
        <f>+C145+C145/9*(12-Clients!$I$14)</f>
        <v>3765.3199999999997</v>
      </c>
      <c r="G145" s="396">
        <f t="shared" si="13"/>
        <v>5493.7149771674203</v>
      </c>
      <c r="H145" s="409"/>
      <c r="I145" s="149">
        <f t="shared" si="11"/>
        <v>0.44584771698352282</v>
      </c>
      <c r="J145" s="271">
        <f t="shared" si="11"/>
        <v>0.45903003653538632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5493.7149771674203</v>
      </c>
    </row>
    <row r="146" spans="1:13" ht="12.75">
      <c r="A146" s="5" t="s">
        <v>159</v>
      </c>
      <c r="B146" s="92"/>
      <c r="C146" s="160">
        <f>IF(ISNA(VLOOKUP("chart645800000",Balance!C:G,5,FALSE))=TRUE,0,VLOOKUP("chart645800000",Balance!C:G,5,FALSE))</f>
        <v>0</v>
      </c>
      <c r="D146" s="117">
        <f>+[2]Chartres!$H146</f>
        <v>0</v>
      </c>
      <c r="E146" s="160">
        <f>IF(ISNA(VLOOKUP("chart645800000",Balanceanp!C:G,5,FALSE))=TRUE,0,VLOOKUP("chart645800000",Balanceanp!C:G,5,FALSE))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IF(ISNA(VLOOKUP("chart645900000",Balance!C:G,5,FALSE))=TRUE,0,VLOOKUP("chart645900000",Balance!C:G,5,FALSE))</f>
        <v>2145.36</v>
      </c>
      <c r="D147" s="117">
        <f>+[2]Chartres!$H147</f>
        <v>952.84729566687497</v>
      </c>
      <c r="E147" s="160">
        <f>IF(ISNA(VLOOKUP("chart645900000",Balanceanp!C:G,5,FALSE))=TRUE,0,VLOOKUP("chart645900000",Balanceanp!C:G,5,FALSE))</f>
        <v>78.42</v>
      </c>
      <c r="F147" s="368">
        <f>+C147+C147/9*(12-Clients!$I$14)</f>
        <v>2860.48</v>
      </c>
      <c r="G147" s="396">
        <f>+F147*1.03</f>
        <v>2946.2944000000002</v>
      </c>
      <c r="H147" s="409"/>
      <c r="I147" s="149">
        <f t="shared" ref="I147:J152" si="14">+IF((E147)=0,,(F147-E147)/E147)</f>
        <v>35.476409079316497</v>
      </c>
      <c r="J147" s="271">
        <f t="shared" si="14"/>
        <v>3.0000000000000072E-2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2946.2944000000002</v>
      </c>
    </row>
    <row r="148" spans="1:13" ht="12.75">
      <c r="A148" s="5" t="s">
        <v>161</v>
      </c>
      <c r="B148" s="92"/>
      <c r="C148" s="160">
        <f>IF(ISNA(VLOOKUP("chart647100000",Balance!C:G,5,FALSE))=TRUE,0,VLOOKUP("chart647100000",Balance!C:G,5,FALSE))</f>
        <v>7.48</v>
      </c>
      <c r="D148" s="117">
        <f>+[2]Chartres!$H148</f>
        <v>69.150729028750007</v>
      </c>
      <c r="E148" s="160">
        <f>IF(ISNA(VLOOKUP("chart647100000",Balanceanp!C:G,5,FALSE))=TRUE,0,VLOOKUP("chart647100000",Balanceanp!C:G,5,FALSE))</f>
        <v>88.59</v>
      </c>
      <c r="F148" s="368">
        <f>+C148+C148/9*(12-Clients!$I$14)</f>
        <v>9.9733333333333327</v>
      </c>
      <c r="G148" s="396">
        <f>+F148*1.03</f>
        <v>10.272533333333334</v>
      </c>
      <c r="H148" s="409"/>
      <c r="I148" s="149">
        <f t="shared" si="14"/>
        <v>-0.88742145464123123</v>
      </c>
      <c r="J148" s="271">
        <f t="shared" si="14"/>
        <v>3.0000000000000082E-2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10.272533333333334</v>
      </c>
    </row>
    <row r="149" spans="1:13" ht="12.75">
      <c r="A149" s="5" t="s">
        <v>162</v>
      </c>
      <c r="B149" s="92"/>
      <c r="C149" s="160">
        <f>IF(ISNA(VLOOKUP("chart647400000",Balance!C:G,5,FALSE))=TRUE,0,VLOOKUP("chart647400000",Balance!C:G,5,FALSE))</f>
        <v>0</v>
      </c>
      <c r="D149" s="117">
        <f>+[2]Chartres!$H149</f>
        <v>34.8792358225</v>
      </c>
      <c r="E149" s="160">
        <f>IF(ISNA(VLOOKUP("chart647400000",Balanceanp!C:G,5,FALSE))=TRUE,0,VLOOKUP("chart647400000",Balanceanp!C:G,5,FALSE))</f>
        <v>59.21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0</v>
      </c>
    </row>
    <row r="150" spans="1:13" ht="12.75">
      <c r="A150" s="5" t="s">
        <v>163</v>
      </c>
      <c r="B150" s="92"/>
      <c r="C150" s="160">
        <f>IF(ISNA(VLOOKUP("chart647500000",Balance!C:G,5,FALSE))=TRUE,0,VLOOKUP("chart647500000",Balance!C:G,5,FALSE))</f>
        <v>167.86</v>
      </c>
      <c r="D150" s="117">
        <f>+[2]Chartres!$H150</f>
        <v>263.48043872312496</v>
      </c>
      <c r="E150" s="160">
        <f>IF(ISNA(VLOOKUP("chart647500000",Balanceanp!C:G,5,FALSE))=TRUE,0,VLOOKUP("chart647500000",Balanceanp!C:G,5,FALSE))</f>
        <v>172.07</v>
      </c>
      <c r="F150" s="368">
        <f>+C150+C150/9*(12-Clients!$I$14)</f>
        <v>223.81333333333336</v>
      </c>
      <c r="G150" s="396">
        <f>+F150*1.03</f>
        <v>230.52773333333337</v>
      </c>
      <c r="H150" s="409"/>
      <c r="I150" s="149">
        <f t="shared" si="14"/>
        <v>0.30071095096956685</v>
      </c>
      <c r="J150" s="271">
        <f t="shared" si="14"/>
        <v>3.0000000000000051E-2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230.52773333333337</v>
      </c>
    </row>
    <row r="151" spans="1:13" ht="12.75">
      <c r="A151" s="5" t="s">
        <v>570</v>
      </c>
      <c r="B151" s="92"/>
      <c r="C151" s="160"/>
      <c r="D151" s="117">
        <f>+[2]Chartres!$H151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IF(ISNA(VLOOKUP("chart648000000",Balance!C:G,5,FALSE))=TRUE,0,VLOOKUP("chart648000000",Balance!C:G,5,FALSE))</f>
        <v>0</v>
      </c>
      <c r="D152" s="117">
        <f>+[2]Chartres!$H152</f>
        <v>23.605025000000001</v>
      </c>
      <c r="E152" s="160">
        <f>IF(ISNA(VLOOKUP("chart648000000",Balanceanp!C:G,5,FALSE))=TRUE,0,VLOOKUP("chart648000000",Balanceanp!C:G,5,FALSE))</f>
        <v>3401.192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0.13635492852760081</v>
      </c>
      <c r="C154" s="163">
        <f>SUM(C130:C153)</f>
        <v>94010.2</v>
      </c>
      <c r="D154" s="118">
        <f>SUM(D130:D153)</f>
        <v>130191.04142548579</v>
      </c>
      <c r="E154" s="163">
        <f>SUM(E130:E153)</f>
        <v>97953.792000000001</v>
      </c>
      <c r="F154" s="136">
        <f>SUM(F130:F153)</f>
        <v>125346.93333333335</v>
      </c>
      <c r="G154" s="136">
        <f>SUM(G130:G153)</f>
        <v>181784.83674452992</v>
      </c>
      <c r="H154" s="421">
        <f>+G154/$G$21</f>
        <v>0.15529865169751819</v>
      </c>
      <c r="I154" s="272">
        <f>+IF((E154)=0,,(F154-E154)/E154)</f>
        <v>0.27965370991797178</v>
      </c>
      <c r="J154" s="188">
        <f>+IF((F154)=0,,(G154-F154)/F154)</f>
        <v>0.45025356353244034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0.80300000000000005</v>
      </c>
      <c r="C156" s="160">
        <f>IF(ISNA(VLOOKUP("chart681740000",Balance!C:G,5,FALSE))=TRUE,0,VLOOKUP("chart681740000",Balance!C:G,5,FALSE))</f>
        <v>-93.21</v>
      </c>
      <c r="D156" s="117">
        <f>+[2]Chartres!$H156</f>
        <v>9928.9759379999996</v>
      </c>
      <c r="E156" s="160">
        <f>IF(ISNA(VLOOKUP("chart681740000",Balanceanp!C:G,5,FALSE))=TRUE,0,VLOOKUP("chart681740000",Balanceanp!C:G,5,FALSE))</f>
        <v>4183.95</v>
      </c>
      <c r="F156" s="368">
        <f>+C156+C156/9*(12-Clients!$I$14)</f>
        <v>-124.27999999999999</v>
      </c>
      <c r="G156" s="570">
        <f>+G21*B156*1.62%</f>
        <v>15227.216730000002</v>
      </c>
      <c r="H156" s="413"/>
      <c r="I156" s="149">
        <f t="shared" ref="I156:J166" si="15">+IF((E156)=0,,(F156-E156)/E156)</f>
        <v>-1.0297039878583634</v>
      </c>
      <c r="J156" s="271">
        <f t="shared" si="15"/>
        <v>-123.52346902156424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IF(ISNA(VLOOKUP("chart781740000",Balance!C:G,5,FALSE))=TRUE,0,VLOOKUP("chart781740000",Balance!C:G,5,FALSE))</f>
        <v>-1133.07</v>
      </c>
      <c r="D157" s="117">
        <f>+[2]Chartres!$H157</f>
        <v>0</v>
      </c>
      <c r="E157" s="160">
        <f>IF(ISNA(VLOOKUP("chart781740000",Balanceanp!C:G,5,FALSE))=TRUE,0,VLOOKUP("chart781740000",Balanceanp!C:G,5,FALSE))</f>
        <v>-2098.0300000000002</v>
      </c>
      <c r="F157" s="368">
        <f>+C157+C157/9*(12-Clients!$I$14)</f>
        <v>-1510.76</v>
      </c>
      <c r="G157" s="396">
        <v>0</v>
      </c>
      <c r="H157" s="409"/>
      <c r="I157" s="149">
        <f t="shared" si="15"/>
        <v>-0.27991496785079345</v>
      </c>
      <c r="J157" s="271">
        <f t="shared" si="15"/>
        <v>-1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IF(ISNA(VLOOKUP("chart654400000",Balance!C:G,5,FALSE))=TRUE,0,VLOOKUP("chart654400000",Balance!C:G,5,FALSE))</f>
        <v>1133.07</v>
      </c>
      <c r="D158" s="117">
        <f>+[2]Chartres!$H158</f>
        <v>0</v>
      </c>
      <c r="E158" s="160">
        <f>IF(ISNA(VLOOKUP("chart654400000",Balanceanp!C:G,5,FALSE))=TRUE,0,VLOOKUP("chart654400000",Balanceanp!C:G,5,FALSE))</f>
        <v>202.54</v>
      </c>
      <c r="F158" s="368">
        <f>+C158+C158/9*(12-Clients!$I$14)</f>
        <v>1510.76</v>
      </c>
      <c r="G158" s="396">
        <v>0</v>
      </c>
      <c r="H158" s="409"/>
      <c r="I158" s="149">
        <f t="shared" si="15"/>
        <v>6.4590698133701991</v>
      </c>
      <c r="J158" s="271">
        <f t="shared" si="15"/>
        <v>-1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IF(ISNA(VLOOKUP("chart791100000",Balance!C:G,5,FALSE))=TRUE,0,VLOOKUP("chart791100000",Balance!C:G,5,FALSE))</f>
        <v>2135.62</v>
      </c>
      <c r="D159" s="117">
        <f>+[2]Chartres!$H159</f>
        <v>0</v>
      </c>
      <c r="E159" s="160">
        <f>IF(ISNA(VLOOKUP("chart791100000",Balanceanp!C:G,5,FALSE))=TRUE,0,VLOOKUP("chart791100000",Balanceanp!C:G,5,FALSE))</f>
        <v>-3814.81</v>
      </c>
      <c r="F159" s="368">
        <f>+C159+C159/9*(12-Clients!$I$14)</f>
        <v>2847.4933333333329</v>
      </c>
      <c r="G159" s="396">
        <v>0</v>
      </c>
      <c r="H159" s="409"/>
      <c r="I159" s="149">
        <f t="shared" si="15"/>
        <v>-1.7464312333598091</v>
      </c>
      <c r="J159" s="271">
        <f t="shared" si="15"/>
        <v>-1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IF(ISNA(VLOOKUP("chart654100000",Balance!C:G,5,FALSE))=TRUE,0,VLOOKUP("chart654100000",Balance!C:G,5,FALSE))</f>
        <v>-0.21</v>
      </c>
      <c r="D160" s="117">
        <f>+[2]Chartres!$H160</f>
        <v>0</v>
      </c>
      <c r="E160" s="160">
        <f>IF(ISNA(VLOOKUP("chart654100000",Balanceanp!C:G,5,FALSE))=TRUE,0,VLOOKUP("chart654100000",Balanceanp!C:G,5,FALSE))</f>
        <v>3.1700000000000017</v>
      </c>
      <c r="F160" s="368">
        <f>+C160+C160/9*(12-Clients!$I$14)</f>
        <v>-0.27999999999999997</v>
      </c>
      <c r="G160" s="396">
        <v>0</v>
      </c>
      <c r="H160" s="409"/>
      <c r="I160" s="149">
        <f t="shared" si="15"/>
        <v>-1.0883280757097791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IF(ISNA(VLOOKUP("chart622700000",Balance!C:G,5,FALSE))=TRUE,0,VLOOKUP("chart622700000",Balance!C:G,5,FALSE))</f>
        <v>639.49</v>
      </c>
      <c r="D161" s="117">
        <f>+[2]Chartres!$H161</f>
        <v>729.42990201197915</v>
      </c>
      <c r="E161" s="160">
        <f>IF(ISNA(VLOOKUP("chart622700000",Balanceanp!C:G,5,FALSE))=TRUE,0,VLOOKUP("chart622700000",Balanceanp!C:G,5,FALSE))</f>
        <v>699.19</v>
      </c>
      <c r="F161" s="368">
        <f>+C161+C161/9*(12-Clients!$I$14)</f>
        <v>852.65333333333331</v>
      </c>
      <c r="G161" s="396">
        <f t="shared" ref="G161:G166" si="16">+F161*1.03</f>
        <v>878.23293333333334</v>
      </c>
      <c r="H161" s="409"/>
      <c r="I161" s="149">
        <f t="shared" si="15"/>
        <v>0.21948731150807826</v>
      </c>
      <c r="J161" s="271">
        <f t="shared" si="15"/>
        <v>3.0000000000000034E-2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878.23293333333334</v>
      </c>
    </row>
    <row r="162" spans="1:13" ht="12.75">
      <c r="A162" s="5" t="s">
        <v>355</v>
      </c>
      <c r="B162" s="92"/>
      <c r="C162" s="160">
        <f>IF(ISNA(VLOOKUP("CHART654200000",Balance!C:G,5,FALSE))=TRUE,0,VLOOKUP("CHART654200000",Balance!C:G,5,FALSE))</f>
        <v>6.59</v>
      </c>
      <c r="D162" s="117">
        <f>+[2]Chartres!$H162</f>
        <v>3.8599217732746527</v>
      </c>
      <c r="E162" s="160">
        <f>IF(ISNA(VLOOKUP("CHART654200000",Balanceanp!C:G,5,FALSE))=TRUE,0,VLOOKUP("CHART654200000",Balanceanp!C:G,5,FALSE))</f>
        <v>0</v>
      </c>
      <c r="F162" s="368">
        <f>+C162+C162/9*(12-Clients!$I$14)</f>
        <v>8.7866666666666671</v>
      </c>
      <c r="G162" s="396">
        <f t="shared" si="16"/>
        <v>9.0502666666666673</v>
      </c>
      <c r="H162" s="409"/>
      <c r="I162" s="149">
        <f t="shared" si="15"/>
        <v>0</v>
      </c>
      <c r="J162" s="271">
        <f t="shared" si="15"/>
        <v>3.000000000000003E-2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9.0502666666666673</v>
      </c>
    </row>
    <row r="163" spans="1:13" ht="12.75">
      <c r="A163" s="5" t="s">
        <v>200</v>
      </c>
      <c r="B163" s="92"/>
      <c r="C163" s="160">
        <f>IF(ISNA(VLOOKUP("chart665000000",Balance!C:G,5,FALSE))=TRUE,0,VLOOKUP("chart665000000",Balance!C:G,5,FALSE))+IF(ISNA(VLOOKUP("chart665100000",Balance!C:G,5,FALSE))=TRUE,0,VLOOKUP("chart665100000",Balance!C:G,5,FALSE))</f>
        <v>251.22</v>
      </c>
      <c r="D163" s="117">
        <f>+[2]Chartres!$H163</f>
        <v>370.31625648729164</v>
      </c>
      <c r="E163" s="160">
        <f>IF(ISNA(VLOOKUP("chart665000000",Balanceanp!C:G,5,FALSE))=TRUE,0,VLOOKUP("chart665000000",Balanceanp!C:G,5,FALSE))+IF(ISNA(VLOOKUP("chart665100000",Balanceanp!C:G,5,FALSE))=TRUE,0,VLOOKUP("chart665100000",Balanceanp!C:G,5,FALSE))</f>
        <v>331.87</v>
      </c>
      <c r="F163" s="368">
        <f>+C163+C163/9*(12-Clients!$I$14)</f>
        <v>334.96000000000004</v>
      </c>
      <c r="G163" s="396">
        <f t="shared" si="16"/>
        <v>345.00880000000006</v>
      </c>
      <c r="H163" s="409"/>
      <c r="I163" s="149">
        <f t="shared" si="15"/>
        <v>9.3108747401091738E-3</v>
      </c>
      <c r="J163" s="271">
        <f t="shared" si="15"/>
        <v>3.0000000000000082E-2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345.00880000000006</v>
      </c>
    </row>
    <row r="164" spans="1:13" ht="12.75">
      <c r="A164" s="5" t="s">
        <v>271</v>
      </c>
      <c r="B164" s="92"/>
      <c r="C164" s="160">
        <f>IF(ISNA(VLOOKUP("CHART763000000",Balance!C:G,5,FALSE))=TRUE,0,VLOOKUP("CHART763000000",Balance!C:G,5,FALSE))</f>
        <v>-9</v>
      </c>
      <c r="D164" s="117">
        <f>+[2]Chartres!$H164</f>
        <v>-57.360376596093751</v>
      </c>
      <c r="E164" s="160">
        <f>IF(ISNA(VLOOKUP("CHART763000000",Balanceanp!C:G,5,FALSE))=TRUE,0,VLOOKUP("CHART763000000",Balanceanp!C:G,5,FALSE))</f>
        <v>-45</v>
      </c>
      <c r="F164" s="368">
        <f>+C164+C164/9*(12-Clients!$I$14)</f>
        <v>-12</v>
      </c>
      <c r="G164" s="396">
        <f t="shared" si="16"/>
        <v>-12.36</v>
      </c>
      <c r="H164" s="409"/>
      <c r="I164" s="149">
        <f t="shared" si="15"/>
        <v>-0.73333333333333328</v>
      </c>
      <c r="J164" s="271">
        <f t="shared" si="15"/>
        <v>2.9999999999999954E-2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-12.36</v>
      </c>
    </row>
    <row r="165" spans="1:13" ht="12.75">
      <c r="A165" s="5" t="s">
        <v>242</v>
      </c>
      <c r="B165" s="92"/>
      <c r="C165" s="160">
        <f>IF(ISNA(VLOOKUP("CHART627520000",Balance!C:G,5,FALSE))=TRUE,0,VLOOKUP("CHART627520000",Balance!C:G,5,FALSE))</f>
        <v>196.5</v>
      </c>
      <c r="D165" s="117">
        <f>+[2]Chartres!$H165</f>
        <v>140.65845698760833</v>
      </c>
      <c r="E165" s="160">
        <f>IF(ISNA(VLOOKUP("CHART627520000",Balanceanp!C:G,5,FALSE))=TRUE,0,VLOOKUP("CHART627520000",Balanceanp!C:G,5,FALSE))</f>
        <v>155.19999999999999</v>
      </c>
      <c r="F165" s="368">
        <f>+C165+C165/9*(12-Clients!$I$14)</f>
        <v>262</v>
      </c>
      <c r="G165" s="396">
        <f t="shared" si="16"/>
        <v>269.86</v>
      </c>
      <c r="H165" s="409"/>
      <c r="I165" s="149">
        <f t="shared" si="15"/>
        <v>0.68814432989690733</v>
      </c>
      <c r="J165" s="271">
        <f t="shared" si="15"/>
        <v>3.0000000000000051E-2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269.86</v>
      </c>
    </row>
    <row r="166" spans="1:13" ht="12.75">
      <c r="A166" s="5" t="s">
        <v>201</v>
      </c>
      <c r="B166" s="92"/>
      <c r="C166" s="160">
        <f>IF(ISNA(VLOOKUP("chart763100000",Balance!C:G,5,FALSE))=TRUE,0,VLOOKUP("chart763100000",Balance!C:G,5,FALSE))</f>
        <v>0</v>
      </c>
      <c r="D166" s="117">
        <f>+[2]Chartres!$H166</f>
        <v>0</v>
      </c>
      <c r="E166" s="160">
        <f>IF(ISNA(VLOOKUP("chart763100000",Balanceanp!C:G,5,FALSE))=TRUE,0,VLOOKUP("chart763100000",Balanceanp!C:G,5,FALSE))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4.5354851016784102E-3</v>
      </c>
      <c r="C168" s="163">
        <f>SUM(C155:C167)</f>
        <v>3126.9999999999995</v>
      </c>
      <c r="D168" s="118">
        <f>SUM(D155:D167)</f>
        <v>11115.88009866406</v>
      </c>
      <c r="E168" s="163">
        <f>SUM(E155:E167)</f>
        <v>-381.92000000000024</v>
      </c>
      <c r="F168" s="136">
        <f>SUM(F155:F167)</f>
        <v>4169.333333333333</v>
      </c>
      <c r="G168" s="136">
        <f>SUM(G155:G167)</f>
        <v>16717.008730000001</v>
      </c>
      <c r="H168" s="421">
        <f>+G168/$G$21</f>
        <v>1.4281328204690105E-2</v>
      </c>
      <c r="I168" s="272">
        <f>+IF((E168)=0,,(F168-E168)/E168)</f>
        <v>-11.916771400642361</v>
      </c>
      <c r="J168" s="188">
        <f>+IF((F168)=0,,(G168-F168)/F168)</f>
        <v>3.0095160049568284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IF(ISNA(VLOOKUP("chart651100000",Balance!C:G,5,FALSE))=TRUE,0,VLOOKUP("chart651100000",Balance!C:G,5,FALSE))</f>
        <v>0</v>
      </c>
      <c r="D170" s="117">
        <f>+[2]Chartres!$H170</f>
        <v>0</v>
      </c>
      <c r="E170" s="160">
        <f>IF(ISNA(VLOOKUP("chart651100000",Balanceanp!C:G,5,FALSE))=TRUE,0,VLOOKUP("chart651100000",Balanceanp!C:G,5,FALSE))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IF(ISNA(VLOOKUP("chart651600000",Balance!C:G,5,FALSE))=TRUE,0,VLOOKUP("chart651600000",Balance!C:G,5,FALSE))</f>
        <v>0</v>
      </c>
      <c r="D171" s="117">
        <f>+[2]Chartres!$H171</f>
        <v>0</v>
      </c>
      <c r="E171" s="160">
        <f>IF(ISNA(VLOOKUP("chart651600000",Balanceanp!C:G,5,FALSE))=TRUE,0,VLOOKUP("chart651600000",Balanceanp!C:G,5,FALSE))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0</v>
      </c>
    </row>
    <row r="172" spans="1:13" ht="12.75">
      <c r="A172" s="5" t="s">
        <v>169</v>
      </c>
      <c r="B172" s="92"/>
      <c r="C172" s="160">
        <f>IF(ISNA(VLOOKUP("chart671200000",Balance!C:G,5,FALSE))=TRUE,0,VLOOKUP("chart671200000",Balance!C:G,5,FALSE))</f>
        <v>0</v>
      </c>
      <c r="D172" s="117">
        <f>+[2]Chartres!$H172</f>
        <v>0</v>
      </c>
      <c r="E172" s="160">
        <f>IF(ISNA(VLOOKUP("chart671200000",Balanceanp!C:G,5,FALSE))=TRUE,0,VLOOKUP("chart671200000",Balanceanp!C:G,5,FALSE))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IF(ISNA(VLOOKUP("chart671800000",Balance!C:G,5,FALSE))=TRUE,0,VLOOKUP("chart671800000",Balance!C:G,5,FALSE))</f>
        <v>0</v>
      </c>
      <c r="D173" s="117">
        <f>+[2]Chartres!$H173</f>
        <v>0</v>
      </c>
      <c r="E173" s="160">
        <f>IF(ISNA(VLOOKUP("chart671800000",Balanceanp!C:G,5,FALSE))=TRUE,0,VLOOKUP("chart671800000",Balanceanp!C:G,5,FALSE))+IF(ISNA(VLOOKUP("chart658000000",Balanceanp!C:G,5,FALSE))=TRUE,0,VLOOKUP("chart658000000",Balanceanp!C:G,5,FALSE))</f>
        <v>4421.26</v>
      </c>
      <c r="F173" s="368">
        <f>+C173+C173/9*(12-Clients!$I$14)</f>
        <v>0</v>
      </c>
      <c r="G173" s="396">
        <v>0</v>
      </c>
      <c r="H173" s="409"/>
      <c r="I173" s="149">
        <f t="shared" si="18"/>
        <v>-1</v>
      </c>
      <c r="J173" s="271">
        <f t="shared" si="18"/>
        <v>0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0</v>
      </c>
    </row>
    <row r="174" spans="1:13" ht="12.75">
      <c r="A174" s="5" t="s">
        <v>171</v>
      </c>
      <c r="B174" s="92"/>
      <c r="C174" s="160">
        <f>IF(ISNA(VLOOKUP("chart672000000",Balance!C:G,5,FALSE))=TRUE,0,VLOOKUP("chart672000000",Balance!C:G,5,FALSE))</f>
        <v>0</v>
      </c>
      <c r="D174" s="117">
        <f>+[2]Chartres!$H174</f>
        <v>0</v>
      </c>
      <c r="E174" s="160">
        <f>IF(ISNA(VLOOKUP("chart672000000",Balanceanp!C:G,5,FALSE))=TRUE,0,VLOOKUP("chart672000000",Balanceanp!C:G,5,FALSE))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IF(ISNA(VLOOKUP("chart691100000",Balance!C:G,5,FALSE))=TRUE,0,VLOOKUP("chart691100000",Balance!C:G,5,FALSE))</f>
        <v>0</v>
      </c>
      <c r="D175" s="117">
        <f>+[2]Chartres!$H175</f>
        <v>0</v>
      </c>
      <c r="E175" s="160">
        <f>IF(ISNA(VLOOKUP("chart691100000",Balanceanp!C:G,5,FALSE))=TRUE,0,VLOOKUP("chart691100000",Balanceanp!C:G,5,FALSE))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IF(ISNA(VLOOKUP("chart675100000",Balance!C:G,5,FALSE))=TRUE,0,VLOOKUP("chart675100000",Balance!C:G,5,FALSE))</f>
        <v>0</v>
      </c>
      <c r="D176" s="117">
        <f>+[2]Chartres!$H176</f>
        <v>0</v>
      </c>
      <c r="E176" s="160">
        <f>IF(ISNA(VLOOKUP("chart675100000",Balanceanp!C:G,5,FALSE))=TRUE,0,VLOOKUP("chart675100000",Balanceanp!C:G,5,FALSE))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IF(ISNA(VLOOKUP("chart675200000",Balance!C:G,5,FALSE))=TRUE,0,VLOOKUP("chart675200000",Balance!C:G,5,FALSE))</f>
        <v>0</v>
      </c>
      <c r="D177" s="117">
        <f>+[2]Chartres!$H177</f>
        <v>0</v>
      </c>
      <c r="E177" s="160">
        <f>IF(ISNA(VLOOKUP("chart675200000",Balanceanp!C:G,5,FALSE))=TRUE,0,VLOOKUP("chart675200000",Balanceanp!C:G,5,FALSE))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IF(ISNA(VLOOKUP("chart681110000",Balance!C:G,5,FALSE))=TRUE,0,VLOOKUP("chart681110000",Balance!C:G,5,FALSE))</f>
        <v>0</v>
      </c>
      <c r="D178" s="117">
        <f>+[2]Chartres!$H178</f>
        <v>0</v>
      </c>
      <c r="E178" s="160">
        <f>IF(ISNA(VLOOKUP("chart681110000",Balanceanp!C:G,5,FALSE))=TRUE,0,VLOOKUP("chart681110000",Balanceanp!C:G,5,FALSE))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IF(ISNA(VLOOKUP("chart681120000",Balance!C:G,5,FALSE))=TRUE,0,VLOOKUP("chart681120000",Balance!C:G,5,FALSE))</f>
        <v>2025</v>
      </c>
      <c r="D179" s="117">
        <f>+[2]Chartres!$H179</f>
        <v>2700</v>
      </c>
      <c r="E179" s="160">
        <f>IF(ISNA(VLOOKUP("chart681120000",Balanceanp!C:G,5,FALSE))=TRUE,0,VLOOKUP("chart681120000",Balanceanp!C:G,5,FALSE))</f>
        <v>2211.15</v>
      </c>
      <c r="F179" s="425">
        <v>3432.27</v>
      </c>
      <c r="G179" s="570">
        <f>2221.73+500+G255/10</f>
        <v>2721.73</v>
      </c>
      <c r="H179" s="413"/>
      <c r="I179" s="149">
        <f t="shared" si="18"/>
        <v>0.55225561359473574</v>
      </c>
      <c r="J179" s="271">
        <f t="shared" si="18"/>
        <v>-0.20701751319097855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2721.73</v>
      </c>
    </row>
    <row r="180" spans="1:13" ht="12.75">
      <c r="A180" s="5" t="s">
        <v>78</v>
      </c>
      <c r="B180" s="92"/>
      <c r="C180" s="160">
        <f>IF(ISNA(VLOOKUP("CHART687250000",Balance!C:G,5,FALSE))=TRUE,0,+VLOOKUP("CHART687250000",Balance!C:G,5,FALSE))</f>
        <v>0</v>
      </c>
      <c r="D180" s="117">
        <f>+[2]Chartres!$H180</f>
        <v>0</v>
      </c>
      <c r="E180" s="160">
        <f>IF(ISNA(VLOOKUP("CHART687250000",Balanceanp!C:G,5,FALSE))=TRUE,0,+VLOOKUP("CHART687250000",Balanceanp!C:G,5,FALSE))</f>
        <v>42.04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IF(ISNA(VLOOKUP("CHART661880000",Balance!C:G,5,FALSE))=TRUE,0,+VLOOKUP("CHART661880000",Balance!C:G,5,FALSE))</f>
        <v>0</v>
      </c>
      <c r="D181" s="117">
        <f>+[2]Chartres!$H181</f>
        <v>0</v>
      </c>
      <c r="E181" s="160">
        <f>IF(ISNA(VLOOKUP("CHART661880000",Balanceanp!C:G,5,FALSE))=TRUE,0,+VLOOKUP("CHART661880000",Balanceanp!C:G,5,FALSE))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>
        <f>IF(ISNA(VLOOKUP("CHART661610000",Balance!C:G,5,FALSE))=TRUE,0,+VLOOKUP("CHART661610000",Balance!C:G,5,FALSE))</f>
        <v>0</v>
      </c>
      <c r="D182" s="117">
        <f>+[2]Chartres!$H182</f>
        <v>4.4917909243749996</v>
      </c>
      <c r="E182" s="160">
        <f>IF(ISNA(VLOOKUP("CHART661610000",Balanceanp!C:G,5,FALSE))=TRUE,0,+VLOOKUP("CHART661610000",Balanceanp!C:G,5,FALSE))</f>
        <v>0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IF(ISNA(VLOOKUP("chart681500000",Balance!C:G,5,FALSE))=TRUE,0,VLOOKUP("chart681500000",Balance!C:G,5,FALSE))</f>
        <v>0</v>
      </c>
      <c r="D183" s="117">
        <f>+[2]Chartres!$H183</f>
        <v>0</v>
      </c>
      <c r="E183" s="160">
        <f>IF(ISNA(VLOOKUP("chart681500000",Balanceanp!C:G,5,FALSE))=TRUE,0,VLOOKUP("chart681500000",Balanceanp!C:G,5,FALSE))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2025</v>
      </c>
      <c r="D185" s="118">
        <f>SUM(D169:D184)</f>
        <v>2704.491790924375</v>
      </c>
      <c r="E185" s="280">
        <f>SUM(E169:E184)</f>
        <v>6674.45</v>
      </c>
      <c r="F185" s="136">
        <f>SUM(F169:F184)</f>
        <v>3432.27</v>
      </c>
      <c r="G185" s="136">
        <f>SUM(G169:G184)</f>
        <v>2721.73</v>
      </c>
      <c r="H185" s="421"/>
      <c r="I185" s="272">
        <f>+IF((E185)=0,,(F185-E185)/E185)</f>
        <v>-0.48575987534553405</v>
      </c>
      <c r="J185" s="188">
        <f>+IF((F185)=0,,(G185-F185)/F185)</f>
        <v>-0.20701751319097855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IF(ISNA(VLOOKUP("chart740000000",Balance!C:G,5,FALSE))=TRUE,0,-VLOOKUP("chart740000000",Balance!C:G,5,FALSE))</f>
        <v>0</v>
      </c>
      <c r="D187" s="117">
        <f>+[2]Chartres!$H187</f>
        <v>0</v>
      </c>
      <c r="E187" s="160">
        <f>IF(ISNA(VLOOKUP("chart740000000",Balanceanp!C:G,5,FALSE))=TRUE,0,-VLOOKUP("chart740000000",Balanceanp!C:G,5,FALSE))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IF(ISNA(VLOOKUP("chart751100000",Balance!C:G,5,FALSE))=TRUE,0,-VLOOKUP("chart751100000",Balance!C:G,5,FALSE))</f>
        <v>0</v>
      </c>
      <c r="D188" s="117">
        <f>+[2]Chartres!$H188</f>
        <v>0</v>
      </c>
      <c r="E188" s="160">
        <f>IF(ISNA(VLOOKUP("chart751100000",Balanceanp!C:G,5,FALSE))=TRUE,0,-VLOOKUP("chart751100000",Balanceanp!C:G,5,FALSE))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IF(ISNA(VLOOKUP("chart758100000",Balance!C:G,5,FALSE))=TRUE,0,-VLOOKUP("chart758100000",Balance!C:G,5,FALSE))</f>
        <v>0</v>
      </c>
      <c r="D189" s="117">
        <f>+[2]Chartres!$H189</f>
        <v>0</v>
      </c>
      <c r="E189" s="160">
        <f>IF(ISNA(VLOOKUP("chart758100000",Balanceanp!C:G,5,FALSE))=TRUE,0,-VLOOKUP("chart758100000",Balanceanp!C:G,5,FALSE))</f>
        <v>990.94</v>
      </c>
      <c r="F189" s="368">
        <f>+C189+C189/9*(12-Clients!$I$14)</f>
        <v>0</v>
      </c>
      <c r="G189" s="368">
        <v>0</v>
      </c>
      <c r="H189" s="410"/>
      <c r="I189" s="149">
        <f t="shared" si="19"/>
        <v>-1</v>
      </c>
      <c r="J189" s="271">
        <f t="shared" si="19"/>
        <v>0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IF(ISNA(VLOOKUP("chart763800000",Balance!C:G,5,FALSE))=TRUE,0,-VLOOKUP("chart763800000",Balance!C:G,5,FALSE))</f>
        <v>0</v>
      </c>
      <c r="D190" s="117">
        <f>+[2]Chartres!$H190</f>
        <v>0</v>
      </c>
      <c r="E190" s="160">
        <f>IF(ISNA(VLOOKUP("chart763800000",Balanceanp!C:G,5,FALSE))=TRUE,0,-VLOOKUP("chart763800000",Balanceanp!C:G,5,FALSE))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IF(ISNA(VLOOKUP("chart765000000",Balance!C:G,5,FALSE))=TRUE,0,-VLOOKUP("chart765000000",Balance!C:G,5,FALSE))</f>
        <v>0</v>
      </c>
      <c r="D191" s="117">
        <f>+[2]Chartres!$H191</f>
        <v>0</v>
      </c>
      <c r="E191" s="160">
        <f>IF(ISNA(VLOOKUP("chart765000000",Balanceanp!C:G,5,FALSE))=TRUE,0,-VLOOKUP("chart765000000",Balanceanp!C:G,5,FALSE))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IF(ISNA(VLOOKUP("chart771400000",Balance!C:G,5,FALSE))=TRUE,0,-VLOOKUP("chart771400000",Balance!C:G,5,FALSE))</f>
        <v>0</v>
      </c>
      <c r="D192" s="117">
        <f>+[2]Chartres!$H192</f>
        <v>0</v>
      </c>
      <c r="E192" s="160">
        <f>IF(ISNA(VLOOKUP("chart771400000",Balanceanp!C:G,5,FALSE))=TRUE,0,-VLOOKUP("chart771400000",Balanceanp!C:G,5,FALSE))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IF(ISNA(VLOOKUP("chart771800000",Balance!C:G,5,FALSE))=TRUE,0,-VLOOKUP("chart771800000",Balance!C:G,5,FALSE))</f>
        <v>14</v>
      </c>
      <c r="D193" s="117">
        <f>+[2]Chartres!$H193</f>
        <v>0</v>
      </c>
      <c r="E193" s="160">
        <f>IF(ISNA(VLOOKUP("chart771800000",Balanceanp!C:G,5,FALSE))=TRUE,0,-VLOOKUP("chart771800000",Balanceanp!C:G,5,FALSE))</f>
        <v>-649.6</v>
      </c>
      <c r="F193" s="368">
        <f>+C193+C193/9*(12-Clients!$I$14)</f>
        <v>18.666666666666668</v>
      </c>
      <c r="G193" s="368">
        <v>0</v>
      </c>
      <c r="H193" s="410"/>
      <c r="I193" s="149">
        <f t="shared" si="19"/>
        <v>-1.0287356321839081</v>
      </c>
      <c r="J193" s="271">
        <f t="shared" si="19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IF(ISNA(VLOOKUP("chart758000000",Balance!C:G,5,FALSE))=TRUE,0,-VLOOKUP("chart758000000",Balance!C:G,5,FALSE))</f>
        <v>0</v>
      </c>
      <c r="D194" s="117">
        <f>+[2]Chartres!$H194</f>
        <v>0</v>
      </c>
      <c r="E194" s="160">
        <f>IF(ISNA(VLOOKUP("chart772000000",Balanceanp!C:G,5,FALSE))=TRUE,0,-VLOOKUP("chart772000000",Balanceanp!C:G,5,FALSE))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IF(ISNA(VLOOKUP("chart775100000",Balance!C:G,5,FALSE))=TRUE,0,-VLOOKUP("chart775100000",Balance!C:G,5,FALSE))</f>
        <v>0</v>
      </c>
      <c r="D195" s="117">
        <f>+[2]Chartres!$H195</f>
        <v>0</v>
      </c>
      <c r="E195" s="160">
        <f>IF(ISNA(VLOOKUP("chart775100000",Balanceanp!C:G,5,FALSE))=TRUE,0,-VLOOKUP("chart775100000",Balanceanp!C:G,5,FALSE))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IF(ISNA(VLOOKUP("chart775200000",Balance!C:G,5,FALSE))=TRUE,0,-VLOOKUP("chart775200000",Balance!C:G,5,FALSE))</f>
        <v>0</v>
      </c>
      <c r="D196" s="117">
        <f>+[2]Chartres!$H196</f>
        <v>0</v>
      </c>
      <c r="E196" s="160">
        <f>IF(ISNA(VLOOKUP("chart775200000",Balanceanp!C:G,5,FALSE))=TRUE,0,-VLOOKUP("chart775200000",Balanceanp!C:G,5,FALSE))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IF(ISNA(VLOOKUP("chart791000000",Balance!C:G,5,FALSE))=TRUE,0,-VLOOKUP("chart791000000",Balance!C:G,5,FALSE))</f>
        <v>0</v>
      </c>
      <c r="D197" s="117">
        <f>+[2]Chartres!$H197</f>
        <v>0</v>
      </c>
      <c r="E197" s="160">
        <f>IF(ISNA(VLOOKUP("chart791000000",Balanceanp!C:G,5,FALSE))=TRUE,0,-VLOOKUP("chart791000000",Balanceanp!C:G,5,FALSE))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IF(ISNA(VLOOKUP("chart781500000",Balance!C:G,5,FALSE))=TRUE,0,-VLOOKUP("chart781500000",Balance!C:G,5,FALSE))</f>
        <v>0</v>
      </c>
      <c r="D198" s="117">
        <f>+[2]Chartres!$H198</f>
        <v>0</v>
      </c>
      <c r="E198" s="160">
        <f>IF(ISNA(VLOOKUP("chart781500000",Balanceanp!C:G,5,FALSE))=TRUE,0,-VLOOKUP("chart781500000",Balanceanp!C:G,5,FALSE))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IF(ISNA(VLOOKUP("CHART787250000",Balance!C:G,5,FALSE))=TRUE,0,-VLOOKUP("CHART787250000",Balance!C:G,5,FALSE))</f>
        <v>0</v>
      </c>
      <c r="D199" s="117">
        <f>+[2]Chartres!$H199</f>
        <v>0</v>
      </c>
      <c r="E199" s="160">
        <f>IF(ISNA(VLOOKUP("CHART787250000",Balanceanp!C:G,5,FALSE))=TRUE,0,-VLOOKUP("CHART787250000",Balanceanp!C:G,5,FALSE))</f>
        <v>241.68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14</v>
      </c>
      <c r="D201" s="118">
        <f>SUM(D186:D200)</f>
        <v>0</v>
      </c>
      <c r="E201" s="163">
        <f>SUM(E186:E200)</f>
        <v>583.02</v>
      </c>
      <c r="F201" s="136">
        <f>SUM(F186:F200)</f>
        <v>18.666666666666668</v>
      </c>
      <c r="G201" s="136">
        <f>SUM(G186:G200)</f>
        <v>0</v>
      </c>
      <c r="H201" s="421"/>
      <c r="I201" s="272">
        <f>+IF((E201)=0,,(F201-E201)/E201)</f>
        <v>-0.96798280219089117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0.26617452326206359</v>
      </c>
      <c r="C203" s="175">
        <f>+C103+C116+C129+C154+C168+C185-C201</f>
        <v>183514.6</v>
      </c>
      <c r="D203" s="126">
        <f>+D103+D116+D129+D154+D168+D185-D201</f>
        <v>257448.16111277827</v>
      </c>
      <c r="E203" s="175">
        <f>+E103+E116+E129+E154+E168+E185-E201</f>
        <v>201579.51199999999</v>
      </c>
      <c r="F203" s="145">
        <f>+F103+F116+F129+F154+F168+F185-F201</f>
        <v>241102.21000000005</v>
      </c>
      <c r="G203" s="145">
        <f>+G103+G116+G129+G154+G168+G185-G201</f>
        <v>323252.97406215791</v>
      </c>
      <c r="H203" s="422">
        <f>+G203/$G$21</f>
        <v>0.27615477686741952</v>
      </c>
      <c r="I203" s="281">
        <f>+IF((E203)=0,,(F203-E203)/E203)</f>
        <v>0.19606505446843261</v>
      </c>
      <c r="J203" s="282">
        <f>+IF((F203)=0,,(G203-F203)/F203)</f>
        <v>0.34073003338359215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8.9909323947871878E-2</v>
      </c>
      <c r="C205" s="177">
        <f>+C62-C203</f>
        <v>61988.177599999995</v>
      </c>
      <c r="D205" s="127">
        <f>+D62-D203</f>
        <v>53602.838887221733</v>
      </c>
      <c r="E205" s="177">
        <f>+E53-E203</f>
        <v>71796.078599999892</v>
      </c>
      <c r="F205" s="146">
        <f>+F62-F203</f>
        <v>99710.331999999908</v>
      </c>
      <c r="G205" s="146">
        <f>+G62-G203</f>
        <v>88742.275937842089</v>
      </c>
      <c r="H205" s="406">
        <f>+G205/$G$21</f>
        <v>7.5812460755919936E-2</v>
      </c>
      <c r="I205" s="226">
        <f>+IF((E205)=0,,(F205-E205)/E205)</f>
        <v>0.38879913700467839</v>
      </c>
      <c r="J205" s="283">
        <f>+IF((F205)=0,,(G205-F205)/F205)</f>
        <v>-0.10999919308420143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2.6955691211988618E-3</v>
      </c>
      <c r="C207" s="179">
        <f>+[2]Chartres!$C207</f>
        <v>1858.4659530398571</v>
      </c>
      <c r="D207" s="128">
        <f>+[2]Chartres!$H207</f>
        <v>5284.174097301483</v>
      </c>
      <c r="E207" s="284">
        <f>+[1]Chartres!$G$207</f>
        <v>1848.7002754846158</v>
      </c>
      <c r="F207" s="150">
        <f>+Repart!K13</f>
        <v>2670.3807411773046</v>
      </c>
      <c r="G207" s="150">
        <f>+Repart!Q13</f>
        <v>4430.7690039529607</v>
      </c>
      <c r="H207" s="423">
        <f>+G207/$G$21</f>
        <v>3.785202685876691E-3</v>
      </c>
      <c r="I207" s="281">
        <f>+IF((E207)=0,,(F207-E207)/E207)</f>
        <v>0.44446386284942518</v>
      </c>
      <c r="J207" s="282">
        <f>+IF((F207)=0,,(G207-F207)/F207)</f>
        <v>0.65922744110247911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8.7213754826673012E-2</v>
      </c>
      <c r="C209" s="177">
        <f>+C205-C207</f>
        <v>60129.711646960139</v>
      </c>
      <c r="D209" s="127">
        <f>+D205-D207</f>
        <v>48318.664789920251</v>
      </c>
      <c r="E209" s="177">
        <f>+E205-E207</f>
        <v>69947.378324515274</v>
      </c>
      <c r="F209" s="146">
        <f>+F205-F207</f>
        <v>97039.951258822606</v>
      </c>
      <c r="G209" s="146">
        <f>+G205-G207</f>
        <v>84311.506933889134</v>
      </c>
      <c r="H209" s="406">
        <f>+G209/$G$21</f>
        <v>7.202725807004326E-2</v>
      </c>
      <c r="I209" s="226">
        <f>+IF((E209)=0,,(F209-E209)/E209)</f>
        <v>0.38732792541006333</v>
      </c>
      <c r="J209" s="283">
        <f>+IF((F209)=0,,(G209-F209)/F209)</f>
        <v>-0.1311670519184874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9.4786307136304256E-3</v>
      </c>
      <c r="C211" s="160">
        <f>+[2]Chartres!$C211</f>
        <v>6535.0624193548392</v>
      </c>
      <c r="D211" s="117">
        <f>+[2]Chartres!$H211</f>
        <v>9026.0372215405096</v>
      </c>
      <c r="E211" s="160">
        <f>+[1]Chartres!$G211</f>
        <v>8095.0860719999991</v>
      </c>
      <c r="F211" s="368">
        <f>+Repart!I13</f>
        <v>8997.9607634408567</v>
      </c>
      <c r="G211" s="368">
        <f>+Repart!O13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3.8477517767589758E-2</v>
      </c>
      <c r="C212" s="160">
        <f>+[2]Chartres!$C212</f>
        <v>26528.407736303139</v>
      </c>
      <c r="D212" s="117">
        <f>+[2]Chartres!$H212</f>
        <v>33470.282166556768</v>
      </c>
      <c r="E212" s="160">
        <f>+[1]Chartres!$G212</f>
        <v>28372.90911101579</v>
      </c>
      <c r="F212" s="368">
        <f>+Repart!J13</f>
        <v>40147.470719948615</v>
      </c>
      <c r="G212" s="368">
        <f>+Repart!P13</f>
        <v>47738.179020888463</v>
      </c>
      <c r="H212" s="410"/>
      <c r="I212" s="149">
        <f t="shared" si="20"/>
        <v>0.41499310355741237</v>
      </c>
      <c r="J212" s="271">
        <f t="shared" si="20"/>
        <v>0.18907064790928788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+[2]Chartres!$C213</f>
        <v>-6826.68</v>
      </c>
      <c r="D213" s="117">
        <f>+[2]Chartres!$H213</f>
        <v>-7200</v>
      </c>
      <c r="E213" s="160">
        <f>+[1]Chartres!$G213</f>
        <v>-6989.49</v>
      </c>
      <c r="F213" s="368">
        <f>+C213+C213/9*(12-Clients!$I$14)</f>
        <v>-9102.24</v>
      </c>
      <c r="G213" s="368">
        <f>+G253*-4%</f>
        <v>-8000</v>
      </c>
      <c r="H213" s="410"/>
      <c r="I213" s="149">
        <f t="shared" si="20"/>
        <v>0.30227527330320236</v>
      </c>
      <c r="J213" s="271">
        <f t="shared" si="20"/>
        <v>-0.12109546661041676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3.8054547766821094E-2</v>
      </c>
      <c r="C215" s="180">
        <f>SUM(C210:C213)</f>
        <v>26236.790155657982</v>
      </c>
      <c r="D215" s="129">
        <f>SUM(D210:D213)</f>
        <v>35296.319388097276</v>
      </c>
      <c r="E215" s="180">
        <f>SUM(E210:E213)</f>
        <v>29478.50518301579</v>
      </c>
      <c r="F215" s="148">
        <f>SUM(F210:F213)</f>
        <v>40043.191483389477</v>
      </c>
      <c r="G215" s="148">
        <f>SUM(G210:G213)</f>
        <v>49382.863700198941</v>
      </c>
      <c r="H215" s="424">
        <f>+G215/$G$21</f>
        <v>4.2187743966681422E-2</v>
      </c>
      <c r="I215" s="281">
        <f>+IF((E215)=0,,(F215-E215)/E215)</f>
        <v>0.35838609301195473</v>
      </c>
      <c r="J215" s="282">
        <f>+IF((F215)=0,,(G215-F215)/F215)</f>
        <v>0.23323995592818073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4.9159207059851918E-2</v>
      </c>
      <c r="C217" s="177">
        <f>+C209-C215</f>
        <v>33892.921491302157</v>
      </c>
      <c r="D217" s="127">
        <f>+D209-D215</f>
        <v>13022.345401822975</v>
      </c>
      <c r="E217" s="177">
        <f>+E209-E215</f>
        <v>40468.873141499484</v>
      </c>
      <c r="F217" s="146">
        <f>+F209-F215</f>
        <v>56996.759775433129</v>
      </c>
      <c r="G217" s="146">
        <f>+G209-G215</f>
        <v>34928.643233690193</v>
      </c>
      <c r="H217" s="406">
        <f>+G217/$G$21</f>
        <v>2.9839514103361831E-2</v>
      </c>
      <c r="I217" s="226">
        <f>+IF((E217)=0,,(F217-E217)/E217)</f>
        <v>0.40840985554858078</v>
      </c>
      <c r="J217" s="283">
        <f>+IF((F217)=0,,(G217-F217)/F217)</f>
        <v>-0.38718194909133741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33892.921491302368</v>
      </c>
      <c r="D218" s="117">
        <f>+[2]Chartres!$H$217</f>
        <v>13022.345401822975</v>
      </c>
      <c r="E218" s="17">
        <f>+[1]Chartres!$G$217</f>
        <v>40468.873141499484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115.36794551140999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+B220/(C21*1.196)*Clients!K32</f>
        <v>48.558578824172791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783740.2078099919</v>
      </c>
      <c r="D222" s="265">
        <f>+(D215+D207+D203)/D60</f>
        <v>839517.33689627331</v>
      </c>
      <c r="E222" s="265">
        <f>+(E215+E207+E203)/E60/Clients!$I$13*12</f>
        <v>887263.68555619195</v>
      </c>
      <c r="F222" s="265">
        <f>+(F215+F207+F203)/F60</f>
        <v>810902.23492733389</v>
      </c>
      <c r="G222" s="265">
        <f>+(G215+G207+G203)/G60</f>
        <v>1062159.4556797461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65311.683984165997</v>
      </c>
      <c r="D223" s="265">
        <f>+(D215+D207+D203)/D60/12</f>
        <v>69959.778074689442</v>
      </c>
      <c r="E223" s="265">
        <f>+(E215+E207+E203)/E60/Clients!$I$13</f>
        <v>73938.640463015996</v>
      </c>
      <c r="F223" s="265">
        <f>+(F215+F207+F203)/F60/9</f>
        <v>90100.248325259323</v>
      </c>
      <c r="G223" s="265">
        <f>+(G215+G207+G203)/G60/12</f>
        <v>88513.287973312181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685699.01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698360.52999999968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CHARTRES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681952.16</v>
      </c>
      <c r="D233" s="176">
        <f t="shared" si="21"/>
        <v>876200</v>
      </c>
      <c r="E233" s="175">
        <f t="shared" si="21"/>
        <v>782524.57999999984</v>
      </c>
      <c r="F233" s="206">
        <f t="shared" si="21"/>
        <v>973750.12</v>
      </c>
      <c r="G233" s="206">
        <f t="shared" si="21"/>
        <v>1160550</v>
      </c>
      <c r="H233" s="313"/>
      <c r="I233" s="281">
        <f>+I51</f>
        <v>0.24437001071582978</v>
      </c>
      <c r="J233" s="192">
        <f t="shared" si="21"/>
        <v>0.19183553990216709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0.36</v>
      </c>
      <c r="D235" s="191">
        <f>+D60</f>
        <v>0.35499999999999998</v>
      </c>
      <c r="E235" s="197">
        <f>+E60</f>
        <v>0.35</v>
      </c>
      <c r="F235" s="224">
        <f>+F60</f>
        <v>0.35</v>
      </c>
      <c r="G235" s="224">
        <f>+G60</f>
        <v>0.35499999999999998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245502.7776</v>
      </c>
      <c r="D236" s="170">
        <f>+D62</f>
        <v>311051</v>
      </c>
      <c r="E236" s="169">
        <f>+E62</f>
        <v>273883.60299999994</v>
      </c>
      <c r="F236" s="223">
        <f>+F62</f>
        <v>340812.54199999996</v>
      </c>
      <c r="G236" s="223">
        <f>+G62</f>
        <v>411995.25</v>
      </c>
      <c r="H236" s="309"/>
      <c r="I236" s="226">
        <f>+IF((E236)=0,,(F236-E236)/E236)</f>
        <v>0.24437001071582962</v>
      </c>
      <c r="J236" s="283">
        <f>+IF((F236)=0,,(G236-F236)/F236)</f>
        <v>0.20886176190076963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54361.720000000008</v>
      </c>
      <c r="D238" s="294">
        <f>+D103</f>
        <v>80329.111351454048</v>
      </c>
      <c r="E238" s="293">
        <f>+E103</f>
        <v>68134.48</v>
      </c>
      <c r="F238" s="295">
        <f>+F103</f>
        <v>72823.493333333332</v>
      </c>
      <c r="G238" s="295">
        <f>+G103</f>
        <v>85957.506587627984</v>
      </c>
      <c r="H238" s="388"/>
      <c r="I238" s="415">
        <f t="shared" ref="I238:J243" si="22">+IF((E238)=0,,(F238-E238)/E238)</f>
        <v>6.8819976806652611E-2</v>
      </c>
      <c r="J238" s="297">
        <f t="shared" si="22"/>
        <v>0.18035406780304578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24408.35</v>
      </c>
      <c r="D239" s="294">
        <f>+D116</f>
        <v>25600</v>
      </c>
      <c r="E239" s="293">
        <f>+E116</f>
        <v>23774.5</v>
      </c>
      <c r="F239" s="295">
        <f>+F116</f>
        <v>29856.473333333335</v>
      </c>
      <c r="G239" s="295">
        <f>+G116</f>
        <v>29100</v>
      </c>
      <c r="H239" s="388"/>
      <c r="I239" s="415">
        <f t="shared" si="22"/>
        <v>0.25581919002853204</v>
      </c>
      <c r="J239" s="297">
        <f t="shared" si="22"/>
        <v>-2.5336995595148494E-2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5596.33</v>
      </c>
      <c r="D240" s="294">
        <f>+D129</f>
        <v>7507.6364462500005</v>
      </c>
      <c r="E240" s="293">
        <f>+E129</f>
        <v>6007.2300000000005</v>
      </c>
      <c r="F240" s="295">
        <f>+F129</f>
        <v>5492.373333333333</v>
      </c>
      <c r="G240" s="295">
        <f>+G129</f>
        <v>6971.8920000000007</v>
      </c>
      <c r="H240" s="388"/>
      <c r="I240" s="415">
        <f t="shared" si="22"/>
        <v>-8.5706168511388348E-2</v>
      </c>
      <c r="J240" s="297">
        <f t="shared" si="22"/>
        <v>0.26937692994892332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94010.2</v>
      </c>
      <c r="D241" s="294">
        <f>+D154</f>
        <v>130191.04142548579</v>
      </c>
      <c r="E241" s="293">
        <f>+E154</f>
        <v>97953.792000000001</v>
      </c>
      <c r="F241" s="295">
        <f>+F154</f>
        <v>125346.93333333335</v>
      </c>
      <c r="G241" s="295">
        <f>+G154</f>
        <v>181784.83674452992</v>
      </c>
      <c r="H241" s="388"/>
      <c r="I241" s="415">
        <f t="shared" si="22"/>
        <v>0.27965370991797178</v>
      </c>
      <c r="J241" s="297">
        <f t="shared" si="22"/>
        <v>0.45025356353244034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3126.9999999999995</v>
      </c>
      <c r="D242" s="294">
        <f>+D168</f>
        <v>11115.88009866406</v>
      </c>
      <c r="E242" s="293">
        <f>+E168</f>
        <v>-381.92000000000024</v>
      </c>
      <c r="F242" s="295">
        <f>+F168</f>
        <v>4169.333333333333</v>
      </c>
      <c r="G242" s="295">
        <f>+G168</f>
        <v>16717.008730000001</v>
      </c>
      <c r="H242" s="388"/>
      <c r="I242" s="415">
        <f t="shared" si="22"/>
        <v>-11.916771400642361</v>
      </c>
      <c r="J242" s="297">
        <f t="shared" si="22"/>
        <v>3.0095160049568284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2011</v>
      </c>
      <c r="D243" s="294">
        <f>+D185-D201</f>
        <v>2704.491790924375</v>
      </c>
      <c r="E243" s="293">
        <f>+E185-E201</f>
        <v>6091.43</v>
      </c>
      <c r="F243" s="295">
        <f>+F185-F201</f>
        <v>3413.6033333333335</v>
      </c>
      <c r="G243" s="295">
        <f>+G185-G201</f>
        <v>2721.73</v>
      </c>
      <c r="H243" s="388"/>
      <c r="I243" s="415">
        <f t="shared" si="22"/>
        <v>-0.43960558795991528</v>
      </c>
      <c r="J243" s="297">
        <f t="shared" si="22"/>
        <v>-0.20268123322276269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183514.6</v>
      </c>
      <c r="D245" s="300">
        <f>+D203</f>
        <v>257448.16111277827</v>
      </c>
      <c r="E245" s="299">
        <f>+E203</f>
        <v>201579.51199999999</v>
      </c>
      <c r="F245" s="301">
        <f>+F203</f>
        <v>241102.21000000005</v>
      </c>
      <c r="G245" s="301">
        <f>+G203</f>
        <v>323252.97406215791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61988.177599999995</v>
      </c>
      <c r="D247" s="178">
        <f>+D205</f>
        <v>53602.838887221733</v>
      </c>
      <c r="E247" s="177">
        <f>+E205</f>
        <v>71796.078599999892</v>
      </c>
      <c r="F247" s="228">
        <f>+F205</f>
        <v>99710.331999999908</v>
      </c>
      <c r="G247" s="228">
        <f>+G205</f>
        <v>88742.275937842089</v>
      </c>
      <c r="H247" s="314"/>
      <c r="I247" s="226">
        <f>+IF((E247)=0,,(F247-E247)/E247)</f>
        <v>0.38879913700467839</v>
      </c>
      <c r="J247" s="283">
        <f>+IF((F247)=0,,(G247-F247)/F247)</f>
        <v>-0.10999919308420143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28095.256108697838</v>
      </c>
      <c r="D249" s="181">
        <f>+D207+D215</f>
        <v>40580.493485398758</v>
      </c>
      <c r="E249" s="180">
        <f>+E207+E215</f>
        <v>31327.205458500404</v>
      </c>
      <c r="F249" s="230">
        <f>+F207+F215</f>
        <v>42713.572224566778</v>
      </c>
      <c r="G249" s="230">
        <f>+G207+G215</f>
        <v>53813.632704151903</v>
      </c>
      <c r="H249" s="316"/>
      <c r="I249" s="281">
        <f>+I67</f>
        <v>0.23224830785946043</v>
      </c>
      <c r="J249" s="192">
        <f>+J67</f>
        <v>0.10810321326101671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33892.921491302157</v>
      </c>
      <c r="D251" s="178">
        <f>+D217</f>
        <v>13022.345401822975</v>
      </c>
      <c r="E251" s="177">
        <f>+E217</f>
        <v>40468.873141499484</v>
      </c>
      <c r="F251" s="228">
        <f>+F217</f>
        <v>56996.759775433129</v>
      </c>
      <c r="G251" s="228">
        <f>+G217</f>
        <v>34928.643233690193</v>
      </c>
      <c r="H251" s="314"/>
      <c r="I251" s="226">
        <f>+IF((E251)=0,,(F251-E251)/E251)</f>
        <v>0.40840985554858078</v>
      </c>
      <c r="J251" s="283">
        <f>+IF((F251)=0,,(G251-F251)/F251)</f>
        <v>-0.38718194909133741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175392.05</v>
      </c>
      <c r="D253" s="294">
        <v>200000</v>
      </c>
      <c r="E253" s="293">
        <f>+E28</f>
        <v>167029.82</v>
      </c>
      <c r="F253" s="295"/>
      <c r="G253" s="399">
        <f>+G28</f>
        <v>200000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783740.2078099919</v>
      </c>
      <c r="D254" s="294">
        <f>+D222</f>
        <v>839517.33689627331</v>
      </c>
      <c r="E254" s="293">
        <f>+E222</f>
        <v>887263.68555619195</v>
      </c>
      <c r="F254" s="295">
        <f>+F222</f>
        <v>810902.23492733389</v>
      </c>
      <c r="G254" s="295">
        <f>+G222</f>
        <v>1062159.4556797461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399">
        <v>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 enableFormatConditionsCalculation="0">
    <tabColor indexed="42"/>
    <pageSetUpPr fitToPage="1"/>
  </sheetPr>
  <dimension ref="A1:L256"/>
  <sheetViews>
    <sheetView topLeftCell="A49" workbookViewId="0">
      <selection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42578125" style="442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</row>
    <row r="4" spans="1:12" ht="20.25" customHeight="1">
      <c r="A4" s="7" t="s">
        <v>68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2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2">
      <c r="A8" s="5" t="s">
        <v>221</v>
      </c>
      <c r="B8" s="92"/>
      <c r="C8" s="160">
        <f>-IF(ISNA(VLOOKUP("BOS707130000",Balance!C:G,5,FALSE))=TRUE,0,VLOOKUP("BOS707130000",Balance!C:G,5,FALSE))</f>
        <v>1085669.0299999998</v>
      </c>
      <c r="D8" s="117">
        <f>+[2]Bosc!$H8</f>
        <v>1530000</v>
      </c>
      <c r="E8" s="160">
        <f>-IF(ISNA(VLOOKUP("BOS707130000",Balanceanp!C:G,5,FALSE))=TRUE,0,VLOOKUP("BOS707130000",Balanceanp!C:G,5,FALSE))</f>
        <v>1281652.8</v>
      </c>
      <c r="F8" s="368">
        <v>1415000</v>
      </c>
      <c r="G8" s="570">
        <v>1502600</v>
      </c>
      <c r="H8" s="401"/>
      <c r="I8" s="149">
        <f>+IF((E8)=0,,(F8-E8)/E8)</f>
        <v>0.10404315427703974</v>
      </c>
      <c r="J8" s="271">
        <f>+IF((F8)=0,,(G8-F8)/F8)</f>
        <v>6.1908127208480566E-2</v>
      </c>
      <c r="L8" s="443"/>
    </row>
    <row r="9" spans="1:12">
      <c r="A9" s="5" t="s">
        <v>422</v>
      </c>
      <c r="B9" s="92"/>
      <c r="C9" s="160">
        <f>-IF(ISNA(VLOOKUP("BOS707131000",Balance!C:G,5,FALSE))=TRUE,0,VLOOKUP("BOS707131000",Balance!C:G,5,FALSE))</f>
        <v>0</v>
      </c>
      <c r="D9" s="117">
        <f>+[2]Bosc!$H9</f>
        <v>0</v>
      </c>
      <c r="E9" s="160">
        <f>-IF(ISNA(VLOOKUP("BOS707131000",Balanceanp!C:G,5,FALSE))=TRUE,0,VLOOKUP("BOS707131000",Balanceanp!C:G,5,FALSE))</f>
        <v>178246.83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443"/>
    </row>
    <row r="10" spans="1:12">
      <c r="A10" s="5" t="s">
        <v>84</v>
      </c>
      <c r="B10" s="92"/>
      <c r="C10" s="160">
        <f>-IF(ISNA(VLOOKUP("BOS707300000",Balance!C:G,5,FALSE))=TRUE,0,VLOOKUP("BOS707300000",Balance!C:G,5,FALSE))</f>
        <v>0</v>
      </c>
      <c r="D10" s="117">
        <f>+[2]Bosc!$H10</f>
        <v>0</v>
      </c>
      <c r="E10" s="160">
        <f>-IF(ISNA(VLOOKUP("BOS707300000",Balanceanp!C:G,5,FALSE))=TRUE,0,VLOOKUP("BOS707300000",Balanceanp!C:G,5,FALSE))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s="443"/>
    </row>
    <row r="11" spans="1:12">
      <c r="A11" s="5" t="s">
        <v>267</v>
      </c>
      <c r="B11" s="92"/>
      <c r="C11" s="160">
        <f>-IF(ISNA(VLOOKUP("BOS707110000",Balance!C:G,5,FALSE))=TRUE,0,VLOOKUP("BOS707110000",Balance!C:G,5,FALSE))</f>
        <v>0</v>
      </c>
      <c r="D11" s="117">
        <f>+[2]Bosc!$H11</f>
        <v>0</v>
      </c>
      <c r="E11" s="160">
        <f>-IF(ISNA(VLOOKUP("BOS707110000",Balanceanp!C:G,5,FALSE))=TRUE,0,VLOOKUP("BOS707110000",Balanceanp!C:G,5,FALSE))</f>
        <v>0</v>
      </c>
      <c r="F11" s="368">
        <f t="shared" si="2"/>
        <v>0</v>
      </c>
      <c r="G11" s="570">
        <f t="shared" si="0"/>
        <v>0</v>
      </c>
      <c r="H11" s="401"/>
      <c r="I11" s="149">
        <f t="shared" si="1"/>
        <v>0</v>
      </c>
      <c r="J11" s="271">
        <f t="shared" si="1"/>
        <v>0</v>
      </c>
      <c r="L11" s="443"/>
    </row>
    <row r="12" spans="1:12">
      <c r="A12" s="5" t="s">
        <v>46</v>
      </c>
      <c r="B12" s="92"/>
      <c r="C12" s="160">
        <f>-IF(ISNA(VLOOKUP("BOS707120000",Balance!C:G,5,FALSE))=TRUE,0,VLOOKUP("BOS707120000",Balance!C:G,5,FALSE))</f>
        <v>0</v>
      </c>
      <c r="D12" s="117">
        <f>+[2]Bosc!$H12</f>
        <v>0</v>
      </c>
      <c r="E12" s="160">
        <f>-IF(ISNA(VLOOKUP("BOS707120000",Balanceanp!C:G,5,FALSE))=TRUE,0,VLOOKUP("BOS707120000",Balanceanp!C:G,5,FALSE))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s="443"/>
    </row>
    <row r="13" spans="1:12">
      <c r="A13" s="5" t="s">
        <v>268</v>
      </c>
      <c r="B13" s="92"/>
      <c r="C13" s="160">
        <f>-IF(ISNA(VLOOKUP("BOS707230000",Balance!C:G,5,FALSE))=TRUE,0,VLOOKUP("BOS707230000",Balance!C:G,5,FALSE))</f>
        <v>0</v>
      </c>
      <c r="D13" s="117">
        <f>+[2]Bosc!$H13</f>
        <v>0</v>
      </c>
      <c r="E13" s="160">
        <f>-IF(ISNA(VLOOKUP("BOS707230000",Balanceanp!C:G,5,FALSE))=TRUE,0,VLOOKUP("BOS707230000",Balanceanp!C:G,5,FALSE))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s="443"/>
    </row>
    <row r="14" spans="1:12">
      <c r="A14" s="5" t="s">
        <v>269</v>
      </c>
      <c r="B14" s="92"/>
      <c r="C14" s="160">
        <f>-IF(ISNA(VLOOKUP("BOS708820000",Balance!C:G,5,FALSE))=TRUE,0,VLOOKUP("BOS708820000",Balance!C:G,5,FALSE))</f>
        <v>782.64</v>
      </c>
      <c r="D14" s="117">
        <f>+[2]Bosc!$H14</f>
        <v>0</v>
      </c>
      <c r="E14" s="160">
        <f>-IF(ISNA(VLOOKUP("BOS708820000",Balanceanp!C:G,5,FALSE))=TRUE,0,VLOOKUP("BOS708820000",Balanceanp!C:G,5,FALSE))</f>
        <v>1229.29</v>
      </c>
      <c r="F14" s="368">
        <f t="shared" si="2"/>
        <v>782.64</v>
      </c>
      <c r="G14" s="570">
        <v>0</v>
      </c>
      <c r="H14" s="401"/>
      <c r="I14" s="149">
        <f t="shared" si="1"/>
        <v>-0.36333981403899812</v>
      </c>
      <c r="J14" s="271">
        <f t="shared" si="1"/>
        <v>-1</v>
      </c>
      <c r="L14" s="443"/>
    </row>
    <row r="15" spans="1:12">
      <c r="A15" s="5" t="s">
        <v>270</v>
      </c>
      <c r="B15" s="92"/>
      <c r="C15" s="160">
        <f>-IF(ISNA(VLOOKUP("BOS708500000",Balance!C:G,5,FALSE))=TRUE,0,VLOOKUP("BOS708500000",Balance!C:G,5,FALSE))</f>
        <v>1515</v>
      </c>
      <c r="D15" s="117">
        <f>+[2]Bosc!$H15</f>
        <v>0</v>
      </c>
      <c r="E15" s="160">
        <f>-IF(ISNA(VLOOKUP("BOS708500000",Balanceanp!C:G,5,FALSE))=TRUE,0,VLOOKUP("BOS708500000",Balanceanp!C:G,5,FALSE))</f>
        <v>2313</v>
      </c>
      <c r="F15" s="368">
        <f t="shared" si="2"/>
        <v>1515</v>
      </c>
      <c r="G15" s="570">
        <v>0</v>
      </c>
      <c r="H15" s="401"/>
      <c r="I15" s="149">
        <f t="shared" si="1"/>
        <v>-0.34500648508430609</v>
      </c>
      <c r="J15" s="271">
        <f t="shared" si="1"/>
        <v>-1</v>
      </c>
      <c r="L15" s="443"/>
    </row>
    <row r="16" spans="1:12">
      <c r="A16" s="5" t="s">
        <v>85</v>
      </c>
      <c r="B16" s="92"/>
      <c r="C16" s="160">
        <f>IF(ISNA(VLOOKUP("BOS706000000",Balance!C:G,5,FALSE))=TRUE,0,-VLOOKUP("BOS706000000",Balance!C:G,5,FALSE))+IF(ISNA(VLOOKUP("BOS706010000",Balance!C:G,5,FALSE))=TRUE,0,-VLOOKUP("BOS706010000",Balance!C:G,5,FALSE))</f>
        <v>0</v>
      </c>
      <c r="D16" s="117">
        <f>+[2]Bosc!$H16</f>
        <v>0</v>
      </c>
      <c r="E16" s="160">
        <f>IF(ISNA(VLOOKUP("BOS706000000",Balanceanp!C:G,5,FALSE))=TRUE,0,-VLOOKUP("BOS706000000",Balanceanp!C:G,5,FALSE))+IF(ISNA(VLOOKUP("BOS706010000",Balanceanp!C:G,5,FALSE))=TRUE,0,-VLOOKUP("BOS706010000",Balanceanp!C:G,5,FALSE))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s="443"/>
    </row>
    <row r="17" spans="1:12">
      <c r="A17" s="5" t="s">
        <v>88</v>
      </c>
      <c r="B17" s="92"/>
      <c r="C17" s="160">
        <f>IF(ISNA(VLOOKUP("bos707500000",Balance!C:G,5,FALSE))=TRUE,0,-VLOOKUP("bos707500000",Balance!C:G,5,FALSE))</f>
        <v>0</v>
      </c>
      <c r="D17" s="117">
        <f>+[2]Bosc!$H17</f>
        <v>0</v>
      </c>
      <c r="E17" s="160">
        <f>IF(ISNA(VLOOKUP("bos707500000",Balanceanp!C:G,5,FALSE))=TRUE,0,-VLOOKUP("bos707500000",Balanceanp!C:G,5,FALSE))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s="443"/>
    </row>
    <row r="18" spans="1:12">
      <c r="A18" s="5" t="s">
        <v>89</v>
      </c>
      <c r="B18" s="92"/>
      <c r="C18" s="160">
        <f>IF(ISNA(VLOOKUP("bos707510000",Balance!C:G,5,FALSE))=TRUE,0,-VLOOKUP("bos707510000",Balance!C:G,5,FALSE))</f>
        <v>0</v>
      </c>
      <c r="D18" s="117">
        <f>+[2]Bosc!$H18</f>
        <v>0</v>
      </c>
      <c r="E18" s="160">
        <f>IF(ISNA(VLOOKUP("bos707510000",Balanceanp!C:G,5,FALSE))=TRUE,0,-VLOOKUP("bos707510000",Balanceanp!C:G,5,FALSE))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s="443"/>
    </row>
    <row r="19" spans="1:12">
      <c r="A19" s="5" t="s">
        <v>90</v>
      </c>
      <c r="B19" s="92"/>
      <c r="C19" s="160">
        <f>IF(ISNA(VLOOKUP("bos708300000",Balance!C:G,5,FALSE))=TRUE,0,-VLOOKUP("bos708300000",Balance!C:G,5,FALSE))</f>
        <v>0</v>
      </c>
      <c r="D19" s="117">
        <f>+[2]Bosc!$H19</f>
        <v>0</v>
      </c>
      <c r="E19" s="160">
        <f>IF(ISNA(VLOOKUP("bos708300000",Balanceanp!C:G,5,FALSE))=TRUE,0,-VLOOKUP("bos708300000",Balanceanp!C:G,5,FALSE))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s="443"/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444"/>
    </row>
    <row r="21" spans="1:12" s="33" customFormat="1" ht="15" customHeight="1">
      <c r="A21" s="13" t="s">
        <v>222</v>
      </c>
      <c r="B21" s="93"/>
      <c r="C21" s="163">
        <f>SUM(C7:C20)</f>
        <v>1087966.6699999997</v>
      </c>
      <c r="D21" s="118">
        <f>SUM(D7:D20)</f>
        <v>1530000</v>
      </c>
      <c r="E21" s="163">
        <f>SUM(E7:E20)</f>
        <v>1463441.9200000002</v>
      </c>
      <c r="F21" s="136">
        <f>SUM(F7:F20)</f>
        <v>1417297.64</v>
      </c>
      <c r="G21" s="136">
        <f>SUM(G7:G20)</f>
        <v>1502600</v>
      </c>
      <c r="H21" s="312"/>
      <c r="I21" s="272">
        <f>+IF((E21)=0,,(F21-E21)/E21)</f>
        <v>-3.1531336754382612E-2</v>
      </c>
      <c r="J21" s="188">
        <f>+IF((F21)=0,,(G21-F21)/F21)</f>
        <v>6.0186623890801164E-2</v>
      </c>
      <c r="L21" s="445"/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444"/>
    </row>
    <row r="23" spans="1:12">
      <c r="A23" s="5" t="s">
        <v>92</v>
      </c>
      <c r="B23" s="92"/>
      <c r="C23" s="160">
        <f>IF(ISNA(VLOOKUP("bos602650000",Balance!C:G,5,FALSE))=TRUE,0,VLOOKUP("bos602650000",Balance!C:G,5,FALSE))</f>
        <v>30.48</v>
      </c>
      <c r="D23" s="115"/>
      <c r="E23" s="160">
        <f>IF(ISNA(VLOOKUP("bos602650000",Balanceanp!C:G,5,FALSE))=TRUE,0,VLOOKUP("bos602650000",Balanceanp!C:G,5,FALSE))</f>
        <v>0</v>
      </c>
      <c r="F23" s="134"/>
      <c r="G23" s="134"/>
      <c r="H23" s="400"/>
      <c r="I23" s="149"/>
      <c r="J23" s="271"/>
      <c r="L23" s="444"/>
    </row>
    <row r="24" spans="1:12">
      <c r="A24" s="5" t="s">
        <v>93</v>
      </c>
      <c r="B24" s="92"/>
      <c r="C24" s="160">
        <f>IF(ISNA(VLOOKUP("bos607100000",Balance!C:G,5,FALSE))=TRUE,0,VLOOKUP("bos607100000",Balance!C:G,5,FALSE))</f>
        <v>471481.32</v>
      </c>
      <c r="D24" s="115"/>
      <c r="E24" s="160">
        <f>IF(ISNA(VLOOKUP("bos607100000",Balanceanp!C:G,5,FALSE))=TRUE,0,VLOOKUP("bos607100000",Balanceanp!C:G,5,FALSE))</f>
        <v>506269.63</v>
      </c>
      <c r="F24" s="134"/>
      <c r="G24" s="134"/>
      <c r="H24" s="400"/>
      <c r="I24" s="149"/>
      <c r="J24" s="271"/>
      <c r="L24" s="444"/>
    </row>
    <row r="25" spans="1:12">
      <c r="A25" s="5" t="s">
        <v>94</v>
      </c>
      <c r="B25" s="92"/>
      <c r="C25" s="160">
        <f>IF(ISNA(VLOOKUP("bos607110000",Balance!C:G,5,FALSE))=TRUE,0,VLOOKUP("bos607110000",Balance!C:G,5,FALSE))+IF(ISNA(VLOOKUP("bos607120000",Balance!C:G,5,FALSE))=TRUE,0,VLOOKUP("bos607120000",Balance!C:G,5,FALSE))</f>
        <v>10241.86</v>
      </c>
      <c r="D25" s="115"/>
      <c r="E25" s="160">
        <f>IF(ISNA(VLOOKUP("bos607110000",Balanceanp!C:G,5,FALSE))=TRUE,0,VLOOKUP("bos607110000",Balanceanp!C:G,5,FALSE))+IF(ISNA(VLOOKUP("bos607120000",Balanceanp!C:G,5,FALSE))=TRUE,0,VLOOKUP("bos607120000",Balanceanp!C:G,5,FALSE))</f>
        <v>35664.46</v>
      </c>
      <c r="F25" s="134"/>
      <c r="G25" s="134"/>
      <c r="H25" s="400"/>
      <c r="I25" s="149"/>
      <c r="J25" s="271"/>
      <c r="L25" s="444"/>
    </row>
    <row r="26" spans="1:12">
      <c r="A26" s="5" t="s">
        <v>288</v>
      </c>
      <c r="B26" s="92"/>
      <c r="C26" s="160">
        <f>IF(ISNA(VLOOKUP("bos607130000",Balance!C:G,5,FALSE))=TRUE,0,VLOOKUP("bos607130000",Balance!C:G,5,FALSE))</f>
        <v>55253.98</v>
      </c>
      <c r="D26" s="115"/>
      <c r="E26" s="160">
        <f>IF(ISNA(VLOOKUP("bos607130000",Balanceanp!C:G,5,FALSE))=TRUE,0,VLOOKUP("bos607130000",Balanceanp!C:G,5,FALSE))</f>
        <v>71690</v>
      </c>
      <c r="F26" s="134"/>
      <c r="G26" s="134"/>
      <c r="H26" s="400"/>
      <c r="I26" s="149"/>
      <c r="J26" s="271"/>
      <c r="L26" s="444"/>
    </row>
    <row r="27" spans="1:12">
      <c r="A27" s="5" t="s">
        <v>289</v>
      </c>
      <c r="B27" s="92"/>
      <c r="C27" s="160">
        <f>IF(ISNA(VLOOKUP("bos607140000",Balance!C:G,5,FALSE))=TRUE,0,VLOOKUP("bos607140000",Balance!C:G,5,FALSE))</f>
        <v>-27241.53</v>
      </c>
      <c r="D27" s="115"/>
      <c r="E27" s="160">
        <f>IF(ISNA(VLOOKUP("bos607140000",Balanceanp!C:G,5,FALSE))=TRUE,0,VLOOKUP("bos607140000",Balanceanp!C:G,5,FALSE))</f>
        <v>-34526</v>
      </c>
      <c r="F27" s="134"/>
      <c r="G27" s="134"/>
      <c r="H27" s="400"/>
      <c r="I27" s="149"/>
      <c r="J27" s="271"/>
      <c r="L27" s="444"/>
    </row>
    <row r="28" spans="1:12">
      <c r="A28" s="5" t="s">
        <v>95</v>
      </c>
      <c r="B28" s="92"/>
      <c r="C28" s="160">
        <f>IF(ISNA(VLOOKUP("bos607200000",Balance!C:G,5,FALSE))=TRUE,0,VLOOKUP("bos607200000",Balance!C:G,5,FALSE))</f>
        <v>251445.38</v>
      </c>
      <c r="D28" s="115"/>
      <c r="E28" s="160">
        <f>IF(ISNA(VLOOKUP("bos607200000",Balanceanp!C:G,5,FALSE))=TRUE,0,VLOOKUP("bos607200000",Balanceanp!C:G,5,FALSE))</f>
        <v>340524.47</v>
      </c>
      <c r="F28" s="134"/>
      <c r="G28" s="1161">
        <v>330000</v>
      </c>
      <c r="H28" s="400"/>
      <c r="I28" s="149"/>
      <c r="J28" s="271"/>
      <c r="L28" s="444"/>
    </row>
    <row r="29" spans="1:12">
      <c r="A29" s="5" t="s">
        <v>293</v>
      </c>
      <c r="B29" s="92"/>
      <c r="C29" s="160">
        <f>IF(ISNA(VLOOKUP("bos607150000",Balance!C:G,5,FALSE))=TRUE,0,VLOOKUP("bos607150000",Balance!C:G,5,FALSE))</f>
        <v>0</v>
      </c>
      <c r="D29" s="115"/>
      <c r="E29" s="357">
        <f>IF(ISNA(VLOOKUP("bos607150000",Balanceanp!C:G,5,FALSE))=TRUE,0,VLOOKUP("bos607150000",Balanceanp!C:G,5,FALSE))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444"/>
    </row>
    <row r="30" spans="1:12" s="43" customFormat="1" ht="15" customHeight="1">
      <c r="A30" s="42" t="s">
        <v>292</v>
      </c>
      <c r="B30" s="94"/>
      <c r="C30" s="164">
        <f>SUM(C23:C29)</f>
        <v>761211.49</v>
      </c>
      <c r="D30" s="119"/>
      <c r="E30" s="164">
        <f>SUM(E23:E29)</f>
        <v>919622.55999999994</v>
      </c>
      <c r="F30" s="137"/>
      <c r="G30" s="137"/>
      <c r="H30" s="402"/>
      <c r="I30" s="273"/>
      <c r="J30" s="342"/>
      <c r="L30" s="446"/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444"/>
    </row>
    <row r="32" spans="1:12" s="33" customFormat="1" ht="15" customHeight="1">
      <c r="A32" s="56" t="s">
        <v>336</v>
      </c>
      <c r="B32" s="95"/>
      <c r="C32" s="166">
        <f>+C21-C30-C38</f>
        <v>368974.6799999997</v>
      </c>
      <c r="D32" s="120"/>
      <c r="E32" s="166">
        <f>+E21-E30-E38</f>
        <v>538247.67090000026</v>
      </c>
      <c r="F32" s="138"/>
      <c r="G32" s="138"/>
      <c r="H32" s="403"/>
      <c r="I32" s="273"/>
      <c r="J32" s="274"/>
      <c r="L32" s="447"/>
    </row>
    <row r="33" spans="1:12" s="33" customFormat="1" ht="15" customHeight="1">
      <c r="A33" s="56" t="s">
        <v>337</v>
      </c>
      <c r="B33" s="95"/>
      <c r="C33" s="196">
        <f>+C32/C21</f>
        <v>0.33914152903231842</v>
      </c>
      <c r="D33" s="120"/>
      <c r="E33" s="196">
        <f>+E32/E21</f>
        <v>0.36779571744124989</v>
      </c>
      <c r="F33" s="138"/>
      <c r="G33" s="138"/>
      <c r="H33" s="403"/>
      <c r="I33" s="273"/>
      <c r="J33" s="274"/>
      <c r="L33" s="447"/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444"/>
    </row>
    <row r="35" spans="1:12">
      <c r="A35" s="5" t="s">
        <v>96</v>
      </c>
      <c r="B35" s="92"/>
      <c r="C35" s="160">
        <f>IF(ISNA(VLOOKUP("bos607400000",Balance!C:G,5,FALSE))=TRUE,0,VLOOKUP("bos607400000",Balance!C:G,5,FALSE))</f>
        <v>11200.890000000001</v>
      </c>
      <c r="D35" s="115"/>
      <c r="E35" s="160">
        <f>IF(ISNA(VLOOKUP("bos607400000",Balanceanp!C:G,5,FALSE))=TRUE,0,VLOOKUP("bos607400000",Balanceanp!C:G,5,FALSE))</f>
        <v>12712.22</v>
      </c>
      <c r="F35" s="134"/>
      <c r="G35" s="134"/>
      <c r="H35" s="400"/>
      <c r="I35" s="149" t="str">
        <f t="shared" si="3"/>
        <v/>
      </c>
      <c r="J35" s="271"/>
      <c r="L35" s="444"/>
    </row>
    <row r="36" spans="1:12">
      <c r="A36" s="5" t="s">
        <v>97</v>
      </c>
      <c r="B36" s="92"/>
      <c r="C36" s="160">
        <f>IF(ISNA(VLOOKUP("bos608000000",Balance!C:G,5,FALSE))=TRUE,0,VLOOKUP("bos608000000",Balance!C:G,5,FALSE))</f>
        <v>4931.04</v>
      </c>
      <c r="D36" s="115"/>
      <c r="E36" s="160">
        <f>IF(ISNA(VLOOKUP("bos608000000",Balanceanp!C:G,5,FALSE))=TRUE,0,VLOOKUP("bos608000000",Balanceanp!C:G,5,FALSE))</f>
        <v>7878.21</v>
      </c>
      <c r="F36" s="134"/>
      <c r="G36" s="134"/>
      <c r="H36" s="400"/>
      <c r="I36" s="149" t="str">
        <f t="shared" si="3"/>
        <v/>
      </c>
      <c r="J36" s="271"/>
      <c r="L36" s="444"/>
    </row>
    <row r="37" spans="1:12">
      <c r="A37" s="5" t="s">
        <v>98</v>
      </c>
      <c r="B37" s="92"/>
      <c r="C37" s="160">
        <f>IF(ISNA(VLOOKUP("bos608100000",Balance!C:G,5,FALSE))=TRUE,0,VLOOKUP("bos608100000",Balance!C:G,5,FALSE))</f>
        <v>0</v>
      </c>
      <c r="D37" s="115"/>
      <c r="E37" s="160">
        <f>IF(ISNA(VLOOKUP("bos608100000",Balanceanp!C:G,5,FALSE))=TRUE,0,VLOOKUP("bos608100000",Balanceanp!C:G,5,FALSE))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444"/>
    </row>
    <row r="38" spans="1:12">
      <c r="A38" s="5" t="s">
        <v>99</v>
      </c>
      <c r="B38" s="92"/>
      <c r="C38" s="160">
        <f>+C56-C57</f>
        <v>-42219.5</v>
      </c>
      <c r="D38" s="115"/>
      <c r="E38" s="160">
        <f>+E56-E57</f>
        <v>5571.6891000000178</v>
      </c>
      <c r="F38" s="134"/>
      <c r="G38" s="134"/>
      <c r="H38" s="400"/>
      <c r="I38" s="149" t="str">
        <f t="shared" si="3"/>
        <v/>
      </c>
      <c r="J38" s="271"/>
      <c r="L38" s="444"/>
    </row>
    <row r="39" spans="1:12">
      <c r="A39" s="5" t="s">
        <v>177</v>
      </c>
      <c r="B39" s="92"/>
      <c r="C39" s="160">
        <f>IF(ISNA(VLOOKUP("bos681730000",Balance!C:G,5,FALSE))=TRUE,0,VLOOKUP("bos681730000",Balance!C:G,5,FALSE))</f>
        <v>0</v>
      </c>
      <c r="D39" s="115"/>
      <c r="E39" s="160">
        <f>IF(ISNA(VLOOKUP("bos681730000",Balanceanp!C:G,5,FALSE))=TRUE,0,VLOOKUP("bos681730000",Balanceanp!C:G,5,FALSE))</f>
        <v>12453.25</v>
      </c>
      <c r="F39" s="134"/>
      <c r="G39" s="134"/>
      <c r="H39" s="400"/>
      <c r="I39" s="149" t="str">
        <f t="shared" si="3"/>
        <v/>
      </c>
      <c r="J39" s="271"/>
      <c r="L39" s="444"/>
    </row>
    <row r="40" spans="1:12">
      <c r="A40" s="5" t="s">
        <v>176</v>
      </c>
      <c r="B40" s="92"/>
      <c r="C40" s="160">
        <f>IF(ISNA(VLOOKUP("bos781730000",Balance!C:G,5,FALSE))=TRUE,0,VLOOKUP("bos781730000",Balance!C:G,5,FALSE))</f>
        <v>-6703.84</v>
      </c>
      <c r="D40" s="115"/>
      <c r="E40" s="160">
        <f>IF(ISNA(VLOOKUP("bos781730000",Balanceanp!C:G,5,FALSE))=TRUE,0,VLOOKUP("bos781730000",Balanceanp!C:G,5,FALSE))</f>
        <v>-11829.14</v>
      </c>
      <c r="F40" s="134"/>
      <c r="G40" s="134"/>
      <c r="H40" s="400"/>
      <c r="I40" s="149" t="str">
        <f t="shared" si="3"/>
        <v/>
      </c>
      <c r="J40" s="271"/>
      <c r="L40" s="444"/>
    </row>
    <row r="41" spans="1:12">
      <c r="A41" s="5" t="s">
        <v>317</v>
      </c>
      <c r="B41" s="92"/>
      <c r="C41" s="160">
        <f>IF(ISNA(VLOOKUP("bos609110000",Balance!C:G,5,FALSE))=TRUE,0,VLOOKUP("bos609110000",Balance!C:G,5,FALSE))</f>
        <v>-64.89</v>
      </c>
      <c r="D41" s="115"/>
      <c r="E41" s="160">
        <f>IF(ISNA(VLOOKUP("bos609110000",Balanceanp!C:G,5,FALSE))=TRUE,0,VLOOKUP("bos609110000",Balanceanp!C:G,5,FALSE))</f>
        <v>-15244.38</v>
      </c>
      <c r="F41" s="134"/>
      <c r="G41" s="134"/>
      <c r="H41" s="400"/>
      <c r="I41" s="149" t="str">
        <f t="shared" si="3"/>
        <v/>
      </c>
      <c r="J41" s="271"/>
      <c r="L41" s="444"/>
    </row>
    <row r="42" spans="1:12">
      <c r="A42" s="5" t="s">
        <v>318</v>
      </c>
      <c r="B42" s="92"/>
      <c r="C42" s="160">
        <f>IF(ISNA(VLOOKUP("bos609120000",Balance!C:G,5,FALSE))=TRUE,0,VLOOKUP("bos609120000",Balance!C:G,5,FALSE))</f>
        <v>-17782.310000000001</v>
      </c>
      <c r="D42" s="115"/>
      <c r="E42" s="160">
        <f>IF(ISNA(VLOOKUP("bos609120000",Balanceanp!C:G,5,FALSE))=TRUE,0,VLOOKUP("bos609120000",Balanceanp!C:G,5,FALSE))</f>
        <v>-23788.32</v>
      </c>
      <c r="F42" s="134"/>
      <c r="G42" s="134"/>
      <c r="H42" s="400"/>
      <c r="I42" s="149" t="str">
        <f t="shared" si="3"/>
        <v/>
      </c>
      <c r="J42" s="271"/>
      <c r="L42" s="444"/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444"/>
    </row>
    <row r="44" spans="1:12" s="33" customFormat="1" ht="15" customHeight="1">
      <c r="A44" s="13" t="s">
        <v>291</v>
      </c>
      <c r="B44" s="93"/>
      <c r="C44" s="163">
        <f>+C30+SUM(C34:C43)</f>
        <v>710572.88</v>
      </c>
      <c r="D44" s="121"/>
      <c r="E44" s="163">
        <f>+E30+SUM(E34:E43)</f>
        <v>907376.08909999998</v>
      </c>
      <c r="F44" s="139"/>
      <c r="G44" s="139"/>
      <c r="H44" s="404"/>
      <c r="I44" s="272"/>
      <c r="J44" s="188"/>
      <c r="L44" s="448"/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444"/>
    </row>
    <row r="46" spans="1:12" s="33" customFormat="1" ht="15" customHeight="1">
      <c r="A46" s="56" t="s">
        <v>339</v>
      </c>
      <c r="B46" s="95"/>
      <c r="C46" s="166">
        <f>+C21-C44</f>
        <v>377393.78999999969</v>
      </c>
      <c r="D46" s="120"/>
      <c r="E46" s="166">
        <f>+E21-E44</f>
        <v>556065.83090000018</v>
      </c>
      <c r="F46" s="138"/>
      <c r="G46" s="138"/>
      <c r="H46" s="403"/>
      <c r="I46" s="273"/>
      <c r="J46" s="274"/>
      <c r="L46" s="447"/>
    </row>
    <row r="47" spans="1:12" s="33" customFormat="1" ht="15" customHeight="1">
      <c r="A47" s="56" t="s">
        <v>340</v>
      </c>
      <c r="B47" s="95"/>
      <c r="C47" s="196">
        <f>+C46/C21</f>
        <v>0.34687991866515522</v>
      </c>
      <c r="D47" s="120"/>
      <c r="E47" s="196">
        <f>+E46/E21</f>
        <v>0.37997123309136865</v>
      </c>
      <c r="F47" s="138"/>
      <c r="G47" s="138"/>
      <c r="H47" s="403"/>
      <c r="I47" s="273"/>
      <c r="J47" s="274"/>
      <c r="L47" s="447"/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444"/>
    </row>
    <row r="49" spans="1:12">
      <c r="A49" s="5" t="s">
        <v>91</v>
      </c>
      <c r="B49" s="92">
        <f>+C49/C21</f>
        <v>1.9302061891289378E-2</v>
      </c>
      <c r="C49" s="160">
        <f>IF(ISNA(VLOOKUP("bos709700000",Balance!C:G,5,FALSE))=TRUE,0,VLOOKUP("bos709700000",Balance!C:G,5,FALSE))</f>
        <v>21000</v>
      </c>
      <c r="D49" s="117">
        <f>+[2]Bosc!$H49</f>
        <v>28000</v>
      </c>
      <c r="E49" s="160">
        <f>IF(ISNA(VLOOKUP("bos709700000",Balanceanp!C:G,5,FALSE))=TRUE,0,VLOOKUP("bos709700000",Balanceanp!C:G,5,FALSE))</f>
        <v>26254.16</v>
      </c>
      <c r="F49" s="135">
        <f>+C49+C49/9*(12-Clients!$I$14)</f>
        <v>28000</v>
      </c>
      <c r="G49" s="425">
        <v>28000</v>
      </c>
      <c r="H49" s="419"/>
      <c r="I49" s="149">
        <f>+IF((E49)=0,,(F49-E49)/E49)</f>
        <v>6.6497652181597131E-2</v>
      </c>
      <c r="J49" s="271">
        <f>+IF((F49)=0,,(G49-F49)/F49)</f>
        <v>0</v>
      </c>
      <c r="L49" s="443"/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444"/>
    </row>
    <row r="51" spans="1:12" s="33" customFormat="1" ht="15" customHeight="1">
      <c r="A51" s="13" t="s">
        <v>223</v>
      </c>
      <c r="B51" s="93"/>
      <c r="C51" s="163">
        <f>+C21-C49</f>
        <v>1066966.6699999997</v>
      </c>
      <c r="D51" s="118">
        <f>+D21-D49</f>
        <v>1502000</v>
      </c>
      <c r="E51" s="163">
        <f>+E21-E49</f>
        <v>1437187.7600000002</v>
      </c>
      <c r="F51" s="136">
        <f>+F21-F49</f>
        <v>1389297.64</v>
      </c>
      <c r="G51" s="136">
        <f>+G21-G49</f>
        <v>1474600</v>
      </c>
      <c r="H51" s="312"/>
      <c r="I51" s="272">
        <f>+IF((E51)=0,,(F51-E51)/E51)</f>
        <v>-3.3322103995653524E-2</v>
      </c>
      <c r="J51" s="188">
        <f>+IF((F51)=0,,(G51-F51)/F51)</f>
        <v>6.1399629239995042E-2</v>
      </c>
      <c r="L51" s="445"/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444"/>
    </row>
    <row r="53" spans="1:12" s="33" customFormat="1" ht="15" customHeight="1">
      <c r="A53" s="16" t="s">
        <v>3</v>
      </c>
      <c r="B53" s="96"/>
      <c r="C53" s="169">
        <f>+C51-C44</f>
        <v>356393.78999999969</v>
      </c>
      <c r="D53" s="122"/>
      <c r="E53" s="169">
        <f>+E51-E44</f>
        <v>529811.67090000026</v>
      </c>
      <c r="F53" s="140"/>
      <c r="G53" s="140"/>
      <c r="H53" s="405"/>
      <c r="I53" s="224"/>
      <c r="J53" s="123"/>
      <c r="K53" s="2"/>
      <c r="L53" s="449"/>
    </row>
    <row r="54" spans="1:12" s="33" customFormat="1" ht="15" customHeight="1">
      <c r="A54" s="16" t="s">
        <v>4</v>
      </c>
      <c r="B54" s="96"/>
      <c r="C54" s="197">
        <f>+C53/C51</f>
        <v>0.3340252324845347</v>
      </c>
      <c r="D54" s="123"/>
      <c r="E54" s="197">
        <f>+E53/E51</f>
        <v>0.36864471410471805</v>
      </c>
      <c r="F54" s="141"/>
      <c r="G54" s="141"/>
      <c r="H54" s="406"/>
      <c r="I54" s="224"/>
      <c r="J54" s="123"/>
      <c r="K54" s="2"/>
      <c r="L54" s="450"/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444"/>
    </row>
    <row r="56" spans="1:12">
      <c r="A56" s="5" t="s">
        <v>290</v>
      </c>
      <c r="B56" s="92"/>
      <c r="C56" s="160">
        <f>+[2]Bosc!$C56</f>
        <v>178415.5</v>
      </c>
      <c r="D56" s="115"/>
      <c r="E56" s="160">
        <f>+[1]Bosc!$G56</f>
        <v>180098.89910000001</v>
      </c>
      <c r="F56" s="134"/>
      <c r="G56" s="134"/>
      <c r="H56" s="400"/>
      <c r="I56" s="149" t="str">
        <f>+IF((D55)=0,"",(C55-D55)/D55)</f>
        <v/>
      </c>
      <c r="J56" s="271"/>
      <c r="L56" s="444"/>
    </row>
    <row r="57" spans="1:12">
      <c r="A57" s="5" t="s">
        <v>100</v>
      </c>
      <c r="B57" s="92"/>
      <c r="C57" s="160">
        <f>+[2]Bosc!$C57</f>
        <v>220635</v>
      </c>
      <c r="D57" s="115"/>
      <c r="E57" s="160">
        <f>+[1]Bosc!$G57</f>
        <v>174527.21</v>
      </c>
      <c r="F57" s="134"/>
      <c r="G57" s="134"/>
      <c r="H57" s="400"/>
      <c r="I57" s="149" t="str">
        <f>+IF((D56)=0,"",(C56-D56)/D56)</f>
        <v/>
      </c>
      <c r="J57" s="271"/>
      <c r="L57" s="444"/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444"/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444"/>
    </row>
    <row r="60" spans="1:12" s="33" customFormat="1" ht="15" customHeight="1">
      <c r="A60" s="16" t="s">
        <v>295</v>
      </c>
      <c r="B60" s="96"/>
      <c r="C60" s="197">
        <f>+[2]Bosc!$C60</f>
        <v>0.35</v>
      </c>
      <c r="D60" s="123">
        <f>+[2]Bosc!$H60</f>
        <v>0.38</v>
      </c>
      <c r="E60" s="197">
        <v>0.37</v>
      </c>
      <c r="F60" s="141">
        <v>0.36</v>
      </c>
      <c r="G60" s="141">
        <v>0.37</v>
      </c>
      <c r="H60" s="406"/>
      <c r="I60" s="224"/>
      <c r="J60" s="123"/>
      <c r="L60" s="450"/>
    </row>
    <row r="61" spans="1:12">
      <c r="A61" s="5" t="s">
        <v>65</v>
      </c>
      <c r="B61" s="92"/>
      <c r="C61" s="92">
        <f>+[2]Bosc!$C61</f>
        <v>0.33200000000000002</v>
      </c>
      <c r="D61" s="117"/>
      <c r="E61" s="160"/>
      <c r="F61" s="135"/>
      <c r="G61" s="135"/>
      <c r="H61" s="408"/>
      <c r="I61" s="149"/>
      <c r="J61" s="254"/>
      <c r="L61" s="443"/>
    </row>
    <row r="62" spans="1:12" s="33" customFormat="1" ht="15" customHeight="1">
      <c r="A62" s="16" t="s">
        <v>296</v>
      </c>
      <c r="B62" s="96"/>
      <c r="C62" s="169">
        <f>+C51*C60</f>
        <v>373438.33449999988</v>
      </c>
      <c r="D62" s="122">
        <f>D51*D60</f>
        <v>570760</v>
      </c>
      <c r="E62" s="169">
        <f>+E51*E60</f>
        <v>531759.47120000003</v>
      </c>
      <c r="F62" s="140">
        <f>+F51*F60</f>
        <v>500147.15039999993</v>
      </c>
      <c r="G62" s="140">
        <f>+G51*G60</f>
        <v>545602</v>
      </c>
      <c r="H62" s="405"/>
      <c r="I62" s="224">
        <f>+IF((E62)=0,,(F62-E62)/E62)</f>
        <v>-5.9448533617392579E-2</v>
      </c>
      <c r="J62" s="123">
        <f>+IF((F62)=0,,(G62-F62)/F62)</f>
        <v>9.0882952274439432E-2</v>
      </c>
      <c r="L62" s="449"/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444"/>
    </row>
    <row r="64" spans="1:12">
      <c r="A64" s="5" t="s">
        <v>104</v>
      </c>
      <c r="B64" s="92"/>
      <c r="C64" s="160">
        <f>IF(ISNA(VLOOKUP("bos613520000",Balance!C:G,5,FALSE))=TRUE,0,VLOOKUP("bos613520000",Balance!C:G,5,FALSE))</f>
        <v>4700.08</v>
      </c>
      <c r="D64" s="117">
        <f>+[2]Bosc!$H64</f>
        <v>6270</v>
      </c>
      <c r="E64" s="160">
        <f>IF(ISNA(VLOOKUP("bos613520000",Balanceanp!C:G,5,FALSE))=TRUE,0,VLOOKUP("bos613520000",Balanceanp!C:G,5,FALSE))</f>
        <v>6265.44</v>
      </c>
      <c r="F64" s="368">
        <v>6265</v>
      </c>
      <c r="G64" s="570">
        <v>6270</v>
      </c>
      <c r="H64" s="401"/>
      <c r="I64" s="149">
        <f t="shared" ref="I64:J68" si="4">+IF((E64)=0,,(F64-E64)/E64)</f>
        <v>-7.0226512423644601E-5</v>
      </c>
      <c r="J64" s="271">
        <f t="shared" si="4"/>
        <v>7.9808459696727857E-4</v>
      </c>
      <c r="L64" s="443"/>
    </row>
    <row r="65" spans="1:12">
      <c r="A65" s="5" t="s">
        <v>314</v>
      </c>
      <c r="B65" s="92"/>
      <c r="C65" s="160"/>
      <c r="D65" s="117">
        <f>+[2]Bosc!$H65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s="443"/>
    </row>
    <row r="66" spans="1:12">
      <c r="A66" s="5" t="s">
        <v>110</v>
      </c>
      <c r="B66" s="92"/>
      <c r="C66" s="160">
        <f>IF(ISNA(VLOOKUP("bos616120000",Balance!C:G,5,FALSE))=TRUE,0,VLOOKUP("bos616120000",Balance!C:G,5,FALSE))</f>
        <v>1545.93</v>
      </c>
      <c r="D66" s="117">
        <f>+[2]Bosc!$H66</f>
        <v>1936.9770000000001</v>
      </c>
      <c r="E66" s="160">
        <f>IF(ISNA(VLOOKUP("bos616120000",Balanceanp!C:G,5,FALSE))=TRUE,0,VLOOKUP("bos616120000",Balanceanp!C:G,5,FALSE))</f>
        <v>1876.47</v>
      </c>
      <c r="F66" s="368">
        <f>+C66+C66/9*(12-Clients!$I$14)</f>
        <v>2061.2400000000002</v>
      </c>
      <c r="G66" s="570">
        <f>+F66*1.05</f>
        <v>2164.3020000000001</v>
      </c>
      <c r="H66" s="401"/>
      <c r="I66" s="149">
        <f t="shared" si="4"/>
        <v>9.8466802027210781E-2</v>
      </c>
      <c r="J66" s="271">
        <f t="shared" si="4"/>
        <v>4.9999999999999947E-2</v>
      </c>
      <c r="L66" s="443"/>
    </row>
    <row r="67" spans="1:12">
      <c r="A67" s="5" t="s">
        <v>107</v>
      </c>
      <c r="B67" s="92"/>
      <c r="C67" s="160">
        <f>IF(ISNA(VLOOKUP("bos615520000",Balance!C:G,5,FALSE))=TRUE,0,VLOOKUP("bos615520000",Balance!C:G,5,FALSE))</f>
        <v>5846.46</v>
      </c>
      <c r="D67" s="117">
        <f>+[2]Bosc!$H67</f>
        <v>3900</v>
      </c>
      <c r="E67" s="160">
        <f>IF(ISNA(VLOOKUP("bos615520000",Balanceanp!C:G,5,FALSE))=TRUE,0,VLOOKUP("bos615520000",Balanceanp!C:G,5,FALSE))</f>
        <v>3468.05</v>
      </c>
      <c r="F67" s="368">
        <f>+C67+C67/9*(12-Clients!$I$14)</f>
        <v>7795.2800000000007</v>
      </c>
      <c r="G67" s="570">
        <v>3900</v>
      </c>
      <c r="H67" s="401"/>
      <c r="I67" s="149">
        <f t="shared" si="4"/>
        <v>1.2477415262179035</v>
      </c>
      <c r="J67" s="271">
        <f t="shared" si="4"/>
        <v>-0.49969725269650356</v>
      </c>
      <c r="L67" s="443"/>
    </row>
    <row r="68" spans="1:12">
      <c r="A68" s="5" t="s">
        <v>125</v>
      </c>
      <c r="B68" s="92"/>
      <c r="C68" s="160">
        <f>IF(ISNA(VLOOKUP("bos606130000",Balance!C:G,5,FALSE))=TRUE,0,VLOOKUP("bos606130000",Balance!C:G,5,FALSE))</f>
        <v>2047.96</v>
      </c>
      <c r="D68" s="117">
        <f>+[2]Bosc!$H68</f>
        <v>5483.8024000000005</v>
      </c>
      <c r="E68" s="160">
        <f>IF(ISNA(VLOOKUP("bos606130000",Balanceanp!C:G,5,FALSE))=TRUE,0,VLOOKUP("bos606130000",Balanceanp!C:G,5,FALSE))</f>
        <v>5556.83</v>
      </c>
      <c r="F68" s="368">
        <v>4000</v>
      </c>
      <c r="G68" s="570">
        <f>+F68*1.03</f>
        <v>4120</v>
      </c>
      <c r="H68" s="410"/>
      <c r="I68" s="149">
        <f t="shared" si="4"/>
        <v>-0.28016513011915067</v>
      </c>
      <c r="J68" s="271">
        <f t="shared" si="4"/>
        <v>0.03</v>
      </c>
      <c r="L68" s="443"/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444"/>
    </row>
    <row r="70" spans="1:12">
      <c r="A70" s="11" t="s">
        <v>128</v>
      </c>
      <c r="B70" s="98"/>
      <c r="C70" s="173">
        <f>SUM(C64:C69)</f>
        <v>14140.43</v>
      </c>
      <c r="D70" s="125">
        <f>SUM(D64:D69)</f>
        <v>17590.779399999999</v>
      </c>
      <c r="E70" s="276">
        <f>SUM(E64:E69)</f>
        <v>17166.79</v>
      </c>
      <c r="F70" s="370">
        <f>SUM(F64:F69)</f>
        <v>20121.52</v>
      </c>
      <c r="G70" s="359">
        <f>SUM(G64:G69)</f>
        <v>16454.302</v>
      </c>
      <c r="H70" s="412"/>
      <c r="I70" s="384">
        <f>+IF((E70)=0,,(F70-E70)/E70)</f>
        <v>0.17211895759195514</v>
      </c>
      <c r="J70" s="279">
        <f>+IF((F70)=0,,(G70-F70)/F70)</f>
        <v>-0.18225352756650595</v>
      </c>
      <c r="L70" s="443"/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444"/>
    </row>
    <row r="72" spans="1:12">
      <c r="A72" s="5" t="s">
        <v>1</v>
      </c>
      <c r="B72" s="92"/>
      <c r="C72" s="160">
        <f>IF(ISNA(VLOOKUP("bos602220000",Balance!C:G,5,FALSE))=TRUE,0,VLOOKUP("bos602220000",Balance!C:G,5,FALSE))</f>
        <v>0</v>
      </c>
      <c r="D72" s="117">
        <f>+[2]Bosc!$H72</f>
        <v>311.58682729687501</v>
      </c>
      <c r="E72" s="160">
        <f>IF(ISNA(VLOOKUP("bos602220000",Balanceanp!C:G,5,FALSE))=TRUE,0,VLOOKUP("bos602220000",Balanceanp!C:G,5,FALSE))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0</v>
      </c>
      <c r="J72" s="271">
        <f t="shared" si="5"/>
        <v>0</v>
      </c>
      <c r="L72" s="443"/>
    </row>
    <row r="73" spans="1:12">
      <c r="A73" s="5" t="s">
        <v>123</v>
      </c>
      <c r="B73" s="92"/>
      <c r="C73" s="160">
        <f>IF(ISNA(VLOOKUP("bos606100000",Balance!C:G,5,FALSE))=TRUE,0,VLOOKUP("bos606100000",Balance!C:G,5,FALSE))</f>
        <v>2209.9</v>
      </c>
      <c r="D73" s="117">
        <f>+[2]Bosc!$H73</f>
        <v>8874.8737903022247</v>
      </c>
      <c r="E73" s="160">
        <f>IF(ISNA(VLOOKUP("bos606100000",Balanceanp!C:G,5,FALSE))=TRUE,0,VLOOKUP("bos606100000",Balanceanp!C:G,5,FALSE))</f>
        <v>7678.21</v>
      </c>
      <c r="F73" s="368">
        <v>3000</v>
      </c>
      <c r="G73" s="396">
        <f t="shared" ref="G73:G101" si="6">+F73*1.03</f>
        <v>3090</v>
      </c>
      <c r="H73" s="409"/>
      <c r="I73" s="149">
        <f t="shared" si="5"/>
        <v>-0.60928393466706432</v>
      </c>
      <c r="J73" s="271">
        <f t="shared" si="5"/>
        <v>0.03</v>
      </c>
      <c r="K73" s="2" t="s">
        <v>717</v>
      </c>
      <c r="L73" s="443"/>
    </row>
    <row r="74" spans="1:12">
      <c r="A74" s="5" t="s">
        <v>124</v>
      </c>
      <c r="B74" s="92"/>
      <c r="C74" s="160">
        <f>IF(ISNA(VLOOKUP("bos606110000",Balance!C:G,5,FALSE))=TRUE,0,VLOOKUP("bos606110000",Balance!C:G,5,FALSE))</f>
        <v>1443.96</v>
      </c>
      <c r="D74" s="117">
        <f>+[2]Bosc!$H74</f>
        <v>4603.3904755354952</v>
      </c>
      <c r="E74" s="160">
        <f>IF(ISNA(VLOOKUP("bos606110000",Balanceanp!C:G,5,FALSE))=TRUE,0,VLOOKUP("bos606110000",Balanceanp!C:G,5,FALSE))</f>
        <v>5051.32</v>
      </c>
      <c r="F74" s="368">
        <f>+C74+C74/9*(12-Clients!$I$14)</f>
        <v>1925.28</v>
      </c>
      <c r="G74" s="396">
        <f t="shared" si="6"/>
        <v>1983.0383999999999</v>
      </c>
      <c r="H74" s="409"/>
      <c r="I74" s="149">
        <f t="shared" si="5"/>
        <v>-0.61885606138593474</v>
      </c>
      <c r="J74" s="271">
        <f t="shared" si="5"/>
        <v>2.9999999999999968E-2</v>
      </c>
      <c r="L74" s="443"/>
    </row>
    <row r="75" spans="1:12">
      <c r="A75" s="5" t="s">
        <v>360</v>
      </c>
      <c r="B75" s="92"/>
      <c r="C75" s="160">
        <f>IF(ISNA(VLOOKUP("bos606140000",Balance!C:G,5,FALSE))=TRUE,0,VLOOKUP("bos606140000",Balance!C:G,5,FALSE))</f>
        <v>0</v>
      </c>
      <c r="D75" s="117">
        <f>+[2]Bosc!$H75</f>
        <v>0</v>
      </c>
      <c r="E75" s="160">
        <f>IF(ISNA(VLOOKUP("bos606140000",Balanceanp!C:G,5,FALSE))=TRUE,0,VLOOKUP("bos606140000",Balanceanp!C:G,5,FALSE))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s="443"/>
    </row>
    <row r="76" spans="1:12">
      <c r="A76" s="5" t="s">
        <v>126</v>
      </c>
      <c r="B76" s="92"/>
      <c r="C76" s="160">
        <f>IF(ISNA(VLOOKUP("bos606310000",Balance!C:G,5,FALSE))=TRUE,0,VLOOKUP("bos606310000",Balance!C:G,5,FALSE))</f>
        <v>7.49</v>
      </c>
      <c r="D76" s="117">
        <f>+[2]Bosc!$H76</f>
        <v>105.57410539289201</v>
      </c>
      <c r="E76" s="160">
        <f>IF(ISNA(VLOOKUP("bos606310000",Balanceanp!C:G,5,FALSE))=TRUE,0,VLOOKUP("bos606310000",Balanceanp!C:G,5,FALSE))</f>
        <v>24.5</v>
      </c>
      <c r="F76" s="368">
        <f>+C76+C76/9*(12-Clients!$I$14)</f>
        <v>9.9866666666666664</v>
      </c>
      <c r="G76" s="396">
        <f t="shared" si="6"/>
        <v>10.286266666666666</v>
      </c>
      <c r="H76" s="409"/>
      <c r="I76" s="149">
        <f t="shared" si="5"/>
        <v>-0.59238095238095234</v>
      </c>
      <c r="J76" s="271">
        <f t="shared" si="5"/>
        <v>2.9999999999999988E-2</v>
      </c>
      <c r="L76" s="443"/>
    </row>
    <row r="77" spans="1:12">
      <c r="A77" s="5" t="s">
        <v>127</v>
      </c>
      <c r="B77" s="92"/>
      <c r="C77" s="160">
        <f>IF(ISNA(VLOOKUP("bos606410000",Balance!C:G,5,FALSE))=TRUE,0,VLOOKUP("bos606410000",Balance!C:G,5,FALSE))</f>
        <v>1287.07</v>
      </c>
      <c r="D77" s="117">
        <f>+[2]Bosc!$H77</f>
        <v>1916.0179553816668</v>
      </c>
      <c r="E77" s="160">
        <f>IF(ISNA(VLOOKUP("bos606410000",Balanceanp!C:G,5,FALSE))=TRUE,0,VLOOKUP("bos606410000",Balanceanp!C:G,5,FALSE))</f>
        <v>1912.2</v>
      </c>
      <c r="F77" s="368">
        <f>+C77+C77/9*(12-Clients!$I$14)</f>
        <v>1716.0933333333332</v>
      </c>
      <c r="G77" s="396">
        <f t="shared" si="6"/>
        <v>1767.5761333333332</v>
      </c>
      <c r="H77" s="409"/>
      <c r="I77" s="149">
        <f t="shared" si="5"/>
        <v>-0.10255552069169899</v>
      </c>
      <c r="J77" s="271">
        <f t="shared" si="5"/>
        <v>0.03</v>
      </c>
      <c r="L77" s="443"/>
    </row>
    <row r="78" spans="1:12">
      <c r="A78" s="5" t="s">
        <v>101</v>
      </c>
      <c r="B78" s="92"/>
      <c r="C78" s="160">
        <f>IF(ISNA(VLOOKUP("bos611000000",Balance!C:G,5,FALSE))=TRUE,0,VLOOKUP("bos611000000",Balance!C:G,5,FALSE))</f>
        <v>0</v>
      </c>
      <c r="D78" s="117">
        <f>+[2]Bosc!$H78</f>
        <v>198.62519803774271</v>
      </c>
      <c r="E78" s="160">
        <f>IF(ISNA(VLOOKUP("bos611000000",Balanceanp!C:G,5,FALSE))=TRUE,0,VLOOKUP("bos611000000",Balanceanp!C:G,5,FALSE))</f>
        <v>22.5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-1</v>
      </c>
      <c r="J78" s="271">
        <f t="shared" si="5"/>
        <v>0</v>
      </c>
      <c r="L78" s="443"/>
    </row>
    <row r="79" spans="1:12">
      <c r="A79" s="5" t="s">
        <v>102</v>
      </c>
      <c r="B79" s="92"/>
      <c r="C79" s="160">
        <f>IF(ISNA(VLOOKUP("bos613200000",Balance!C:G,5,FALSE))=TRUE,0,VLOOKUP("bos613200000",Balance!C:G,5,FALSE))</f>
        <v>31348.799999999999</v>
      </c>
      <c r="D79" s="117">
        <f>+[2]Bosc!$H79</f>
        <v>41798.43</v>
      </c>
      <c r="E79" s="160">
        <f>IF(ISNA(VLOOKUP("bos613200000",Balanceanp!C:G,5,FALSE))=TRUE,0,VLOOKUP("bos613200000",Balanceanp!C:G,5,FALSE))</f>
        <v>39600</v>
      </c>
      <c r="F79" s="425">
        <f>9933+9900*3</f>
        <v>39633</v>
      </c>
      <c r="G79" s="425">
        <f>9933*3+9933*1.05</f>
        <v>40228.65</v>
      </c>
      <c r="H79" s="413"/>
      <c r="I79" s="149">
        <f t="shared" si="5"/>
        <v>8.3333333333333339E-4</v>
      </c>
      <c r="J79" s="271">
        <f t="shared" si="5"/>
        <v>1.5029142381348913E-2</v>
      </c>
      <c r="L79" s="443"/>
    </row>
    <row r="80" spans="1:12">
      <c r="A80" s="5" t="s">
        <v>325</v>
      </c>
      <c r="B80" s="92"/>
      <c r="C80" s="160">
        <f>IF(ISNA(VLOOKUP("bos614000000",Balance!C:G,5,FALSE))=TRUE,0,VLOOKUP("bos614000000",Balance!C:G,5,FALSE))</f>
        <v>0</v>
      </c>
      <c r="D80" s="117">
        <f>+[2]Bosc!$H80</f>
        <v>13.459092279082295</v>
      </c>
      <c r="E80" s="160">
        <f>IF(ISNA(VLOOKUP("bos614000000",Balanceanp!C:G,5,FALSE))=TRUE,0,VLOOKUP("bos614000000",Balanceanp!C:G,5,FALSE))</f>
        <v>0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0</v>
      </c>
      <c r="J80" s="271">
        <f t="shared" si="5"/>
        <v>0</v>
      </c>
      <c r="L80" s="443"/>
    </row>
    <row r="81" spans="1:12">
      <c r="A81" s="5" t="s">
        <v>103</v>
      </c>
      <c r="B81" s="92"/>
      <c r="C81" s="160">
        <f>IF(ISNA(VLOOKUP("bos613510000",Balance!C:G,5,FALSE))=TRUE,0,VLOOKUP("bos613510000",Balance!C:G,5,FALSE))</f>
        <v>0</v>
      </c>
      <c r="D81" s="117">
        <f>+[2]Bosc!$H81</f>
        <v>32.325596098080908</v>
      </c>
      <c r="E81" s="160">
        <f>IF(ISNA(VLOOKUP("bos613510000",Balanceanp!C:G,5,FALSE))=TRUE,0,VLOOKUP("bos613510000",Balanceanp!C:G,5,FALSE))</f>
        <v>552.03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-1</v>
      </c>
      <c r="J81" s="271">
        <f t="shared" si="5"/>
        <v>0</v>
      </c>
      <c r="L81" s="443"/>
    </row>
    <row r="82" spans="1:12">
      <c r="A82" s="5" t="s">
        <v>105</v>
      </c>
      <c r="B82" s="92"/>
      <c r="C82" s="160">
        <f>IF(ISNA(VLOOKUP("bos613530000",Balance!C:G,5,FALSE))=TRUE,0,VLOOKUP("bos613530000",Balance!C:G,5,FALSE))</f>
        <v>135</v>
      </c>
      <c r="D82" s="117">
        <f>+[2]Bosc!$H82</f>
        <v>189.42506833333334</v>
      </c>
      <c r="E82" s="160">
        <f>IF(ISNA(VLOOKUP("bos613530000",Balanceanp!C:G,5,FALSE))=TRUE,0,VLOOKUP("bos613530000",Balanceanp!C:G,5,FALSE))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s="443"/>
    </row>
    <row r="83" spans="1:12">
      <c r="A83" s="5" t="s">
        <v>287</v>
      </c>
      <c r="B83" s="92"/>
      <c r="C83" s="160">
        <f>IF(ISNA(VLOOKUP("bos613540000",Balance!C:G,5,FALSE))=TRUE,0,VLOOKUP("bos613540000",Balance!C:G,5,FALSE))</f>
        <v>0</v>
      </c>
      <c r="D83" s="117">
        <f>+[2]Bosc!$H83</f>
        <v>972.83547719041667</v>
      </c>
      <c r="E83" s="160">
        <f>IF(ISNA(VLOOKUP("bos613540000",Balanceanp!C:G,5,FALSE))=TRUE,0,VLOOKUP("bos613540000",Balanceanp!C:G,5,FALSE))</f>
        <v>1093.33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-1</v>
      </c>
      <c r="J83" s="271">
        <f t="shared" si="5"/>
        <v>0</v>
      </c>
      <c r="L83" s="443"/>
    </row>
    <row r="84" spans="1:12">
      <c r="A84" s="5" t="s">
        <v>108</v>
      </c>
      <c r="B84" s="92"/>
      <c r="C84" s="160">
        <f>IF(ISNA(VLOOKUP("bos615200000",Balance!C:G,5,FALSE))=TRUE,0,VLOOKUP("bos615200000",Balance!C:G,5,FALSE))</f>
        <v>185.19</v>
      </c>
      <c r="D84" s="117">
        <f>+[2]Bosc!$H84</f>
        <v>468.70043349937504</v>
      </c>
      <c r="E84" s="160">
        <f>IF(ISNA(VLOOKUP("bos615200000",Balanceanp!C:G,5,FALSE))=TRUE,0,VLOOKUP("bos615200000",Balanceanp!C:G,5,FALSE))</f>
        <v>1399.71</v>
      </c>
      <c r="F84" s="368">
        <f>+C84+C84/9*(12-Clients!$I$14)</f>
        <v>246.92000000000002</v>
      </c>
      <c r="G84" s="396">
        <f t="shared" si="6"/>
        <v>254.32760000000002</v>
      </c>
      <c r="H84" s="409"/>
      <c r="I84" s="149">
        <f t="shared" si="5"/>
        <v>-0.82359202977759671</v>
      </c>
      <c r="J84" s="271">
        <f t="shared" si="5"/>
        <v>3.0000000000000006E-2</v>
      </c>
      <c r="L84" s="443"/>
    </row>
    <row r="85" spans="1:12">
      <c r="A85" s="5" t="s">
        <v>109</v>
      </c>
      <c r="B85" s="92"/>
      <c r="C85" s="160">
        <f>IF(ISNA(VLOOKUP("bos615500000",Balance!C:G,5,FALSE))=TRUE,0,VLOOKUP("bos615500000",Balance!C:G,5,FALSE))</f>
        <v>1074.95</v>
      </c>
      <c r="D85" s="117">
        <f>+[2]Bosc!$H85</f>
        <v>1589.4019127402084</v>
      </c>
      <c r="E85" s="160">
        <f>IF(ISNA(VLOOKUP("bos615500000",Balanceanp!C:G,5,FALSE))=TRUE,0,VLOOKUP("bos615500000",Balanceanp!C:G,5,FALSE))</f>
        <v>1131.9000000000001</v>
      </c>
      <c r="F85" s="368">
        <f>+C85+C85/9*(12-Clients!$I$14)</f>
        <v>1433.2666666666669</v>
      </c>
      <c r="G85" s="396">
        <f t="shared" si="6"/>
        <v>1476.2646666666669</v>
      </c>
      <c r="H85" s="409"/>
      <c r="I85" s="149">
        <f t="shared" si="5"/>
        <v>0.26624849073828677</v>
      </c>
      <c r="J85" s="271">
        <f t="shared" si="5"/>
        <v>3.000000000000003E-2</v>
      </c>
      <c r="L85" s="443"/>
    </row>
    <row r="86" spans="1:12">
      <c r="A86" s="5" t="s">
        <v>106</v>
      </c>
      <c r="B86" s="92"/>
      <c r="C86" s="160">
        <f>IF(ISNA(VLOOKUP("bos615510000",Balance!C:G,5,FALSE))=TRUE,0,VLOOKUP("bos615510000",Balance!C:G,5,FALSE))</f>
        <v>531.65</v>
      </c>
      <c r="D86" s="117">
        <f>+[2]Bosc!$H86</f>
        <v>917.46383773519165</v>
      </c>
      <c r="E86" s="160">
        <f>IF(ISNA(VLOOKUP("bos615510000",Balanceanp!C:G,5,FALSE))=TRUE,0,VLOOKUP("bos615510000",Balanceanp!C:G,5,FALSE))</f>
        <v>422.32</v>
      </c>
      <c r="F86" s="368">
        <f>+C86+C86/9*(12-Clients!$I$14)</f>
        <v>708.86666666666667</v>
      </c>
      <c r="G86" s="396">
        <f t="shared" si="6"/>
        <v>730.13266666666664</v>
      </c>
      <c r="H86" s="409"/>
      <c r="I86" s="149">
        <f t="shared" si="5"/>
        <v>0.67850603018248412</v>
      </c>
      <c r="J86" s="271">
        <f t="shared" si="5"/>
        <v>2.9999999999999947E-2</v>
      </c>
      <c r="L86" s="443"/>
    </row>
    <row r="87" spans="1:12">
      <c r="A87" s="5" t="s">
        <v>363</v>
      </c>
      <c r="B87" s="92"/>
      <c r="C87" s="160">
        <f>IF(ISNA(VLOOKUP("bos615530000",Balance!C:G,5,FALSE))=TRUE,0,VLOOKUP("bos615530000",Balance!C:G,5,FALSE))</f>
        <v>0</v>
      </c>
      <c r="D87" s="117">
        <f>+[2]Bosc!$H87</f>
        <v>0</v>
      </c>
      <c r="E87" s="160">
        <f>IF(ISNA(VLOOKUP("bos615530000",Balanceanp!C:G,5,FALSE))=TRUE,0,VLOOKUP("bos615530000",Balanceanp!C:G,5,FALSE))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s="443"/>
    </row>
    <row r="88" spans="1:12">
      <c r="A88" s="5" t="s">
        <v>111</v>
      </c>
      <c r="B88" s="92"/>
      <c r="C88" s="160">
        <f>IF(ISNA(VLOOKUP("bos616130000",Balance!C:G,5,FALSE))=TRUE,0,VLOOKUP("bos616130000",Balance!C:G,5,FALSE))</f>
        <v>2669.94</v>
      </c>
      <c r="D88" s="117">
        <f>+[2]Bosc!$H88</f>
        <v>3559.8843000000006</v>
      </c>
      <c r="E88" s="160">
        <f>IF(ISNA(VLOOKUP("bos616130000",Balanceanp!C:G,5,FALSE))=TRUE,0,VLOOKUP("bos616130000",Balanceanp!C:G,5,FALSE))</f>
        <v>3177.14</v>
      </c>
      <c r="F88" s="368">
        <f>+C88+C88/9*(12-Clients!$I$14)</f>
        <v>3559.92</v>
      </c>
      <c r="G88" s="570">
        <f>+F88*1.05</f>
        <v>3737.9160000000002</v>
      </c>
      <c r="H88" s="413"/>
      <c r="I88" s="149">
        <f t="shared" ref="I88:I101" si="7">+IF((E88)=0,,(F88-E88)/E88)</f>
        <v>0.12047942489156921</v>
      </c>
      <c r="J88" s="271">
        <f t="shared" ref="J88:J101" si="8">+IF((F88)=0,,(G88-F88)/F88)</f>
        <v>5.0000000000000024E-2</v>
      </c>
      <c r="L88" s="443"/>
    </row>
    <row r="89" spans="1:12">
      <c r="A89" s="5" t="s">
        <v>315</v>
      </c>
      <c r="B89" s="92"/>
      <c r="C89" s="160"/>
      <c r="D89" s="117">
        <f>+[2]Bosc!$H89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s="443"/>
    </row>
    <row r="90" spans="1:12">
      <c r="A90" s="5" t="s">
        <v>112</v>
      </c>
      <c r="B90" s="92"/>
      <c r="C90" s="160">
        <f>IF(ISNA(VLOOKUP("bos618100000",Balance!C:G,5,FALSE))=TRUE,0,VLOOKUP("bos618100000",Balance!C:G,5,FALSE))</f>
        <v>0</v>
      </c>
      <c r="D90" s="117">
        <f>+[2]Bosc!$H90</f>
        <v>97.179219541909717</v>
      </c>
      <c r="E90" s="160">
        <f>IF(ISNA(VLOOKUP("bos618100000",Balanceanp!C:G,5,FALSE))=TRUE,0,VLOOKUP("bos618100000",Balanceanp!C:G,5,FALSE))</f>
        <v>93.5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s="443"/>
    </row>
    <row r="91" spans="1:12">
      <c r="A91" s="5" t="s">
        <v>113</v>
      </c>
      <c r="B91" s="92"/>
      <c r="C91" s="160">
        <f>IF(ISNA(VLOOKUP("bos618500000",Balance!C:G,5,FALSE))=TRUE,0,VLOOKUP("bos618500000",Balance!C:G,5,FALSE))</f>
        <v>770.88</v>
      </c>
      <c r="D91" s="117">
        <f>+[2]Bosc!$H91</f>
        <v>930.19180150916657</v>
      </c>
      <c r="E91" s="160">
        <f>IF(ISNA(VLOOKUP("bos618500000",Balanceanp!C:G,5,FALSE))=TRUE,0,VLOOKUP("bos618500000",Balanceanp!C:G,5,FALSE))</f>
        <v>808.43</v>
      </c>
      <c r="F91" s="368">
        <f>+C91+C91/9*(12-Clients!$I$14)</f>
        <v>1027.8400000000001</v>
      </c>
      <c r="G91" s="396">
        <f t="shared" si="6"/>
        <v>1058.6752000000001</v>
      </c>
      <c r="H91" s="409"/>
      <c r="I91" s="149">
        <f t="shared" si="7"/>
        <v>0.27140259515356951</v>
      </c>
      <c r="J91" s="271">
        <f t="shared" si="8"/>
        <v>2.9999999999999982E-2</v>
      </c>
      <c r="L91" s="443"/>
    </row>
    <row r="92" spans="1:12">
      <c r="A92" s="5" t="s">
        <v>309</v>
      </c>
      <c r="B92" s="92"/>
      <c r="C92" s="160">
        <f>IF(ISNA(VLOOKUP("BOS622200000",Balance!C:G,5,FALSE))=TRUE,0,VLOOKUP("BOS622200000",Balance!C:G,5,FALSE))</f>
        <v>0</v>
      </c>
      <c r="D92" s="117">
        <f>+[2]Bosc!$H92</f>
        <v>0</v>
      </c>
      <c r="E92" s="160">
        <f>IF(ISNA(VLOOKUP("BOS622200000",Balanceanp!C:G,5,FALSE))=TRUE,0,VLOOKUP("BOS622200000",Balanceanp!C:G,5,FALSE))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s="443"/>
    </row>
    <row r="93" spans="1:12">
      <c r="A93" s="5" t="s">
        <v>115</v>
      </c>
      <c r="B93" s="92"/>
      <c r="C93" s="160">
        <f>IF(ISNA(VLOOKUP("bos622600000",Balance!C:G,5,FALSE))=TRUE,0,VLOOKUP("bos622600000",Balance!C:G,5,FALSE))</f>
        <v>0</v>
      </c>
      <c r="D93" s="117">
        <f>+[2]Bosc!$H93</f>
        <v>2.8552751623687507</v>
      </c>
      <c r="E93" s="160">
        <f>IF(ISNA(VLOOKUP("bos622600000",Balanceanp!C:G,5,FALSE))=TRUE,0,VLOOKUP("bos622600000",Balanceanp!C:G,5,FALSE))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s="443"/>
    </row>
    <row r="94" spans="1:12">
      <c r="A94" s="5" t="s">
        <v>42</v>
      </c>
      <c r="B94" s="92"/>
      <c r="C94" s="160">
        <f>IF(ISNA(VLOOKUP("bos622710000",Balance!C:G,5,FALSE))=TRUE,0,VLOOKUP("bos622710000",Balance!C:G,5,FALSE))</f>
        <v>0</v>
      </c>
      <c r="D94" s="117">
        <f>+[2]Bosc!$H94</f>
        <v>14.753413751494794</v>
      </c>
      <c r="E94" s="160">
        <f>IF(ISNA(VLOOKUP("bos622710000",Balanceanp!C:G,5,FALSE))=TRUE,0,VLOOKUP("bos622710000",Balanceanp!C:G,5,FALSE))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s="443"/>
    </row>
    <row r="95" spans="1:12">
      <c r="A95" s="5" t="s">
        <v>117</v>
      </c>
      <c r="B95" s="92">
        <f>+C95/$C$21</f>
        <v>1.0511553630590543E-2</v>
      </c>
      <c r="C95" s="160">
        <f>IF(ISNA(VLOOKUP("bos624200000",Balance!C:G,5,FALSE))=TRUE,0,VLOOKUP("bos624200000",Balance!C:G,5,FALSE))</f>
        <v>11436.22</v>
      </c>
      <c r="D95" s="117">
        <f>+[2]Bosc!$H95</f>
        <v>20004.372987281251</v>
      </c>
      <c r="E95" s="160">
        <f>IF(ISNA(VLOOKUP("bos624200000",Balanceanp!C:G,5,FALSE))=TRUE,0,VLOOKUP("bos624200000",Balanceanp!C:G,5,FALSE))</f>
        <v>19663.669999999998</v>
      </c>
      <c r="F95" s="368">
        <f>+C95+C95/9*(12-Clients!$I$14)</f>
        <v>15248.293333333331</v>
      </c>
      <c r="G95" s="396">
        <f t="shared" si="6"/>
        <v>15705.742133333331</v>
      </c>
      <c r="H95" s="420">
        <f>+G95/$G$21</f>
        <v>1.0452377301566174E-2</v>
      </c>
      <c r="I95" s="149">
        <f t="shared" si="7"/>
        <v>-0.22454489251836851</v>
      </c>
      <c r="J95" s="271">
        <f t="shared" si="8"/>
        <v>3.0000000000000013E-2</v>
      </c>
      <c r="L95" s="443"/>
    </row>
    <row r="96" spans="1:12">
      <c r="A96" s="5" t="s">
        <v>118</v>
      </c>
      <c r="B96" s="92"/>
      <c r="C96" s="160">
        <f>IF(ISNA(VLOOKUP("bos625100000",Balance!C:G,5,FALSE))=TRUE,0,VLOOKUP("bos625100000",Balance!C:G,5,FALSE))</f>
        <v>11232.39</v>
      </c>
      <c r="D96" s="117">
        <f>+[2]Bosc!$H96</f>
        <v>16000</v>
      </c>
      <c r="E96" s="160">
        <f>IF(ISNA(VLOOKUP("bos625100000",Balanceanp!C:G,5,FALSE))=TRUE,0,VLOOKUP("bos625100000",Balanceanp!C:G,5,FALSE))</f>
        <v>17666.689999999999</v>
      </c>
      <c r="F96" s="368">
        <f>+C96+C96/9*(12-Clients!$I$14)</f>
        <v>14976.52</v>
      </c>
      <c r="G96" s="570">
        <v>16000</v>
      </c>
      <c r="H96" s="401"/>
      <c r="I96" s="149">
        <f t="shared" si="7"/>
        <v>-0.15227357246886647</v>
      </c>
      <c r="J96" s="271">
        <f t="shared" si="8"/>
        <v>6.8338973272829701E-2</v>
      </c>
      <c r="L96" s="443"/>
    </row>
    <row r="97" spans="1:12">
      <c r="A97" s="5" t="s">
        <v>7</v>
      </c>
      <c r="B97" s="92"/>
      <c r="C97" s="160">
        <f>IF(ISNA(VLOOKUP("BOS625200000",Balance!C:G,5,FALSE))=TRUE,0,VLOOKUP("BOS625200000",Balance!C:G,5,FALSE))</f>
        <v>0</v>
      </c>
      <c r="D97" s="117">
        <f>+[2]Bosc!$H97</f>
        <v>400</v>
      </c>
      <c r="E97" s="160">
        <f>IF(ISNA(VLOOKUP("BOS625200000",Balanceanp!C:G,5,FALSE))=TRUE,0,VLOOKUP("BOS625200000",Balanceanp!C:G,5,FALSE))</f>
        <v>276.31</v>
      </c>
      <c r="F97" s="368">
        <f>+C97+C97/9*(12-Clients!$I$14)</f>
        <v>0</v>
      </c>
      <c r="G97" s="570">
        <v>200</v>
      </c>
      <c r="H97" s="401"/>
      <c r="I97" s="149">
        <f t="shared" si="7"/>
        <v>-1</v>
      </c>
      <c r="J97" s="271">
        <f t="shared" si="8"/>
        <v>0</v>
      </c>
      <c r="L97" s="443"/>
    </row>
    <row r="98" spans="1:12">
      <c r="A98" s="5" t="s">
        <v>307</v>
      </c>
      <c r="B98" s="92"/>
      <c r="C98" s="160">
        <f>IF(ISNA(VLOOKUP("BOS625510000",Balance!C:G,5,FALSE))=TRUE,0,VLOOKUP("BOS625510000",Balance!C:G,5,FALSE))</f>
        <v>0</v>
      </c>
      <c r="D98" s="117">
        <f>+[2]Bosc!$H98</f>
        <v>0</v>
      </c>
      <c r="E98" s="160">
        <f>IF(ISNA(VLOOKUP("BOS625510000",Balanceanp!C:G,5,FALSE))=TRUE,0,VLOOKUP("BOS625510000",Balanceanp!C:G,5,FALSE))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s="443"/>
    </row>
    <row r="99" spans="1:12">
      <c r="A99" s="5" t="s">
        <v>119</v>
      </c>
      <c r="B99" s="92"/>
      <c r="C99" s="160">
        <f>IF(ISNA(VLOOKUP("bos626000000",Balance!C:G,5,FALSE))=TRUE,0,VLOOKUP("bos626000000",Balance!C:G,5,FALSE))</f>
        <v>4383.66</v>
      </c>
      <c r="D99" s="117">
        <f>+[2]Bosc!$H99</f>
        <v>6120.5826984022788</v>
      </c>
      <c r="E99" s="160">
        <f>IF(ISNA(VLOOKUP("bos626000000",Balanceanp!C:G,5,FALSE))=TRUE,0,VLOOKUP("bos626000000",Balanceanp!C:G,5,FALSE))</f>
        <v>5689.25</v>
      </c>
      <c r="F99" s="368">
        <f>+C99+C99/9*(12-Clients!$I$14)</f>
        <v>5844.88</v>
      </c>
      <c r="G99" s="396">
        <f>+F99</f>
        <v>5844.88</v>
      </c>
      <c r="H99" s="409"/>
      <c r="I99" s="149">
        <f t="shared" si="7"/>
        <v>2.7355099529815022E-2</v>
      </c>
      <c r="J99" s="271">
        <f t="shared" si="8"/>
        <v>0</v>
      </c>
      <c r="L99" s="443"/>
    </row>
    <row r="100" spans="1:12">
      <c r="A100" s="5" t="s">
        <v>120</v>
      </c>
      <c r="B100" s="92"/>
      <c r="C100" s="160">
        <f>IF(ISNA(VLOOKUP("bos626100000",Balance!C:G,5,FALSE))=TRUE,0,VLOOKUP("bos626100000",Balance!C:G,5,FALSE))</f>
        <v>948.67</v>
      </c>
      <c r="D100" s="117">
        <f>+[2]Bosc!$H100</f>
        <v>993.71131478264908</v>
      </c>
      <c r="E100" s="160">
        <f>IF(ISNA(VLOOKUP("bos626100000",Balanceanp!C:G,5,FALSE))=TRUE,0,VLOOKUP("bos626100000",Balanceanp!C:G,5,FALSE))</f>
        <v>905.28</v>
      </c>
      <c r="F100" s="368">
        <f>+C100+C100/9*(12-Clients!$I$14)</f>
        <v>1264.8933333333332</v>
      </c>
      <c r="G100" s="396">
        <f t="shared" si="6"/>
        <v>1302.8401333333331</v>
      </c>
      <c r="H100" s="409"/>
      <c r="I100" s="149">
        <f t="shared" si="7"/>
        <v>0.39723989631200651</v>
      </c>
      <c r="J100" s="271">
        <f t="shared" si="8"/>
        <v>2.9999999999999954E-2</v>
      </c>
      <c r="L100" s="443"/>
    </row>
    <row r="101" spans="1:12">
      <c r="A101" s="5" t="s">
        <v>121</v>
      </c>
      <c r="B101" s="92"/>
      <c r="C101" s="160">
        <f>IF(ISNA(VLOOKUP("bos628400000",Balance!C:G,5,FALSE))=TRUE,0,VLOOKUP("bos628400000",Balance!C:G,5,FALSE))</f>
        <v>0</v>
      </c>
      <c r="D101" s="117">
        <f>+[2]Bosc!$H101</f>
        <v>0</v>
      </c>
      <c r="E101" s="160">
        <f>IF(ISNA(VLOOKUP("bos628400000",Balanceanp!C:G,5,FALSE))=TRUE,0,VLOOKUP("bos628400000",Balanceanp!C:G,5,FALSE))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s="443"/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444"/>
    </row>
    <row r="103" spans="1:12" s="33" customFormat="1" ht="15" customHeight="1">
      <c r="A103" s="13" t="s">
        <v>122</v>
      </c>
      <c r="B103" s="93">
        <f>+C103/$C$21</f>
        <v>7.7030117108275037E-2</v>
      </c>
      <c r="C103" s="163">
        <f>SUM(C70:C102)</f>
        <v>83806.2</v>
      </c>
      <c r="D103" s="118">
        <f>SUM(D70:D102)</f>
        <v>127706.42018025368</v>
      </c>
      <c r="E103" s="163">
        <f>SUM(E70:E102)</f>
        <v>124515.08</v>
      </c>
      <c r="F103" s="136">
        <f>SUM(F70:F102)</f>
        <v>110897.28</v>
      </c>
      <c r="G103" s="136">
        <f>SUM(G70:G102)</f>
        <v>110030.0312</v>
      </c>
      <c r="H103" s="421">
        <f>+G103/$G$21</f>
        <v>7.322642832423798E-2</v>
      </c>
      <c r="I103" s="272">
        <f>+IF((E103)=0,,(F103-E103)/E103)</f>
        <v>-0.10936667269538761</v>
      </c>
      <c r="J103" s="188">
        <f>+IF((F103)=0,,(G103-F103)/F103)</f>
        <v>-7.8202891901406526E-3</v>
      </c>
      <c r="L103" s="445"/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444"/>
    </row>
    <row r="105" spans="1:12">
      <c r="A105" s="5" t="s">
        <v>129</v>
      </c>
      <c r="B105" s="92"/>
      <c r="C105" s="160">
        <f>IF(ISNA(VLOOKUP("bos623100000",Balance!C:G,5,FALSE))=TRUE,0,VLOOKUP("bos623100000",Balance!C:G,5,FALSE))</f>
        <v>0</v>
      </c>
      <c r="D105" s="117">
        <f>+[2]Bosc!$H105</f>
        <v>1300</v>
      </c>
      <c r="E105" s="160">
        <f>IF(ISNA(VLOOKUP("bos623100000",Balanceanp!C:G,5,FALSE))=TRUE,0,VLOOKUP("bos623100000",Balanceanp!C:G,5,FALSE))</f>
        <v>1066</v>
      </c>
      <c r="F105" s="368">
        <f>+C105+C105/9*(12-Clients!$I$14)</f>
        <v>0</v>
      </c>
      <c r="G105" s="570">
        <v>1300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s="443"/>
    </row>
    <row r="106" spans="1:12">
      <c r="A106" s="5" t="s">
        <v>130</v>
      </c>
      <c r="B106" s="92"/>
      <c r="C106" s="160">
        <f>IF(ISNA(VLOOKUP("bos623200000",Balance!C:G,5,FALSE))=TRUE,0,VLOOKUP("bos623200000",Balance!C:G,5,FALSE))</f>
        <v>5683.78</v>
      </c>
      <c r="D106" s="117">
        <f>+[2]Bosc!$H106</f>
        <v>5000</v>
      </c>
      <c r="E106" s="160">
        <f>IF(ISNA(VLOOKUP("bos623200000",Balanceanp!C:G,5,FALSE))=TRUE,0,VLOOKUP("bos623200000",Balanceanp!C:G,5,FALSE))</f>
        <v>11133.8</v>
      </c>
      <c r="F106" s="368">
        <f>+C106+C106/9*(12-Clients!$I$14)</f>
        <v>7578.373333333333</v>
      </c>
      <c r="G106" s="570">
        <v>6500</v>
      </c>
      <c r="H106" s="401"/>
      <c r="I106" s="149">
        <f t="shared" si="9"/>
        <v>-0.3193363152442712</v>
      </c>
      <c r="J106" s="271">
        <f t="shared" si="9"/>
        <v>-0.14229614798602336</v>
      </c>
      <c r="L106" s="443"/>
    </row>
    <row r="107" spans="1:12">
      <c r="A107" s="5" t="s">
        <v>131</v>
      </c>
      <c r="B107" s="92"/>
      <c r="C107" s="160">
        <f>IF(ISNA(VLOOKUP("bos629000000",Balance!C:G,5,FALSE))=TRUE,0,VLOOKUP("bos629000000",Balance!C:G,5,FALSE))</f>
        <v>0</v>
      </c>
      <c r="D107" s="117">
        <f>+[2]Bosc!$H107</f>
        <v>0</v>
      </c>
      <c r="E107" s="160">
        <f>IF(ISNA(VLOOKUP("bos629000000",Balanceanp!C:G,5,FALSE))=TRUE,0,VLOOKUP("bos629000000",Balanceanp!C:G,5,FALSE))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s="443"/>
    </row>
    <row r="108" spans="1:12">
      <c r="A108" s="5" t="s">
        <v>132</v>
      </c>
      <c r="B108" s="92"/>
      <c r="C108" s="160">
        <f>IF(ISNA(VLOOKUP("bos623300000",Balance!C:G,5,FALSE))=TRUE,0,VLOOKUP("bos623300000",Balance!C:G,5,FALSE))</f>
        <v>0</v>
      </c>
      <c r="D108" s="117">
        <f>+[2]Bosc!$H108</f>
        <v>1000</v>
      </c>
      <c r="E108" s="160">
        <f>IF(ISNA(VLOOKUP("bos623300000",Balanceanp!C:G,5,FALSE))=TRUE,0,VLOOKUP("bos623300000",Balanceanp!C:G,5,FALSE))</f>
        <v>1122.2</v>
      </c>
      <c r="F108" s="368">
        <f>+C108+C108/9*(12-Clients!$I$14)</f>
        <v>0</v>
      </c>
      <c r="G108" s="570">
        <v>200</v>
      </c>
      <c r="H108" s="401"/>
      <c r="I108" s="149">
        <f t="shared" si="9"/>
        <v>-1</v>
      </c>
      <c r="J108" s="271">
        <f t="shared" si="9"/>
        <v>0</v>
      </c>
      <c r="L108" s="443"/>
    </row>
    <row r="109" spans="1:12">
      <c r="A109" s="5" t="s">
        <v>133</v>
      </c>
      <c r="B109" s="92"/>
      <c r="C109" s="160">
        <f>IF(ISNA(VLOOKUP("bos623700000",Balance!C:G,5,FALSE))=TRUE,0,VLOOKUP("bos623700000",Balance!C:G,5,FALSE))</f>
        <v>2409.1799999999998</v>
      </c>
      <c r="D109" s="117">
        <f>+[2]Bosc!$H109</f>
        <v>7000</v>
      </c>
      <c r="E109" s="160">
        <f>IF(ISNA(VLOOKUP("bos623700000",Balanceanp!C:G,5,FALSE))=TRUE,0,VLOOKUP("bos623700000",Balanceanp!C:G,5,FALSE))</f>
        <v>2317.62</v>
      </c>
      <c r="F109" s="368">
        <f>+C109+C109/9*(12-Clients!$I$14)</f>
        <v>3212.24</v>
      </c>
      <c r="G109" s="570">
        <v>4500</v>
      </c>
      <c r="H109" s="401"/>
      <c r="I109" s="149">
        <f t="shared" si="9"/>
        <v>0.38600805999257859</v>
      </c>
      <c r="J109" s="271">
        <f t="shared" si="9"/>
        <v>0.40089158966951421</v>
      </c>
      <c r="L109" s="443"/>
    </row>
    <row r="110" spans="1:12">
      <c r="A110" s="5" t="s">
        <v>134</v>
      </c>
      <c r="B110" s="92"/>
      <c r="C110" s="160">
        <f>IF(ISNA(VLOOKUP("bos623410000",Balance!C:G,5,FALSE))=TRUE,0,VLOOKUP("bos623410000",Balance!C:G,5,FALSE))+IF(ISNA(VLOOKUP("bos623420000",Balance!C:G,5,FALSE))=TRUE,0,VLOOKUP("bos623420000",Balance!C:G,5,FALSE))</f>
        <v>29613.56</v>
      </c>
      <c r="D110" s="117">
        <f>+[2]Bosc!$H110</f>
        <v>40000</v>
      </c>
      <c r="E110" s="160">
        <f>IF(ISNA(VLOOKUP("bos623410000",Balanceanp!C:G,5,FALSE))=TRUE,0,VLOOKUP("bos623410000",Balanceanp!C:G,5,FALSE))+IF(ISNA(VLOOKUP("bos623420000",Balanceanp!C:G,5,FALSE))=TRUE,0,VLOOKUP("bos623420000",Balanceanp!C:G,5,FALSE))</f>
        <v>46797.329999999994</v>
      </c>
      <c r="F110" s="368">
        <f>+C110+C110/9*(12-Clients!$I$14)</f>
        <v>39484.746666666673</v>
      </c>
      <c r="G110" s="570">
        <v>40000</v>
      </c>
      <c r="H110" s="401"/>
      <c r="I110" s="149">
        <f t="shared" si="9"/>
        <v>-0.15626069549979288</v>
      </c>
      <c r="J110" s="271">
        <f t="shared" si="9"/>
        <v>1.304942735692686E-2</v>
      </c>
      <c r="L110" s="443"/>
    </row>
    <row r="111" spans="1:12">
      <c r="A111" s="5" t="s">
        <v>135</v>
      </c>
      <c r="B111" s="92"/>
      <c r="C111" s="160">
        <f>IF(ISNA(VLOOKUP("bos623800000",Balance!C:G,5,FALSE))=TRUE,0,VLOOKUP("bos623800000",Balance!C:G,5,FALSE))+IF(ISNA(VLOOKUP("bos623820000",Balance!C:G,5,FALSE))=TRUE,0,VLOOKUP("bos623820000",Balance!C:G,5,FALSE))</f>
        <v>71.5</v>
      </c>
      <c r="D111" s="117">
        <f>+[2]Bosc!$H111</f>
        <v>100</v>
      </c>
      <c r="E111" s="160">
        <f>IF(ISNA(VLOOKUP("bos623800000",Balanceanp!C:G,5,FALSE))=TRUE,0,VLOOKUP("bos623800000",Balanceanp!C:G,5,FALSE))</f>
        <v>125</v>
      </c>
      <c r="F111" s="368">
        <f>+C111+C111/9*(12-Clients!$I$14)</f>
        <v>95.333333333333343</v>
      </c>
      <c r="G111" s="570">
        <v>100</v>
      </c>
      <c r="H111" s="401"/>
      <c r="I111" s="149">
        <f t="shared" si="9"/>
        <v>-0.23733333333333326</v>
      </c>
      <c r="J111" s="271">
        <f t="shared" si="9"/>
        <v>4.8951048951048848E-2</v>
      </c>
      <c r="L111" s="443"/>
    </row>
    <row r="112" spans="1:12">
      <c r="A112" s="5" t="s">
        <v>136</v>
      </c>
      <c r="B112" s="92"/>
      <c r="C112" s="160">
        <f>IF(ISNA(VLOOKUP("bos625600000",Balance!C:G,5,FALSE))=TRUE,0,VLOOKUP("bos625600000",Balance!C:G,5,FALSE))</f>
        <v>1500</v>
      </c>
      <c r="D112" s="117">
        <f>+[2]Bosc!$H112</f>
        <v>2000</v>
      </c>
      <c r="E112" s="160">
        <f>IF(ISNA(VLOOKUP("bos625600000",Balanceanp!C:G,5,FALSE))=TRUE,0,VLOOKUP("bos625600000",Balanceanp!C:G,5,FALSE))</f>
        <v>25.23</v>
      </c>
      <c r="F112" s="368">
        <v>25</v>
      </c>
      <c r="G112" s="570">
        <v>500</v>
      </c>
      <c r="H112" s="401"/>
      <c r="I112" s="149">
        <f t="shared" si="9"/>
        <v>-9.1161315893777423E-3</v>
      </c>
      <c r="J112" s="271">
        <f t="shared" si="9"/>
        <v>19</v>
      </c>
      <c r="L112" s="443"/>
    </row>
    <row r="113" spans="1:12">
      <c r="A113" s="5" t="s">
        <v>137</v>
      </c>
      <c r="B113" s="92"/>
      <c r="C113" s="160">
        <f>IF(ISNA(VLOOKUP("bos625700000",Balance!C:G,5,FALSE))=TRUE,0,VLOOKUP("bos625700000",Balance!C:G,5,FALSE))+IF(ISNA(VLOOKUP("bos625710000",Balance!C:G,5,FALSE))=TRUE,0,VLOOKUP("bos625710000",Balance!C:G,5,FALSE))</f>
        <v>13227.45</v>
      </c>
      <c r="D113" s="117">
        <f>+[2]Bosc!$H113</f>
        <v>17000</v>
      </c>
      <c r="E113" s="160">
        <f>IF(ISNA(VLOOKUP("bos625700000",Balanceanp!C:G,5,FALSE))=TRUE,0,VLOOKUP("bos625700000",Balanceanp!C:G,5,FALSE))+IF(ISNA(VLOOKUP("bos625710000",Balanceanp!C:G,5,FALSE))=TRUE,0,VLOOKUP("bos625710000",Balanceanp!C:G,5,FALSE))</f>
        <v>20137.660000000003</v>
      </c>
      <c r="F113" s="368">
        <v>18000</v>
      </c>
      <c r="G113" s="570">
        <v>18000</v>
      </c>
      <c r="H113" s="401"/>
      <c r="I113" s="149">
        <f t="shared" si="9"/>
        <v>-0.10615235335187917</v>
      </c>
      <c r="J113" s="271">
        <f t="shared" si="9"/>
        <v>0</v>
      </c>
      <c r="L113" s="443"/>
    </row>
    <row r="114" spans="1:12">
      <c r="A114" s="5" t="s">
        <v>138</v>
      </c>
      <c r="B114" s="92"/>
      <c r="C114" s="160">
        <f>IF(ISNA(VLOOKUP("bos623810000",Balance!C:G,5,FALSE))=TRUE,0,VLOOKUP("bos623810000",Balance!C:G,5,FALSE))</f>
        <v>0</v>
      </c>
      <c r="D114" s="117">
        <f>+[2]Bosc!$H114</f>
        <v>0</v>
      </c>
      <c r="E114" s="160">
        <f>IF(ISNA(VLOOKUP("bos623810000",Balanceanp!C:G,5,FALSE))=TRUE,0,VLOOKUP("bos623810000",Balanceanp!C:G,5,FALSE))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s="443"/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444"/>
    </row>
    <row r="116" spans="1:12" s="33" customFormat="1" ht="15" customHeight="1">
      <c r="A116" s="13" t="s">
        <v>133</v>
      </c>
      <c r="B116" s="93">
        <f>+C116/$C$21</f>
        <v>4.8260182455773223E-2</v>
      </c>
      <c r="C116" s="163">
        <f>SUM(C104:C115)</f>
        <v>52505.47</v>
      </c>
      <c r="D116" s="118">
        <f>SUM(D104:D115)</f>
        <v>73400</v>
      </c>
      <c r="E116" s="163">
        <f>SUM(E104:E115)</f>
        <v>82724.84</v>
      </c>
      <c r="F116" s="136">
        <f>SUM(F104:F115)</f>
        <v>68395.693333333344</v>
      </c>
      <c r="G116" s="136">
        <f>SUM(G104:G115)</f>
        <v>71100</v>
      </c>
      <c r="H116" s="421">
        <f>+G116/$G$21</f>
        <v>4.7317982164248637E-2</v>
      </c>
      <c r="I116" s="272">
        <f>+IF((E116)=0,,(F116-E116)/E116)</f>
        <v>-0.17321455885156931</v>
      </c>
      <c r="J116" s="188">
        <f>+IF((F116)=0,,(G116-F116)/F116)</f>
        <v>3.9539136674687156E-2</v>
      </c>
      <c r="L116" s="445"/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444"/>
    </row>
    <row r="118" spans="1:12">
      <c r="A118" s="5" t="s">
        <v>139</v>
      </c>
      <c r="B118" s="92"/>
      <c r="C118" s="160">
        <f>IF(ISNA(VLOOKUP("bos633300000",Balance!C:G,5,FALSE))=TRUE,0,VLOOKUP("bos633300000",Balance!C:G,5,FALSE))</f>
        <v>1601.52</v>
      </c>
      <c r="D118" s="117">
        <f>+[2]Bosc!$H118</f>
        <v>892.49999999999989</v>
      </c>
      <c r="E118" s="160">
        <f>IF(ISNA(VLOOKUP("bos633300000",Balanceanp!C:G,5,FALSE))=TRUE,0,VLOOKUP("bos633300000",Balanceanp!C:G,5,FALSE))</f>
        <v>923</v>
      </c>
      <c r="F118" s="368">
        <f>+C118+C118/9*(12-Clients!$I$14)</f>
        <v>2135.3599999999997</v>
      </c>
      <c r="G118" s="396">
        <f>G131*(0.2+0.5)%</f>
        <v>944.99999999999989</v>
      </c>
      <c r="H118" s="409"/>
      <c r="I118" s="149">
        <f t="shared" ref="I118:J127" si="10">+IF((E118)=0,,(F118-E118)/E118)</f>
        <v>1.3134994582881903</v>
      </c>
      <c r="J118" s="271">
        <f t="shared" si="10"/>
        <v>-0.55745167091263292</v>
      </c>
      <c r="L118" s="443"/>
    </row>
    <row r="119" spans="1:12">
      <c r="A119" s="5" t="s">
        <v>140</v>
      </c>
      <c r="B119" s="92"/>
      <c r="C119" s="160">
        <f>IF(ISNA(VLOOKUP("bos633400000",Balance!C:G,5,FALSE))=TRUE,0,VLOOKUP("bos633400000",Balance!C:G,5,FALSE))</f>
        <v>0</v>
      </c>
      <c r="D119" s="117">
        <f>+[2]Bosc!$H119</f>
        <v>573.75000000000011</v>
      </c>
      <c r="E119" s="160">
        <f>IF(ISNA(VLOOKUP("bos633400000",Balanceanp!C:G,5,FALSE))=TRUE,0,VLOOKUP("bos633400000",Balanceanp!C:G,5,FALSE))</f>
        <v>508</v>
      </c>
      <c r="F119" s="368">
        <f>+C119+C119/9*(12-Clients!$I$14)</f>
        <v>0</v>
      </c>
      <c r="G119" s="396">
        <f>+G131*0.45%</f>
        <v>607.50000000000011</v>
      </c>
      <c r="H119" s="409"/>
      <c r="I119" s="149">
        <f t="shared" si="10"/>
        <v>-1</v>
      </c>
      <c r="J119" s="271">
        <f t="shared" si="10"/>
        <v>0</v>
      </c>
      <c r="L119" s="443"/>
    </row>
    <row r="120" spans="1:12">
      <c r="A120" s="5" t="s">
        <v>141</v>
      </c>
      <c r="B120" s="92"/>
      <c r="C120" s="160">
        <f>IF(ISNA(VLOOKUP("bos633500000",Balance!C:G,5,FALSE))=TRUE,0,VLOOKUP("bos633500000",Balance!C:G,5,FALSE))</f>
        <v>0</v>
      </c>
      <c r="D120" s="117">
        <f>+[2]Bosc!$H120</f>
        <v>994.50000000000011</v>
      </c>
      <c r="E120" s="160">
        <f>IF(ISNA(VLOOKUP("bos633500000",Balanceanp!C:G,5,FALSE))=TRUE,0,VLOOKUP("bos633500000",Balanceanp!C:G,5,FALSE))</f>
        <v>768</v>
      </c>
      <c r="F120" s="368">
        <f>+C120+C120/9*(12-Clients!$I$14)</f>
        <v>0</v>
      </c>
      <c r="G120" s="396">
        <f>+G131*(0.6+0.18)%</f>
        <v>1053</v>
      </c>
      <c r="H120" s="409"/>
      <c r="I120" s="149">
        <f t="shared" si="10"/>
        <v>-1</v>
      </c>
      <c r="J120" s="271">
        <f t="shared" si="10"/>
        <v>0</v>
      </c>
      <c r="L120" s="443"/>
    </row>
    <row r="121" spans="1:12">
      <c r="A121" s="5" t="s">
        <v>706</v>
      </c>
      <c r="B121" s="92"/>
      <c r="C121" s="160">
        <f>IF(ISNA(VLOOKUP("bos635110000",Balance!C:G,5,FALSE))=TRUE,0,VLOOKUP("bos635110000",Balance!C:G,5,FALSE))</f>
        <v>4594.32</v>
      </c>
      <c r="D121" s="117">
        <f>+[2]Bosc!$H121</f>
        <v>6125.7</v>
      </c>
      <c r="E121" s="160">
        <f>IF(ISNA(VLOOKUP("bos635110000",Balanceanp!C:G,5,FALSE))=TRUE,0,VLOOKUP("bos635110000",Balanceanp!C:G,5,FALSE))</f>
        <v>5834</v>
      </c>
      <c r="F121" s="570">
        <v>1128</v>
      </c>
      <c r="G121" s="570">
        <f>+F121*1.05</f>
        <v>1184.4000000000001</v>
      </c>
      <c r="H121" s="413"/>
      <c r="I121" s="149">
        <f t="shared" si="10"/>
        <v>-0.80665066849502909</v>
      </c>
      <c r="J121" s="271">
        <f t="shared" si="10"/>
        <v>5.0000000000000079E-2</v>
      </c>
      <c r="L121" s="443"/>
    </row>
    <row r="122" spans="1:12">
      <c r="A122" s="5" t="s">
        <v>143</v>
      </c>
      <c r="B122" s="92"/>
      <c r="C122" s="160">
        <f>IF(ISNA(VLOOKUP("bos635120000",Balance!C:G,5,FALSE))=TRUE,0,VLOOKUP("bos635120000",Balance!C:G,5,FALSE))</f>
        <v>2178.27</v>
      </c>
      <c r="D122" s="117">
        <f>+[2]Bosc!$H122</f>
        <v>2904.3</v>
      </c>
      <c r="E122" s="160">
        <f>IF(ISNA(VLOOKUP("bos635120000",Balanceanp!C:G,5,FALSE))=TRUE,0,VLOOKUP("bos635120000",Balanceanp!C:G,5,FALSE))</f>
        <v>2766</v>
      </c>
      <c r="F122" s="425">
        <v>2799</v>
      </c>
      <c r="G122" s="425">
        <f>+F122*1.05</f>
        <v>2938.9500000000003</v>
      </c>
      <c r="H122" s="413"/>
      <c r="I122" s="149">
        <f t="shared" si="10"/>
        <v>1.193058568329718E-2</v>
      </c>
      <c r="J122" s="271">
        <f t="shared" si="10"/>
        <v>5.00000000000001E-2</v>
      </c>
      <c r="L122" s="443"/>
    </row>
    <row r="123" spans="1:12">
      <c r="A123" s="5" t="s">
        <v>144</v>
      </c>
      <c r="B123" s="92"/>
      <c r="C123" s="160">
        <f>IF(ISNA(VLOOKUP("bos635130000",Balance!C:G,5,FALSE))=TRUE,0,VLOOKUP("bos635130000",Balance!C:G,5,FALSE))</f>
        <v>0</v>
      </c>
      <c r="D123" s="117">
        <f>+[2]Bosc!$H123</f>
        <v>50</v>
      </c>
      <c r="E123" s="160">
        <f>IF(ISNA(VLOOKUP("bos635130000",Balanceanp!C:G,5,FALSE))=TRUE,0,VLOOKUP("bos635130000",Balanceanp!C:G,5,FALSE))</f>
        <v>0</v>
      </c>
      <c r="F123" s="368">
        <f>+C123+C123/9*(12-Clients!$I$14)</f>
        <v>0</v>
      </c>
      <c r="G123" s="570">
        <v>200</v>
      </c>
      <c r="H123" s="413"/>
      <c r="I123" s="149">
        <f t="shared" si="10"/>
        <v>0</v>
      </c>
      <c r="J123" s="271">
        <f t="shared" si="10"/>
        <v>0</v>
      </c>
      <c r="L123" s="443"/>
    </row>
    <row r="124" spans="1:12">
      <c r="A124" s="5" t="s">
        <v>145</v>
      </c>
      <c r="B124" s="92"/>
      <c r="C124" s="160">
        <f>IF(ISNA(VLOOKUP("bos635140000",Balance!C:G,5,FALSE))=TRUE,0,VLOOKUP("bos635140000",Balance!C:G,5,FALSE))</f>
        <v>0</v>
      </c>
      <c r="D124" s="117">
        <f>+[2]Bosc!$H124</f>
        <v>0</v>
      </c>
      <c r="E124" s="160">
        <f>IF(ISNA(VLOOKUP("bos635140000",Balanceanp!C:G,5,FALSE))=TRUE,0,VLOOKUP("bos635140000",Balanceanp!C:G,5,FALSE))</f>
        <v>0</v>
      </c>
      <c r="F124" s="368">
        <f>+C124+C124/9*(12-Clients!$I$14)</f>
        <v>0</v>
      </c>
      <c r="G124" s="570">
        <v>0</v>
      </c>
      <c r="H124" s="413"/>
      <c r="I124" s="149">
        <f t="shared" si="10"/>
        <v>0</v>
      </c>
      <c r="J124" s="271">
        <f t="shared" si="10"/>
        <v>0</v>
      </c>
      <c r="L124" s="443"/>
    </row>
    <row r="125" spans="1:12">
      <c r="A125" s="5" t="s">
        <v>286</v>
      </c>
      <c r="B125" s="92"/>
      <c r="C125" s="160">
        <f>IF(ISNA(VLOOKUP("bos635300000",Balance!C:G,5,FALSE))=TRUE,0,VLOOKUP("bos635300000",Balance!C:G,5,FALSE))</f>
        <v>0</v>
      </c>
      <c r="D125" s="117">
        <f>+[2]Bosc!$H125</f>
        <v>0</v>
      </c>
      <c r="E125" s="160">
        <f>IF(ISNA(VLOOKUP("bos635300000",Balanceanp!C:G,5,FALSE))=TRUE,0,VLOOKUP("bos635300000",Balanceanp!C:G,5,FALSE))</f>
        <v>0</v>
      </c>
      <c r="F125" s="368">
        <f>+C125+C125/9*(12-Clients!$I$14)</f>
        <v>0</v>
      </c>
      <c r="G125" s="570">
        <f>+F125*1.03</f>
        <v>0</v>
      </c>
      <c r="H125" s="413"/>
      <c r="I125" s="149">
        <f t="shared" si="10"/>
        <v>0</v>
      </c>
      <c r="J125" s="271">
        <f t="shared" si="10"/>
        <v>0</v>
      </c>
      <c r="L125" s="443"/>
    </row>
    <row r="126" spans="1:12">
      <c r="A126" s="5" t="s">
        <v>361</v>
      </c>
      <c r="B126" s="92"/>
      <c r="C126" s="160">
        <f>IF(ISNA(VLOOKUP("bos635400000",Balance!C:G,5,FALSE))=TRUE,0,VLOOKUP("bos635400000",Balance!C:G,5,FALSE))</f>
        <v>0</v>
      </c>
      <c r="D126" s="117">
        <f>+[2]Bosc!$H126</f>
        <v>0</v>
      </c>
      <c r="E126" s="160">
        <f>IF(ISNA(VLOOKUP("bos635400000",Balanceanp!C:G,5,FALSE))=TRUE,0,VLOOKUP("bos635400000",Balanceanp!C:G,5,FALSE))</f>
        <v>0</v>
      </c>
      <c r="F126" s="368">
        <f>+C126+C126/9*(12-Clients!$I$14)</f>
        <v>0</v>
      </c>
      <c r="G126" s="570">
        <v>0</v>
      </c>
      <c r="H126" s="413"/>
      <c r="I126" s="149">
        <f t="shared" si="10"/>
        <v>0</v>
      </c>
      <c r="J126" s="271">
        <f t="shared" si="10"/>
        <v>0</v>
      </c>
      <c r="L126" s="443"/>
    </row>
    <row r="127" spans="1:12">
      <c r="A127" s="5" t="s">
        <v>146</v>
      </c>
      <c r="B127" s="92"/>
      <c r="C127" s="160">
        <f>IF(ISNA(VLOOKUP("bos637100000",Balance!C:G,5,FALSE))=TRUE,0,VLOOKUP("bos637100000",Balance!C:G,5,FALSE))</f>
        <v>1880.99</v>
      </c>
      <c r="D127" s="117">
        <f>+[2]Bosc!$H127</f>
        <v>2403.2000000000003</v>
      </c>
      <c r="E127" s="160">
        <f>IF(ISNA(VLOOKUP("bos637100000",Balanceanp!C:G,5,FALSE))=TRUE,0,VLOOKUP("bos637100000",Balanceanp!C:G,5,FALSE))</f>
        <v>2299.5</v>
      </c>
      <c r="F127" s="368">
        <f>+C127+C127/9*(12-Clients!$I$14)</f>
        <v>2507.9866666666667</v>
      </c>
      <c r="G127" s="396">
        <f>+G51*0.16%</f>
        <v>2359.36</v>
      </c>
      <c r="H127" s="409"/>
      <c r="I127" s="149">
        <f t="shared" si="10"/>
        <v>9.0666086830470394E-2</v>
      </c>
      <c r="J127" s="271">
        <f t="shared" si="10"/>
        <v>-5.9261346418641205E-2</v>
      </c>
      <c r="L127" s="443"/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444"/>
    </row>
    <row r="129" spans="1:12" s="33" customFormat="1" ht="15" customHeight="1">
      <c r="A129" s="13" t="s">
        <v>147</v>
      </c>
      <c r="B129" s="93">
        <f>+C129/$C$21</f>
        <v>9.4259321381600803E-3</v>
      </c>
      <c r="C129" s="163">
        <f>SUM(C117:C128)</f>
        <v>10255.1</v>
      </c>
      <c r="D129" s="118">
        <f>SUM(D117:D128)</f>
        <v>13943.95</v>
      </c>
      <c r="E129" s="163">
        <f>SUM(E117:E128)</f>
        <v>13098.5</v>
      </c>
      <c r="F129" s="136">
        <f>SUM(F117:F128)</f>
        <v>8570.3466666666664</v>
      </c>
      <c r="G129" s="136">
        <f>SUM(G117:G128)</f>
        <v>9288.2100000000009</v>
      </c>
      <c r="H129" s="421">
        <f>+G129/$G$21</f>
        <v>6.1814255290829232E-3</v>
      </c>
      <c r="I129" s="272">
        <f>+IF((E129)=0,,(F129-E129)/E129)</f>
        <v>-0.34570014378236696</v>
      </c>
      <c r="J129" s="188">
        <f>+IF((F129)=0,,(G129-F129)/F129)</f>
        <v>8.3761294758983057E-2</v>
      </c>
      <c r="L129" s="445"/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444"/>
    </row>
    <row r="131" spans="1:12">
      <c r="A131" s="5" t="s">
        <v>148</v>
      </c>
      <c r="B131" s="92"/>
      <c r="C131" s="160">
        <f>IF(ISNA(VLOOKUP("bos641100000",Balance!C:G,5,FALSE))=TRUE,0,VLOOKUP("bos641100000",Balance!C:G,5,FALSE))</f>
        <v>92559.42</v>
      </c>
      <c r="D131" s="117">
        <f>+[2]Bosc!$H131</f>
        <v>127500</v>
      </c>
      <c r="E131" s="160">
        <f>IF(ISNA(VLOOKUP("bos641100000",Balanceanp!C:G,5,FALSE))=TRUE,0,VLOOKUP("bos641100000",Balanceanp!C:G,5,FALSE))</f>
        <v>125559.24</v>
      </c>
      <c r="F131" s="368">
        <f>+C131+C131/9*(12-Clients!$I$14)</f>
        <v>123412.56</v>
      </c>
      <c r="G131" s="570">
        <v>135000</v>
      </c>
      <c r="H131" s="401"/>
      <c r="I131" s="149">
        <f t="shared" ref="I131:J146" si="11">+IF((E131)=0,,(F131-E131)/E131)</f>
        <v>-1.7096949615177725E-2</v>
      </c>
      <c r="J131" s="271">
        <f t="shared" si="11"/>
        <v>9.389190208840982E-2</v>
      </c>
      <c r="L131" s="443"/>
    </row>
    <row r="132" spans="1:12">
      <c r="A132" s="5" t="s">
        <v>149</v>
      </c>
      <c r="B132" s="92"/>
      <c r="C132" s="160">
        <f>IF(ISNA(VLOOKUP("bos641110000",Balance!C:G,5,FALSE))=TRUE,0,VLOOKUP("bos641110000",Balance!C:G,5,FALSE))</f>
        <v>-700</v>
      </c>
      <c r="D132" s="117">
        <f>+[2]Bosc!$H132</f>
        <v>0</v>
      </c>
      <c r="E132" s="160">
        <f>IF(ISNA(VLOOKUP("bos641110000",Balanceanp!C:G,5,FALSE))=TRUE,0,VLOOKUP("bos641110000",Balanceanp!C:G,5,FALSE))</f>
        <v>0</v>
      </c>
      <c r="F132" s="368">
        <f>+C132+C132/9*(12-Clients!$I$14)</f>
        <v>-933.33333333333326</v>
      </c>
      <c r="G132" s="570">
        <v>0</v>
      </c>
      <c r="H132" s="401"/>
      <c r="I132" s="149">
        <f t="shared" si="11"/>
        <v>0</v>
      </c>
      <c r="J132" s="271">
        <f t="shared" si="11"/>
        <v>-1</v>
      </c>
      <c r="L132" s="443"/>
    </row>
    <row r="133" spans="1:12">
      <c r="A133" s="5" t="s">
        <v>150</v>
      </c>
      <c r="B133" s="92"/>
      <c r="C133" s="160">
        <f>IF(ISNA(VLOOKUP("bos641111000",Balance!C:G,5,FALSE))=TRUE,0,VLOOKUP("bos641111000",Balance!C:G,5,FALSE))</f>
        <v>0</v>
      </c>
      <c r="D133" s="117">
        <f>+[2]Bosc!$H133</f>
        <v>0</v>
      </c>
      <c r="E133" s="160">
        <f>IF(ISNA(VLOOKUP("bos641111000",Balanceanp!C:G,5,FALSE))=TRUE,0,VLOOKUP("bos641111000",Balanceanp!C:G,5,FALSE))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s="443"/>
    </row>
    <row r="134" spans="1:12">
      <c r="A134" s="5" t="s">
        <v>151</v>
      </c>
      <c r="B134" s="92"/>
      <c r="C134" s="160">
        <f>IF(ISNA(VLOOKUP("bos641200000",Balance!C:G,5,FALSE))=TRUE,0,VLOOKUP("bos641200000",Balance!C:G,5,FALSE))</f>
        <v>0</v>
      </c>
      <c r="D134" s="117">
        <f>+[2]Bosc!$H134</f>
        <v>0</v>
      </c>
      <c r="E134" s="160">
        <f>IF(ISNA(VLOOKUP("bos641200000",Balanceanp!C:G,5,FALSE))=TRUE,0,VLOOKUP("bos641200000",Balanceanp!C:G,5,FALSE))</f>
        <v>908.14999999999964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s="443"/>
    </row>
    <row r="135" spans="1:12">
      <c r="A135" s="5" t="s">
        <v>114</v>
      </c>
      <c r="B135" s="92"/>
      <c r="C135" s="160">
        <f>IF(ISNA(VLOOKUP("bos621100000",Balance!C:G,5,FALSE))=TRUE,0,VLOOKUP("bos621100000",Balance!C:G,5,FALSE))</f>
        <v>967.01</v>
      </c>
      <c r="D135" s="117">
        <f>+[2]Bosc!$H135</f>
        <v>0</v>
      </c>
      <c r="E135" s="160">
        <f>IF(ISNA(VLOOKUP("bos621100000",Balanceanp!C:G,5,FALSE))=TRUE,0,VLOOKUP("bos621100000",Balanceanp!C:G,5,FALSE))</f>
        <v>0</v>
      </c>
      <c r="F135" s="368">
        <f>+C135+C135/9*(12-Clients!$I$14)</f>
        <v>1289.3466666666668</v>
      </c>
      <c r="G135" s="570">
        <v>0</v>
      </c>
      <c r="H135" s="401"/>
      <c r="I135" s="149">
        <f t="shared" si="11"/>
        <v>0</v>
      </c>
      <c r="J135" s="271">
        <f t="shared" si="11"/>
        <v>-1</v>
      </c>
      <c r="L135" s="443"/>
    </row>
    <row r="136" spans="1:12">
      <c r="A136" s="5" t="s">
        <v>338</v>
      </c>
      <c r="B136" s="92"/>
      <c r="C136" s="160">
        <f>IF(ISNA(VLOOKUP("bos621200000",Balance!C:G,5,FALSE))=TRUE,0,VLOOKUP("bos621200000",Balance!C:G,5,FALSE))</f>
        <v>0</v>
      </c>
      <c r="D136" s="117">
        <f>+[2]Bosc!$H136</f>
        <v>0</v>
      </c>
      <c r="E136" s="160">
        <f>IF(ISNA(VLOOKUP("bos621200000",Balanceanp!C:G,5,FALSE))=TRUE,0,VLOOKUP("bos621200000",Balanceanp!C:G,5,FALSE))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s="443"/>
    </row>
    <row r="137" spans="1:12">
      <c r="A137" s="5" t="s">
        <v>87</v>
      </c>
      <c r="B137" s="92"/>
      <c r="C137" s="160">
        <f>IF(ISNA(VLOOKUP("bos706100000",Balance!C:G,5,FALSE))=TRUE,0,-VLOOKUP("bos706100000",Balance!C:G,5,FALSE))</f>
        <v>0</v>
      </c>
      <c r="D137" s="117">
        <f>+[2]Bosc!$H137</f>
        <v>0</v>
      </c>
      <c r="E137" s="160">
        <f>IF(ISNA(VLOOKUP("bos706100000",Balanceanp!C:G,5,FALSE))=TRUE,0,-VLOOKUP("bos706100000",Balanceanp!C:G,5,FALSE))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s="443"/>
    </row>
    <row r="138" spans="1:12">
      <c r="A138" s="5" t="s">
        <v>152</v>
      </c>
      <c r="B138" s="92"/>
      <c r="C138" s="160">
        <f>IF(ISNA(VLOOKUP("bos641210000",Balance!C:G,5,FALSE))=TRUE,0,VLOOKUP("bos641210000",Balance!C:G,5,FALSE))</f>
        <v>0</v>
      </c>
      <c r="D138" s="117">
        <f>+[2]Bosc!$H138</f>
        <v>0</v>
      </c>
      <c r="E138" s="160">
        <f>IF(ISNA(VLOOKUP("bos641210000",Balanceanp!C:G,5,FALSE))=TRUE,0,VLOOKUP("bos641210000",Balanceanp!C:G,5,FALSE))</f>
        <v>247.57000000000062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s="443"/>
    </row>
    <row r="139" spans="1:12">
      <c r="A139" s="5" t="s">
        <v>153</v>
      </c>
      <c r="B139" s="92"/>
      <c r="C139" s="160">
        <f>IF(ISNA(VLOOKUP("bos641400000",Balance!C:G,5,FALSE))=TRUE,0,VLOOKUP("bos641400000",Balance!C:G,5,FALSE))</f>
        <v>0</v>
      </c>
      <c r="D139" s="117">
        <f>+[2]Bosc!$H139</f>
        <v>0</v>
      </c>
      <c r="E139" s="160">
        <f>IF(ISNA(VLOOKUP("bos641400000",Balanceanp!C:G,5,FALSE))=TRUE,0,VLOOKUP("bos641400000",Balanceanp!C:G,5,FALSE))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s="443"/>
    </row>
    <row r="140" spans="1:12">
      <c r="A140" s="5" t="s">
        <v>154</v>
      </c>
      <c r="B140" s="92"/>
      <c r="C140" s="160">
        <f>IF(ISNA(VLOOKUP("bos641600000",Balance!C:G,5,FALSE))=TRUE,0,VLOOKUP("bos641600000",Balance!C:G,5,FALSE))</f>
        <v>0</v>
      </c>
      <c r="D140" s="117">
        <f>+[2]Bosc!$H140</f>
        <v>0</v>
      </c>
      <c r="E140" s="160">
        <f>IF(ISNA(VLOOKUP("bos641600000",Balanceanp!C:G,5,FALSE))=TRUE,0,VLOOKUP("bos641600000",Balanceanp!C:G,5,FALSE))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s="443"/>
    </row>
    <row r="141" spans="1:12">
      <c r="A141" s="5" t="s">
        <v>155</v>
      </c>
      <c r="B141" s="92"/>
      <c r="C141" s="160">
        <f>IF(ISNA(VLOOKUP("bos645100000",Balance!C:G,5,FALSE))=TRUE,0,VLOOKUP("bos645100000",Balance!C:G,5,FALSE))</f>
        <v>23291.16</v>
      </c>
      <c r="D141" s="117">
        <f>+[2]Bosc!$H141</f>
        <v>34784.043249630879</v>
      </c>
      <c r="E141" s="160">
        <f>IF(ISNA(VLOOKUP("bos645100000",Balanceanp!C:G,5,FALSE))=TRUE,0,VLOOKUP("bos645100000",Balanceanp!C:G,5,FALSE))</f>
        <v>33411.050000000003</v>
      </c>
      <c r="F141" s="368">
        <f>+C141+C141/9*(12-Clients!$I$14)</f>
        <v>31054.880000000001</v>
      </c>
      <c r="G141" s="396">
        <f t="shared" ref="G141:G146" si="13">+($G$131/$C$131*C141)*1.01</f>
        <v>34310.388569850584</v>
      </c>
      <c r="H141" s="409"/>
      <c r="I141" s="149">
        <f t="shared" si="11"/>
        <v>-7.0520681032173543E-2</v>
      </c>
      <c r="J141" s="271">
        <f t="shared" si="11"/>
        <v>0.10483082110929369</v>
      </c>
      <c r="L141" s="443"/>
    </row>
    <row r="142" spans="1:12">
      <c r="A142" s="5" t="s">
        <v>156</v>
      </c>
      <c r="B142" s="92"/>
      <c r="C142" s="160">
        <f>IF(ISNA(VLOOKUP("bos645200000",Balance!C:G,5,FALSE))=TRUE,0,VLOOKUP("bos645200000",Balance!C:G,5,FALSE))</f>
        <v>3361.79</v>
      </c>
      <c r="D142" s="117">
        <f>+[2]Bosc!$H142</f>
        <v>4800.0155157020208</v>
      </c>
      <c r="E142" s="160">
        <f>IF(ISNA(VLOOKUP("bos645200000",Balanceanp!C:G,5,FALSE))=TRUE,0,VLOOKUP("bos645200000",Balanceanp!C:G,5,FALSE))</f>
        <v>4563.8999999999996</v>
      </c>
      <c r="F142" s="368">
        <f>+C142+C142/9*(12-Clients!$I$14)</f>
        <v>4482.3866666666672</v>
      </c>
      <c r="G142" s="396">
        <f t="shared" si="13"/>
        <v>4952.278941462685</v>
      </c>
      <c r="H142" s="409"/>
      <c r="I142" s="149">
        <f t="shared" si="11"/>
        <v>-1.7860455604490112E-2</v>
      </c>
      <c r="J142" s="271">
        <f t="shared" si="11"/>
        <v>0.10483082110929394</v>
      </c>
      <c r="L142" s="443"/>
    </row>
    <row r="143" spans="1:12">
      <c r="A143" s="5" t="s">
        <v>157</v>
      </c>
      <c r="B143" s="92"/>
      <c r="C143" s="160">
        <f>IF(ISNA(VLOOKUP("bos645300000",Balance!C:G,5,FALSE))=TRUE,0,VLOOKUP("bos645300000",Balance!C:G,5,FALSE))</f>
        <v>5604.62</v>
      </c>
      <c r="D143" s="117">
        <f>+[2]Bosc!$H143</f>
        <v>7753.1884890339907</v>
      </c>
      <c r="E143" s="160">
        <f>IF(ISNA(VLOOKUP("bos645300000",Balanceanp!C:G,5,FALSE))=TRUE,0,VLOOKUP("bos645300000",Balanceanp!C:G,5,FALSE))</f>
        <v>7491.7</v>
      </c>
      <c r="F143" s="368">
        <f>+C143+C143/9*(12-Clients!$I$14)</f>
        <v>7472.8266666666659</v>
      </c>
      <c r="G143" s="396">
        <f t="shared" si="13"/>
        <v>8256.209222140762</v>
      </c>
      <c r="H143" s="409"/>
      <c r="I143" s="149">
        <f t="shared" si="11"/>
        <v>-2.5192323949616113E-3</v>
      </c>
      <c r="J143" s="271">
        <f t="shared" si="11"/>
        <v>0.10483082110929413</v>
      </c>
      <c r="L143" s="443"/>
    </row>
    <row r="144" spans="1:12">
      <c r="A144" s="5" t="s">
        <v>326</v>
      </c>
      <c r="B144" s="92"/>
      <c r="C144" s="160">
        <f>IF(ISNA(VLOOKUP("bos645310000",Balance!C:G,5,FALSE))=TRUE,0,VLOOKUP("bos645310000",Balance!C:G,5,FALSE))</f>
        <v>0</v>
      </c>
      <c r="D144" s="117">
        <f>+[2]Bosc!$H144</f>
        <v>0</v>
      </c>
      <c r="E144" s="160">
        <f>IF(ISNA(VLOOKUP("bos645310000",Balanceanp!C:G,5,FALSE))=TRUE,0,VLOOKUP("bos645310000",Balanceanp!C:G,5,FALSE))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s="443"/>
    </row>
    <row r="145" spans="1:12">
      <c r="A145" s="5" t="s">
        <v>158</v>
      </c>
      <c r="B145" s="92"/>
      <c r="C145" s="160">
        <f>IF(ISNA(VLOOKUP("bos645400000",Balance!C:G,5,FALSE))=TRUE,0,VLOOKUP("bos645400000",Balance!C:G,5,FALSE))</f>
        <v>3710.86</v>
      </c>
      <c r="D145" s="117">
        <f>+[2]Bosc!$H145</f>
        <v>4901.2127520913082</v>
      </c>
      <c r="E145" s="160">
        <f>IF(ISNA(VLOOKUP("bos645400000",Balanceanp!C:G,5,FALSE))=TRUE,0,VLOOKUP("bos645400000",Balanceanp!C:G,5,FALSE))</f>
        <v>4807.7299999999996</v>
      </c>
      <c r="F145" s="368">
        <f>+C145+C145/9*(12-Clients!$I$14)</f>
        <v>4947.8133333333335</v>
      </c>
      <c r="G145" s="396">
        <f t="shared" si="13"/>
        <v>5466.4966677621796</v>
      </c>
      <c r="H145" s="409"/>
      <c r="I145" s="149">
        <f t="shared" si="11"/>
        <v>2.9137104898431059E-2</v>
      </c>
      <c r="J145" s="271">
        <f t="shared" si="11"/>
        <v>0.10483082110929397</v>
      </c>
      <c r="L145" s="443"/>
    </row>
    <row r="146" spans="1:12">
      <c r="A146" s="5" t="s">
        <v>159</v>
      </c>
      <c r="B146" s="92"/>
      <c r="C146" s="160">
        <f>IF(ISNA(VLOOKUP("bos645800000",Balance!C:G,5,FALSE))=TRUE,0,VLOOKUP("bos645800000",Balance!C:G,5,FALSE))</f>
        <v>0</v>
      </c>
      <c r="D146" s="117">
        <f>+[2]Bosc!$H146</f>
        <v>0</v>
      </c>
      <c r="E146" s="160">
        <f>IF(ISNA(VLOOKUP("bos645800000",Balanceanp!C:G,5,FALSE))=TRUE,0,VLOOKUP("bos645800000",Balanceanp!C:G,5,FALSE))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s="443"/>
    </row>
    <row r="147" spans="1:12">
      <c r="A147" s="5" t="s">
        <v>160</v>
      </c>
      <c r="B147" s="92"/>
      <c r="C147" s="160">
        <f>IF(ISNA(VLOOKUP("bos645900000",Balance!C:G,5,FALSE))=TRUE,0,VLOOKUP("bos645900000",Balance!C:G,5,FALSE))</f>
        <v>1375.51</v>
      </c>
      <c r="D147" s="117">
        <f>+[2]Bosc!$H147</f>
        <v>1155.7245795193749</v>
      </c>
      <c r="E147" s="160">
        <f>IF(ISNA(VLOOKUP("bos645900000",Balanceanp!C:G,5,FALSE))=TRUE,0,VLOOKUP("bos645900000",Balanceanp!C:G,5,FALSE))</f>
        <v>-7.62</v>
      </c>
      <c r="F147" s="368">
        <f>+C147+C147/9*(12-Clients!$I$14)</f>
        <v>1834.0133333333333</v>
      </c>
      <c r="G147" s="396">
        <f>+F147*1.03</f>
        <v>1889.0337333333334</v>
      </c>
      <c r="H147" s="409"/>
      <c r="I147" s="149">
        <f t="shared" ref="I147:J152" si="14">+IF((E147)=0,,(F147-E147)/E147)</f>
        <v>-241.68416447944006</v>
      </c>
      <c r="J147" s="271">
        <f t="shared" si="14"/>
        <v>3.0000000000000058E-2</v>
      </c>
      <c r="L147" s="443"/>
    </row>
    <row r="148" spans="1:12">
      <c r="A148" s="5" t="s">
        <v>161</v>
      </c>
      <c r="B148" s="92"/>
      <c r="C148" s="160">
        <f>IF(ISNA(VLOOKUP("bos647100000",Balance!C:G,5,FALSE))=TRUE,0,VLOOKUP("bos647100000",Balance!C:G,5,FALSE))</f>
        <v>0</v>
      </c>
      <c r="D148" s="117">
        <f>+[2]Bosc!$H148</f>
        <v>62.619622499999998</v>
      </c>
      <c r="E148" s="160">
        <f>IF(ISNA(VLOOKUP("bos647100000",Balanceanp!C:G,5,FALSE))=TRUE,0,VLOOKUP("bos647100000",Balanceanp!C:G,5,FALSE))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s="443"/>
    </row>
    <row r="149" spans="1:12">
      <c r="A149" s="5" t="s">
        <v>162</v>
      </c>
      <c r="B149" s="92"/>
      <c r="C149" s="160">
        <f>IF(ISNA(VLOOKUP("bos647400000",Balance!C:G,5,FALSE))=TRUE,0,VLOOKUP("bos647400000",Balance!C:G,5,FALSE))</f>
        <v>0</v>
      </c>
      <c r="D149" s="117">
        <f>+[2]Bosc!$H149</f>
        <v>44.313852675624993</v>
      </c>
      <c r="E149" s="160">
        <f>IF(ISNA(VLOOKUP("bos647400000",Balanceanp!C:G,5,FALSE))=TRUE,0,VLOOKUP("bos647400000",Balanceanp!C:G,5,FALSE))</f>
        <v>0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0</v>
      </c>
      <c r="J149" s="271">
        <f t="shared" si="14"/>
        <v>0</v>
      </c>
      <c r="L149" s="443"/>
    </row>
    <row r="150" spans="1:12">
      <c r="A150" s="5" t="s">
        <v>163</v>
      </c>
      <c r="B150" s="92"/>
      <c r="C150" s="160">
        <f>IF(ISNA(VLOOKUP("bos647500000",Balance!C:G,5,FALSE))=TRUE,0,VLOOKUP("bos647500000",Balance!C:G,5,FALSE))</f>
        <v>509</v>
      </c>
      <c r="D150" s="117">
        <f>+[2]Bosc!$H150</f>
        <v>649.25560106249998</v>
      </c>
      <c r="E150" s="160">
        <f>IF(ISNA(VLOOKUP("bos647500000",Balanceanp!C:G,5,FALSE))=TRUE,0,VLOOKUP("bos647500000",Balanceanp!C:G,5,FALSE))</f>
        <v>578</v>
      </c>
      <c r="F150" s="368">
        <f>+C150+C150/9*(12-Clients!$I$14)</f>
        <v>678.66666666666674</v>
      </c>
      <c r="G150" s="396">
        <f>+F150*1.03</f>
        <v>699.02666666666676</v>
      </c>
      <c r="H150" s="409"/>
      <c r="I150" s="149">
        <f t="shared" si="14"/>
        <v>0.17416378316032308</v>
      </c>
      <c r="J150" s="271">
        <f t="shared" si="14"/>
        <v>3.0000000000000016E-2</v>
      </c>
      <c r="L150" s="443"/>
    </row>
    <row r="151" spans="1:12">
      <c r="A151" s="5" t="s">
        <v>570</v>
      </c>
      <c r="B151" s="92"/>
      <c r="C151" s="160"/>
      <c r="D151" s="117">
        <f>+[2]Bosc!$H151</f>
        <v>0</v>
      </c>
      <c r="E151" s="160"/>
      <c r="F151" s="368"/>
      <c r="G151" s="395"/>
      <c r="H151" s="409"/>
      <c r="I151" s="149"/>
      <c r="J151" s="271"/>
      <c r="L151" s="443"/>
    </row>
    <row r="152" spans="1:12">
      <c r="A152" s="5" t="s">
        <v>58</v>
      </c>
      <c r="B152" s="92"/>
      <c r="C152" s="160">
        <f>IF(ISNA(VLOOKUP("bos648000000",Balance!C:G,5,FALSE))=TRUE,0,VLOOKUP("bos648000000",Balance!C:G,5,FALSE))</f>
        <v>0</v>
      </c>
      <c r="D152" s="117">
        <f>+[2]Bosc!$H152</f>
        <v>1709.3533662499999</v>
      </c>
      <c r="E152" s="160">
        <f>IF(ISNA(VLOOKUP("bos648000000",Balanceanp!C:G,5,FALSE))=TRUE,0,VLOOKUP("bos648000000",Balanceanp!C:G,5,FALSE))</f>
        <v>5377.3364000000001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s="443"/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443"/>
    </row>
    <row r="154" spans="1:12" s="33" customFormat="1" ht="15" customHeight="1">
      <c r="A154" s="13" t="s">
        <v>164</v>
      </c>
      <c r="B154" s="93">
        <f>+C154/$C$21</f>
        <v>0.120113394650224</v>
      </c>
      <c r="C154" s="163">
        <f>SUM(C130:C153)</f>
        <v>130679.36999999998</v>
      </c>
      <c r="D154" s="118">
        <f>SUM(D130:D153)</f>
        <v>183359.72702846574</v>
      </c>
      <c r="E154" s="163">
        <f>SUM(E130:E153)</f>
        <v>182976.65640000004</v>
      </c>
      <c r="F154" s="136">
        <f>SUM(F130:F153)</f>
        <v>174239.15999999997</v>
      </c>
      <c r="G154" s="136">
        <f>SUM(G130:G153)</f>
        <v>190573.43380121622</v>
      </c>
      <c r="H154" s="421">
        <f>+G154/$G$21</f>
        <v>0.12682911872834834</v>
      </c>
      <c r="I154" s="272">
        <f>+IF((E154)=0,,(F154-E154)/E154)</f>
        <v>-4.775197324023274E-2</v>
      </c>
      <c r="J154" s="188">
        <f>+IF((F154)=0,,(G154-F154)/F154)</f>
        <v>9.3746284137367547E-2</v>
      </c>
      <c r="L154" s="445"/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444"/>
    </row>
    <row r="156" spans="1:12">
      <c r="A156" s="5" t="s">
        <v>545</v>
      </c>
      <c r="B156" s="92">
        <v>0.86629999999999996</v>
      </c>
      <c r="C156" s="160">
        <f>IF(ISNA(VLOOKUP("bos681740000",Balance!C:G,5,FALSE))=TRUE,0,VLOOKUP("bos681740000",Balance!C:G,5,FALSE))</f>
        <v>5898.74</v>
      </c>
      <c r="D156" s="117">
        <f>+[2]Bosc!$H156</f>
        <v>21746.0124</v>
      </c>
      <c r="E156" s="160">
        <f>IF(ISNA(VLOOKUP("bos681740000",Balanceanp!C:G,5,FALSE))=TRUE,0,VLOOKUP("bos681740000",Balanceanp!C:G,5,FALSE))</f>
        <v>11341.88</v>
      </c>
      <c r="F156" s="368">
        <f>+C156+C156/9*(12-Clients!$I$14)</f>
        <v>7864.9866666666667</v>
      </c>
      <c r="G156" s="570">
        <f>+G21*B156*1.62%</f>
        <v>21087.578556</v>
      </c>
      <c r="H156" s="413"/>
      <c r="I156" s="149">
        <f t="shared" ref="I156:J166" si="15">+IF((E156)=0,,(F156-E156)/E156)</f>
        <v>-0.30655352845677547</v>
      </c>
      <c r="J156" s="271">
        <f t="shared" si="15"/>
        <v>1.6811969873227164</v>
      </c>
      <c r="L156" s="443"/>
    </row>
    <row r="157" spans="1:12">
      <c r="A157" s="5" t="s">
        <v>165</v>
      </c>
      <c r="B157" s="92"/>
      <c r="C157" s="160">
        <f>IF(ISNA(VLOOKUP("bos781740000",Balance!C:G,5,FALSE))=TRUE,0,VLOOKUP("bos781740000",Balance!C:G,5,FALSE))</f>
        <v>-39491.360000000001</v>
      </c>
      <c r="D157" s="117">
        <f>+[2]Bosc!$H157</f>
        <v>0</v>
      </c>
      <c r="E157" s="160">
        <f>IF(ISNA(VLOOKUP("bos781740000",Balanceanp!C:G,5,FALSE))=TRUE,0,VLOOKUP("bos781740000",Balanceanp!C:G,5,FALSE))</f>
        <v>-4006.03</v>
      </c>
      <c r="F157" s="368">
        <f>+C157+C157/9*(12-Clients!$I$14)</f>
        <v>-52655.146666666667</v>
      </c>
      <c r="G157" s="396">
        <v>0</v>
      </c>
      <c r="H157" s="409"/>
      <c r="I157" s="149">
        <f t="shared" si="15"/>
        <v>12.143972128682677</v>
      </c>
      <c r="J157" s="271">
        <f t="shared" si="15"/>
        <v>-1</v>
      </c>
      <c r="L157" s="443"/>
    </row>
    <row r="158" spans="1:12">
      <c r="A158" s="5" t="s">
        <v>166</v>
      </c>
      <c r="B158" s="92"/>
      <c r="C158" s="160">
        <f>IF(ISNA(VLOOKUP("bos654400000",Balance!C:G,5,FALSE))=TRUE,0,VLOOKUP("bos654400000",Balance!C:G,5,FALSE))</f>
        <v>39959.9</v>
      </c>
      <c r="D158" s="117">
        <f>+[2]Bosc!$H158</f>
        <v>0</v>
      </c>
      <c r="E158" s="160">
        <f>IF(ISNA(VLOOKUP("bos654400000",Balanceanp!C:G,5,FALSE))=TRUE,0,VLOOKUP("bos654400000",Balanceanp!C:G,5,FALSE))</f>
        <v>3966.6</v>
      </c>
      <c r="F158" s="368">
        <f>+C158+C158/9*(12-Clients!$I$14)</f>
        <v>53279.866666666669</v>
      </c>
      <c r="G158" s="396">
        <v>0</v>
      </c>
      <c r="H158" s="409"/>
      <c r="I158" s="149">
        <f t="shared" si="15"/>
        <v>12.432124909662349</v>
      </c>
      <c r="J158" s="271">
        <f t="shared" si="15"/>
        <v>-1</v>
      </c>
      <c r="L158" s="443"/>
    </row>
    <row r="159" spans="1:12">
      <c r="A159" s="5" t="s">
        <v>60</v>
      </c>
      <c r="B159" s="92"/>
      <c r="C159" s="160">
        <f>IF(ISNA(VLOOKUP("bos791100000",Balance!C:G,5,FALSE))=TRUE,0,VLOOKUP("bos791100000",Balance!C:G,5,FALSE))</f>
        <v>1181.9000000000001</v>
      </c>
      <c r="D159" s="117">
        <f>+[2]Bosc!$H159</f>
        <v>0</v>
      </c>
      <c r="E159" s="160">
        <f>IF(ISNA(VLOOKUP("bos791100000",Balanceanp!C:G,5,FALSE))=TRUE,0,VLOOKUP("bos791100000",Balanceanp!C:G,5,FALSE))</f>
        <v>-1181.9000000000001</v>
      </c>
      <c r="F159" s="368">
        <f>+C159+C159/9*(12-Clients!$I$14)</f>
        <v>1575.8666666666668</v>
      </c>
      <c r="G159" s="396">
        <v>0</v>
      </c>
      <c r="H159" s="409"/>
      <c r="I159" s="149">
        <f t="shared" si="15"/>
        <v>-2.3333333333333335</v>
      </c>
      <c r="J159" s="271">
        <f t="shared" si="15"/>
        <v>-1</v>
      </c>
      <c r="L159" s="443"/>
    </row>
    <row r="160" spans="1:12">
      <c r="A160" s="5" t="s">
        <v>199</v>
      </c>
      <c r="B160" s="92"/>
      <c r="C160" s="160">
        <f>IF(ISNA(VLOOKUP("bos654100000",Balance!C:G,5,FALSE))=TRUE,0,VLOOKUP("bos654100000",Balance!C:G,5,FALSE))</f>
        <v>3.6</v>
      </c>
      <c r="D160" s="117">
        <f>+[2]Bosc!$H160</f>
        <v>0</v>
      </c>
      <c r="E160" s="160">
        <f>IF(ISNA(VLOOKUP("bos654100000",Balanceanp!C:G,5,FALSE))=TRUE,0,VLOOKUP("bos654100000",Balanceanp!C:G,5,FALSE))</f>
        <v>2.11</v>
      </c>
      <c r="F160" s="368">
        <f>+C160+C160/9*(12-Clients!$I$14)</f>
        <v>4.8000000000000007</v>
      </c>
      <c r="G160" s="396">
        <v>0</v>
      </c>
      <c r="H160" s="409"/>
      <c r="I160" s="149">
        <f t="shared" si="15"/>
        <v>1.2748815165876781</v>
      </c>
      <c r="J160" s="271">
        <f t="shared" si="15"/>
        <v>-1</v>
      </c>
      <c r="L160" s="443"/>
    </row>
    <row r="161" spans="1:12">
      <c r="A161" s="5" t="s">
        <v>41</v>
      </c>
      <c r="B161" s="92"/>
      <c r="C161" s="160">
        <f>IF(ISNA(VLOOKUP("bos622700000",Balance!C:G,5,FALSE))=TRUE,0,VLOOKUP("bos622700000",Balance!C:G,5,FALSE))</f>
        <v>113.13</v>
      </c>
      <c r="D161" s="117">
        <f>+[2]Bosc!$H161</f>
        <v>-2.9893055331166689</v>
      </c>
      <c r="E161" s="160">
        <f>IF(ISNA(VLOOKUP("bos622700000",Balanceanp!C:G,5,FALSE))=TRUE,0,VLOOKUP("bos622700000",Balanceanp!C:G,5,FALSE))</f>
        <v>83.93</v>
      </c>
      <c r="F161" s="368">
        <f>+C161+C161/9*(12-Clients!$I$14)</f>
        <v>150.84</v>
      </c>
      <c r="G161" s="396">
        <f t="shared" ref="G161:G166" si="16">+F161*1.03</f>
        <v>155.36520000000002</v>
      </c>
      <c r="H161" s="409"/>
      <c r="I161" s="149">
        <f t="shared" si="15"/>
        <v>0.79721196234957692</v>
      </c>
      <c r="J161" s="271">
        <f t="shared" si="15"/>
        <v>3.0000000000000082E-2</v>
      </c>
      <c r="L161" s="443"/>
    </row>
    <row r="162" spans="1:12">
      <c r="A162" s="5" t="s">
        <v>355</v>
      </c>
      <c r="B162" s="92"/>
      <c r="C162" s="160">
        <f>IF(ISNA(VLOOKUP("BOS654200000",Balance!C:G,5,FALSE))=TRUE,0,VLOOKUP("BOS654200000",Balance!C:G,5,FALSE))</f>
        <v>14.35</v>
      </c>
      <c r="D162" s="117">
        <f>+[2]Bosc!$H162</f>
        <v>6.0746234822517353</v>
      </c>
      <c r="E162" s="160">
        <f>IF(ISNA(VLOOKUP("BOS654200000",Balanceanp!C:G,5,FALSE))=TRUE,0,VLOOKUP("BOS654200000",Balanceanp!C:G,5,FALSE))</f>
        <v>3.59</v>
      </c>
      <c r="F162" s="368">
        <f>+C162+C162/9*(12-Clients!$I$14)</f>
        <v>19.133333333333333</v>
      </c>
      <c r="G162" s="396">
        <f t="shared" si="16"/>
        <v>19.707333333333334</v>
      </c>
      <c r="H162" s="409"/>
      <c r="I162" s="149">
        <f t="shared" si="15"/>
        <v>4.329619312906221</v>
      </c>
      <c r="J162" s="271">
        <f t="shared" si="15"/>
        <v>3.0000000000000086E-2</v>
      </c>
      <c r="L162" s="443"/>
    </row>
    <row r="163" spans="1:12">
      <c r="A163" s="5" t="s">
        <v>200</v>
      </c>
      <c r="B163" s="92"/>
      <c r="C163" s="160">
        <f>IF(ISNA(VLOOKUP("BOS665000000",Balance!C:G,5,FALSE))=TRUE,0,VLOOKUP("BOS665000000",Balance!C:G,5,FALSE))+IF(ISNA(VLOOKUP("BOS665100000",Balance!C:G,5,FALSE))=TRUE,0,VLOOKUP("BOS665100000",Balance!C:G,5,FALSE))</f>
        <v>0</v>
      </c>
      <c r="D163" s="117">
        <f>+[2]Bosc!$H163</f>
        <v>11.37251289951389</v>
      </c>
      <c r="E163" s="160">
        <f>IF(ISNA(VLOOKUP("BOS665000000",Balanceanp!C:G,5,FALSE))=TRUE,0,VLOOKUP("BOS665000000",Balanceanp!C:G,5,FALSE))+IF(ISNA(VLOOKUP("BOS665100000",Balanceanp!C:G,5,FALSE))=TRUE,0,VLOOKUP("BOS665100000",Balanceanp!C:G,5,FALSE))</f>
        <v>97.81</v>
      </c>
      <c r="F163" s="368">
        <f>+C163+C163/9*(12-Clients!$I$14)</f>
        <v>0</v>
      </c>
      <c r="G163" s="396">
        <f t="shared" si="16"/>
        <v>0</v>
      </c>
      <c r="H163" s="409"/>
      <c r="I163" s="149">
        <f t="shared" si="15"/>
        <v>-1</v>
      </c>
      <c r="J163" s="271">
        <f t="shared" si="15"/>
        <v>0</v>
      </c>
      <c r="L163" s="443"/>
    </row>
    <row r="164" spans="1:12">
      <c r="A164" s="5" t="s">
        <v>271</v>
      </c>
      <c r="B164" s="92"/>
      <c r="C164" s="160">
        <f>IF(ISNA(VLOOKUP("BOS763000000",Balance!C:G,5,FALSE))=TRUE,0,VLOOKUP("BOS763000000",Balance!C:G,5,FALSE))</f>
        <v>0</v>
      </c>
      <c r="D164" s="117">
        <f>+[2]Bosc!$H164</f>
        <v>-39.12440116178125</v>
      </c>
      <c r="E164" s="160">
        <f>IF(ISNA(VLOOKUP("BOS763000000",Balanceanp!C:G,5,FALSE))=TRUE,0,VLOOKUP("BOS763000000",Balanceanp!C:G,5,FALSE))</f>
        <v>-37.700000000000003</v>
      </c>
      <c r="F164" s="368">
        <f>+C164+C164/9*(12-Clients!$I$14)</f>
        <v>0</v>
      </c>
      <c r="G164" s="396">
        <f t="shared" si="16"/>
        <v>0</v>
      </c>
      <c r="H164" s="409"/>
      <c r="I164" s="149">
        <f t="shared" si="15"/>
        <v>-1</v>
      </c>
      <c r="J164" s="271">
        <f t="shared" si="15"/>
        <v>0</v>
      </c>
      <c r="L164" s="443"/>
    </row>
    <row r="165" spans="1:12">
      <c r="A165" s="5" t="s">
        <v>242</v>
      </c>
      <c r="B165" s="92"/>
      <c r="C165" s="160">
        <f>IF(ISNA(VLOOKUP("BOS627520000",Balance!C:G,5,FALSE))=TRUE,0,VLOOKUP("BOS627520000",Balance!C:G,5,FALSE))</f>
        <v>292.39999999999998</v>
      </c>
      <c r="D165" s="117">
        <f>+[2]Bosc!$H165</f>
        <v>396.58113270704172</v>
      </c>
      <c r="E165" s="160">
        <f>IF(ISNA(VLOOKUP("BOS627520000",Balanceanp!C:G,5,FALSE))=TRUE,0,VLOOKUP("BOS627520000",Balanceanp!C:G,5,FALSE))</f>
        <v>421.3</v>
      </c>
      <c r="F165" s="368">
        <f>+C165+C165/9*(12-Clients!$I$14)</f>
        <v>389.86666666666667</v>
      </c>
      <c r="G165" s="396">
        <f t="shared" si="16"/>
        <v>401.5626666666667</v>
      </c>
      <c r="H165" s="409"/>
      <c r="I165" s="149">
        <f t="shared" si="15"/>
        <v>-7.4610333095972786E-2</v>
      </c>
      <c r="J165" s="271">
        <f t="shared" si="15"/>
        <v>3.0000000000000068E-2</v>
      </c>
      <c r="L165" s="443"/>
    </row>
    <row r="166" spans="1:12">
      <c r="A166" s="5" t="s">
        <v>201</v>
      </c>
      <c r="B166" s="92"/>
      <c r="C166" s="160">
        <f>IF(ISNA(VLOOKUP("bos763100000",Balance!C:G,5,FALSE))=TRUE,0,VLOOKUP("bos763100000",Balance!C:G,5,FALSE))</f>
        <v>0</v>
      </c>
      <c r="D166" s="117">
        <f>+[2]Bosc!$H166</f>
        <v>0</v>
      </c>
      <c r="E166" s="160">
        <f>IF(ISNA(VLOOKUP("bos763100000",Balanceanp!C:G,5,FALSE))=TRUE,0,VLOOKUP("bos763100000",Balanceanp!C:G,5,FALSE))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s="443"/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444"/>
    </row>
    <row r="168" spans="1:12" s="33" customFormat="1" ht="15" customHeight="1">
      <c r="A168" s="13" t="s">
        <v>74</v>
      </c>
      <c r="B168" s="93">
        <f>+C168/$C$21</f>
        <v>7.3280369884860547E-3</v>
      </c>
      <c r="C168" s="163">
        <f>SUM(C155:C167)</f>
        <v>7972.6599999999989</v>
      </c>
      <c r="D168" s="118">
        <f>SUM(D155:D167)</f>
        <v>22117.926962393907</v>
      </c>
      <c r="E168" s="163">
        <f>SUM(E155:E167)</f>
        <v>10691.589999999998</v>
      </c>
      <c r="F168" s="136">
        <f>SUM(F155:F167)</f>
        <v>10630.213333333331</v>
      </c>
      <c r="G168" s="136">
        <f>SUM(G155:G167)</f>
        <v>21664.213755999997</v>
      </c>
      <c r="H168" s="421">
        <f>+G168/$G$21</f>
        <v>1.4417818285638226E-2</v>
      </c>
      <c r="I168" s="272">
        <f>+IF((E168)=0,,(F168-E168)/E168)</f>
        <v>-5.7406491145533091E-3</v>
      </c>
      <c r="J168" s="188">
        <f>+IF((F168)=0,,(G168-F168)/F168)</f>
        <v>1.037984852859648</v>
      </c>
      <c r="L168" s="445"/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444"/>
    </row>
    <row r="170" spans="1:12">
      <c r="A170" s="5" t="s">
        <v>167</v>
      </c>
      <c r="B170" s="92"/>
      <c r="C170" s="160">
        <f>IF(ISNA(VLOOKUP("bos651100000",Balance!C:G,5,FALSE))=TRUE,0,VLOOKUP("bos651100000",Balance!C:G,5,FALSE))</f>
        <v>0</v>
      </c>
      <c r="D170" s="117">
        <f>+[2]Bosc!$H170</f>
        <v>0</v>
      </c>
      <c r="E170" s="160">
        <f>IF(ISNA(VLOOKUP("bos651100000",Balanceanp!C:G,5,FALSE))=TRUE,0,VLOOKUP("bos651100000",Balanceanp!C:G,5,FALSE))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s="443"/>
    </row>
    <row r="171" spans="1:12">
      <c r="A171" s="5" t="s">
        <v>168</v>
      </c>
      <c r="B171" s="92"/>
      <c r="C171" s="160">
        <f>IF(ISNA(VLOOKUP("bos651600000",Balance!C:G,5,FALSE))=TRUE,0,VLOOKUP("bos651600000",Balance!C:G,5,FALSE))</f>
        <v>0</v>
      </c>
      <c r="D171" s="117">
        <f>+[2]Bosc!$H171</f>
        <v>0</v>
      </c>
      <c r="E171" s="160">
        <f>IF(ISNA(VLOOKUP("bos651600000",Balanceanp!C:G,5,FALSE))=TRUE,0,VLOOKUP("bos651600000",Balanceanp!C:G,5,FALSE))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s="443"/>
    </row>
    <row r="172" spans="1:12">
      <c r="A172" s="5" t="s">
        <v>169</v>
      </c>
      <c r="B172" s="92"/>
      <c r="C172" s="160">
        <f>IF(ISNA(VLOOKUP("bos671200000",Balance!C:G,5,FALSE))=TRUE,0,VLOOKUP("bos671200000",Balance!C:G,5,FALSE))</f>
        <v>0</v>
      </c>
      <c r="D172" s="117">
        <f>+[2]Bosc!$H172</f>
        <v>1.580741</v>
      </c>
      <c r="E172" s="160">
        <f>IF(ISNA(VLOOKUP("bos671200000",Balanceanp!C:G,5,FALSE))=TRUE,0,VLOOKUP("bos671200000",Balanceanp!C:G,5,FALSE))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s="443"/>
    </row>
    <row r="173" spans="1:12">
      <c r="A173" s="5" t="s">
        <v>170</v>
      </c>
      <c r="B173" s="92"/>
      <c r="C173" s="160">
        <f>IF(ISNA(VLOOKUP("bos671800000",Balance!C:G,5,FALSE))=TRUE,0,VLOOKUP("bos671800000",Balance!C:G,5,FALSE))</f>
        <v>0.22</v>
      </c>
      <c r="D173" s="117">
        <f>+[2]Bosc!$H173</f>
        <v>1391.0973999999999</v>
      </c>
      <c r="E173" s="160">
        <f>IF(ISNA(VLOOKUP("bos671800000",Balanceanp!C:G,5,FALSE))=TRUE,0,VLOOKUP("bos671800000",Balanceanp!C:G,5,FALSE))+IF(ISNA(VLOOKUP("bos658000000",Balanceanp!C:G,5,FALSE))=TRUE,0,VLOOKUP("bos658000000",Balanceanp!C:G,5,FALSE))</f>
        <v>1350.27</v>
      </c>
      <c r="F173" s="368">
        <f>+C173+C173/9*(12-Clients!$I$14)</f>
        <v>0.29333333333333333</v>
      </c>
      <c r="G173" s="396">
        <f t="shared" si="17"/>
        <v>0.30213333333333336</v>
      </c>
      <c r="H173" s="409"/>
      <c r="I173" s="149">
        <f t="shared" si="18"/>
        <v>-0.9997827594974833</v>
      </c>
      <c r="J173" s="271">
        <f t="shared" si="18"/>
        <v>3.0000000000000103E-2</v>
      </c>
      <c r="L173" s="443"/>
    </row>
    <row r="174" spans="1:12">
      <c r="A174" s="5" t="s">
        <v>171</v>
      </c>
      <c r="B174" s="92"/>
      <c r="C174" s="160">
        <f>IF(ISNA(VLOOKUP("bos672000000",Balance!C:G,5,FALSE))=TRUE,0,VLOOKUP("bos672000000",Balance!C:G,5,FALSE))</f>
        <v>0</v>
      </c>
      <c r="D174" s="117">
        <f>+[2]Bosc!$H174</f>
        <v>0</v>
      </c>
      <c r="E174" s="160">
        <f>IF(ISNA(VLOOKUP("bos672000000",Balanceanp!C:G,5,FALSE))=TRUE,0,VLOOKUP("bos672000000",Balanceanp!C:G,5,FALSE))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s="443"/>
    </row>
    <row r="175" spans="1:12">
      <c r="A175" s="5" t="s">
        <v>308</v>
      </c>
      <c r="B175" s="92"/>
      <c r="C175" s="160">
        <f>IF(ISNA(VLOOKUP("BOS691100000",Balance!C:G,5,FALSE))=TRUE,0,VLOOKUP("BOS691100000",Balance!C:G,5,FALSE))</f>
        <v>0</v>
      </c>
      <c r="D175" s="117">
        <f>+[2]Bosc!$H175</f>
        <v>0</v>
      </c>
      <c r="E175" s="160">
        <f>IF(ISNA(VLOOKUP("BOS691100000",Balanceanp!C:G,5,FALSE))=TRUE,0,VLOOKUP("BOS691100000",Balanceanp!C:G,5,FALSE))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s="443"/>
    </row>
    <row r="176" spans="1:12">
      <c r="A176" s="5" t="s">
        <v>172</v>
      </c>
      <c r="B176" s="92"/>
      <c r="C176" s="160">
        <f>IF(ISNA(VLOOKUP("bos675100000",Balance!C:G,5,FALSE))=TRUE,0,VLOOKUP("bos675100000",Balance!C:G,5,FALSE))</f>
        <v>0</v>
      </c>
      <c r="D176" s="117">
        <f>+[2]Bosc!$H176</f>
        <v>0</v>
      </c>
      <c r="E176" s="160">
        <f>IF(ISNA(VLOOKUP("bos675100000",Balanceanp!C:G,5,FALSE))=TRUE,0,VLOOKUP("bos675100000",Balanceanp!C:G,5,FALSE))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s="443"/>
    </row>
    <row r="177" spans="1:12">
      <c r="A177" s="5" t="s">
        <v>173</v>
      </c>
      <c r="B177" s="92"/>
      <c r="C177" s="160">
        <f>IF(ISNA(VLOOKUP("bos675200000",Balance!C:G,5,FALSE))=TRUE,0,VLOOKUP("bos675200000",Balance!C:G,5,FALSE))</f>
        <v>0</v>
      </c>
      <c r="D177" s="117">
        <f>+[2]Bosc!$H177</f>
        <v>0</v>
      </c>
      <c r="E177" s="160">
        <f>IF(ISNA(VLOOKUP("bos675200000",Balanceanp!C:G,5,FALSE))=TRUE,0,VLOOKUP("bos675200000",Balanceanp!C:G,5,FALSE))</f>
        <v>1509.48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-1</v>
      </c>
      <c r="J177" s="271">
        <f t="shared" si="18"/>
        <v>0</v>
      </c>
      <c r="L177" s="443"/>
    </row>
    <row r="178" spans="1:12">
      <c r="A178" s="5" t="s">
        <v>174</v>
      </c>
      <c r="B178" s="92"/>
      <c r="C178" s="160">
        <f>IF(ISNA(VLOOKUP("bos681110000",Balance!C:G,5,FALSE))=TRUE,0,VLOOKUP("bos681110000",Balance!C:G,5,FALSE))</f>
        <v>0</v>
      </c>
      <c r="D178" s="117">
        <f>+[2]Bosc!$H178</f>
        <v>0</v>
      </c>
      <c r="E178" s="160">
        <f>IF(ISNA(VLOOKUP("bos681110000",Balanceanp!C:G,5,FALSE))=TRUE,0,VLOOKUP("bos681110000",Balanceanp!C:G,5,FALSE))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s="443"/>
    </row>
    <row r="179" spans="1:12">
      <c r="A179" s="5" t="s">
        <v>175</v>
      </c>
      <c r="B179" s="92"/>
      <c r="C179" s="160">
        <f>IF(ISNA(VLOOKUP("bos681120000",Balance!C:G,5,FALSE))=TRUE,0,VLOOKUP("bos681120000",Balance!C:G,5,FALSE))</f>
        <v>0</v>
      </c>
      <c r="D179" s="117">
        <f>+[2]Bosc!$H179</f>
        <v>6000</v>
      </c>
      <c r="E179" s="160">
        <f>IF(ISNA(VLOOKUP("bos681120000",Balanceanp!C:G,5,FALSE))=TRUE,0,VLOOKUP("bos681120000",Balanceanp!C:G,5,FALSE))</f>
        <v>5756.36</v>
      </c>
      <c r="F179" s="425">
        <v>4722.57</v>
      </c>
      <c r="G179" s="570">
        <f>4581.22+500+G255/5+33000/10</f>
        <v>9781.2200000000012</v>
      </c>
      <c r="H179" s="413"/>
      <c r="I179" s="149">
        <f t="shared" si="18"/>
        <v>-0.17959092204101204</v>
      </c>
      <c r="J179" s="271">
        <f t="shared" si="18"/>
        <v>1.0711646412864186</v>
      </c>
      <c r="L179" s="443"/>
    </row>
    <row r="180" spans="1:12">
      <c r="A180" s="5" t="s">
        <v>78</v>
      </c>
      <c r="B180" s="92"/>
      <c r="C180" s="160">
        <f>IF(ISNA(VLOOKUP("BOS687250000",Balance!C:G,5,FALSE))=TRUE,0,+VLOOKUP("BOS687250000",Balance!C:G,5,FALSE))</f>
        <v>0</v>
      </c>
      <c r="D180" s="117">
        <f>+[2]Bosc!$H180</f>
        <v>0</v>
      </c>
      <c r="E180" s="160">
        <f>IF(ISNA(VLOOKUP("BOS687250000",Balanceanp!C:G,5,FALSE))=TRUE,0,+VLOOKUP("BOS687250000",Balanceanp!C:G,5,FALSE))</f>
        <v>111.2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s="443"/>
    </row>
    <row r="181" spans="1:12">
      <c r="A181" s="5" t="s">
        <v>327</v>
      </c>
      <c r="B181" s="92"/>
      <c r="C181" s="160">
        <f>IF(ISNA(VLOOKUP("BOS661880000",Balance!C:G,5,FALSE))=TRUE,0,+VLOOKUP("BOS661880000",Balance!C:G,5,FALSE))</f>
        <v>0</v>
      </c>
      <c r="D181" s="117">
        <f>+[2]Bosc!$H181</f>
        <v>0</v>
      </c>
      <c r="E181" s="160">
        <f>IF(ISNA(VLOOKUP("BOS661880000",Balanceanp!C:G,5,FALSE))=TRUE,0,+VLOOKUP("BOS661880000",Balanceanp!C:G,5,FALSE))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s="443"/>
    </row>
    <row r="182" spans="1:12">
      <c r="A182" s="5" t="s">
        <v>82</v>
      </c>
      <c r="B182" s="92"/>
      <c r="C182" s="160">
        <f>IF(ISNA(VLOOKUP("BOS661610000",Balance!C:G,5,FALSE))=TRUE,0,+VLOOKUP("BOS661610000",Balance!C:G,5,FALSE))</f>
        <v>0</v>
      </c>
      <c r="D182" s="117">
        <f>+[2]Bosc!$H182</f>
        <v>430.62371325000004</v>
      </c>
      <c r="E182" s="160">
        <f>IF(ISNA(VLOOKUP("BOS661610000",Balanceanp!C:G,5,FALSE))=TRUE,0,+VLOOKUP("BOS661610000",Balanceanp!C:G,5,FALSE))</f>
        <v>166.46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-1</v>
      </c>
      <c r="J182" s="271">
        <f t="shared" si="18"/>
        <v>0</v>
      </c>
      <c r="L182" s="443"/>
    </row>
    <row r="183" spans="1:12">
      <c r="A183" s="5" t="s">
        <v>331</v>
      </c>
      <c r="B183" s="92"/>
      <c r="C183" s="160">
        <f>IF(ISNA(VLOOKUP("bos681500000",Balance!C:G,5,FALSE))=TRUE,0,VLOOKUP("bos681500000",Balance!C:G,5,FALSE))</f>
        <v>0</v>
      </c>
      <c r="D183" s="117">
        <f>+[2]Bosc!$H183</f>
        <v>0</v>
      </c>
      <c r="E183" s="160">
        <f>IF(ISNA(VLOOKUP("bos681500000",Balanceanp!C:G,5,FALSE))=TRUE,0,VLOOKUP("bos681500000",Balanceanp!C:G,5,FALSE))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s="443"/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444"/>
    </row>
    <row r="185" spans="1:12" s="33" customFormat="1" ht="15" customHeight="1">
      <c r="A185" s="13" t="s">
        <v>178</v>
      </c>
      <c r="B185" s="93"/>
      <c r="C185" s="163">
        <f>SUM(C169:C184)</f>
        <v>0.22</v>
      </c>
      <c r="D185" s="118">
        <f>SUM(D169:D184)</f>
        <v>7823.3018542500004</v>
      </c>
      <c r="E185" s="280">
        <f>SUM(E169:E184)</f>
        <v>8893.77</v>
      </c>
      <c r="F185" s="136">
        <f>SUM(F169:F184)</f>
        <v>4722.8633333333328</v>
      </c>
      <c r="G185" s="136">
        <f>SUM(G169:G184)</f>
        <v>9781.5221333333338</v>
      </c>
      <c r="H185" s="421"/>
      <c r="I185" s="272">
        <f>+IF((E185)=0,,(F185-E185)/E185)</f>
        <v>-0.46896947713586784</v>
      </c>
      <c r="J185" s="188">
        <f>+IF((F185)=0,,(G185-F185)/F185)</f>
        <v>1.0710999753680503</v>
      </c>
      <c r="L185" s="445"/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444"/>
    </row>
    <row r="187" spans="1:12">
      <c r="A187" s="5" t="s">
        <v>179</v>
      </c>
      <c r="B187" s="92"/>
      <c r="C187" s="160">
        <f>IF(ISNA(VLOOKUP("bos740000000",Balance!C:G,5,FALSE))=TRUE,0,-VLOOKUP("bos740000000",Balance!C:G,5,FALSE))</f>
        <v>0</v>
      </c>
      <c r="D187" s="117">
        <f>+[2]Bosc!$H187</f>
        <v>0</v>
      </c>
      <c r="E187" s="160">
        <f>IF(ISNA(VLOOKUP("bos740000000",Balanceanp!C:G,5,FALSE))=TRUE,0,-VLOOKUP("bos740000000",Balanceanp!C:G,5,FALSE))</f>
        <v>2000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-1</v>
      </c>
      <c r="J187" s="271">
        <f t="shared" si="19"/>
        <v>0</v>
      </c>
      <c r="L187" s="443"/>
    </row>
    <row r="188" spans="1:12">
      <c r="A188" s="5" t="s">
        <v>230</v>
      </c>
      <c r="B188" s="92"/>
      <c r="C188" s="160">
        <f>IF(ISNA(VLOOKUP("bos751100000",Balance!C:G,5,FALSE))=TRUE,0,-VLOOKUP("bos751100000",Balance!C:G,5,FALSE))</f>
        <v>0</v>
      </c>
      <c r="D188" s="117">
        <f>+[2]Bosc!$H188</f>
        <v>0</v>
      </c>
      <c r="E188" s="160">
        <f>IF(ISNA(VLOOKUP("bos751100000",Balanceanp!C:G,5,FALSE))=TRUE,0,-VLOOKUP("bos751100000",Balanceanp!C:G,5,FALSE))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s="443"/>
    </row>
    <row r="189" spans="1:12">
      <c r="A189" s="5" t="s">
        <v>180</v>
      </c>
      <c r="B189" s="92"/>
      <c r="C189" s="160">
        <f>IF(ISNA(VLOOKUP("bos758100000",Balance!C:G,5,FALSE))=TRUE,0,-VLOOKUP("bos758100000",Balance!C:G,5,FALSE))</f>
        <v>3501.32</v>
      </c>
      <c r="D189" s="117">
        <f>+[2]Bosc!$H189</f>
        <v>0</v>
      </c>
      <c r="E189" s="160">
        <f>IF(ISNA(VLOOKUP("bos758100000",Balanceanp!C:G,5,FALSE))=TRUE,0,-VLOOKUP("bos758100000",Balanceanp!C:G,5,FALSE))</f>
        <v>340.45</v>
      </c>
      <c r="F189" s="368">
        <f>+C189+C189/9*(12-Clients!$I$14)</f>
        <v>4668.4266666666663</v>
      </c>
      <c r="G189" s="368">
        <v>0</v>
      </c>
      <c r="H189" s="410"/>
      <c r="I189" s="149">
        <f t="shared" si="19"/>
        <v>12.71251774612033</v>
      </c>
      <c r="J189" s="271">
        <f t="shared" si="19"/>
        <v>-1</v>
      </c>
      <c r="L189" s="443"/>
    </row>
    <row r="190" spans="1:12">
      <c r="A190" s="5" t="s">
        <v>181</v>
      </c>
      <c r="B190" s="92"/>
      <c r="C190" s="160">
        <f>IF(ISNA(VLOOKUP("bos763800000",Balance!C:G,5,FALSE))=TRUE,0,-VLOOKUP("bos763800000",Balance!C:G,5,FALSE))</f>
        <v>0</v>
      </c>
      <c r="D190" s="117">
        <f>+[2]Bosc!$H190</f>
        <v>0</v>
      </c>
      <c r="E190" s="160">
        <f>IF(ISNA(VLOOKUP("bos763800000",Balanceanp!C:G,5,FALSE))=TRUE,0,-VLOOKUP("bos763800000",Balanceanp!C:G,5,FALSE))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s="443"/>
    </row>
    <row r="191" spans="1:12">
      <c r="A191" s="5" t="s">
        <v>182</v>
      </c>
      <c r="B191" s="92"/>
      <c r="C191" s="160">
        <f>IF(ISNA(VLOOKUP("bos765000000",Balance!C:G,5,FALSE))=TRUE,0,-VLOOKUP("bos765000000",Balance!C:G,5,FALSE))</f>
        <v>0</v>
      </c>
      <c r="D191" s="117">
        <f>+[2]Bosc!$H191</f>
        <v>0</v>
      </c>
      <c r="E191" s="160">
        <f>IF(ISNA(VLOOKUP("bos765000000",Balanceanp!C:G,5,FALSE))=TRUE,0,-VLOOKUP("bos765000000",Balanceanp!C:G,5,FALSE))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s="443"/>
    </row>
    <row r="192" spans="1:12">
      <c r="A192" s="5" t="s">
        <v>183</v>
      </c>
      <c r="B192" s="92"/>
      <c r="C192" s="160">
        <f>IF(ISNA(VLOOKUP("bos771400000",Balance!C:G,5,FALSE))=TRUE,0,-VLOOKUP("bos771400000",Balance!C:G,5,FALSE))</f>
        <v>0</v>
      </c>
      <c r="D192" s="117">
        <f>+[2]Bosc!$H192</f>
        <v>0</v>
      </c>
      <c r="E192" s="160">
        <f>IF(ISNA(VLOOKUP("bos771400000",Balanceanp!C:G,5,FALSE))=TRUE,0,-VLOOKUP("bos771400000",Balanceanp!C:G,5,FALSE))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s="443"/>
    </row>
    <row r="193" spans="1:12">
      <c r="A193" s="5" t="s">
        <v>184</v>
      </c>
      <c r="B193" s="92"/>
      <c r="C193" s="160">
        <f>IF(ISNA(VLOOKUP("bos771800000",Balance!C:G,5,FALSE))=TRUE,0,-VLOOKUP("bos771800000",Balance!C:G,5,FALSE))</f>
        <v>119.23</v>
      </c>
      <c r="D193" s="117">
        <f>+[2]Bosc!$H193</f>
        <v>0</v>
      </c>
      <c r="E193" s="160">
        <f>IF(ISNA(VLOOKUP("bos771800000",Balanceanp!C:G,5,FALSE))=TRUE,0,-VLOOKUP("bos771800000",Balanceanp!C:G,5,FALSE))</f>
        <v>4022.6</v>
      </c>
      <c r="F193" s="368">
        <f>+C193+C193/9*(12-Clients!$I$14)</f>
        <v>158.97333333333333</v>
      </c>
      <c r="G193" s="368">
        <v>0</v>
      </c>
      <c r="H193" s="410"/>
      <c r="I193" s="149">
        <f t="shared" si="19"/>
        <v>-0.96047995492136096</v>
      </c>
      <c r="J193" s="271">
        <f t="shared" si="19"/>
        <v>-1</v>
      </c>
      <c r="L193" s="443"/>
    </row>
    <row r="194" spans="1:12">
      <c r="A194" s="5" t="s">
        <v>185</v>
      </c>
      <c r="B194" s="92"/>
      <c r="C194" s="160">
        <f>IF(ISNA(VLOOKUP("bos758000000",Balance!C:G,5,FALSE))=TRUE,0,-VLOOKUP("bos758000000",Balance!C:G,5,FALSE))</f>
        <v>0</v>
      </c>
      <c r="D194" s="117">
        <f>+[2]Bosc!$H194</f>
        <v>0</v>
      </c>
      <c r="E194" s="160">
        <f>IF(ISNA(VLOOKUP("bos772000000",Balanceanp!C:G,5,FALSE))=TRUE,0,-VLOOKUP("bos772000000",Balanceanp!C:G,5,FALSE))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s="443"/>
    </row>
    <row r="195" spans="1:12">
      <c r="A195" s="5" t="s">
        <v>186</v>
      </c>
      <c r="B195" s="92"/>
      <c r="C195" s="160">
        <f>IF(ISNA(VLOOKUP("bos775100000",Balance!C:G,5,FALSE))=TRUE,0,-VLOOKUP("bos775100000",Balance!C:G,5,FALSE))</f>
        <v>0</v>
      </c>
      <c r="D195" s="117">
        <f>+[2]Bosc!$H195</f>
        <v>0</v>
      </c>
      <c r="E195" s="160">
        <f>IF(ISNA(VLOOKUP("bos775100000",Balanceanp!C:G,5,FALSE))=TRUE,0,-VLOOKUP("bos775100000",Balanceanp!C:G,5,FALSE))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s="443"/>
    </row>
    <row r="196" spans="1:12">
      <c r="A196" s="5" t="s">
        <v>187</v>
      </c>
      <c r="B196" s="92"/>
      <c r="C196" s="160">
        <f>IF(ISNA(VLOOKUP("bos775200000",Balance!C:G,5,FALSE))=TRUE,0,-VLOOKUP("bos775200000",Balance!C:G,5,FALSE))</f>
        <v>0</v>
      </c>
      <c r="D196" s="117">
        <f>+[2]Bosc!$H196</f>
        <v>0</v>
      </c>
      <c r="E196" s="160">
        <f>IF(ISNA(VLOOKUP("bos775200000",Balanceanp!C:G,5,FALSE))=TRUE,0,-VLOOKUP("bos775200000",Balanceanp!C:G,5,FALSE))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s="443"/>
    </row>
    <row r="197" spans="1:12">
      <c r="A197" s="5" t="s">
        <v>328</v>
      </c>
      <c r="B197" s="92"/>
      <c r="C197" s="160">
        <f>IF(ISNA(VLOOKUP("bos791000000",Balance!C:G,5,FALSE))=TRUE,0,-VLOOKUP("bos791000000",Balance!C:G,5,FALSE))</f>
        <v>0</v>
      </c>
      <c r="D197" s="117">
        <f>+[2]Bosc!$H197</f>
        <v>0</v>
      </c>
      <c r="E197" s="160">
        <f>IF(ISNA(VLOOKUP("bos791000000",Balanceanp!C:G,5,FALSE))=TRUE,0,-VLOOKUP("bos791000000",Balanceanp!C:G,5,FALSE))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s="443"/>
    </row>
    <row r="198" spans="1:12">
      <c r="A198" s="5" t="s">
        <v>344</v>
      </c>
      <c r="B198" s="92"/>
      <c r="C198" s="160">
        <f>IF(ISNA(VLOOKUP("bos781500000",Balance!C:G,5,FALSE))=TRUE,0,-VLOOKUP("bos781500000",Balance!C:G,5,FALSE))</f>
        <v>0</v>
      </c>
      <c r="D198" s="117">
        <f>+[2]Bosc!$H198</f>
        <v>0</v>
      </c>
      <c r="E198" s="160">
        <f>IF(ISNA(VLOOKUP("bos781500000",Balanceanp!C:G,5,FALSE))=TRUE,0,-VLOOKUP("bos781500000",Balanceanp!C:G,5,FALSE))</f>
        <v>1082</v>
      </c>
      <c r="F198" s="368">
        <f>+C198+C198/9*(12-Clients!$I$14)</f>
        <v>0</v>
      </c>
      <c r="G198" s="368">
        <v>0</v>
      </c>
      <c r="H198" s="410"/>
      <c r="I198" s="149">
        <f t="shared" si="19"/>
        <v>-1</v>
      </c>
      <c r="J198" s="271">
        <f t="shared" si="19"/>
        <v>0</v>
      </c>
      <c r="L198" s="443"/>
    </row>
    <row r="199" spans="1:12">
      <c r="A199" s="5" t="s">
        <v>77</v>
      </c>
      <c r="B199" s="92"/>
      <c r="C199" s="160">
        <f>IF(ISNA(VLOOKUP("BOS787250000",Balance!C:G,5,FALSE))=TRUE,0,-VLOOKUP("BOS787250000",Balance!C:G,5,FALSE))</f>
        <v>0</v>
      </c>
      <c r="D199" s="117">
        <f>+[2]Bosc!$H199</f>
        <v>0</v>
      </c>
      <c r="E199" s="160">
        <f>IF(ISNA(VLOOKUP("BOS787250000",Balanceanp!C:G,5,FALSE))=TRUE,0,-VLOOKUP("BOS787250000",Balanceanp!C:G,5,FALSE))</f>
        <v>959.34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s="443"/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444"/>
    </row>
    <row r="201" spans="1:12" s="33" customFormat="1" ht="15" customHeight="1">
      <c r="A201" s="13" t="s">
        <v>188</v>
      </c>
      <c r="B201" s="93"/>
      <c r="C201" s="163">
        <f>SUM(C186:C200)</f>
        <v>3620.55</v>
      </c>
      <c r="D201" s="118">
        <f>SUM(D186:D200)</f>
        <v>0</v>
      </c>
      <c r="E201" s="163">
        <f>SUM(E186:E200)</f>
        <v>8404.39</v>
      </c>
      <c r="F201" s="136">
        <f>SUM(F186:F200)</f>
        <v>4827.3999999999996</v>
      </c>
      <c r="G201" s="136">
        <f>SUM(G186:G200)</f>
        <v>0</v>
      </c>
      <c r="H201" s="421"/>
      <c r="I201" s="272">
        <f>+IF((E201)=0,,(F201-E201)/E201)</f>
        <v>-0.42560971111526236</v>
      </c>
      <c r="J201" s="188">
        <f>+IF((F201)=0,,(G201-F201)/F201)</f>
        <v>-1</v>
      </c>
      <c r="L201" s="445"/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444"/>
    </row>
    <row r="203" spans="1:12" s="33" customFormat="1" ht="15" customHeight="1">
      <c r="A203" s="14" t="s">
        <v>189</v>
      </c>
      <c r="B203" s="99">
        <f>+C203/$C$21</f>
        <v>0.25883005221106636</v>
      </c>
      <c r="C203" s="175">
        <f>+C103+C116+C129+C154+C168+C185-C201</f>
        <v>281598.46999999991</v>
      </c>
      <c r="D203" s="126">
        <f>+D103+D116+D129+D154+D168+D185-D201</f>
        <v>428351.32602536341</v>
      </c>
      <c r="E203" s="175">
        <f>+E103+E116+E129+E154+E168+E185-E201</f>
        <v>414496.04640000005</v>
      </c>
      <c r="F203" s="145">
        <f>+F103+F116+F129+F154+F168+F185-F201</f>
        <v>372628.15666666662</v>
      </c>
      <c r="G203" s="145">
        <f>+G103+G116+G129+G154+G168+G185-G201</f>
        <v>412437.41089054954</v>
      </c>
      <c r="H203" s="422">
        <f>+G203/$G$21</f>
        <v>0.27448250425299447</v>
      </c>
      <c r="I203" s="281">
        <f>+IF((E203)=0,,(F203-E203)/E203)</f>
        <v>-0.1010091413343175</v>
      </c>
      <c r="J203" s="282">
        <f>+IF((F203)=0,,(G203-F203)/F203)</f>
        <v>0.1068337255563169</v>
      </c>
      <c r="L203" s="451"/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444"/>
    </row>
    <row r="205" spans="1:12" s="33" customFormat="1" ht="15" customHeight="1">
      <c r="A205" s="12" t="s">
        <v>228</v>
      </c>
      <c r="B205" s="100">
        <f>+C205/$C$21</f>
        <v>8.4414226126982364E-2</v>
      </c>
      <c r="C205" s="177">
        <f>+C62-C203</f>
        <v>91839.864499999967</v>
      </c>
      <c r="D205" s="127">
        <f>+D62-D203</f>
        <v>142408.67397463659</v>
      </c>
      <c r="E205" s="177">
        <f>+E53-E203</f>
        <v>115315.62450000021</v>
      </c>
      <c r="F205" s="146">
        <f>+F62-F203</f>
        <v>127518.99373333331</v>
      </c>
      <c r="G205" s="146">
        <f>+G62-G203</f>
        <v>133164.58910945046</v>
      </c>
      <c r="H205" s="406">
        <f>+G205/$G$21</f>
        <v>8.8622779921103734E-2</v>
      </c>
      <c r="I205" s="226">
        <f>+IF((E205)=0,,(F205-E205)/E205)</f>
        <v>0.10582580882899417</v>
      </c>
      <c r="J205" s="283">
        <f>+IF((F205)=0,,(G205-F205)/F205)</f>
        <v>4.4272584113415905E-2</v>
      </c>
      <c r="L205" s="452"/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444"/>
    </row>
    <row r="207" spans="1:12" ht="15" customHeight="1">
      <c r="A207" s="63" t="s">
        <v>251</v>
      </c>
      <c r="B207" s="101">
        <f>+C207/$C$21</f>
        <v>2.6629822951163905E-3</v>
      </c>
      <c r="C207" s="179">
        <f>+[2]Bosc!$C207</f>
        <v>2897.2359798867355</v>
      </c>
      <c r="D207" s="128">
        <f>+[2]Bosc!$H207</f>
        <v>9122.9816845760197</v>
      </c>
      <c r="E207" s="284">
        <f>+[1]Bosc!$G$207</f>
        <v>3419.719737985246</v>
      </c>
      <c r="F207" s="150">
        <f>+Repart!K14</f>
        <v>3812.0172008526647</v>
      </c>
      <c r="G207" s="150">
        <f>+Repart!Q14</f>
        <v>5687.6455557983163</v>
      </c>
      <c r="H207" s="423">
        <f>+G207/$G$21</f>
        <v>3.7852026858766915E-3</v>
      </c>
      <c r="I207" s="281">
        <f>+IF((E207)=0,,(F207-E207)/E207)</f>
        <v>0.11471626125085438</v>
      </c>
      <c r="J207" s="282">
        <f>+IF((F207)=0,,(G207-F207)/F207)</f>
        <v>0.49203040178468099</v>
      </c>
      <c r="L207" s="453"/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444"/>
    </row>
    <row r="209" spans="1:12" s="33" customFormat="1" ht="15" customHeight="1">
      <c r="A209" s="12" t="s">
        <v>190</v>
      </c>
      <c r="B209" s="100">
        <f>+C209/$C$21</f>
        <v>8.1751243831865966E-2</v>
      </c>
      <c r="C209" s="177">
        <f>+C205-C207</f>
        <v>88942.628520113227</v>
      </c>
      <c r="D209" s="127">
        <f>+D205-D207</f>
        <v>133285.69229006057</v>
      </c>
      <c r="E209" s="177">
        <f>+E205-E207</f>
        <v>111895.90476201496</v>
      </c>
      <c r="F209" s="146">
        <f>+F205-F207</f>
        <v>123706.97653248064</v>
      </c>
      <c r="G209" s="146">
        <f>+G205-G207</f>
        <v>127476.94355365215</v>
      </c>
      <c r="H209" s="406">
        <f>+G209/$G$21</f>
        <v>8.4837577235227044E-2</v>
      </c>
      <c r="I209" s="226">
        <f>+IF((E209)=0,,(F209-E209)/E209)</f>
        <v>0.10555410223087223</v>
      </c>
      <c r="J209" s="283">
        <f>+IF((F209)=0,,(G209-F209)/F209)</f>
        <v>3.0474975032484659E-2</v>
      </c>
      <c r="L209" s="452"/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444"/>
    </row>
    <row r="211" spans="1:12">
      <c r="A211" s="5" t="s">
        <v>191</v>
      </c>
      <c r="B211" s="92">
        <f>+C211/$C$21</f>
        <v>6.0066752038964956E-3</v>
      </c>
      <c r="C211" s="160">
        <f>+[2]Bosc!$C211</f>
        <v>6535.0624193548392</v>
      </c>
      <c r="D211" s="117">
        <f>+[2]Bosc!$H211</f>
        <v>9026.0372215405096</v>
      </c>
      <c r="E211" s="160">
        <f>+[1]Bosc!$G211</f>
        <v>8095.0860719999991</v>
      </c>
      <c r="F211" s="368">
        <f>+Repart!I14</f>
        <v>8997.9607634408567</v>
      </c>
      <c r="G211" s="368">
        <f>+Repart!O14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L211" s="443"/>
    </row>
    <row r="212" spans="1:12">
      <c r="A212" s="5" t="s">
        <v>192</v>
      </c>
      <c r="B212" s="92">
        <f>+C212/$C$21</f>
        <v>3.8774477956014936E-2</v>
      </c>
      <c r="C212" s="160">
        <f>+[2]Bosc!$C212</f>
        <v>42185.339662793966</v>
      </c>
      <c r="D212" s="117">
        <f>+[2]Bosc!$H212</f>
        <v>57785.524390466999</v>
      </c>
      <c r="E212" s="160">
        <f>+[1]Bosc!$G212</f>
        <v>52484.114703540836</v>
      </c>
      <c r="F212" s="368">
        <f>+Repart!J14</f>
        <v>57529.8847389726</v>
      </c>
      <c r="G212" s="368">
        <f>+Repart!P14</f>
        <v>61280.071587533217</v>
      </c>
      <c r="H212" s="410"/>
      <c r="I212" s="149">
        <f t="shared" si="20"/>
        <v>9.613899489270325E-2</v>
      </c>
      <c r="J212" s="271">
        <f t="shared" si="20"/>
        <v>6.5186761029961182E-2</v>
      </c>
      <c r="L212" s="443"/>
    </row>
    <row r="213" spans="1:12">
      <c r="A213" s="5" t="s">
        <v>193</v>
      </c>
      <c r="B213" s="92"/>
      <c r="C213" s="160">
        <f>+[2]Bosc!$C213</f>
        <v>-10161.32</v>
      </c>
      <c r="D213" s="117">
        <f>+[2]Bosc!$H213</f>
        <v>-13200</v>
      </c>
      <c r="E213" s="160">
        <f>+[1]Bosc!$G213</f>
        <v>-13593.32</v>
      </c>
      <c r="F213" s="368">
        <f>+C213+C213/9*(12-Clients!$I$14)</f>
        <v>-13548.426666666666</v>
      </c>
      <c r="G213" s="368">
        <f>+G253*-4%</f>
        <v>-13200</v>
      </c>
      <c r="H213" s="410"/>
      <c r="I213" s="149">
        <f t="shared" si="20"/>
        <v>-3.3026025528225208E-3</v>
      </c>
      <c r="J213" s="271">
        <f t="shared" si="20"/>
        <v>-2.5717131238854767E-2</v>
      </c>
      <c r="L213" s="443"/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444"/>
    </row>
    <row r="215" spans="1:12" s="33" customFormat="1" ht="15" customHeight="1">
      <c r="A215" s="20" t="s">
        <v>194</v>
      </c>
      <c r="B215" s="103">
        <f>+C215/$C$21</f>
        <v>3.5441418515283027E-2</v>
      </c>
      <c r="C215" s="180">
        <f>SUM(C210:C213)</f>
        <v>38559.082082148809</v>
      </c>
      <c r="D215" s="129">
        <f>SUM(D210:D213)</f>
        <v>53611.561612007514</v>
      </c>
      <c r="E215" s="180">
        <f>SUM(E210:E213)</f>
        <v>46985.880775540834</v>
      </c>
      <c r="F215" s="148">
        <f>SUM(F210:F213)</f>
        <v>52979.418835746794</v>
      </c>
      <c r="G215" s="148">
        <f>SUM(G210:G213)</f>
        <v>57724.756266843702</v>
      </c>
      <c r="H215" s="424">
        <f>+G215/$G$21</f>
        <v>3.8416582102251899E-2</v>
      </c>
      <c r="I215" s="281">
        <f>+IF((E215)=0,,(F215-E215)/E215)</f>
        <v>0.12756040668553309</v>
      </c>
      <c r="J215" s="282">
        <f>+IF((F215)=0,,(G215-F215)/F215)</f>
        <v>8.9569450465452963E-2</v>
      </c>
      <c r="L215" s="446"/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444"/>
    </row>
    <row r="217" spans="1:12" s="33" customFormat="1" ht="20.100000000000001" customHeight="1">
      <c r="A217" s="12" t="s">
        <v>86</v>
      </c>
      <c r="B217" s="100">
        <f>+C217/$C$21</f>
        <v>4.6309825316582932E-2</v>
      </c>
      <c r="C217" s="177">
        <f>+C209-C215</f>
        <v>50383.546437964418</v>
      </c>
      <c r="D217" s="127">
        <f>+D209-D215</f>
        <v>79674.130678053058</v>
      </c>
      <c r="E217" s="177">
        <f>+E209-E215</f>
        <v>64910.023986474131</v>
      </c>
      <c r="F217" s="146">
        <f>+F209-F215</f>
        <v>70727.557696733842</v>
      </c>
      <c r="G217" s="146">
        <f>+G209-G215</f>
        <v>69752.187286808447</v>
      </c>
      <c r="H217" s="406">
        <f>+G217/$G$21</f>
        <v>4.6420995132975137E-2</v>
      </c>
      <c r="I217" s="226">
        <f>+IF((E217)=0,,(F217-E217)/E217)</f>
        <v>8.9624581119735244E-2</v>
      </c>
      <c r="J217" s="283">
        <f>+IF((F217)=0,,(G217-F217)/F217)</f>
        <v>-1.3790528638180836E-2</v>
      </c>
      <c r="L217" s="452"/>
    </row>
    <row r="218" spans="1:12">
      <c r="A218" s="2" t="s">
        <v>43</v>
      </c>
      <c r="C218" s="17">
        <f>+C225-C226-C215-C207-C53+C62-C38+C213</f>
        <v>50383.546437965015</v>
      </c>
      <c r="D218" s="117">
        <f>+[2]Bosc!$H$217</f>
        <v>79674.130678053058</v>
      </c>
      <c r="E218" s="17">
        <f>+[1]Bosc!$G$217</f>
        <v>64910.423986474096</v>
      </c>
      <c r="F218" s="87"/>
      <c r="G218" s="398"/>
      <c r="H218" s="414"/>
      <c r="L218" s="443"/>
    </row>
    <row r="219" spans="1:12">
      <c r="A219" s="2" t="s">
        <v>346</v>
      </c>
      <c r="B219" s="58">
        <f>+Clients!K13</f>
        <v>270</v>
      </c>
      <c r="C219" s="17">
        <f>+B219/C44*C57</f>
        <v>83.835805835989689</v>
      </c>
    </row>
    <row r="220" spans="1:12">
      <c r="A220" s="2" t="s">
        <v>354</v>
      </c>
      <c r="B220" s="58">
        <f>+Clients!K13</f>
        <v>270</v>
      </c>
      <c r="C220" s="17">
        <f>+B220/(C21*1.196)*Clients!K30</f>
        <v>115.46831993339293</v>
      </c>
    </row>
    <row r="222" spans="1:12">
      <c r="A222" s="264" t="s">
        <v>67</v>
      </c>
      <c r="B222" s="265"/>
      <c r="C222" s="265">
        <f>+(C215+C207+C203)/C60/Clients!$I$13*12</f>
        <v>1230684.9069029922</v>
      </c>
      <c r="D222" s="265">
        <f>+(D215+D207+D203)/D60</f>
        <v>1292331.2350577551</v>
      </c>
      <c r="E222" s="265">
        <f>+(E215+E207+E203)/E60/Clients!$I$13*12</f>
        <v>1675321.2501388327</v>
      </c>
      <c r="F222" s="265">
        <f>+(F215+F207+F203)/F60</f>
        <v>1192832.2019535168</v>
      </c>
      <c r="G222" s="265">
        <f>+(G215+G207+G203)/G60</f>
        <v>1286080.5749005177</v>
      </c>
      <c r="H222" s="265"/>
      <c r="I222" s="265"/>
      <c r="J222" s="265"/>
    </row>
    <row r="223" spans="1:12">
      <c r="A223" s="264" t="s">
        <v>66</v>
      </c>
      <c r="B223" s="265"/>
      <c r="C223" s="265">
        <f>+(C215+C207+C203)/C60/Clients!$I$13</f>
        <v>102557.07557524936</v>
      </c>
      <c r="D223" s="265">
        <f>+(D215+D207+D203)/D60/12</f>
        <v>107694.26958814626</v>
      </c>
      <c r="E223" s="265">
        <f>+(E215+E207+E203)/E60/Clients!$I$13</f>
        <v>139610.10417823607</v>
      </c>
      <c r="F223" s="265">
        <f>+(F215+F207+F203)/F60/9</f>
        <v>132536.91132816853</v>
      </c>
      <c r="G223" s="265">
        <f>+(G215+G207+G203)/G60/12</f>
        <v>107173.38124170981</v>
      </c>
      <c r="H223" s="265"/>
      <c r="I223" s="265"/>
      <c r="J223" s="265"/>
    </row>
    <row r="224" spans="1:12">
      <c r="B224" s="17"/>
      <c r="D224" s="17"/>
      <c r="E224" s="17"/>
      <c r="F224" s="17"/>
      <c r="G224" s="17"/>
      <c r="H224" s="17"/>
      <c r="I224" s="17"/>
      <c r="J224" s="17"/>
    </row>
    <row r="225" spans="1:12">
      <c r="A225" s="2" t="s">
        <v>215</v>
      </c>
      <c r="C225" s="17">
        <f>+C51-C40-C157-C166+C201-C164-C159-C137</f>
        <v>1115600.52</v>
      </c>
      <c r="D225" s="17"/>
    </row>
    <row r="226" spans="1:12">
      <c r="A226" s="2" t="s">
        <v>216</v>
      </c>
      <c r="C226" s="17">
        <f>+C44-C38-C40+C103+C116+C129+C154+C156+C158+C160+C161+C162+C163+C165+C185+C213</f>
        <v>1072863.3799999997</v>
      </c>
      <c r="D226" s="17"/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</row>
    <row r="229" spans="1:12" ht="20.25" customHeight="1">
      <c r="A229" s="7" t="str">
        <f>+A4</f>
        <v>CAUDEBEC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</row>
    <row r="231" spans="1:12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</row>
    <row r="233" spans="1:12" s="33" customFormat="1" ht="15" customHeight="1">
      <c r="A233" s="245" t="s">
        <v>223</v>
      </c>
      <c r="B233" s="363"/>
      <c r="C233" s="175">
        <f t="shared" ref="C233:J233" si="21">+C51</f>
        <v>1066966.6699999997</v>
      </c>
      <c r="D233" s="176">
        <f t="shared" si="21"/>
        <v>1502000</v>
      </c>
      <c r="E233" s="175">
        <f t="shared" si="21"/>
        <v>1437187.7600000002</v>
      </c>
      <c r="F233" s="206">
        <f t="shared" si="21"/>
        <v>1389297.64</v>
      </c>
      <c r="G233" s="206">
        <f t="shared" si="21"/>
        <v>1474600</v>
      </c>
      <c r="H233" s="313"/>
      <c r="I233" s="281">
        <f>+I51</f>
        <v>-3.3322103995653524E-2</v>
      </c>
      <c r="J233" s="192">
        <f t="shared" si="21"/>
        <v>6.1399629239995042E-2</v>
      </c>
      <c r="K233" s="58"/>
      <c r="L233" s="298"/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</row>
    <row r="235" spans="1:12" s="33" customFormat="1" ht="15" customHeight="1">
      <c r="A235" s="246" t="s">
        <v>295</v>
      </c>
      <c r="B235" s="364"/>
      <c r="C235" s="197">
        <f>+C60</f>
        <v>0.35</v>
      </c>
      <c r="D235" s="191">
        <f>+D60</f>
        <v>0.38</v>
      </c>
      <c r="E235" s="197">
        <f>+E60</f>
        <v>0.37</v>
      </c>
      <c r="F235" s="224">
        <f>+F60</f>
        <v>0.36</v>
      </c>
      <c r="G235" s="224">
        <f>+G60</f>
        <v>0.37</v>
      </c>
      <c r="H235" s="15"/>
      <c r="I235" s="224"/>
      <c r="J235" s="191"/>
      <c r="L235" s="298"/>
    </row>
    <row r="236" spans="1:12" s="33" customFormat="1" ht="15" customHeight="1">
      <c r="A236" s="246" t="s">
        <v>296</v>
      </c>
      <c r="B236" s="364"/>
      <c r="C236" s="169">
        <f>+C62</f>
        <v>373438.33449999988</v>
      </c>
      <c r="D236" s="170">
        <f>+D62</f>
        <v>570760</v>
      </c>
      <c r="E236" s="169">
        <f>+E62</f>
        <v>531759.47120000003</v>
      </c>
      <c r="F236" s="223">
        <f>+F62</f>
        <v>500147.15039999993</v>
      </c>
      <c r="G236" s="223">
        <f>+G62</f>
        <v>545602</v>
      </c>
      <c r="H236" s="309"/>
      <c r="I236" s="226">
        <f>+IF((E236)=0,,(F236-E236)/E236)</f>
        <v>-5.9448533617392579E-2</v>
      </c>
      <c r="J236" s="283">
        <f>+IF((F236)=0,,(G236-F236)/F236)</f>
        <v>9.0882952274439432E-2</v>
      </c>
      <c r="L236" s="298"/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442"/>
    </row>
    <row r="238" spans="1:12" s="298" customFormat="1" ht="15" customHeight="1">
      <c r="A238" s="292" t="s">
        <v>122</v>
      </c>
      <c r="B238" s="365"/>
      <c r="C238" s="293">
        <f>+C103</f>
        <v>83806.2</v>
      </c>
      <c r="D238" s="294">
        <f>+D103</f>
        <v>127706.42018025368</v>
      </c>
      <c r="E238" s="293">
        <f>+E103</f>
        <v>124515.08</v>
      </c>
      <c r="F238" s="295">
        <f>+F103</f>
        <v>110897.28</v>
      </c>
      <c r="G238" s="295">
        <f>+G103</f>
        <v>110030.0312</v>
      </c>
      <c r="H238" s="388"/>
      <c r="I238" s="415">
        <f t="shared" ref="I238:J243" si="22">+IF((E238)=0,,(F238-E238)/E238)</f>
        <v>-0.10936667269538761</v>
      </c>
      <c r="J238" s="297">
        <f t="shared" si="22"/>
        <v>-7.8202891901406526E-3</v>
      </c>
    </row>
    <row r="239" spans="1:12" s="298" customFormat="1" ht="15" customHeight="1">
      <c r="A239" s="292" t="s">
        <v>133</v>
      </c>
      <c r="B239" s="365"/>
      <c r="C239" s="293">
        <f>+C116</f>
        <v>52505.47</v>
      </c>
      <c r="D239" s="294">
        <f>+D116</f>
        <v>73400</v>
      </c>
      <c r="E239" s="293">
        <f>+E116</f>
        <v>82724.84</v>
      </c>
      <c r="F239" s="295">
        <f>+F116</f>
        <v>68395.693333333344</v>
      </c>
      <c r="G239" s="295">
        <f>+G116</f>
        <v>71100</v>
      </c>
      <c r="H239" s="388"/>
      <c r="I239" s="415">
        <f t="shared" si="22"/>
        <v>-0.17321455885156931</v>
      </c>
      <c r="J239" s="297">
        <f t="shared" si="22"/>
        <v>3.9539136674687156E-2</v>
      </c>
    </row>
    <row r="240" spans="1:12" s="298" customFormat="1" ht="15" customHeight="1">
      <c r="A240" s="292" t="s">
        <v>147</v>
      </c>
      <c r="B240" s="365"/>
      <c r="C240" s="293">
        <f>+C129</f>
        <v>10255.1</v>
      </c>
      <c r="D240" s="294">
        <f>+D129</f>
        <v>13943.95</v>
      </c>
      <c r="E240" s="293">
        <f>+E129</f>
        <v>13098.5</v>
      </c>
      <c r="F240" s="295">
        <f>+F129</f>
        <v>8570.3466666666664</v>
      </c>
      <c r="G240" s="295">
        <f>+G129</f>
        <v>9288.2100000000009</v>
      </c>
      <c r="H240" s="388"/>
      <c r="I240" s="415">
        <f t="shared" si="22"/>
        <v>-0.34570014378236696</v>
      </c>
      <c r="J240" s="297">
        <f t="shared" si="22"/>
        <v>8.3761294758983057E-2</v>
      </c>
    </row>
    <row r="241" spans="1:12" s="298" customFormat="1" ht="15" customHeight="1">
      <c r="A241" s="292" t="s">
        <v>164</v>
      </c>
      <c r="B241" s="365"/>
      <c r="C241" s="293">
        <f>+C154</f>
        <v>130679.36999999998</v>
      </c>
      <c r="D241" s="294">
        <f>+D154</f>
        <v>183359.72702846574</v>
      </c>
      <c r="E241" s="293">
        <f>+E154</f>
        <v>182976.65640000004</v>
      </c>
      <c r="F241" s="295">
        <f>+F154</f>
        <v>174239.15999999997</v>
      </c>
      <c r="G241" s="295">
        <f>+G154</f>
        <v>190573.43380121622</v>
      </c>
      <c r="H241" s="388"/>
      <c r="I241" s="415">
        <f t="shared" si="22"/>
        <v>-4.775197324023274E-2</v>
      </c>
      <c r="J241" s="297">
        <f t="shared" si="22"/>
        <v>9.3746284137367547E-2</v>
      </c>
    </row>
    <row r="242" spans="1:12" s="298" customFormat="1" ht="15" customHeight="1">
      <c r="A242" s="292" t="s">
        <v>74</v>
      </c>
      <c r="B242" s="365"/>
      <c r="C242" s="293">
        <f>+C168</f>
        <v>7972.6599999999989</v>
      </c>
      <c r="D242" s="294">
        <f>+D168</f>
        <v>22117.926962393907</v>
      </c>
      <c r="E242" s="293">
        <f>+E168</f>
        <v>10691.589999999998</v>
      </c>
      <c r="F242" s="295">
        <f>+F168</f>
        <v>10630.213333333331</v>
      </c>
      <c r="G242" s="295">
        <f>+G168</f>
        <v>21664.213755999997</v>
      </c>
      <c r="H242" s="388"/>
      <c r="I242" s="415">
        <f t="shared" si="22"/>
        <v>-5.7406491145533091E-3</v>
      </c>
      <c r="J242" s="297">
        <f t="shared" si="22"/>
        <v>1.037984852859648</v>
      </c>
    </row>
    <row r="243" spans="1:12" s="298" customFormat="1" ht="15" customHeight="1">
      <c r="A243" s="292" t="s">
        <v>369</v>
      </c>
      <c r="B243" s="365"/>
      <c r="C243" s="293">
        <f>+C185-C201</f>
        <v>-3620.3300000000004</v>
      </c>
      <c r="D243" s="294">
        <f>+D185-D201</f>
        <v>7823.3018542500004</v>
      </c>
      <c r="E243" s="293">
        <f>+E185-E201</f>
        <v>489.38000000000102</v>
      </c>
      <c r="F243" s="295">
        <f>+F185-F201</f>
        <v>-104.53666666666686</v>
      </c>
      <c r="G243" s="295">
        <f>+G185-G201</f>
        <v>9781.5221333333338</v>
      </c>
      <c r="H243" s="388"/>
      <c r="I243" s="415">
        <f t="shared" si="22"/>
        <v>-1.2136104186249268</v>
      </c>
      <c r="J243" s="297">
        <f t="shared" si="22"/>
        <v>-94.570250948630289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442"/>
    </row>
    <row r="245" spans="1:12" s="33" customFormat="1" ht="15" customHeight="1">
      <c r="A245" s="245" t="s">
        <v>189</v>
      </c>
      <c r="B245" s="363"/>
      <c r="C245" s="299">
        <f>+C203</f>
        <v>281598.46999999991</v>
      </c>
      <c r="D245" s="300">
        <f>+D203</f>
        <v>428351.32602536341</v>
      </c>
      <c r="E245" s="299">
        <f>+E203</f>
        <v>414496.04640000005</v>
      </c>
      <c r="F245" s="301">
        <f>+F203</f>
        <v>372628.15666666662</v>
      </c>
      <c r="G245" s="301">
        <f>+G203</f>
        <v>412437.41089054954</v>
      </c>
      <c r="H245" s="389"/>
      <c r="I245" s="281">
        <f>+I63</f>
        <v>0</v>
      </c>
      <c r="J245" s="192">
        <f>+J63</f>
        <v>0</v>
      </c>
      <c r="K245" s="58"/>
      <c r="L245" s="298"/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</row>
    <row r="247" spans="1:12" s="33" customFormat="1" ht="15" customHeight="1">
      <c r="A247" s="246" t="s">
        <v>228</v>
      </c>
      <c r="B247" s="366"/>
      <c r="C247" s="177">
        <f>+C205</f>
        <v>91839.864499999967</v>
      </c>
      <c r="D247" s="178">
        <f>+D205</f>
        <v>142408.67397463659</v>
      </c>
      <c r="E247" s="177">
        <f>+E205</f>
        <v>115315.62450000021</v>
      </c>
      <c r="F247" s="228">
        <f>+F205</f>
        <v>127518.99373333331</v>
      </c>
      <c r="G247" s="228">
        <f>+G205</f>
        <v>133164.58910945046</v>
      </c>
      <c r="H247" s="314"/>
      <c r="I247" s="226">
        <f>+IF((E247)=0,,(F247-E247)/E247)</f>
        <v>0.10582580882899417</v>
      </c>
      <c r="J247" s="283">
        <f>+IF((F247)=0,,(G247-F247)/F247)</f>
        <v>4.4272584113415905E-2</v>
      </c>
      <c r="L247" s="298"/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</row>
    <row r="249" spans="1:12" s="33" customFormat="1" ht="15" customHeight="1">
      <c r="A249" s="247" t="s">
        <v>370</v>
      </c>
      <c r="B249" s="367"/>
      <c r="C249" s="180">
        <f>+C207+C215</f>
        <v>41456.318062035542</v>
      </c>
      <c r="D249" s="181">
        <f>+D207+D215</f>
        <v>62734.543296583535</v>
      </c>
      <c r="E249" s="180">
        <f>+E207+E215</f>
        <v>50405.600513526078</v>
      </c>
      <c r="F249" s="230">
        <f>+F207+F215</f>
        <v>56791.436036599458</v>
      </c>
      <c r="G249" s="230">
        <f>+G207+G215</f>
        <v>63412.401822642016</v>
      </c>
      <c r="H249" s="316"/>
      <c r="I249" s="281">
        <f>+I67</f>
        <v>1.2477415262179035</v>
      </c>
      <c r="J249" s="192">
        <f>+J67</f>
        <v>-0.49969725269650356</v>
      </c>
      <c r="L249" s="298"/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</row>
    <row r="251" spans="1:12" s="33" customFormat="1" ht="20.100000000000001" customHeight="1">
      <c r="A251" s="246" t="s">
        <v>86</v>
      </c>
      <c r="B251" s="366"/>
      <c r="C251" s="177">
        <f>+C217</f>
        <v>50383.546437964418</v>
      </c>
      <c r="D251" s="178">
        <f>+D217</f>
        <v>79674.130678053058</v>
      </c>
      <c r="E251" s="177">
        <f>+E217</f>
        <v>64910.023986474131</v>
      </c>
      <c r="F251" s="228">
        <f>+F217</f>
        <v>70727.557696733842</v>
      </c>
      <c r="G251" s="228">
        <f>+G217</f>
        <v>69752.187286808447</v>
      </c>
      <c r="H251" s="314"/>
      <c r="I251" s="226">
        <f>+IF((E251)=0,,(F251-E251)/E251)</f>
        <v>8.9624581119735244E-2</v>
      </c>
      <c r="J251" s="283">
        <f>+IF((F251)=0,,(G251-F251)/F251)</f>
        <v>-1.3790528638180836E-2</v>
      </c>
      <c r="L251" s="298"/>
    </row>
    <row r="252" spans="1:12">
      <c r="F252" s="2"/>
      <c r="G252" s="2"/>
      <c r="H252" s="5"/>
      <c r="I252" s="24"/>
    </row>
    <row r="253" spans="1:12" s="298" customFormat="1" ht="15" customHeight="1">
      <c r="A253" s="292" t="s">
        <v>95</v>
      </c>
      <c r="B253" s="365"/>
      <c r="C253" s="293">
        <f>+C28</f>
        <v>251445.38</v>
      </c>
      <c r="D253" s="294">
        <v>320000</v>
      </c>
      <c r="E253" s="293">
        <f>+E28</f>
        <v>340524.47</v>
      </c>
      <c r="F253" s="295"/>
      <c r="G253" s="399">
        <f>+G28</f>
        <v>330000</v>
      </c>
      <c r="H253" s="418"/>
      <c r="I253" s="415"/>
      <c r="J253" s="297"/>
    </row>
    <row r="254" spans="1:12" s="298" customFormat="1" ht="15" customHeight="1">
      <c r="A254" s="292" t="s">
        <v>371</v>
      </c>
      <c r="B254" s="365"/>
      <c r="C254" s="293">
        <f>+C222</f>
        <v>1230684.9069029922</v>
      </c>
      <c r="D254" s="294">
        <f>+D222</f>
        <v>1292331.2350577551</v>
      </c>
      <c r="E254" s="293">
        <f>+E222</f>
        <v>1675321.2501388327</v>
      </c>
      <c r="F254" s="295">
        <f>+F222</f>
        <v>1192832.2019535168</v>
      </c>
      <c r="G254" s="295">
        <f>+G222</f>
        <v>1286080.5749005177</v>
      </c>
      <c r="H254" s="388"/>
      <c r="I254" s="415"/>
      <c r="J254" s="297"/>
    </row>
    <row r="255" spans="1:12" s="298" customFormat="1" ht="15" customHeight="1">
      <c r="A255" s="292" t="s">
        <v>372</v>
      </c>
      <c r="B255" s="365"/>
      <c r="C255" s="293"/>
      <c r="D255" s="294">
        <v>20000</v>
      </c>
      <c r="E255" s="293"/>
      <c r="F255" s="295"/>
      <c r="G255" s="1162">
        <v>7000</v>
      </c>
      <c r="H255" s="418"/>
      <c r="I255" s="415"/>
      <c r="J255" s="297"/>
    </row>
    <row r="256" spans="1:12">
      <c r="F256" s="2"/>
      <c r="G256" s="2" t="s">
        <v>548</v>
      </c>
      <c r="H256" s="2"/>
      <c r="I256" s="24"/>
    </row>
  </sheetData>
  <phoneticPr fontId="0" type="noConversion"/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L256"/>
  <sheetViews>
    <sheetView workbookViewId="0">
      <selection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42578125" style="442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</row>
    <row r="4" spans="1:12" ht="20.25" customHeight="1">
      <c r="A4" s="7" t="s">
        <v>50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2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2">
      <c r="A8" s="5" t="s">
        <v>221</v>
      </c>
      <c r="B8" s="92"/>
      <c r="C8" s="160">
        <f>-IF(ISNA(VLOOKUP("CHAM707130000",Balance!C:G,5,FALSE))=TRUE,0,VLOOKUP("CHAM707130000",Balance!C:G,5,FALSE))</f>
        <v>532265.68999999994</v>
      </c>
      <c r="D8" s="117">
        <f>+[2]Cham!$H8</f>
        <v>845000</v>
      </c>
      <c r="E8" s="160">
        <f>-IF(ISNA(VLOOKUP("CHAM707130000",Balanceanp!C:G,5,FALSE))=TRUE,0,VLOOKUP("CHAM707130000",Balanceanp!C:G,5,FALSE))</f>
        <v>662514.99</v>
      </c>
      <c r="F8" s="368">
        <v>711000</v>
      </c>
      <c r="G8" s="570">
        <v>815020</v>
      </c>
      <c r="H8" s="401"/>
      <c r="I8" s="149">
        <f>+IF((E8)=0,,(F8-E8)/E8)</f>
        <v>7.3183264879787865E-2</v>
      </c>
      <c r="J8" s="271">
        <f>+IF((F8)=0,,(G8-F8)/F8)</f>
        <v>0.14630098452883264</v>
      </c>
      <c r="L8" s="443"/>
    </row>
    <row r="9" spans="1:12">
      <c r="A9" s="5" t="s">
        <v>422</v>
      </c>
      <c r="B9" s="92"/>
      <c r="C9" s="160">
        <f>-IF(ISNA(VLOOKUP("CHAM707131000",Balance!C:G,5,FALSE))=TRUE,0,VLOOKUP("CHAM707131000",Balance!C:G,5,FALSE))</f>
        <v>0</v>
      </c>
      <c r="D9" s="117">
        <f>+[2]Cham!$H9</f>
        <v>0</v>
      </c>
      <c r="E9" s="160">
        <f>-IF(ISNA(VLOOKUP("CHAM707131000",Balanceanp!C:G,5,FALSE))=TRUE,0,VLOOKUP("CHAM707131000",Balanceanp!C:G,5,FALSE))</f>
        <v>59499.03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443"/>
    </row>
    <row r="10" spans="1:12">
      <c r="A10" s="5" t="s">
        <v>84</v>
      </c>
      <c r="B10" s="92"/>
      <c r="C10" s="160">
        <f>-IF(ISNA(VLOOKUP("CHAM707300000",Balance!C:G,5,FALSE))=TRUE,0,VLOOKUP("CHAM707300000",Balance!C:G,5,FALSE))</f>
        <v>0</v>
      </c>
      <c r="D10" s="117">
        <f>+[2]Cham!$H10</f>
        <v>0</v>
      </c>
      <c r="E10" s="160">
        <f>-IF(ISNA(VLOOKUP("CHAM707300000",Balanceanp!C:G,5,FALSE))=TRUE,0,VLOOKUP("CHAM707300000",Balanceanp!C:G,5,FALSE))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s="443"/>
    </row>
    <row r="11" spans="1:12">
      <c r="A11" s="5" t="s">
        <v>267</v>
      </c>
      <c r="B11" s="92"/>
      <c r="C11" s="160">
        <f>-IF(ISNA(VLOOKUP("CHAM707110000",Balance!C:G,5,FALSE))=TRUE,0,VLOOKUP("CHAM707110000",Balance!C:G,5,FALSE))</f>
        <v>562.96</v>
      </c>
      <c r="D11" s="117">
        <f>+[2]Cham!$H11</f>
        <v>0</v>
      </c>
      <c r="E11" s="160">
        <f>-IF(ISNA(VLOOKUP("CHAM707110000",Balanceanp!C:G,5,FALSE))=TRUE,0,VLOOKUP("CHAM707110000",Balanceanp!C:G,5,FALSE))</f>
        <v>281.92</v>
      </c>
      <c r="F11" s="368">
        <f t="shared" si="2"/>
        <v>562.96</v>
      </c>
      <c r="G11" s="570">
        <v>0</v>
      </c>
      <c r="H11" s="401"/>
      <c r="I11" s="149">
        <f t="shared" si="1"/>
        <v>0.9968785471055619</v>
      </c>
      <c r="J11" s="271">
        <f t="shared" si="1"/>
        <v>-1</v>
      </c>
      <c r="L11" s="443"/>
    </row>
    <row r="12" spans="1:12">
      <c r="A12" s="5" t="s">
        <v>46</v>
      </c>
      <c r="B12" s="92"/>
      <c r="C12" s="160">
        <f>-IF(ISNA(VLOOKUP("CHAM707120000",Balance!C:G,5,FALSE))=TRUE,0,VLOOKUP("CHAM707120000",Balance!C:G,5,FALSE))</f>
        <v>0</v>
      </c>
      <c r="D12" s="117">
        <f>+[2]Cham!$H12</f>
        <v>0</v>
      </c>
      <c r="E12" s="160">
        <f>-IF(ISNA(VLOOKUP("CHAM707120000",Balanceanp!C:G,5,FALSE))=TRUE,0,VLOOKUP("CHAM707120000",Balanceanp!C:G,5,FALSE))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s="443"/>
    </row>
    <row r="13" spans="1:12">
      <c r="A13" s="5" t="s">
        <v>268</v>
      </c>
      <c r="B13" s="92"/>
      <c r="C13" s="160">
        <f>-IF(ISNA(VLOOKUP("CHAM707230000",Balance!C:G,5,FALSE))=TRUE,0,VLOOKUP("CHAM707230000",Balance!C:G,5,FALSE))</f>
        <v>0</v>
      </c>
      <c r="D13" s="117">
        <f>+[2]Cham!$H13</f>
        <v>0</v>
      </c>
      <c r="E13" s="160">
        <f>-IF(ISNA(VLOOKUP("CHAM707230000",Balanceanp!C:G,5,FALSE))=TRUE,0,VLOOKUP("CHAM707230000",Balanceanp!C:G,5,FALSE))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s="443"/>
    </row>
    <row r="14" spans="1:12">
      <c r="A14" s="5" t="s">
        <v>269</v>
      </c>
      <c r="B14" s="92"/>
      <c r="C14" s="160">
        <f>-IF(ISNA(VLOOKUP("CHAM708820000",Balance!C:G,5,FALSE))=TRUE,0,VLOOKUP("CHAM708820000",Balance!C:G,5,FALSE))</f>
        <v>437.17</v>
      </c>
      <c r="D14" s="117">
        <f>+[2]Cham!$H14</f>
        <v>0</v>
      </c>
      <c r="E14" s="160">
        <f>-IF(ISNA(VLOOKUP("CHAM708820000",Balanceanp!C:G,5,FALSE))=TRUE,0,VLOOKUP("CHAM708820000",Balanceanp!C:G,5,FALSE))</f>
        <v>883.78</v>
      </c>
      <c r="F14" s="368">
        <f t="shared" si="2"/>
        <v>437.17</v>
      </c>
      <c r="G14" s="570">
        <v>0</v>
      </c>
      <c r="H14" s="401"/>
      <c r="I14" s="149">
        <f t="shared" si="1"/>
        <v>-0.50534069564823825</v>
      </c>
      <c r="J14" s="271">
        <f t="shared" si="1"/>
        <v>-1</v>
      </c>
      <c r="L14" s="443"/>
    </row>
    <row r="15" spans="1:12">
      <c r="A15" s="5" t="s">
        <v>270</v>
      </c>
      <c r="B15" s="92"/>
      <c r="C15" s="160">
        <f>-IF(ISNA(VLOOKUP("CHAM708500000",Balance!C:G,5,FALSE))=TRUE,0,VLOOKUP("CHAM708500000",Balance!C:G,5,FALSE))</f>
        <v>420</v>
      </c>
      <c r="D15" s="117">
        <f>+[2]Cham!$H15</f>
        <v>0</v>
      </c>
      <c r="E15" s="160">
        <f>-IF(ISNA(VLOOKUP("CHAM708500000",Balanceanp!C:G,5,FALSE))=TRUE,0,VLOOKUP("CHAM708500000",Balanceanp!C:G,5,FALSE))</f>
        <v>666</v>
      </c>
      <c r="F15" s="368">
        <f t="shared" si="2"/>
        <v>420</v>
      </c>
      <c r="G15" s="570">
        <v>0</v>
      </c>
      <c r="H15" s="401"/>
      <c r="I15" s="149">
        <f t="shared" si="1"/>
        <v>-0.36936936936936937</v>
      </c>
      <c r="J15" s="271">
        <f t="shared" si="1"/>
        <v>-1</v>
      </c>
      <c r="L15" s="443"/>
    </row>
    <row r="16" spans="1:12">
      <c r="A16" s="5" t="s">
        <v>85</v>
      </c>
      <c r="B16" s="92"/>
      <c r="C16" s="160">
        <f>IF(ISNA(VLOOKUP("CHAM706000000",Balance!C:G,5,FALSE))=TRUE,0,-VLOOKUP("CHAM706000000",Balance!C:G,5,FALSE))+IF(ISNA(VLOOKUP("CHAM706010000",Balance!C:G,5,FALSE))=TRUE,0,-VLOOKUP("CHAM706010000",Balance!C:G,5,FALSE))</f>
        <v>0</v>
      </c>
      <c r="D16" s="117">
        <f>+[2]Cham!$H16</f>
        <v>0</v>
      </c>
      <c r="E16" s="160">
        <f>IF(ISNA(VLOOKUP("CHAM706000000",Balanceanp!C:G,5,FALSE))=TRUE,0,-VLOOKUP("CHAM706000000",Balanceanp!C:G,5,FALSE))+IF(ISNA(VLOOKUP("CHAM706010000",Balanceanp!C:G,5,FALSE))=TRUE,0,-VLOOKUP("CHAM706010000",Balanceanp!C:G,5,FALSE))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s="443"/>
    </row>
    <row r="17" spans="1:12">
      <c r="A17" s="5" t="s">
        <v>88</v>
      </c>
      <c r="B17" s="92"/>
      <c r="C17" s="160">
        <f>IF(ISNA(VLOOKUP("CHAM707500000",Balance!C:G,5,FALSE))=TRUE,0,-VLOOKUP("CHAM707500000",Balance!C:G,5,FALSE))</f>
        <v>0</v>
      </c>
      <c r="D17" s="117">
        <f>+[2]Cham!$H17</f>
        <v>0</v>
      </c>
      <c r="E17" s="160">
        <f>IF(ISNA(VLOOKUP("CHAM707500000",Balanceanp!C:G,5,FALSE))=TRUE,0,-VLOOKUP("CHAM707500000",Balanceanp!C:G,5,FALSE))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s="443"/>
    </row>
    <row r="18" spans="1:12">
      <c r="A18" s="5" t="s">
        <v>89</v>
      </c>
      <c r="B18" s="92"/>
      <c r="C18" s="160">
        <f>IF(ISNA(VLOOKUP("CHAM707510000",Balance!C:G,5,FALSE))=TRUE,0,-VLOOKUP("CHAM707510000",Balance!C:G,5,FALSE))</f>
        <v>0</v>
      </c>
      <c r="D18" s="117">
        <f>+[2]Cham!$H18</f>
        <v>0</v>
      </c>
      <c r="E18" s="160">
        <f>IF(ISNA(VLOOKUP("CHAM707510000",Balanceanp!C:G,5,FALSE))=TRUE,0,-VLOOKUP("CHAM707510000",Balanceanp!C:G,5,FALSE))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s="443"/>
    </row>
    <row r="19" spans="1:12">
      <c r="A19" s="5" t="s">
        <v>90</v>
      </c>
      <c r="B19" s="92"/>
      <c r="C19" s="160">
        <f>IF(ISNA(VLOOKUP("CHAM708300000",Balance!C:G,5,FALSE))=TRUE,0,-VLOOKUP("CHAM708300000",Balance!C:G,5,FALSE))</f>
        <v>0</v>
      </c>
      <c r="D19" s="117">
        <f>+[2]Cham!$H19</f>
        <v>0</v>
      </c>
      <c r="E19" s="160">
        <f>IF(ISNA(VLOOKUP("CHAM708300000",Balanceanp!C:G,5,FALSE))=TRUE,0,-VLOOKUP("CHAM708300000",Balanceanp!C:G,5,FALSE))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s="443"/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444"/>
    </row>
    <row r="21" spans="1:12" s="33" customFormat="1" ht="15" customHeight="1">
      <c r="A21" s="13" t="s">
        <v>222</v>
      </c>
      <c r="B21" s="93"/>
      <c r="C21" s="163">
        <f>SUM(C7:C20)</f>
        <v>533685.81999999995</v>
      </c>
      <c r="D21" s="118">
        <f>SUM(D7:D20)</f>
        <v>845000</v>
      </c>
      <c r="E21" s="163">
        <f>SUM(E7:E20)</f>
        <v>723845.72000000009</v>
      </c>
      <c r="F21" s="136">
        <f>SUM(F7:F20)</f>
        <v>712420.13</v>
      </c>
      <c r="G21" s="136">
        <f>SUM(G7:G20)</f>
        <v>815020</v>
      </c>
      <c r="H21" s="312"/>
      <c r="I21" s="272">
        <f>+IF((E21)=0,,(F21-E21)/E21)</f>
        <v>-1.5784565252385665E-2</v>
      </c>
      <c r="J21" s="188">
        <f>+IF((F21)=0,,(G21-F21)/F21)</f>
        <v>0.14401596148048201</v>
      </c>
      <c r="L21" s="445"/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444"/>
    </row>
    <row r="23" spans="1:12">
      <c r="A23" s="5" t="s">
        <v>92</v>
      </c>
      <c r="B23" s="92"/>
      <c r="C23" s="160">
        <f>IF(ISNA(VLOOKUP("CHAM602650000",Balance!C:G,5,FALSE))=TRUE,0,VLOOKUP("CHAM602650000",Balance!C:G,5,FALSE))</f>
        <v>0</v>
      </c>
      <c r="D23" s="115"/>
      <c r="E23" s="160">
        <f>IF(ISNA(VLOOKUP("CHAM602650000",Balanceanp!C:G,5,FALSE))=TRUE,0,VLOOKUP("CHAM602650000",Balanceanp!C:G,5,FALSE))</f>
        <v>0</v>
      </c>
      <c r="F23" s="134"/>
      <c r="G23" s="134"/>
      <c r="H23" s="400"/>
      <c r="I23" s="149"/>
      <c r="J23" s="271"/>
      <c r="L23" s="444"/>
    </row>
    <row r="24" spans="1:12">
      <c r="A24" s="5" t="s">
        <v>93</v>
      </c>
      <c r="B24" s="92"/>
      <c r="C24" s="160">
        <f>+IF(ISNA(VLOOKUP("cham607100000",Balance!C:G,5,FALSE))=TRUE,0,VLOOKUP("cham607100000",Balance!C:G,5,FALSE))+7974</f>
        <v>211573.93</v>
      </c>
      <c r="D24" s="115"/>
      <c r="E24" s="160">
        <f>IF(ISNA(VLOOKUP("cham607100000",Balanceanp!C:G,5,FALSE))=TRUE,0,VLOOKUP("cham607100000",Balanceanp!C:G,5,FALSE))</f>
        <v>280735.61000000004</v>
      </c>
      <c r="F24" s="134"/>
      <c r="G24" s="134"/>
      <c r="H24" s="400"/>
      <c r="I24" s="149"/>
      <c r="J24" s="271"/>
      <c r="L24" s="444"/>
    </row>
    <row r="25" spans="1:12">
      <c r="A25" s="5" t="s">
        <v>94</v>
      </c>
      <c r="B25" s="92"/>
      <c r="C25" s="160">
        <f>IF(ISNA(VLOOKUP("cham607110000",Balance!C:G,5,FALSE))=TRUE,0,VLOOKUP("cham607110000",Balance!C:G,5,FALSE))+IF(ISNA(VLOOKUP("cham607120000",Balance!C:G,5,FALSE))=TRUE,0,VLOOKUP("cham607120000",Balance!C:G,5,FALSE))</f>
        <v>20892.939999999999</v>
      </c>
      <c r="D25" s="115"/>
      <c r="E25" s="160">
        <f>IF(ISNA(VLOOKUP("cham607110000",Balanceanp!C:G,5,FALSE))=TRUE,0,VLOOKUP("cham607110000",Balanceanp!C:G,5,FALSE))+IF(ISNA(VLOOKUP("cham607120000",Balanceanp!C:G,5,FALSE))=TRUE,0,VLOOKUP("cham607120000",Balanceanp!C:G,5,FALSE))</f>
        <v>19401.34</v>
      </c>
      <c r="F25" s="134"/>
      <c r="G25" s="134"/>
      <c r="H25" s="400"/>
      <c r="I25" s="149"/>
      <c r="J25" s="271"/>
      <c r="L25" s="444"/>
    </row>
    <row r="26" spans="1:12">
      <c r="A26" s="5" t="s">
        <v>288</v>
      </c>
      <c r="B26" s="92"/>
      <c r="C26" s="160">
        <f>IF(ISNA(VLOOKUP("CHAM607130000",Balance!C:G,5,FALSE))=TRUE,0,VLOOKUP("CHAM607130000",Balance!C:G,5,FALSE))</f>
        <v>66319.45</v>
      </c>
      <c r="D26" s="115"/>
      <c r="E26" s="160">
        <f>IF(ISNA(VLOOKUP("CHAM607130000",Balanceanp!C:G,5,FALSE))=TRUE,0,VLOOKUP("CHAM607130000",Balanceanp!C:G,5,FALSE))+IF(ISNA(VLOOKUP("tou607130000",Balanceanp!C:G,5,FALSE))=TRUE,0,VLOOKUP("tou607130000",Balanceanp!C:G,5,FALSE))</f>
        <v>68561</v>
      </c>
      <c r="F26" s="134"/>
      <c r="G26" s="134"/>
      <c r="H26" s="400"/>
      <c r="I26" s="149"/>
      <c r="J26" s="271"/>
      <c r="L26" s="444"/>
    </row>
    <row r="27" spans="1:12">
      <c r="A27" s="5" t="s">
        <v>289</v>
      </c>
      <c r="B27" s="92"/>
      <c r="C27" s="160">
        <f>IF(ISNA(VLOOKUP("CHAM607140000",Balance!C:G,5,FALSE))=TRUE,0,VLOOKUP("CHAM607140000",Balance!C:G,5,FALSE))</f>
        <v>-81865.95</v>
      </c>
      <c r="D27" s="115"/>
      <c r="E27" s="160">
        <f>IF(ISNA(VLOOKUP("CHAM607140000",Balanceanp!C:G,5,FALSE))=TRUE,0,VLOOKUP("CHAM607140000",Balanceanp!C:G,5,FALSE))+IF(ISNA(VLOOKUP("tou607140000",Balanceanp!C:G,5,FALSE))=TRUE,0,VLOOKUP("tou607140000",Balanceanp!C:G,5,FALSE))</f>
        <v>-99284</v>
      </c>
      <c r="F27" s="134"/>
      <c r="G27" s="134"/>
      <c r="H27" s="400"/>
      <c r="I27" s="149"/>
      <c r="J27" s="271"/>
      <c r="L27" s="444"/>
    </row>
    <row r="28" spans="1:12">
      <c r="A28" s="5" t="s">
        <v>95</v>
      </c>
      <c r="B28" s="92"/>
      <c r="C28" s="160">
        <f>IF(ISNA(VLOOKUP("CHAM607200000",Balance!C:G,5,FALSE))=TRUE,0,VLOOKUP("CHAM607200000",Balance!C:G,5,FALSE))</f>
        <v>140167.17000000001</v>
      </c>
      <c r="D28" s="115"/>
      <c r="E28" s="160">
        <f>IF(ISNA(VLOOKUP("CHAM607200000",Balanceanp!C:G,5,FALSE))=TRUE,0,VLOOKUP("CHAM607200000",Balanceanp!C:G,5,FALSE))</f>
        <v>161814.9</v>
      </c>
      <c r="F28" s="134"/>
      <c r="G28" s="1161">
        <v>180000</v>
      </c>
      <c r="H28" s="400"/>
      <c r="I28" s="149"/>
      <c r="J28" s="271"/>
      <c r="L28" s="444"/>
    </row>
    <row r="29" spans="1:12">
      <c r="A29" s="5" t="s">
        <v>293</v>
      </c>
      <c r="B29" s="92"/>
      <c r="C29" s="160">
        <f>IF(ISNA(VLOOKUP("CHAM607150000",Balance!C:G,5,FALSE))=TRUE,0,VLOOKUP("CHAM607150000",Balance!C:G,5,FALSE))</f>
        <v>0</v>
      </c>
      <c r="D29" s="115"/>
      <c r="E29" s="357">
        <f>IF(ISNA(VLOOKUP("CHAM607150000",Balanceanp!C:G,5,FALSE))=TRUE,0,VLOOKUP("CHAM607150000",Balanceanp!C:G,5,FALSE))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444"/>
    </row>
    <row r="30" spans="1:12" s="43" customFormat="1" ht="15" customHeight="1">
      <c r="A30" s="42" t="s">
        <v>292</v>
      </c>
      <c r="B30" s="94"/>
      <c r="C30" s="164">
        <f>SUM(C23:C29)</f>
        <v>357087.54000000004</v>
      </c>
      <c r="D30" s="119"/>
      <c r="E30" s="164">
        <f>SUM(E23:E29)</f>
        <v>431228.85000000009</v>
      </c>
      <c r="F30" s="137"/>
      <c r="G30" s="137"/>
      <c r="H30" s="402"/>
      <c r="I30" s="273"/>
      <c r="J30" s="342"/>
      <c r="L30" s="446"/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444"/>
    </row>
    <row r="32" spans="1:12" s="33" customFormat="1" ht="15" customHeight="1">
      <c r="A32" s="56" t="s">
        <v>336</v>
      </c>
      <c r="B32" s="95"/>
      <c r="C32" s="166">
        <f>+C21-C30-C38</f>
        <v>179008.9599999999</v>
      </c>
      <c r="D32" s="120"/>
      <c r="E32" s="166">
        <f>+E21-E30-E38</f>
        <v>254623.16880000001</v>
      </c>
      <c r="F32" s="138"/>
      <c r="G32" s="138"/>
      <c r="H32" s="403"/>
      <c r="I32" s="273"/>
      <c r="J32" s="274"/>
      <c r="L32" s="447"/>
    </row>
    <row r="33" spans="1:12" s="33" customFormat="1" ht="15" customHeight="1">
      <c r="A33" s="56" t="s">
        <v>337</v>
      </c>
      <c r="B33" s="95"/>
      <c r="C33" s="196">
        <f>+C32/C21</f>
        <v>0.33542011665215299</v>
      </c>
      <c r="D33" s="120"/>
      <c r="E33" s="196">
        <f>+E32/E21</f>
        <v>0.35176441852830181</v>
      </c>
      <c r="F33" s="138"/>
      <c r="G33" s="138"/>
      <c r="H33" s="403"/>
      <c r="I33" s="273"/>
      <c r="J33" s="274"/>
      <c r="L33" s="447"/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444"/>
    </row>
    <row r="35" spans="1:12">
      <c r="A35" s="5" t="s">
        <v>96</v>
      </c>
      <c r="B35" s="92"/>
      <c r="C35" s="160">
        <f>IF(ISNA(VLOOKUP("CHAM607400000",Balance!C:G,5,FALSE))=TRUE,0,VLOOKUP("CHAM607400000",Balance!C:G,5,FALSE))</f>
        <v>5297.42</v>
      </c>
      <c r="D35" s="115"/>
      <c r="E35" s="160">
        <f>IF(ISNA(VLOOKUP("CHAM607400000",Balanceanp!C:G,5,FALSE))=TRUE,0,VLOOKUP("CHAM607400000",Balanceanp!C:G,5,FALSE))</f>
        <v>8377.16</v>
      </c>
      <c r="F35" s="134"/>
      <c r="G35" s="134"/>
      <c r="H35" s="400"/>
      <c r="I35" s="149" t="str">
        <f t="shared" si="3"/>
        <v/>
      </c>
      <c r="J35" s="271"/>
      <c r="L35" s="444"/>
    </row>
    <row r="36" spans="1:12">
      <c r="A36" s="5" t="s">
        <v>97</v>
      </c>
      <c r="B36" s="92"/>
      <c r="C36" s="160">
        <f>IF(ISNA(VLOOKUP("CHAM608000000",Balance!C:G,5,FALSE))=TRUE,0,VLOOKUP("CHAM608000000",Balance!C:G,5,FALSE))</f>
        <v>4706.47</v>
      </c>
      <c r="D36" s="115"/>
      <c r="E36" s="160">
        <f>IF(ISNA(VLOOKUP("CHAM608000000",Balanceanp!C:G,5,FALSE))=TRUE,0,VLOOKUP("CHAM608000000",Balanceanp!C:G,5,FALSE))</f>
        <v>5486.88</v>
      </c>
      <c r="F36" s="134"/>
      <c r="G36" s="134"/>
      <c r="H36" s="400"/>
      <c r="I36" s="149" t="str">
        <f t="shared" si="3"/>
        <v/>
      </c>
      <c r="J36" s="271"/>
      <c r="L36" s="444"/>
    </row>
    <row r="37" spans="1:12">
      <c r="A37" s="5" t="s">
        <v>98</v>
      </c>
      <c r="B37" s="92"/>
      <c r="C37" s="160">
        <f>IF(ISNA(VLOOKUP("CHAM608100000",Balance!C:G,5,FALSE))=TRUE,0,VLOOKUP("CHAM608100000",Balance!C:G,5,FALSE))</f>
        <v>0</v>
      </c>
      <c r="D37" s="115"/>
      <c r="E37" s="160">
        <f>IF(ISNA(VLOOKUP("CHAM608100000",Balanceanp!C:G,5,FALSE))=TRUE,0,VLOOKUP("CHAM608100000",Balanceanp!C:G,5,FALSE))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444"/>
    </row>
    <row r="38" spans="1:12">
      <c r="A38" s="5" t="s">
        <v>99</v>
      </c>
      <c r="B38" s="92"/>
      <c r="C38" s="160">
        <f>+C56-C57</f>
        <v>-2410.679999999993</v>
      </c>
      <c r="D38" s="115"/>
      <c r="E38" s="160">
        <f>+E56-E57</f>
        <v>37993.701199999981</v>
      </c>
      <c r="F38" s="134"/>
      <c r="G38" s="134"/>
      <c r="H38" s="400"/>
      <c r="I38" s="149" t="str">
        <f t="shared" si="3"/>
        <v/>
      </c>
      <c r="J38" s="271"/>
      <c r="L38" s="444"/>
    </row>
    <row r="39" spans="1:12">
      <c r="A39" s="5" t="s">
        <v>177</v>
      </c>
      <c r="B39" s="92"/>
      <c r="C39" s="160">
        <f>IF(ISNA(VLOOKUP("CHAM681730000",Balance!C:G,5,FALSE))=TRUE,0,VLOOKUP("CHAM681730000",Balance!C:G,5,FALSE))</f>
        <v>0</v>
      </c>
      <c r="D39" s="115"/>
      <c r="E39" s="160">
        <f>IF(ISNA(VLOOKUP("CHAM681730000",Balanceanp!C:G,5,FALSE))=TRUE,0,VLOOKUP("CHAM681730000",Balanceanp!C:G,5,FALSE))</f>
        <v>10645.64</v>
      </c>
      <c r="F39" s="134"/>
      <c r="G39" s="134"/>
      <c r="H39" s="400"/>
      <c r="I39" s="149" t="str">
        <f t="shared" si="3"/>
        <v/>
      </c>
      <c r="J39" s="271"/>
      <c r="L39" s="444"/>
    </row>
    <row r="40" spans="1:12">
      <c r="A40" s="5" t="s">
        <v>176</v>
      </c>
      <c r="B40" s="92"/>
      <c r="C40" s="160">
        <f>IF(ISNA(VLOOKUP("CHAM781730000",Balance!C:G,5,FALSE))=TRUE,0,VLOOKUP("CHAM781730000",Balance!C:G,5,FALSE))+IF(ISNA(VLOOKUP("TOU781730000",Balance!C:G,5,FALSE))=TRUE,0,VLOOKUP("TOU781730000",Balance!C:G,5,FALSE))</f>
        <v>-7336.57</v>
      </c>
      <c r="D40" s="115"/>
      <c r="E40" s="160">
        <f>IF(ISNA(VLOOKUP("CHAM781730000",Balanceanp!C:G,5,FALSE))=TRUE,0,VLOOKUP("CHAM781730000",Balanceanp!C:G,5,FALSE))+IF(ISNA(VLOOKUP("TOU781730000",Balanceanp!C:G,5,FALSE))=TRUE,0,VLOOKUP("TOU781730000",Balanceanp!C:G,5,FALSE))</f>
        <v>-11879.49</v>
      </c>
      <c r="F40" s="134"/>
      <c r="G40" s="134"/>
      <c r="H40" s="400"/>
      <c r="I40" s="149" t="str">
        <f t="shared" si="3"/>
        <v/>
      </c>
      <c r="J40" s="271"/>
      <c r="L40" s="444"/>
    </row>
    <row r="41" spans="1:12">
      <c r="A41" s="5" t="s">
        <v>317</v>
      </c>
      <c r="B41" s="92"/>
      <c r="C41" s="160">
        <f>IF(ISNA(VLOOKUP("CHAM609110000",Balance!C:G,5,FALSE))=TRUE,0,VLOOKUP("CHAM609110000",Balance!C:G,5,FALSE))</f>
        <v>-157.11000000000001</v>
      </c>
      <c r="D41" s="115"/>
      <c r="E41" s="160">
        <f>IF(ISNA(VLOOKUP("CHAM609110000",Balanceanp!C:G,5,FALSE))=TRUE,0,VLOOKUP("CHAM609110000",Balanceanp!C:G,5,FALSE))</f>
        <v>-7875.43</v>
      </c>
      <c r="F41" s="134"/>
      <c r="G41" s="134"/>
      <c r="H41" s="400"/>
      <c r="I41" s="149" t="str">
        <f t="shared" si="3"/>
        <v/>
      </c>
      <c r="J41" s="271"/>
      <c r="L41" s="444"/>
    </row>
    <row r="42" spans="1:12">
      <c r="A42" s="5" t="s">
        <v>318</v>
      </c>
      <c r="B42" s="92"/>
      <c r="C42" s="160">
        <f>IF(ISNA(VLOOKUP("CHAM609120000",Balance!C:G,5,FALSE))=TRUE,0,VLOOKUP("CHAM609120000",Balance!C:G,5,FALSE))</f>
        <v>-9984.1</v>
      </c>
      <c r="D42" s="115"/>
      <c r="E42" s="160">
        <f>IF(ISNA(VLOOKUP("CHAM609120000",Balanceanp!C:G,5,FALSE))=TRUE,0,VLOOKUP("CHAM609120000",Balanceanp!C:G,5,FALSE))</f>
        <v>-11291.79</v>
      </c>
      <c r="F42" s="134"/>
      <c r="G42" s="134"/>
      <c r="H42" s="400"/>
      <c r="I42" s="149" t="str">
        <f t="shared" si="3"/>
        <v/>
      </c>
      <c r="J42" s="271"/>
      <c r="L42" s="444"/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444"/>
    </row>
    <row r="44" spans="1:12" s="33" customFormat="1" ht="15" customHeight="1">
      <c r="A44" s="13" t="s">
        <v>291</v>
      </c>
      <c r="B44" s="93"/>
      <c r="C44" s="163">
        <f>+C30+SUM(C34:C43)</f>
        <v>347202.97000000003</v>
      </c>
      <c r="D44" s="121"/>
      <c r="E44" s="163">
        <f>+E30+SUM(E34:E43)</f>
        <v>462685.52120000008</v>
      </c>
      <c r="F44" s="139"/>
      <c r="G44" s="139"/>
      <c r="H44" s="404"/>
      <c r="I44" s="272"/>
      <c r="J44" s="188"/>
      <c r="L44" s="448"/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444"/>
    </row>
    <row r="46" spans="1:12" s="33" customFormat="1" ht="15" customHeight="1">
      <c r="A46" s="56" t="s">
        <v>339</v>
      </c>
      <c r="B46" s="95"/>
      <c r="C46" s="166">
        <f>+C21-C44</f>
        <v>186482.84999999992</v>
      </c>
      <c r="D46" s="120"/>
      <c r="E46" s="166">
        <f>+E21-E44</f>
        <v>261160.19880000001</v>
      </c>
      <c r="F46" s="138"/>
      <c r="G46" s="138"/>
      <c r="H46" s="403"/>
      <c r="I46" s="273"/>
      <c r="J46" s="274"/>
      <c r="L46" s="447"/>
    </row>
    <row r="47" spans="1:12" s="33" customFormat="1" ht="15" customHeight="1">
      <c r="A47" s="56" t="s">
        <v>340</v>
      </c>
      <c r="B47" s="95"/>
      <c r="C47" s="196">
        <f>+C46/C21</f>
        <v>0.34942440479306708</v>
      </c>
      <c r="D47" s="120"/>
      <c r="E47" s="196">
        <f>+E46/E21</f>
        <v>0.36079538993475013</v>
      </c>
      <c r="F47" s="138"/>
      <c r="G47" s="138"/>
      <c r="H47" s="403"/>
      <c r="I47" s="273"/>
      <c r="J47" s="274"/>
      <c r="L47" s="447"/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444"/>
    </row>
    <row r="49" spans="1:12">
      <c r="A49" s="5" t="s">
        <v>91</v>
      </c>
      <c r="B49" s="92">
        <f>+C49/C21</f>
        <v>1.545853326213539E-2</v>
      </c>
      <c r="C49" s="160">
        <f>IF(ISNA(VLOOKUP("CHAM709700000",Balance!C:G,5,FALSE))=TRUE,0,VLOOKUP("CHAM709700000",Balance!C:G,5,FALSE))</f>
        <v>8250</v>
      </c>
      <c r="D49" s="117">
        <f>+[2]Cham!$H49</f>
        <v>11000</v>
      </c>
      <c r="E49" s="160">
        <f>IF(ISNA(VLOOKUP("CHAM709700000",Balanceanp!C:G,5,FALSE))=TRUE,0,VLOOKUP("CHAM709700000",Balanceanp!C:G,5,FALSE))</f>
        <v>10033.44</v>
      </c>
      <c r="F49" s="425">
        <v>10000</v>
      </c>
      <c r="G49" s="425">
        <v>11000</v>
      </c>
      <c r="H49" s="419"/>
      <c r="I49" s="149">
        <f>+IF((E49)=0,,(F49-E49)/E49)</f>
        <v>-3.3328549331037519E-3</v>
      </c>
      <c r="J49" s="271">
        <f>+IF((F49)=0,,(G49-F49)/F49)</f>
        <v>0.1</v>
      </c>
      <c r="L49" s="443"/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444"/>
    </row>
    <row r="51" spans="1:12" s="33" customFormat="1" ht="15" customHeight="1">
      <c r="A51" s="13" t="s">
        <v>223</v>
      </c>
      <c r="B51" s="93"/>
      <c r="C51" s="163">
        <f>+C21-C49</f>
        <v>525435.81999999995</v>
      </c>
      <c r="D51" s="118">
        <f>+D21-D49</f>
        <v>834000</v>
      </c>
      <c r="E51" s="163">
        <f>+E21-E49</f>
        <v>713812.28000000014</v>
      </c>
      <c r="F51" s="136">
        <f>+F21-F49</f>
        <v>702420.13</v>
      </c>
      <c r="G51" s="136">
        <f>+G21-G49</f>
        <v>804020</v>
      </c>
      <c r="H51" s="312"/>
      <c r="I51" s="272">
        <f>+IF((E51)=0,,(F51-E51)/E51)</f>
        <v>-1.5959588142697878E-2</v>
      </c>
      <c r="J51" s="188">
        <f>+IF((F51)=0,,(G51-F51)/F51)</f>
        <v>0.14464259445411964</v>
      </c>
      <c r="L51" s="445"/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444"/>
    </row>
    <row r="53" spans="1:12" s="33" customFormat="1" ht="15" customHeight="1">
      <c r="A53" s="16" t="s">
        <v>3</v>
      </c>
      <c r="B53" s="96"/>
      <c r="C53" s="169">
        <f>+C51-C44</f>
        <v>178232.84999999992</v>
      </c>
      <c r="D53" s="122"/>
      <c r="E53" s="169">
        <f>+E51-E44</f>
        <v>251126.75880000007</v>
      </c>
      <c r="F53" s="140"/>
      <c r="G53" s="140"/>
      <c r="H53" s="405"/>
      <c r="I53" s="224"/>
      <c r="J53" s="123"/>
      <c r="K53" s="2"/>
      <c r="L53" s="449"/>
    </row>
    <row r="54" spans="1:12" s="33" customFormat="1" ht="15" customHeight="1">
      <c r="A54" s="16" t="s">
        <v>4</v>
      </c>
      <c r="B54" s="96"/>
      <c r="C54" s="197">
        <f>+C53/C51</f>
        <v>0.33920955369963157</v>
      </c>
      <c r="D54" s="123"/>
      <c r="E54" s="197">
        <f>+E53/E51</f>
        <v>0.35181064523014371</v>
      </c>
      <c r="F54" s="141"/>
      <c r="G54" s="141"/>
      <c r="H54" s="406"/>
      <c r="I54" s="224"/>
      <c r="J54" s="123"/>
      <c r="K54" s="2"/>
      <c r="L54" s="450"/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444"/>
    </row>
    <row r="56" spans="1:12">
      <c r="A56" s="5" t="s">
        <v>290</v>
      </c>
      <c r="B56" s="92"/>
      <c r="C56" s="160">
        <f>+[2]Cham!$C56</f>
        <v>162942.32</v>
      </c>
      <c r="D56" s="115"/>
      <c r="E56" s="160">
        <f>+[1]Cham!$G56</f>
        <v>198165.68859999999</v>
      </c>
      <c r="F56" s="134"/>
      <c r="G56" s="134"/>
      <c r="H56" s="400"/>
      <c r="I56" s="149" t="str">
        <f>+IF((D55)=0,"",(C55-D55)/D55)</f>
        <v/>
      </c>
      <c r="J56" s="271"/>
      <c r="L56" s="444"/>
    </row>
    <row r="57" spans="1:12">
      <c r="A57" s="5" t="s">
        <v>100</v>
      </c>
      <c r="B57" s="92"/>
      <c r="C57" s="160">
        <f>+[2]Cham!$C57</f>
        <v>165353</v>
      </c>
      <c r="D57" s="115"/>
      <c r="E57" s="160">
        <f>+[1]Cham!$G57</f>
        <v>160171.98740000001</v>
      </c>
      <c r="F57" s="134"/>
      <c r="G57" s="134"/>
      <c r="H57" s="400"/>
      <c r="I57" s="149" t="str">
        <f>+IF((D56)=0,"",(C56-D56)/D56)</f>
        <v/>
      </c>
      <c r="J57" s="271"/>
      <c r="L57" s="444"/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444"/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444"/>
    </row>
    <row r="60" spans="1:12" s="33" customFormat="1" ht="15" customHeight="1">
      <c r="A60" s="16" t="s">
        <v>295</v>
      </c>
      <c r="B60" s="96"/>
      <c r="C60" s="197">
        <f>+[2]Cham!$C60</f>
        <v>0.36</v>
      </c>
      <c r="D60" s="123">
        <f>+[2]Cham!$H60</f>
        <v>0.36</v>
      </c>
      <c r="E60" s="197">
        <v>0.35</v>
      </c>
      <c r="F60" s="141">
        <v>0.35499999999999998</v>
      </c>
      <c r="G60" s="141">
        <v>0.36499999999999999</v>
      </c>
      <c r="H60" s="406"/>
      <c r="I60" s="224"/>
      <c r="J60" s="123"/>
      <c r="L60" s="450"/>
    </row>
    <row r="61" spans="1:12">
      <c r="A61" s="5" t="s">
        <v>65</v>
      </c>
      <c r="B61" s="92"/>
      <c r="C61" s="92">
        <f>+[2]Cham!$C61</f>
        <v>0.36399999999999999</v>
      </c>
      <c r="D61" s="117"/>
      <c r="E61" s="160"/>
      <c r="F61" s="135"/>
      <c r="G61" s="135"/>
      <c r="H61" s="408"/>
      <c r="I61" s="149"/>
      <c r="J61" s="254"/>
      <c r="L61" s="443"/>
    </row>
    <row r="62" spans="1:12" s="33" customFormat="1" ht="15" customHeight="1">
      <c r="A62" s="16" t="s">
        <v>296</v>
      </c>
      <c r="B62" s="96"/>
      <c r="C62" s="169">
        <f>+C51*C60</f>
        <v>189156.89519999997</v>
      </c>
      <c r="D62" s="122">
        <f>D51*D60</f>
        <v>300240</v>
      </c>
      <c r="E62" s="169">
        <f>+E51*E60</f>
        <v>249834.29800000004</v>
      </c>
      <c r="F62" s="140">
        <f>+F51*F60</f>
        <v>249359.14614999999</v>
      </c>
      <c r="G62" s="140">
        <f>+G51*G60</f>
        <v>293467.3</v>
      </c>
      <c r="H62" s="405"/>
      <c r="I62" s="224">
        <f>+IF((E62)=0,,(F62-E62)/E62)</f>
        <v>-1.9018679733078638E-3</v>
      </c>
      <c r="J62" s="123">
        <f>+IF((F62)=0,,(G62-F62)/F62)</f>
        <v>0.17688604781902445</v>
      </c>
      <c r="L62" s="449"/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444"/>
    </row>
    <row r="64" spans="1:12">
      <c r="A64" s="5" t="s">
        <v>104</v>
      </c>
      <c r="B64" s="92"/>
      <c r="C64" s="160">
        <f>IF(ISNA(VLOOKUP("CHAM613520000",Balance!C:G,5,FALSE))=TRUE,0,VLOOKUP("CHAM613520000",Balance!C:G,5,FALSE))</f>
        <v>3042.38</v>
      </c>
      <c r="D64" s="117">
        <f>+[2]Cham!$H64</f>
        <v>3531.4847999999997</v>
      </c>
      <c r="E64" s="160">
        <f>IF(ISNA(VLOOKUP("CHAM613520000",Balanceanp!C:G,5,FALSE))=TRUE,0,VLOOKUP("CHAM613520000",Balanceanp!C:G,5,FALSE))</f>
        <v>3484.69</v>
      </c>
      <c r="F64" s="368">
        <f>+C64+C64/9*(12-Clients!$I$14)</f>
        <v>4056.5066666666667</v>
      </c>
      <c r="G64" s="570">
        <f>+F64</f>
        <v>4056.5066666666667</v>
      </c>
      <c r="H64" s="401"/>
      <c r="I64" s="149">
        <f t="shared" ref="I64:J68" si="4">+IF((E64)=0,,(F64-E64)/E64)</f>
        <v>0.16409398444816228</v>
      </c>
      <c r="J64" s="271">
        <f t="shared" si="4"/>
        <v>0</v>
      </c>
      <c r="L64" s="443"/>
    </row>
    <row r="65" spans="1:12">
      <c r="A65" s="5" t="s">
        <v>314</v>
      </c>
      <c r="B65" s="92"/>
      <c r="C65" s="160">
        <f>IF(ISNA(VLOOKUP("CHAM612500000",Balance!C:G,5,FALSE))=TRUE,0,VLOOKUP("CHAM612500000",Balance!C:G,5,FALSE))</f>
        <v>0</v>
      </c>
      <c r="D65" s="117">
        <f>+[2]Cham!$H65</f>
        <v>0</v>
      </c>
      <c r="E65" s="160">
        <f>IF(ISNA(VLOOKUP("CHAM612500000",Balanceanp!C:G,5,FALSE))=TRUE,0,VLOOKUP("CHAM612500000",Balanceanp!C:G,5,FALSE))</f>
        <v>0</v>
      </c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s="443"/>
    </row>
    <row r="66" spans="1:12">
      <c r="A66" s="5" t="s">
        <v>110</v>
      </c>
      <c r="B66" s="92"/>
      <c r="C66" s="160">
        <f>IF(ISNA(VLOOKUP("CHAM616120000",Balance!C:G,5,FALSE))=TRUE,0,VLOOKUP("CHAM616120000",Balance!C:G,5,FALSE))</f>
        <v>1157.54</v>
      </c>
      <c r="D66" s="117">
        <f>+[2]Cham!$H66</f>
        <v>1461.453</v>
      </c>
      <c r="E66" s="160">
        <f>IF(ISNA(VLOOKUP("CHAM616120000",Balanceanp!C:G,5,FALSE))=TRUE,0,VLOOKUP("CHAM616120000",Balanceanp!C:G,5,FALSE))</f>
        <v>1339.08</v>
      </c>
      <c r="F66" s="368">
        <f>+C66+C66/9*(12-Clients!$I$14)</f>
        <v>1543.3866666666665</v>
      </c>
      <c r="G66" s="570">
        <f>+F66*1.05</f>
        <v>1620.556</v>
      </c>
      <c r="H66" s="401"/>
      <c r="I66" s="149">
        <f t="shared" si="4"/>
        <v>0.15257241290039925</v>
      </c>
      <c r="J66" s="271">
        <f t="shared" si="4"/>
        <v>5.0000000000000114E-2</v>
      </c>
      <c r="L66" s="443"/>
    </row>
    <row r="67" spans="1:12">
      <c r="A67" s="5" t="s">
        <v>107</v>
      </c>
      <c r="B67" s="92"/>
      <c r="C67" s="160">
        <f>IF(ISNA(VLOOKUP("CHAM615520000",Balance!C:G,5,FALSE))=TRUE,0,VLOOKUP("CHAM615520000",Balance!C:G,5,FALSE))</f>
        <v>5245.03</v>
      </c>
      <c r="D67" s="117">
        <f>+[2]Cham!$H67</f>
        <v>1279.5174999999999</v>
      </c>
      <c r="E67" s="160">
        <f>IF(ISNA(VLOOKUP("CHAM615520000",Balanceanp!C:G,5,FALSE))=TRUE,0,VLOOKUP("CHAM615520000",Balanceanp!C:G,5,FALSE))</f>
        <v>1035.99</v>
      </c>
      <c r="F67" s="368">
        <f>+C67+C67/9*(12-Clients!$I$14)</f>
        <v>6993.373333333333</v>
      </c>
      <c r="G67" s="570">
        <v>1500</v>
      </c>
      <c r="H67" s="401"/>
      <c r="I67" s="149">
        <f t="shared" si="4"/>
        <v>5.7504255189078402</v>
      </c>
      <c r="J67" s="271">
        <f t="shared" si="4"/>
        <v>-0.78551123635136499</v>
      </c>
      <c r="L67" s="443"/>
    </row>
    <row r="68" spans="1:12">
      <c r="A68" s="5" t="s">
        <v>125</v>
      </c>
      <c r="B68" s="92"/>
      <c r="C68" s="160">
        <f>IF(ISNA(VLOOKUP("CHAM606130000",Balance!C:G,5,FALSE))=TRUE,0,VLOOKUP("CHAM606130000",Balance!C:G,5,FALSE))</f>
        <v>2297.86</v>
      </c>
      <c r="D68" s="117">
        <f>+[2]Cham!$H68</f>
        <v>2700</v>
      </c>
      <c r="E68" s="160">
        <f>IF(ISNA(VLOOKUP("CHAM606130000",Balanceanp!C:G,5,FALSE))=TRUE,0,VLOOKUP("CHAM606130000",Balanceanp!C:G,5,FALSE))</f>
        <v>2375.44</v>
      </c>
      <c r="F68" s="368">
        <f>+C68+C68/9*(12-Clients!$I$14)</f>
        <v>3063.8133333333335</v>
      </c>
      <c r="G68" s="368">
        <v>3150</v>
      </c>
      <c r="H68" s="410"/>
      <c r="I68" s="149">
        <f t="shared" si="4"/>
        <v>0.28978771652129015</v>
      </c>
      <c r="J68" s="271">
        <f t="shared" si="4"/>
        <v>2.8130521441689166E-2</v>
      </c>
      <c r="L68" s="443"/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444"/>
    </row>
    <row r="70" spans="1:12">
      <c r="A70" s="11" t="s">
        <v>128</v>
      </c>
      <c r="B70" s="98"/>
      <c r="C70" s="173">
        <f>SUM(C64:C69)</f>
        <v>11742.810000000001</v>
      </c>
      <c r="D70" s="125">
        <f>SUM(D64:D69)</f>
        <v>8972.4552999999996</v>
      </c>
      <c r="E70" s="276">
        <f>SUM(E64:E69)</f>
        <v>8235.2000000000007</v>
      </c>
      <c r="F70" s="370">
        <f>SUM(F64:F69)</f>
        <v>15657.08</v>
      </c>
      <c r="G70" s="359">
        <f>SUM(G64:G69)</f>
        <v>10327.062666666667</v>
      </c>
      <c r="H70" s="412"/>
      <c r="I70" s="384">
        <f>+IF((E70)=0,,(F70-E70)/E70)</f>
        <v>0.90123858558383507</v>
      </c>
      <c r="J70" s="279">
        <f>+IF((F70)=0,,(G70-F70)/F70)</f>
        <v>-0.34042218174355199</v>
      </c>
      <c r="L70" s="443"/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444"/>
    </row>
    <row r="72" spans="1:12">
      <c r="A72" s="5" t="s">
        <v>1</v>
      </c>
      <c r="B72" s="92"/>
      <c r="C72" s="160">
        <f>IF(ISNA(VLOOKUP("CHAM602220000",Balance!C:G,5,FALSE))=TRUE,0,VLOOKUP("CHAM602220000",Balance!C:G,5,FALSE))</f>
        <v>0</v>
      </c>
      <c r="D72" s="117">
        <f>+[2]Cham!$H72</f>
        <v>12.226400001662501</v>
      </c>
      <c r="E72" s="160">
        <f>IF(ISNA(VLOOKUP("CHAM602220000",Balanceanp!C:G,5,FALSE))=TRUE,0,VLOOKUP("CHAM602220000",Balanceanp!C:G,5,FALSE))</f>
        <v>24.48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-1</v>
      </c>
      <c r="J72" s="271">
        <f t="shared" si="5"/>
        <v>0</v>
      </c>
      <c r="L72" s="443"/>
    </row>
    <row r="73" spans="1:12">
      <c r="A73" s="5" t="s">
        <v>123</v>
      </c>
      <c r="B73" s="92"/>
      <c r="C73" s="160">
        <f>IF(ISNA(VLOOKUP("CHAM606100000",Balance!C:G,5,FALSE))=TRUE,0,VLOOKUP("CHAM606100000",Balance!C:G,5,FALSE))</f>
        <v>3197.2</v>
      </c>
      <c r="D73" s="117">
        <f>+[2]Cham!$H73</f>
        <v>2785.5061717296921</v>
      </c>
      <c r="E73" s="160">
        <f>IF(ISNA(VLOOKUP("CHAM606100000",Balanceanp!C:G,5,FALSE))=TRUE,0,VLOOKUP("CHAM606100000",Balanceanp!C:G,5,FALSE))</f>
        <v>2989.51</v>
      </c>
      <c r="F73" s="368">
        <v>4700</v>
      </c>
      <c r="G73" s="396">
        <v>4100</v>
      </c>
      <c r="H73" s="409"/>
      <c r="I73" s="149">
        <f t="shared" si="5"/>
        <v>0.57216400012042101</v>
      </c>
      <c r="J73" s="271">
        <f t="shared" si="5"/>
        <v>-0.1276595744680851</v>
      </c>
      <c r="L73" s="443"/>
    </row>
    <row r="74" spans="1:12">
      <c r="A74" s="5" t="s">
        <v>124</v>
      </c>
      <c r="B74" s="92"/>
      <c r="C74" s="160">
        <f>IF(ISNA(VLOOKUP("CHAM606110000",Balance!C:G,5,FALSE))=TRUE,0,VLOOKUP("CHAM606110000",Balance!C:G,5,FALSE))</f>
        <v>2439.52</v>
      </c>
      <c r="D74" s="117">
        <f>+[2]Cham!$H74</f>
        <v>3611.1338211945831</v>
      </c>
      <c r="E74" s="160">
        <f>IF(ISNA(VLOOKUP("CHAM606110000",Balanceanp!C:G,5,FALSE))=TRUE,0,VLOOKUP("CHAM606110000",Balanceanp!C:G,5,FALSE))</f>
        <v>5004.1499999999996</v>
      </c>
      <c r="F74" s="368">
        <v>4109</v>
      </c>
      <c r="G74" s="396">
        <f t="shared" ref="G74:G101" si="6">+F74*1.03</f>
        <v>4232.2700000000004</v>
      </c>
      <c r="H74" s="409"/>
      <c r="I74" s="149">
        <f t="shared" si="5"/>
        <v>-0.1788815283314848</v>
      </c>
      <c r="J74" s="271">
        <f t="shared" si="5"/>
        <v>3.0000000000000106E-2</v>
      </c>
      <c r="K74" s="2" t="s">
        <v>721</v>
      </c>
      <c r="L74" s="443"/>
    </row>
    <row r="75" spans="1:12">
      <c r="A75" s="5" t="s">
        <v>360</v>
      </c>
      <c r="B75" s="92"/>
      <c r="C75" s="160">
        <f>IF(ISNA(VLOOKUP("CHAM606140000",Balance!C:G,5,FALSE))=TRUE,0,VLOOKUP("CHAM606140000",Balance!C:G,5,FALSE))</f>
        <v>0</v>
      </c>
      <c r="D75" s="117">
        <f>+[2]Cham!$H75</f>
        <v>0</v>
      </c>
      <c r="E75" s="160">
        <f>IF(ISNA(VLOOKUP("CHAM606140000",Balanceanp!C:G,5,FALSE))=TRUE,0,VLOOKUP("CHAM606140000",Balanceanp!C:G,5,FALSE))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s="443"/>
    </row>
    <row r="76" spans="1:12">
      <c r="A76" s="5" t="s">
        <v>126</v>
      </c>
      <c r="B76" s="92"/>
      <c r="C76" s="160">
        <f>IF(ISNA(VLOOKUP("CHAM606310000",Balance!C:G,5,FALSE))=TRUE,0,VLOOKUP("CHAM606310000",Balance!C:G,5,FALSE))</f>
        <v>97.49</v>
      </c>
      <c r="D76" s="117">
        <f>+[2]Cham!$H76</f>
        <v>333.31995774598158</v>
      </c>
      <c r="E76" s="160">
        <f>IF(ISNA(VLOOKUP("CHAM606310000",Balanceanp!C:G,5,FALSE))=TRUE,0,VLOOKUP("CHAM606310000",Balanceanp!C:G,5,FALSE))</f>
        <v>277.27</v>
      </c>
      <c r="F76" s="368">
        <f>+C76+C76/9*(12-Clients!$I$14)</f>
        <v>129.98666666666665</v>
      </c>
      <c r="G76" s="396">
        <f t="shared" si="6"/>
        <v>133.88626666666664</v>
      </c>
      <c r="H76" s="409"/>
      <c r="I76" s="149">
        <f t="shared" si="5"/>
        <v>-0.53119101717940398</v>
      </c>
      <c r="J76" s="271">
        <f t="shared" si="5"/>
        <v>2.9999999999999947E-2</v>
      </c>
      <c r="L76" s="443"/>
    </row>
    <row r="77" spans="1:12">
      <c r="A77" s="5" t="s">
        <v>127</v>
      </c>
      <c r="B77" s="92"/>
      <c r="C77" s="160">
        <f>IF(ISNA(VLOOKUP("CHAM606410000",Balance!C:G,5,FALSE))=TRUE,0,VLOOKUP("CHAM606410000",Balance!C:G,5,FALSE))</f>
        <v>356.10999999999996</v>
      </c>
      <c r="D77" s="117">
        <f>+[2]Cham!$H77</f>
        <v>2437.6781320956447</v>
      </c>
      <c r="E77" s="160">
        <f>IF(ISNA(VLOOKUP("CHAM606410000",Balanceanp!C:G,5,FALSE))=TRUE,0,VLOOKUP("CHAM606410000",Balanceanp!C:G,5,FALSE))</f>
        <v>1869.6799999999998</v>
      </c>
      <c r="F77" s="368">
        <f>+C77+C77/9*(12-Clients!$I$14)</f>
        <v>474.81333333333328</v>
      </c>
      <c r="G77" s="396">
        <f t="shared" si="6"/>
        <v>489.05773333333326</v>
      </c>
      <c r="H77" s="409"/>
      <c r="I77" s="149">
        <f t="shared" si="5"/>
        <v>-0.74604566913411208</v>
      </c>
      <c r="J77" s="271">
        <f t="shared" si="5"/>
        <v>2.9999999999999971E-2</v>
      </c>
      <c r="L77" s="443"/>
    </row>
    <row r="78" spans="1:12">
      <c r="A78" s="5" t="s">
        <v>101</v>
      </c>
      <c r="B78" s="92"/>
      <c r="C78" s="160">
        <f>IF(ISNA(VLOOKUP("CHAM611000000",Balance!C:G,5,FALSE))=TRUE,0,VLOOKUP("CHAM611000000",Balance!C:G,5,FALSE))+IF(ISNA(VLOOKUP("CHAM606830000",Balance!C:G,5,FALSE))=TRUE,0,VLOOKUP("CHAM606830000",Balance!C:G,5,FALSE))</f>
        <v>1480.91</v>
      </c>
      <c r="D78" s="117">
        <f>+[2]Cham!$H78</f>
        <v>381.1</v>
      </c>
      <c r="E78" s="160">
        <f>IF(ISNA(VLOOKUP("CHAM611000000",Balanceanp!C:G,5,FALSE))=TRUE,0,VLOOKUP("CHAM611000000",Balanceanp!C:G,5,FALSE))</f>
        <v>690</v>
      </c>
      <c r="F78" s="368">
        <f>+C78+C78/9*(12-Clients!$I$14)</f>
        <v>1974.5466666666666</v>
      </c>
      <c r="G78" s="368">
        <f t="shared" si="6"/>
        <v>2033.7830666666666</v>
      </c>
      <c r="H78" s="410"/>
      <c r="I78" s="149">
        <f t="shared" si="5"/>
        <v>1.8616618357487922</v>
      </c>
      <c r="J78" s="271">
        <f t="shared" si="5"/>
        <v>3.0000000000000002E-2</v>
      </c>
      <c r="L78" s="443"/>
    </row>
    <row r="79" spans="1:12">
      <c r="A79" s="5" t="s">
        <v>102</v>
      </c>
      <c r="B79" s="92"/>
      <c r="C79" s="160">
        <f>IF(ISNA(VLOOKUP("CHAM613200000",Balance!C:G,5,FALSE))=TRUE,0,VLOOKUP("CHAM613200000",Balance!C:G,5,FALSE))</f>
        <v>18045</v>
      </c>
      <c r="D79" s="117">
        <f>+[2]Cham!$H79</f>
        <v>24060</v>
      </c>
      <c r="E79" s="160">
        <f>IF(ISNA(VLOOKUP("CHAM613200000",Balanceanp!C:G,5,FALSE))=TRUE,0,VLOOKUP("CHAM613200000",Balanceanp!C:G,5,FALSE))</f>
        <v>31537.96</v>
      </c>
      <c r="F79" s="425">
        <f>6000/3*11+2000/1498*1517+4046.29</f>
        <v>28071.657156208279</v>
      </c>
      <c r="G79" s="396">
        <f>2000*11/1498*1517+2000/1498*1517*1.05</f>
        <v>24405.67423230975</v>
      </c>
      <c r="H79" s="413"/>
      <c r="I79" s="149">
        <f t="shared" si="5"/>
        <v>-0.10990891115949541</v>
      </c>
      <c r="J79" s="271">
        <f t="shared" si="5"/>
        <v>-0.13059374811749463</v>
      </c>
      <c r="L79" s="443"/>
    </row>
    <row r="80" spans="1:12">
      <c r="A80" s="5" t="s">
        <v>325</v>
      </c>
      <c r="B80" s="92"/>
      <c r="C80" s="160">
        <f>IF(ISNA(VLOOKUP("CHAM614000000",Balance!C:G,5,FALSE))=TRUE,0,VLOOKUP("CHAM614000000",Balance!C:G,5,FALSE))</f>
        <v>0</v>
      </c>
      <c r="D80" s="117">
        <f>+[2]Cham!$H80</f>
        <v>0</v>
      </c>
      <c r="E80" s="160">
        <f>IF(ISNA(VLOOKUP("CHAM614000000",Balanceanp!C:G,5,FALSE))=TRUE,0,VLOOKUP("CHAM614000000",Balanceanp!C:G,5,FALSE))</f>
        <v>0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0</v>
      </c>
      <c r="J80" s="271">
        <f t="shared" si="5"/>
        <v>0</v>
      </c>
      <c r="L80" s="443"/>
    </row>
    <row r="81" spans="1:12">
      <c r="A81" s="5" t="s">
        <v>103</v>
      </c>
      <c r="B81" s="92"/>
      <c r="C81" s="160">
        <f>IF(ISNA(VLOOKUP("CHAM613510000",Balance!C:G,5,FALSE))=TRUE,0,VLOOKUP("CHAM613510000",Balance!C:G,5,FALSE))</f>
        <v>0</v>
      </c>
      <c r="D81" s="117">
        <f>+[2]Cham!$H81</f>
        <v>0</v>
      </c>
      <c r="E81" s="160">
        <f>IF(ISNA(VLOOKUP("CHAM613510000",Balanceanp!C:G,5,FALSE))=TRUE,0,VLOOKUP("CHAM613510000",Balanceanp!C:G,5,FALSE))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s="443"/>
    </row>
    <row r="82" spans="1:12">
      <c r="A82" s="5" t="s">
        <v>105</v>
      </c>
      <c r="B82" s="92"/>
      <c r="C82" s="160">
        <f>IF(ISNA(VLOOKUP("CHAM613530000",Balance!C:G,5,FALSE))=TRUE,0,VLOOKUP("CHAM613530000",Balance!C:G,5,FALSE))</f>
        <v>3663</v>
      </c>
      <c r="D82" s="117">
        <f>+[2]Cham!$H82</f>
        <v>2168.4960413750005</v>
      </c>
      <c r="E82" s="160">
        <f>IF(ISNA(VLOOKUP("CHAM613530000",Balanceanp!C:G,5,FALSE))=TRUE,0,VLOOKUP("CHAM613530000",Balanceanp!C:G,5,FALSE))</f>
        <v>3322</v>
      </c>
      <c r="F82" s="368">
        <f>+C82+C82/9*(12-Clients!$I$14)</f>
        <v>4884</v>
      </c>
      <c r="G82" s="396">
        <f t="shared" si="6"/>
        <v>5030.5200000000004</v>
      </c>
      <c r="H82" s="409"/>
      <c r="I82" s="149">
        <f t="shared" si="5"/>
        <v>0.47019867549668876</v>
      </c>
      <c r="J82" s="271">
        <f t="shared" si="5"/>
        <v>3.0000000000000089E-2</v>
      </c>
      <c r="L82" s="443"/>
    </row>
    <row r="83" spans="1:12">
      <c r="A83" s="5" t="s">
        <v>287</v>
      </c>
      <c r="B83" s="92"/>
      <c r="C83" s="160">
        <f>IF(ISNA(VLOOKUP("CHAM613540000",Balance!C:G,5,FALSE))=TRUE,0,VLOOKUP("CHAM613540000",Balance!C:G,5,FALSE))</f>
        <v>873.13</v>
      </c>
      <c r="D83" s="117">
        <f>+[2]Cham!$H83</f>
        <v>2861.7477606916664</v>
      </c>
      <c r="E83" s="160">
        <f>IF(ISNA(VLOOKUP("CHAM613540000",Balanceanp!C:G,5,FALSE))=TRUE,0,VLOOKUP("CHAM613540000",Balanceanp!C:G,5,FALSE))</f>
        <v>1198.99</v>
      </c>
      <c r="F83" s="368">
        <f>+C83+C83/9*(12-Clients!$I$14)</f>
        <v>1164.1733333333334</v>
      </c>
      <c r="G83" s="396">
        <f t="shared" si="6"/>
        <v>1199.0985333333335</v>
      </c>
      <c r="H83" s="409"/>
      <c r="I83" s="149">
        <f t="shared" si="5"/>
        <v>-2.9038329482870252E-2</v>
      </c>
      <c r="J83" s="271">
        <f t="shared" si="5"/>
        <v>3.000000000000011E-2</v>
      </c>
      <c r="L83" s="443"/>
    </row>
    <row r="84" spans="1:12">
      <c r="A84" s="5" t="s">
        <v>108</v>
      </c>
      <c r="B84" s="92"/>
      <c r="C84" s="160">
        <f>IF(ISNA(VLOOKUP("CHAM615200000",Balance!C:G,5,FALSE))=TRUE,0,VLOOKUP("CHAM615200000",Balance!C:G,5,FALSE))</f>
        <v>5848.83</v>
      </c>
      <c r="D84" s="117">
        <f>+[2]Cham!$H84</f>
        <v>3048.3111711627089</v>
      </c>
      <c r="E84" s="160">
        <f>IF(ISNA(VLOOKUP("CHAM615200000",Balanceanp!C:G,5,FALSE))=TRUE,0,VLOOKUP("CHAM615200000",Balanceanp!C:G,5,FALSE))</f>
        <v>4705.8100000000004</v>
      </c>
      <c r="F84" s="368">
        <f>+C84+C84/9*(12-Clients!$I$14)</f>
        <v>7798.4400000000005</v>
      </c>
      <c r="G84" s="396">
        <f t="shared" si="6"/>
        <v>8032.3932000000004</v>
      </c>
      <c r="H84" s="409"/>
      <c r="I84" s="149">
        <f t="shared" si="5"/>
        <v>0.65719397935743262</v>
      </c>
      <c r="J84" s="271">
        <f t="shared" si="5"/>
        <v>2.9999999999999988E-2</v>
      </c>
      <c r="L84" s="443"/>
    </row>
    <row r="85" spans="1:12">
      <c r="A85" s="5" t="s">
        <v>109</v>
      </c>
      <c r="B85" s="92"/>
      <c r="C85" s="160">
        <f>IF(ISNA(VLOOKUP("CHAM615500000",Balance!C:G,5,FALSE))=TRUE,0,VLOOKUP("CHAM615500000",Balance!C:G,5,FALSE))</f>
        <v>4465.24</v>
      </c>
      <c r="D85" s="117">
        <f>+[2]Cham!$H85</f>
        <v>4957.7094738125006</v>
      </c>
      <c r="E85" s="160">
        <f>IF(ISNA(VLOOKUP("CHAM615500000",Balanceanp!C:G,5,FALSE))=TRUE,0,VLOOKUP("CHAM615500000",Balanceanp!C:G,5,FALSE))</f>
        <v>4299.2700000000004</v>
      </c>
      <c r="F85" s="368">
        <f>+C85+C85/9*(12-Clients!$I$14)</f>
        <v>5953.6533333333327</v>
      </c>
      <c r="G85" s="396">
        <f t="shared" si="6"/>
        <v>6132.2629333333325</v>
      </c>
      <c r="H85" s="409"/>
      <c r="I85" s="149">
        <f t="shared" si="5"/>
        <v>0.38480563754621883</v>
      </c>
      <c r="J85" s="271">
        <f t="shared" si="5"/>
        <v>2.9999999999999964E-2</v>
      </c>
      <c r="L85" s="443"/>
    </row>
    <row r="86" spans="1:12">
      <c r="A86" s="5" t="s">
        <v>106</v>
      </c>
      <c r="B86" s="92"/>
      <c r="C86" s="160">
        <f>IF(ISNA(VLOOKUP("CHAM615510000",Balance!C:G,5,FALSE))=TRUE,0,VLOOKUP("CHAM615510000",Balance!C:G,5,FALSE))</f>
        <v>1240.6400000000001</v>
      </c>
      <c r="D86" s="117">
        <f>+[2]Cham!$H86</f>
        <v>1049.4032492025672</v>
      </c>
      <c r="E86" s="160">
        <f>IF(ISNA(VLOOKUP("CHAM615510000",Balanceanp!C:G,5,FALSE))=TRUE,0,VLOOKUP("CHAM615510000",Balanceanp!C:G,5,FALSE))</f>
        <v>1093.5899999999999</v>
      </c>
      <c r="F86" s="368">
        <f>+C86+C86/9*(12-Clients!$I$14)</f>
        <v>1654.1866666666667</v>
      </c>
      <c r="G86" s="396">
        <f t="shared" si="6"/>
        <v>1703.8122666666668</v>
      </c>
      <c r="H86" s="409"/>
      <c r="I86" s="149">
        <f t="shared" si="5"/>
        <v>0.51262051286740629</v>
      </c>
      <c r="J86" s="271">
        <f t="shared" si="5"/>
        <v>3.0000000000000044E-2</v>
      </c>
      <c r="L86" s="443"/>
    </row>
    <row r="87" spans="1:12">
      <c r="A87" s="5" t="s">
        <v>363</v>
      </c>
      <c r="B87" s="92"/>
      <c r="C87" s="160">
        <f>IF(ISNA(VLOOKUP("CHAM615530000",Balance!C:G,5,FALSE))=TRUE,0,VLOOKUP("CHAM615530000",Balance!C:G,5,FALSE))</f>
        <v>0</v>
      </c>
      <c r="D87" s="117">
        <f>+[2]Cham!$H87</f>
        <v>0</v>
      </c>
      <c r="E87" s="160">
        <f>IF(ISNA(VLOOKUP("CHAM615530000",Balanceanp!C:G,5,FALSE))=TRUE,0,VLOOKUP("CHAM615530000",Balanceanp!C:G,5,FALSE))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s="443"/>
    </row>
    <row r="88" spans="1:12">
      <c r="A88" s="5" t="s">
        <v>111</v>
      </c>
      <c r="B88" s="92"/>
      <c r="C88" s="160">
        <f>IF(ISNA(VLOOKUP("CHAM616130000",Balance!C:G,5,FALSE))=TRUE,0,VLOOKUP("CHAM616130000",Balance!C:G,5,FALSE))</f>
        <v>2323.62</v>
      </c>
      <c r="D88" s="117">
        <f>+[2]Cham!$H88</f>
        <v>3098.1242250000005</v>
      </c>
      <c r="E88" s="160">
        <f>IF(ISNA(VLOOKUP("CHAM616130000",Balanceanp!C:G,5,FALSE))=TRUE,0,VLOOKUP("CHAM616130000",Balanceanp!C:G,5,FALSE))</f>
        <v>2728.44</v>
      </c>
      <c r="F88" s="368">
        <f>+C88+C88/9*(12-Clients!$I$14)</f>
        <v>3098.16</v>
      </c>
      <c r="G88" s="570">
        <f>+F88*1.05</f>
        <v>3253.0680000000002</v>
      </c>
      <c r="H88" s="413"/>
      <c r="I88" s="149">
        <f t="shared" ref="I88:I101" si="7">+IF((E88)=0,,(F88-E88)/E88)</f>
        <v>0.13550600343053165</v>
      </c>
      <c r="J88" s="271">
        <f t="shared" ref="J88:J101" si="8">+IF((F88)=0,,(G88-F88)/F88)</f>
        <v>5.0000000000000121E-2</v>
      </c>
      <c r="L88" s="443"/>
    </row>
    <row r="89" spans="1:12">
      <c r="A89" s="5" t="s">
        <v>315</v>
      </c>
      <c r="B89" s="92"/>
      <c r="C89" s="160"/>
      <c r="D89" s="117">
        <f>+[2]Cham!$H89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s="443"/>
    </row>
    <row r="90" spans="1:12">
      <c r="A90" s="5" t="s">
        <v>112</v>
      </c>
      <c r="B90" s="92"/>
      <c r="C90" s="160">
        <f>IF(ISNA(VLOOKUP("CHAM618100000",Balance!C:G,5,FALSE))=TRUE,0,VLOOKUP("CHAM618100000",Balance!C:G,5,FALSE))</f>
        <v>0</v>
      </c>
      <c r="D90" s="117">
        <f>+[2]Cham!$H90</f>
        <v>134.827</v>
      </c>
      <c r="E90" s="160">
        <f>IF(ISNA(VLOOKUP("CHAM618100000",Balanceanp!C:G,5,FALSE))=TRUE,0,VLOOKUP("CHAM618100000",Balanceanp!C:G,5,FALSE))</f>
        <v>130.9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s="443"/>
    </row>
    <row r="91" spans="1:12">
      <c r="A91" s="5" t="s">
        <v>113</v>
      </c>
      <c r="B91" s="92"/>
      <c r="C91" s="160">
        <f>IF(ISNA(VLOOKUP("CHAM618500000",Balance!C:G,5,FALSE))=TRUE,0,VLOOKUP("CHAM618500000",Balance!C:G,5,FALSE))</f>
        <v>656.46</v>
      </c>
      <c r="D91" s="117">
        <f>+[2]Cham!$H91</f>
        <v>518.9096258689583</v>
      </c>
      <c r="E91" s="160">
        <f>IF(ISNA(VLOOKUP("CHAM618500000",Balanceanp!C:G,5,FALSE))=TRUE,0,VLOOKUP("CHAM618500000",Balanceanp!C:G,5,FALSE))</f>
        <v>370</v>
      </c>
      <c r="F91" s="368">
        <f>+C91+C91/9*(12-Clients!$I$14)</f>
        <v>875.28</v>
      </c>
      <c r="G91" s="396">
        <f t="shared" si="6"/>
        <v>901.53840000000002</v>
      </c>
      <c r="H91" s="409"/>
      <c r="I91" s="149">
        <f t="shared" si="7"/>
        <v>1.3656216216216215</v>
      </c>
      <c r="J91" s="271">
        <f t="shared" si="8"/>
        <v>3.0000000000000061E-2</v>
      </c>
      <c r="L91" s="443"/>
    </row>
    <row r="92" spans="1:12">
      <c r="A92" s="5" t="s">
        <v>309</v>
      </c>
      <c r="B92" s="92"/>
      <c r="C92" s="160">
        <f>IF(ISNA(VLOOKUP("CHAM622200000",Balance!C:G,5,FALSE))=TRUE,0,VLOOKUP("CHAM622200000",Balance!C:G,5,FALSE))</f>
        <v>0</v>
      </c>
      <c r="D92" s="117">
        <f>+[2]Cham!$H92</f>
        <v>0</v>
      </c>
      <c r="E92" s="160">
        <f>IF(ISNA(VLOOKUP("CHAM622200000",Balanceanp!C:G,5,FALSE))=TRUE,0,VLOOKUP("CHAM622200000",Balanceanp!C:G,5,FALSE))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s="443"/>
    </row>
    <row r="93" spans="1:12">
      <c r="A93" s="5" t="s">
        <v>115</v>
      </c>
      <c r="B93" s="92"/>
      <c r="C93" s="160">
        <f>IF(ISNA(VLOOKUP("CHAM622600000",Balance!C:G,5,FALSE))=TRUE,0,VLOOKUP("CHAM622600000",Balance!C:G,5,FALSE))</f>
        <v>200</v>
      </c>
      <c r="D93" s="117">
        <f>+[2]Cham!$H93</f>
        <v>38.625</v>
      </c>
      <c r="E93" s="160">
        <f>IF(ISNA(VLOOKUP("CHAM622600000",Balanceanp!C:G,5,FALSE))=TRUE,0,VLOOKUP("CHAM622600000",Balanceanp!C:G,5,FALSE))</f>
        <v>350</v>
      </c>
      <c r="F93" s="368">
        <f>+C93+C93/9*(12-Clients!$I$14)</f>
        <v>266.66666666666663</v>
      </c>
      <c r="G93" s="396">
        <f t="shared" si="6"/>
        <v>274.66666666666663</v>
      </c>
      <c r="H93" s="409"/>
      <c r="I93" s="149">
        <f t="shared" si="7"/>
        <v>-0.23809523809523819</v>
      </c>
      <c r="J93" s="271">
        <f t="shared" si="8"/>
        <v>3.0000000000000006E-2</v>
      </c>
      <c r="L93" s="443"/>
    </row>
    <row r="94" spans="1:12">
      <c r="A94" s="5" t="s">
        <v>42</v>
      </c>
      <c r="B94" s="92"/>
      <c r="C94" s="160">
        <f>IF(ISNA(VLOOKUP("CHAM622710000",Balance!C:G,5,FALSE))=TRUE,0,VLOOKUP("CHAM622710000",Balance!C:G,5,FALSE))</f>
        <v>0</v>
      </c>
      <c r="D94" s="117">
        <f>+[2]Cham!$H94</f>
        <v>0</v>
      </c>
      <c r="E94" s="160">
        <f>IF(ISNA(VLOOKUP("CHAM622710000",Balanceanp!C:G,5,FALSE))=TRUE,0,VLOOKUP("CHAM622710000",Balanceanp!C:G,5,FALSE))</f>
        <v>25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-1</v>
      </c>
      <c r="J94" s="271">
        <f t="shared" si="8"/>
        <v>0</v>
      </c>
      <c r="L94" s="443"/>
    </row>
    <row r="95" spans="1:12">
      <c r="A95" s="5" t="s">
        <v>117</v>
      </c>
      <c r="B95" s="92">
        <f>+C95/$C$21</f>
        <v>2.1464876095077814E-3</v>
      </c>
      <c r="C95" s="160">
        <f>IF(ISNA(VLOOKUP("CHAM624200000",Balance!C:G,5,FALSE))=TRUE,0,VLOOKUP("CHAM624200000",Balance!C:G,5,FALSE))</f>
        <v>1145.55</v>
      </c>
      <c r="D95" s="117">
        <f>+[2]Cham!$H95</f>
        <v>7200.8614119062513</v>
      </c>
      <c r="E95" s="160">
        <f>IF(ISNA(VLOOKUP("CHAM624200000",Balanceanp!C:G,5,FALSE))=TRUE,0,VLOOKUP("CHAM624200000",Balanceanp!C:G,5,FALSE))</f>
        <v>7811.68</v>
      </c>
      <c r="F95" s="368">
        <v>3000</v>
      </c>
      <c r="G95" s="396">
        <v>4000</v>
      </c>
      <c r="H95" s="420">
        <f>+G95/$G$21</f>
        <v>4.9078550219626513E-3</v>
      </c>
      <c r="I95" s="149">
        <f t="shared" si="7"/>
        <v>-0.61595969112918092</v>
      </c>
      <c r="J95" s="271">
        <f t="shared" si="8"/>
        <v>0.33333333333333331</v>
      </c>
      <c r="L95" s="443"/>
    </row>
    <row r="96" spans="1:12">
      <c r="A96" s="5" t="s">
        <v>118</v>
      </c>
      <c r="B96" s="92"/>
      <c r="C96" s="160">
        <f>IF(ISNA(VLOOKUP("CHAM625100000",Balance!C:G,5,FALSE))=TRUE,0,VLOOKUP("CHAM625100000",Balance!C:G,5,FALSE))</f>
        <v>4584.3900000000003</v>
      </c>
      <c r="D96" s="117">
        <f>+[2]Cham!$H96</f>
        <v>7000</v>
      </c>
      <c r="E96" s="160">
        <f>IF(ISNA(VLOOKUP("CHAM625100000",Balanceanp!C:G,5,FALSE))=TRUE,0,VLOOKUP("CHAM625100000",Balanceanp!C:G,5,FALSE))</f>
        <v>11340.2</v>
      </c>
      <c r="F96" s="368">
        <f>+C96+C96/9*(12-Clients!$I$14)</f>
        <v>6112.52</v>
      </c>
      <c r="G96" s="570">
        <v>7000</v>
      </c>
      <c r="H96" s="401"/>
      <c r="I96" s="149">
        <f t="shared" si="7"/>
        <v>-0.46098657871995202</v>
      </c>
      <c r="J96" s="271">
        <f t="shared" si="8"/>
        <v>0.1451905269839607</v>
      </c>
      <c r="L96" s="443"/>
    </row>
    <row r="97" spans="1:12">
      <c r="A97" s="5" t="s">
        <v>7</v>
      </c>
      <c r="B97" s="92"/>
      <c r="C97" s="160">
        <f>IF(ISNA(VLOOKUP("CHAM625200000",Balance!C:G,5,FALSE))=TRUE,0,VLOOKUP("CHAM625200000",Balance!C:G,5,FALSE))</f>
        <v>183.95</v>
      </c>
      <c r="D97" s="117">
        <f>+[2]Cham!$H97</f>
        <v>230.316372355</v>
      </c>
      <c r="E97" s="160">
        <f>IF(ISNA(VLOOKUP("CHAM625200000",Balanceanp!C:G,5,FALSE))=TRUE,0,VLOOKUP("CHAM625200000",Balanceanp!C:G,5,FALSE))</f>
        <v>139.76</v>
      </c>
      <c r="F97" s="368">
        <f>+C97+C97/9*(12-Clients!$I$14)</f>
        <v>245.26666666666665</v>
      </c>
      <c r="G97" s="570">
        <v>250</v>
      </c>
      <c r="H97" s="401"/>
      <c r="I97" s="149">
        <f t="shared" si="7"/>
        <v>0.75491318450677347</v>
      </c>
      <c r="J97" s="271">
        <f t="shared" si="8"/>
        <v>1.9298722478934556E-2</v>
      </c>
      <c r="L97" s="443"/>
    </row>
    <row r="98" spans="1:12">
      <c r="A98" s="5" t="s">
        <v>307</v>
      </c>
      <c r="B98" s="92"/>
      <c r="C98" s="160">
        <f>IF(ISNA(VLOOKUP("CHAM625510000",Balance!C:G,5,FALSE))=TRUE,0,VLOOKUP("CHAM625510000",Balance!C:G,5,FALSE))</f>
        <v>0</v>
      </c>
      <c r="D98" s="117">
        <f>+[2]Cham!$H98</f>
        <v>0</v>
      </c>
      <c r="E98" s="160">
        <f>IF(ISNA(VLOOKUP("CHAM625510000",Balanceanp!C:G,5,FALSE))=TRUE,0,VLOOKUP("CHAM625510000",Balanceanp!C:G,5,FALSE))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s="443"/>
    </row>
    <row r="99" spans="1:12">
      <c r="A99" s="5" t="s">
        <v>119</v>
      </c>
      <c r="B99" s="92"/>
      <c r="C99" s="160">
        <f>IF(ISNA(VLOOKUP("CHAM626000000",Balance!C:G,5,FALSE))=TRUE,0,VLOOKUP("CHAM626000000",Balance!C:G,5,FALSE))</f>
        <v>4415.25</v>
      </c>
      <c r="D99" s="117">
        <f>+[2]Cham!$H99</f>
        <v>5000</v>
      </c>
      <c r="E99" s="160">
        <f>IF(ISNA(VLOOKUP("CHAM626000000",Balanceanp!C:G,5,FALSE))=TRUE,0,VLOOKUP("CHAM626000000",Balanceanp!C:G,5,FALSE))</f>
        <v>6056.55</v>
      </c>
      <c r="F99" s="368">
        <f>+C99+C99/9*(12-Clients!$I$14)</f>
        <v>5887</v>
      </c>
      <c r="G99" s="425">
        <f>+F99</f>
        <v>5887</v>
      </c>
      <c r="H99" s="409"/>
      <c r="I99" s="149">
        <f t="shared" si="7"/>
        <v>-2.7994485309293275E-2</v>
      </c>
      <c r="J99" s="271">
        <f t="shared" si="8"/>
        <v>0</v>
      </c>
      <c r="L99" s="443"/>
    </row>
    <row r="100" spans="1:12">
      <c r="A100" s="5" t="s">
        <v>120</v>
      </c>
      <c r="B100" s="92"/>
      <c r="C100" s="160">
        <f>IF(ISNA(VLOOKUP("CHAM626100000",Balance!C:G,5,FALSE))=TRUE,0,VLOOKUP("CHAM626100000",Balance!C:G,5,FALSE))</f>
        <v>634.42999999999995</v>
      </c>
      <c r="D100" s="117">
        <f>+[2]Cham!$H100</f>
        <v>765.6196000000001</v>
      </c>
      <c r="E100" s="160">
        <f>IF(ISNA(VLOOKUP("CHAM626100000",Balanceanp!C:G,5,FALSE))=TRUE,0,VLOOKUP("CHAM626100000",Balanceanp!C:G,5,FALSE))</f>
        <v>1477.05</v>
      </c>
      <c r="F100" s="368">
        <f>+C100+C100/9*(12-Clients!$I$14)</f>
        <v>845.90666666666652</v>
      </c>
      <c r="G100" s="396">
        <f t="shared" si="6"/>
        <v>871.28386666666654</v>
      </c>
      <c r="H100" s="409"/>
      <c r="I100" s="149">
        <f t="shared" si="7"/>
        <v>-0.42729991085835511</v>
      </c>
      <c r="J100" s="271">
        <f t="shared" si="8"/>
        <v>3.0000000000000023E-2</v>
      </c>
      <c r="L100" s="443"/>
    </row>
    <row r="101" spans="1:12">
      <c r="A101" s="5" t="s">
        <v>121</v>
      </c>
      <c r="B101" s="92"/>
      <c r="C101" s="160">
        <f>IF(ISNA(VLOOKUP("CHAM628400000",Balance!C:G,5,FALSE))=TRUE,0,VLOOKUP("CHAM628400000",Balance!C:G,5,FALSE))</f>
        <v>0</v>
      </c>
      <c r="D101" s="117">
        <f>+[2]Cham!$H101</f>
        <v>0</v>
      </c>
      <c r="E101" s="160">
        <f>IF(ISNA(VLOOKUP("CHAM628400000",Balanceanp!C:G,5,FALSE))=TRUE,0,VLOOKUP("CHAM628400000",Balanceanp!C:G,5,FALSE))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s="443"/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444"/>
    </row>
    <row r="103" spans="1:12" s="33" customFormat="1" ht="15" customHeight="1">
      <c r="A103" s="13" t="s">
        <v>122</v>
      </c>
      <c r="B103" s="93">
        <f>+C103/$C$21</f>
        <v>0.12665416143153288</v>
      </c>
      <c r="C103" s="163">
        <f>SUM(C70:C102)</f>
        <v>67593.53</v>
      </c>
      <c r="D103" s="118">
        <f>SUM(D70:D102)</f>
        <v>80666.370714142206</v>
      </c>
      <c r="E103" s="163">
        <f>SUM(E70:E102)</f>
        <v>95677.489999999991</v>
      </c>
      <c r="F103" s="136">
        <f>SUM(F70:F102)</f>
        <v>96902.337156208276</v>
      </c>
      <c r="G103" s="136">
        <f>SUM(G70:G102)</f>
        <v>90257.37783230975</v>
      </c>
      <c r="H103" s="421">
        <f>+G103/$G$21</f>
        <v>0.11074253126587047</v>
      </c>
      <c r="I103" s="272">
        <f>+IF((E103)=0,,(F103-E103)/E103)</f>
        <v>1.2801832031842444E-2</v>
      </c>
      <c r="J103" s="188">
        <f>+IF((F103)=0,,(G103-F103)/F103)</f>
        <v>-6.857377767046767E-2</v>
      </c>
      <c r="L103" s="445"/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444"/>
    </row>
    <row r="105" spans="1:12">
      <c r="A105" s="5" t="s">
        <v>129</v>
      </c>
      <c r="B105" s="92"/>
      <c r="C105" s="160">
        <f>IF(ISNA(VLOOKUP("CHAM623100000",Balance!C:G,5,FALSE))=TRUE,0,VLOOKUP("CHAM623100000",Balance!C:G,5,FALSE))</f>
        <v>0</v>
      </c>
      <c r="D105" s="117">
        <f>+[2]Cham!$H105</f>
        <v>1000</v>
      </c>
      <c r="E105" s="160">
        <f>IF(ISNA(VLOOKUP("CHAM623100000",Balanceanp!C:G,5,FALSE))=TRUE,0,VLOOKUP("CHAM623100000",Balanceanp!C:G,5,FALSE))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s="443"/>
    </row>
    <row r="106" spans="1:12">
      <c r="A106" s="5" t="s">
        <v>130</v>
      </c>
      <c r="B106" s="92"/>
      <c r="C106" s="160">
        <f>+IF(ISNA(VLOOKUP("CHAM623200000",Balance!C:G,5,FALSE))=TRUE,0,VLOOKUP("CHAM623200000",Balance!C:G,5,FALSE))</f>
        <v>2808</v>
      </c>
      <c r="D106" s="117">
        <f>+[2]Cham!$H106</f>
        <v>5000</v>
      </c>
      <c r="E106" s="160">
        <f>IF(ISNA(VLOOKUP("CHAM623200000",Balanceanp!C:G,5,FALSE))=TRUE,0,VLOOKUP("CHAM623200000",Balanceanp!C:G,5,FALSE))</f>
        <v>4752.7</v>
      </c>
      <c r="F106" s="368">
        <f>+C106+C106/9*(12-Clients!$I$14)</f>
        <v>3744</v>
      </c>
      <c r="G106" s="570">
        <v>4000</v>
      </c>
      <c r="H106" s="401"/>
      <c r="I106" s="149">
        <f t="shared" si="9"/>
        <v>-0.21223725461316723</v>
      </c>
      <c r="J106" s="271">
        <f t="shared" si="9"/>
        <v>6.8376068376068383E-2</v>
      </c>
      <c r="L106" s="443"/>
    </row>
    <row r="107" spans="1:12">
      <c r="A107" s="5" t="s">
        <v>131</v>
      </c>
      <c r="B107" s="92"/>
      <c r="C107" s="160">
        <f>IF(ISNA(VLOOKUP("CHAM629000000",Balance!C:G,5,FALSE))=TRUE,0,VLOOKUP("CHAM629000000",Balance!C:G,5,FALSE))</f>
        <v>0</v>
      </c>
      <c r="D107" s="117">
        <f>+[2]Cham!$H107</f>
        <v>0</v>
      </c>
      <c r="E107" s="160">
        <f>IF(ISNA(VLOOKUP("CHAM629000000",Balanceanp!C:G,5,FALSE))=TRUE,0,VLOOKUP("CHAM629000000",Balanceanp!C:G,5,FALSE))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s="443"/>
    </row>
    <row r="108" spans="1:12">
      <c r="A108" s="5" t="s">
        <v>132</v>
      </c>
      <c r="B108" s="92"/>
      <c r="C108" s="160">
        <f>IF(ISNA(VLOOKUP("CHAM623300000",Balance!C:G,5,FALSE))=TRUE,0,VLOOKUP("CHAM623300000",Balance!C:G,5,FALSE))</f>
        <v>628.5</v>
      </c>
      <c r="D108" s="117">
        <f>+[2]Cham!$H108</f>
        <v>0</v>
      </c>
      <c r="E108" s="160">
        <f>IF(ISNA(VLOOKUP("CHAM623300000",Balanceanp!C:G,5,FALSE))=TRUE,0,VLOOKUP("CHAM623300000",Balanceanp!C:G,5,FALSE))</f>
        <v>0</v>
      </c>
      <c r="F108" s="368">
        <f>+C108+C108/9*(12-Clients!$I$14)</f>
        <v>838</v>
      </c>
      <c r="G108" s="570">
        <v>150</v>
      </c>
      <c r="H108" s="401"/>
      <c r="I108" s="149">
        <f t="shared" si="9"/>
        <v>0</v>
      </c>
      <c r="J108" s="271">
        <f t="shared" si="9"/>
        <v>-0.82100238663484482</v>
      </c>
      <c r="L108" s="443"/>
    </row>
    <row r="109" spans="1:12">
      <c r="A109" s="5" t="s">
        <v>133</v>
      </c>
      <c r="B109" s="92"/>
      <c r="C109" s="160">
        <f>IF(ISNA(VLOOKUP("CHAM623700000",Balance!C:G,5,FALSE))=TRUE,0,VLOOKUP("CHAM623700000",Balance!C:G,5,FALSE))</f>
        <v>3902.03</v>
      </c>
      <c r="D109" s="117">
        <f>+[2]Cham!$H109</f>
        <v>5300</v>
      </c>
      <c r="E109" s="160">
        <f>IF(ISNA(VLOOKUP("CHAM623700000",Balanceanp!C:G,5,FALSE))=TRUE,0,VLOOKUP("CHAM623700000",Balanceanp!C:G,5,FALSE))</f>
        <v>4338.0499999999993</v>
      </c>
      <c r="F109" s="368">
        <f>+C109+C109/9*(12-Clients!$I$14)</f>
        <v>5202.7066666666669</v>
      </c>
      <c r="G109" s="570">
        <v>5000</v>
      </c>
      <c r="H109" s="401"/>
      <c r="I109" s="149">
        <f t="shared" si="9"/>
        <v>0.1993192025602904</v>
      </c>
      <c r="J109" s="271">
        <f t="shared" si="9"/>
        <v>-3.8961771180641917E-2</v>
      </c>
      <c r="L109" s="443"/>
    </row>
    <row r="110" spans="1:12">
      <c r="A110" s="5" t="s">
        <v>134</v>
      </c>
      <c r="B110" s="92"/>
      <c r="C110" s="160">
        <f>IF(ISNA(VLOOKUP("CHAM623410000",Balance!C:G,5,FALSE))=TRUE,0,VLOOKUP("CHAM623410000",Balance!C:G,5,FALSE))+IF(ISNA(VLOOKUP("CHAM623420000",Balance!C:G,5,FALSE))=TRUE,0,VLOOKUP("CHAM623420000",Balance!C:G,5,FALSE))</f>
        <v>8792.58</v>
      </c>
      <c r="D110" s="117">
        <f>+[2]Cham!$H110</f>
        <v>12000</v>
      </c>
      <c r="E110" s="160">
        <f>IF(ISNA(VLOOKUP("cham623410000",Balanceanp!C:G,5,FALSE))=TRUE,0,VLOOKUP("cham623410000",Balanceanp!C:G,5,FALSE))+IF(ISNA(VLOOKUP("cham623420000",Balanceanp!C:G,5,FALSE))=TRUE,0,VLOOKUP("cham623420000",Balanceanp!C:G,5,FALSE))</f>
        <v>13269.81</v>
      </c>
      <c r="F110" s="368">
        <f>+C110+C110/9*(12-Clients!$I$14)</f>
        <v>11723.44</v>
      </c>
      <c r="G110" s="570">
        <v>12000</v>
      </c>
      <c r="H110" s="401"/>
      <c r="I110" s="149">
        <f t="shared" si="9"/>
        <v>-0.11653294206925337</v>
      </c>
      <c r="J110" s="271">
        <f t="shared" si="9"/>
        <v>2.359034549586124E-2</v>
      </c>
      <c r="L110" s="443"/>
    </row>
    <row r="111" spans="1:12">
      <c r="A111" s="5" t="s">
        <v>135</v>
      </c>
      <c r="B111" s="92"/>
      <c r="C111" s="160">
        <f>IF(ISNA(VLOOKUP("Cham623800000",Balance!C:G,5,FALSE))=TRUE,0,VLOOKUP("Cham623800000",Balance!C:G,5,FALSE))+IF(ISNA(VLOOKUP("Cham623820000",Balance!C:G,5,FALSE))=TRUE,0,VLOOKUP("Cham623820000",Balance!C:G,5,FALSE))</f>
        <v>0</v>
      </c>
      <c r="D111" s="117">
        <f>+[2]Cham!$H111</f>
        <v>20</v>
      </c>
      <c r="E111" s="160">
        <f>IF(ISNA(VLOOKUP("CHAM623800000",Balanceanp!C:G,5,FALSE))=TRUE,0,VLOOKUP("CHAM623800000",Balanceanp!C:G,5,FALSE))+IF(ISNA(VLOOKUP("CHAM623820000",Balanceanp!C:G,5,FALSE))=TRUE,0,VLOOKUP("CHAM623820000",Balanceanp!C:G,5,FALSE))</f>
        <v>60</v>
      </c>
      <c r="F111" s="368">
        <f>+C111+C111/9*(12-Clients!$I$14)</f>
        <v>0</v>
      </c>
      <c r="G111" s="570">
        <v>50</v>
      </c>
      <c r="H111" s="401"/>
      <c r="I111" s="149">
        <f t="shared" si="9"/>
        <v>-1</v>
      </c>
      <c r="J111" s="271">
        <f t="shared" si="9"/>
        <v>0</v>
      </c>
      <c r="L111" s="443"/>
    </row>
    <row r="112" spans="1:12">
      <c r="A112" s="5" t="s">
        <v>136</v>
      </c>
      <c r="B112" s="92"/>
      <c r="C112" s="160">
        <f>IF(ISNA(VLOOKUP("CHAM625600000",Balance!C:G,5,FALSE))=TRUE,0,VLOOKUP("CHAM625600000",Balance!C:G,5,FALSE))</f>
        <v>1500</v>
      </c>
      <c r="D112" s="117">
        <f>+[2]Cham!$H112</f>
        <v>2000</v>
      </c>
      <c r="E112" s="160">
        <f>IF(ISNA(VLOOKUP("CHAM625600000",Balanceanp!C:G,5,FALSE))=TRUE,0,VLOOKUP("CHAM625600000",Balanceanp!C:G,5,FALSE))</f>
        <v>25.23</v>
      </c>
      <c r="F112" s="368">
        <f>+C112+C112/9*(12-Clients!$I$14)</f>
        <v>2000</v>
      </c>
      <c r="G112" s="570">
        <v>150</v>
      </c>
      <c r="H112" s="401"/>
      <c r="I112" s="149">
        <f t="shared" si="9"/>
        <v>78.270709472849774</v>
      </c>
      <c r="J112" s="271">
        <f t="shared" si="9"/>
        <v>-0.92500000000000004</v>
      </c>
      <c r="L112" s="443"/>
    </row>
    <row r="113" spans="1:12">
      <c r="A113" s="5" t="s">
        <v>137</v>
      </c>
      <c r="B113" s="92"/>
      <c r="C113" s="160">
        <f>IF(ISNA(VLOOKUP("cham625700000",Balance!C:G,5,FALSE))=TRUE,0,VLOOKUP("cham625700000",Balance!C:G,5,FALSE))+IF(ISNA(VLOOKUP("cham625710000",Balance!C:G,5,FALSE))=TRUE,0,VLOOKUP("cham625710000",Balance!C:G,5,FALSE))</f>
        <v>3989.3</v>
      </c>
      <c r="D113" s="117">
        <f>+[2]Cham!$H113</f>
        <v>6000</v>
      </c>
      <c r="E113" s="160">
        <f>IF(ISNA(VLOOKUP("cham625700000",Balanceanp!C:G,5,FALSE))=TRUE,0,VLOOKUP("cham625700000",Balanceanp!C:G,5,FALSE))+IF(ISNA(VLOOKUP("cham625710000",Balanceanp!C:G,5,FALSE))=TRUE,0,VLOOKUP("cham625710000",Balanceanp!C:G,5,FALSE))</f>
        <v>5194.46</v>
      </c>
      <c r="F113" s="368">
        <v>5500</v>
      </c>
      <c r="G113" s="570">
        <v>5500</v>
      </c>
      <c r="H113" s="401"/>
      <c r="I113" s="149">
        <f t="shared" si="9"/>
        <v>5.8820358612829818E-2</v>
      </c>
      <c r="J113" s="271">
        <f t="shared" si="9"/>
        <v>0</v>
      </c>
      <c r="L113" s="443"/>
    </row>
    <row r="114" spans="1:12">
      <c r="A114" s="5" t="s">
        <v>138</v>
      </c>
      <c r="B114" s="92"/>
      <c r="C114" s="160">
        <f>IF(ISNA(VLOOKUP("CHAM623810000",Balance!C:G,5,FALSE))=TRUE,0,VLOOKUP("CHAM623810000",Balance!C:G,5,FALSE))</f>
        <v>0</v>
      </c>
      <c r="D114" s="117">
        <f>+[2]Cham!$H114</f>
        <v>0</v>
      </c>
      <c r="E114" s="160">
        <f>IF(ISNA(VLOOKUP("CHAM623810000",Balanceanp!C:G,5,FALSE))=TRUE,0,VLOOKUP("CHAM623810000",Balanceanp!C:G,5,FALSE))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s="443"/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444"/>
    </row>
    <row r="116" spans="1:12" s="33" customFormat="1" ht="15" customHeight="1">
      <c r="A116" s="13" t="s">
        <v>133</v>
      </c>
      <c r="B116" s="93">
        <f>+C116/$C$21</f>
        <v>4.051149419709147E-2</v>
      </c>
      <c r="C116" s="163">
        <f>SUM(C104:C115)</f>
        <v>21620.41</v>
      </c>
      <c r="D116" s="118">
        <f>SUM(D104:D115)</f>
        <v>31320</v>
      </c>
      <c r="E116" s="163">
        <f>SUM(E104:E115)</f>
        <v>28414.55</v>
      </c>
      <c r="F116" s="136">
        <f>SUM(F104:F115)</f>
        <v>29008.146666666667</v>
      </c>
      <c r="G116" s="136">
        <f>SUM(G104:G115)</f>
        <v>27850</v>
      </c>
      <c r="H116" s="421">
        <f>+G116/$G$21</f>
        <v>3.4170940590414957E-2</v>
      </c>
      <c r="I116" s="272">
        <f>+IF((E116)=0,,(F116-E116)/E116)</f>
        <v>2.0890588331212993E-2</v>
      </c>
      <c r="J116" s="188">
        <f>+IF((F116)=0,,(G116-F116)/F116)</f>
        <v>-3.9924876276135786E-2</v>
      </c>
      <c r="L116" s="445"/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444"/>
    </row>
    <row r="118" spans="1:12">
      <c r="A118" s="5" t="s">
        <v>139</v>
      </c>
      <c r="B118" s="92"/>
      <c r="C118" s="160">
        <f>IF(ISNA(VLOOKUP("CHAM633300000",Balance!C:G,5,FALSE))=TRUE,0,VLOOKUP("CHAM633300000",Balance!C:G,5,FALSE))</f>
        <v>1033.44</v>
      </c>
      <c r="D118" s="117">
        <f>+[2]Cham!$H118</f>
        <v>573.99999999999989</v>
      </c>
      <c r="E118" s="160">
        <f>IF(ISNA(VLOOKUP("CHAM633300000",Balanceanp!C:G,5,FALSE))=TRUE,0,VLOOKUP("CHAM633300000",Balanceanp!C:G,5,FALSE))</f>
        <v>727</v>
      </c>
      <c r="F118" s="368">
        <f>+C118+C118/9*(12-Clients!$I$14)</f>
        <v>1377.92</v>
      </c>
      <c r="G118" s="396">
        <f>G131*(0.2+0.5)%</f>
        <v>594.99999999999989</v>
      </c>
      <c r="H118" s="409"/>
      <c r="I118" s="149">
        <f t="shared" ref="I118:J127" si="10">+IF((E118)=0,,(F118-E118)/E118)</f>
        <v>0.89535075653370022</v>
      </c>
      <c r="J118" s="271">
        <f t="shared" si="10"/>
        <v>-0.56818973525313532</v>
      </c>
      <c r="L118" s="443"/>
    </row>
    <row r="119" spans="1:12">
      <c r="A119" s="5" t="s">
        <v>140</v>
      </c>
      <c r="B119" s="92"/>
      <c r="C119" s="160">
        <f>IF(ISNA(VLOOKUP("CHAM633400000",Balance!C:G,5,FALSE))=TRUE,0,VLOOKUP("CHAM633400000",Balance!C:G,5,FALSE))</f>
        <v>0</v>
      </c>
      <c r="D119" s="117">
        <f>+[2]Cham!$H119</f>
        <v>369.00000000000006</v>
      </c>
      <c r="E119" s="160">
        <f>IF(ISNA(VLOOKUP("CHAM633400000",Balanceanp!C:G,5,FALSE))=TRUE,0,VLOOKUP("CHAM633400000",Balanceanp!C:G,5,FALSE))</f>
        <v>400</v>
      </c>
      <c r="F119" s="368">
        <f>+C119+C119/9*(12-Clients!$I$14)</f>
        <v>0</v>
      </c>
      <c r="G119" s="396">
        <f>+G131*0.45%</f>
        <v>382.50000000000006</v>
      </c>
      <c r="H119" s="409"/>
      <c r="I119" s="149">
        <f t="shared" si="10"/>
        <v>-1</v>
      </c>
      <c r="J119" s="271">
        <f t="shared" si="10"/>
        <v>0</v>
      </c>
      <c r="L119" s="443"/>
    </row>
    <row r="120" spans="1:12">
      <c r="A120" s="5" t="s">
        <v>141</v>
      </c>
      <c r="B120" s="92"/>
      <c r="C120" s="160">
        <f>IF(ISNA(VLOOKUP("CHAM633500000",Balance!C:G,5,FALSE))=TRUE,0,VLOOKUP("CHAM633500000",Balance!C:G,5,FALSE))</f>
        <v>0</v>
      </c>
      <c r="D120" s="117">
        <f>+[2]Cham!$H120</f>
        <v>639.6</v>
      </c>
      <c r="E120" s="160">
        <f>IF(ISNA(VLOOKUP("CHAM633500000",Balanceanp!C:G,5,FALSE))=TRUE,0,VLOOKUP("CHAM633500000",Balanceanp!C:G,5,FALSE))</f>
        <v>605</v>
      </c>
      <c r="F120" s="368">
        <f>+C120+C120/9*(12-Clients!$I$14)</f>
        <v>0</v>
      </c>
      <c r="G120" s="396">
        <f>+G131*(0.6+0.18)%</f>
        <v>663</v>
      </c>
      <c r="H120" s="409"/>
      <c r="I120" s="149">
        <f t="shared" si="10"/>
        <v>-1</v>
      </c>
      <c r="J120" s="271">
        <f t="shared" si="10"/>
        <v>0</v>
      </c>
      <c r="L120" s="443"/>
    </row>
    <row r="121" spans="1:12">
      <c r="A121" s="5" t="s">
        <v>706</v>
      </c>
      <c r="B121" s="92"/>
      <c r="C121" s="160">
        <f>IF(ISNA(VLOOKUP("CHAM635110000",Balance!C:G,5,FALSE))=TRUE,0,VLOOKUP("CHAM635110000",Balance!C:G,5,FALSE))</f>
        <v>5032.17</v>
      </c>
      <c r="D121" s="117">
        <f>+[2]Cham!$H121</f>
        <v>6709.5</v>
      </c>
      <c r="E121" s="160">
        <f>IF(ISNA(VLOOKUP("CHAM635110000",Balanceanp!C:G,5,FALSE))=TRUE,0,VLOOKUP("CHAM635110000",Balanceanp!C:G,5,FALSE))</f>
        <v>6390</v>
      </c>
      <c r="F121" s="570">
        <v>1404</v>
      </c>
      <c r="G121" s="570">
        <f>+F121*1.05</f>
        <v>1474.2</v>
      </c>
      <c r="H121" s="413"/>
      <c r="I121" s="149">
        <f t="shared" si="10"/>
        <v>-0.78028169014084503</v>
      </c>
      <c r="J121" s="271">
        <f t="shared" si="10"/>
        <v>5.0000000000000031E-2</v>
      </c>
      <c r="L121" s="443"/>
    </row>
    <row r="122" spans="1:12">
      <c r="A122" s="5" t="s">
        <v>143</v>
      </c>
      <c r="B122" s="92"/>
      <c r="C122" s="160">
        <f>IF(ISNA(VLOOKUP("CHAM635120000",Balance!C:G,5,FALSE))=TRUE,0,VLOOKUP("CHAM635120000",Balance!C:G,5,FALSE))</f>
        <v>1625.4</v>
      </c>
      <c r="D122" s="117">
        <f>+[2]Cham!$H122</f>
        <v>2167.1882400000004</v>
      </c>
      <c r="E122" s="160">
        <f>IF(ISNA(VLOOKUP("CHAM635120000",Balanceanp!C:G,5,FALSE))=TRUE,0,VLOOKUP("CHAM635120000",Balanceanp!C:G,5,FALSE))</f>
        <v>2139.4299999999998</v>
      </c>
      <c r="F122" s="397">
        <f>+C122+C122/9*(12-Clients!$I$14)+293.07</f>
        <v>2460.2700000000004</v>
      </c>
      <c r="G122" s="397">
        <f>+(F122-293.07)*1.05</f>
        <v>2275.5600000000004</v>
      </c>
      <c r="H122" s="413"/>
      <c r="I122" s="149">
        <f t="shared" si="10"/>
        <v>0.14996517764077377</v>
      </c>
      <c r="J122" s="271">
        <f t="shared" si="10"/>
        <v>-7.5077125681327656E-2</v>
      </c>
      <c r="L122" s="443"/>
    </row>
    <row r="123" spans="1:12">
      <c r="A123" s="5" t="s">
        <v>144</v>
      </c>
      <c r="B123" s="92"/>
      <c r="C123" s="160">
        <f>IF(ISNA(VLOOKUP("CHAM635130000",Balance!C:G,5,FALSE))=TRUE,0,VLOOKUP("CHAM635130000",Balance!C:G,5,FALSE))</f>
        <v>0</v>
      </c>
      <c r="D123" s="117">
        <f>+[2]Cham!$H123</f>
        <v>50</v>
      </c>
      <c r="E123" s="160">
        <f>IF(ISNA(VLOOKUP("CHAM635130000",Balanceanp!C:G,5,FALSE))=TRUE,0,VLOOKUP("CHAM635130000",Balanceanp!C:G,5,FALSE))</f>
        <v>0</v>
      </c>
      <c r="F123" s="425">
        <v>712.8</v>
      </c>
      <c r="G123" s="425">
        <f>+F123*1.05</f>
        <v>748.43999999999994</v>
      </c>
      <c r="H123" s="413"/>
      <c r="I123" s="149">
        <f t="shared" si="10"/>
        <v>0</v>
      </c>
      <c r="J123" s="271">
        <f t="shared" si="10"/>
        <v>4.9999999999999982E-2</v>
      </c>
      <c r="L123" s="443"/>
    </row>
    <row r="124" spans="1:12">
      <c r="A124" s="5" t="s">
        <v>145</v>
      </c>
      <c r="B124" s="92"/>
      <c r="C124" s="160">
        <f>IF(ISNA(VLOOKUP("CHAM635140000",Balance!C:G,5,FALSE))=TRUE,0,VLOOKUP("CHAM635140000",Balance!C:G,5,FALSE))</f>
        <v>0</v>
      </c>
      <c r="D124" s="117">
        <f>+[2]Cham!$H124</f>
        <v>0</v>
      </c>
      <c r="E124" s="160">
        <f>IF(ISNA(VLOOKUP("CHAM635140000",Balanceanp!C:G,5,FALSE))=TRUE,0,VLOOKUP("CHAM635140000",Balanceanp!C:G,5,FALSE))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0"/>
        <v>0</v>
      </c>
      <c r="J124" s="271">
        <f t="shared" si="10"/>
        <v>0</v>
      </c>
      <c r="L124" s="443"/>
    </row>
    <row r="125" spans="1:12">
      <c r="A125" s="5" t="s">
        <v>286</v>
      </c>
      <c r="B125" s="92"/>
      <c r="C125" s="160">
        <f>IF(ISNA(VLOOKUP("CHAM635300000",Balance!C:G,5,FALSE))=TRUE,0,VLOOKUP("CHAM635300000",Balance!C:G,5,FALSE))</f>
        <v>0</v>
      </c>
      <c r="D125" s="117">
        <f>+[2]Cham!$H125</f>
        <v>0</v>
      </c>
      <c r="E125" s="160">
        <f>IF(ISNA(VLOOKUP("CHAM635300000",Balanceanp!C:G,5,FALSE))=TRUE,0,VLOOKUP("CHAM635300000",Balanceanp!C:G,5,FALSE))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s="443"/>
    </row>
    <row r="126" spans="1:12">
      <c r="A126" s="5" t="s">
        <v>361</v>
      </c>
      <c r="B126" s="92"/>
      <c r="C126" s="160">
        <f>IF(ISNA(VLOOKUP("CHAM635400000",Balance!C:G,5,FALSE))=TRUE,0,VLOOKUP("CHAM635400000",Balance!C:G,5,FALSE))</f>
        <v>0</v>
      </c>
      <c r="D126" s="117">
        <f>+[2]Cham!$H126</f>
        <v>0</v>
      </c>
      <c r="E126" s="160">
        <f>IF(ISNA(VLOOKUP("CHAM635400000",Balanceanp!C:G,5,FALSE))=TRUE,0,VLOOKUP("CHAM635400000",Balanceanp!C:G,5,FALSE))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s="443"/>
    </row>
    <row r="127" spans="1:12">
      <c r="A127" s="5" t="s">
        <v>146</v>
      </c>
      <c r="B127" s="92"/>
      <c r="C127" s="160">
        <f>IF(ISNA(VLOOKUP("CHAM637100000",Balance!C:G,5,FALSE))=TRUE,0,VLOOKUP("CHAM637100000",Balance!C:G,5,FALSE))</f>
        <v>939.59</v>
      </c>
      <c r="D127" s="117">
        <f>+[2]Cham!$H127</f>
        <v>1334.4</v>
      </c>
      <c r="E127" s="160">
        <f>IF(ISNA(VLOOKUP("CHAM637100000",Balanceanp!C:G,5,FALSE))=TRUE,0,VLOOKUP("CHAM637100000",Balanceanp!C:G,5,FALSE))</f>
        <v>1142.0999999999999</v>
      </c>
      <c r="F127" s="368">
        <f>+C127+C127/9*(12-Clients!$I$14)</f>
        <v>1252.7866666666666</v>
      </c>
      <c r="G127" s="396">
        <f>+G51*0.16%</f>
        <v>1286.432</v>
      </c>
      <c r="H127" s="409"/>
      <c r="I127" s="149">
        <f t="shared" si="10"/>
        <v>9.6915039547033302E-2</v>
      </c>
      <c r="J127" s="271">
        <f t="shared" si="10"/>
        <v>2.6856394810502494E-2</v>
      </c>
      <c r="L127" s="443"/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444"/>
    </row>
    <row r="129" spans="1:12" s="33" customFormat="1" ht="15" customHeight="1">
      <c r="A129" s="13" t="s">
        <v>147</v>
      </c>
      <c r="B129" s="93">
        <f>+C129/$C$21</f>
        <v>1.6171686929961904E-2</v>
      </c>
      <c r="C129" s="163">
        <f>SUM(C117:C128)</f>
        <v>8630.6</v>
      </c>
      <c r="D129" s="118">
        <f>SUM(D117:D128)</f>
        <v>11843.688240000001</v>
      </c>
      <c r="E129" s="163">
        <f>SUM(E117:E128)</f>
        <v>11403.53</v>
      </c>
      <c r="F129" s="136">
        <f>SUM(F117:F128)</f>
        <v>7207.7766666666676</v>
      </c>
      <c r="G129" s="136">
        <f>SUM(G117:G128)</f>
        <v>7425.1319999999996</v>
      </c>
      <c r="H129" s="421">
        <f>+G129/$G$21</f>
        <v>9.1103678437338964E-3</v>
      </c>
      <c r="I129" s="272">
        <f>+IF((E129)=0,,(F129-E129)/E129)</f>
        <v>-0.36793460738326927</v>
      </c>
      <c r="J129" s="188">
        <f>+IF((F129)=0,,(G129-F129)/F129)</f>
        <v>3.015566982513776E-2</v>
      </c>
      <c r="L129" s="445"/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444"/>
    </row>
    <row r="131" spans="1:12">
      <c r="A131" s="5" t="s">
        <v>148</v>
      </c>
      <c r="B131" s="92"/>
      <c r="C131" s="160">
        <f>IF(ISNA(VLOOKUP("CHAM641100000",Balance!C:G,5,FALSE))=TRUE,0,VLOOKUP("CHAM641100000",Balance!C:G,5,FALSE))</f>
        <v>59164.28</v>
      </c>
      <c r="D131" s="117">
        <f>+[2]Cham!$H131</f>
        <v>82000</v>
      </c>
      <c r="E131" s="160">
        <f>IF(ISNA(VLOOKUP("CHAM641100000",Balanceanp!C:G,5,FALSE))=TRUE,0,VLOOKUP("CHAM641100000",Balanceanp!C:G,5,FALSE))</f>
        <v>96341.83</v>
      </c>
      <c r="F131" s="368">
        <v>81000</v>
      </c>
      <c r="G131" s="570">
        <v>85000</v>
      </c>
      <c r="H131" s="401"/>
      <c r="I131" s="149">
        <f t="shared" ref="I131:J146" si="11">+IF((E131)=0,,(F131-E131)/E131)</f>
        <v>-0.15924370546002709</v>
      </c>
      <c r="J131" s="271">
        <f t="shared" si="11"/>
        <v>4.9382716049382713E-2</v>
      </c>
      <c r="L131" s="443"/>
    </row>
    <row r="132" spans="1:12">
      <c r="A132" s="5" t="s">
        <v>149</v>
      </c>
      <c r="B132" s="92"/>
      <c r="C132" s="160">
        <f>IF(ISNA(VLOOKUP("CHAM641110000",Balance!C:G,5,FALSE))=TRUE,0,VLOOKUP("CHAM641110000",Balance!C:G,5,FALSE))</f>
        <v>-300</v>
      </c>
      <c r="D132" s="117">
        <f>+[2]Cham!$H132</f>
        <v>0</v>
      </c>
      <c r="E132" s="160">
        <f>IF(ISNA(VLOOKUP("CHAM641110000",Balanceanp!C:G,5,FALSE))=TRUE,0,VLOOKUP("CHAM641110000",Balanceanp!C:G,5,FALSE))</f>
        <v>100</v>
      </c>
      <c r="F132" s="368">
        <f>+C132+C132/9*(12-Clients!$I$14)</f>
        <v>-400</v>
      </c>
      <c r="G132" s="570">
        <v>0</v>
      </c>
      <c r="H132" s="401"/>
      <c r="I132" s="149">
        <f t="shared" si="11"/>
        <v>-5</v>
      </c>
      <c r="J132" s="271">
        <f t="shared" si="11"/>
        <v>-1</v>
      </c>
      <c r="L132" s="443"/>
    </row>
    <row r="133" spans="1:12">
      <c r="A133" s="5" t="s">
        <v>150</v>
      </c>
      <c r="B133" s="92"/>
      <c r="C133" s="160">
        <f>IF(ISNA(VLOOKUP("CHAM641111000",Balance!C:G,5,FALSE))=TRUE,0,VLOOKUP("CHAM641111000",Balance!C:G,5,FALSE))</f>
        <v>0</v>
      </c>
      <c r="D133" s="117">
        <f>+[2]Cham!$H133</f>
        <v>0</v>
      </c>
      <c r="E133" s="160">
        <f>IF(ISNA(VLOOKUP("CHAM641111000",Balanceanp!C:G,5,FALSE))=TRUE,0,VLOOKUP("CHAM641111000",Balanceanp!C:G,5,FALSE))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s="443"/>
    </row>
    <row r="134" spans="1:12">
      <c r="A134" s="5" t="s">
        <v>151</v>
      </c>
      <c r="B134" s="92"/>
      <c r="C134" s="160">
        <f>IF(ISNA(VLOOKUP("CHAM641200000",Balance!C:G,5,FALSE))=TRUE,0,VLOOKUP("CHAM641200000",Balance!C:G,5,FALSE))</f>
        <v>0</v>
      </c>
      <c r="D134" s="117">
        <f>+[2]Cham!$H134</f>
        <v>0</v>
      </c>
      <c r="E134" s="160">
        <f>IF(ISNA(VLOOKUP("CHAM641200000",Balanceanp!C:G,5,FALSE))=TRUE,0,VLOOKUP("CHAM641200000",Balanceanp!C:G,5,FALSE))</f>
        <v>-4671.25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s="443"/>
    </row>
    <row r="135" spans="1:12">
      <c r="A135" s="5" t="s">
        <v>114</v>
      </c>
      <c r="B135" s="92"/>
      <c r="C135" s="160">
        <f>IF(ISNA(VLOOKUP("CHAM621100000",Balance!C:G,5,FALSE))=TRUE,0,VLOOKUP("CHAM621100000",Balance!C:G,5,FALSE))</f>
        <v>1798.24</v>
      </c>
      <c r="D135" s="117">
        <f>+[2]Cham!$H135</f>
        <v>0</v>
      </c>
      <c r="E135" s="160">
        <f>IF(ISNA(VLOOKUP("CHAM621100000",Balanceanp!C:G,5,FALSE))=TRUE,0,VLOOKUP("CHAM621100000",Balanceanp!C:G,5,FALSE))</f>
        <v>1186.56</v>
      </c>
      <c r="F135" s="368">
        <f>+C135+C135/9*(12-Clients!$I$14)</f>
        <v>2397.6533333333332</v>
      </c>
      <c r="G135" s="570">
        <v>0</v>
      </c>
      <c r="H135" s="401"/>
      <c r="I135" s="149">
        <f t="shared" si="11"/>
        <v>1.0206760158216468</v>
      </c>
      <c r="J135" s="271">
        <f t="shared" si="11"/>
        <v>-1</v>
      </c>
      <c r="L135" s="443"/>
    </row>
    <row r="136" spans="1:12">
      <c r="A136" s="5" t="s">
        <v>338</v>
      </c>
      <c r="B136" s="92"/>
      <c r="C136" s="160">
        <f>IF(ISNA(VLOOKUP("CHAM621200000",Balance!C:G,5,FALSE))=TRUE,0,VLOOKUP("CHAM621200000",Balance!C:G,5,FALSE))</f>
        <v>0</v>
      </c>
      <c r="D136" s="117">
        <f>+[2]Cham!$H136</f>
        <v>0</v>
      </c>
      <c r="E136" s="160">
        <f>IF(ISNA(VLOOKUP("CHAM621200000",Balanceanp!C:G,5,FALSE))=TRUE,0,VLOOKUP("CHAM621200000",Balanceanp!C:G,5,FALSE))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s="443"/>
    </row>
    <row r="137" spans="1:12">
      <c r="A137" s="5" t="s">
        <v>87</v>
      </c>
      <c r="B137" s="92"/>
      <c r="C137" s="160">
        <f>IF(ISNA(VLOOKUP("CHAM706100000",Balance!C:G,5,FALSE))=TRUE,0,-VLOOKUP("CHAM706100000",Balance!C:G,5,FALSE))</f>
        <v>0</v>
      </c>
      <c r="D137" s="117">
        <f>+[2]Cham!$H137</f>
        <v>0</v>
      </c>
      <c r="E137" s="160">
        <f>IF(ISNA(VLOOKUP("CHAM706100000",Balanceanp!C:G,5,FALSE))=TRUE,0,-VLOOKUP("CHAM706100000",Balanceanp!C:G,5,FALSE))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s="443"/>
    </row>
    <row r="138" spans="1:12">
      <c r="A138" s="5" t="s">
        <v>152</v>
      </c>
      <c r="B138" s="92"/>
      <c r="C138" s="160">
        <f>IF(ISNA(VLOOKUP("CHAM641210000",Balance!C:G,5,FALSE))=TRUE,0,VLOOKUP("CHAM641210000",Balance!C:G,5,FALSE))</f>
        <v>0</v>
      </c>
      <c r="D138" s="117">
        <f>+[2]Cham!$H138</f>
        <v>0</v>
      </c>
      <c r="E138" s="160">
        <f>IF(ISNA(VLOOKUP("CHAM641210000",Balanceanp!C:G,5,FALSE))=TRUE,0,VLOOKUP("CHAM641210000",Balanceanp!C:G,5,FALSE))</f>
        <v>-1865.5499999999997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s="443"/>
    </row>
    <row r="139" spans="1:12">
      <c r="A139" s="5" t="s">
        <v>153</v>
      </c>
      <c r="B139" s="92"/>
      <c r="C139" s="160">
        <f>IF(ISNA(VLOOKUP("CHAM641400000",Balance!C:G,5,FALSE))=TRUE,0,VLOOKUP("CHAM641400000",Balance!C:G,5,FALSE))</f>
        <v>0</v>
      </c>
      <c r="D139" s="117">
        <f>+[2]Cham!$H139</f>
        <v>0</v>
      </c>
      <c r="E139" s="160">
        <f>IF(ISNA(VLOOKUP("CHAM641400000",Balanceanp!C:G,5,FALSE))=TRUE,0,VLOOKUP("CHAM641400000",Balanceanp!C:G,5,FALSE))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s="443"/>
    </row>
    <row r="140" spans="1:12">
      <c r="A140" s="5" t="s">
        <v>154</v>
      </c>
      <c r="B140" s="92"/>
      <c r="C140" s="160">
        <f>IF(ISNA(VLOOKUP("CHAM641600000",Balance!C:G,5,FALSE))=TRUE,0,VLOOKUP("CHAM641600000",Balance!C:G,5,FALSE))</f>
        <v>0</v>
      </c>
      <c r="D140" s="117">
        <f>+[2]Cham!$H140</f>
        <v>0</v>
      </c>
      <c r="E140" s="160">
        <f>IF(ISNA(VLOOKUP("CHAM641600000",Balanceanp!C:G,5,FALSE))=TRUE,0,VLOOKUP("CHAM641600000",Balanceanp!C:G,5,FALSE))</f>
        <v>7000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-1</v>
      </c>
      <c r="J140" s="271">
        <f t="shared" si="11"/>
        <v>0</v>
      </c>
      <c r="L140" s="443"/>
    </row>
    <row r="141" spans="1:12">
      <c r="A141" s="5" t="s">
        <v>155</v>
      </c>
      <c r="B141" s="92"/>
      <c r="C141" s="160">
        <f>IF(ISNA(VLOOKUP("CHAM645100000",Balance!C:G,5,FALSE))=TRUE,0,VLOOKUP("CHAM645100000",Balance!C:G,5,FALSE))</f>
        <v>19038.11</v>
      </c>
      <c r="D141" s="117">
        <f>+[2]Cham!$H141</f>
        <v>30616.935551967719</v>
      </c>
      <c r="E141" s="160">
        <f>IF(ISNA(VLOOKUP("CHAM645100000",Balanceanp!C:G,5,FALSE))=TRUE,0,VLOOKUP("CHAM645100000",Balanceanp!C:G,5,FALSE))</f>
        <v>35465.17</v>
      </c>
      <c r="F141" s="368">
        <f>+C141+C141/9*(12-Clients!$I$14)</f>
        <v>25384.146666666667</v>
      </c>
      <c r="G141" s="396">
        <f t="shared" ref="G141:G146" si="13">+($G$131/$C$131*C141)*1.01</f>
        <v>27625.143811434871</v>
      </c>
      <c r="H141" s="409"/>
      <c r="I141" s="149">
        <f t="shared" si="11"/>
        <v>-0.28425137489354574</v>
      </c>
      <c r="J141" s="271">
        <f t="shared" si="11"/>
        <v>8.8283335823574546E-2</v>
      </c>
      <c r="L141" s="443"/>
    </row>
    <row r="142" spans="1:12">
      <c r="A142" s="5" t="s">
        <v>156</v>
      </c>
      <c r="B142" s="92"/>
      <c r="C142" s="160">
        <f>IF(ISNA(VLOOKUP("CHAM645200000",Balance!C:G,5,FALSE))=TRUE,0,VLOOKUP("CHAM645200000",Balance!C:G,5,FALSE))</f>
        <v>1152</v>
      </c>
      <c r="D142" s="117">
        <f>+[2]Cham!$H142</f>
        <v>2513.8407253139462</v>
      </c>
      <c r="E142" s="160">
        <f>IF(ISNA(VLOOKUP("CHAM645200000",Balanceanp!C:G,5,FALSE))=TRUE,0,VLOOKUP("CHAM645200000",Balanceanp!C:G,5,FALSE))</f>
        <v>3612.0099999999998</v>
      </c>
      <c r="F142" s="368">
        <f>+C142+C142/9*(12-Clients!$I$14)</f>
        <v>1536</v>
      </c>
      <c r="G142" s="396">
        <f t="shared" si="13"/>
        <v>1671.6032038250105</v>
      </c>
      <c r="H142" s="409"/>
      <c r="I142" s="149">
        <f t="shared" si="11"/>
        <v>-0.57475200788480652</v>
      </c>
      <c r="J142" s="271">
        <f t="shared" si="11"/>
        <v>8.8283335823574546E-2</v>
      </c>
      <c r="L142" s="443"/>
    </row>
    <row r="143" spans="1:12">
      <c r="A143" s="5" t="s">
        <v>157</v>
      </c>
      <c r="B143" s="92"/>
      <c r="C143" s="160">
        <f>IF(ISNA(VLOOKUP("CHAM645300000",Balance!C:G,5,FALSE))=TRUE,0,VLOOKUP("CHAM645300000",Balance!C:G,5,FALSE))</f>
        <v>3485.67</v>
      </c>
      <c r="D143" s="117">
        <f>+[2]Cham!$H143</f>
        <v>4826.8515864406909</v>
      </c>
      <c r="E143" s="160">
        <f>IF(ISNA(VLOOKUP("CHAM645300000",Balanceanp!C:G,5,FALSE))=TRUE,0,VLOOKUP("CHAM645300000",Balanceanp!C:G,5,FALSE))</f>
        <v>5597.28</v>
      </c>
      <c r="F143" s="368">
        <f>+C143+C143/9*(12-Clients!$I$14)</f>
        <v>4647.5600000000004</v>
      </c>
      <c r="G143" s="396">
        <f t="shared" si="13"/>
        <v>5057.8621002402124</v>
      </c>
      <c r="H143" s="409"/>
      <c r="I143" s="149">
        <f t="shared" si="11"/>
        <v>-0.1696752708458393</v>
      </c>
      <c r="J143" s="271">
        <f t="shared" si="11"/>
        <v>8.8283335823574505E-2</v>
      </c>
      <c r="L143" s="443"/>
    </row>
    <row r="144" spans="1:12">
      <c r="A144" s="5" t="s">
        <v>326</v>
      </c>
      <c r="B144" s="92"/>
      <c r="C144" s="160">
        <f>IF(ISNA(VLOOKUP("CHAM645310000",Balance!C:G,5,FALSE))=TRUE,0,VLOOKUP("CHAM645310000",Balance!C:G,5,FALSE))</f>
        <v>0</v>
      </c>
      <c r="D144" s="117">
        <f>+[2]Cham!$H144</f>
        <v>0</v>
      </c>
      <c r="E144" s="160">
        <f>IF(ISNA(VLOOKUP("CHAM645310000",Balanceanp!C:G,5,FALSE))=TRUE,0,VLOOKUP("CHAM645310000",Balanceanp!C:G,5,FALSE))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s="443"/>
    </row>
    <row r="145" spans="1:12">
      <c r="A145" s="5" t="s">
        <v>158</v>
      </c>
      <c r="B145" s="92"/>
      <c r="C145" s="160">
        <f>IF(ISNA(VLOOKUP("CHAM645400000",Balance!C:G,5,FALSE))=TRUE,0,VLOOKUP("CHAM645400000",Balance!C:G,5,FALSE))</f>
        <v>2391.02</v>
      </c>
      <c r="D145" s="117">
        <f>+[2]Cham!$H145</f>
        <v>3211.1143421716661</v>
      </c>
      <c r="E145" s="160">
        <f>IF(ISNA(VLOOKUP("CHAM645400000",Balanceanp!C:G,5,FALSE))=TRUE,0,VLOOKUP("CHAM645400000",Balanceanp!C:G,5,FALSE))</f>
        <v>3779.6600000000003</v>
      </c>
      <c r="F145" s="368">
        <f>+C145+C145/9*(12-Clients!$I$14)</f>
        <v>3188.0266666666666</v>
      </c>
      <c r="G145" s="396">
        <f t="shared" si="13"/>
        <v>3469.4762954945113</v>
      </c>
      <c r="H145" s="409"/>
      <c r="I145" s="149">
        <f t="shared" si="11"/>
        <v>-0.15653083434312443</v>
      </c>
      <c r="J145" s="271">
        <f t="shared" si="11"/>
        <v>8.8283335823574671E-2</v>
      </c>
      <c r="L145" s="443"/>
    </row>
    <row r="146" spans="1:12">
      <c r="A146" s="5" t="s">
        <v>159</v>
      </c>
      <c r="B146" s="92"/>
      <c r="C146" s="160">
        <f>IF(ISNA(VLOOKUP("CHAM645800000",Balance!C:G,5,FALSE))=TRUE,0,VLOOKUP("CHAM645800000",Balance!C:G,5,FALSE))</f>
        <v>0</v>
      </c>
      <c r="D146" s="117">
        <f>+[2]Cham!$H146</f>
        <v>0</v>
      </c>
      <c r="E146" s="160">
        <f>IF(ISNA(VLOOKUP("CHAM645800000",Balanceanp!C:G,5,FALSE))=TRUE,0,VLOOKUP("CHAM645800000",Balanceanp!C:G,5,FALSE))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s="443"/>
    </row>
    <row r="147" spans="1:12">
      <c r="A147" s="5" t="s">
        <v>160</v>
      </c>
      <c r="B147" s="92"/>
      <c r="C147" s="160">
        <f>IF(ISNA(VLOOKUP("CHAM645900000",Balance!C:G,5,FALSE))=TRUE,0,VLOOKUP("CHAM645900000",Balance!C:G,5,FALSE))</f>
        <v>166.2</v>
      </c>
      <c r="D147" s="117">
        <f>+[2]Cham!$H147</f>
        <v>448.11852499874999</v>
      </c>
      <c r="E147" s="160">
        <f>IF(ISNA(VLOOKUP("CHAM645900000",Balanceanp!C:G,5,FALSE))=TRUE,0,VLOOKUP("CHAM645900000",Balanceanp!C:G,5,FALSE))</f>
        <v>37.82</v>
      </c>
      <c r="F147" s="368">
        <f>+C147+C147/9*(12-Clients!$I$14)</f>
        <v>221.59999999999997</v>
      </c>
      <c r="G147" s="396">
        <f>+F147*1.03</f>
        <v>228.24799999999996</v>
      </c>
      <c r="H147" s="409"/>
      <c r="I147" s="149">
        <f t="shared" ref="I147:J152" si="14">+IF((E147)=0,,(F147-E147)/E147)</f>
        <v>4.8593336858804861</v>
      </c>
      <c r="J147" s="271">
        <f t="shared" si="14"/>
        <v>2.9999999999999988E-2</v>
      </c>
      <c r="L147" s="443"/>
    </row>
    <row r="148" spans="1:12">
      <c r="A148" s="5" t="s">
        <v>161</v>
      </c>
      <c r="B148" s="92"/>
      <c r="C148" s="160">
        <f>IF(ISNA(VLOOKUP("CHAM647100000",Balance!C:G,5,FALSE))=TRUE,0,VLOOKUP("CHAM647100000",Balance!C:G,5,FALSE))</f>
        <v>0</v>
      </c>
      <c r="D148" s="117">
        <f>+[2]Cham!$H148</f>
        <v>40.648383500000001</v>
      </c>
      <c r="E148" s="160">
        <f>IF(ISNA(VLOOKUP("CHAM647100000",Balanceanp!C:G,5,FALSE))=TRUE,0,VLOOKUP("CHAM647100000",Balanceanp!C:G,5,FALSE))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s="443"/>
    </row>
    <row r="149" spans="1:12">
      <c r="A149" s="5" t="s">
        <v>162</v>
      </c>
      <c r="B149" s="92"/>
      <c r="C149" s="160">
        <f>IF(ISNA(VLOOKUP("CHAM647400000",Balance!C:G,5,FALSE))=TRUE,0,VLOOKUP("CHAM647400000",Balance!C:G,5,FALSE))</f>
        <v>0</v>
      </c>
      <c r="D149" s="117">
        <f>+[2]Cham!$H149</f>
        <v>94.595148500000008</v>
      </c>
      <c r="E149" s="160">
        <f>IF(ISNA(VLOOKUP("CHAM647400000",Balanceanp!C:G,5,FALSE))=TRUE,0,VLOOKUP("CHAM647400000",Balanceanp!C:G,5,FALSE))</f>
        <v>194.35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s="443"/>
    </row>
    <row r="150" spans="1:12">
      <c r="A150" s="5" t="s">
        <v>163</v>
      </c>
      <c r="B150" s="92"/>
      <c r="C150" s="160">
        <f>IF(ISNA(VLOOKUP("CHAM647500000",Balance!C:G,5,FALSE))=TRUE,0,VLOOKUP("CHAM647500000",Balance!C:G,5,FALSE))</f>
        <v>252</v>
      </c>
      <c r="D150" s="117">
        <f>+[2]Cham!$H150</f>
        <v>470.82173783333332</v>
      </c>
      <c r="E150" s="160">
        <f>IF(ISNA(VLOOKUP("CHAM647500000",Balanceanp!C:G,5,FALSE))=TRUE,0,VLOOKUP("CHAM647500000",Balanceanp!C:G,5,FALSE))</f>
        <v>362</v>
      </c>
      <c r="F150" s="368">
        <f>+C150+C150/9*(12-Clients!$I$14)</f>
        <v>336</v>
      </c>
      <c r="G150" s="396">
        <f>+F150*1.03</f>
        <v>346.08</v>
      </c>
      <c r="H150" s="409"/>
      <c r="I150" s="149">
        <f t="shared" si="14"/>
        <v>-7.18232044198895E-2</v>
      </c>
      <c r="J150" s="271">
        <f t="shared" si="14"/>
        <v>2.9999999999999954E-2</v>
      </c>
      <c r="L150" s="443"/>
    </row>
    <row r="151" spans="1:12">
      <c r="A151" s="5" t="s">
        <v>570</v>
      </c>
      <c r="B151" s="92"/>
      <c r="C151" s="160"/>
      <c r="D151" s="117">
        <f>+[2]Cham!$H151</f>
        <v>0</v>
      </c>
      <c r="E151" s="160"/>
      <c r="F151" s="368"/>
      <c r="G151" s="395"/>
      <c r="H151" s="409"/>
      <c r="I151" s="149"/>
      <c r="J151" s="271"/>
      <c r="L151" s="443"/>
    </row>
    <row r="152" spans="1:12">
      <c r="A152" s="5" t="s">
        <v>58</v>
      </c>
      <c r="B152" s="92"/>
      <c r="C152" s="160">
        <f>IF(ISNA(VLOOKUP("CHAM648000000",Balance!C:G,5,FALSE))=TRUE,0,VLOOKUP("CHAM648000000",Balance!C:G,5,FALSE))</f>
        <v>0</v>
      </c>
      <c r="D152" s="117">
        <f>+[2]Cham!$H152</f>
        <v>325.56239999999997</v>
      </c>
      <c r="E152" s="160">
        <f>IF(ISNA(VLOOKUP("CHAM648000000",Balanceanp!C:G,5,FALSE))=TRUE,0,VLOOKUP("CHAM648000000",Balanceanp!C:G,5,FALSE))</f>
        <v>1007.7840000000001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s="443"/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443"/>
    </row>
    <row r="154" spans="1:12" s="33" customFormat="1" ht="15" customHeight="1">
      <c r="A154" s="13" t="s">
        <v>164</v>
      </c>
      <c r="B154" s="93">
        <f>+C154/$C$21</f>
        <v>0.163293677167589</v>
      </c>
      <c r="C154" s="163">
        <f>SUM(C130:C153)</f>
        <v>87147.520000000004</v>
      </c>
      <c r="D154" s="118">
        <f>SUM(D130:D153)</f>
        <v>124548.4884007261</v>
      </c>
      <c r="E154" s="163">
        <f>SUM(E130:E153)</f>
        <v>148187.26400000005</v>
      </c>
      <c r="F154" s="136">
        <f>SUM(F130:F153)</f>
        <v>118310.98666666668</v>
      </c>
      <c r="G154" s="136">
        <f>SUM(G130:G153)</f>
        <v>123398.41341099462</v>
      </c>
      <c r="H154" s="421">
        <f>+G154/$G$21</f>
        <v>0.15140538074034332</v>
      </c>
      <c r="I154" s="272">
        <f>+IF((E154)=0,,(F154-E154)/E154)</f>
        <v>-0.2016116400754478</v>
      </c>
      <c r="J154" s="188">
        <f>+IF((F154)=0,,(G154-F154)/F154)</f>
        <v>4.3000459109190127E-2</v>
      </c>
      <c r="L154" s="445"/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444"/>
    </row>
    <row r="156" spans="1:12">
      <c r="A156" s="5" t="s">
        <v>545</v>
      </c>
      <c r="B156" s="92">
        <v>0.9284</v>
      </c>
      <c r="C156" s="160">
        <f>IF(ISNA(VLOOKUP("CHAM681740000",Balance!C:G,5,FALSE))=TRUE,0,VLOOKUP("CHAM681740000",Balance!C:G,5,FALSE))</f>
        <v>3161.61</v>
      </c>
      <c r="D156" s="117">
        <f>+[2]Cham!$H156</f>
        <v>12487.57055</v>
      </c>
      <c r="E156" s="160">
        <f>IF(ISNA(VLOOKUP("CHAM681740000",Balanceanp!C:G,5,FALSE))=TRUE,0,VLOOKUP("CHAM681740000",Balanceanp!C:G,5,FALSE))</f>
        <v>5818.42</v>
      </c>
      <c r="F156" s="368">
        <f>+C156+C156/9*(12-Clients!$I$14)</f>
        <v>4215.4800000000005</v>
      </c>
      <c r="G156" s="570">
        <f>+G21*B156*1.62%</f>
        <v>12257.966001600002</v>
      </c>
      <c r="H156" s="413"/>
      <c r="I156" s="149">
        <f t="shared" ref="I156:J166" si="15">+IF((E156)=0,,(F156-E156)/E156)</f>
        <v>-0.27549403446296411</v>
      </c>
      <c r="J156" s="271">
        <f t="shared" si="15"/>
        <v>1.907845844743659</v>
      </c>
      <c r="L156" s="443"/>
    </row>
    <row r="157" spans="1:12">
      <c r="A157" s="5" t="s">
        <v>165</v>
      </c>
      <c r="B157" s="92"/>
      <c r="C157" s="160">
        <f>IF(ISNA(VLOOKUP("CHAM781740000",Balance!C:G,5,FALSE))=TRUE,0,VLOOKUP("CHAM781740000",Balance!C:G,5,FALSE))</f>
        <v>0</v>
      </c>
      <c r="D157" s="117">
        <f>+[2]Cham!$H157</f>
        <v>0</v>
      </c>
      <c r="E157" s="160">
        <f>IF(ISNA(VLOOKUP("CHAM781740000",Balanceanp!C:G,5,FALSE))=TRUE,0,VLOOKUP("CHAM781740000",Balanceanp!C:G,5,FALSE))</f>
        <v>-537.07000000000005</v>
      </c>
      <c r="F157" s="368">
        <f>+C157+C157/9*(12-Clients!$I$14)</f>
        <v>0</v>
      </c>
      <c r="G157" s="396">
        <v>0</v>
      </c>
      <c r="H157" s="409"/>
      <c r="I157" s="149">
        <f t="shared" si="15"/>
        <v>-1</v>
      </c>
      <c r="J157" s="271">
        <f t="shared" si="15"/>
        <v>0</v>
      </c>
      <c r="L157" s="443"/>
    </row>
    <row r="158" spans="1:12">
      <c r="A158" s="5" t="s">
        <v>166</v>
      </c>
      <c r="B158" s="92"/>
      <c r="C158" s="160">
        <f>IF(ISNA(VLOOKUP("CHAM654400000",Balance!C:G,5,FALSE))=TRUE,0,VLOOKUP("CHAM654400000",Balance!C:G,5,FALSE))</f>
        <v>0</v>
      </c>
      <c r="D158" s="117">
        <f>+[2]Cham!$H158</f>
        <v>0</v>
      </c>
      <c r="E158" s="160">
        <f>IF(ISNA(VLOOKUP("CHAM654400000",Balanceanp!C:G,5,FALSE))=TRUE,0,VLOOKUP("CHAM654400000",Balanceanp!C:G,5,FALSE))</f>
        <v>0</v>
      </c>
      <c r="F158" s="368">
        <f>+C158+C158/9*(12-Clients!$I$14)</f>
        <v>0</v>
      </c>
      <c r="G158" s="396">
        <v>0</v>
      </c>
      <c r="H158" s="409"/>
      <c r="I158" s="149">
        <f t="shared" si="15"/>
        <v>0</v>
      </c>
      <c r="J158" s="271">
        <f t="shared" si="15"/>
        <v>0</v>
      </c>
      <c r="L158" s="443"/>
    </row>
    <row r="159" spans="1:12">
      <c r="A159" s="5" t="s">
        <v>60</v>
      </c>
      <c r="B159" s="92"/>
      <c r="C159" s="160">
        <f>IF(ISNA(VLOOKUP("CHAM791100000",Balance!C:G,5,FALSE))=TRUE,0,VLOOKUP("CHAM791100000",Balance!C:G,5,FALSE))</f>
        <v>1698.11</v>
      </c>
      <c r="D159" s="117">
        <f>+[2]Cham!$H159</f>
        <v>0</v>
      </c>
      <c r="E159" s="160">
        <f>IF(ISNA(VLOOKUP("CHAM791100000",Balanceanp!C:G,5,FALSE))=TRUE,0,VLOOKUP("CHAM791100000",Balanceanp!C:G,5,FALSE))</f>
        <v>-4643.1400000000003</v>
      </c>
      <c r="F159" s="368">
        <f>+C159+C159/9*(12-Clients!$I$14)</f>
        <v>2264.1466666666665</v>
      </c>
      <c r="G159" s="396">
        <v>0</v>
      </c>
      <c r="H159" s="409"/>
      <c r="I159" s="149">
        <f t="shared" si="15"/>
        <v>-1.4876326508928583</v>
      </c>
      <c r="J159" s="271">
        <f t="shared" si="15"/>
        <v>-1</v>
      </c>
      <c r="L159" s="443"/>
    </row>
    <row r="160" spans="1:12">
      <c r="A160" s="5" t="s">
        <v>199</v>
      </c>
      <c r="B160" s="92"/>
      <c r="C160" s="160">
        <f>IF(ISNA(VLOOKUP("CHAM654100000",Balance!C:G,5,FALSE))=TRUE,0,VLOOKUP("CHAM654100000",Balance!C:G,5,FALSE))</f>
        <v>5.24</v>
      </c>
      <c r="D160" s="117">
        <f>+[2]Cham!$H160</f>
        <v>0</v>
      </c>
      <c r="E160" s="160">
        <f>IF(ISNA(VLOOKUP("CHAM654100000",Balanceanp!C:G,5,FALSE))=TRUE,0,VLOOKUP("CHAM654100000",Balanceanp!C:G,5,FALSE))</f>
        <v>-0.06</v>
      </c>
      <c r="F160" s="368">
        <f>+C160+C160/9*(12-Clients!$I$14)</f>
        <v>6.9866666666666664</v>
      </c>
      <c r="G160" s="396">
        <v>0</v>
      </c>
      <c r="H160" s="409"/>
      <c r="I160" s="149">
        <f t="shared" si="15"/>
        <v>-117.44444444444444</v>
      </c>
      <c r="J160" s="271">
        <f t="shared" si="15"/>
        <v>-1</v>
      </c>
      <c r="L160" s="443"/>
    </row>
    <row r="161" spans="1:12">
      <c r="A161" s="5" t="s">
        <v>41</v>
      </c>
      <c r="B161" s="92"/>
      <c r="C161" s="160">
        <f>IF(ISNA(VLOOKUP("CHAM622700000",Balance!C:G,5,FALSE))=TRUE,0,VLOOKUP("CHAM622700000",Balance!C:G,5,FALSE))</f>
        <v>101.87</v>
      </c>
      <c r="D161" s="117">
        <f>+[2]Cham!$H161</f>
        <v>230.95652707204863</v>
      </c>
      <c r="E161" s="160">
        <f>IF(ISNA(VLOOKUP("CHAM622700000",Balanceanp!C:G,5,FALSE))=TRUE,0,VLOOKUP("CHAM622700000",Balanceanp!C:G,5,FALSE))</f>
        <v>335.72</v>
      </c>
      <c r="F161" s="368">
        <f>+C161+C161/9*(12-Clients!$I$14)</f>
        <v>135.82666666666665</v>
      </c>
      <c r="G161" s="396">
        <f t="shared" ref="G161:G166" si="16">+F161*1.03</f>
        <v>139.90146666666666</v>
      </c>
      <c r="H161" s="409"/>
      <c r="I161" s="149">
        <f t="shared" si="15"/>
        <v>-0.59541681560030191</v>
      </c>
      <c r="J161" s="271">
        <f t="shared" si="15"/>
        <v>3.0000000000000079E-2</v>
      </c>
      <c r="L161" s="443"/>
    </row>
    <row r="162" spans="1:12">
      <c r="A162" s="5" t="s">
        <v>355</v>
      </c>
      <c r="B162" s="92"/>
      <c r="C162" s="160">
        <f>IF(ISNA(VLOOKUP("CHAM654200000",Balance!C:G,5,FALSE))=TRUE,0,VLOOKUP("CHAM654200000",Balance!C:G,5,FALSE))</f>
        <v>10.18</v>
      </c>
      <c r="D162" s="117">
        <f>+[2]Cham!$H162</f>
        <v>14.296855778075694</v>
      </c>
      <c r="E162" s="160">
        <f>IF(ISNA(VLOOKUP("CHAM654200000",Balanceanp!C:G,5,FALSE))=TRUE,0,VLOOKUP("CHAM654200000",Balanceanp!C:G,5,FALSE))</f>
        <v>14.36</v>
      </c>
      <c r="F162" s="368">
        <f>+C162+C162/9*(12-Clients!$I$14)</f>
        <v>13.573333333333334</v>
      </c>
      <c r="G162" s="396">
        <f t="shared" si="16"/>
        <v>13.980533333333334</v>
      </c>
      <c r="H162" s="409"/>
      <c r="I162" s="149">
        <f t="shared" si="15"/>
        <v>-5.4781801299907056E-2</v>
      </c>
      <c r="J162" s="271">
        <f t="shared" si="15"/>
        <v>2.9999999999999968E-2</v>
      </c>
      <c r="L162" s="443"/>
    </row>
    <row r="163" spans="1:12">
      <c r="A163" s="5" t="s">
        <v>200</v>
      </c>
      <c r="B163" s="92"/>
      <c r="C163" s="160">
        <f>IF(ISNA(VLOOKUP("CHAM665000000",Balance!C:G,5,FALSE))=TRUE,0,VLOOKUP("CHAM665000000",Balance!C:G,5,FALSE))+IF(ISNA(VLOOKUP("CHAM665100000",Balance!C:G,5,FALSE))=TRUE,0,VLOOKUP("CHAM665100000",Balance!C:G,5,FALSE))</f>
        <v>0</v>
      </c>
      <c r="D163" s="117">
        <f>+[2]Cham!$H163</f>
        <v>1.8433830216128473</v>
      </c>
      <c r="E163" s="160">
        <f>IF(ISNA(VLOOKUP("CHAM665000000",Balanceanp!C:G,5,FALSE))=TRUE,0,VLOOKUP("CHAM665000000",Balanceanp!C:G,5,FALSE))+IF(ISNA(VLOOKUP("CHAM665100000",Balanceanp!C:G,5,FALSE))=TRUE,0,VLOOKUP("CHAM665100000",Balanceanp!C:G,5,FALSE))</f>
        <v>0</v>
      </c>
      <c r="F163" s="368">
        <f>+C163+C163/9*(12-Clients!$I$14)</f>
        <v>0</v>
      </c>
      <c r="G163" s="396">
        <f t="shared" si="16"/>
        <v>0</v>
      </c>
      <c r="H163" s="409"/>
      <c r="I163" s="149">
        <f t="shared" si="15"/>
        <v>0</v>
      </c>
      <c r="J163" s="271">
        <f t="shared" si="15"/>
        <v>0</v>
      </c>
      <c r="L163" s="443"/>
    </row>
    <row r="164" spans="1:12">
      <c r="A164" s="5" t="s">
        <v>271</v>
      </c>
      <c r="B164" s="92"/>
      <c r="C164" s="160">
        <f>IF(ISNA(VLOOKUP("CHAM763000000",Balance!C:G,5,FALSE))=TRUE,0,VLOOKUP("CHAM763000000",Balance!C:G,5,FALSE))</f>
        <v>-9</v>
      </c>
      <c r="D164" s="117">
        <f>+[2]Cham!$H164</f>
        <v>-15.450000000000001</v>
      </c>
      <c r="E164" s="160">
        <f>IF(ISNA(VLOOKUP("CHAM763000000",Balanceanp!C:G,5,FALSE))=TRUE,0,VLOOKUP("CHAM763000000",Balanceanp!C:G,5,FALSE))</f>
        <v>-15</v>
      </c>
      <c r="F164" s="368">
        <f>+C164+C164/9*(12-Clients!$I$14)</f>
        <v>-12</v>
      </c>
      <c r="G164" s="396">
        <f t="shared" si="16"/>
        <v>-12.36</v>
      </c>
      <c r="H164" s="409"/>
      <c r="I164" s="149">
        <f t="shared" si="15"/>
        <v>-0.2</v>
      </c>
      <c r="J164" s="271">
        <f t="shared" si="15"/>
        <v>2.9999999999999954E-2</v>
      </c>
      <c r="L164" s="443"/>
    </row>
    <row r="165" spans="1:12">
      <c r="A165" s="5" t="s">
        <v>242</v>
      </c>
      <c r="B165" s="92"/>
      <c r="C165" s="160">
        <f>IF(ISNA(VLOOKUP("CHAM627520000",Balance!C:G,5,FALSE))=TRUE,0,VLOOKUP("CHAM627520000",Balance!C:G,5,FALSE))</f>
        <v>45</v>
      </c>
      <c r="D165" s="117">
        <f>+[2]Cham!$H165</f>
        <v>237.21854817081248</v>
      </c>
      <c r="E165" s="160">
        <f>IF(ISNA(VLOOKUP("CHAM627520000",Balanceanp!C:G,5,FALSE))=TRUE,0,VLOOKUP("CHAM627520000",Balanceanp!C:G,5,FALSE))</f>
        <v>204.2</v>
      </c>
      <c r="F165" s="368">
        <f>+C165+C165/9*(12-Clients!$I$14)</f>
        <v>60</v>
      </c>
      <c r="G165" s="396">
        <f t="shared" si="16"/>
        <v>61.800000000000004</v>
      </c>
      <c r="H165" s="409"/>
      <c r="I165" s="149">
        <f t="shared" si="15"/>
        <v>-0.7061704211557297</v>
      </c>
      <c r="J165" s="271">
        <f t="shared" si="15"/>
        <v>3.0000000000000072E-2</v>
      </c>
      <c r="L165" s="443"/>
    </row>
    <row r="166" spans="1:12">
      <c r="A166" s="5" t="s">
        <v>201</v>
      </c>
      <c r="B166" s="92"/>
      <c r="C166" s="160">
        <f>IF(ISNA(VLOOKUP("CHAM763100000",Balance!C:G,5,FALSE))=TRUE,0,VLOOKUP("CHAM763100000",Balance!C:G,5,FALSE))</f>
        <v>0</v>
      </c>
      <c r="D166" s="117">
        <f>+[2]Cham!$H166</f>
        <v>0</v>
      </c>
      <c r="E166" s="160">
        <f>IF(ISNA(VLOOKUP("CHAM763100000",Balanceanp!C:G,5,FALSE))=TRUE,0,VLOOKUP("CHAM763100000",Balanceanp!C:G,5,FALSE))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s="443"/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444"/>
    </row>
    <row r="168" spans="1:12" s="33" customFormat="1" ht="15" customHeight="1">
      <c r="A168" s="13" t="s">
        <v>74</v>
      </c>
      <c r="B168" s="93">
        <f>+C168/$C$21</f>
        <v>9.3931856761717992E-3</v>
      </c>
      <c r="C168" s="163">
        <f>SUM(C155:C167)</f>
        <v>5013.01</v>
      </c>
      <c r="D168" s="118">
        <f>SUM(D155:D167)</f>
        <v>12956.435864042549</v>
      </c>
      <c r="E168" s="163">
        <f>SUM(E155:E167)</f>
        <v>1177.43</v>
      </c>
      <c r="F168" s="136">
        <f>SUM(F155:F167)</f>
        <v>6684.0133333333342</v>
      </c>
      <c r="G168" s="136">
        <f>SUM(G155:G167)</f>
        <v>12461.2880016</v>
      </c>
      <c r="H168" s="421">
        <f>+G168/$G$21</f>
        <v>1.5289548724693873E-2</v>
      </c>
      <c r="I168" s="272">
        <f>+IF((E168)=0,,(F168-E168)/E168)</f>
        <v>4.6767819176794658</v>
      </c>
      <c r="J168" s="188">
        <f>+IF((F168)=0,,(G168-F168)/F168)</f>
        <v>0.86434218188274081</v>
      </c>
      <c r="L168" s="445"/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444"/>
    </row>
    <row r="170" spans="1:12">
      <c r="A170" s="5" t="s">
        <v>167</v>
      </c>
      <c r="B170" s="92"/>
      <c r="C170" s="160">
        <f>IF(ISNA(VLOOKUP("CHAM651100000",Balance!C:G,5,FALSE))=TRUE,0,VLOOKUP("CHAM651100000",Balance!C:G,5,FALSE))</f>
        <v>0</v>
      </c>
      <c r="D170" s="117">
        <f>+[2]Cham!$H170</f>
        <v>0</v>
      </c>
      <c r="E170" s="160">
        <f>IF(ISNA(VLOOKUP("CHAM651100000",Balanceanp!C:G,5,FALSE))=TRUE,0,VLOOKUP("CHAM651100000",Balanceanp!C:G,5,FALSE))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s="443"/>
    </row>
    <row r="171" spans="1:12">
      <c r="A171" s="5" t="s">
        <v>168</v>
      </c>
      <c r="B171" s="92"/>
      <c r="C171" s="160">
        <f>IF(ISNA(VLOOKUP("CHAM651600000",Balance!C:G,5,FALSE))=TRUE,0,VLOOKUP("CHAM651600000",Balance!C:G,5,FALSE))</f>
        <v>0</v>
      </c>
      <c r="D171" s="117">
        <f>+[2]Cham!$H171</f>
        <v>0</v>
      </c>
      <c r="E171" s="160">
        <f>IF(ISNA(VLOOKUP("CHAM651600000",Balanceanp!C:G,5,FALSE))=TRUE,0,VLOOKUP("CHAM651600000",Balanceanp!C:G,5,FALSE))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s="443"/>
    </row>
    <row r="172" spans="1:12">
      <c r="A172" s="5" t="s">
        <v>169</v>
      </c>
      <c r="B172" s="92"/>
      <c r="C172" s="160">
        <f>IF(ISNA(VLOOKUP("CHAM671200000",Balance!C:G,5,FALSE))=TRUE,0,VLOOKUP("CHAM671200000",Balance!C:G,5,FALSE))</f>
        <v>0</v>
      </c>
      <c r="D172" s="117">
        <f>+[2]Cham!$H172</f>
        <v>0</v>
      </c>
      <c r="E172" s="160">
        <f>IF(ISNA(VLOOKUP("CHAM671200000",Balanceanp!C:G,5,FALSE))=TRUE,0,VLOOKUP("CHAM671200000",Balanceanp!C:G,5,FALSE))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s="443"/>
    </row>
    <row r="173" spans="1:12">
      <c r="A173" s="5" t="s">
        <v>170</v>
      </c>
      <c r="B173" s="92"/>
      <c r="C173" s="160">
        <f>IF(ISNA(VLOOKUP("CHAM671800000",Balance!C:G,5,FALSE))=TRUE,0,VLOOKUP("CHAM671800000",Balance!C:G,5,FALSE))</f>
        <v>15.01</v>
      </c>
      <c r="D173" s="117">
        <f>+[2]Cham!$H173</f>
        <v>0</v>
      </c>
      <c r="E173" s="160">
        <f>IF(ISNA(VLOOKUP("CHAM671800000",Balanceanp!C:G,5,FALSE))=TRUE,0,VLOOKUP("CHAM671800000",Balanceanp!C:G,5,FALSE))</f>
        <v>0</v>
      </c>
      <c r="F173" s="368">
        <f>+C173+C173/9*(12-Clients!$I$14)</f>
        <v>20.013333333333335</v>
      </c>
      <c r="G173" s="396">
        <f t="shared" si="17"/>
        <v>20.613733333333336</v>
      </c>
      <c r="H173" s="409"/>
      <c r="I173" s="149">
        <f t="shared" si="18"/>
        <v>0</v>
      </c>
      <c r="J173" s="271">
        <f t="shared" si="18"/>
        <v>3.000000000000002E-2</v>
      </c>
      <c r="L173" s="443"/>
    </row>
    <row r="174" spans="1:12">
      <c r="A174" s="5" t="s">
        <v>171</v>
      </c>
      <c r="B174" s="92"/>
      <c r="C174" s="160">
        <f>IF(ISNA(VLOOKUP("CHAM672000000",Balance!C:G,5,FALSE))=TRUE,0,VLOOKUP("CHAM672000000",Balance!C:G,5,FALSE))</f>
        <v>0</v>
      </c>
      <c r="D174" s="117">
        <f>+[2]Cham!$H174</f>
        <v>0</v>
      </c>
      <c r="E174" s="160">
        <f>IF(ISNA(VLOOKUP("CHAM672000000",Balanceanp!C:G,5,FALSE))=TRUE,0,VLOOKUP("CHAM672000000",Balanceanp!C:G,5,FALSE))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s="443"/>
    </row>
    <row r="175" spans="1:12">
      <c r="A175" s="5" t="s">
        <v>308</v>
      </c>
      <c r="B175" s="92"/>
      <c r="C175" s="160">
        <f>IF(ISNA(VLOOKUP("CHAM691100000",Balance!C:G,5,FALSE))=TRUE,0,VLOOKUP("CHAM691100000",Balance!C:G,5,FALSE))</f>
        <v>0</v>
      </c>
      <c r="D175" s="117">
        <f>+[2]Cham!$H175</f>
        <v>0</v>
      </c>
      <c r="E175" s="160">
        <f>IF(ISNA(VLOOKUP("CHAM691100000",Balanceanp!C:G,5,FALSE))=TRUE,0,VLOOKUP("CHAM691100000",Balanceanp!C:G,5,FALSE))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s="443"/>
    </row>
    <row r="176" spans="1:12">
      <c r="A176" s="5" t="s">
        <v>172</v>
      </c>
      <c r="B176" s="92"/>
      <c r="C176" s="160">
        <f>IF(ISNA(VLOOKUP("CHAM675100000",Balance!C:G,5,FALSE))=TRUE,0,VLOOKUP("CHAM675100000",Balance!C:G,5,FALSE))</f>
        <v>0</v>
      </c>
      <c r="D176" s="117">
        <f>+[2]Cham!$H176</f>
        <v>0</v>
      </c>
      <c r="E176" s="160">
        <f>IF(ISNA(VLOOKUP("CHAM675100000",Balanceanp!C:G,5,FALSE))=TRUE,0,VLOOKUP("CHAM675100000",Balanceanp!C:G,5,FALSE))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s="443"/>
    </row>
    <row r="177" spans="1:12">
      <c r="A177" s="5" t="s">
        <v>173</v>
      </c>
      <c r="B177" s="92"/>
      <c r="C177" s="160">
        <f>IF(ISNA(VLOOKUP("CHAM675200000",Balance!C:G,5,FALSE))=TRUE,0,VLOOKUP("CHAM675200000",Balance!C:G,5,FALSE))</f>
        <v>0</v>
      </c>
      <c r="D177" s="117">
        <f>+[2]Cham!$H177</f>
        <v>0</v>
      </c>
      <c r="E177" s="160">
        <f>IF(ISNA(VLOOKUP("CHAM675200000",Balanceanp!C:G,5,FALSE))=TRUE,0,VLOOKUP("CHAM675200000",Balanceanp!C:G,5,FALSE))</f>
        <v>14248.81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-1</v>
      </c>
      <c r="J177" s="271">
        <f t="shared" si="18"/>
        <v>0</v>
      </c>
      <c r="L177" s="443"/>
    </row>
    <row r="178" spans="1:12">
      <c r="A178" s="5" t="s">
        <v>174</v>
      </c>
      <c r="B178" s="92"/>
      <c r="C178" s="160">
        <f>IF(ISNA(VLOOKUP("CHAM681110000",Balance!C:G,5,FALSE))=TRUE,0,VLOOKUP("CHAM681110000",Balance!C:G,5,FALSE))</f>
        <v>0</v>
      </c>
      <c r="D178" s="117">
        <f>+[2]Cham!$H178</f>
        <v>0</v>
      </c>
      <c r="E178" s="160">
        <f>IF(ISNA(VLOOKUP("CHAM681110000",Balanceanp!C:G,5,FALSE))=TRUE,0,VLOOKUP("CHAM681110000",Balanceanp!C:G,5,FALSE))</f>
        <v>538.33000000000004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-1</v>
      </c>
      <c r="J178" s="271">
        <f t="shared" si="18"/>
        <v>0</v>
      </c>
      <c r="L178" s="443"/>
    </row>
    <row r="179" spans="1:12">
      <c r="A179" s="5" t="s">
        <v>175</v>
      </c>
      <c r="B179" s="92"/>
      <c r="C179" s="160">
        <f>IF(ISNA(VLOOKUP("CHAM681120000",Balance!C:G,5,FALSE))=TRUE,0,VLOOKUP("CHAM681120000",Balance!C:G,5,FALSE))</f>
        <v>7724.97</v>
      </c>
      <c r="D179" s="117">
        <f>+[2]Cham!$H179</f>
        <v>10300</v>
      </c>
      <c r="E179" s="160">
        <f>IF(ISNA(VLOOKUP("CHAM681120000",Balanceanp!C:G,5,FALSE))=TRUE,0,VLOOKUP("CHAM681120000",Balanceanp!C:G,5,FALSE))</f>
        <v>13303.26</v>
      </c>
      <c r="F179" s="425">
        <v>7804.95</v>
      </c>
      <c r="G179" s="570">
        <f>6743.04+500+G255/10</f>
        <v>7543.04</v>
      </c>
      <c r="H179" s="413"/>
      <c r="I179" s="149">
        <f t="shared" si="18"/>
        <v>-0.41330546046608124</v>
      </c>
      <c r="J179" s="271">
        <f t="shared" si="18"/>
        <v>-3.3556909397241479E-2</v>
      </c>
      <c r="L179" s="443"/>
    </row>
    <row r="180" spans="1:12">
      <c r="A180" s="5" t="s">
        <v>78</v>
      </c>
      <c r="B180" s="92"/>
      <c r="C180" s="160">
        <f>IF(ISNA(VLOOKUP("CHAM687250000",Balance!C:G,5,FALSE))=TRUE,0,+VLOOKUP("CHAM687250000",Balance!C:G,5,FALSE))</f>
        <v>0</v>
      </c>
      <c r="D180" s="117">
        <f>+[2]Cham!$H180</f>
        <v>0</v>
      </c>
      <c r="E180" s="160">
        <f>IF(ISNA(VLOOKUP("CHAM687250000",Balanceanp!C:G,5,FALSE))=TRUE,0,+VLOOKUP("CHAM687250000",Balanceanp!C:G,5,FALSE))</f>
        <v>490.66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s="443"/>
    </row>
    <row r="181" spans="1:12">
      <c r="A181" s="5" t="s">
        <v>327</v>
      </c>
      <c r="B181" s="92"/>
      <c r="C181" s="160">
        <f>IF(ISNA(VLOOKUP("CHAM661880000",Balance!C:G,5,FALSE))=TRUE,0,+VLOOKUP("CHAM661880000",Balance!C:G,5,FALSE))</f>
        <v>0</v>
      </c>
      <c r="D181" s="117">
        <f>+[2]Cham!$H181</f>
        <v>0</v>
      </c>
      <c r="E181" s="160">
        <f>IF(ISNA(VLOOKUP("CHAM661880000",Balanceanp!C:G,5,FALSE))=TRUE,0,+VLOOKUP("CHAM661880000",Balanceanp!C:G,5,FALSE))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s="443"/>
    </row>
    <row r="182" spans="1:12">
      <c r="A182" s="5" t="s">
        <v>82</v>
      </c>
      <c r="B182" s="92"/>
      <c r="C182" s="160"/>
      <c r="D182" s="117">
        <f>+[2]Cham!$H182</f>
        <v>0</v>
      </c>
      <c r="E182" s="160"/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s="443"/>
    </row>
    <row r="183" spans="1:12">
      <c r="A183" s="5" t="s">
        <v>331</v>
      </c>
      <c r="B183" s="92"/>
      <c r="C183" s="160">
        <f>IF(ISNA(VLOOKUP("CHAM681500000",Balance!C:G,5,FALSE))=TRUE,0,VLOOKUP("CHAM681500000",Balance!C:G,5,FALSE))</f>
        <v>0</v>
      </c>
      <c r="D183" s="117">
        <f>+[2]Cham!$H183</f>
        <v>0</v>
      </c>
      <c r="E183" s="160">
        <f>IF(ISNA(VLOOKUP("CHAM681500000",Balanceanp!C:G,5,FALSE))=TRUE,0,VLOOKUP("CHAM681500000",Balanceanp!C:G,5,FALSE))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s="443"/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444"/>
    </row>
    <row r="185" spans="1:12" s="33" customFormat="1" ht="15" customHeight="1">
      <c r="A185" s="13" t="s">
        <v>178</v>
      </c>
      <c r="B185" s="93"/>
      <c r="C185" s="163">
        <f>SUM(C169:C184)</f>
        <v>7739.9800000000005</v>
      </c>
      <c r="D185" s="118">
        <f>SUM(D169:D184)</f>
        <v>10300</v>
      </c>
      <c r="E185" s="280">
        <f>SUM(E169:E184)</f>
        <v>28581.06</v>
      </c>
      <c r="F185" s="136">
        <f>SUM(F169:F184)</f>
        <v>7824.9633333333331</v>
      </c>
      <c r="G185" s="136">
        <f>SUM(G169:G184)</f>
        <v>7563.6537333333335</v>
      </c>
      <c r="H185" s="421"/>
      <c r="I185" s="272">
        <f>+IF((E185)=0,,(F185-E185)/E185)</f>
        <v>-0.72621857505168341</v>
      </c>
      <c r="J185" s="188">
        <f>+IF((F185)=0,,(G185-F185)/F185)</f>
        <v>-3.3394354563535712E-2</v>
      </c>
      <c r="L185" s="445"/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444"/>
    </row>
    <row r="187" spans="1:12">
      <c r="A187" s="5" t="s">
        <v>179</v>
      </c>
      <c r="B187" s="92"/>
      <c r="C187" s="160">
        <f>IF(ISNA(VLOOKUP("CHAM740000000",Balance!C:G,5,FALSE))=TRUE,0,-VLOOKUP("CHAM740000000",Balance!C:G,5,FALSE))</f>
        <v>1700</v>
      </c>
      <c r="D187" s="117">
        <f>+[2]Cham!$H187</f>
        <v>0</v>
      </c>
      <c r="E187" s="160">
        <f>IF(ISNA(VLOOKUP("CHAM740000000",Balanceanp!C:G,5,FALSE))=TRUE,0,-VLOOKUP("CHAM740000000",Balanceanp!C:G,5,FALSE))</f>
        <v>3400</v>
      </c>
      <c r="F187" s="368">
        <f>+C187+C187/9*(12-Clients!$I$14)</f>
        <v>2266.6666666666665</v>
      </c>
      <c r="G187" s="368">
        <v>0</v>
      </c>
      <c r="H187" s="410"/>
      <c r="I187" s="149">
        <f t="shared" ref="I187:J199" si="19">+IF((E187)=0,,(F187-E187)/E187)</f>
        <v>-0.33333333333333337</v>
      </c>
      <c r="J187" s="271">
        <f t="shared" si="19"/>
        <v>-1</v>
      </c>
      <c r="L187" s="443"/>
    </row>
    <row r="188" spans="1:12">
      <c r="A188" s="5" t="s">
        <v>230</v>
      </c>
      <c r="B188" s="92"/>
      <c r="C188" s="160">
        <f>IF(ISNA(VLOOKUP("CHAM751100000",Balance!C:G,5,FALSE))=TRUE,0,-VLOOKUP("CHAM751100000",Balance!C:G,5,FALSE))</f>
        <v>0</v>
      </c>
      <c r="D188" s="117">
        <f>+[2]Cham!$H188</f>
        <v>0</v>
      </c>
      <c r="E188" s="160">
        <f>IF(ISNA(VLOOKUP("CHAM751100000",Balanceanp!C:G,5,FALSE))=TRUE,0,-VLOOKUP("CHAM751100000",Balanceanp!C:G,5,FALSE))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s="443"/>
    </row>
    <row r="189" spans="1:12">
      <c r="A189" s="5" t="s">
        <v>180</v>
      </c>
      <c r="B189" s="92"/>
      <c r="C189" s="160">
        <f>IF(ISNA(VLOOKUP("CHAM758100000",Balance!C:G,5,FALSE))=TRUE,0,-VLOOKUP("CHAM758100000",Balance!C:G,5,FALSE))</f>
        <v>4175.51</v>
      </c>
      <c r="D189" s="117">
        <f>+[2]Cham!$H189</f>
        <v>0</v>
      </c>
      <c r="E189" s="160">
        <f>IF(ISNA(VLOOKUP("CHAM758100000",Balanceanp!C:G,5,FALSE))=TRUE,0,-VLOOKUP("CHAM758100000",Balanceanp!C:G,5,FALSE))</f>
        <v>0</v>
      </c>
      <c r="F189" s="368">
        <f>+C189+C189/9*(12-Clients!$I$14)</f>
        <v>5567.3466666666673</v>
      </c>
      <c r="G189" s="368">
        <v>0</v>
      </c>
      <c r="H189" s="410"/>
      <c r="I189" s="149">
        <f t="shared" si="19"/>
        <v>0</v>
      </c>
      <c r="J189" s="271">
        <f t="shared" si="19"/>
        <v>-1</v>
      </c>
      <c r="L189" s="443"/>
    </row>
    <row r="190" spans="1:12">
      <c r="A190" s="5" t="s">
        <v>181</v>
      </c>
      <c r="B190" s="92"/>
      <c r="C190" s="160">
        <f>IF(ISNA(VLOOKUP("CHAM763800000",Balance!C:G,5,FALSE))=TRUE,0,-VLOOKUP("CHAM763800000",Balance!C:G,5,FALSE))</f>
        <v>0</v>
      </c>
      <c r="D190" s="117">
        <f>+[2]Cham!$H190</f>
        <v>0</v>
      </c>
      <c r="E190" s="160">
        <f>IF(ISNA(VLOOKUP("CHAM763800000",Balanceanp!C:G,5,FALSE))=TRUE,0,-VLOOKUP("CHAM763800000",Balanceanp!C:G,5,FALSE))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s="443"/>
    </row>
    <row r="191" spans="1:12">
      <c r="A191" s="5" t="s">
        <v>182</v>
      </c>
      <c r="B191" s="92"/>
      <c r="C191" s="160">
        <f>IF(ISNA(VLOOKUP("CHAM765000000",Balance!C:G,5,FALSE))=TRUE,0,-VLOOKUP("CHAM765000000",Balance!C:G,5,FALSE))</f>
        <v>0</v>
      </c>
      <c r="D191" s="117">
        <f>+[2]Cham!$H191</f>
        <v>0</v>
      </c>
      <c r="E191" s="160">
        <f>IF(ISNA(VLOOKUP("CHAM765000000",Balanceanp!C:G,5,FALSE))=TRUE,0,-VLOOKUP("CHAM765000000",Balanceanp!C:G,5,FALSE))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s="443"/>
    </row>
    <row r="192" spans="1:12">
      <c r="A192" s="5" t="s">
        <v>183</v>
      </c>
      <c r="B192" s="92"/>
      <c r="C192" s="160">
        <f>IF(ISNA(VLOOKUP("CHAM771400000",Balance!C:G,5,FALSE))=TRUE,0,-VLOOKUP("CHAM771400000",Balance!C:G,5,FALSE))</f>
        <v>0</v>
      </c>
      <c r="D192" s="117">
        <f>+[2]Cham!$H192</f>
        <v>0</v>
      </c>
      <c r="E192" s="160">
        <f>IF(ISNA(VLOOKUP("CHAM771400000",Balanceanp!C:G,5,FALSE))=TRUE,0,-VLOOKUP("CHAM771400000",Balanceanp!C:G,5,FALSE))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s="443"/>
    </row>
    <row r="193" spans="1:12">
      <c r="A193" s="5" t="s">
        <v>184</v>
      </c>
      <c r="B193" s="92"/>
      <c r="C193" s="160">
        <f>IF(ISNA(VLOOKUP("CHAM771800000",Balance!C:G,5,FALSE))=TRUE,0,-VLOOKUP("CHAM771800000",Balance!C:G,5,FALSE))</f>
        <v>0.47</v>
      </c>
      <c r="D193" s="117">
        <f>+[2]Cham!$H193</f>
        <v>0</v>
      </c>
      <c r="E193" s="160">
        <f>IF(ISNA(VLOOKUP("CHAM771800000",Balanceanp!C:G,5,FALSE))=TRUE,0,-VLOOKUP("CHAM771800000",Balanceanp!C:G,5,FALSE))+IF(ISNA(VLOOKUP("CHAM758000000",Balanceanp!C:G,5,FALSE))=TRUE,0,-VLOOKUP("CHAM758000000",Balanceanp!C:G,5,FALSE))</f>
        <v>1490</v>
      </c>
      <c r="F193" s="368">
        <f>+C193+C193/9*(12-Clients!$I$14)</f>
        <v>0.62666666666666659</v>
      </c>
      <c r="G193" s="368">
        <v>0</v>
      </c>
      <c r="H193" s="410"/>
      <c r="I193" s="149">
        <f t="shared" si="19"/>
        <v>-0.99957941834451891</v>
      </c>
      <c r="J193" s="271">
        <f t="shared" si="19"/>
        <v>-1</v>
      </c>
      <c r="L193" s="443"/>
    </row>
    <row r="194" spans="1:12">
      <c r="A194" s="5" t="s">
        <v>185</v>
      </c>
      <c r="B194" s="92"/>
      <c r="C194" s="160">
        <f>IF(ISNA(VLOOKUP("CHAM758000000",Balance!C:G,5,FALSE))=TRUE,0,-VLOOKUP("CHAM758000000",Balance!C:G,5,FALSE))</f>
        <v>0</v>
      </c>
      <c r="D194" s="117">
        <f>+[2]Cham!$H194</f>
        <v>0</v>
      </c>
      <c r="E194" s="160">
        <f>IF(ISNA(VLOOKUP("CHAM772000000",Balanceanp!C:G,5,FALSE))=TRUE,0,-VLOOKUP("CHAM772000000",Balanceanp!C:G,5,FALSE))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s="443"/>
    </row>
    <row r="195" spans="1:12">
      <c r="A195" s="5" t="s">
        <v>186</v>
      </c>
      <c r="B195" s="92"/>
      <c r="C195" s="160">
        <f>IF(ISNA(VLOOKUP("CHAM775100000",Balance!C:G,5,FALSE))=TRUE,0,-VLOOKUP("CHAM775100000",Balance!C:G,5,FALSE))</f>
        <v>0</v>
      </c>
      <c r="D195" s="117">
        <f>+[2]Cham!$H195</f>
        <v>0</v>
      </c>
      <c r="E195" s="160">
        <f>IF(ISNA(VLOOKUP("CHAM775100000",Balanceanp!C:G,5,FALSE))=TRUE,0,-VLOOKUP("CHAM775100000",Balanceanp!C:G,5,FALSE))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s="443"/>
    </row>
    <row r="196" spans="1:12">
      <c r="A196" s="5" t="s">
        <v>187</v>
      </c>
      <c r="B196" s="92"/>
      <c r="C196" s="160">
        <f>IF(ISNA(VLOOKUP("CHAM775200000",Balance!C:G,5,FALSE))=TRUE,0,-VLOOKUP("CHAM775200000",Balance!C:G,5,FALSE))</f>
        <v>700</v>
      </c>
      <c r="D196" s="117">
        <f>+[2]Cham!$H196</f>
        <v>0</v>
      </c>
      <c r="E196" s="160">
        <f>IF(ISNA(VLOOKUP("CHAM775200000",Balanceanp!C:G,5,FALSE))=TRUE,0,-VLOOKUP("CHAM775200000",Balanceanp!C:G,5,FALSE))</f>
        <v>0</v>
      </c>
      <c r="F196" s="368">
        <f>+C196+C196/9*(12-Clients!$I$14)</f>
        <v>933.33333333333326</v>
      </c>
      <c r="G196" s="368">
        <v>0</v>
      </c>
      <c r="H196" s="410"/>
      <c r="I196" s="149">
        <f t="shared" si="19"/>
        <v>0</v>
      </c>
      <c r="J196" s="271">
        <f t="shared" si="19"/>
        <v>-1</v>
      </c>
      <c r="L196" s="443"/>
    </row>
    <row r="197" spans="1:12">
      <c r="A197" s="5" t="s">
        <v>328</v>
      </c>
      <c r="B197" s="92"/>
      <c r="C197" s="160">
        <f>IF(ISNA(VLOOKUP("CHAM791000000",Balance!C:G,5,FALSE))=TRUE,0,-VLOOKUP("CHAM791000000",Balance!C:G,5,FALSE))</f>
        <v>0</v>
      </c>
      <c r="D197" s="117">
        <f>+[2]Cham!$H197</f>
        <v>0</v>
      </c>
      <c r="E197" s="160">
        <f>IF(ISNA(VLOOKUP("CHAM791000000",Balanceanp!C:G,5,FALSE))=TRUE,0,-VLOOKUP("CHAM791000000",Balanceanp!C:G,5,FALSE))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s="443"/>
    </row>
    <row r="198" spans="1:12">
      <c r="A198" s="5" t="s">
        <v>344</v>
      </c>
      <c r="B198" s="92"/>
      <c r="C198" s="160">
        <f>IF(ISNA(VLOOKUP("CHAM781500000",Balance!C:G,5,FALSE))=TRUE,0,-VLOOKUP("CHAM781500000",Balance!C:G,5,FALSE))</f>
        <v>0</v>
      </c>
      <c r="D198" s="117">
        <f>+[2]Cham!$H198</f>
        <v>0</v>
      </c>
      <c r="E198" s="160">
        <f>IF(ISNA(VLOOKUP("CHAM781500000",Balanceanp!C:G,5,FALSE))=TRUE,0,-VLOOKUP("CHAM781500000",Balanceanp!C:G,5,FALSE))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s="443"/>
    </row>
    <row r="199" spans="1:12">
      <c r="A199" s="5" t="s">
        <v>77</v>
      </c>
      <c r="B199" s="92"/>
      <c r="C199" s="160">
        <f>IF(ISNA(VLOOKUP("CHAM787250000",Balance!C:G,5,FALSE))=TRUE,0,-VLOOKUP("CHAM787250000",Balance!C:G,5,FALSE))</f>
        <v>0</v>
      </c>
      <c r="D199" s="117">
        <f>+[2]Cham!$H199</f>
        <v>0</v>
      </c>
      <c r="E199" s="160">
        <f>IF(ISNA(VLOOKUP("CHAM787250000",Balanceanp!C:G,5,FALSE))=TRUE,0,-VLOOKUP("CHAM787250000",Balanceanp!C:G,5,FALSE))</f>
        <v>2999.15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s="443"/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444"/>
    </row>
    <row r="201" spans="1:12" s="33" customFormat="1" ht="15" customHeight="1">
      <c r="A201" s="13" t="s">
        <v>188</v>
      </c>
      <c r="B201" s="93"/>
      <c r="C201" s="163">
        <f>SUM(C186:C200)</f>
        <v>6575.9800000000005</v>
      </c>
      <c r="D201" s="118">
        <f>SUM(D186:D200)</f>
        <v>0</v>
      </c>
      <c r="E201" s="163">
        <f>SUM(E186:E200)</f>
        <v>7889.15</v>
      </c>
      <c r="F201" s="136">
        <f>SUM(F186:F200)</f>
        <v>8767.9733333333352</v>
      </c>
      <c r="G201" s="136">
        <f>SUM(G186:G200)</f>
        <v>0</v>
      </c>
      <c r="H201" s="421"/>
      <c r="I201" s="272">
        <f>+IF((E201)=0,,(F201-E201)/E201)</f>
        <v>0.11139645377934702</v>
      </c>
      <c r="J201" s="188">
        <f>+IF((F201)=0,,(G201-F201)/F201)</f>
        <v>-1</v>
      </c>
      <c r="L201" s="445"/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444"/>
    </row>
    <row r="203" spans="1:12" s="33" customFormat="1" ht="15" customHeight="1">
      <c r="A203" s="14" t="s">
        <v>189</v>
      </c>
      <c r="B203" s="99">
        <f>+C203/$C$21</f>
        <v>0.35820526391351382</v>
      </c>
      <c r="C203" s="175">
        <f>+C103+C116+C129+C154+C168+C185-C201</f>
        <v>191169.07</v>
      </c>
      <c r="D203" s="126">
        <f>+D103+D116+D129+D154+D168+D185-D201</f>
        <v>271634.98321891087</v>
      </c>
      <c r="E203" s="175">
        <f>+E103+E116+E129+E154+E168+E185-E201</f>
        <v>305552.174</v>
      </c>
      <c r="F203" s="145">
        <f>+F103+F116+F129+F154+F168+F185-F201</f>
        <v>257170.25048954162</v>
      </c>
      <c r="G203" s="145">
        <f>+G103+G116+G129+G154+G168+G185-G201</f>
        <v>268955.86497823772</v>
      </c>
      <c r="H203" s="422">
        <f>+G203/$G$21</f>
        <v>0.32999909815493816</v>
      </c>
      <c r="I203" s="281">
        <f>+IF((E203)=0,,(F203-E203)/E203)</f>
        <v>-0.15834259294276329</v>
      </c>
      <c r="J203" s="282">
        <f>+IF((F203)=0,,(G203-F203)/F203)</f>
        <v>4.5828063184840985E-2</v>
      </c>
      <c r="L203" s="451"/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444"/>
    </row>
    <row r="205" spans="1:12" s="33" customFormat="1" ht="15" customHeight="1">
      <c r="A205" s="12" t="s">
        <v>228</v>
      </c>
      <c r="B205" s="100">
        <f>+C205/$C$21</f>
        <v>-3.7703358878825696E-3</v>
      </c>
      <c r="C205" s="177">
        <f>+C62-C203</f>
        <v>-2012.1748000000371</v>
      </c>
      <c r="D205" s="127">
        <f>+D62-D203</f>
        <v>28605.016781089129</v>
      </c>
      <c r="E205" s="177">
        <f>+E53-E203</f>
        <v>-54425.41519999993</v>
      </c>
      <c r="F205" s="146">
        <f>+F62-F203</f>
        <v>-7811.1043395416345</v>
      </c>
      <c r="G205" s="146">
        <f>+G62-G203</f>
        <v>24511.43502176227</v>
      </c>
      <c r="H205" s="406">
        <f>+G205/$G$21</f>
        <v>3.0074642366766793E-2</v>
      </c>
      <c r="I205" s="226">
        <f>+IF((E205)=0,,(F205-E205)/E205)</f>
        <v>-0.85648057417958579</v>
      </c>
      <c r="J205" s="283">
        <f>+IF((F205)=0,,(G205-F205)/F205)</f>
        <v>-4.1380242736842803</v>
      </c>
      <c r="L205" s="452"/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444"/>
    </row>
    <row r="207" spans="1:12" ht="15" customHeight="1">
      <c r="A207" s="63" t="s">
        <v>251</v>
      </c>
      <c r="B207" s="101">
        <f>+C207/$C$21</f>
        <v>2.6630565724672078E-3</v>
      </c>
      <c r="C207" s="179">
        <f>+[2]Cham!$C207</f>
        <v>1421.2355305835511</v>
      </c>
      <c r="D207" s="128">
        <f>+[2]Cham!$H207</f>
        <v>5038.5094924619198</v>
      </c>
      <c r="E207" s="284">
        <f>+[1]Cham!$G$207</f>
        <v>1691.457284440876</v>
      </c>
      <c r="F207" s="150">
        <f>+Repart!K15</f>
        <v>1917.7050558465496</v>
      </c>
      <c r="G207" s="150">
        <f>+Repart!Q15</f>
        <v>3085.0158930432208</v>
      </c>
      <c r="H207" s="423">
        <f>+G207/$G$21</f>
        <v>3.785202685876691E-3</v>
      </c>
      <c r="I207" s="281">
        <f>+IF((E207)=0,,(F207-E207)/E207)</f>
        <v>0.13375908069736533</v>
      </c>
      <c r="J207" s="282">
        <f>+IF((F207)=0,,(G207-F207)/F207)</f>
        <v>0.60870196573652702</v>
      </c>
      <c r="L207" s="453"/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444"/>
    </row>
    <row r="209" spans="1:12" s="33" customFormat="1" ht="15" customHeight="1">
      <c r="A209" s="12" t="s">
        <v>190</v>
      </c>
      <c r="B209" s="100">
        <f>+C209/$C$21</f>
        <v>-6.433392460349777E-3</v>
      </c>
      <c r="C209" s="177">
        <f>+C205-C207</f>
        <v>-3433.4103305835879</v>
      </c>
      <c r="D209" s="127">
        <f>+D205-D207</f>
        <v>23566.50728862721</v>
      </c>
      <c r="E209" s="177">
        <f>+E205-E207</f>
        <v>-56116.872484440806</v>
      </c>
      <c r="F209" s="146">
        <f>+F205-F207</f>
        <v>-9728.8093953881835</v>
      </c>
      <c r="G209" s="146">
        <f>+G205-G207</f>
        <v>21426.419128719048</v>
      </c>
      <c r="H209" s="406">
        <f>+G209/$G$21</f>
        <v>2.6289439680890099E-2</v>
      </c>
      <c r="I209" s="226">
        <f>+IF((E209)=0,,(F209-E209)/E209)</f>
        <v>-0.82663307906039074</v>
      </c>
      <c r="J209" s="283">
        <f>+IF((F209)=0,,(G209-F209)/F209)</f>
        <v>-3.2023680656007061</v>
      </c>
      <c r="L209" s="452"/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444"/>
    </row>
    <row r="211" spans="1:12">
      <c r="A211" s="5" t="s">
        <v>191</v>
      </c>
      <c r="B211" s="92">
        <f>+C211/$C$21</f>
        <v>1.2245149064209425E-2</v>
      </c>
      <c r="C211" s="160">
        <f>+[2]Cham!$C211</f>
        <v>6535.0624193548392</v>
      </c>
      <c r="D211" s="117">
        <f>+[2]Cham!$H211</f>
        <v>9026.0372215405096</v>
      </c>
      <c r="E211" s="160">
        <f>+[1]Cham!$G211</f>
        <v>8095.0860719999991</v>
      </c>
      <c r="F211" s="368">
        <f>+Repart!I15</f>
        <v>8997.9607634408567</v>
      </c>
      <c r="G211" s="368">
        <f>+Repart!O15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L211" s="443"/>
    </row>
    <row r="212" spans="1:12">
      <c r="A212" s="5" t="s">
        <v>192</v>
      </c>
      <c r="B212" s="92">
        <f>+C212/$C$21</f>
        <v>3.9042372309317487E-2</v>
      </c>
      <c r="C212" s="160">
        <f>+[2]Cham!$C212</f>
        <v>20836.360480643394</v>
      </c>
      <c r="D212" s="117">
        <f>+[2]Cham!$H212</f>
        <v>31914.227522839617</v>
      </c>
      <c r="E212" s="160">
        <f>+[1]Cham!$G212</f>
        <v>25959.623868193623</v>
      </c>
      <c r="F212" s="368">
        <f>+Repart!J15</f>
        <v>29164.142943539868</v>
      </c>
      <c r="G212" s="368">
        <f>+Repart!P15</f>
        <v>33238.708868142763</v>
      </c>
      <c r="H212" s="410"/>
      <c r="I212" s="149">
        <f t="shared" si="20"/>
        <v>0.12344243089255624</v>
      </c>
      <c r="J212" s="271">
        <f t="shared" si="20"/>
        <v>0.13971149203633465</v>
      </c>
      <c r="L212" s="443"/>
    </row>
    <row r="213" spans="1:12">
      <c r="A213" s="5" t="s">
        <v>193</v>
      </c>
      <c r="B213" s="92"/>
      <c r="C213" s="160">
        <f>+[2]Cham!$C213</f>
        <v>-1867.6</v>
      </c>
      <c r="D213" s="117">
        <f>+[2]Cham!$H213</f>
        <v>-7200</v>
      </c>
      <c r="E213" s="160">
        <f>+[1]Cham!$G213</f>
        <v>-6452.45</v>
      </c>
      <c r="F213" s="368">
        <v>-7000</v>
      </c>
      <c r="G213" s="368">
        <f>+G253*-4%</f>
        <v>-7200</v>
      </c>
      <c r="H213" s="410"/>
      <c r="I213" s="149">
        <f t="shared" si="20"/>
        <v>8.4859239513673135E-2</v>
      </c>
      <c r="J213" s="271">
        <f t="shared" si="20"/>
        <v>2.8571428571428571E-2</v>
      </c>
      <c r="L213" s="443"/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444"/>
    </row>
    <row r="215" spans="1:12" s="33" customFormat="1" ht="15" customHeight="1">
      <c r="A215" s="20" t="s">
        <v>194</v>
      </c>
      <c r="B215" s="103">
        <f>+C215/$C$21</f>
        <v>4.7788084195300971E-2</v>
      </c>
      <c r="C215" s="180">
        <f>SUM(C210:C213)</f>
        <v>25503.822899998235</v>
      </c>
      <c r="D215" s="129">
        <f>SUM(D210:D213)</f>
        <v>33740.264744380125</v>
      </c>
      <c r="E215" s="180">
        <f>SUM(E210:E213)</f>
        <v>27602.25994019362</v>
      </c>
      <c r="F215" s="148">
        <f>SUM(F210:F213)</f>
        <v>31162.103706980721</v>
      </c>
      <c r="G215" s="148">
        <f>SUM(G210:G213)</f>
        <v>35683.393547453241</v>
      </c>
      <c r="H215" s="424">
        <f>+G215/$G$21</f>
        <v>4.3782230555634516E-2</v>
      </c>
      <c r="I215" s="281">
        <f>+IF((E215)=0,,(F215-E215)/E215)</f>
        <v>0.1289692863736624</v>
      </c>
      <c r="J215" s="282">
        <f>+IF((F215)=0,,(G215-F215)/F215)</f>
        <v>0.14508936505014236</v>
      </c>
      <c r="L215" s="446"/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444"/>
    </row>
    <row r="217" spans="1:12" s="33" customFormat="1" ht="20.100000000000001" customHeight="1">
      <c r="A217" s="12" t="s">
        <v>86</v>
      </c>
      <c r="B217" s="100">
        <f>+C217/$C$21</f>
        <v>-5.4221476655650747E-2</v>
      </c>
      <c r="C217" s="177">
        <f>+C209-C215</f>
        <v>-28937.233230581824</v>
      </c>
      <c r="D217" s="127">
        <f>+D209-D215</f>
        <v>-10173.757455752915</v>
      </c>
      <c r="E217" s="177">
        <f>+E209-E215</f>
        <v>-83719.13242463443</v>
      </c>
      <c r="F217" s="146">
        <f>+F209-F215</f>
        <v>-40890.913102368904</v>
      </c>
      <c r="G217" s="146">
        <f>+G209-G215</f>
        <v>-14256.974418734193</v>
      </c>
      <c r="H217" s="406">
        <f>+G217/$G$21</f>
        <v>-1.7492790874744413E-2</v>
      </c>
      <c r="I217" s="226">
        <f>+IF((E217)=0,,(F217-E217)/E217)</f>
        <v>-0.51157027171561187</v>
      </c>
      <c r="J217" s="283">
        <f>+IF((F217)=0,,(G217-F217)/F217)</f>
        <v>-0.65134125562218725</v>
      </c>
      <c r="L217" s="452"/>
    </row>
    <row r="218" spans="1:12">
      <c r="A218" s="2" t="s">
        <v>43</v>
      </c>
      <c r="C218" s="17">
        <f>+C225-C226-C215-C207-C53+C62-C38+C213</f>
        <v>-28937.233230581791</v>
      </c>
      <c r="D218" s="117">
        <f>+[2]Cham!$H$217</f>
        <v>-10173.757455752915</v>
      </c>
      <c r="E218" s="17">
        <f>+[1]Cham!$G$217</f>
        <v>-83719.13242463443</v>
      </c>
      <c r="F218" s="87"/>
      <c r="G218" s="398"/>
      <c r="H218" s="414"/>
      <c r="L218" s="443"/>
    </row>
    <row r="219" spans="1:12">
      <c r="A219" s="2" t="s">
        <v>346</v>
      </c>
      <c r="B219" s="58">
        <f>+Clients!K13</f>
        <v>270</v>
      </c>
      <c r="C219" s="17">
        <f>+B219/C44*C57</f>
        <v>128.58562240985438</v>
      </c>
    </row>
    <row r="220" spans="1:12">
      <c r="A220" s="2" t="s">
        <v>354</v>
      </c>
      <c r="B220" s="58">
        <f>+Clients!K13</f>
        <v>270</v>
      </c>
      <c r="C220" s="17">
        <f>+B220/(C21*1.196)*Clients!K27</f>
        <v>86.663635754282723</v>
      </c>
    </row>
    <row r="222" spans="1:12">
      <c r="A222" s="264" t="s">
        <v>67</v>
      </c>
      <c r="B222" s="265"/>
      <c r="C222" s="265">
        <f>+(C215+C207+C203)/C60/Clients!$I$13*12</f>
        <v>807756.03122437699</v>
      </c>
      <c r="D222" s="265">
        <f>+(D215+D207+D203)/D60</f>
        <v>862260.4373770915</v>
      </c>
      <c r="E222" s="265">
        <f>+(E215+E207+E203)/E60/Clients!$I$13*12</f>
        <v>1275603.3951414649</v>
      </c>
      <c r="F222" s="265">
        <f>+(F215+F207+F203)/F60</f>
        <v>817605.80071089824</v>
      </c>
      <c r="G222" s="265">
        <f>+(G215+G207+G203)/G60</f>
        <v>843080.20388694305</v>
      </c>
      <c r="H222" s="265"/>
      <c r="I222" s="265"/>
      <c r="J222" s="265"/>
    </row>
    <row r="223" spans="1:12">
      <c r="A223" s="264" t="s">
        <v>66</v>
      </c>
      <c r="B223" s="265"/>
      <c r="C223" s="265">
        <f>+(C215+C207+C203)/C60/Clients!$I$13</f>
        <v>67313.002602031411</v>
      </c>
      <c r="D223" s="265">
        <f>+(D215+D207+D203)/D60/12</f>
        <v>71855.036448090963</v>
      </c>
      <c r="E223" s="265">
        <f>+(E215+E207+E203)/E60/Clients!$I$13</f>
        <v>106300.2829284554</v>
      </c>
      <c r="F223" s="265">
        <f>+(F215+F207+F203)/F60/9</f>
        <v>90845.088967877586</v>
      </c>
      <c r="G223" s="265">
        <f>+(G215+G207+G203)/G60/12</f>
        <v>70256.683657245259</v>
      </c>
      <c r="H223" s="265"/>
      <c r="I223" s="265"/>
      <c r="J223" s="265"/>
    </row>
    <row r="224" spans="1:12">
      <c r="B224" s="17"/>
      <c r="D224" s="17"/>
      <c r="E224" s="17"/>
      <c r="F224" s="17"/>
      <c r="G224" s="17"/>
      <c r="H224" s="17"/>
      <c r="I224" s="17"/>
      <c r="J224" s="17"/>
    </row>
    <row r="225" spans="1:12">
      <c r="A225" s="2" t="s">
        <v>215</v>
      </c>
      <c r="C225" s="17">
        <f>+C51-C40-C157-C166+C201-C164-C159-C137</f>
        <v>537659.25999999989</v>
      </c>
      <c r="D225" s="17"/>
    </row>
    <row r="226" spans="1:12">
      <c r="A226" s="2" t="s">
        <v>216</v>
      </c>
      <c r="C226" s="17">
        <f>+C44-C38-C40+C103+C116+C129+C154+C156+C158+C160+C161+C162+C163+C165+C185+C213-C137</f>
        <v>551138.55999999994</v>
      </c>
      <c r="D226" s="17"/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</row>
    <row r="229" spans="1:12" ht="20.25" customHeight="1">
      <c r="A229" s="7" t="str">
        <f>+A4</f>
        <v>CHAMBRAY LES TOURS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</row>
    <row r="231" spans="1:12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</row>
    <row r="233" spans="1:12" s="33" customFormat="1" ht="15" customHeight="1">
      <c r="A233" s="245" t="s">
        <v>223</v>
      </c>
      <c r="B233" s="363"/>
      <c r="C233" s="175">
        <f t="shared" ref="C233:J233" si="21">+C51</f>
        <v>525435.81999999995</v>
      </c>
      <c r="D233" s="176">
        <f t="shared" si="21"/>
        <v>834000</v>
      </c>
      <c r="E233" s="175">
        <f t="shared" si="21"/>
        <v>713812.28000000014</v>
      </c>
      <c r="F233" s="206">
        <f t="shared" si="21"/>
        <v>702420.13</v>
      </c>
      <c r="G233" s="206">
        <f t="shared" si="21"/>
        <v>804020</v>
      </c>
      <c r="H233" s="313"/>
      <c r="I233" s="281">
        <f>+I51</f>
        <v>-1.5959588142697878E-2</v>
      </c>
      <c r="J233" s="192">
        <f t="shared" si="21"/>
        <v>0.14464259445411964</v>
      </c>
      <c r="K233" s="58"/>
      <c r="L233" s="298"/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</row>
    <row r="235" spans="1:12" s="33" customFormat="1" ht="15" customHeight="1">
      <c r="A235" s="246" t="s">
        <v>295</v>
      </c>
      <c r="B235" s="364"/>
      <c r="C235" s="197">
        <f>+C60</f>
        <v>0.36</v>
      </c>
      <c r="D235" s="191">
        <f>+D60</f>
        <v>0.36</v>
      </c>
      <c r="E235" s="197">
        <f>+E60</f>
        <v>0.35</v>
      </c>
      <c r="F235" s="224">
        <f>+F60</f>
        <v>0.35499999999999998</v>
      </c>
      <c r="G235" s="224">
        <f>+G60</f>
        <v>0.36499999999999999</v>
      </c>
      <c r="H235" s="15"/>
      <c r="I235" s="224"/>
      <c r="J235" s="191"/>
      <c r="L235" s="298"/>
    </row>
    <row r="236" spans="1:12" s="33" customFormat="1" ht="15" customHeight="1">
      <c r="A236" s="246" t="s">
        <v>296</v>
      </c>
      <c r="B236" s="364"/>
      <c r="C236" s="169">
        <f>+C62</f>
        <v>189156.89519999997</v>
      </c>
      <c r="D236" s="170">
        <f>+D62</f>
        <v>300240</v>
      </c>
      <c r="E236" s="169">
        <f>+E62</f>
        <v>249834.29800000004</v>
      </c>
      <c r="F236" s="223">
        <f>+F62</f>
        <v>249359.14614999999</v>
      </c>
      <c r="G236" s="223">
        <f>+G62</f>
        <v>293467.3</v>
      </c>
      <c r="H236" s="309"/>
      <c r="I236" s="226">
        <f>+IF((E236)=0,,(F236-E236)/E236)</f>
        <v>-1.9018679733078638E-3</v>
      </c>
      <c r="J236" s="283">
        <f>+IF((F236)=0,,(G236-F236)/F236)</f>
        <v>0.17688604781902445</v>
      </c>
      <c r="L236" s="298"/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442"/>
    </row>
    <row r="238" spans="1:12" s="298" customFormat="1" ht="15" customHeight="1">
      <c r="A238" s="292" t="s">
        <v>122</v>
      </c>
      <c r="B238" s="365"/>
      <c r="C238" s="293">
        <f>+C103</f>
        <v>67593.53</v>
      </c>
      <c r="D238" s="294">
        <f>+D103</f>
        <v>80666.370714142206</v>
      </c>
      <c r="E238" s="293">
        <f>+E103</f>
        <v>95677.489999999991</v>
      </c>
      <c r="F238" s="295">
        <f>+F103</f>
        <v>96902.337156208276</v>
      </c>
      <c r="G238" s="295">
        <f>+G103</f>
        <v>90257.37783230975</v>
      </c>
      <c r="H238" s="388"/>
      <c r="I238" s="415">
        <f t="shared" ref="I238:J243" si="22">+IF((E238)=0,,(F238-E238)/E238)</f>
        <v>1.2801832031842444E-2</v>
      </c>
      <c r="J238" s="297">
        <f t="shared" si="22"/>
        <v>-6.857377767046767E-2</v>
      </c>
    </row>
    <row r="239" spans="1:12" s="298" customFormat="1" ht="15" customHeight="1">
      <c r="A239" s="292" t="s">
        <v>133</v>
      </c>
      <c r="B239" s="365"/>
      <c r="C239" s="293">
        <f>+C116</f>
        <v>21620.41</v>
      </c>
      <c r="D239" s="294">
        <f>+D116</f>
        <v>31320</v>
      </c>
      <c r="E239" s="293">
        <f>+E116</f>
        <v>28414.55</v>
      </c>
      <c r="F239" s="295">
        <f>+F116</f>
        <v>29008.146666666667</v>
      </c>
      <c r="G239" s="295">
        <f>+G116</f>
        <v>27850</v>
      </c>
      <c r="H239" s="388"/>
      <c r="I239" s="415">
        <f t="shared" si="22"/>
        <v>2.0890588331212993E-2</v>
      </c>
      <c r="J239" s="297">
        <f t="shared" si="22"/>
        <v>-3.9924876276135786E-2</v>
      </c>
    </row>
    <row r="240" spans="1:12" s="298" customFormat="1" ht="15" customHeight="1">
      <c r="A240" s="292" t="s">
        <v>147</v>
      </c>
      <c r="B240" s="365"/>
      <c r="C240" s="293">
        <f>+C129</f>
        <v>8630.6</v>
      </c>
      <c r="D240" s="294">
        <f>+D129</f>
        <v>11843.688240000001</v>
      </c>
      <c r="E240" s="293">
        <f>+E129</f>
        <v>11403.53</v>
      </c>
      <c r="F240" s="295">
        <f>+F129</f>
        <v>7207.7766666666676</v>
      </c>
      <c r="G240" s="295">
        <f>+G129</f>
        <v>7425.1319999999996</v>
      </c>
      <c r="H240" s="388"/>
      <c r="I240" s="415">
        <f t="shared" si="22"/>
        <v>-0.36793460738326927</v>
      </c>
      <c r="J240" s="297">
        <f t="shared" si="22"/>
        <v>3.015566982513776E-2</v>
      </c>
    </row>
    <row r="241" spans="1:12" s="298" customFormat="1" ht="15" customHeight="1">
      <c r="A241" s="292" t="s">
        <v>164</v>
      </c>
      <c r="B241" s="365"/>
      <c r="C241" s="293">
        <f>+C154</f>
        <v>87147.520000000004</v>
      </c>
      <c r="D241" s="294">
        <f>+D154</f>
        <v>124548.4884007261</v>
      </c>
      <c r="E241" s="293">
        <f>+E154</f>
        <v>148187.26400000005</v>
      </c>
      <c r="F241" s="295">
        <f>+F154</f>
        <v>118310.98666666668</v>
      </c>
      <c r="G241" s="295">
        <f>+G154</f>
        <v>123398.41341099462</v>
      </c>
      <c r="H241" s="388"/>
      <c r="I241" s="415">
        <f t="shared" si="22"/>
        <v>-0.2016116400754478</v>
      </c>
      <c r="J241" s="297">
        <f t="shared" si="22"/>
        <v>4.3000459109190127E-2</v>
      </c>
    </row>
    <row r="242" spans="1:12" s="298" customFormat="1" ht="15" customHeight="1">
      <c r="A242" s="292" t="s">
        <v>74</v>
      </c>
      <c r="B242" s="365"/>
      <c r="C242" s="293">
        <f>+C168</f>
        <v>5013.01</v>
      </c>
      <c r="D242" s="294">
        <f>+D168</f>
        <v>12956.435864042549</v>
      </c>
      <c r="E242" s="293">
        <f>+E168</f>
        <v>1177.43</v>
      </c>
      <c r="F242" s="295">
        <f>+F168</f>
        <v>6684.0133333333342</v>
      </c>
      <c r="G242" s="295">
        <f>+G168</f>
        <v>12461.2880016</v>
      </c>
      <c r="H242" s="388"/>
      <c r="I242" s="415">
        <f t="shared" si="22"/>
        <v>4.6767819176794658</v>
      </c>
      <c r="J242" s="297">
        <f t="shared" si="22"/>
        <v>0.86434218188274081</v>
      </c>
    </row>
    <row r="243" spans="1:12" s="298" customFormat="1" ht="15" customHeight="1">
      <c r="A243" s="292" t="s">
        <v>369</v>
      </c>
      <c r="B243" s="365"/>
      <c r="C243" s="293">
        <f>+C185-C201</f>
        <v>1164</v>
      </c>
      <c r="D243" s="294">
        <f>+D185-D201</f>
        <v>10300</v>
      </c>
      <c r="E243" s="293">
        <f>+E185-E201</f>
        <v>20691.910000000003</v>
      </c>
      <c r="F243" s="295">
        <f>+F185-F201</f>
        <v>-943.01000000000204</v>
      </c>
      <c r="G243" s="295">
        <f>+G185-G201</f>
        <v>7563.6537333333335</v>
      </c>
      <c r="H243" s="388"/>
      <c r="I243" s="415">
        <f t="shared" si="22"/>
        <v>-1.0455738498765943</v>
      </c>
      <c r="J243" s="297">
        <f t="shared" si="22"/>
        <v>-9.0207566551079168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442"/>
    </row>
    <row r="245" spans="1:12" s="33" customFormat="1" ht="15" customHeight="1">
      <c r="A245" s="245" t="s">
        <v>189</v>
      </c>
      <c r="B245" s="363"/>
      <c r="C245" s="299">
        <f>+C203</f>
        <v>191169.07</v>
      </c>
      <c r="D245" s="300">
        <f>+D203</f>
        <v>271634.98321891087</v>
      </c>
      <c r="E245" s="299">
        <f>+E203</f>
        <v>305552.174</v>
      </c>
      <c r="F245" s="301">
        <f>+F203</f>
        <v>257170.25048954162</v>
      </c>
      <c r="G245" s="301">
        <f>+G203</f>
        <v>268955.86497823772</v>
      </c>
      <c r="H245" s="389"/>
      <c r="I245" s="281">
        <f>+I63</f>
        <v>0</v>
      </c>
      <c r="J245" s="192">
        <f>+J63</f>
        <v>0</v>
      </c>
      <c r="K245" s="58"/>
      <c r="L245" s="298"/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</row>
    <row r="247" spans="1:12" s="33" customFormat="1" ht="15" customHeight="1">
      <c r="A247" s="246" t="s">
        <v>228</v>
      </c>
      <c r="B247" s="366"/>
      <c r="C247" s="177">
        <f>+C205</f>
        <v>-2012.1748000000371</v>
      </c>
      <c r="D247" s="178">
        <f>+D205</f>
        <v>28605.016781089129</v>
      </c>
      <c r="E247" s="177">
        <f>+E205</f>
        <v>-54425.41519999993</v>
      </c>
      <c r="F247" s="228">
        <f>+F205</f>
        <v>-7811.1043395416345</v>
      </c>
      <c r="G247" s="228">
        <f>+G205</f>
        <v>24511.43502176227</v>
      </c>
      <c r="H247" s="314"/>
      <c r="I247" s="226">
        <f>+IF((E247)=0,,(F247-E247)/E247)</f>
        <v>-0.85648057417958579</v>
      </c>
      <c r="J247" s="283">
        <f>+IF((F247)=0,,(G247-F247)/F247)</f>
        <v>-4.1380242736842803</v>
      </c>
      <c r="L247" s="298"/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</row>
    <row r="249" spans="1:12" s="33" customFormat="1" ht="15" customHeight="1">
      <c r="A249" s="247" t="s">
        <v>370</v>
      </c>
      <c r="B249" s="367"/>
      <c r="C249" s="180">
        <f>+C207+C215</f>
        <v>26925.058430581787</v>
      </c>
      <c r="D249" s="181">
        <f>+D207+D215</f>
        <v>38778.774236842044</v>
      </c>
      <c r="E249" s="180">
        <f>+E207+E215</f>
        <v>29293.717224634496</v>
      </c>
      <c r="F249" s="230">
        <f>+F207+F215</f>
        <v>33079.80876282727</v>
      </c>
      <c r="G249" s="230">
        <f>+G207+G215</f>
        <v>38768.409440496464</v>
      </c>
      <c r="H249" s="316"/>
      <c r="I249" s="281">
        <f>+I67</f>
        <v>5.7504255189078402</v>
      </c>
      <c r="J249" s="192">
        <f>+J67</f>
        <v>-0.78551123635136499</v>
      </c>
      <c r="L249" s="298"/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</row>
    <row r="251" spans="1:12" s="33" customFormat="1" ht="20.100000000000001" customHeight="1">
      <c r="A251" s="246" t="s">
        <v>86</v>
      </c>
      <c r="B251" s="366"/>
      <c r="C251" s="177">
        <f>+C217</f>
        <v>-28937.233230581824</v>
      </c>
      <c r="D251" s="178">
        <f>+D217</f>
        <v>-10173.757455752915</v>
      </c>
      <c r="E251" s="177">
        <f>+E217</f>
        <v>-83719.13242463443</v>
      </c>
      <c r="F251" s="228">
        <f>+F217</f>
        <v>-40890.913102368904</v>
      </c>
      <c r="G251" s="228">
        <f>+G217</f>
        <v>-14256.974418734193</v>
      </c>
      <c r="H251" s="314"/>
      <c r="I251" s="226">
        <f>+IF((E251)=0,,(F251-E251)/E251)</f>
        <v>-0.51157027171561187</v>
      </c>
      <c r="J251" s="283">
        <f>+IF((F251)=0,,(G251-F251)/F251)</f>
        <v>-0.65134125562218725</v>
      </c>
      <c r="L251" s="298"/>
    </row>
    <row r="252" spans="1:12">
      <c r="F252" s="2"/>
      <c r="G252" s="2"/>
      <c r="H252" s="5"/>
      <c r="I252" s="24"/>
    </row>
    <row r="253" spans="1:12" s="298" customFormat="1" ht="15" customHeight="1">
      <c r="A253" s="292" t="s">
        <v>95</v>
      </c>
      <c r="B253" s="365"/>
      <c r="C253" s="293">
        <f>+C28</f>
        <v>140167.17000000001</v>
      </c>
      <c r="D253" s="294">
        <v>200000</v>
      </c>
      <c r="E253" s="293">
        <f>+E28</f>
        <v>161814.9</v>
      </c>
      <c r="F253" s="295"/>
      <c r="G253" s="1162">
        <f>+G28</f>
        <v>180000</v>
      </c>
      <c r="H253" s="418"/>
      <c r="I253" s="415"/>
      <c r="J253" s="297"/>
    </row>
    <row r="254" spans="1:12" s="298" customFormat="1" ht="15" customHeight="1">
      <c r="A254" s="292" t="s">
        <v>371</v>
      </c>
      <c r="B254" s="365"/>
      <c r="C254" s="293">
        <f>+C222</f>
        <v>807756.03122437699</v>
      </c>
      <c r="D254" s="294">
        <f>+D222</f>
        <v>862260.4373770915</v>
      </c>
      <c r="E254" s="293">
        <f>+E222</f>
        <v>1275603.3951414649</v>
      </c>
      <c r="F254" s="295">
        <f>+F222</f>
        <v>817605.80071089824</v>
      </c>
      <c r="G254" s="295">
        <f>+G222</f>
        <v>843080.20388694305</v>
      </c>
      <c r="H254" s="388"/>
      <c r="I254" s="415"/>
      <c r="J254" s="297"/>
    </row>
    <row r="255" spans="1:12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3000</v>
      </c>
      <c r="H255" s="418"/>
      <c r="I255" s="415"/>
      <c r="J255" s="297"/>
    </row>
    <row r="256" spans="1:12">
      <c r="F256" s="2"/>
      <c r="G256" s="2"/>
      <c r="H256" s="2"/>
      <c r="I256" s="24"/>
    </row>
  </sheetData>
  <phoneticPr fontId="0" type="noConversion"/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L256"/>
  <sheetViews>
    <sheetView topLeftCell="A202" workbookViewId="0">
      <selection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42578125" style="442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</row>
    <row r="4" spans="1:12" ht="20.25" customHeight="1">
      <c r="A4" s="7" t="s">
        <v>418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2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2">
      <c r="A8" s="5" t="s">
        <v>221</v>
      </c>
      <c r="B8" s="92"/>
      <c r="C8" s="160">
        <f>-IF(ISNA(VLOOKUP("sau707130000",Balance!C:G,5,FALSE))=TRUE,0,VLOOKUP("sau707130000",Balance!C:G,5,FALSE))</f>
        <v>186133.57</v>
      </c>
      <c r="D8" s="117">
        <f>+[2]Saumur!$H8</f>
        <v>380000</v>
      </c>
      <c r="E8" s="160">
        <f>-IF(ISNA(VLOOKUP("sau707130000",Balanceanp!C:G,5,FALSE))=TRUE,0,VLOOKUP("sau707130000",Balanceanp!C:G,5,FALSE))</f>
        <v>174156.71</v>
      </c>
      <c r="F8" s="368">
        <v>245000</v>
      </c>
      <c r="G8" s="570">
        <v>284396</v>
      </c>
      <c r="H8" s="401"/>
      <c r="I8" s="149">
        <f>+IF((E8)=0,,(F8-E8)/E8)</f>
        <v>0.40677898658053435</v>
      </c>
      <c r="J8" s="271">
        <f>+IF((F8)=0,,(G8-F8)/F8)</f>
        <v>0.1608</v>
      </c>
      <c r="L8" s="443"/>
    </row>
    <row r="9" spans="1:12">
      <c r="A9" s="5" t="s">
        <v>422</v>
      </c>
      <c r="B9" s="92"/>
      <c r="C9" s="160">
        <f>-IF(ISNA(VLOOKUP("sau707131000",Balance!C:G,5,FALSE))=TRUE,0,VLOOKUP("sau707131000",Balance!C:G,5,FALSE))</f>
        <v>0</v>
      </c>
      <c r="D9" s="117">
        <f>+[2]Saumur!$H9</f>
        <v>0</v>
      </c>
      <c r="E9" s="160">
        <f>-IF(ISNA(VLOOKUP("sau707131000",Balanceanp!C:G,5,FALSE))=TRUE,0,VLOOKUP("sau707131000",Balanceanp!C:G,5,FALSE))</f>
        <v>102510.62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443"/>
    </row>
    <row r="10" spans="1:12">
      <c r="A10" s="5" t="s">
        <v>84</v>
      </c>
      <c r="B10" s="92"/>
      <c r="C10" s="160">
        <f>-IF(ISNA(VLOOKUP("sau707300000",Balance!C:G,5,FALSE))=TRUE,0,VLOOKUP("sau707300000",Balance!C:G,5,FALSE))</f>
        <v>0</v>
      </c>
      <c r="D10" s="117">
        <f>+[2]Saumur!$H10</f>
        <v>0</v>
      </c>
      <c r="E10" s="160">
        <f>-IF(ISNA(VLOOKUP("sau707300000",Balanceanp!C:G,5,FALSE))=TRUE,0,VLOOKUP("sau707300000",Balanceanp!C:G,5,FALSE))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s="443"/>
    </row>
    <row r="11" spans="1:12">
      <c r="A11" s="5" t="s">
        <v>267</v>
      </c>
      <c r="B11" s="92"/>
      <c r="C11" s="160">
        <f>-IF(ISNA(VLOOKUP("sau707110000",Balance!C:G,5,FALSE))=TRUE,0,VLOOKUP("sau707110000",Balance!C:G,5,FALSE))</f>
        <v>0</v>
      </c>
      <c r="D11" s="117">
        <f>+[2]Saumur!$H11</f>
        <v>0</v>
      </c>
      <c r="E11" s="160">
        <f>-IF(ISNA(VLOOKUP("sau707110000",Balanceanp!C:G,5,FALSE))=TRUE,0,VLOOKUP("sau707110000",Balanceanp!C:G,5,FALSE))</f>
        <v>0</v>
      </c>
      <c r="F11" s="368">
        <f t="shared" si="2"/>
        <v>0</v>
      </c>
      <c r="G11" s="570">
        <f t="shared" si="0"/>
        <v>0</v>
      </c>
      <c r="H11" s="401"/>
      <c r="I11" s="149">
        <f t="shared" si="1"/>
        <v>0</v>
      </c>
      <c r="J11" s="271">
        <f t="shared" si="1"/>
        <v>0</v>
      </c>
      <c r="L11" s="443"/>
    </row>
    <row r="12" spans="1:12">
      <c r="A12" s="5" t="s">
        <v>46</v>
      </c>
      <c r="B12" s="92"/>
      <c r="C12" s="160">
        <f>-IF(ISNA(VLOOKUP("sau707120000",Balance!C:G,5,FALSE))=TRUE,0,VLOOKUP("sau707120000",Balance!C:G,5,FALSE))</f>
        <v>0</v>
      </c>
      <c r="D12" s="117">
        <f>+[2]Saumur!$H12</f>
        <v>0</v>
      </c>
      <c r="E12" s="160">
        <f>-IF(ISNA(VLOOKUP("sau707120000",Balanceanp!C:G,5,FALSE))=TRUE,0,VLOOKUP("sau707120000",Balanceanp!C:G,5,FALSE))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s="443"/>
    </row>
    <row r="13" spans="1:12">
      <c r="A13" s="5" t="s">
        <v>268</v>
      </c>
      <c r="B13" s="92"/>
      <c r="C13" s="160">
        <f>-IF(ISNA(VLOOKUP("sau707230000",Balance!C:G,5,FALSE))=TRUE,0,VLOOKUP("sau707230000",Balance!C:G,5,FALSE))</f>
        <v>0</v>
      </c>
      <c r="D13" s="117">
        <f>+[2]Saumur!$H13</f>
        <v>0</v>
      </c>
      <c r="E13" s="160">
        <f>-IF(ISNA(VLOOKUP("sau707230000",Balanceanp!C:G,5,FALSE))=TRUE,0,VLOOKUP("sau707230000",Balanceanp!C:G,5,FALSE))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s="443"/>
    </row>
    <row r="14" spans="1:12">
      <c r="A14" s="5" t="s">
        <v>269</v>
      </c>
      <c r="B14" s="92"/>
      <c r="C14" s="160">
        <f>-IF(ISNA(VLOOKUP("sau708820000",Balance!C:G,5,FALSE))=TRUE,0,VLOOKUP("sau708820000",Balance!C:G,5,FALSE))</f>
        <v>0</v>
      </c>
      <c r="D14" s="117">
        <f>+[2]Saumur!$H14</f>
        <v>0</v>
      </c>
      <c r="E14" s="160">
        <f>-IF(ISNA(VLOOKUP("sau708820000",Balanceanp!C:G,5,FALSE))=TRUE,0,VLOOKUP("sau708820000",Balanceanp!C:G,5,FALSE))</f>
        <v>0</v>
      </c>
      <c r="F14" s="368">
        <f t="shared" si="2"/>
        <v>0</v>
      </c>
      <c r="G14" s="570">
        <f t="shared" si="0"/>
        <v>0</v>
      </c>
      <c r="H14" s="401"/>
      <c r="I14" s="149">
        <f t="shared" si="1"/>
        <v>0</v>
      </c>
      <c r="J14" s="271">
        <f t="shared" si="1"/>
        <v>0</v>
      </c>
      <c r="L14" s="443"/>
    </row>
    <row r="15" spans="1:12">
      <c r="A15" s="5" t="s">
        <v>270</v>
      </c>
      <c r="B15" s="92"/>
      <c r="C15" s="160">
        <f>-IF(ISNA(VLOOKUP("sau708500000",Balance!C:G,5,FALSE))=TRUE,0,VLOOKUP("sau708500000",Balance!C:G,5,FALSE))</f>
        <v>513</v>
      </c>
      <c r="D15" s="117">
        <f>+[2]Saumur!$H15</f>
        <v>0</v>
      </c>
      <c r="E15" s="160">
        <f>-IF(ISNA(VLOOKUP("sau708500000",Balanceanp!C:G,5,FALSE))=TRUE,0,VLOOKUP("sau708500000",Balanceanp!C:G,5,FALSE))</f>
        <v>888</v>
      </c>
      <c r="F15" s="368">
        <f t="shared" si="2"/>
        <v>513</v>
      </c>
      <c r="G15" s="570">
        <v>0</v>
      </c>
      <c r="H15" s="401"/>
      <c r="I15" s="149">
        <f t="shared" si="1"/>
        <v>-0.42229729729729731</v>
      </c>
      <c r="J15" s="271">
        <f t="shared" si="1"/>
        <v>-1</v>
      </c>
      <c r="L15" s="443"/>
    </row>
    <row r="16" spans="1:12">
      <c r="A16" s="5" t="s">
        <v>85</v>
      </c>
      <c r="B16" s="92"/>
      <c r="C16" s="160">
        <f>IF(ISNA(VLOOKUP("sau706000000",Balance!C:G,5,FALSE))=TRUE,0,-VLOOKUP("sau706000000",Balance!C:G,5,FALSE))+IF(ISNA(VLOOKUP("sau706010000",Balance!C:G,5,FALSE))=TRUE,0,-VLOOKUP("sau706010000",Balance!C:G,5,FALSE))</f>
        <v>0</v>
      </c>
      <c r="D16" s="117">
        <f>+[2]Saumur!$H16</f>
        <v>0</v>
      </c>
      <c r="E16" s="160">
        <f>IF(ISNA(VLOOKUP("sau706000000",Balanceanp!C:G,5,FALSE))=TRUE,0,-VLOOKUP("sau706000000",Balanceanp!C:G,5,FALSE))+IF(ISNA(VLOOKUP("sau706010000",Balanceanp!C:G,5,FALSE))=TRUE,0,-VLOOKUP("sau706010000",Balanceanp!C:G,5,FALSE))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s="443"/>
    </row>
    <row r="17" spans="1:12">
      <c r="A17" s="5" t="s">
        <v>88</v>
      </c>
      <c r="B17" s="92"/>
      <c r="C17" s="160">
        <f>IF(ISNA(VLOOKUP("sau707500000",Balance!C:G,5,FALSE))=TRUE,0,-VLOOKUP("sau707500000",Balance!C:G,5,FALSE))</f>
        <v>0</v>
      </c>
      <c r="D17" s="117">
        <f>+[2]Saumur!$H17</f>
        <v>0</v>
      </c>
      <c r="E17" s="160">
        <f>IF(ISNA(VLOOKUP("sau707500000",Balanceanp!C:G,5,FALSE))=TRUE,0,-VLOOKUP("sau707500000",Balanceanp!C:G,5,FALSE))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s="443"/>
    </row>
    <row r="18" spans="1:12">
      <c r="A18" s="5" t="s">
        <v>89</v>
      </c>
      <c r="B18" s="92"/>
      <c r="C18" s="160">
        <f>IF(ISNA(VLOOKUP("sau707510000",Balance!C:G,5,FALSE))=TRUE,0,-VLOOKUP("sau707510000",Balance!C:G,5,FALSE))</f>
        <v>0</v>
      </c>
      <c r="D18" s="117">
        <f>+[2]Saumur!$H18</f>
        <v>0</v>
      </c>
      <c r="E18" s="160">
        <f>IF(ISNA(VLOOKUP("sau707510000",Balanceanp!C:G,5,FALSE))=TRUE,0,-VLOOKUP("sau707510000",Balanceanp!C:G,5,FALSE))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s="443"/>
    </row>
    <row r="19" spans="1:12">
      <c r="A19" s="5" t="s">
        <v>90</v>
      </c>
      <c r="B19" s="92"/>
      <c r="C19" s="160">
        <f>IF(ISNA(VLOOKUP("sau708300000",Balance!C:G,5,FALSE))=TRUE,0,-VLOOKUP("sau708300000",Balance!C:G,5,FALSE))</f>
        <v>0</v>
      </c>
      <c r="D19" s="117">
        <f>+[2]Saumur!$H19</f>
        <v>0</v>
      </c>
      <c r="E19" s="160">
        <f>IF(ISNA(VLOOKUP("sau708300000",Balanceanp!C:G,5,FALSE))=TRUE,0,-VLOOKUP("sau708300000",Balanceanp!C:G,5,FALSE))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s="443"/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444"/>
    </row>
    <row r="21" spans="1:12" s="33" customFormat="1" ht="15" customHeight="1">
      <c r="A21" s="13" t="s">
        <v>222</v>
      </c>
      <c r="B21" s="93"/>
      <c r="C21" s="163">
        <f>SUM(C7:C20)</f>
        <v>186646.57</v>
      </c>
      <c r="D21" s="118">
        <f>SUM(D7:D20)</f>
        <v>380000</v>
      </c>
      <c r="E21" s="163">
        <f>SUM(E7:E20)</f>
        <v>277555.32999999996</v>
      </c>
      <c r="F21" s="136">
        <f>SUM(F7:F20)</f>
        <v>245513</v>
      </c>
      <c r="G21" s="136">
        <f>SUM(G7:G20)</f>
        <v>284396</v>
      </c>
      <c r="H21" s="312"/>
      <c r="I21" s="272">
        <f>+IF((E21)=0,,(F21-E21)/E21)</f>
        <v>-0.11544483761129705</v>
      </c>
      <c r="J21" s="188">
        <f>+IF((F21)=0,,(G21-F21)/F21)</f>
        <v>0.15837450562699326</v>
      </c>
      <c r="L21" s="445"/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444"/>
    </row>
    <row r="23" spans="1:12">
      <c r="A23" s="5" t="s">
        <v>92</v>
      </c>
      <c r="B23" s="92"/>
      <c r="C23" s="160">
        <f>IF(ISNA(VLOOKUP("sau602650000",Balance!C:G,5,FALSE))=TRUE,0,VLOOKUP("sau602650000",Balance!C:G,5,FALSE))</f>
        <v>0</v>
      </c>
      <c r="D23" s="115"/>
      <c r="E23" s="160">
        <f>IF(ISNA(VLOOKUP("sau602650000",Balanceanp!C:G,5,FALSE))=TRUE,0,VLOOKUP("sau602650000",Balanceanp!C:G,5,FALSE))</f>
        <v>0</v>
      </c>
      <c r="F23" s="134"/>
      <c r="G23" s="134"/>
      <c r="H23" s="400"/>
      <c r="I23" s="149"/>
      <c r="J23" s="271"/>
      <c r="L23" s="444"/>
    </row>
    <row r="24" spans="1:12">
      <c r="A24" s="5" t="s">
        <v>93</v>
      </c>
      <c r="B24" s="92"/>
      <c r="C24" s="160">
        <f>IF(ISNA(VLOOKUP("sau607100000",Balance!C:G,5,FALSE))=TRUE,0,VLOOKUP("sau607100000",Balance!C:G,5,FALSE))</f>
        <v>31095.68</v>
      </c>
      <c r="D24" s="115"/>
      <c r="E24" s="160">
        <f>IF(ISNA(VLOOKUP("sau607100000",Balanceanp!C:G,5,FALSE))=TRUE,0,VLOOKUP("sau607100000",Balanceanp!C:G,5,FALSE))</f>
        <v>64044.24</v>
      </c>
      <c r="F24" s="134"/>
      <c r="G24" s="134"/>
      <c r="H24" s="400"/>
      <c r="I24" s="149"/>
      <c r="J24" s="271"/>
      <c r="L24" s="444"/>
    </row>
    <row r="25" spans="1:12">
      <c r="A25" s="5" t="s">
        <v>94</v>
      </c>
      <c r="B25" s="92"/>
      <c r="C25" s="160">
        <f>IF(ISNA(VLOOKUP("sau607110000",Balance!C:G,5,FALSE))=TRUE,0,VLOOKUP("sau607110000",Balance!C:G,5,FALSE))+IF(ISNA(VLOOKUP("sau607120000",Balance!C:G,5,FALSE))=TRUE,0,VLOOKUP("sau607120000",Balance!C:G,5,FALSE))</f>
        <v>1080</v>
      </c>
      <c r="D25" s="115"/>
      <c r="E25" s="160">
        <f>IF(ISNA(VLOOKUP("sau607110000",Balanceanp!C:G,5,FALSE))=TRUE,0,VLOOKUP("sau607110000",Balanceanp!C:G,5,FALSE))+IF(ISNA(VLOOKUP("sau607120000",Balanceanp!C:G,5,FALSE))=TRUE,0,VLOOKUP("sau607120000",Balanceanp!C:G,5,FALSE))</f>
        <v>2262.65</v>
      </c>
      <c r="F25" s="134"/>
      <c r="G25" s="134"/>
      <c r="H25" s="400"/>
      <c r="I25" s="149"/>
      <c r="J25" s="271"/>
      <c r="L25" s="444"/>
    </row>
    <row r="26" spans="1:12">
      <c r="A26" s="5" t="s">
        <v>288</v>
      </c>
      <c r="B26" s="92"/>
      <c r="C26" s="160">
        <f>IF(ISNA(VLOOKUP("sau607130000",Balance!C:G,5,FALSE))=TRUE,0,VLOOKUP("sau607130000",Balance!C:G,5,FALSE))</f>
        <v>39413.17</v>
      </c>
      <c r="D26" s="115"/>
      <c r="E26" s="160">
        <f>IF(ISNA(VLOOKUP("sau607130000",Balanceanp!C:G,5,FALSE))=TRUE,0,VLOOKUP("sau607130000",Balanceanp!C:G,5,FALSE))</f>
        <v>67688</v>
      </c>
      <c r="F26" s="134"/>
      <c r="G26" s="134"/>
      <c r="H26" s="400"/>
      <c r="I26" s="149"/>
      <c r="J26" s="271"/>
      <c r="L26" s="444"/>
    </row>
    <row r="27" spans="1:12">
      <c r="A27" s="5" t="s">
        <v>289</v>
      </c>
      <c r="B27" s="92"/>
      <c r="C27" s="160">
        <f>IF(ISNA(VLOOKUP("sau607140000",Balance!C:G,5,FALSE))=TRUE,0,VLOOKUP("sau607140000",Balance!C:G,5,FALSE))</f>
        <v>-17389.45</v>
      </c>
      <c r="D27" s="115"/>
      <c r="E27" s="160">
        <f>IF(ISNA(VLOOKUP("sau607140000",Balanceanp!C:G,5,FALSE))=TRUE,0,VLOOKUP("sau607140000",Balanceanp!C:G,5,FALSE))</f>
        <v>-36180</v>
      </c>
      <c r="F27" s="134"/>
      <c r="G27" s="134"/>
      <c r="H27" s="400"/>
      <c r="I27" s="149"/>
      <c r="J27" s="271"/>
      <c r="L27" s="444"/>
    </row>
    <row r="28" spans="1:12">
      <c r="A28" s="5" t="s">
        <v>95</v>
      </c>
      <c r="B28" s="92"/>
      <c r="C28" s="160">
        <f>IF(ISNA(VLOOKUP("sau607200000",Balance!C:G,5,FALSE))=TRUE,0,VLOOKUP("sau607200000",Balance!C:G,5,FALSE))</f>
        <v>47605.5</v>
      </c>
      <c r="D28" s="115"/>
      <c r="E28" s="160">
        <f>IF(ISNA(VLOOKUP("sau607200000",Balanceanp!C:G,5,FALSE))=TRUE,0,VLOOKUP("sau607200000",Balanceanp!C:G,5,FALSE))</f>
        <v>73857.69</v>
      </c>
      <c r="F28" s="134"/>
      <c r="G28" s="1161">
        <v>80000</v>
      </c>
      <c r="H28" s="400"/>
      <c r="I28" s="149"/>
      <c r="J28" s="271"/>
      <c r="L28" s="444"/>
    </row>
    <row r="29" spans="1:12">
      <c r="A29" s="5" t="s">
        <v>293</v>
      </c>
      <c r="B29" s="92"/>
      <c r="C29" s="160">
        <f>IF(ISNA(VLOOKUP("sau607150000",Balance!C:G,5,FALSE))=TRUE,0,VLOOKUP("sau607150000",Balance!C:G,5,FALSE))</f>
        <v>0</v>
      </c>
      <c r="D29" s="115"/>
      <c r="E29" s="357">
        <f>IF(ISNA(VLOOKUP("sau607150000",Balanceanp!C:G,5,FALSE))=TRUE,0,VLOOKUP("sau607150000",Balanceanp!C:G,5,FALSE))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444"/>
    </row>
    <row r="30" spans="1:12" s="43" customFormat="1" ht="15" customHeight="1">
      <c r="A30" s="42" t="s">
        <v>292</v>
      </c>
      <c r="B30" s="94"/>
      <c r="C30" s="164">
        <f>SUM(C23:C29)</f>
        <v>101804.90000000001</v>
      </c>
      <c r="D30" s="119"/>
      <c r="E30" s="164">
        <f>SUM(E23:E29)</f>
        <v>171672.58000000002</v>
      </c>
      <c r="F30" s="137"/>
      <c r="G30" s="137"/>
      <c r="H30" s="402"/>
      <c r="I30" s="273"/>
      <c r="J30" s="342"/>
      <c r="L30" s="446"/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444"/>
    </row>
    <row r="32" spans="1:12" s="33" customFormat="1" ht="15" customHeight="1">
      <c r="A32" s="56" t="s">
        <v>336</v>
      </c>
      <c r="B32" s="95"/>
      <c r="C32" s="166">
        <f>+C21-C30-C38</f>
        <v>77738.86</v>
      </c>
      <c r="D32" s="120"/>
      <c r="E32" s="166">
        <f>+E21-E30-E38</f>
        <v>104624.00559999995</v>
      </c>
      <c r="F32" s="138"/>
      <c r="G32" s="138"/>
      <c r="H32" s="403"/>
      <c r="I32" s="273"/>
      <c r="J32" s="274"/>
      <c r="L32" s="447"/>
    </row>
    <row r="33" spans="1:12" s="33" customFormat="1" ht="15" customHeight="1">
      <c r="A33" s="56" t="s">
        <v>337</v>
      </c>
      <c r="B33" s="95"/>
      <c r="C33" s="196">
        <f>+C32/C21</f>
        <v>0.41650301958401914</v>
      </c>
      <c r="D33" s="120"/>
      <c r="E33" s="196">
        <f>+E32/E21</f>
        <v>0.37694828486990312</v>
      </c>
      <c r="F33" s="138"/>
      <c r="G33" s="138"/>
      <c r="H33" s="403"/>
      <c r="I33" s="273"/>
      <c r="J33" s="274"/>
      <c r="L33" s="447"/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444"/>
    </row>
    <row r="35" spans="1:12">
      <c r="A35" s="5" t="s">
        <v>96</v>
      </c>
      <c r="B35" s="92"/>
      <c r="C35" s="160">
        <f>IF(ISNA(VLOOKUP("sau607400000",Balance!C:G,5,FALSE))=TRUE,0,VLOOKUP("sau607400000",Balance!C:G,5,FALSE))</f>
        <v>1550.14</v>
      </c>
      <c r="D35" s="115"/>
      <c r="E35" s="160">
        <f>IF(ISNA(VLOOKUP("sau607400000",Balanceanp!C:G,5,FALSE))=TRUE,0,VLOOKUP("sau607400000",Balanceanp!C:G,5,FALSE))</f>
        <v>1942.73</v>
      </c>
      <c r="F35" s="134"/>
      <c r="G35" s="134"/>
      <c r="H35" s="400"/>
      <c r="I35" s="149" t="str">
        <f t="shared" si="3"/>
        <v/>
      </c>
      <c r="J35" s="271"/>
      <c r="L35" s="444"/>
    </row>
    <row r="36" spans="1:12">
      <c r="A36" s="5" t="s">
        <v>97</v>
      </c>
      <c r="B36" s="92"/>
      <c r="C36" s="160">
        <f>IF(ISNA(VLOOKUP("sau608000000",Balance!C:G,5,FALSE))=TRUE,0,VLOOKUP("sau608000000",Balance!C:G,5,FALSE))</f>
        <v>1277.01</v>
      </c>
      <c r="D36" s="115"/>
      <c r="E36" s="160">
        <f>IF(ISNA(VLOOKUP("sau608000000",Balanceanp!C:G,5,FALSE))=TRUE,0,VLOOKUP("sau608000000",Balanceanp!C:G,5,FALSE))</f>
        <v>1796.79</v>
      </c>
      <c r="F36" s="134"/>
      <c r="G36" s="134"/>
      <c r="H36" s="400"/>
      <c r="I36" s="149" t="str">
        <f t="shared" si="3"/>
        <v/>
      </c>
      <c r="J36" s="271"/>
      <c r="L36" s="444"/>
    </row>
    <row r="37" spans="1:12">
      <c r="A37" s="5" t="s">
        <v>98</v>
      </c>
      <c r="B37" s="92"/>
      <c r="C37" s="160">
        <f>IF(ISNA(VLOOKUP("sau608100000",Balance!C:G,5,FALSE))=TRUE,0,VLOOKUP("sau608100000",Balance!C:G,5,FALSE))</f>
        <v>0</v>
      </c>
      <c r="D37" s="115"/>
      <c r="E37" s="160">
        <f>IF(ISNA(VLOOKUP("sau608100000",Balanceanp!C:G,5,FALSE))=TRUE,0,VLOOKUP("sau608100000",Balanceanp!C:G,5,FALSE))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444"/>
    </row>
    <row r="38" spans="1:12">
      <c r="A38" s="5" t="s">
        <v>99</v>
      </c>
      <c r="B38" s="92"/>
      <c r="C38" s="160">
        <f>+C56-C57</f>
        <v>7102.8099999999977</v>
      </c>
      <c r="D38" s="115"/>
      <c r="E38" s="160">
        <f>+E56-E57</f>
        <v>1258.7443999999959</v>
      </c>
      <c r="F38" s="134"/>
      <c r="G38" s="134"/>
      <c r="H38" s="400"/>
      <c r="I38" s="149" t="str">
        <f t="shared" si="3"/>
        <v/>
      </c>
      <c r="J38" s="271"/>
      <c r="L38" s="444"/>
    </row>
    <row r="39" spans="1:12">
      <c r="A39" s="5" t="s">
        <v>177</v>
      </c>
      <c r="B39" s="92"/>
      <c r="C39" s="160">
        <f>IF(ISNA(VLOOKUP("sau681730000",Balance!C:G,5,FALSE))=TRUE,0,VLOOKUP("sau681730000",Balance!C:G,5,FALSE))</f>
        <v>0</v>
      </c>
      <c r="D39" s="115"/>
      <c r="E39" s="160">
        <f>IF(ISNA(VLOOKUP("sau681730000",Balanceanp!C:G,5,FALSE))=TRUE,0,VLOOKUP("sau681730000",Balanceanp!C:G,5,FALSE))</f>
        <v>285.38</v>
      </c>
      <c r="F39" s="134"/>
      <c r="G39" s="134"/>
      <c r="H39" s="400"/>
      <c r="I39" s="149" t="str">
        <f t="shared" si="3"/>
        <v/>
      </c>
      <c r="J39" s="271"/>
      <c r="L39" s="444"/>
    </row>
    <row r="40" spans="1:12">
      <c r="A40" s="5" t="s">
        <v>176</v>
      </c>
      <c r="B40" s="92"/>
      <c r="C40" s="160">
        <f>IF(ISNA(VLOOKUP("sau781730000",Balance!C:G,5,FALSE))=TRUE,0,VLOOKUP("sau781730000",Balance!C:G,5,FALSE))</f>
        <v>-285.38</v>
      </c>
      <c r="D40" s="115"/>
      <c r="E40" s="160">
        <f>IF(ISNA(VLOOKUP("sau781730000",Balanceanp!C:G,5,FALSE))=TRUE,0,VLOOKUP("sau781730000",Balanceanp!C:G,5,FALSE))</f>
        <v>0</v>
      </c>
      <c r="F40" s="134"/>
      <c r="G40" s="134"/>
      <c r="H40" s="400"/>
      <c r="I40" s="149" t="str">
        <f t="shared" si="3"/>
        <v/>
      </c>
      <c r="J40" s="271"/>
      <c r="L40" s="444"/>
    </row>
    <row r="41" spans="1:12">
      <c r="A41" s="5" t="s">
        <v>317</v>
      </c>
      <c r="B41" s="92"/>
      <c r="C41" s="160">
        <f>IF(ISNA(VLOOKUP("sau609110000",Balance!C:G,5,FALSE))=TRUE,0,VLOOKUP("sau609110000",Balance!C:G,5,FALSE))</f>
        <v>-181.96</v>
      </c>
      <c r="D41" s="115"/>
      <c r="E41" s="160">
        <f>IF(ISNA(VLOOKUP("sau609110000",Balanceanp!C:G,5,FALSE))=TRUE,0,VLOOKUP("sau609110000",Balanceanp!C:G,5,FALSE))</f>
        <v>-3571.96</v>
      </c>
      <c r="F41" s="134"/>
      <c r="G41" s="134"/>
      <c r="H41" s="400"/>
      <c r="I41" s="149" t="str">
        <f t="shared" si="3"/>
        <v/>
      </c>
      <c r="J41" s="271"/>
      <c r="L41" s="444"/>
    </row>
    <row r="42" spans="1:12">
      <c r="A42" s="5" t="s">
        <v>318</v>
      </c>
      <c r="B42" s="92"/>
      <c r="C42" s="160">
        <f>IF(ISNA(VLOOKUP("sau609120000",Balance!C:G,5,FALSE))=TRUE,0,VLOOKUP("sau609120000",Balance!C:G,5,FALSE))</f>
        <v>-3195.15</v>
      </c>
      <c r="D42" s="115"/>
      <c r="E42" s="160">
        <f>IF(ISNA(VLOOKUP("sau609120000",Balanceanp!C:G,5,FALSE))=TRUE,0,VLOOKUP("sau609120000",Balanceanp!C:G,5,FALSE))</f>
        <v>-5912.91</v>
      </c>
      <c r="F42" s="134"/>
      <c r="G42" s="134"/>
      <c r="H42" s="400"/>
      <c r="I42" s="149" t="str">
        <f t="shared" si="3"/>
        <v/>
      </c>
      <c r="J42" s="271"/>
      <c r="L42" s="444"/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444"/>
    </row>
    <row r="44" spans="1:12" s="33" customFormat="1" ht="15" customHeight="1">
      <c r="A44" s="13" t="s">
        <v>291</v>
      </c>
      <c r="B44" s="93"/>
      <c r="C44" s="163">
        <f>+C30+SUM(C34:C43)</f>
        <v>108072.37000000001</v>
      </c>
      <c r="D44" s="121"/>
      <c r="E44" s="163">
        <f>+E30+SUM(E34:E43)</f>
        <v>167471.35440000001</v>
      </c>
      <c r="F44" s="139"/>
      <c r="G44" s="139"/>
      <c r="H44" s="404"/>
      <c r="I44" s="272"/>
      <c r="J44" s="188"/>
      <c r="L44" s="448"/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444"/>
    </row>
    <row r="46" spans="1:12" s="33" customFormat="1" ht="15" customHeight="1">
      <c r="A46" s="56" t="s">
        <v>339</v>
      </c>
      <c r="B46" s="95"/>
      <c r="C46" s="166">
        <f>+C21-C44</f>
        <v>78574.2</v>
      </c>
      <c r="D46" s="120"/>
      <c r="E46" s="166">
        <f>+E21-E44</f>
        <v>110083.97559999995</v>
      </c>
      <c r="F46" s="138"/>
      <c r="G46" s="138"/>
      <c r="H46" s="403"/>
      <c r="I46" s="273"/>
      <c r="J46" s="274"/>
      <c r="L46" s="447"/>
    </row>
    <row r="47" spans="1:12" s="33" customFormat="1" ht="15" customHeight="1">
      <c r="A47" s="56" t="s">
        <v>340</v>
      </c>
      <c r="B47" s="95"/>
      <c r="C47" s="196">
        <f>+C46/C21</f>
        <v>0.42097853713572125</v>
      </c>
      <c r="D47" s="120"/>
      <c r="E47" s="196">
        <f>+E46/E21</f>
        <v>0.39661993015951075</v>
      </c>
      <c r="F47" s="138"/>
      <c r="G47" s="138"/>
      <c r="H47" s="403"/>
      <c r="I47" s="273"/>
      <c r="J47" s="274"/>
      <c r="L47" s="447"/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444"/>
    </row>
    <row r="49" spans="1:12">
      <c r="A49" s="5" t="s">
        <v>91</v>
      </c>
      <c r="B49" s="92">
        <f>+C49/C21</f>
        <v>1.2054869264407055E-2</v>
      </c>
      <c r="C49" s="160">
        <f>IF(ISNA(VLOOKUP("sau709700000",Balance!C:G,5,FALSE))=TRUE,0,VLOOKUP("sau709700000",Balance!C:G,5,FALSE))</f>
        <v>2250</v>
      </c>
      <c r="D49" s="117">
        <f>+[2]Saumur!$H49</f>
        <v>3000</v>
      </c>
      <c r="E49" s="160">
        <f>IF(ISNA(VLOOKUP("sau709700000",Balanceanp!C:G,5,FALSE))=TRUE,0,VLOOKUP("sau709700000",Balanceanp!C:G,5,FALSE))</f>
        <v>1137.1199999999999</v>
      </c>
      <c r="F49" s="135">
        <v>2000</v>
      </c>
      <c r="G49" s="425">
        <v>3000</v>
      </c>
      <c r="H49" s="419"/>
      <c r="I49" s="149">
        <f>+IF((E49)=0,,(F49-E49)/E49)</f>
        <v>0.75882932320247665</v>
      </c>
      <c r="J49" s="271">
        <f>+IF((F49)=0,,(G49-F49)/F49)</f>
        <v>0.5</v>
      </c>
      <c r="L49" s="443"/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444"/>
    </row>
    <row r="51" spans="1:12" s="33" customFormat="1" ht="15" customHeight="1">
      <c r="A51" s="13" t="s">
        <v>223</v>
      </c>
      <c r="B51" s="93"/>
      <c r="C51" s="163">
        <f>+C21-C49</f>
        <v>184396.57</v>
      </c>
      <c r="D51" s="118">
        <f>+D21-D49</f>
        <v>377000</v>
      </c>
      <c r="E51" s="163">
        <f>+E21-E49</f>
        <v>276418.20999999996</v>
      </c>
      <c r="F51" s="136">
        <f>+F21-F49</f>
        <v>243513</v>
      </c>
      <c r="G51" s="136">
        <f>+G21-G49</f>
        <v>281396</v>
      </c>
      <c r="H51" s="312"/>
      <c r="I51" s="272">
        <f>+IF((E51)=0,,(F51-E51)/E51)</f>
        <v>-0.11904139745351787</v>
      </c>
      <c r="J51" s="188">
        <f>+IF((F51)=0,,(G51-F51)/F51)</f>
        <v>0.15556869653776184</v>
      </c>
      <c r="L51" s="445"/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444"/>
    </row>
    <row r="53" spans="1:12" s="33" customFormat="1" ht="15" customHeight="1">
      <c r="A53" s="16" t="s">
        <v>3</v>
      </c>
      <c r="B53" s="96"/>
      <c r="C53" s="169">
        <f>+C51-C44</f>
        <v>76324.2</v>
      </c>
      <c r="D53" s="122"/>
      <c r="E53" s="169">
        <f>+E51-E44</f>
        <v>108946.85559999995</v>
      </c>
      <c r="F53" s="140"/>
      <c r="G53" s="140"/>
      <c r="H53" s="405"/>
      <c r="I53" s="224"/>
      <c r="J53" s="123"/>
      <c r="K53" s="2"/>
      <c r="L53" s="449"/>
    </row>
    <row r="54" spans="1:12" s="33" customFormat="1" ht="15" customHeight="1">
      <c r="A54" s="16" t="s">
        <v>4</v>
      </c>
      <c r="B54" s="96"/>
      <c r="C54" s="197">
        <f>+C53/C51</f>
        <v>0.4139133390604825</v>
      </c>
      <c r="D54" s="123"/>
      <c r="E54" s="197">
        <f>+E53/E51</f>
        <v>0.39413776538094203</v>
      </c>
      <c r="F54" s="141"/>
      <c r="G54" s="141"/>
      <c r="H54" s="406"/>
      <c r="I54" s="224"/>
      <c r="J54" s="123"/>
      <c r="K54" s="2"/>
      <c r="L54" s="450"/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444"/>
    </row>
    <row r="56" spans="1:12">
      <c r="A56" s="5" t="s">
        <v>290</v>
      </c>
      <c r="B56" s="92"/>
      <c r="C56" s="160">
        <f>+[2]Saumur!$C56</f>
        <v>67538.81</v>
      </c>
      <c r="D56" s="115"/>
      <c r="E56" s="160">
        <f>+[1]Saumur!$G56</f>
        <v>66524.319799999997</v>
      </c>
      <c r="F56" s="134"/>
      <c r="G56" s="134"/>
      <c r="H56" s="400"/>
      <c r="I56" s="149" t="str">
        <f>+IF((D55)=0,"",(C55-D55)/D55)</f>
        <v/>
      </c>
      <c r="J56" s="271"/>
      <c r="L56" s="444"/>
    </row>
    <row r="57" spans="1:12">
      <c r="A57" s="5" t="s">
        <v>100</v>
      </c>
      <c r="B57" s="92"/>
      <c r="C57" s="160">
        <f>+[2]Saumur!$C57</f>
        <v>60436</v>
      </c>
      <c r="D57" s="115"/>
      <c r="E57" s="160">
        <f>+[1]Saumur!$G57</f>
        <v>65265.575400000002</v>
      </c>
      <c r="F57" s="134"/>
      <c r="G57" s="134"/>
      <c r="H57" s="400"/>
      <c r="I57" s="149" t="str">
        <f>+IF((D56)=0,"",(C56-D56)/D56)</f>
        <v/>
      </c>
      <c r="J57" s="271"/>
      <c r="L57" s="444"/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444"/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444"/>
    </row>
    <row r="60" spans="1:12" s="33" customFormat="1" ht="15" customHeight="1">
      <c r="A60" s="16" t="s">
        <v>295</v>
      </c>
      <c r="B60" s="96"/>
      <c r="C60" s="197">
        <f>+[2]Saumur!$C60</f>
        <v>0.41499999999999998</v>
      </c>
      <c r="D60" s="123">
        <f>+[2]Saumur!$H60</f>
        <v>0.40500000000000003</v>
      </c>
      <c r="E60" s="197">
        <v>0.40500000000000003</v>
      </c>
      <c r="F60" s="141">
        <v>0.43</v>
      </c>
      <c r="G60" s="141">
        <v>0.43</v>
      </c>
      <c r="H60" s="406"/>
      <c r="I60" s="224"/>
      <c r="J60" s="123"/>
      <c r="L60" s="450"/>
    </row>
    <row r="61" spans="1:12">
      <c r="A61" s="5" t="s">
        <v>65</v>
      </c>
      <c r="B61" s="92"/>
      <c r="C61" s="92">
        <f>+[2]Saumur!$C61</f>
        <v>0.44500000000000001</v>
      </c>
      <c r="D61" s="117"/>
      <c r="E61" s="160"/>
      <c r="F61" s="135"/>
      <c r="G61" s="135"/>
      <c r="H61" s="408"/>
      <c r="I61" s="149"/>
      <c r="J61" s="254"/>
      <c r="L61" s="443"/>
    </row>
    <row r="62" spans="1:12" s="33" customFormat="1" ht="15" customHeight="1">
      <c r="A62" s="16" t="s">
        <v>296</v>
      </c>
      <c r="B62" s="96"/>
      <c r="C62" s="169">
        <f>+C51*C60</f>
        <v>76524.576549999998</v>
      </c>
      <c r="D62" s="122">
        <f>D51*D60</f>
        <v>152685</v>
      </c>
      <c r="E62" s="169">
        <f>+E51*E60</f>
        <v>111949.37504999999</v>
      </c>
      <c r="F62" s="140">
        <f>+F51*F60</f>
        <v>104710.59</v>
      </c>
      <c r="G62" s="140">
        <f>+G51*G60</f>
        <v>121000.28</v>
      </c>
      <c r="H62" s="405"/>
      <c r="I62" s="224">
        <f>+IF((E62)=0,,(F62-E62)/E62)</f>
        <v>-6.4661236802500507E-2</v>
      </c>
      <c r="J62" s="123">
        <f>+IF((F62)=0,,(G62-F62)/F62)</f>
        <v>0.15556869653776187</v>
      </c>
      <c r="L62" s="449"/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444"/>
    </row>
    <row r="64" spans="1:12">
      <c r="A64" s="5" t="s">
        <v>104</v>
      </c>
      <c r="B64" s="92"/>
      <c r="C64" s="160">
        <f>IF(ISNA(VLOOKUP("sau613520000",Balance!C:G,5,FALSE))=TRUE,0,VLOOKUP("sau613520000",Balance!C:G,5,FALSE))</f>
        <v>0</v>
      </c>
      <c r="D64" s="117">
        <f>+[2]Saumur!$H64</f>
        <v>0</v>
      </c>
      <c r="E64" s="160">
        <f>IF(ISNA(VLOOKUP("sau613520000",Balanceanp!C:G,5,FALSE))=TRUE,0,VLOOKUP("sau613520000",Balanceanp!C:G,5,FALSE))</f>
        <v>0</v>
      </c>
      <c r="F64" s="368">
        <v>0</v>
      </c>
      <c r="G64" s="570">
        <f>+F64*1.03</f>
        <v>0</v>
      </c>
      <c r="H64" s="401"/>
      <c r="I64" s="149">
        <f t="shared" ref="I64:J68" si="4">+IF((E64)=0,,(F64-E64)/E64)</f>
        <v>0</v>
      </c>
      <c r="J64" s="271">
        <f t="shared" si="4"/>
        <v>0</v>
      </c>
      <c r="L64" s="443"/>
    </row>
    <row r="65" spans="1:12">
      <c r="A65" s="5" t="s">
        <v>314</v>
      </c>
      <c r="B65" s="92"/>
      <c r="C65" s="160">
        <f>IF(ISNA(VLOOKUP("sau612500000",Balance!C:G,5,FALSE))=TRUE,0,VLOOKUP("sau612500000",Balance!C:G,5,FALSE))</f>
        <v>2362.0500000000002</v>
      </c>
      <c r="D65" s="117">
        <f>+[2]Saumur!$H65</f>
        <v>3150</v>
      </c>
      <c r="E65" s="160">
        <f>IF(ISNA(VLOOKUP("sau612500000",Balanceanp!C:G,5,FALSE))=TRUE,0,VLOOKUP("sau612500000",Balanceanp!C:G,5,FALSE))</f>
        <v>3411.85</v>
      </c>
      <c r="F65" s="368">
        <v>3149.4</v>
      </c>
      <c r="G65" s="570">
        <v>0</v>
      </c>
      <c r="H65" s="409"/>
      <c r="I65" s="149">
        <f t="shared" si="4"/>
        <v>-7.6923076923076872E-2</v>
      </c>
      <c r="J65" s="271">
        <f t="shared" si="4"/>
        <v>-1</v>
      </c>
      <c r="L65" s="443"/>
    </row>
    <row r="66" spans="1:12">
      <c r="A66" s="5" t="s">
        <v>110</v>
      </c>
      <c r="B66" s="92"/>
      <c r="C66" s="160">
        <f>IF(ISNA(VLOOKUP("sau616120000",Balance!C:G,5,FALSE))=TRUE,0,VLOOKUP("sau616120000",Balance!C:G,5,FALSE))</f>
        <v>472.5</v>
      </c>
      <c r="D66" s="117">
        <f>+[2]Saumur!$H66</f>
        <v>630</v>
      </c>
      <c r="E66" s="160">
        <f>IF(ISNA(VLOOKUP("sau616120000",Balanceanp!C:G,5,FALSE))=TRUE,0,VLOOKUP("sau616120000",Balanceanp!C:G,5,FALSE))</f>
        <v>619.79999999999995</v>
      </c>
      <c r="F66" s="368">
        <f>+C66+C66/9*(12-Clients!$I$14)</f>
        <v>630</v>
      </c>
      <c r="G66" s="570">
        <v>0</v>
      </c>
      <c r="H66" s="401"/>
      <c r="I66" s="149">
        <f t="shared" si="4"/>
        <v>1.6456921587608982E-2</v>
      </c>
      <c r="J66" s="271">
        <f t="shared" si="4"/>
        <v>-1</v>
      </c>
      <c r="L66" s="443"/>
    </row>
    <row r="67" spans="1:12">
      <c r="A67" s="5" t="s">
        <v>107</v>
      </c>
      <c r="B67" s="92"/>
      <c r="C67" s="160">
        <f>IF(ISNA(VLOOKUP("sau615520000",Balance!C:G,5,FALSE))=TRUE,0,VLOOKUP("sau615520000",Balance!C:G,5,FALSE))</f>
        <v>21.9</v>
      </c>
      <c r="D67" s="117">
        <f>+[2]Saumur!$H67</f>
        <v>279.233</v>
      </c>
      <c r="E67" s="160">
        <f>IF(ISNA(VLOOKUP("sau615520000",Balanceanp!C:G,5,FALSE))=TRUE,0,VLOOKUP("sau615520000",Balanceanp!C:G,5,FALSE))</f>
        <v>179.07</v>
      </c>
      <c r="F67" s="368">
        <f>+C67+C67/9*(12-Clients!$I$14)</f>
        <v>29.199999999999996</v>
      </c>
      <c r="G67" s="570">
        <v>0</v>
      </c>
      <c r="H67" s="401"/>
      <c r="I67" s="149">
        <f t="shared" si="4"/>
        <v>-0.83693527670743295</v>
      </c>
      <c r="J67" s="271">
        <f t="shared" si="4"/>
        <v>-1</v>
      </c>
      <c r="L67" s="443"/>
    </row>
    <row r="68" spans="1:12">
      <c r="A68" s="5" t="s">
        <v>125</v>
      </c>
      <c r="B68" s="92"/>
      <c r="C68" s="160">
        <f>IF(ISNA(VLOOKUP("sau606130000",Balance!C:G,5,FALSE))=TRUE,0,VLOOKUP("sau606130000",Balance!C:G,5,FALSE))</f>
        <v>1012.44</v>
      </c>
      <c r="D68" s="117">
        <f>+[2]Saumur!$H68</f>
        <v>2000</v>
      </c>
      <c r="E68" s="160">
        <f>IF(ISNA(VLOOKUP("sau606130000",Balanceanp!C:G,5,FALSE))=TRUE,0,VLOOKUP("sau606130000",Balanceanp!C:G,5,FALSE))</f>
        <v>1690.33</v>
      </c>
      <c r="F68" s="368">
        <v>2000</v>
      </c>
      <c r="G68" s="425">
        <v>0</v>
      </c>
      <c r="H68" s="410"/>
      <c r="I68" s="149">
        <f t="shared" si="4"/>
        <v>0.18320091343110523</v>
      </c>
      <c r="J68" s="271">
        <f t="shared" si="4"/>
        <v>-1</v>
      </c>
      <c r="L68" s="443"/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444"/>
    </row>
    <row r="70" spans="1:12">
      <c r="A70" s="11" t="s">
        <v>128</v>
      </c>
      <c r="B70" s="98"/>
      <c r="C70" s="173">
        <f>SUM(C64:C69)</f>
        <v>3868.8900000000003</v>
      </c>
      <c r="D70" s="125">
        <f>SUM(D64:D69)</f>
        <v>6059.2330000000002</v>
      </c>
      <c r="E70" s="276">
        <f>SUM(E64:E69)</f>
        <v>5901.0499999999993</v>
      </c>
      <c r="F70" s="370">
        <f>SUM(F64:F69)</f>
        <v>5808.6</v>
      </c>
      <c r="G70" s="359">
        <f>SUM(G64:G69)</f>
        <v>0</v>
      </c>
      <c r="H70" s="412"/>
      <c r="I70" s="384">
        <f>+IF((E70)=0,,(F70-E70)/E70)</f>
        <v>-1.566670338329601E-2</v>
      </c>
      <c r="J70" s="279">
        <f>+IF((F70)=0,,(G70-F70)/F70)</f>
        <v>-1</v>
      </c>
      <c r="L70" s="443"/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444"/>
    </row>
    <row r="72" spans="1:12">
      <c r="A72" s="5" t="s">
        <v>1</v>
      </c>
      <c r="B72" s="92"/>
      <c r="C72" s="160">
        <f>IF(ISNA(VLOOKUP("sau602220000",Balance!C:G,5,FALSE))=TRUE,0,VLOOKUP("sau602220000",Balance!C:G,5,FALSE))</f>
        <v>59.04</v>
      </c>
      <c r="D72" s="117">
        <f>+[2]Saumur!$H72</f>
        <v>63.875913500000003</v>
      </c>
      <c r="E72" s="160">
        <f>IF(ISNA(VLOOKUP("sau602220000",Balanceanp!C:G,5,FALSE))=TRUE,0,VLOOKUP("sau602220000",Balanceanp!C:G,5,FALSE))</f>
        <v>199.34</v>
      </c>
      <c r="F72" s="368">
        <f>+C72+C72/9*(12-Clients!$I$14)</f>
        <v>78.72</v>
      </c>
      <c r="G72" s="396">
        <f>+F72*1.03</f>
        <v>81.081599999999995</v>
      </c>
      <c r="H72" s="409"/>
      <c r="I72" s="149">
        <f t="shared" ref="I72:J87" si="5">+IF((E72)=0,,(F72-E72)/E72)</f>
        <v>-0.60509681950436445</v>
      </c>
      <c r="J72" s="271">
        <f t="shared" si="5"/>
        <v>2.9999999999999947E-2</v>
      </c>
      <c r="L72" s="443"/>
    </row>
    <row r="73" spans="1:12">
      <c r="A73" s="5" t="s">
        <v>123</v>
      </c>
      <c r="B73" s="92"/>
      <c r="C73" s="160">
        <f>IF(ISNA(VLOOKUP("sau606100000",Balance!C:G,5,FALSE))=TRUE,0,VLOOKUP("sau606100000",Balance!C:G,5,FALSE))</f>
        <v>3789.74</v>
      </c>
      <c r="D73" s="117">
        <f>+[2]Saumur!$H73</f>
        <v>2412.6822999999999</v>
      </c>
      <c r="E73" s="160">
        <f>IF(ISNA(VLOOKUP("sau606100000",Balanceanp!C:G,5,FALSE))=TRUE,0,VLOOKUP("sau606100000",Balanceanp!C:G,5,FALSE))</f>
        <v>2050.7800000000002</v>
      </c>
      <c r="F73" s="368">
        <v>4000</v>
      </c>
      <c r="G73" s="396">
        <f t="shared" ref="G73:G101" si="6">+F73*1.03</f>
        <v>4120</v>
      </c>
      <c r="H73" s="409"/>
      <c r="I73" s="149">
        <f t="shared" si="5"/>
        <v>0.95047737933859289</v>
      </c>
      <c r="J73" s="271">
        <f t="shared" si="5"/>
        <v>0.03</v>
      </c>
      <c r="K73" s="2" t="s">
        <v>722</v>
      </c>
      <c r="L73" s="443"/>
    </row>
    <row r="74" spans="1:12">
      <c r="A74" s="5" t="s">
        <v>124</v>
      </c>
      <c r="B74" s="92"/>
      <c r="C74" s="160">
        <f>IF(ISNA(VLOOKUP("sau606110000",Balance!C:G,5,FALSE))=TRUE,0,VLOOKUP("sau606110000",Balance!C:G,5,FALSE))</f>
        <v>0</v>
      </c>
      <c r="D74" s="117">
        <f>+[2]Saumur!$H74</f>
        <v>0</v>
      </c>
      <c r="E74" s="160">
        <f>IF(ISNA(VLOOKUP("sau606110000",Balanceanp!C:G,5,FALSE))=TRUE,0,VLOOKUP("sau606110000",Balanceanp!C:G,5,FALSE))</f>
        <v>0</v>
      </c>
      <c r="F74" s="368">
        <f>+C74+C74/9*(12-Clients!$I$14)</f>
        <v>0</v>
      </c>
      <c r="G74" s="396">
        <f t="shared" si="6"/>
        <v>0</v>
      </c>
      <c r="H74" s="409"/>
      <c r="I74" s="149">
        <f t="shared" si="5"/>
        <v>0</v>
      </c>
      <c r="J74" s="271">
        <f t="shared" si="5"/>
        <v>0</v>
      </c>
      <c r="L74" s="443"/>
    </row>
    <row r="75" spans="1:12">
      <c r="A75" s="5" t="s">
        <v>360</v>
      </c>
      <c r="B75" s="92"/>
      <c r="C75" s="160">
        <f>IF(ISNA(VLOOKUP("sau606140000",Balance!C:G,5,FALSE))=TRUE,0,VLOOKUP("sau606140000",Balance!C:G,5,FALSE))</f>
        <v>0</v>
      </c>
      <c r="D75" s="117">
        <f>+[2]Saumur!$H75</f>
        <v>0</v>
      </c>
      <c r="E75" s="160">
        <f>IF(ISNA(VLOOKUP("sau606140000",Balanceanp!C:G,5,FALSE))=TRUE,0,VLOOKUP("sau606140000",Balanceanp!C:G,5,FALSE))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s="443"/>
    </row>
    <row r="76" spans="1:12">
      <c r="A76" s="5" t="s">
        <v>126</v>
      </c>
      <c r="B76" s="92"/>
      <c r="C76" s="160">
        <f>IF(ISNA(VLOOKUP("sau606310000",Balance!C:G,5,FALSE))=TRUE,0,VLOOKUP("sau606310000",Balance!C:G,5,FALSE))</f>
        <v>0</v>
      </c>
      <c r="D76" s="117">
        <f>+[2]Saumur!$H76</f>
        <v>28.875929833333334</v>
      </c>
      <c r="E76" s="160">
        <f>IF(ISNA(VLOOKUP("sau606310000",Balanceanp!C:G,5,FALSE))=TRUE,0,VLOOKUP("sau606310000",Balanceanp!C:G,5,FALSE))</f>
        <v>0</v>
      </c>
      <c r="F76" s="368">
        <f>+C76+C76/9*(12-Clients!$I$14)</f>
        <v>0</v>
      </c>
      <c r="G76" s="396">
        <f t="shared" si="6"/>
        <v>0</v>
      </c>
      <c r="H76" s="409"/>
      <c r="I76" s="149">
        <f t="shared" si="5"/>
        <v>0</v>
      </c>
      <c r="J76" s="271">
        <f t="shared" si="5"/>
        <v>0</v>
      </c>
      <c r="L76" s="443"/>
    </row>
    <row r="77" spans="1:12">
      <c r="A77" s="5" t="s">
        <v>127</v>
      </c>
      <c r="B77" s="92"/>
      <c r="C77" s="160">
        <f>IF(ISNA(VLOOKUP("sau606410000",Balance!C:G,5,FALSE))=TRUE,0,VLOOKUP("sau606410000",Balance!C:G,5,FALSE))</f>
        <v>1169.79</v>
      </c>
      <c r="D77" s="117">
        <f>+[2]Saumur!$H77</f>
        <v>1382.2085000000002</v>
      </c>
      <c r="E77" s="160">
        <f>IF(ISNA(VLOOKUP("sau606410000",Balanceanp!C:G,5,FALSE))=TRUE,0,VLOOKUP("sau606410000",Balanceanp!C:G,5,FALSE))</f>
        <v>1181.19</v>
      </c>
      <c r="F77" s="368">
        <f>+C77+C77/9*(12-Clients!$I$14)</f>
        <v>1559.7199999999998</v>
      </c>
      <c r="G77" s="396">
        <f t="shared" si="6"/>
        <v>1606.5115999999998</v>
      </c>
      <c r="H77" s="409"/>
      <c r="I77" s="149">
        <f t="shared" si="5"/>
        <v>0.32046495483368442</v>
      </c>
      <c r="J77" s="271">
        <f t="shared" si="5"/>
        <v>3.0000000000000016E-2</v>
      </c>
      <c r="L77" s="443"/>
    </row>
    <row r="78" spans="1:12">
      <c r="A78" s="5" t="s">
        <v>101</v>
      </c>
      <c r="B78" s="92"/>
      <c r="C78" s="160">
        <f>IF(ISNA(VLOOKUP("sau611000000",Balance!C:G,5,FALSE))=TRUE,0,VLOOKUP("sau611000000",Balance!C:G,5,FALSE))</f>
        <v>0</v>
      </c>
      <c r="D78" s="117">
        <f>+[2]Saumur!$H78</f>
        <v>346.49789675000005</v>
      </c>
      <c r="E78" s="160">
        <f>IF(ISNA(VLOOKUP("sau611000000",Balanceanp!C:G,5,FALSE))=TRUE,0,VLOOKUP("sau611000000",Balanceanp!C:G,5,FALSE))</f>
        <v>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0</v>
      </c>
      <c r="J78" s="271">
        <f t="shared" si="5"/>
        <v>0</v>
      </c>
      <c r="L78" s="443"/>
    </row>
    <row r="79" spans="1:12">
      <c r="A79" s="5" t="s">
        <v>102</v>
      </c>
      <c r="B79" s="92"/>
      <c r="C79" s="160">
        <f>IF(ISNA(VLOOKUP("sau613200000",Balance!C:G,5,FALSE))=TRUE,0,VLOOKUP("sau613200000",Balance!C:G,5,FALSE))</f>
        <v>18540</v>
      </c>
      <c r="D79" s="117">
        <f>+[2]Saumur!$H79</f>
        <v>24720</v>
      </c>
      <c r="E79" s="160">
        <f>IF(ISNA(VLOOKUP("sau613200000",Balanceanp!C:G,5,FALSE))=TRUE,0,VLOOKUP("sau613200000",Balanceanp!C:G,5,FALSE))</f>
        <v>22000</v>
      </c>
      <c r="F79" s="425">
        <f>5754.16/3*10+5827.14/3*2</f>
        <v>23065.293333333335</v>
      </c>
      <c r="G79" s="425">
        <f>5827.14/3*10+5827.14/3*2*1.05</f>
        <v>23502.798000000003</v>
      </c>
      <c r="H79" s="413"/>
      <c r="I79" s="149">
        <f t="shared" si="5"/>
        <v>4.8422424242424315E-2</v>
      </c>
      <c r="J79" s="271">
        <f t="shared" si="5"/>
        <v>1.8968094632223809E-2</v>
      </c>
      <c r="K79" s="2">
        <f>5754.16*1.196</f>
        <v>6881.9753599999995</v>
      </c>
      <c r="L79" s="443"/>
    </row>
    <row r="80" spans="1:12">
      <c r="A80" s="5" t="s">
        <v>325</v>
      </c>
      <c r="B80" s="92"/>
      <c r="C80" s="160">
        <f>IF(ISNA(VLOOKUP("sau614000000",Balance!C:G,5,FALSE))=TRUE,0,VLOOKUP("sau614000000",Balance!C:G,5,FALSE))</f>
        <v>0</v>
      </c>
      <c r="D80" s="117">
        <f>+[2]Saumur!$H80</f>
        <v>0</v>
      </c>
      <c r="E80" s="160">
        <f>IF(ISNA(VLOOKUP("sau614000000",Balanceanp!C:G,5,FALSE))=TRUE,0,VLOOKUP("sau614000000",Balanceanp!C:G,5,FALSE))</f>
        <v>0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0</v>
      </c>
      <c r="J80" s="271">
        <f t="shared" si="5"/>
        <v>0</v>
      </c>
      <c r="L80" s="443"/>
    </row>
    <row r="81" spans="1:12">
      <c r="A81" s="5" t="s">
        <v>103</v>
      </c>
      <c r="B81" s="92"/>
      <c r="C81" s="160">
        <f>IF(ISNA(VLOOKUP("sau613510000",Balance!C:G,5,FALSE))=TRUE,0,VLOOKUP("sau613510000",Balance!C:G,5,FALSE))</f>
        <v>0</v>
      </c>
      <c r="D81" s="117">
        <f>+[2]Saumur!$H81</f>
        <v>0</v>
      </c>
      <c r="E81" s="160">
        <f>IF(ISNA(VLOOKUP("sau613510000",Balanceanp!C:G,5,FALSE))=TRUE,0,VLOOKUP("sau613510000",Balanceanp!C:G,5,FALSE))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s="443"/>
    </row>
    <row r="82" spans="1:12">
      <c r="A82" s="5" t="s">
        <v>105</v>
      </c>
      <c r="B82" s="92"/>
      <c r="C82" s="160">
        <f>IF(ISNA(VLOOKUP("sau613530000",Balance!C:G,5,FALSE))=TRUE,0,VLOOKUP("sau613530000",Balance!C:G,5,FALSE))</f>
        <v>932.42</v>
      </c>
      <c r="D82" s="117">
        <f>+[2]Saumur!$H82</f>
        <v>1251.759</v>
      </c>
      <c r="E82" s="160">
        <f>IF(ISNA(VLOOKUP("sau613530000",Balanceanp!C:G,5,FALSE))=TRUE,0,VLOOKUP("sau613530000",Balanceanp!C:G,5,FALSE))</f>
        <v>1050.18</v>
      </c>
      <c r="F82" s="368">
        <f>+C82+C82/9*(12-Clients!$I$14)</f>
        <v>1243.2266666666667</v>
      </c>
      <c r="G82" s="396">
        <f t="shared" si="6"/>
        <v>1280.5234666666668</v>
      </c>
      <c r="H82" s="409"/>
      <c r="I82" s="149">
        <f t="shared" si="5"/>
        <v>0.18382245583296827</v>
      </c>
      <c r="J82" s="271">
        <f t="shared" si="5"/>
        <v>3.0000000000000061E-2</v>
      </c>
      <c r="L82" s="443"/>
    </row>
    <row r="83" spans="1:12">
      <c r="A83" s="5" t="s">
        <v>287</v>
      </c>
      <c r="B83" s="92"/>
      <c r="C83" s="160">
        <f>IF(ISNA(VLOOKUP("sau613540000",Balance!C:G,5,FALSE))=TRUE,0,VLOOKUP("sau613540000",Balance!C:G,5,FALSE))</f>
        <v>0</v>
      </c>
      <c r="D83" s="117">
        <f>+[2]Saumur!$H83</f>
        <v>57.719148583333251</v>
      </c>
      <c r="E83" s="160">
        <f>IF(ISNA(VLOOKUP("sau613540000",Balanceanp!C:G,5,FALSE))=TRUE,0,VLOOKUP("sau613540000",Balanceanp!C:G,5,FALSE))</f>
        <v>0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0</v>
      </c>
      <c r="J83" s="271">
        <f t="shared" si="5"/>
        <v>0</v>
      </c>
      <c r="L83" s="443"/>
    </row>
    <row r="84" spans="1:12">
      <c r="A84" s="5" t="s">
        <v>108</v>
      </c>
      <c r="B84" s="92"/>
      <c r="C84" s="160">
        <f>IF(ISNA(VLOOKUP("sau615200000",Balance!C:G,5,FALSE))=TRUE,0,VLOOKUP("sau615200000",Balance!C:G,5,FALSE))</f>
        <v>1152.78</v>
      </c>
      <c r="D84" s="117">
        <f>+[2]Saumur!$H84</f>
        <v>1454.8132000000001</v>
      </c>
      <c r="E84" s="160">
        <f>IF(ISNA(VLOOKUP("sau615200000",Balanceanp!C:G,5,FALSE))=TRUE,0,VLOOKUP("sau615200000",Balanceanp!C:G,5,FALSE))</f>
        <v>2215.61</v>
      </c>
      <c r="F84" s="368">
        <f>+C84+C84/9*(12-Clients!$I$14)</f>
        <v>1537.04</v>
      </c>
      <c r="G84" s="396">
        <f t="shared" si="6"/>
        <v>1583.1512</v>
      </c>
      <c r="H84" s="409"/>
      <c r="I84" s="149">
        <f t="shared" si="5"/>
        <v>-0.30626779983841929</v>
      </c>
      <c r="J84" s="271">
        <f t="shared" si="5"/>
        <v>3.0000000000000037E-2</v>
      </c>
      <c r="L84" s="443"/>
    </row>
    <row r="85" spans="1:12">
      <c r="A85" s="5" t="s">
        <v>109</v>
      </c>
      <c r="B85" s="92"/>
      <c r="C85" s="160">
        <f>IF(ISNA(VLOOKUP("sau615500000",Balance!C:G,5,FALSE))=TRUE,0,VLOOKUP("sau615500000",Balance!C:G,5,FALSE))</f>
        <v>934</v>
      </c>
      <c r="D85" s="117">
        <f>+[2]Saumur!$H85</f>
        <v>1102.1000000000001</v>
      </c>
      <c r="E85" s="160">
        <f>IF(ISNA(VLOOKUP("sau615500000",Balanceanp!C:G,5,FALSE))=TRUE,0,VLOOKUP("sau615500000",Balanceanp!C:G,5,FALSE))</f>
        <v>920</v>
      </c>
      <c r="F85" s="368">
        <f>+C85+C85/9*(12-Clients!$I$14)</f>
        <v>1245.3333333333333</v>
      </c>
      <c r="G85" s="396">
        <f t="shared" si="6"/>
        <v>1282.6933333333334</v>
      </c>
      <c r="H85" s="409"/>
      <c r="I85" s="149">
        <f t="shared" si="5"/>
        <v>0.35362318840579704</v>
      </c>
      <c r="J85" s="271">
        <f t="shared" si="5"/>
        <v>3.0000000000000103E-2</v>
      </c>
      <c r="L85" s="443"/>
    </row>
    <row r="86" spans="1:12">
      <c r="A86" s="5" t="s">
        <v>106</v>
      </c>
      <c r="B86" s="92"/>
      <c r="C86" s="160">
        <f>IF(ISNA(VLOOKUP("sau615510000",Balance!C:G,5,FALSE))=TRUE,0,VLOOKUP("sau615510000",Balance!C:G,5,FALSE))</f>
        <v>196.59</v>
      </c>
      <c r="D86" s="117">
        <f>+[2]Saumur!$H86</f>
        <v>388.33738941666672</v>
      </c>
      <c r="E86" s="160">
        <f>IF(ISNA(VLOOKUP("sau615510000",Balanceanp!C:G,5,FALSE))=TRUE,0,VLOOKUP("sau615510000",Balanceanp!C:G,5,FALSE))</f>
        <v>0</v>
      </c>
      <c r="F86" s="368">
        <f>+C86+C86/9*(12-Clients!$I$14)</f>
        <v>262.12</v>
      </c>
      <c r="G86" s="396">
        <f t="shared" si="6"/>
        <v>269.98360000000002</v>
      </c>
      <c r="H86" s="409"/>
      <c r="I86" s="149">
        <f t="shared" si="5"/>
        <v>0</v>
      </c>
      <c r="J86" s="271">
        <f t="shared" si="5"/>
        <v>3.0000000000000075E-2</v>
      </c>
      <c r="L86" s="443"/>
    </row>
    <row r="87" spans="1:12">
      <c r="A87" s="5" t="s">
        <v>363</v>
      </c>
      <c r="B87" s="92"/>
      <c r="C87" s="160">
        <f>IF(ISNA(VLOOKUP("sau615530000",Balance!C:G,5,FALSE))=TRUE,0,VLOOKUP("sau615530000",Balance!C:G,5,FALSE))</f>
        <v>0</v>
      </c>
      <c r="D87" s="117">
        <f>+[2]Saumur!$H87</f>
        <v>0</v>
      </c>
      <c r="E87" s="160">
        <f>IF(ISNA(VLOOKUP("sau615530000",Balanceanp!C:G,5,FALSE))=TRUE,0,VLOOKUP("sau615530000",Balanceanp!C:G,5,FALSE))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s="443"/>
    </row>
    <row r="88" spans="1:12">
      <c r="A88" s="5" t="s">
        <v>111</v>
      </c>
      <c r="B88" s="92"/>
      <c r="C88" s="160">
        <f>IF(ISNA(VLOOKUP("sau616130000",Balance!C:G,5,FALSE))=TRUE,0,VLOOKUP("sau616130000",Balance!C:G,5,FALSE))</f>
        <v>1837.17</v>
      </c>
      <c r="D88" s="117">
        <f>+[2]Saumur!$H88</f>
        <v>2430</v>
      </c>
      <c r="E88" s="160">
        <f>IF(ISNA(VLOOKUP("sau616130000",Balanceanp!C:G,5,FALSE))=TRUE,0,VLOOKUP("sau616130000",Balanceanp!C:G,5,FALSE))</f>
        <v>1695.45</v>
      </c>
      <c r="F88" s="368">
        <f>+C88+C88/9*(12-Clients!$I$14)</f>
        <v>2449.56</v>
      </c>
      <c r="G88" s="570">
        <f>+F88*1.05</f>
        <v>2572.038</v>
      </c>
      <c r="H88" s="413"/>
      <c r="I88" s="149">
        <f t="shared" ref="I88:I101" si="7">+IF((E88)=0,,(F88-E88)/E88)</f>
        <v>0.44478457046801728</v>
      </c>
      <c r="J88" s="271">
        <f t="shared" ref="J88:J101" si="8">+IF((F88)=0,,(G88-F88)/F88)</f>
        <v>5.0000000000000031E-2</v>
      </c>
      <c r="L88" s="443"/>
    </row>
    <row r="89" spans="1:12">
      <c r="A89" s="5" t="s">
        <v>315</v>
      </c>
      <c r="B89" s="92"/>
      <c r="C89" s="160"/>
      <c r="D89" s="117">
        <f>+[2]Saumur!$H89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s="443"/>
    </row>
    <row r="90" spans="1:12">
      <c r="A90" s="5" t="s">
        <v>112</v>
      </c>
      <c r="B90" s="92"/>
      <c r="C90" s="160">
        <f>IF(ISNA(VLOOKUP("sau618100000",Balance!C:G,5,FALSE))=TRUE,0,VLOOKUP("sau618100000",Balance!C:G,5,FALSE))</f>
        <v>0</v>
      </c>
      <c r="D90" s="117">
        <f>+[2]Saumur!$H90</f>
        <v>110.95935933333332</v>
      </c>
      <c r="E90" s="160">
        <f>IF(ISNA(VLOOKUP("sau618100000",Balanceanp!C:G,5,FALSE))=TRUE,0,VLOOKUP("sau618100000",Balanceanp!C:G,5,FALSE))</f>
        <v>81.489999999999995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s="443"/>
    </row>
    <row r="91" spans="1:12">
      <c r="A91" s="5" t="s">
        <v>113</v>
      </c>
      <c r="B91" s="92"/>
      <c r="C91" s="160">
        <f>IF(ISNA(VLOOKUP("sau618500000",Balance!C:G,5,FALSE))=TRUE,0,VLOOKUP("sau618500000",Balance!C:G,5,FALSE))</f>
        <v>542.01</v>
      </c>
      <c r="D91" s="117">
        <f>+[2]Saumur!$H91</f>
        <v>648.08630000000005</v>
      </c>
      <c r="E91" s="160">
        <f>IF(ISNA(VLOOKUP("sau618500000",Balanceanp!C:G,5,FALSE))=TRUE,0,VLOOKUP("sau618500000",Balanceanp!C:G,5,FALSE))</f>
        <v>404.21</v>
      </c>
      <c r="F91" s="368">
        <f>+C91+C91/9*(12-Clients!$I$14)</f>
        <v>722.68</v>
      </c>
      <c r="G91" s="396">
        <v>500</v>
      </c>
      <c r="H91" s="409"/>
      <c r="I91" s="149">
        <f t="shared" si="7"/>
        <v>0.78788253630538574</v>
      </c>
      <c r="J91" s="271">
        <f t="shared" si="8"/>
        <v>-0.30813084629434878</v>
      </c>
      <c r="L91" s="443"/>
    </row>
    <row r="92" spans="1:12">
      <c r="A92" s="5" t="s">
        <v>309</v>
      </c>
      <c r="B92" s="92"/>
      <c r="C92" s="160">
        <f>IF(ISNA(VLOOKUP("sau622200000",Balance!C:G,5,FALSE))=TRUE,0,VLOOKUP("sau622200000",Balance!C:G,5,FALSE))</f>
        <v>0</v>
      </c>
      <c r="D92" s="117">
        <f>+[2]Saumur!$H92</f>
        <v>0</v>
      </c>
      <c r="E92" s="160">
        <f>IF(ISNA(VLOOKUP("sau622200000",Balanceanp!C:G,5,FALSE))=TRUE,0,VLOOKUP("sau622200000",Balanceanp!C:G,5,FALSE))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s="443"/>
    </row>
    <row r="93" spans="1:12">
      <c r="A93" s="5" t="s">
        <v>115</v>
      </c>
      <c r="B93" s="92"/>
      <c r="C93" s="160">
        <f>IF(ISNA(VLOOKUP("sau622600000",Balance!C:G,5,FALSE))=TRUE,0,VLOOKUP("sau622600000",Balance!C:G,5,FALSE))</f>
        <v>0</v>
      </c>
      <c r="D93" s="117">
        <f>+[2]Saumur!$H93</f>
        <v>0</v>
      </c>
      <c r="E93" s="160">
        <f>IF(ISNA(VLOOKUP("sau622600000",Balanceanp!C:G,5,FALSE))=TRUE,0,VLOOKUP("sau622600000",Balanceanp!C:G,5,FALSE))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s="443"/>
    </row>
    <row r="94" spans="1:12">
      <c r="A94" s="5" t="s">
        <v>42</v>
      </c>
      <c r="B94" s="92"/>
      <c r="C94" s="160">
        <f>IF(ISNA(VLOOKUP("sau622710000",Balance!C:G,5,FALSE))=TRUE,0,VLOOKUP("sau622710000",Balance!C:G,5,FALSE))</f>
        <v>0</v>
      </c>
      <c r="D94" s="117">
        <f>+[2]Saumur!$H94</f>
        <v>0</v>
      </c>
      <c r="E94" s="160">
        <f>IF(ISNA(VLOOKUP("sau622710000",Balanceanp!C:G,5,FALSE))=TRUE,0,VLOOKUP("sau622710000",Balanceanp!C:G,5,FALSE))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s="443"/>
    </row>
    <row r="95" spans="1:12">
      <c r="A95" s="5" t="s">
        <v>117</v>
      </c>
      <c r="B95" s="92">
        <f>+C95/$C$21</f>
        <v>1.1124126202801369E-2</v>
      </c>
      <c r="C95" s="160">
        <f>IF(ISNA(VLOOKUP("sau624200000",Balance!C:G,5,FALSE))=TRUE,0,VLOOKUP("sau624200000",Balance!C:G,5,FALSE))</f>
        <v>2076.2800000000002</v>
      </c>
      <c r="D95" s="117">
        <f>+[2]Saumur!$H95</f>
        <v>3646.9107000000004</v>
      </c>
      <c r="E95" s="160">
        <f>IF(ISNA(VLOOKUP("sau624200000",Balanceanp!C:G,5,FALSE))=TRUE,0,VLOOKUP("sau624200000",Balanceanp!C:G,5,FALSE))</f>
        <v>1643.12</v>
      </c>
      <c r="F95" s="368">
        <f>+C95+C95/9*(12-Clients!$I$14)</f>
        <v>2768.3733333333334</v>
      </c>
      <c r="G95" s="396">
        <v>3000</v>
      </c>
      <c r="H95" s="420">
        <f>+G95/$G$21</f>
        <v>1.0548671570626873E-2</v>
      </c>
      <c r="I95" s="149">
        <f t="shared" si="7"/>
        <v>0.68482723923592537</v>
      </c>
      <c r="J95" s="271">
        <f t="shared" si="8"/>
        <v>8.3668869323983236E-2</v>
      </c>
      <c r="L95" s="443"/>
    </row>
    <row r="96" spans="1:12">
      <c r="A96" s="5" t="s">
        <v>118</v>
      </c>
      <c r="B96" s="92"/>
      <c r="C96" s="160">
        <f>IF(ISNA(VLOOKUP("sau625100000",Balance!C:G,5,FALSE))=TRUE,0,VLOOKUP("sau625100000",Balance!C:G,5,FALSE))</f>
        <v>1625.5</v>
      </c>
      <c r="D96" s="117">
        <f>+[2]Saumur!$H96</f>
        <v>5500</v>
      </c>
      <c r="E96" s="160">
        <f>IF(ISNA(VLOOKUP("sau625100000",Balanceanp!C:G,5,FALSE))=TRUE,0,VLOOKUP("sau625100000",Balanceanp!C:G,5,FALSE))</f>
        <v>4975.6000000000004</v>
      </c>
      <c r="F96" s="368">
        <f>+C96+C96/9*(12-Clients!$I$14)</f>
        <v>2167.3333333333335</v>
      </c>
      <c r="G96" s="570">
        <v>3000</v>
      </c>
      <c r="H96" s="401"/>
      <c r="I96" s="149">
        <f t="shared" si="7"/>
        <v>-0.5644076426293646</v>
      </c>
      <c r="J96" s="271">
        <f t="shared" si="8"/>
        <v>0.38418948015995069</v>
      </c>
      <c r="L96" s="443"/>
    </row>
    <row r="97" spans="1:12">
      <c r="A97" s="5" t="s">
        <v>7</v>
      </c>
      <c r="B97" s="92"/>
      <c r="C97" s="160">
        <f>IF(ISNA(VLOOKUP("sau625200000",Balance!C:G,5,FALSE))=TRUE,0,VLOOKUP("sau625200000",Balance!C:G,5,FALSE))</f>
        <v>16.72</v>
      </c>
      <c r="D97" s="117">
        <f>+[2]Saumur!$H97</f>
        <v>0</v>
      </c>
      <c r="E97" s="160">
        <f>IF(ISNA(VLOOKUP("sau625200000",Balanceanp!C:G,5,FALSE))=TRUE,0,VLOOKUP("sau625200000",Balanceanp!C:G,5,FALSE))</f>
        <v>0</v>
      </c>
      <c r="F97" s="368">
        <f>+C97+C97/9*(12-Clients!$I$14)</f>
        <v>22.293333333333333</v>
      </c>
      <c r="G97" s="570">
        <v>0</v>
      </c>
      <c r="H97" s="401"/>
      <c r="I97" s="149">
        <f t="shared" si="7"/>
        <v>0</v>
      </c>
      <c r="J97" s="271">
        <f t="shared" si="8"/>
        <v>-1</v>
      </c>
      <c r="L97" s="443"/>
    </row>
    <row r="98" spans="1:12">
      <c r="A98" s="5" t="s">
        <v>307</v>
      </c>
      <c r="B98" s="92"/>
      <c r="C98" s="160">
        <f>IF(ISNA(VLOOKUP("sau625510000",Balance!C:G,5,FALSE))=TRUE,0,VLOOKUP("sau625510000",Balance!C:G,5,FALSE))</f>
        <v>0</v>
      </c>
      <c r="D98" s="117">
        <f>+[2]Saumur!$H98</f>
        <v>0</v>
      </c>
      <c r="E98" s="160">
        <f>IF(ISNA(VLOOKUP("sau625510000",Balanceanp!C:G,5,FALSE))=TRUE,0,VLOOKUP("sau625510000",Balanceanp!C:G,5,FALSE))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s="443"/>
    </row>
    <row r="99" spans="1:12">
      <c r="A99" s="5" t="s">
        <v>119</v>
      </c>
      <c r="B99" s="92"/>
      <c r="C99" s="160">
        <f>IF(ISNA(VLOOKUP("sau626000000",Balance!C:G,5,FALSE))=TRUE,0,VLOOKUP("sau626000000",Balance!C:G,5,FALSE))</f>
        <v>2207.4499999999998</v>
      </c>
      <c r="D99" s="117">
        <f>+[2]Saumur!$H99</f>
        <v>4205.4282000000003</v>
      </c>
      <c r="E99" s="160">
        <f>IF(ISNA(VLOOKUP("sau626000000",Balanceanp!C:G,5,FALSE))=TRUE,0,VLOOKUP("sau626000000",Balanceanp!C:G,5,FALSE))</f>
        <v>4151.07</v>
      </c>
      <c r="F99" s="368">
        <f>+C99+C99/9*(12-Clients!$I$14)</f>
        <v>2943.2666666666664</v>
      </c>
      <c r="G99" s="396">
        <f>+F99</f>
        <v>2943.2666666666664</v>
      </c>
      <c r="H99" s="409"/>
      <c r="I99" s="149">
        <f t="shared" si="7"/>
        <v>-0.29096192869147797</v>
      </c>
      <c r="J99" s="271">
        <f t="shared" si="8"/>
        <v>0</v>
      </c>
      <c r="L99" s="443"/>
    </row>
    <row r="100" spans="1:12">
      <c r="A100" s="5" t="s">
        <v>120</v>
      </c>
      <c r="B100" s="92"/>
      <c r="C100" s="160">
        <f>IF(ISNA(VLOOKUP("sau626100000",Balance!C:G,5,FALSE))=TRUE,0,VLOOKUP("sau626100000",Balance!C:G,5,FALSE))</f>
        <v>434.93</v>
      </c>
      <c r="D100" s="117">
        <f>+[2]Saumur!$H100</f>
        <v>676.39070000000004</v>
      </c>
      <c r="E100" s="160">
        <f>IF(ISNA(VLOOKUP("sau626100000",Balanceanp!C:G,5,FALSE))=TRUE,0,VLOOKUP("sau626100000",Balanceanp!C:G,5,FALSE))</f>
        <v>465.63</v>
      </c>
      <c r="F100" s="368">
        <f>+C100+C100/9*(12-Clients!$I$14)</f>
        <v>579.90666666666664</v>
      </c>
      <c r="G100" s="396">
        <f t="shared" si="6"/>
        <v>597.30386666666664</v>
      </c>
      <c r="H100" s="409"/>
      <c r="I100" s="149">
        <f t="shared" si="7"/>
        <v>0.24542376278733466</v>
      </c>
      <c r="J100" s="271">
        <f t="shared" si="8"/>
        <v>0.03</v>
      </c>
      <c r="L100" s="443"/>
    </row>
    <row r="101" spans="1:12">
      <c r="A101" s="5" t="s">
        <v>121</v>
      </c>
      <c r="B101" s="92"/>
      <c r="C101" s="160">
        <f>IF(ISNA(VLOOKUP("sau628400000",Balance!C:G,5,FALSE))=TRUE,0,VLOOKUP("sau628400000",Balance!C:G,5,FALSE))</f>
        <v>0</v>
      </c>
      <c r="D101" s="117">
        <f>+[2]Saumur!$H101</f>
        <v>0</v>
      </c>
      <c r="E101" s="160">
        <f>IF(ISNA(VLOOKUP("sau628400000",Balanceanp!C:G,5,FALSE))=TRUE,0,VLOOKUP("sau628400000",Balanceanp!C:G,5,FALSE))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s="443"/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444"/>
    </row>
    <row r="103" spans="1:12" s="33" customFormat="1" ht="15" customHeight="1">
      <c r="A103" s="13" t="s">
        <v>122</v>
      </c>
      <c r="B103" s="93">
        <f>+C103/$C$21</f>
        <v>0.21100473477760667</v>
      </c>
      <c r="C103" s="163">
        <f>SUM(C70:C102)</f>
        <v>39383.31</v>
      </c>
      <c r="D103" s="118">
        <f>SUM(D70:D102)</f>
        <v>56485.877537416665</v>
      </c>
      <c r="E103" s="163">
        <f>SUM(E70:E102)</f>
        <v>48934.719999999994</v>
      </c>
      <c r="F103" s="136">
        <f>SUM(F70:F102)</f>
        <v>50453.466666666682</v>
      </c>
      <c r="G103" s="136">
        <f>SUM(G70:G102)</f>
        <v>46339.351333333339</v>
      </c>
      <c r="H103" s="421">
        <f>+G103/$G$21</f>
        <v>0.16293953267040795</v>
      </c>
      <c r="I103" s="272">
        <f>+IF((E103)=0,,(F103-E103)/E103)</f>
        <v>3.1036177721394706E-2</v>
      </c>
      <c r="J103" s="188">
        <f>+IF((F103)=0,,(G103-F103)/F103)</f>
        <v>-8.1542768121648887E-2</v>
      </c>
      <c r="L103" s="445"/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444"/>
    </row>
    <row r="105" spans="1:12">
      <c r="A105" s="5" t="s">
        <v>129</v>
      </c>
      <c r="B105" s="92"/>
      <c r="C105" s="160">
        <f>IF(ISNA(VLOOKUP("sau623100000",Balance!C:G,5,FALSE))=TRUE,0,VLOOKUP("sau623100000",Balance!C:G,5,FALSE))</f>
        <v>0</v>
      </c>
      <c r="D105" s="117">
        <f>+[2]Saumur!$H105</f>
        <v>1000</v>
      </c>
      <c r="E105" s="160">
        <f>IF(ISNA(VLOOKUP("sau623100000",Balanceanp!C:G,5,FALSE))=TRUE,0,VLOOKUP("sau623100000",Balanceanp!C:G,5,FALSE))</f>
        <v>0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0</v>
      </c>
      <c r="J105" s="271">
        <f t="shared" si="9"/>
        <v>0</v>
      </c>
      <c r="L105" s="443"/>
    </row>
    <row r="106" spans="1:12">
      <c r="A106" s="5" t="s">
        <v>130</v>
      </c>
      <c r="B106" s="92"/>
      <c r="C106" s="160">
        <f>IF(ISNA(VLOOKUP("sau623200000",Balance!C:G,5,FALSE))=TRUE,0,VLOOKUP("sau623200000",Balance!C:G,5,FALSE))</f>
        <v>1140.55</v>
      </c>
      <c r="D106" s="117">
        <f>+[2]Saumur!$H106</f>
        <v>1000</v>
      </c>
      <c r="E106" s="160">
        <f>IF(ISNA(VLOOKUP("sau623200000",Balanceanp!C:G,5,FALSE))=TRUE,0,VLOOKUP("sau623200000",Balanceanp!C:G,5,FALSE))</f>
        <v>2565.2199999999998</v>
      </c>
      <c r="F106" s="368">
        <f>+C106+C106/9*(12-Clients!$I$14)</f>
        <v>1520.7333333333333</v>
      </c>
      <c r="G106" s="570">
        <v>1500</v>
      </c>
      <c r="H106" s="401"/>
      <c r="I106" s="149">
        <f t="shared" si="9"/>
        <v>-0.40717235428800125</v>
      </c>
      <c r="J106" s="271">
        <f t="shared" si="9"/>
        <v>-1.363377317960634E-2</v>
      </c>
      <c r="L106" s="443"/>
    </row>
    <row r="107" spans="1:12">
      <c r="A107" s="5" t="s">
        <v>131</v>
      </c>
      <c r="B107" s="92"/>
      <c r="C107" s="160">
        <f>IF(ISNA(VLOOKUP("sau629000000",Balance!C:G,5,FALSE))=TRUE,0,VLOOKUP("sau629000000",Balance!C:G,5,FALSE))</f>
        <v>0</v>
      </c>
      <c r="D107" s="117">
        <f>+[2]Saumur!$H107</f>
        <v>0</v>
      </c>
      <c r="E107" s="160">
        <f>IF(ISNA(VLOOKUP("sau629000000",Balanceanp!C:G,5,FALSE))=TRUE,0,VLOOKUP("sau629000000",Balanceanp!C:G,5,FALSE))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s="443"/>
    </row>
    <row r="108" spans="1:12">
      <c r="A108" s="5" t="s">
        <v>132</v>
      </c>
      <c r="B108" s="92"/>
      <c r="C108" s="160">
        <f>IF(ISNA(VLOOKUP("sau623300000",Balance!C:G,5,FALSE))=TRUE,0,VLOOKUP("sau623300000",Balance!C:G,5,FALSE))</f>
        <v>628.5</v>
      </c>
      <c r="D108" s="117">
        <f>+[2]Saumur!$H108</f>
        <v>0</v>
      </c>
      <c r="E108" s="160">
        <f>IF(ISNA(VLOOKUP("sau623300000",Balanceanp!C:G,5,FALSE))=TRUE,0,VLOOKUP("sau623300000",Balanceanp!C:G,5,FALSE))</f>
        <v>1506</v>
      </c>
      <c r="F108" s="368">
        <f>+C108+C108/9*(12-Clients!$I$14)</f>
        <v>838</v>
      </c>
      <c r="G108" s="570">
        <v>0</v>
      </c>
      <c r="H108" s="401"/>
      <c r="I108" s="149">
        <f t="shared" si="9"/>
        <v>-0.44355909694555112</v>
      </c>
      <c r="J108" s="271">
        <f t="shared" si="9"/>
        <v>-1</v>
      </c>
      <c r="L108" s="443"/>
    </row>
    <row r="109" spans="1:12">
      <c r="A109" s="5" t="s">
        <v>133</v>
      </c>
      <c r="B109" s="92"/>
      <c r="C109" s="160">
        <f>IF(ISNA(VLOOKUP("sau623700000",Balance!C:G,5,FALSE))=TRUE,0,VLOOKUP("sau623700000",Balance!C:G,5,FALSE))</f>
        <v>1346.01</v>
      </c>
      <c r="D109" s="117">
        <f>+[2]Saumur!$H109</f>
        <v>3000</v>
      </c>
      <c r="E109" s="160">
        <f>IF(ISNA(VLOOKUP("sau623700000",Balanceanp!C:G,5,FALSE))=TRUE,0,VLOOKUP("sau623700000",Balanceanp!C:G,5,FALSE))</f>
        <v>1784.6799999999998</v>
      </c>
      <c r="F109" s="368">
        <f>+C109+C109/9*(12-Clients!$I$14)</f>
        <v>1794.68</v>
      </c>
      <c r="G109" s="570">
        <v>2000</v>
      </c>
      <c r="H109" s="401"/>
      <c r="I109" s="149">
        <f t="shared" si="9"/>
        <v>5.6032453997356549E-3</v>
      </c>
      <c r="J109" s="271">
        <f t="shared" si="9"/>
        <v>0.11440479639824366</v>
      </c>
      <c r="L109" s="443"/>
    </row>
    <row r="110" spans="1:12">
      <c r="A110" s="5" t="s">
        <v>134</v>
      </c>
      <c r="B110" s="92"/>
      <c r="C110" s="160">
        <f>IF(ISNA(VLOOKUP("sau623410000",Balance!C:G,5,FALSE))=TRUE,0,VLOOKUP("sau623410000",Balance!C:G,5,FALSE))+IF(ISNA(VLOOKUP("sau623420000",Balance!C:G,5,FALSE))=TRUE,0,VLOOKUP("sau623420000",Balance!C:G,5,FALSE))</f>
        <v>1470.8</v>
      </c>
      <c r="D110" s="117">
        <f>+[2]Saumur!$H110</f>
        <v>2000</v>
      </c>
      <c r="E110" s="160">
        <f>IF(ISNA(VLOOKUP("sau623410000",Balanceanp!C:G,5,FALSE))=TRUE,0,VLOOKUP("sau623410000",Balanceanp!C:G,5,FALSE))+IF(ISNA(VLOOKUP("sau623420000",Balanceanp!C:G,5,FALSE))=TRUE,0,VLOOKUP("sau623420000",Balanceanp!C:G,5,FALSE))</f>
        <v>1661.97</v>
      </c>
      <c r="F110" s="368">
        <v>2000</v>
      </c>
      <c r="G110" s="570">
        <v>2000</v>
      </c>
      <c r="H110" s="401"/>
      <c r="I110" s="149">
        <f t="shared" si="9"/>
        <v>0.20339115627839249</v>
      </c>
      <c r="J110" s="271">
        <f t="shared" si="9"/>
        <v>0</v>
      </c>
      <c r="L110" s="443"/>
    </row>
    <row r="111" spans="1:12">
      <c r="A111" s="5" t="s">
        <v>135</v>
      </c>
      <c r="B111" s="92"/>
      <c r="C111" s="160">
        <f>IF(ISNA(VLOOKUP("sau623800000",Balance!C:G,5,FALSE))=TRUE,0,VLOOKUP("sau623800000",Balance!C:G,5,FALSE))+IF(ISNA(VLOOKUP("sau623820000",Balance!C:G,5,FALSE))=TRUE,0,VLOOKUP("sau623820000",Balance!C:G,5,FALSE))</f>
        <v>0</v>
      </c>
      <c r="D111" s="117">
        <f>+[2]Saumur!$H111</f>
        <v>50</v>
      </c>
      <c r="E111" s="160">
        <f>IF(ISNA(VLOOKUP("sau623800000",Balanceanp!C:G,5,FALSE))=TRUE,0,VLOOKUP("sau623800000",Balanceanp!C:G,5,FALSE))</f>
        <v>15</v>
      </c>
      <c r="F111" s="368">
        <f>+C111+C111/9*(12-Clients!$I$14)</f>
        <v>0</v>
      </c>
      <c r="G111" s="570">
        <v>50</v>
      </c>
      <c r="H111" s="401"/>
      <c r="I111" s="149">
        <f t="shared" si="9"/>
        <v>-1</v>
      </c>
      <c r="J111" s="271">
        <f t="shared" si="9"/>
        <v>0</v>
      </c>
      <c r="L111" s="443"/>
    </row>
    <row r="112" spans="1:12">
      <c r="A112" s="5" t="s">
        <v>136</v>
      </c>
      <c r="B112" s="92"/>
      <c r="C112" s="160">
        <f>IF(ISNA(VLOOKUP("sau625600000",Balance!C:G,5,FALSE))=TRUE,0,VLOOKUP("sau625600000",Balance!C:G,5,FALSE))</f>
        <v>0</v>
      </c>
      <c r="D112" s="117">
        <f>+[2]Saumur!$H112</f>
        <v>0</v>
      </c>
      <c r="E112" s="160">
        <f>IF(ISNA(VLOOKUP("sau625600000",Balanceanp!C:G,5,FALSE))=TRUE,0,VLOOKUP("sau625600000",Balanceanp!C:G,5,FALSE))</f>
        <v>25.23</v>
      </c>
      <c r="F112" s="368">
        <f>+C112+C112/9*(12-Clients!$I$14)</f>
        <v>0</v>
      </c>
      <c r="G112" s="570">
        <v>0</v>
      </c>
      <c r="H112" s="401"/>
      <c r="I112" s="149">
        <f t="shared" si="9"/>
        <v>-1</v>
      </c>
      <c r="J112" s="271">
        <f t="shared" si="9"/>
        <v>0</v>
      </c>
      <c r="L112" s="443"/>
    </row>
    <row r="113" spans="1:12">
      <c r="A113" s="5" t="s">
        <v>137</v>
      </c>
      <c r="B113" s="92"/>
      <c r="C113" s="160">
        <f>IF(ISNA(VLOOKUP("sau625700000",Balance!C:G,5,FALSE))=TRUE,0,VLOOKUP("sau625700000",Balance!C:G,5,FALSE))+IF(ISNA(VLOOKUP("sau625710000",Balance!C:G,5,FALSE))=TRUE,0,VLOOKUP("sau625710000",Balance!C:G,5,FALSE))</f>
        <v>3530.88</v>
      </c>
      <c r="D113" s="117">
        <f>+[2]Saumur!$H113</f>
        <v>2500</v>
      </c>
      <c r="E113" s="160">
        <f>IF(ISNA(VLOOKUP("sau625700000",Balanceanp!C:G,5,FALSE))=TRUE,0,VLOOKUP("sau625700000",Balanceanp!C:G,5,FALSE))+IF(ISNA(VLOOKUP("sau625710000",Balanceanp!C:G,5,FALSE))=TRUE,0,VLOOKUP("sau625710000",Balanceanp!C:G,5,FALSE))</f>
        <v>2446.6</v>
      </c>
      <c r="F113" s="368">
        <v>2318.8000000000002</v>
      </c>
      <c r="G113" s="570">
        <v>2400</v>
      </c>
      <c r="H113" s="401"/>
      <c r="I113" s="149">
        <f t="shared" si="9"/>
        <v>-5.2235755742663176E-2</v>
      </c>
      <c r="J113" s="271">
        <f t="shared" si="9"/>
        <v>3.5018112816974215E-2</v>
      </c>
      <c r="L113" s="443"/>
    </row>
    <row r="114" spans="1:12">
      <c r="A114" s="5" t="s">
        <v>138</v>
      </c>
      <c r="B114" s="92"/>
      <c r="C114" s="160">
        <f>IF(ISNA(VLOOKUP("sau623810000",Balance!C:G,5,FALSE))=TRUE,0,VLOOKUP("sau623810000",Balance!C:G,5,FALSE))</f>
        <v>0</v>
      </c>
      <c r="D114" s="117">
        <f>+[2]Saumur!$H114</f>
        <v>0</v>
      </c>
      <c r="E114" s="160">
        <f>IF(ISNA(VLOOKUP("sau623810000",Balanceanp!C:G,5,FALSE))=TRUE,0,VLOOKUP("sau623810000",Balanceanp!C:G,5,FALSE))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s="443"/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444"/>
    </row>
    <row r="116" spans="1:12" s="33" customFormat="1" ht="15" customHeight="1">
      <c r="A116" s="13" t="s">
        <v>133</v>
      </c>
      <c r="B116" s="93">
        <f>+C116/$C$21</f>
        <v>4.3487217579192584E-2</v>
      </c>
      <c r="C116" s="163">
        <f>SUM(C104:C115)</f>
        <v>8116.74</v>
      </c>
      <c r="D116" s="118">
        <f>SUM(D104:D115)</f>
        <v>9550</v>
      </c>
      <c r="E116" s="163">
        <f>SUM(E104:E115)</f>
        <v>10004.699999999999</v>
      </c>
      <c r="F116" s="136">
        <f>SUM(F104:F115)</f>
        <v>8472.2133333333331</v>
      </c>
      <c r="G116" s="136">
        <f>SUM(G104:G115)</f>
        <v>8950</v>
      </c>
      <c r="H116" s="421">
        <f>+G116/$G$21</f>
        <v>3.1470203519036836E-2</v>
      </c>
      <c r="I116" s="272">
        <f>+IF((E116)=0,,(F116-E116)/E116)</f>
        <v>-0.15317667363006046</v>
      </c>
      <c r="J116" s="188">
        <f>+IF((F116)=0,,(G116-F116)/F116)</f>
        <v>5.639455097133219E-2</v>
      </c>
      <c r="L116" s="445"/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444"/>
    </row>
    <row r="118" spans="1:12">
      <c r="A118" s="5" t="s">
        <v>139</v>
      </c>
      <c r="B118" s="92"/>
      <c r="C118" s="160">
        <f>IF(ISNA(VLOOKUP("sau633300000",Balance!C:G,5,FALSE))=TRUE,0,VLOOKUP("sau633300000",Balance!C:G,5,FALSE))</f>
        <v>483.24</v>
      </c>
      <c r="D118" s="117">
        <f>+[2]Saumur!$H118</f>
        <v>237.99999999999997</v>
      </c>
      <c r="E118" s="160">
        <f>IF(ISNA(VLOOKUP("sau633300000",Balanceanp!C:G,5,FALSE))=TRUE,0,VLOOKUP("sau633300000",Balanceanp!C:G,5,FALSE))</f>
        <v>365.87</v>
      </c>
      <c r="F118" s="368">
        <f>+C118+C118/9*(12-Clients!$I$14)</f>
        <v>644.32000000000005</v>
      </c>
      <c r="G118" s="396">
        <f>G131*(0.2+0.5)%</f>
        <v>293.99999999999994</v>
      </c>
      <c r="H118" s="409"/>
      <c r="I118" s="149">
        <f t="shared" ref="I118:J127" si="10">+IF((E118)=0,,(F118-E118)/E118)</f>
        <v>0.76106267253396032</v>
      </c>
      <c r="J118" s="271">
        <f t="shared" si="10"/>
        <v>-0.54370499130866667</v>
      </c>
      <c r="L118" s="443"/>
    </row>
    <row r="119" spans="1:12">
      <c r="A119" s="5" t="s">
        <v>140</v>
      </c>
      <c r="B119" s="92"/>
      <c r="C119" s="160">
        <f>IF(ISNA(VLOOKUP("sau633400000",Balance!C:G,5,FALSE))=TRUE,0,VLOOKUP("sau633400000",Balance!C:G,5,FALSE))</f>
        <v>0</v>
      </c>
      <c r="D119" s="117">
        <f>+[2]Saumur!$H119</f>
        <v>153.00000000000003</v>
      </c>
      <c r="E119" s="160">
        <f>IF(ISNA(VLOOKUP("sau633400000",Balanceanp!C:G,5,FALSE))=TRUE,0,VLOOKUP("sau633400000",Balanceanp!C:G,5,FALSE))</f>
        <v>182</v>
      </c>
      <c r="F119" s="368">
        <f>+C119+C119/9*(12-Clients!$I$14)</f>
        <v>0</v>
      </c>
      <c r="G119" s="396">
        <f>+G131*0.45%</f>
        <v>189.00000000000003</v>
      </c>
      <c r="H119" s="409"/>
      <c r="I119" s="149">
        <f t="shared" si="10"/>
        <v>-1</v>
      </c>
      <c r="J119" s="271">
        <f t="shared" si="10"/>
        <v>0</v>
      </c>
      <c r="L119" s="443"/>
    </row>
    <row r="120" spans="1:12">
      <c r="A120" s="5" t="s">
        <v>141</v>
      </c>
      <c r="B120" s="92"/>
      <c r="C120" s="160">
        <f>IF(ISNA(VLOOKUP("sau633500000",Balance!C:G,5,FALSE))=TRUE,0,VLOOKUP("sau633500000",Balance!C:G,5,FALSE))</f>
        <v>0</v>
      </c>
      <c r="D120" s="117">
        <f>+[2]Saumur!$H120</f>
        <v>265.20000000000005</v>
      </c>
      <c r="E120" s="160">
        <f>IF(ISNA(VLOOKUP("sau633500000",Balanceanp!C:G,5,FALSE))=TRUE,0,VLOOKUP("sau633500000",Balanceanp!C:G,5,FALSE))</f>
        <v>275</v>
      </c>
      <c r="F120" s="368">
        <f>+C120+C120/9*(12-Clients!$I$14)</f>
        <v>0</v>
      </c>
      <c r="G120" s="396">
        <f>+G131*(0.6+0.18)%</f>
        <v>327.60000000000002</v>
      </c>
      <c r="H120" s="409"/>
      <c r="I120" s="149">
        <f t="shared" si="10"/>
        <v>-1</v>
      </c>
      <c r="J120" s="271">
        <f t="shared" si="10"/>
        <v>0</v>
      </c>
      <c r="L120" s="443"/>
    </row>
    <row r="121" spans="1:12">
      <c r="A121" s="5" t="s">
        <v>706</v>
      </c>
      <c r="B121" s="92"/>
      <c r="C121" s="160">
        <f>IF(ISNA(VLOOKUP("sau635110000",Balance!C:G,5,FALSE))=TRUE,0,VLOOKUP("sau635110000",Balance!C:G,5,FALSE))</f>
        <v>1740.42</v>
      </c>
      <c r="D121" s="117">
        <f>+[2]Saumur!$H121</f>
        <v>2320.5</v>
      </c>
      <c r="E121" s="160">
        <f>IF(ISNA(VLOOKUP("sau635110000",Balanceanp!C:G,5,FALSE))=TRUE,0,VLOOKUP("sau635110000",Balanceanp!C:G,5,FALSE))</f>
        <v>1105</v>
      </c>
      <c r="F121" s="570">
        <v>1428</v>
      </c>
      <c r="G121" s="570">
        <f>+F121*1.05*2</f>
        <v>2998.8</v>
      </c>
      <c r="H121" s="413"/>
      <c r="I121" s="149">
        <f t="shared" si="10"/>
        <v>0.29230769230769232</v>
      </c>
      <c r="J121" s="271">
        <f t="shared" si="10"/>
        <v>1.1000000000000001</v>
      </c>
      <c r="L121" s="443"/>
    </row>
    <row r="122" spans="1:12">
      <c r="A122" s="5" t="s">
        <v>143</v>
      </c>
      <c r="B122" s="92"/>
      <c r="C122" s="160">
        <f>IF(ISNA(VLOOKUP("sau635120000",Balance!C:G,5,FALSE))=TRUE,0,VLOOKUP("sau635120000",Balance!C:G,5,FALSE))</f>
        <v>1864.8</v>
      </c>
      <c r="D122" s="117">
        <f>+[2]Saumur!$H122</f>
        <v>2486.4</v>
      </c>
      <c r="E122" s="160">
        <f>IF(ISNA(VLOOKUP("sau635120000",Balanceanp!C:G,5,FALSE))=TRUE,0,VLOOKUP("sau635120000",Balanceanp!C:G,5,FALSE))</f>
        <v>2368</v>
      </c>
      <c r="F122" s="425">
        <v>2388.67</v>
      </c>
      <c r="G122" s="425">
        <f>+F122*1.05</f>
        <v>2508.1035000000002</v>
      </c>
      <c r="H122" s="413"/>
      <c r="I122" s="149">
        <f t="shared" si="10"/>
        <v>8.7288851351351657E-3</v>
      </c>
      <c r="J122" s="271">
        <f t="shared" si="10"/>
        <v>5.0000000000000037E-2</v>
      </c>
      <c r="L122" s="443"/>
    </row>
    <row r="123" spans="1:12">
      <c r="A123" s="5" t="s">
        <v>144</v>
      </c>
      <c r="B123" s="92"/>
      <c r="C123" s="160">
        <f>IF(ISNA(VLOOKUP("sau635130000",Balance!C:G,5,FALSE))=TRUE,0,VLOOKUP("sau635130000",Balance!C:G,5,FALSE))</f>
        <v>0</v>
      </c>
      <c r="D123" s="117">
        <f>+[2]Saumur!$H123</f>
        <v>50</v>
      </c>
      <c r="E123" s="160">
        <f>IF(ISNA(VLOOKUP("sau635130000",Balanceanp!C:G,5,FALSE))=TRUE,0,VLOOKUP("sau635130000",Balanceanp!C:G,5,FALSE))</f>
        <v>0</v>
      </c>
      <c r="F123" s="368">
        <f>+C123+C123/9*(12-Clients!$I$14)</f>
        <v>0</v>
      </c>
      <c r="G123" s="397">
        <v>50</v>
      </c>
      <c r="H123" s="413"/>
      <c r="I123" s="149">
        <f t="shared" si="10"/>
        <v>0</v>
      </c>
      <c r="J123" s="271">
        <f t="shared" si="10"/>
        <v>0</v>
      </c>
      <c r="L123" s="443"/>
    </row>
    <row r="124" spans="1:12">
      <c r="A124" s="5" t="s">
        <v>145</v>
      </c>
      <c r="B124" s="92"/>
      <c r="C124" s="160">
        <f>IF(ISNA(VLOOKUP("sau635140000",Balance!C:G,5,FALSE))=TRUE,0,VLOOKUP("sau635140000",Balance!C:G,5,FALSE))</f>
        <v>0</v>
      </c>
      <c r="D124" s="117">
        <f>+[2]Saumur!$H124</f>
        <v>0</v>
      </c>
      <c r="E124" s="160">
        <f>IF(ISNA(VLOOKUP("sau635140000",Balanceanp!C:G,5,FALSE))=TRUE,0,VLOOKUP("sau635140000",Balanceanp!C:G,5,FALSE))</f>
        <v>69</v>
      </c>
      <c r="F124" s="368">
        <f>+C124+C124/9*(12-Clients!$I$14)</f>
        <v>0</v>
      </c>
      <c r="G124" s="397">
        <v>0</v>
      </c>
      <c r="H124" s="413"/>
      <c r="I124" s="149">
        <f t="shared" si="10"/>
        <v>-1</v>
      </c>
      <c r="J124" s="271">
        <f t="shared" si="10"/>
        <v>0</v>
      </c>
      <c r="L124" s="443"/>
    </row>
    <row r="125" spans="1:12">
      <c r="A125" s="5" t="s">
        <v>286</v>
      </c>
      <c r="B125" s="92"/>
      <c r="C125" s="160">
        <f>IF(ISNA(VLOOKUP("sau635300000",Balance!C:G,5,FALSE))=TRUE,0,VLOOKUP("sau635300000",Balance!C:G,5,FALSE))</f>
        <v>0</v>
      </c>
      <c r="D125" s="117">
        <f>+[2]Saumur!$H125</f>
        <v>0</v>
      </c>
      <c r="E125" s="160">
        <f>IF(ISNA(VLOOKUP("sau635300000",Balanceanp!C:G,5,FALSE))=TRUE,0,VLOOKUP("sau635300000",Balanceanp!C:G,5,FALSE))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s="443"/>
    </row>
    <row r="126" spans="1:12">
      <c r="A126" s="5" t="s">
        <v>361</v>
      </c>
      <c r="B126" s="92"/>
      <c r="C126" s="160">
        <f>IF(ISNA(VLOOKUP("sau635400000",Balance!C:G,5,FALSE))=TRUE,0,VLOOKUP("sau635400000",Balance!C:G,5,FALSE))</f>
        <v>0</v>
      </c>
      <c r="D126" s="117">
        <f>+[2]Saumur!$H126</f>
        <v>0</v>
      </c>
      <c r="E126" s="160">
        <f>IF(ISNA(VLOOKUP("sau635400000",Balanceanp!C:G,5,FALSE))=TRUE,0,VLOOKUP("sau635400000",Balanceanp!C:G,5,FALSE))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s="443"/>
    </row>
    <row r="127" spans="1:12">
      <c r="A127" s="5" t="s">
        <v>146</v>
      </c>
      <c r="B127" s="92"/>
      <c r="C127" s="160">
        <f>IF(ISNA(VLOOKUP("sau637100000",Balance!C:G,5,FALSE))=TRUE,0,VLOOKUP("sau637100000",Balance!C:G,5,FALSE))</f>
        <v>339.41</v>
      </c>
      <c r="D127" s="117">
        <f>+[2]Saumur!$H127</f>
        <v>603.20000000000005</v>
      </c>
      <c r="E127" s="160">
        <f>IF(ISNA(VLOOKUP("sau637100000",Balanceanp!C:G,5,FALSE))=TRUE,0,VLOOKUP("sau637100000",Balanceanp!C:G,5,FALSE))</f>
        <v>442.27</v>
      </c>
      <c r="F127" s="368">
        <f>+C127+C127/9*(12-Clients!$I$14)</f>
        <v>452.54666666666668</v>
      </c>
      <c r="G127" s="396">
        <f>+G51*0.16%</f>
        <v>450.23360000000002</v>
      </c>
      <c r="H127" s="409"/>
      <c r="I127" s="149">
        <f t="shared" si="10"/>
        <v>2.3236183025452099E-2</v>
      </c>
      <c r="J127" s="271">
        <f t="shared" si="10"/>
        <v>-5.1112224153678229E-3</v>
      </c>
      <c r="L127" s="443"/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444"/>
    </row>
    <row r="129" spans="1:12" s="33" customFormat="1" ht="15" customHeight="1">
      <c r="A129" s="13" t="s">
        <v>147</v>
      </c>
      <c r="B129" s="93">
        <f>+C129/$C$21</f>
        <v>2.3723286208795585E-2</v>
      </c>
      <c r="C129" s="163">
        <f>SUM(C117:C128)</f>
        <v>4427.87</v>
      </c>
      <c r="D129" s="118">
        <f>SUM(D117:D128)</f>
        <v>6116.3</v>
      </c>
      <c r="E129" s="163">
        <f>SUM(E117:E128)</f>
        <v>4807.1399999999994</v>
      </c>
      <c r="F129" s="136">
        <f>SUM(F117:F128)</f>
        <v>4913.5366666666669</v>
      </c>
      <c r="G129" s="136">
        <f>SUM(G117:G128)</f>
        <v>6817.7371000000003</v>
      </c>
      <c r="H129" s="421">
        <f>+G129/$G$21</f>
        <v>2.3972689840926032E-2</v>
      </c>
      <c r="I129" s="272">
        <f>+IF((E129)=0,,(F129-E129)/E129)</f>
        <v>2.2133049311371722E-2</v>
      </c>
      <c r="J129" s="188">
        <f>+IF((F129)=0,,(G129-F129)/F129)</f>
        <v>0.38754171638758506</v>
      </c>
      <c r="L129" s="445"/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444"/>
    </row>
    <row r="131" spans="1:12">
      <c r="A131" s="5" t="s">
        <v>148</v>
      </c>
      <c r="B131" s="92"/>
      <c r="C131" s="160">
        <f>IF(ISNA(VLOOKUP("sau641100000",Balance!C:G,5,FALSE))=TRUE,0,VLOOKUP("sau641100000",Balance!C:G,5,FALSE))</f>
        <v>31230.43</v>
      </c>
      <c r="D131" s="117">
        <f>+[2]Saumur!$H131</f>
        <v>34000</v>
      </c>
      <c r="E131" s="160">
        <f>IF(ISNA(VLOOKUP("sau641100000",Balanceanp!C:G,5,FALSE))=TRUE,0,VLOOKUP("sau641100000",Balanceanp!C:G,5,FALSE))</f>
        <v>58129.35</v>
      </c>
      <c r="F131" s="368">
        <f>+C131+C131/9*(12-Clients!$I$14)</f>
        <v>41640.573333333334</v>
      </c>
      <c r="G131" s="570">
        <v>42000</v>
      </c>
      <c r="H131" s="401"/>
      <c r="I131" s="149">
        <f t="shared" ref="I131:J146" si="11">+IF((E131)=0,,(F131-E131)/E131)</f>
        <v>-0.28365664963855031</v>
      </c>
      <c r="J131" s="271">
        <f t="shared" si="11"/>
        <v>8.6316454816664293E-3</v>
      </c>
      <c r="L131" s="443"/>
    </row>
    <row r="132" spans="1:12">
      <c r="A132" s="5" t="s">
        <v>149</v>
      </c>
      <c r="B132" s="92"/>
      <c r="C132" s="160">
        <f>IF(ISNA(VLOOKUP("sau641110000",Balance!C:G,5,FALSE))=TRUE,0,VLOOKUP("sau641110000",Balance!C:G,5,FALSE))</f>
        <v>0</v>
      </c>
      <c r="D132" s="117">
        <f>+[2]Saumur!$H132</f>
        <v>0</v>
      </c>
      <c r="E132" s="160">
        <f>IF(ISNA(VLOOKUP("sau641110000",Balanceanp!C:G,5,FALSE))=TRUE,0,VLOOKUP("sau641110000",Balanceanp!C:G,5,FALSE))</f>
        <v>-483.72</v>
      </c>
      <c r="F132" s="368">
        <f>+C132+C132/9*(12-Clients!$I$14)</f>
        <v>0</v>
      </c>
      <c r="G132" s="570">
        <v>0</v>
      </c>
      <c r="H132" s="401"/>
      <c r="I132" s="149">
        <f t="shared" si="11"/>
        <v>-1</v>
      </c>
      <c r="J132" s="271">
        <f t="shared" si="11"/>
        <v>0</v>
      </c>
      <c r="L132" s="443"/>
    </row>
    <row r="133" spans="1:12">
      <c r="A133" s="5" t="s">
        <v>150</v>
      </c>
      <c r="B133" s="92"/>
      <c r="C133" s="160">
        <f>IF(ISNA(VLOOKUP("sau641111000",Balance!C:G,5,FALSE))=TRUE,0,VLOOKUP("sau641111000",Balance!C:G,5,FALSE))</f>
        <v>0</v>
      </c>
      <c r="D133" s="117">
        <f>+[2]Saumur!$H133</f>
        <v>0</v>
      </c>
      <c r="E133" s="160">
        <f>IF(ISNA(VLOOKUP("sau641111000",Balanceanp!C:G,5,FALSE))=TRUE,0,VLOOKUP("sau641111000",Balanceanp!C:G,5,FALSE))</f>
        <v>0</v>
      </c>
      <c r="F133" s="368">
        <f>+C133+C133/9*(12-Clients!$I$14)</f>
        <v>0</v>
      </c>
      <c r="G133" s="570">
        <f t="shared" ref="G133:G139" si="12">+F133*1.03</f>
        <v>0</v>
      </c>
      <c r="H133" s="401"/>
      <c r="I133" s="149">
        <f t="shared" si="11"/>
        <v>0</v>
      </c>
      <c r="J133" s="271">
        <f t="shared" si="11"/>
        <v>0</v>
      </c>
      <c r="L133" s="443"/>
    </row>
    <row r="134" spans="1:12">
      <c r="A134" s="5" t="s">
        <v>151</v>
      </c>
      <c r="B134" s="92"/>
      <c r="C134" s="160">
        <f>IF(ISNA(VLOOKUP("sau641200000",Balance!C:G,5,FALSE))=TRUE,0,VLOOKUP("sau641200000",Balance!C:G,5,FALSE))</f>
        <v>0</v>
      </c>
      <c r="D134" s="117">
        <f>+[2]Saumur!$H134</f>
        <v>0</v>
      </c>
      <c r="E134" s="160">
        <f>IF(ISNA(VLOOKUP("sau641200000",Balanceanp!C:G,5,FALSE))=TRUE,0,VLOOKUP("sau641200000",Balanceanp!C:G,5,FALSE))</f>
        <v>-4816.9799999999996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s="443"/>
    </row>
    <row r="135" spans="1:12">
      <c r="A135" s="5" t="s">
        <v>114</v>
      </c>
      <c r="B135" s="92"/>
      <c r="C135" s="160">
        <f>IF(ISNA(VLOOKUP("sau621100000",Balance!C:G,5,FALSE))=TRUE,0,VLOOKUP("sau621100000",Balance!C:G,5,FALSE))</f>
        <v>0</v>
      </c>
      <c r="D135" s="117">
        <f>+[2]Saumur!$H135</f>
        <v>0</v>
      </c>
      <c r="E135" s="160">
        <f>IF(ISNA(VLOOKUP("sau621100000",Balanceanp!C:G,5,FALSE))=TRUE,0,VLOOKUP("sau621100000",Balanceanp!C:G,5,FALSE))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s="443"/>
    </row>
    <row r="136" spans="1:12">
      <c r="A136" s="5" t="s">
        <v>338</v>
      </c>
      <c r="B136" s="92"/>
      <c r="C136" s="160">
        <f>IF(ISNA(VLOOKUP("sau621200000",Balance!C:G,5,FALSE))=TRUE,0,VLOOKUP("sau621200000",Balance!C:G,5,FALSE))</f>
        <v>0</v>
      </c>
      <c r="D136" s="117">
        <f>+[2]Saumur!$H136</f>
        <v>0</v>
      </c>
      <c r="E136" s="160">
        <f>IF(ISNA(VLOOKUP("sau621200000",Balanceanp!C:G,5,FALSE))=TRUE,0,VLOOKUP("sau621200000",Balanceanp!C:G,5,FALSE))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s="443"/>
    </row>
    <row r="137" spans="1:12">
      <c r="A137" s="5" t="s">
        <v>87</v>
      </c>
      <c r="B137" s="92"/>
      <c r="C137" s="160">
        <f>IF(ISNA(VLOOKUP("sau706100000",Balance!C:G,5,FALSE))=TRUE,0,-VLOOKUP("sau706100000",Balance!C:G,5,FALSE))</f>
        <v>0</v>
      </c>
      <c r="D137" s="117">
        <f>+[2]Saumur!$H137</f>
        <v>0</v>
      </c>
      <c r="E137" s="160">
        <f>-IF(ISNA(VLOOKUP("sau706100000",Balanceanp!C:G,5,FALSE))=TRUE,0,-VLOOKUP("sau706100000",Balanceanp!C:G,5,FALSE))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s="443"/>
    </row>
    <row r="138" spans="1:12">
      <c r="A138" s="5" t="s">
        <v>152</v>
      </c>
      <c r="B138" s="92"/>
      <c r="C138" s="160">
        <f>IF(ISNA(VLOOKUP("sau641210000",Balance!C:G,5,FALSE))=TRUE,0,VLOOKUP("sau641210000",Balance!C:G,5,FALSE))</f>
        <v>0</v>
      </c>
      <c r="D138" s="117">
        <f>+[2]Saumur!$H138</f>
        <v>0</v>
      </c>
      <c r="E138" s="160">
        <f>IF(ISNA(VLOOKUP("sau641210000",Balanceanp!C:G,5,FALSE))=TRUE,0,VLOOKUP("sau641210000",Balanceanp!C:G,5,FALSE))</f>
        <v>-1380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s="443"/>
    </row>
    <row r="139" spans="1:12">
      <c r="A139" s="5" t="s">
        <v>153</v>
      </c>
      <c r="B139" s="92"/>
      <c r="C139" s="160">
        <f>IF(ISNA(VLOOKUP("sau641400000",Balance!C:G,5,FALSE))=TRUE,0,VLOOKUP("sau641400000",Balance!C:G,5,FALSE))</f>
        <v>0</v>
      </c>
      <c r="D139" s="117">
        <f>+[2]Saumur!$H139</f>
        <v>0</v>
      </c>
      <c r="E139" s="160">
        <f>IF(ISNA(VLOOKUP("sau641400000",Balanceanp!C:G,5,FALSE))=TRUE,0,VLOOKUP("sau641400000",Balanceanp!C:G,5,FALSE))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s="443"/>
    </row>
    <row r="140" spans="1:12">
      <c r="A140" s="5" t="s">
        <v>154</v>
      </c>
      <c r="B140" s="92"/>
      <c r="C140" s="160">
        <f>IF(ISNA(VLOOKUP("sau641600000",Balance!C:G,5,FALSE))=TRUE,0,VLOOKUP("sau641600000",Balance!C:G,5,FALSE))</f>
        <v>0</v>
      </c>
      <c r="D140" s="117">
        <f>+[2]Saumur!$H140</f>
        <v>0</v>
      </c>
      <c r="E140" s="160">
        <f>IF(ISNA(VLOOKUP("sau641600000",Balanceanp!C:G,5,FALSE))=TRUE,0,VLOOKUP("sau641600000",Balanceanp!C:G,5,FALSE))</f>
        <v>1500</v>
      </c>
      <c r="F140" s="368">
        <f>+C140+C140/9*(12-Clients!$I$14)</f>
        <v>0</v>
      </c>
      <c r="G140" s="570">
        <v>0</v>
      </c>
      <c r="H140" s="401"/>
      <c r="I140" s="149">
        <f t="shared" si="11"/>
        <v>-1</v>
      </c>
      <c r="J140" s="271">
        <f t="shared" si="11"/>
        <v>0</v>
      </c>
      <c r="L140" s="443"/>
    </row>
    <row r="141" spans="1:12">
      <c r="A141" s="5" t="s">
        <v>155</v>
      </c>
      <c r="B141" s="92"/>
      <c r="C141" s="160">
        <f>IF(ISNA(VLOOKUP("sau645100000",Balance!C:G,5,FALSE))=TRUE,0,VLOOKUP("sau645100000",Balance!C:G,5,FALSE))</f>
        <v>6070.35</v>
      </c>
      <c r="D141" s="117">
        <f>+[2]Saumur!$H141</f>
        <v>9583.8974350334483</v>
      </c>
      <c r="E141" s="160">
        <f>IF(ISNA(VLOOKUP("sau645100000",Balanceanp!C:G,5,FALSE))=TRUE,0,VLOOKUP("sau645100000",Balanceanp!C:G,5,FALSE))</f>
        <v>15812.44</v>
      </c>
      <c r="F141" s="368">
        <f>+C141+C141/9*(12-Clients!$I$14)</f>
        <v>8093.8</v>
      </c>
      <c r="G141" s="396">
        <f t="shared" ref="G141:G146" si="13">+($G$131/$C$131*C141)*1.01</f>
        <v>8245.2994403215071</v>
      </c>
      <c r="H141" s="409"/>
      <c r="I141" s="149">
        <f t="shared" si="11"/>
        <v>-0.48813718818854018</v>
      </c>
      <c r="J141" s="271">
        <f t="shared" si="11"/>
        <v>1.8717961936483094E-2</v>
      </c>
      <c r="L141" s="443"/>
    </row>
    <row r="142" spans="1:12">
      <c r="A142" s="5" t="s">
        <v>156</v>
      </c>
      <c r="B142" s="92"/>
      <c r="C142" s="160">
        <f>IF(ISNA(VLOOKUP("sau645200000",Balance!C:G,5,FALSE))=TRUE,0,VLOOKUP("sau645200000",Balance!C:G,5,FALSE))</f>
        <v>842.59</v>
      </c>
      <c r="D142" s="117">
        <f>+[2]Saumur!$H142</f>
        <v>527.17673408228666</v>
      </c>
      <c r="E142" s="160">
        <f>IF(ISNA(VLOOKUP("sau645200000",Balanceanp!C:G,5,FALSE))=TRUE,0,VLOOKUP("sau645200000",Balanceanp!C:G,5,FALSE))</f>
        <v>943.36</v>
      </c>
      <c r="F142" s="368">
        <f>+C142+C142/9*(12-Clients!$I$14)</f>
        <v>1123.4533333333334</v>
      </c>
      <c r="G142" s="396">
        <f t="shared" si="13"/>
        <v>1144.4820900640818</v>
      </c>
      <c r="H142" s="409"/>
      <c r="I142" s="149">
        <f t="shared" si="11"/>
        <v>0.1909062641338761</v>
      </c>
      <c r="J142" s="271">
        <f t="shared" si="11"/>
        <v>1.8717961936483153E-2</v>
      </c>
      <c r="L142" s="443"/>
    </row>
    <row r="143" spans="1:12">
      <c r="A143" s="5" t="s">
        <v>157</v>
      </c>
      <c r="B143" s="92"/>
      <c r="C143" s="160">
        <f>IF(ISNA(VLOOKUP("sau645300000",Balance!C:G,5,FALSE))=TRUE,0,VLOOKUP("sau645300000",Balance!C:G,5,FALSE))</f>
        <v>1344.36</v>
      </c>
      <c r="D143" s="117">
        <f>+[2]Saumur!$H143</f>
        <v>1406.2072001019289</v>
      </c>
      <c r="E143" s="160">
        <f>IF(ISNA(VLOOKUP("sau645300000",Balanceanp!C:G,5,FALSE))=TRUE,0,VLOOKUP("sau645300000",Balanceanp!C:G,5,FALSE))</f>
        <v>2308.9499999999998</v>
      </c>
      <c r="F143" s="368">
        <f>+C143+C143/9*(12-Clients!$I$14)</f>
        <v>1792.48</v>
      </c>
      <c r="G143" s="396">
        <f t="shared" si="13"/>
        <v>1826.0315724119071</v>
      </c>
      <c r="H143" s="409"/>
      <c r="I143" s="149">
        <f t="shared" si="11"/>
        <v>-0.22368176010740806</v>
      </c>
      <c r="J143" s="271">
        <f t="shared" si="11"/>
        <v>1.8717961936482997E-2</v>
      </c>
      <c r="L143" s="443"/>
    </row>
    <row r="144" spans="1:12">
      <c r="A144" s="5" t="s">
        <v>326</v>
      </c>
      <c r="B144" s="92"/>
      <c r="C144" s="160">
        <f>IF(ISNA(VLOOKUP("sau645310000",Balance!C:G,5,FALSE))=TRUE,0,VLOOKUP("sau645310000",Balance!C:G,5,FALSE))</f>
        <v>0</v>
      </c>
      <c r="D144" s="117">
        <f>+[2]Saumur!$H144</f>
        <v>0</v>
      </c>
      <c r="E144" s="160">
        <f>IF(ISNA(VLOOKUP("sau645310000",Balanceanp!C:G,5,FALSE))=TRUE,0,VLOOKUP("sau645310000",Balanceanp!C:G,5,FALSE))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s="443"/>
    </row>
    <row r="145" spans="1:12">
      <c r="A145" s="5" t="s">
        <v>158</v>
      </c>
      <c r="B145" s="92"/>
      <c r="C145" s="160">
        <f>IF(ISNA(VLOOKUP("sau645400000",Balance!C:G,5,FALSE))=TRUE,0,VLOOKUP("sau645400000",Balance!C:G,5,FALSE))</f>
        <v>1037.7</v>
      </c>
      <c r="D145" s="117">
        <f>+[2]Saumur!$H145</f>
        <v>1035.8181031314725</v>
      </c>
      <c r="E145" s="160">
        <f>IF(ISNA(VLOOKUP("sau645400000",Balanceanp!C:G,5,FALSE))=TRUE,0,VLOOKUP("sau645400000",Balanceanp!C:G,5,FALSE))</f>
        <v>1713.6499999999999</v>
      </c>
      <c r="F145" s="368">
        <f>+C145+C145/9*(12-Clients!$I$14)</f>
        <v>1383.6000000000001</v>
      </c>
      <c r="G145" s="396">
        <f t="shared" si="13"/>
        <v>1409.4981721353181</v>
      </c>
      <c r="H145" s="409"/>
      <c r="I145" s="149">
        <f t="shared" si="11"/>
        <v>-0.19260058938523023</v>
      </c>
      <c r="J145" s="271">
        <f t="shared" si="11"/>
        <v>1.8717961936483059E-2</v>
      </c>
      <c r="L145" s="443"/>
    </row>
    <row r="146" spans="1:12">
      <c r="A146" s="5" t="s">
        <v>159</v>
      </c>
      <c r="B146" s="92"/>
      <c r="C146" s="160">
        <f>IF(ISNA(VLOOKUP("sau645800000",Balance!C:G,5,FALSE))=TRUE,0,VLOOKUP("sau645800000",Balance!C:G,5,FALSE))</f>
        <v>0</v>
      </c>
      <c r="D146" s="117">
        <f>+[2]Saumur!$H146</f>
        <v>0</v>
      </c>
      <c r="E146" s="160">
        <f>IF(ISNA(VLOOKUP("sau645800000",Balanceanp!C:G,5,FALSE))=TRUE,0,VLOOKUP("sau645800000",Balanceanp!C:G,5,FALSE))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s="443"/>
    </row>
    <row r="147" spans="1:12">
      <c r="A147" s="5" t="s">
        <v>160</v>
      </c>
      <c r="B147" s="92"/>
      <c r="C147" s="160">
        <f>IF(ISNA(VLOOKUP("sau645900000",Balance!C:G,5,FALSE))=TRUE,0,VLOOKUP("sau645900000",Balance!C:G,5,FALSE))</f>
        <v>0</v>
      </c>
      <c r="D147" s="117">
        <f>+[2]Saumur!$H147</f>
        <v>344.8852</v>
      </c>
      <c r="E147" s="160">
        <f>IF(ISNA(VLOOKUP("sau645900000",Balanceanp!C:G,5,FALSE))=TRUE,0,VLOOKUP("sau645900000",Balanceanp!C:G,5,FALSE))</f>
        <v>-146.76</v>
      </c>
      <c r="F147" s="368">
        <f>+C147+C147/9*(12-Clients!$I$14)</f>
        <v>0</v>
      </c>
      <c r="G147" s="396">
        <f>+F147*1.03</f>
        <v>0</v>
      </c>
      <c r="H147" s="409"/>
      <c r="I147" s="149">
        <f t="shared" ref="I147:J152" si="14">+IF((E147)=0,,(F147-E147)/E147)</f>
        <v>-1</v>
      </c>
      <c r="J147" s="271">
        <f t="shared" si="14"/>
        <v>0</v>
      </c>
      <c r="L147" s="443"/>
    </row>
    <row r="148" spans="1:12">
      <c r="A148" s="5" t="s">
        <v>161</v>
      </c>
      <c r="B148" s="92"/>
      <c r="C148" s="160">
        <f>IF(ISNA(VLOOKUP("sau647100000",Balance!C:G,5,FALSE))=TRUE,0,VLOOKUP("sau647100000",Balance!C:G,5,FALSE))</f>
        <v>0</v>
      </c>
      <c r="D148" s="117">
        <f>+[2]Saumur!$H148</f>
        <v>0</v>
      </c>
      <c r="E148" s="160">
        <f>IF(ISNA(VLOOKUP("sau647100000",Balanceanp!C:G,5,FALSE))=TRUE,0,VLOOKUP("sau647100000",Balanceanp!C:G,5,FALSE))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s="443"/>
    </row>
    <row r="149" spans="1:12">
      <c r="A149" s="5" t="s">
        <v>162</v>
      </c>
      <c r="B149" s="92"/>
      <c r="C149" s="160">
        <f>IF(ISNA(VLOOKUP("sau647400000",Balance!C:G,5,FALSE))=TRUE,0,VLOOKUP("sau647400000",Balance!C:G,5,FALSE))</f>
        <v>0</v>
      </c>
      <c r="D149" s="117">
        <f>+[2]Saumur!$H149</f>
        <v>0</v>
      </c>
      <c r="E149" s="160">
        <f>IF(ISNA(VLOOKUP("sau647400000",Balanceanp!C:G,5,FALSE))=TRUE,0,VLOOKUP("sau647400000",Balanceanp!C:G,5,FALSE))</f>
        <v>27.2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s="443"/>
    </row>
    <row r="150" spans="1:12">
      <c r="A150" s="5" t="s">
        <v>163</v>
      </c>
      <c r="B150" s="92"/>
      <c r="C150" s="160">
        <f>IF(ISNA(VLOOKUP("sau647500000",Balance!C:G,5,FALSE))=TRUE,0,VLOOKUP("sau647500000",Balance!C:G,5,FALSE))</f>
        <v>116</v>
      </c>
      <c r="D150" s="117">
        <f>+[2]Saumur!$H150</f>
        <v>272.435</v>
      </c>
      <c r="E150" s="160">
        <f>IF(ISNA(VLOOKUP("sau647500000",Balanceanp!C:G,5,FALSE))=TRUE,0,VLOOKUP("sau647500000",Balanceanp!C:G,5,FALSE))</f>
        <v>238</v>
      </c>
      <c r="F150" s="368">
        <f>+C150+C150/9*(12-Clients!$I$14)</f>
        <v>154.66666666666669</v>
      </c>
      <c r="G150" s="396">
        <f>+F150*1.03</f>
        <v>159.3066666666667</v>
      </c>
      <c r="H150" s="409"/>
      <c r="I150" s="149">
        <f t="shared" si="14"/>
        <v>-0.35014005602240889</v>
      </c>
      <c r="J150" s="271">
        <f t="shared" si="14"/>
        <v>3.0000000000000093E-2</v>
      </c>
      <c r="L150" s="443"/>
    </row>
    <row r="151" spans="1:12">
      <c r="A151" s="5" t="s">
        <v>570</v>
      </c>
      <c r="B151" s="92"/>
      <c r="C151" s="160"/>
      <c r="D151" s="117">
        <f>+[2]Saumur!$H151</f>
        <v>0</v>
      </c>
      <c r="E151" s="160"/>
      <c r="F151" s="368"/>
      <c r="G151" s="395"/>
      <c r="H151" s="409"/>
      <c r="I151" s="149"/>
      <c r="J151" s="271"/>
      <c r="L151" s="443"/>
    </row>
    <row r="152" spans="1:12">
      <c r="A152" s="5" t="s">
        <v>58</v>
      </c>
      <c r="B152" s="92"/>
      <c r="C152" s="160">
        <f>IF(ISNA(VLOOKUP("sau648000000",Balance!C:G,5,FALSE))=TRUE,0,VLOOKUP("sau648000000",Balance!C:G,5,FALSE))</f>
        <v>0</v>
      </c>
      <c r="D152" s="117">
        <f>+[2]Saumur!$H152</f>
        <v>0</v>
      </c>
      <c r="E152" s="160">
        <f>IF(ISNA(VLOOKUP("sau648000000",Balanceanp!C:G,5,FALSE))=TRUE,0,VLOOKUP("sau648000000",Balanceanp!C:G,5,FALSE))</f>
        <v>582.29600000000005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s="443"/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443"/>
    </row>
    <row r="154" spans="1:12" s="33" customFormat="1" ht="15" customHeight="1">
      <c r="A154" s="13" t="s">
        <v>164</v>
      </c>
      <c r="B154" s="93">
        <f>+C154/$C$21</f>
        <v>0.21774538905268923</v>
      </c>
      <c r="C154" s="163">
        <f>SUM(C130:C153)</f>
        <v>40641.429999999993</v>
      </c>
      <c r="D154" s="118">
        <f>SUM(D130:D153)</f>
        <v>47170.419672349126</v>
      </c>
      <c r="E154" s="163">
        <f>SUM(E130:E153)</f>
        <v>74467.385999999999</v>
      </c>
      <c r="F154" s="136">
        <f>SUM(F130:F153)</f>
        <v>54188.573333333334</v>
      </c>
      <c r="G154" s="136">
        <f>SUM(G130:G153)</f>
        <v>54784.617941599477</v>
      </c>
      <c r="H154" s="421">
        <f>+G154/$G$21</f>
        <v>0.19263498059606843</v>
      </c>
      <c r="I154" s="272">
        <f>+IF((E154)=0,,(F154-E154)/E154)</f>
        <v>-0.27231804090272038</v>
      </c>
      <c r="J154" s="188">
        <f>+IF((F154)=0,,(G154-F154)/F154)</f>
        <v>1.0999451943487417E-2</v>
      </c>
      <c r="L154" s="445"/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444"/>
    </row>
    <row r="156" spans="1:12">
      <c r="A156" s="5" t="s">
        <v>545</v>
      </c>
      <c r="B156" s="92">
        <v>0.58169999999999999</v>
      </c>
      <c r="C156" s="160">
        <f>IF(ISNA(VLOOKUP("sau681740000",Balance!C:G,5,FALSE))=TRUE,0,VLOOKUP("sau681740000",Balance!C:G,5,FALSE))</f>
        <v>1911</v>
      </c>
      <c r="D156" s="117">
        <f>+[2]Saumur!$H156</f>
        <v>3854.34</v>
      </c>
      <c r="E156" s="160">
        <f>IF(ISNA(VLOOKUP("sau681740000",Balanceanp!C:G,5,FALSE))=TRUE,0,VLOOKUP("sau681740000",Balanceanp!C:G,5,FALSE))</f>
        <v>1666.79</v>
      </c>
      <c r="F156" s="368">
        <f>+C156+C156/9*(12-Clients!$I$14)</f>
        <v>2548</v>
      </c>
      <c r="G156" s="570">
        <f>+G21*B156*1.62%</f>
        <v>2680.0170818400006</v>
      </c>
      <c r="H156" s="413"/>
      <c r="I156" s="149">
        <f t="shared" ref="I156:J166" si="15">+IF((E156)=0,,(F156-E156)/E156)</f>
        <v>0.52868687717108942</v>
      </c>
      <c r="J156" s="271">
        <f t="shared" si="15"/>
        <v>5.1812041538461785E-2</v>
      </c>
      <c r="L156" s="443"/>
    </row>
    <row r="157" spans="1:12">
      <c r="A157" s="5" t="s">
        <v>165</v>
      </c>
      <c r="B157" s="92"/>
      <c r="C157" s="160">
        <f>IF(ISNA(VLOOKUP("sau781740000",Balance!C:G,5,FALSE))=TRUE,0,VLOOKUP("sau781740000",Balance!C:G,5,FALSE))</f>
        <v>0</v>
      </c>
      <c r="D157" s="117">
        <f>+[2]Saumur!$H157</f>
        <v>0</v>
      </c>
      <c r="E157" s="160">
        <f>IF(ISNA(VLOOKUP("sau781740000",Balanceanp!C:G,5,FALSE))=TRUE,0,VLOOKUP("sau781740000",Balanceanp!C:G,5,FALSE))</f>
        <v>0</v>
      </c>
      <c r="F157" s="368">
        <f>+C157+C157/9*(12-Clients!$I$14)</f>
        <v>0</v>
      </c>
      <c r="G157" s="396">
        <v>0</v>
      </c>
      <c r="H157" s="409"/>
      <c r="I157" s="149">
        <f t="shared" si="15"/>
        <v>0</v>
      </c>
      <c r="J157" s="271">
        <f t="shared" si="15"/>
        <v>0</v>
      </c>
      <c r="L157" s="443"/>
    </row>
    <row r="158" spans="1:12">
      <c r="A158" s="5" t="s">
        <v>166</v>
      </c>
      <c r="B158" s="92"/>
      <c r="C158" s="160">
        <f>IF(ISNA(VLOOKUP("sau654400000",Balance!C:G,5,FALSE))=TRUE,0,VLOOKUP("sau654400000",Balance!C:G,5,FALSE))</f>
        <v>0</v>
      </c>
      <c r="D158" s="117">
        <f>+[2]Saumur!$H158</f>
        <v>0</v>
      </c>
      <c r="E158" s="160">
        <f>IF(ISNA(VLOOKUP("sau654400000",Balanceanp!C:G,5,FALSE))=TRUE,0,VLOOKUP("sau654400000",Balanceanp!C:G,5,FALSE))</f>
        <v>0</v>
      </c>
      <c r="F158" s="368">
        <f>+C158+C158/9*(12-Clients!$I$14)</f>
        <v>0</v>
      </c>
      <c r="G158" s="396">
        <v>0</v>
      </c>
      <c r="H158" s="409"/>
      <c r="I158" s="149">
        <f t="shared" si="15"/>
        <v>0</v>
      </c>
      <c r="J158" s="271">
        <f t="shared" si="15"/>
        <v>0</v>
      </c>
      <c r="L158" s="443"/>
    </row>
    <row r="159" spans="1:12">
      <c r="A159" s="5" t="s">
        <v>60</v>
      </c>
      <c r="B159" s="92"/>
      <c r="C159" s="160">
        <f>IF(ISNA(VLOOKUP("sau791100000",Balance!C:G,5,FALSE))=TRUE,0,VLOOKUP("sau791100000",Balance!C:G,5,FALSE))</f>
        <v>0</v>
      </c>
      <c r="D159" s="117">
        <f>+[2]Saumur!$H159</f>
        <v>0</v>
      </c>
      <c r="E159" s="160">
        <f>IF(ISNA(VLOOKUP("sau791100000",Balanceanp!C:G,5,FALSE))=TRUE,0,VLOOKUP("sau791100000",Balanceanp!C:G,5,FALSE))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5"/>
        <v>0</v>
      </c>
      <c r="J159" s="271">
        <f t="shared" si="15"/>
        <v>0</v>
      </c>
      <c r="L159" s="443"/>
    </row>
    <row r="160" spans="1:12">
      <c r="A160" s="5" t="s">
        <v>199</v>
      </c>
      <c r="B160" s="92"/>
      <c r="C160" s="160">
        <f>IF(ISNA(VLOOKUP("sau654100000",Balance!C:G,5,FALSE))=TRUE,0,VLOOKUP("sau654100000",Balance!C:G,5,FALSE))</f>
        <v>1.74</v>
      </c>
      <c r="D160" s="117">
        <f>+[2]Saumur!$H160</f>
        <v>0</v>
      </c>
      <c r="E160" s="160">
        <f>IF(ISNA(VLOOKUP("sau654100000",Balanceanp!C:G,5,FALSE))=TRUE,0,VLOOKUP("sau654100000",Balanceanp!C:G,5,FALSE))</f>
        <v>-0.44</v>
      </c>
      <c r="F160" s="368">
        <f>+C160+C160/9*(12-Clients!$I$14)</f>
        <v>2.3199999999999998</v>
      </c>
      <c r="G160" s="396">
        <v>0</v>
      </c>
      <c r="H160" s="409"/>
      <c r="I160" s="149">
        <f t="shared" si="15"/>
        <v>-6.2727272727272725</v>
      </c>
      <c r="J160" s="271">
        <f t="shared" si="15"/>
        <v>-1</v>
      </c>
      <c r="L160" s="443"/>
    </row>
    <row r="161" spans="1:12">
      <c r="A161" s="5" t="s">
        <v>41</v>
      </c>
      <c r="B161" s="92"/>
      <c r="C161" s="160">
        <f>IF(ISNA(VLOOKUP("sau622700000",Balance!C:G,5,FALSE))=TRUE,0,VLOOKUP("sau622700000",Balance!C:G,5,FALSE))</f>
        <v>0</v>
      </c>
      <c r="D161" s="117">
        <f>+[2]Saumur!$H161</f>
        <v>0</v>
      </c>
      <c r="E161" s="160">
        <f>IF(ISNA(VLOOKUP("sau622700000",Balanceanp!C:G,5,FALSE))=TRUE,0,VLOOKUP("sau622700000",Balanceanp!C:G,5,FALSE))</f>
        <v>0</v>
      </c>
      <c r="F161" s="368">
        <f>+C161+C161/9*(12-Clients!$I$14)</f>
        <v>0</v>
      </c>
      <c r="G161" s="396">
        <f t="shared" ref="G161:G166" si="16">+F161*1.03</f>
        <v>0</v>
      </c>
      <c r="H161" s="409"/>
      <c r="I161" s="149">
        <f t="shared" si="15"/>
        <v>0</v>
      </c>
      <c r="J161" s="271">
        <f t="shared" si="15"/>
        <v>0</v>
      </c>
      <c r="L161" s="443"/>
    </row>
    <row r="162" spans="1:12">
      <c r="A162" s="5" t="s">
        <v>355</v>
      </c>
      <c r="B162" s="92"/>
      <c r="C162" s="160">
        <f>IF(ISNA(VLOOKUP("sau654200000",Balance!C:G,5,FALSE))=TRUE,0,VLOOKUP("sau654200000",Balance!C:G,5,FALSE))</f>
        <v>0</v>
      </c>
      <c r="D162" s="117">
        <f>+[2]Saumur!$H162</f>
        <v>3.6976999999999998</v>
      </c>
      <c r="E162" s="160">
        <f>IF(ISNA(VLOOKUP("sau654200000",Balanceanp!C:G,5,FALSE))=TRUE,0,VLOOKUP("sau654200000",Balanceanp!C:G,5,FALSE))</f>
        <v>3.59</v>
      </c>
      <c r="F162" s="368">
        <f>+C162+C162/9*(12-Clients!$I$14)</f>
        <v>0</v>
      </c>
      <c r="G162" s="396">
        <f t="shared" si="16"/>
        <v>0</v>
      </c>
      <c r="H162" s="409"/>
      <c r="I162" s="149">
        <f t="shared" si="15"/>
        <v>-1</v>
      </c>
      <c r="J162" s="271">
        <f t="shared" si="15"/>
        <v>0</v>
      </c>
      <c r="L162" s="443"/>
    </row>
    <row r="163" spans="1:12">
      <c r="A163" s="5" t="s">
        <v>200</v>
      </c>
      <c r="B163" s="92"/>
      <c r="C163" s="160">
        <f>IF(ISNA(VLOOKUP("sau665000000",Balance!C:G,5,FALSE))=TRUE,0,VLOOKUP("sau665000000",Balance!C:G,5,FALSE))+IF(ISNA(VLOOKUP("sau665100000",Balance!C:G,5,FALSE))=TRUE,0,VLOOKUP("sau665100000",Balance!C:G,5,FALSE))</f>
        <v>0</v>
      </c>
      <c r="D163" s="117">
        <f>+[2]Saumur!$H163</f>
        <v>0</v>
      </c>
      <c r="E163" s="160">
        <f>IF(ISNA(VLOOKUP("sau665000000",Balanceanp!C:G,5,FALSE))=TRUE,0,VLOOKUP("sau665000000",Balanceanp!C:G,5,FALSE))+IF(ISNA(VLOOKUP("sau665100000",Balanceanp!C:G,5,FALSE))=TRUE,0,VLOOKUP("sau665100000",Balanceanp!C:G,5,FALSE))</f>
        <v>0</v>
      </c>
      <c r="F163" s="368">
        <f>+C163+C163/9*(12-Clients!$I$14)</f>
        <v>0</v>
      </c>
      <c r="G163" s="396">
        <f t="shared" si="16"/>
        <v>0</v>
      </c>
      <c r="H163" s="409"/>
      <c r="I163" s="149">
        <f t="shared" si="15"/>
        <v>0</v>
      </c>
      <c r="J163" s="271">
        <f t="shared" si="15"/>
        <v>0</v>
      </c>
      <c r="L163" s="443"/>
    </row>
    <row r="164" spans="1:12">
      <c r="A164" s="5" t="s">
        <v>271</v>
      </c>
      <c r="B164" s="92"/>
      <c r="C164" s="160">
        <f>IF(ISNA(VLOOKUP("sau763000000",Balance!C:G,5,FALSE))=TRUE,0,VLOOKUP("sau763000000",Balance!C:G,5,FALSE))</f>
        <v>0</v>
      </c>
      <c r="D164" s="117">
        <f>+[2]Saumur!$H164</f>
        <v>0</v>
      </c>
      <c r="E164" s="160">
        <f>IF(ISNA(VLOOKUP("sau763000000",Balanceanp!C:G,5,FALSE))=TRUE,0,VLOOKUP("sau763000000",Balanceanp!C:G,5,FALSE))</f>
        <v>0</v>
      </c>
      <c r="F164" s="368">
        <f>+C164+C164/9*(12-Clients!$I$14)</f>
        <v>0</v>
      </c>
      <c r="G164" s="396">
        <f t="shared" si="16"/>
        <v>0</v>
      </c>
      <c r="H164" s="409"/>
      <c r="I164" s="149">
        <f t="shared" si="15"/>
        <v>0</v>
      </c>
      <c r="J164" s="271">
        <f t="shared" si="15"/>
        <v>0</v>
      </c>
      <c r="L164" s="443"/>
    </row>
    <row r="165" spans="1:12">
      <c r="A165" s="5" t="s">
        <v>242</v>
      </c>
      <c r="B165" s="92"/>
      <c r="C165" s="160">
        <f>IF(ISNA(VLOOKUP("sau627520000",Balance!C:G,5,FALSE))=TRUE,0,VLOOKUP("sau627520000",Balance!C:G,5,FALSE))</f>
        <v>52.5</v>
      </c>
      <c r="D165" s="117">
        <f>+[2]Saumur!$H165</f>
        <v>72.614999999999995</v>
      </c>
      <c r="E165" s="160">
        <f>IF(ISNA(VLOOKUP("sau627520000",Balanceanp!C:G,5,FALSE))=TRUE,0,VLOOKUP("sau627520000",Balanceanp!C:G,5,FALSE))</f>
        <v>88.5</v>
      </c>
      <c r="F165" s="368">
        <f>+C165+C165/9*(12-Clients!$I$14)</f>
        <v>70</v>
      </c>
      <c r="G165" s="396">
        <f t="shared" si="16"/>
        <v>72.100000000000009</v>
      </c>
      <c r="H165" s="409"/>
      <c r="I165" s="149">
        <f t="shared" si="15"/>
        <v>-0.20903954802259886</v>
      </c>
      <c r="J165" s="271">
        <f t="shared" si="15"/>
        <v>3.000000000000012E-2</v>
      </c>
      <c r="L165" s="443"/>
    </row>
    <row r="166" spans="1:12">
      <c r="A166" s="5" t="s">
        <v>201</v>
      </c>
      <c r="B166" s="92"/>
      <c r="C166" s="160">
        <f>IF(ISNA(VLOOKUP("sau763100000",Balance!C:G,5,FALSE))=TRUE,0,VLOOKUP("sau763100000",Balance!C:G,5,FALSE))</f>
        <v>0</v>
      </c>
      <c r="D166" s="117">
        <f>+[2]Saumur!$H166</f>
        <v>0</v>
      </c>
      <c r="E166" s="160">
        <f>IF(ISNA(VLOOKUP("sau763100000",Balanceanp!C:G,5,FALSE))=TRUE,0,VLOOKUP("sau763100000",Balanceanp!C:G,5,FALSE))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s="443"/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444"/>
    </row>
    <row r="168" spans="1:12" s="33" customFormat="1" ht="15" customHeight="1">
      <c r="A168" s="13" t="s">
        <v>74</v>
      </c>
      <c r="B168" s="93">
        <f>+C168/$C$21</f>
        <v>1.0529205010303699E-2</v>
      </c>
      <c r="C168" s="163">
        <f>SUM(C155:C167)</f>
        <v>1965.24</v>
      </c>
      <c r="D168" s="118">
        <f>SUM(D155:D167)</f>
        <v>3930.6527000000001</v>
      </c>
      <c r="E168" s="163">
        <f>SUM(E155:E167)</f>
        <v>1758.4399999999998</v>
      </c>
      <c r="F168" s="136">
        <f>SUM(F155:F167)</f>
        <v>2620.3200000000002</v>
      </c>
      <c r="G168" s="136">
        <f>SUM(G155:G167)</f>
        <v>2752.1170818400005</v>
      </c>
      <c r="H168" s="421">
        <f>+G168/$G$21</f>
        <v>9.6770597400807346E-3</v>
      </c>
      <c r="I168" s="272">
        <f>+IF((E168)=0,,(F168-E168)/E168)</f>
        <v>0.49013898682923523</v>
      </c>
      <c r="J168" s="188">
        <f>+IF((F168)=0,,(G168-F168)/F168)</f>
        <v>5.0298086432191629E-2</v>
      </c>
      <c r="L168" s="445"/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444"/>
    </row>
    <row r="170" spans="1:12">
      <c r="A170" s="5" t="s">
        <v>167</v>
      </c>
      <c r="B170" s="92"/>
      <c r="C170" s="160">
        <f>IF(ISNA(VLOOKUP("sau651100000",Balance!C:G,5,FALSE))=TRUE,0,VLOOKUP("sau651100000",Balance!C:G,5,FALSE))</f>
        <v>0</v>
      </c>
      <c r="D170" s="117">
        <f>+[2]Saumur!$H170</f>
        <v>0</v>
      </c>
      <c r="E170" s="160">
        <f>IF(ISNA(VLOOKUP("sau651100000",Balanceanp!C:G,5,FALSE))=TRUE,0,VLOOKUP("sau651100000",Balanceanp!C:G,5,FALSE))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s="443"/>
    </row>
    <row r="171" spans="1:12">
      <c r="A171" s="5" t="s">
        <v>168</v>
      </c>
      <c r="B171" s="92"/>
      <c r="C171" s="160">
        <f>IF(ISNA(VLOOKUP("sau651600000",Balance!C:G,5,FALSE))=TRUE,0,VLOOKUP("sau651600000",Balance!C:G,5,FALSE))</f>
        <v>0</v>
      </c>
      <c r="D171" s="117">
        <f>+[2]Saumur!$H171</f>
        <v>0</v>
      </c>
      <c r="E171" s="160">
        <f>IF(ISNA(VLOOKUP("sau651600000",Balanceanp!C:G,5,FALSE))=TRUE,0,VLOOKUP("sau651600000",Balanceanp!C:G,5,FALSE))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s="443"/>
    </row>
    <row r="172" spans="1:12">
      <c r="A172" s="5" t="s">
        <v>169</v>
      </c>
      <c r="B172" s="92"/>
      <c r="C172" s="160">
        <f>IF(ISNA(VLOOKUP("sau671200000",Balance!C:G,5,FALSE))=TRUE,0,VLOOKUP("sau671200000",Balance!C:G,5,FALSE))</f>
        <v>0</v>
      </c>
      <c r="D172" s="117">
        <f>+[2]Saumur!$H172</f>
        <v>0</v>
      </c>
      <c r="E172" s="160">
        <f>IF(ISNA(VLOOKUP("sau671200000",Balanceanp!C:G,5,FALSE))=TRUE,0,VLOOKUP("sau671200000",Balanceanp!C:G,5,FALSE))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s="443"/>
    </row>
    <row r="173" spans="1:12">
      <c r="A173" s="5" t="s">
        <v>170</v>
      </c>
      <c r="B173" s="92"/>
      <c r="C173" s="160">
        <f>IF(ISNA(VLOOKUP("sau671800000",Balance!C:G,5,FALSE))=TRUE,0,VLOOKUP("sau671800000",Balance!C:G,5,FALSE))</f>
        <v>0</v>
      </c>
      <c r="D173" s="117">
        <f>+[2]Saumur!$H173</f>
        <v>0</v>
      </c>
      <c r="E173" s="160">
        <f>IF(ISNA(VLOOKUP("sau671800000",Balanceanp!C:G,5,FALSE))=TRUE,0,VLOOKUP("sau671800000",Balanceanp!C:G,5,FALSE))</f>
        <v>238.27</v>
      </c>
      <c r="F173" s="368">
        <f>+C173+C173/9*(12-Clients!$I$14)</f>
        <v>0</v>
      </c>
      <c r="G173" s="396">
        <f t="shared" si="17"/>
        <v>0</v>
      </c>
      <c r="H173" s="409"/>
      <c r="I173" s="149">
        <f t="shared" si="18"/>
        <v>-1</v>
      </c>
      <c r="J173" s="271">
        <f t="shared" si="18"/>
        <v>0</v>
      </c>
      <c r="L173" s="443"/>
    </row>
    <row r="174" spans="1:12">
      <c r="A174" s="5" t="s">
        <v>171</v>
      </c>
      <c r="B174" s="92"/>
      <c r="C174" s="160">
        <f>IF(ISNA(VLOOKUP("sau672000000",Balance!C:G,5,FALSE))=TRUE,0,VLOOKUP("sau672000000",Balance!C:G,5,FALSE))</f>
        <v>0</v>
      </c>
      <c r="D174" s="117">
        <f>+[2]Saumur!$H174</f>
        <v>0</v>
      </c>
      <c r="E174" s="160">
        <f>IF(ISNA(VLOOKUP("sau672000000",Balanceanp!C:G,5,FALSE))=TRUE,0,VLOOKUP("sau672000000",Balanceanp!C:G,5,FALSE))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s="443"/>
    </row>
    <row r="175" spans="1:12">
      <c r="A175" s="5" t="s">
        <v>308</v>
      </c>
      <c r="B175" s="92"/>
      <c r="C175" s="160">
        <f>IF(ISNA(VLOOKUP("sau691100000",Balance!C:G,5,FALSE))=TRUE,0,VLOOKUP("sau691100000",Balance!C:G,5,FALSE))</f>
        <v>0</v>
      </c>
      <c r="D175" s="117">
        <f>+[2]Saumur!$H175</f>
        <v>0</v>
      </c>
      <c r="E175" s="160">
        <f>IF(ISNA(VLOOKUP("sau691100000",Balanceanp!C:G,5,FALSE))=TRUE,0,VLOOKUP("sau691100000",Balanceanp!C:G,5,FALSE))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s="443"/>
    </row>
    <row r="176" spans="1:12">
      <c r="A176" s="5" t="s">
        <v>172</v>
      </c>
      <c r="B176" s="92"/>
      <c r="C176" s="160">
        <f>IF(ISNA(VLOOKUP("sau675100000",Balance!C:G,5,FALSE))=TRUE,0,VLOOKUP("sau675100000",Balance!C:G,5,FALSE))</f>
        <v>0</v>
      </c>
      <c r="D176" s="117">
        <f>+[2]Saumur!$H176</f>
        <v>0</v>
      </c>
      <c r="E176" s="160">
        <f>IF(ISNA(VLOOKUP("sau675100000",Balanceanp!C:G,5,FALSE))=TRUE,0,VLOOKUP("sau675100000",Balanceanp!C:G,5,FALSE))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s="443"/>
    </row>
    <row r="177" spans="1:12">
      <c r="A177" s="5" t="s">
        <v>173</v>
      </c>
      <c r="B177" s="92"/>
      <c r="C177" s="160">
        <f>IF(ISNA(VLOOKUP("sau675200000",Balance!C:G,5,FALSE))=TRUE,0,VLOOKUP("sau675200000",Balance!C:G,5,FALSE))</f>
        <v>0</v>
      </c>
      <c r="D177" s="117">
        <f>+[2]Saumur!$H177</f>
        <v>0</v>
      </c>
      <c r="E177" s="160">
        <f>IF(ISNA(VLOOKUP("sau675200000",Balanceanp!C:G,5,FALSE))=TRUE,0,VLOOKUP("sau675200000",Balanceanp!C:G,5,FALSE))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s="443"/>
    </row>
    <row r="178" spans="1:12">
      <c r="A178" s="5" t="s">
        <v>174</v>
      </c>
      <c r="B178" s="92"/>
      <c r="C178" s="160">
        <f>IF(ISNA(VLOOKUP("sau681110000",Balance!C:G,5,FALSE))=TRUE,0,VLOOKUP("sau681110000",Balance!C:G,5,FALSE))</f>
        <v>0</v>
      </c>
      <c r="D178" s="117">
        <f>+[2]Saumur!$H178</f>
        <v>0</v>
      </c>
      <c r="E178" s="160">
        <f>IF(ISNA(VLOOKUP("sau681110000",Balanceanp!C:G,5,FALSE))=TRUE,0,VLOOKUP("sau681110000",Balanceanp!C:G,5,FALSE))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s="443"/>
    </row>
    <row r="179" spans="1:12">
      <c r="A179" s="5" t="s">
        <v>175</v>
      </c>
      <c r="B179" s="92"/>
      <c r="C179" s="160">
        <f>IF(ISNA(VLOOKUP("sau681120000",Balance!C:G,5,FALSE))=TRUE,0,VLOOKUP("sau681120000",Balance!C:G,5,FALSE))</f>
        <v>4950</v>
      </c>
      <c r="D179" s="117">
        <f>+[2]Saumur!$H179</f>
        <v>6600</v>
      </c>
      <c r="E179" s="160">
        <f>IF(ISNA(VLOOKUP("sau681120000",Balanceanp!C:G,5,FALSE))=TRUE,0,VLOOKUP("sau681120000",Balanceanp!C:G,5,FALSE))</f>
        <v>2317.7199999999998</v>
      </c>
      <c r="F179" s="425">
        <v>5526.74</v>
      </c>
      <c r="G179" s="570">
        <f>329.3+500+G255/10</f>
        <v>829.3</v>
      </c>
      <c r="H179" s="413"/>
      <c r="I179" s="149">
        <f t="shared" si="18"/>
        <v>1.3845589631189272</v>
      </c>
      <c r="J179" s="271">
        <f t="shared" si="18"/>
        <v>-0.84994770877587866</v>
      </c>
      <c r="L179" s="443"/>
    </row>
    <row r="180" spans="1:12">
      <c r="A180" s="5" t="s">
        <v>78</v>
      </c>
      <c r="B180" s="92"/>
      <c r="C180" s="160">
        <f>IF(ISNA(VLOOKUP("sau687250000",Balance!C:G,5,FALSE))=TRUE,0,+VLOOKUP("sau687250000",Balance!C:G,5,FALSE))</f>
        <v>0</v>
      </c>
      <c r="D180" s="117">
        <f>+[2]Saumur!$H180</f>
        <v>0</v>
      </c>
      <c r="E180" s="160">
        <f>IF(ISNA(VLOOKUP("sau687250000",Balanceanp!C:G,5,FALSE))=TRUE,0,+VLOOKUP("sau687250000",Balanceanp!C:G,5,FALSE))</f>
        <v>3804.03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s="443"/>
    </row>
    <row r="181" spans="1:12">
      <c r="A181" s="5" t="s">
        <v>327</v>
      </c>
      <c r="B181" s="92"/>
      <c r="C181" s="160">
        <f>IF(ISNA(VLOOKUP("sau661880000",Balance!C:G,5,FALSE))=TRUE,0,+VLOOKUP("sau661880000",Balance!C:G,5,FALSE))</f>
        <v>0</v>
      </c>
      <c r="D181" s="117">
        <f>+[2]Saumur!$H181</f>
        <v>0</v>
      </c>
      <c r="E181" s="160">
        <f>IF(ISNA(VLOOKUP("sau661880000",Balanceanp!C:G,5,FALSE))=TRUE,0,+VLOOKUP("sau661880000",Balanceanp!C:G,5,FALSE))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s="443"/>
    </row>
    <row r="182" spans="1:12">
      <c r="A182" s="5" t="s">
        <v>82</v>
      </c>
      <c r="B182" s="92"/>
      <c r="C182" s="160"/>
      <c r="D182" s="117">
        <f>+[2]Saumur!$H182</f>
        <v>0</v>
      </c>
      <c r="E182" s="160">
        <f>IF(ISNA(VLOOKUP("sau661610000",Balanceanp!C:G,5,FALSE))=TRUE,0,+VLOOKUP("sau661610000",Balanceanp!C:G,5,FALSE))</f>
        <v>0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s="443"/>
    </row>
    <row r="183" spans="1:12">
      <c r="A183" s="5" t="s">
        <v>331</v>
      </c>
      <c r="B183" s="92"/>
      <c r="C183" s="160">
        <f>IF(ISNA(VLOOKUP("sau681500000",Balance!C:G,5,FALSE))=TRUE,0,VLOOKUP("sau681500000",Balance!C:G,5,FALSE))</f>
        <v>0</v>
      </c>
      <c r="D183" s="117">
        <f>+[2]Saumur!$H183</f>
        <v>0</v>
      </c>
      <c r="E183" s="160">
        <f>IF(ISNA(VLOOKUP("sau681500000",Balanceanp!C:G,5,FALSE))=TRUE,0,VLOOKUP("sau681500000",Balanceanp!C:G,5,FALSE))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s="443"/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444"/>
    </row>
    <row r="185" spans="1:12" s="33" customFormat="1" ht="15" customHeight="1">
      <c r="A185" s="13" t="s">
        <v>178</v>
      </c>
      <c r="B185" s="93"/>
      <c r="C185" s="163">
        <f>SUM(C169:C184)</f>
        <v>4950</v>
      </c>
      <c r="D185" s="118">
        <f>SUM(D169:D184)</f>
        <v>6600</v>
      </c>
      <c r="E185" s="280">
        <f>SUM(E169:E184)</f>
        <v>6360.02</v>
      </c>
      <c r="F185" s="136">
        <f>SUM(F169:F184)</f>
        <v>5526.74</v>
      </c>
      <c r="G185" s="136">
        <f>SUM(G169:G184)</f>
        <v>829.3</v>
      </c>
      <c r="H185" s="421"/>
      <c r="I185" s="272">
        <f>+IF((E185)=0,,(F185-E185)/E185)</f>
        <v>-0.13101845591680539</v>
      </c>
      <c r="J185" s="188">
        <f>+IF((F185)=0,,(G185-F185)/F185)</f>
        <v>-0.84994770877587866</v>
      </c>
      <c r="L185" s="445"/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444"/>
    </row>
    <row r="187" spans="1:12">
      <c r="A187" s="5" t="s">
        <v>179</v>
      </c>
      <c r="B187" s="92"/>
      <c r="C187" s="160">
        <f>IF(ISNA(VLOOKUP("sau740000000",Balance!C:G,5,FALSE))=TRUE,0,-VLOOKUP("sau740000000",Balance!C:G,5,FALSE))</f>
        <v>1370</v>
      </c>
      <c r="D187" s="117">
        <f>+[2]Saumur!$H187</f>
        <v>0</v>
      </c>
      <c r="E187" s="160">
        <f>IF(ISNA(VLOOKUP("sau740000000",Balanceanp!C:G,5,FALSE))=TRUE,0,-VLOOKUP("sau740000000",Balanceanp!C:G,5,FALSE))</f>
        <v>0</v>
      </c>
      <c r="F187" s="368">
        <f>+C187+C187/9*(12-Clients!$I$14)</f>
        <v>1826.6666666666667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-1</v>
      </c>
      <c r="L187" s="443"/>
    </row>
    <row r="188" spans="1:12">
      <c r="A188" s="5" t="s">
        <v>230</v>
      </c>
      <c r="B188" s="92"/>
      <c r="C188" s="160">
        <f>IF(ISNA(VLOOKUP("sau751100000",Balance!C:G,5,FALSE))=TRUE,0,-VLOOKUP("sau751100000",Balance!C:G,5,FALSE))</f>
        <v>0</v>
      </c>
      <c r="D188" s="117">
        <f>+[2]Saumur!$H188</f>
        <v>0</v>
      </c>
      <c r="E188" s="160">
        <f>IF(ISNA(VLOOKUP("sau751100000",Balanceanp!C:G,5,FALSE))=TRUE,0,-VLOOKUP("sau751100000",Balanceanp!C:G,5,FALSE))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s="443"/>
    </row>
    <row r="189" spans="1:12">
      <c r="A189" s="5" t="s">
        <v>180</v>
      </c>
      <c r="B189" s="92"/>
      <c r="C189" s="160">
        <f>IF(ISNA(VLOOKUP("sau758100000",Balance!C:G,5,FALSE))=TRUE,0,-VLOOKUP("sau758100000",Balance!C:G,5,FALSE))</f>
        <v>0</v>
      </c>
      <c r="D189" s="117">
        <f>+[2]Saumur!$H189</f>
        <v>0</v>
      </c>
      <c r="E189" s="160">
        <f>IF(ISNA(VLOOKUP("sau758100000",Balanceanp!C:G,5,FALSE))=TRUE,0,-VLOOKUP("sau758100000",Balanceanp!C:G,5,FALSE))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19"/>
        <v>0</v>
      </c>
      <c r="J189" s="271">
        <f t="shared" si="19"/>
        <v>0</v>
      </c>
      <c r="L189" s="443"/>
    </row>
    <row r="190" spans="1:12">
      <c r="A190" s="5" t="s">
        <v>181</v>
      </c>
      <c r="B190" s="92"/>
      <c r="C190" s="160">
        <f>IF(ISNA(VLOOKUP("sau763800000",Balance!C:G,5,FALSE))=TRUE,0,-VLOOKUP("sau763800000",Balance!C:G,5,FALSE))</f>
        <v>0</v>
      </c>
      <c r="D190" s="117">
        <f>+[2]Saumur!$H190</f>
        <v>0</v>
      </c>
      <c r="E190" s="160">
        <f>IF(ISNA(VLOOKUP("sau763800000",Balanceanp!C:G,5,FALSE))=TRUE,0,-VLOOKUP("sau763800000",Balanceanp!C:G,5,FALSE))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s="443"/>
    </row>
    <row r="191" spans="1:12">
      <c r="A191" s="5" t="s">
        <v>182</v>
      </c>
      <c r="B191" s="92"/>
      <c r="C191" s="160">
        <f>IF(ISNA(VLOOKUP("sau765000000",Balance!C:G,5,FALSE))=TRUE,0,-VLOOKUP("sau765000000",Balance!C:G,5,FALSE))</f>
        <v>0</v>
      </c>
      <c r="D191" s="117">
        <f>+[2]Saumur!$H191</f>
        <v>0</v>
      </c>
      <c r="E191" s="160">
        <f>IF(ISNA(VLOOKUP("sau765000000",Balanceanp!C:G,5,FALSE))=TRUE,0,-VLOOKUP("sau765000000",Balanceanp!C:G,5,FALSE))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s="443"/>
    </row>
    <row r="192" spans="1:12">
      <c r="A192" s="5" t="s">
        <v>183</v>
      </c>
      <c r="B192" s="92"/>
      <c r="C192" s="160">
        <f>IF(ISNA(VLOOKUP("sau771400000",Balance!C:G,5,FALSE))=TRUE,0,-VLOOKUP("sau771400000",Balance!C:G,5,FALSE))</f>
        <v>0</v>
      </c>
      <c r="D192" s="117">
        <f>+[2]Saumur!$H192</f>
        <v>0</v>
      </c>
      <c r="E192" s="160">
        <f>IF(ISNA(VLOOKUP("sau771400000",Balanceanp!C:G,5,FALSE))=TRUE,0,-VLOOKUP("sau771400000",Balanceanp!C:G,5,FALSE))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s="443"/>
    </row>
    <row r="193" spans="1:12">
      <c r="A193" s="5" t="s">
        <v>184</v>
      </c>
      <c r="B193" s="92"/>
      <c r="C193" s="160">
        <f>IF(ISNA(VLOOKUP("sau771800000",Balance!C:G,5,FALSE))=TRUE,0,-VLOOKUP("sau771800000",Balance!C:G,5,FALSE))+IF(ISNA(VLOOKUP("sau758000000",Balance!C:G,5,FALSE))=TRUE,0,-VLOOKUP("sau758000000",Balance!C:G,5,FALSE))</f>
        <v>163.9</v>
      </c>
      <c r="D193" s="117">
        <f>+[2]Saumur!$H193</f>
        <v>0</v>
      </c>
      <c r="E193" s="160">
        <f>IF(ISNA(VLOOKUP("sau771800000",Balanceanp!C:G,5,FALSE))=TRUE,0,-VLOOKUP("sau771800000",Balanceanp!C:G,5,FALSE))</f>
        <v>267.01</v>
      </c>
      <c r="F193" s="368">
        <f>+C193+C193/9*(12-Clients!$I$14)</f>
        <v>218.53333333333336</v>
      </c>
      <c r="G193" s="368">
        <v>0</v>
      </c>
      <c r="H193" s="410"/>
      <c r="I193" s="149">
        <f t="shared" si="19"/>
        <v>-0.18155374954745751</v>
      </c>
      <c r="J193" s="271">
        <f t="shared" si="19"/>
        <v>-1</v>
      </c>
      <c r="L193" s="443"/>
    </row>
    <row r="194" spans="1:12">
      <c r="A194" s="5" t="s">
        <v>185</v>
      </c>
      <c r="B194" s="92"/>
      <c r="C194" s="160">
        <f>IF(ISNA(VLOOKUP("sau758000000",Balance!C:G,5,FALSE))=TRUE,0,-VLOOKUP("sau758000000",Balance!C:G,5,FALSE))</f>
        <v>0</v>
      </c>
      <c r="D194" s="117">
        <f>+[2]Saumur!$H194</f>
        <v>0</v>
      </c>
      <c r="E194" s="160">
        <f>IF(ISNA(VLOOKUP("sau772000000",Balanceanp!C:G,5,FALSE))=TRUE,0,-VLOOKUP("sau772000000",Balanceanp!C:G,5,FALSE))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s="443"/>
    </row>
    <row r="195" spans="1:12">
      <c r="A195" s="5" t="s">
        <v>186</v>
      </c>
      <c r="B195" s="92"/>
      <c r="C195" s="160">
        <f>IF(ISNA(VLOOKUP("sau775100000",Balance!C:G,5,FALSE))=TRUE,0,-VLOOKUP("sau775100000",Balance!C:G,5,FALSE))</f>
        <v>0</v>
      </c>
      <c r="D195" s="117">
        <f>+[2]Saumur!$H195</f>
        <v>0</v>
      </c>
      <c r="E195" s="160">
        <f>IF(ISNA(VLOOKUP("sau775100000",Balanceanp!C:G,5,FALSE))=TRUE,0,-VLOOKUP("sau775100000",Balanceanp!C:G,5,FALSE))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s="443"/>
    </row>
    <row r="196" spans="1:12">
      <c r="A196" s="5" t="s">
        <v>187</v>
      </c>
      <c r="B196" s="92"/>
      <c r="C196" s="160">
        <f>IF(ISNA(VLOOKUP("sau775200000",Balance!C:G,5,FALSE))=TRUE,0,-VLOOKUP("sau775200000",Balance!C:G,5,FALSE))</f>
        <v>0</v>
      </c>
      <c r="D196" s="117">
        <f>+[2]Saumur!$H196</f>
        <v>0</v>
      </c>
      <c r="E196" s="160">
        <f>IF(ISNA(VLOOKUP("sau775200000",Balanceanp!C:G,5,FALSE))=TRUE,0,-VLOOKUP("sau775200000",Balanceanp!C:G,5,FALSE))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s="443"/>
    </row>
    <row r="197" spans="1:12">
      <c r="A197" s="5" t="s">
        <v>328</v>
      </c>
      <c r="B197" s="92"/>
      <c r="C197" s="160">
        <f>IF(ISNA(VLOOKUP("sau791000000",Balance!C:G,5,FALSE))=TRUE,0,-VLOOKUP("sau791000000",Balance!C:G,5,FALSE))</f>
        <v>0</v>
      </c>
      <c r="D197" s="117">
        <f>+[2]Saumur!$H197</f>
        <v>0</v>
      </c>
      <c r="E197" s="160">
        <f>IF(ISNA(VLOOKUP("sau791000000",Balanceanp!C:G,5,FALSE))=TRUE,0,-VLOOKUP("sau791000000",Balanceanp!C:G,5,FALSE))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s="443"/>
    </row>
    <row r="198" spans="1:12">
      <c r="A198" s="5" t="s">
        <v>344</v>
      </c>
      <c r="B198" s="92"/>
      <c r="C198" s="160">
        <f>IF(ISNA(VLOOKUP("sau781500000",Balance!C:G,5,FALSE))=TRUE,0,-VLOOKUP("sau781500000",Balance!C:G,5,FALSE))</f>
        <v>0</v>
      </c>
      <c r="D198" s="117">
        <f>+[2]Saumur!$H198</f>
        <v>0</v>
      </c>
      <c r="E198" s="160">
        <f>IF(ISNA(VLOOKUP("sau781500000",Balanceanp!C:G,5,FALSE))=TRUE,0,-VLOOKUP("sau781500000",Balanceanp!C:G,5,FALSE))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s="443"/>
    </row>
    <row r="199" spans="1:12">
      <c r="A199" s="5" t="s">
        <v>77</v>
      </c>
      <c r="B199" s="92"/>
      <c r="C199" s="160">
        <f>IF(ISNA(VLOOKUP("sau787250000",Balance!C:G,5,FALSE))=TRUE,0,-VLOOKUP("sau787250000",Balance!C:G,5,FALSE))</f>
        <v>0</v>
      </c>
      <c r="D199" s="117">
        <f>+[2]Saumur!$H199</f>
        <v>0</v>
      </c>
      <c r="E199" s="160">
        <f>IF(ISNA(VLOOKUP("sau787250000",Balanceanp!C:G,5,FALSE))=TRUE,0,-VLOOKUP("sau787250000",Balanceanp!C:G,5,FALSE))</f>
        <v>0</v>
      </c>
      <c r="F199" s="368">
        <f>+C199+C199/9*(12-Clients!$I$14)</f>
        <v>0</v>
      </c>
      <c r="G199" s="368">
        <v>0</v>
      </c>
      <c r="H199" s="410"/>
      <c r="I199" s="149">
        <f t="shared" si="19"/>
        <v>0</v>
      </c>
      <c r="J199" s="271">
        <f t="shared" si="19"/>
        <v>0</v>
      </c>
      <c r="L199" s="443"/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444"/>
    </row>
    <row r="201" spans="1:12" s="33" customFormat="1" ht="15" customHeight="1">
      <c r="A201" s="13" t="s">
        <v>188</v>
      </c>
      <c r="B201" s="93"/>
      <c r="C201" s="163">
        <f>SUM(C186:C200)</f>
        <v>1533.9</v>
      </c>
      <c r="D201" s="118">
        <f>SUM(D186:D200)</f>
        <v>0</v>
      </c>
      <c r="E201" s="163">
        <f>SUM(E186:E200)</f>
        <v>267.01</v>
      </c>
      <c r="F201" s="136">
        <f>SUM(F186:F200)</f>
        <v>2045.2</v>
      </c>
      <c r="G201" s="136">
        <f>SUM(G186:G200)</f>
        <v>0</v>
      </c>
      <c r="H201" s="421"/>
      <c r="I201" s="272">
        <f>+IF((E201)=0,,(F201-E201)/E201)</f>
        <v>6.6596382157971616</v>
      </c>
      <c r="J201" s="188">
        <f>+IF((F201)=0,,(G201-F201)/F201)</f>
        <v>-1</v>
      </c>
      <c r="L201" s="445"/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444"/>
    </row>
    <row r="203" spans="1:12" s="33" customFormat="1" ht="15" customHeight="1">
      <c r="A203" s="14" t="s">
        <v>189</v>
      </c>
      <c r="B203" s="99">
        <f>+C203/$C$21</f>
        <v>0.52479233880376153</v>
      </c>
      <c r="C203" s="175">
        <f>+C103+C116+C129+C154+C168+C185-C201</f>
        <v>97950.69</v>
      </c>
      <c r="D203" s="126">
        <f>+D103+D116+D129+D154+D168+D185-D201</f>
        <v>129853.24990976581</v>
      </c>
      <c r="E203" s="175">
        <f>+E103+E116+E129+E154+E168+E185-E201</f>
        <v>146065.39599999998</v>
      </c>
      <c r="F203" s="145">
        <f>+F103+F116+F129+F154+F168+F185-F201</f>
        <v>124129.65000000002</v>
      </c>
      <c r="G203" s="145">
        <f>+G103+G116+G129+G154+G168+G185-G201</f>
        <v>120473.12345677281</v>
      </c>
      <c r="H203" s="422">
        <f>+G203/$G$21</f>
        <v>0.42361047081102693</v>
      </c>
      <c r="I203" s="281">
        <f>+IF((E203)=0,,(F203-E203)/E203)</f>
        <v>-0.15017756840915256</v>
      </c>
      <c r="J203" s="282">
        <f>+IF((F203)=0,,(G203-F203)/F203)</f>
        <v>-2.9457317757902425E-2</v>
      </c>
      <c r="L203" s="451"/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444"/>
    </row>
    <row r="205" spans="1:12" s="33" customFormat="1" ht="15" customHeight="1">
      <c r="A205" s="12" t="s">
        <v>228</v>
      </c>
      <c r="B205" s="100">
        <f>+C205/$C$21</f>
        <v>-0.11479510954849052</v>
      </c>
      <c r="C205" s="177">
        <f>+C62-C203</f>
        <v>-21426.113450000004</v>
      </c>
      <c r="D205" s="127">
        <f>+D62-D203</f>
        <v>22831.750090234185</v>
      </c>
      <c r="E205" s="177">
        <f>+E53-E203</f>
        <v>-37118.540400000027</v>
      </c>
      <c r="F205" s="146">
        <f>+F62-F203</f>
        <v>-19419.060000000027</v>
      </c>
      <c r="G205" s="146">
        <f>+G62-G203</f>
        <v>527.1565432271891</v>
      </c>
      <c r="H205" s="406">
        <f>+G205/$G$21</f>
        <v>1.8536004136035285E-3</v>
      </c>
      <c r="I205" s="226">
        <f>+IF((E205)=0,,(F205-E205)/E205)</f>
        <v>-0.47683664845829948</v>
      </c>
      <c r="J205" s="283">
        <f>+IF((F205)=0,,(G205-F205)/F205)</f>
        <v>-1.0271463471057398</v>
      </c>
      <c r="L205" s="452"/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444"/>
    </row>
    <row r="207" spans="1:12" ht="15" customHeight="1">
      <c r="A207" s="63" t="s">
        <v>251</v>
      </c>
      <c r="B207" s="101">
        <f>+C207/$C$21</f>
        <v>2.6704702267649483E-3</v>
      </c>
      <c r="C207" s="179">
        <f>+[2]Saumur!$C207</f>
        <v>498.43410811279978</v>
      </c>
      <c r="D207" s="128">
        <f>+[2]Saumur!$H207</f>
        <v>2265.8385883260703</v>
      </c>
      <c r="E207" s="284">
        <f>+[1]Saumur!$G$207</f>
        <v>648.58155790973126</v>
      </c>
      <c r="F207" s="150">
        <f>+Repart!K17</f>
        <v>661.94713790561082</v>
      </c>
      <c r="G207" s="150">
        <f>+Repart!Q17</f>
        <v>1076.4965030525875</v>
      </c>
      <c r="H207" s="423">
        <f>+G207/$G$21</f>
        <v>3.7852026858766915E-3</v>
      </c>
      <c r="I207" s="281">
        <f>+IF((E207)=0,,(F207-E207)/E207)</f>
        <v>2.0607400615821645E-2</v>
      </c>
      <c r="J207" s="282">
        <f>+IF((F207)=0,,(G207-F207)/F207)</f>
        <v>0.62625750820315296</v>
      </c>
      <c r="L207" s="453"/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444"/>
    </row>
    <row r="209" spans="1:12" s="33" customFormat="1" ht="15" customHeight="1">
      <c r="A209" s="12" t="s">
        <v>190</v>
      </c>
      <c r="B209" s="100">
        <f>+C209/$C$21</f>
        <v>-0.11746557977525547</v>
      </c>
      <c r="C209" s="177">
        <f>+C205-C207</f>
        <v>-21924.547558112805</v>
      </c>
      <c r="D209" s="127">
        <f>+D205-D207</f>
        <v>20565.911501908115</v>
      </c>
      <c r="E209" s="177">
        <f>+E205-E207</f>
        <v>-37767.12195790976</v>
      </c>
      <c r="F209" s="146">
        <f>+F205-F207</f>
        <v>-20081.007137905639</v>
      </c>
      <c r="G209" s="146">
        <f>+G205-G207</f>
        <v>-549.33995982539841</v>
      </c>
      <c r="H209" s="406">
        <f>+G209/$G$21</f>
        <v>-1.9316022722731627E-3</v>
      </c>
      <c r="I209" s="226">
        <f>+IF((E209)=0,,(F209-E209)/E209)</f>
        <v>-0.46829395260022</v>
      </c>
      <c r="J209" s="283">
        <f>+IF((F209)=0,,(G209-F209)/F209)</f>
        <v>-0.97264380436435149</v>
      </c>
      <c r="L209" s="452"/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444"/>
    </row>
    <row r="211" spans="1:12">
      <c r="A211" s="5" t="s">
        <v>191</v>
      </c>
      <c r="B211" s="92">
        <f>+C211/$C$21</f>
        <v>3.501303248891656E-2</v>
      </c>
      <c r="C211" s="160">
        <f>+[2]Saumur!$C211</f>
        <v>6535.0624193548392</v>
      </c>
      <c r="D211" s="117">
        <f>+[2]Saumur!$H211</f>
        <v>9026.0372215405096</v>
      </c>
      <c r="E211" s="160">
        <f>+[1]Saumur!$G211</f>
        <v>8095.0860719999991</v>
      </c>
      <c r="F211" s="368">
        <f>+Repart!I17</f>
        <v>8997.9607634408567</v>
      </c>
      <c r="G211" s="368">
        <f>+Repart!O17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L211" s="443"/>
    </row>
    <row r="212" spans="1:12">
      <c r="A212" s="5" t="s">
        <v>192</v>
      </c>
      <c r="B212" s="92">
        <f>+C212/$C$21</f>
        <v>3.8921426008139783E-2</v>
      </c>
      <c r="C212" s="160">
        <f>+[2]Saumur!$C212</f>
        <v>7264.5506639280829</v>
      </c>
      <c r="D212" s="117">
        <f>+[2]Saumur!$H212</f>
        <v>14351.960306129058</v>
      </c>
      <c r="E212" s="160">
        <f>+[1]Saumur!$G212</f>
        <v>9954.0990163102106</v>
      </c>
      <c r="F212" s="368">
        <f>+Repart!J17</f>
        <v>10007.319097181457</v>
      </c>
      <c r="G212" s="368">
        <f>+Repart!P17</f>
        <v>11598.434206846863</v>
      </c>
      <c r="H212" s="410"/>
      <c r="I212" s="149">
        <f t="shared" si="20"/>
        <v>5.3465492742278947E-3</v>
      </c>
      <c r="J212" s="271">
        <f t="shared" si="20"/>
        <v>0.15899514087779426</v>
      </c>
      <c r="L212" s="443"/>
    </row>
    <row r="213" spans="1:12">
      <c r="A213" s="5" t="s">
        <v>193</v>
      </c>
      <c r="B213" s="92"/>
      <c r="C213" s="160">
        <f>+[2]Saumur!$C213</f>
        <v>-1825.8</v>
      </c>
      <c r="D213" s="117">
        <f>+[2]Saumur!$H213</f>
        <v>-3200</v>
      </c>
      <c r="E213" s="160">
        <f>+[1]Saumur!$G213</f>
        <v>-3378.8</v>
      </c>
      <c r="F213" s="368">
        <f>+C213+C213/9*(12-Clients!$I$14)</f>
        <v>-2434.4</v>
      </c>
      <c r="G213" s="368">
        <f>+G253*-4%</f>
        <v>-3200</v>
      </c>
      <c r="H213" s="410"/>
      <c r="I213" s="149">
        <f t="shared" si="20"/>
        <v>-0.27950751746182079</v>
      </c>
      <c r="J213" s="271">
        <f t="shared" si="20"/>
        <v>0.3144922773578705</v>
      </c>
      <c r="L213" s="443"/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444"/>
    </row>
    <row r="215" spans="1:12" s="33" customFormat="1" ht="15" customHeight="1">
      <c r="A215" s="20" t="s">
        <v>194</v>
      </c>
      <c r="B215" s="103">
        <f>+C215/$C$21</f>
        <v>6.4152333917965501E-2</v>
      </c>
      <c r="C215" s="180">
        <f>SUM(C210:C213)</f>
        <v>11973.813083282923</v>
      </c>
      <c r="D215" s="129">
        <f>SUM(D210:D213)</f>
        <v>20177.99752766957</v>
      </c>
      <c r="E215" s="180">
        <f>SUM(E210:E213)</f>
        <v>14670.38508831021</v>
      </c>
      <c r="F215" s="148">
        <f>SUM(F210:F213)</f>
        <v>16570.879860622314</v>
      </c>
      <c r="G215" s="148">
        <f>SUM(G210:G213)</f>
        <v>18043.118886157339</v>
      </c>
      <c r="H215" s="424">
        <f>+G215/$G$21</f>
        <v>6.3443645079949568E-2</v>
      </c>
      <c r="I215" s="281">
        <f>+IF((E215)=0,,(F215-E215)/E215)</f>
        <v>0.12954634529849346</v>
      </c>
      <c r="J215" s="282">
        <f>+IF((F215)=0,,(G215-F215)/F215)</f>
        <v>8.8844951983119147E-2</v>
      </c>
      <c r="L215" s="446"/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444"/>
    </row>
    <row r="217" spans="1:12" s="33" customFormat="1" ht="20.100000000000001" customHeight="1">
      <c r="A217" s="12" t="s">
        <v>86</v>
      </c>
      <c r="B217" s="100">
        <f>+C217/$C$21</f>
        <v>-0.181617913693221</v>
      </c>
      <c r="C217" s="177">
        <f>+C209-C215</f>
        <v>-33898.360641395731</v>
      </c>
      <c r="D217" s="127">
        <f>+D209-D215</f>
        <v>387.91397423854505</v>
      </c>
      <c r="E217" s="177">
        <f>+E209-E215</f>
        <v>-52437.507046219966</v>
      </c>
      <c r="F217" s="146">
        <f>+F209-F215</f>
        <v>-36651.886998527953</v>
      </c>
      <c r="G217" s="146">
        <f>+G209-G215</f>
        <v>-18592.458845982739</v>
      </c>
      <c r="H217" s="406">
        <f>+G217/$G$21</f>
        <v>-6.5375247352222748E-2</v>
      </c>
      <c r="I217" s="226">
        <f>+IF((E217)=0,,(F217-E217)/E217)</f>
        <v>-0.30103681385497794</v>
      </c>
      <c r="J217" s="283">
        <f>+IF((F217)=0,,(G217-F217)/F217)</f>
        <v>-0.49272846861255831</v>
      </c>
      <c r="L217" s="452"/>
    </row>
    <row r="218" spans="1:12">
      <c r="A218" s="2" t="s">
        <v>43</v>
      </c>
      <c r="C218" s="17">
        <f>+C225-C226-C215-C207-C53+C62-C38+C213</f>
        <v>-33898.360641395702</v>
      </c>
      <c r="D218" s="117">
        <f>+[2]Saumur!$H$217</f>
        <v>387.91397423854505</v>
      </c>
      <c r="E218" s="17">
        <f>+[1]Saumur!$G$217</f>
        <v>-52437.507046219966</v>
      </c>
      <c r="F218" s="87"/>
      <c r="G218" s="398"/>
      <c r="H218" s="414"/>
      <c r="L218" s="443"/>
    </row>
    <row r="219" spans="1:12">
      <c r="A219" s="2" t="s">
        <v>346</v>
      </c>
      <c r="B219" s="58">
        <f>+Clients!K13</f>
        <v>270</v>
      </c>
      <c r="C219" s="17">
        <f>+B219/C44*C57</f>
        <v>150.98882350780312</v>
      </c>
    </row>
    <row r="220" spans="1:12">
      <c r="A220" s="2" t="s">
        <v>354</v>
      </c>
      <c r="B220" s="58">
        <f>+Clients!K13</f>
        <v>270</v>
      </c>
      <c r="C220" s="17">
        <f>+B220/(C21*1.196)*Clients!K44</f>
        <v>74.429363303558034</v>
      </c>
    </row>
    <row r="222" spans="1:12">
      <c r="A222" s="264" t="s">
        <v>67</v>
      </c>
      <c r="B222" s="265"/>
      <c r="C222" s="265">
        <f>+(C215+C207+C203)/C60/Clients!$I$13*12</f>
        <v>354772.48896833963</v>
      </c>
      <c r="D222" s="265">
        <f>+(D215+D207+D203)/D60</f>
        <v>376042.18771792948</v>
      </c>
      <c r="E222" s="265">
        <f>+(E215+E207+E203)/E60/Clients!$I$13*12</f>
        <v>531306.54369125899</v>
      </c>
      <c r="F222" s="265">
        <f>+(F215+F207+F203)/F60</f>
        <v>328749.94650820451</v>
      </c>
      <c r="G222" s="265">
        <f>+(G215+G207+G203)/G60</f>
        <v>324634.27638600639</v>
      </c>
      <c r="H222" s="265"/>
      <c r="I222" s="265"/>
      <c r="J222" s="265"/>
    </row>
    <row r="223" spans="1:12">
      <c r="A223" s="264" t="s">
        <v>66</v>
      </c>
      <c r="B223" s="265"/>
      <c r="C223" s="265">
        <f>+(C215+C207+C203)/C60/Clients!$I$13</f>
        <v>29564.374080694972</v>
      </c>
      <c r="D223" s="265">
        <f>+(D215+D207+D203)/D60/12</f>
        <v>31336.848976494122</v>
      </c>
      <c r="E223" s="265">
        <f>+(E215+E207+E203)/E60/Clients!$I$13</f>
        <v>44275.545307604916</v>
      </c>
      <c r="F223" s="265">
        <f>+(F215+F207+F203)/F60/9</f>
        <v>36527.771834244944</v>
      </c>
      <c r="G223" s="265">
        <f>+(G215+G207+G203)/G60/12</f>
        <v>27052.856365500531</v>
      </c>
      <c r="H223" s="265"/>
      <c r="I223" s="265"/>
      <c r="J223" s="265"/>
    </row>
    <row r="224" spans="1:12">
      <c r="B224" s="17"/>
      <c r="D224" s="17"/>
      <c r="E224" s="17"/>
      <c r="F224" s="17"/>
      <c r="G224" s="17"/>
      <c r="H224" s="17"/>
      <c r="I224" s="17"/>
      <c r="J224" s="17"/>
    </row>
    <row r="225" spans="1:12">
      <c r="A225" s="2" t="s">
        <v>215</v>
      </c>
      <c r="C225" s="17">
        <f>+C51-C40-C157-C166+C201-C164-C159-C137</f>
        <v>186215.85</v>
      </c>
      <c r="D225" s="17"/>
    </row>
    <row r="226" spans="1:12">
      <c r="A226" s="2" t="s">
        <v>216</v>
      </c>
      <c r="C226" s="17">
        <f>+C44-C38-C40+C103+C116+C129+C154+C156+C158+C160+C161+C162+C163+C165+C185+C213</f>
        <v>198913.72999999998</v>
      </c>
      <c r="D226" s="17"/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</row>
    <row r="229" spans="1:12" ht="20.25" customHeight="1">
      <c r="A229" s="7" t="str">
        <f>+A4</f>
        <v>SAUMUR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</row>
    <row r="231" spans="1:12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</row>
    <row r="233" spans="1:12" s="33" customFormat="1" ht="15" customHeight="1">
      <c r="A233" s="245" t="s">
        <v>223</v>
      </c>
      <c r="B233" s="363"/>
      <c r="C233" s="175">
        <f t="shared" ref="C233:J233" si="21">+C51</f>
        <v>184396.57</v>
      </c>
      <c r="D233" s="176">
        <f t="shared" si="21"/>
        <v>377000</v>
      </c>
      <c r="E233" s="175">
        <f t="shared" si="21"/>
        <v>276418.20999999996</v>
      </c>
      <c r="F233" s="206">
        <f t="shared" si="21"/>
        <v>243513</v>
      </c>
      <c r="G233" s="206">
        <f t="shared" si="21"/>
        <v>281396</v>
      </c>
      <c r="H233" s="313"/>
      <c r="I233" s="281">
        <f>+I51</f>
        <v>-0.11904139745351787</v>
      </c>
      <c r="J233" s="192">
        <f t="shared" si="21"/>
        <v>0.15556869653776184</v>
      </c>
      <c r="K233" s="58"/>
      <c r="L233" s="298"/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</row>
    <row r="235" spans="1:12" s="33" customFormat="1" ht="15" customHeight="1">
      <c r="A235" s="246" t="s">
        <v>295</v>
      </c>
      <c r="B235" s="364"/>
      <c r="C235" s="197">
        <f>+C60</f>
        <v>0.41499999999999998</v>
      </c>
      <c r="D235" s="191">
        <f>+D60</f>
        <v>0.40500000000000003</v>
      </c>
      <c r="E235" s="197">
        <f>+E60</f>
        <v>0.40500000000000003</v>
      </c>
      <c r="F235" s="224">
        <f>+F60</f>
        <v>0.43</v>
      </c>
      <c r="G235" s="224">
        <f>+G60</f>
        <v>0.43</v>
      </c>
      <c r="H235" s="15"/>
      <c r="I235" s="224"/>
      <c r="J235" s="191"/>
      <c r="L235" s="298"/>
    </row>
    <row r="236" spans="1:12" s="33" customFormat="1" ht="15" customHeight="1">
      <c r="A236" s="246" t="s">
        <v>296</v>
      </c>
      <c r="B236" s="364"/>
      <c r="C236" s="169">
        <f>+C62</f>
        <v>76524.576549999998</v>
      </c>
      <c r="D236" s="170">
        <f>+D62</f>
        <v>152685</v>
      </c>
      <c r="E236" s="169">
        <f>+E62</f>
        <v>111949.37504999999</v>
      </c>
      <c r="F236" s="223">
        <f>+F62</f>
        <v>104710.59</v>
      </c>
      <c r="G236" s="223">
        <f>+G62</f>
        <v>121000.28</v>
      </c>
      <c r="H236" s="309"/>
      <c r="I236" s="226">
        <f>+IF((E236)=0,,(F236-E236)/E236)</f>
        <v>-6.4661236802500507E-2</v>
      </c>
      <c r="J236" s="283">
        <f>+IF((F236)=0,,(G236-F236)/F236)</f>
        <v>0.15556869653776187</v>
      </c>
      <c r="L236" s="298"/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442"/>
    </row>
    <row r="238" spans="1:12" s="298" customFormat="1" ht="15" customHeight="1">
      <c r="A238" s="292" t="s">
        <v>122</v>
      </c>
      <c r="B238" s="365"/>
      <c r="C238" s="293">
        <f>+C103</f>
        <v>39383.31</v>
      </c>
      <c r="D238" s="294">
        <f>+D103</f>
        <v>56485.877537416665</v>
      </c>
      <c r="E238" s="293">
        <f>+E103</f>
        <v>48934.719999999994</v>
      </c>
      <c r="F238" s="295">
        <f>+F103</f>
        <v>50453.466666666682</v>
      </c>
      <c r="G238" s="295">
        <f>+G103</f>
        <v>46339.351333333339</v>
      </c>
      <c r="H238" s="388"/>
      <c r="I238" s="415">
        <f t="shared" ref="I238:J243" si="22">+IF((E238)=0,,(F238-E238)/E238)</f>
        <v>3.1036177721394706E-2</v>
      </c>
      <c r="J238" s="297">
        <f t="shared" si="22"/>
        <v>-8.1542768121648887E-2</v>
      </c>
    </row>
    <row r="239" spans="1:12" s="298" customFormat="1" ht="15" customHeight="1">
      <c r="A239" s="292" t="s">
        <v>133</v>
      </c>
      <c r="B239" s="365"/>
      <c r="C239" s="293">
        <f>+C116</f>
        <v>8116.74</v>
      </c>
      <c r="D239" s="294">
        <f>+D116</f>
        <v>9550</v>
      </c>
      <c r="E239" s="293">
        <f>+E116</f>
        <v>10004.699999999999</v>
      </c>
      <c r="F239" s="295">
        <f>+F116</f>
        <v>8472.2133333333331</v>
      </c>
      <c r="G239" s="295">
        <f>+G116</f>
        <v>8950</v>
      </c>
      <c r="H239" s="388"/>
      <c r="I239" s="415">
        <f t="shared" si="22"/>
        <v>-0.15317667363006046</v>
      </c>
      <c r="J239" s="297">
        <f t="shared" si="22"/>
        <v>5.639455097133219E-2</v>
      </c>
    </row>
    <row r="240" spans="1:12" s="298" customFormat="1" ht="15" customHeight="1">
      <c r="A240" s="292" t="s">
        <v>147</v>
      </c>
      <c r="B240" s="365"/>
      <c r="C240" s="293">
        <f>+C129</f>
        <v>4427.87</v>
      </c>
      <c r="D240" s="294">
        <f>+D129</f>
        <v>6116.3</v>
      </c>
      <c r="E240" s="293">
        <f>+E129</f>
        <v>4807.1399999999994</v>
      </c>
      <c r="F240" s="295">
        <f>+F129</f>
        <v>4913.5366666666669</v>
      </c>
      <c r="G240" s="295">
        <f>+G129</f>
        <v>6817.7371000000003</v>
      </c>
      <c r="H240" s="388"/>
      <c r="I240" s="415">
        <f t="shared" si="22"/>
        <v>2.2133049311371722E-2</v>
      </c>
      <c r="J240" s="297">
        <f t="shared" si="22"/>
        <v>0.38754171638758506</v>
      </c>
    </row>
    <row r="241" spans="1:12" s="298" customFormat="1" ht="15" customHeight="1">
      <c r="A241" s="292" t="s">
        <v>164</v>
      </c>
      <c r="B241" s="365"/>
      <c r="C241" s="293">
        <f>+C154</f>
        <v>40641.429999999993</v>
      </c>
      <c r="D241" s="294">
        <f>+D154</f>
        <v>47170.419672349126</v>
      </c>
      <c r="E241" s="293">
        <f>+E154</f>
        <v>74467.385999999999</v>
      </c>
      <c r="F241" s="295">
        <f>+F154</f>
        <v>54188.573333333334</v>
      </c>
      <c r="G241" s="295">
        <f>+G154</f>
        <v>54784.617941599477</v>
      </c>
      <c r="H241" s="388"/>
      <c r="I241" s="415">
        <f t="shared" si="22"/>
        <v>-0.27231804090272038</v>
      </c>
      <c r="J241" s="297">
        <f t="shared" si="22"/>
        <v>1.0999451943487417E-2</v>
      </c>
    </row>
    <row r="242" spans="1:12" s="298" customFormat="1" ht="15" customHeight="1">
      <c r="A242" s="292" t="s">
        <v>74</v>
      </c>
      <c r="B242" s="365"/>
      <c r="C242" s="293">
        <f>+C168</f>
        <v>1965.24</v>
      </c>
      <c r="D242" s="294">
        <f>+D168</f>
        <v>3930.6527000000001</v>
      </c>
      <c r="E242" s="293">
        <f>+E168</f>
        <v>1758.4399999999998</v>
      </c>
      <c r="F242" s="295">
        <f>+F168</f>
        <v>2620.3200000000002</v>
      </c>
      <c r="G242" s="295">
        <f>+G168</f>
        <v>2752.1170818400005</v>
      </c>
      <c r="H242" s="388"/>
      <c r="I242" s="415">
        <f t="shared" si="22"/>
        <v>0.49013898682923523</v>
      </c>
      <c r="J242" s="297">
        <f t="shared" si="22"/>
        <v>5.0298086432191629E-2</v>
      </c>
    </row>
    <row r="243" spans="1:12" s="298" customFormat="1" ht="15" customHeight="1">
      <c r="A243" s="292" t="s">
        <v>369</v>
      </c>
      <c r="B243" s="365"/>
      <c r="C243" s="293">
        <f>+C185-C201</f>
        <v>3416.1</v>
      </c>
      <c r="D243" s="294">
        <f>+D185-D201</f>
        <v>6600</v>
      </c>
      <c r="E243" s="293">
        <f>+E185-E201</f>
        <v>6093.01</v>
      </c>
      <c r="F243" s="295">
        <f>+F185-F201</f>
        <v>3481.54</v>
      </c>
      <c r="G243" s="295">
        <f>+G185-G201</f>
        <v>829.3</v>
      </c>
      <c r="H243" s="388"/>
      <c r="I243" s="415">
        <f t="shared" si="22"/>
        <v>-0.42860097062043229</v>
      </c>
      <c r="J243" s="297">
        <f t="shared" si="22"/>
        <v>-0.76180081228421903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442"/>
    </row>
    <row r="245" spans="1:12" s="33" customFormat="1" ht="15" customHeight="1">
      <c r="A245" s="245" t="s">
        <v>189</v>
      </c>
      <c r="B245" s="363"/>
      <c r="C245" s="299">
        <f>+C203</f>
        <v>97950.69</v>
      </c>
      <c r="D245" s="300">
        <f>+D203</f>
        <v>129853.24990976581</v>
      </c>
      <c r="E245" s="299">
        <f>+E203</f>
        <v>146065.39599999998</v>
      </c>
      <c r="F245" s="301">
        <f>+F203</f>
        <v>124129.65000000002</v>
      </c>
      <c r="G245" s="301">
        <f>+G203</f>
        <v>120473.12345677281</v>
      </c>
      <c r="H245" s="389"/>
      <c r="I245" s="281">
        <f>+I63</f>
        <v>0</v>
      </c>
      <c r="J245" s="192">
        <f>+J63</f>
        <v>0</v>
      </c>
      <c r="K245" s="58"/>
      <c r="L245" s="298"/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</row>
    <row r="247" spans="1:12" s="33" customFormat="1" ht="15" customHeight="1">
      <c r="A247" s="246" t="s">
        <v>228</v>
      </c>
      <c r="B247" s="366"/>
      <c r="C247" s="177">
        <f>+C205</f>
        <v>-21426.113450000004</v>
      </c>
      <c r="D247" s="178">
        <f>+D205</f>
        <v>22831.750090234185</v>
      </c>
      <c r="E247" s="177">
        <f>+E205</f>
        <v>-37118.540400000027</v>
      </c>
      <c r="F247" s="228">
        <f>+F205</f>
        <v>-19419.060000000027</v>
      </c>
      <c r="G247" s="228">
        <f>+G205</f>
        <v>527.1565432271891</v>
      </c>
      <c r="H247" s="314"/>
      <c r="I247" s="226">
        <f>+IF((E247)=0,,(F247-E247)/E247)</f>
        <v>-0.47683664845829948</v>
      </c>
      <c r="J247" s="283">
        <f>+IF((F247)=0,,(G247-F247)/F247)</f>
        <v>-1.0271463471057398</v>
      </c>
      <c r="L247" s="298"/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</row>
    <row r="249" spans="1:12" s="33" customFormat="1" ht="15" customHeight="1">
      <c r="A249" s="247" t="s">
        <v>370</v>
      </c>
      <c r="B249" s="367"/>
      <c r="C249" s="180">
        <f>+C207+C215</f>
        <v>12472.247191395723</v>
      </c>
      <c r="D249" s="181">
        <f>+D207+D215</f>
        <v>22443.83611599564</v>
      </c>
      <c r="E249" s="180">
        <f>+E207+E215</f>
        <v>15318.96664621994</v>
      </c>
      <c r="F249" s="230">
        <f>+F207+F215</f>
        <v>17232.826998527926</v>
      </c>
      <c r="G249" s="230">
        <f>+G207+G215</f>
        <v>19119.615389209928</v>
      </c>
      <c r="H249" s="316"/>
      <c r="I249" s="281">
        <f>+I67</f>
        <v>-0.83693527670743295</v>
      </c>
      <c r="J249" s="192">
        <f>+J67</f>
        <v>-1</v>
      </c>
      <c r="L249" s="298"/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</row>
    <row r="251" spans="1:12" s="33" customFormat="1" ht="20.100000000000001" customHeight="1">
      <c r="A251" s="246" t="s">
        <v>86</v>
      </c>
      <c r="B251" s="366"/>
      <c r="C251" s="177">
        <f>+C217</f>
        <v>-33898.360641395731</v>
      </c>
      <c r="D251" s="178">
        <f>+D217</f>
        <v>387.91397423854505</v>
      </c>
      <c r="E251" s="177">
        <f>+E217</f>
        <v>-52437.507046219966</v>
      </c>
      <c r="F251" s="228">
        <f>+F217</f>
        <v>-36651.886998527953</v>
      </c>
      <c r="G251" s="228">
        <f>+G217</f>
        <v>-18592.458845982739</v>
      </c>
      <c r="H251" s="314"/>
      <c r="I251" s="226">
        <f>+IF((E251)=0,,(F251-E251)/E251)</f>
        <v>-0.30103681385497794</v>
      </c>
      <c r="J251" s="283">
        <f>+IF((F251)=0,,(G251-F251)/F251)</f>
        <v>-0.49272846861255831</v>
      </c>
      <c r="L251" s="298"/>
    </row>
    <row r="252" spans="1:12">
      <c r="F252" s="2"/>
      <c r="G252" s="2"/>
      <c r="H252" s="5"/>
      <c r="I252" s="24"/>
    </row>
    <row r="253" spans="1:12" s="298" customFormat="1" ht="15" customHeight="1">
      <c r="A253" s="292" t="s">
        <v>95</v>
      </c>
      <c r="B253" s="365"/>
      <c r="C253" s="293">
        <f>+C28</f>
        <v>47605.5</v>
      </c>
      <c r="D253" s="294">
        <v>90000</v>
      </c>
      <c r="E253" s="293">
        <f>+E28</f>
        <v>73857.69</v>
      </c>
      <c r="F253" s="295"/>
      <c r="G253" s="1162">
        <f>+G28</f>
        <v>80000</v>
      </c>
      <c r="H253" s="418"/>
      <c r="I253" s="415"/>
      <c r="J253" s="297"/>
    </row>
    <row r="254" spans="1:12" s="298" customFormat="1" ht="15" customHeight="1">
      <c r="A254" s="292" t="s">
        <v>371</v>
      </c>
      <c r="B254" s="365"/>
      <c r="C254" s="293">
        <f>+C222</f>
        <v>354772.48896833963</v>
      </c>
      <c r="D254" s="294">
        <f>+D222</f>
        <v>376042.18771792948</v>
      </c>
      <c r="E254" s="293">
        <f>+E222</f>
        <v>531306.54369125899</v>
      </c>
      <c r="F254" s="295">
        <f>+F222</f>
        <v>328749.94650820451</v>
      </c>
      <c r="G254" s="295">
        <f>+G222</f>
        <v>324634.27638600639</v>
      </c>
      <c r="H254" s="388"/>
      <c r="I254" s="415"/>
      <c r="J254" s="297"/>
    </row>
    <row r="255" spans="1:12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0</v>
      </c>
      <c r="H255" s="418"/>
      <c r="I255" s="415"/>
      <c r="J255" s="297"/>
    </row>
    <row r="256" spans="1:12">
      <c r="F256" s="2"/>
      <c r="G256" s="2"/>
      <c r="H256" s="2"/>
      <c r="I256" s="24"/>
    </row>
  </sheetData>
  <phoneticPr fontId="33" type="noConversion"/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  <pageSetUpPr fitToPage="1"/>
  </sheetPr>
  <dimension ref="A1:M256"/>
  <sheetViews>
    <sheetView topLeftCell="A187" workbookViewId="0">
      <selection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42578125" style="442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</row>
    <row r="4" spans="1:12" ht="20.25" customHeight="1">
      <c r="A4" s="7" t="s">
        <v>373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2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2">
      <c r="A8" s="5" t="s">
        <v>221</v>
      </c>
      <c r="B8" s="92"/>
      <c r="C8" s="160">
        <f>-IF(ISNA(VLOOKUP("CST707130000",Balance!C:G,5,FALSE))=TRUE,0,VLOOKUP("CST707130000",Balance!C:G,5,FALSE))</f>
        <v>599632.57000000007</v>
      </c>
      <c r="D8" s="117">
        <f>+[2]Mans!$H8</f>
        <v>800000</v>
      </c>
      <c r="E8" s="160">
        <f>-IF(ISNA(VLOOKUP("CST707130000",Balanceanp!C:G,5,FALSE))=TRUE,0,VLOOKUP("CST707130000",Balanceanp!C:G,5,FALSE))</f>
        <v>676040.5199999999</v>
      </c>
      <c r="F8" s="368">
        <v>824000</v>
      </c>
      <c r="G8" s="570">
        <v>909800</v>
      </c>
      <c r="H8" s="401"/>
      <c r="I8" s="149">
        <f>+IF((E8)=0,,(F8-E8)/E8)</f>
        <v>0.21886185165350758</v>
      </c>
      <c r="J8" s="271">
        <f>+IF((F8)=0,,(G8-F8)/F8)</f>
        <v>0.10412621359223301</v>
      </c>
      <c r="L8" s="443"/>
    </row>
    <row r="9" spans="1:12">
      <c r="A9" s="5" t="s">
        <v>422</v>
      </c>
      <c r="B9" s="92"/>
      <c r="C9" s="160">
        <f>-IF(ISNA(VLOOKUP("CST707131000",Balance!C:G,5,FALSE))=TRUE,0,VLOOKUP("CST707131000",Balance!C:G,5,FALSE))</f>
        <v>0</v>
      </c>
      <c r="D9" s="117">
        <f>+[2]Mans!$H9</f>
        <v>0</v>
      </c>
      <c r="E9" s="160">
        <f>-IF(ISNA(VLOOKUP("CST707131000",Balanceanp!C:G,5,FALSE))=TRUE,0,VLOOKUP("CST707131000",Balanceanp!C:G,5,FALSE))</f>
        <v>86927.78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443"/>
    </row>
    <row r="10" spans="1:12">
      <c r="A10" s="5" t="s">
        <v>84</v>
      </c>
      <c r="B10" s="92"/>
      <c r="C10" s="160">
        <f>-IF(ISNA(VLOOKUP("CST707300000",Balance!C:G,5,FALSE))=TRUE,0,VLOOKUP("CST707300000",Balance!C:G,5,FALSE))</f>
        <v>0</v>
      </c>
      <c r="D10" s="117">
        <f>+[2]Mans!$H10</f>
        <v>0</v>
      </c>
      <c r="E10" s="160">
        <f>-IF(ISNA(VLOOKUP("CST707300000",Balanceanp!C:G,5,FALSE))=TRUE,0,VLOOKUP("CST707300000",Balanceanp!C:G,5,FALSE))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s="443"/>
    </row>
    <row r="11" spans="1:12">
      <c r="A11" s="5" t="s">
        <v>267</v>
      </c>
      <c r="B11" s="92"/>
      <c r="C11" s="160">
        <f>-IF(ISNA(VLOOKUP("CST707110000",Balance!C:G,5,FALSE))=TRUE,0,VLOOKUP("CST707110000",Balance!C:G,5,FALSE))</f>
        <v>0</v>
      </c>
      <c r="D11" s="117">
        <f>+[2]Mans!$H11</f>
        <v>0</v>
      </c>
      <c r="E11" s="160">
        <f>-IF(ISNA(VLOOKUP("CST707110000",Balanceanp!C:G,5,FALSE))=TRUE,0,VLOOKUP("CST707110000",Balanceanp!C:G,5,FALSE))</f>
        <v>0</v>
      </c>
      <c r="F11" s="368">
        <f t="shared" si="2"/>
        <v>0</v>
      </c>
      <c r="G11" s="570">
        <f t="shared" si="0"/>
        <v>0</v>
      </c>
      <c r="H11" s="401"/>
      <c r="I11" s="149">
        <f t="shared" si="1"/>
        <v>0</v>
      </c>
      <c r="J11" s="271">
        <f t="shared" si="1"/>
        <v>0</v>
      </c>
      <c r="L11" s="443"/>
    </row>
    <row r="12" spans="1:12">
      <c r="A12" s="5" t="s">
        <v>46</v>
      </c>
      <c r="B12" s="92"/>
      <c r="C12" s="160">
        <f>-IF(ISNA(VLOOKUP("CST707120000",Balance!C:G,5,FALSE))=TRUE,0,VLOOKUP("CST707120000",Balance!C:G,5,FALSE))</f>
        <v>0</v>
      </c>
      <c r="D12" s="117">
        <f>+[2]Mans!$H12</f>
        <v>0</v>
      </c>
      <c r="E12" s="160">
        <f>-IF(ISNA(VLOOKUP("CST707120000",Balanceanp!C:G,5,FALSE))=TRUE,0,VLOOKUP("CST707120000",Balanceanp!C:G,5,FALSE))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s="443"/>
    </row>
    <row r="13" spans="1:12">
      <c r="A13" s="5" t="s">
        <v>268</v>
      </c>
      <c r="B13" s="92"/>
      <c r="C13" s="160">
        <f>-IF(ISNA(VLOOKUP("CST707230000",Balance!C:G,5,FALSE))=TRUE,0,VLOOKUP("CST707230000",Balance!C:G,5,FALSE))</f>
        <v>0</v>
      </c>
      <c r="D13" s="117">
        <f>+[2]Mans!$H13</f>
        <v>0</v>
      </c>
      <c r="E13" s="160">
        <f>-IF(ISNA(VLOOKUP("CST707230000",Balanceanp!C:G,5,FALSE))=TRUE,0,VLOOKUP("CST707230000",Balanceanp!C:G,5,FALSE))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s="443"/>
    </row>
    <row r="14" spans="1:12">
      <c r="A14" s="5" t="s">
        <v>269</v>
      </c>
      <c r="B14" s="92"/>
      <c r="C14" s="160">
        <f>-IF(ISNA(VLOOKUP("CST708820000",Balance!C:G,5,FALSE))=TRUE,0,VLOOKUP("CST708820000",Balance!C:G,5,FALSE))</f>
        <v>40.5</v>
      </c>
      <c r="D14" s="117">
        <f>+[2]Mans!$H14</f>
        <v>0</v>
      </c>
      <c r="E14" s="160">
        <f>-IF(ISNA(VLOOKUP("CST708820000",Balanceanp!C:G,5,FALSE))=TRUE,0,VLOOKUP("CST708820000",Balanceanp!C:G,5,FALSE))</f>
        <v>213.6</v>
      </c>
      <c r="F14" s="368">
        <f t="shared" si="2"/>
        <v>40.5</v>
      </c>
      <c r="G14" s="570">
        <v>0</v>
      </c>
      <c r="H14" s="401"/>
      <c r="I14" s="149">
        <f t="shared" si="1"/>
        <v>-0.8103932584269663</v>
      </c>
      <c r="J14" s="271">
        <f t="shared" si="1"/>
        <v>-1</v>
      </c>
      <c r="L14" s="443"/>
    </row>
    <row r="15" spans="1:12">
      <c r="A15" s="5" t="s">
        <v>270</v>
      </c>
      <c r="B15" s="92"/>
      <c r="C15" s="160">
        <f>-IF(ISNA(VLOOKUP("CST708500000",Balance!C:G,5,FALSE))=TRUE,0,VLOOKUP("CST708500000",Balance!C:G,5,FALSE))</f>
        <v>1992</v>
      </c>
      <c r="D15" s="117">
        <f>+[2]Mans!$H15</f>
        <v>0</v>
      </c>
      <c r="E15" s="160">
        <f>-IF(ISNA(VLOOKUP("CST708500000",Balanceanp!C:G,5,FALSE))=TRUE,0,VLOOKUP("CST708500000",Balanceanp!C:G,5,FALSE))</f>
        <v>2784</v>
      </c>
      <c r="F15" s="368">
        <f t="shared" si="2"/>
        <v>1992</v>
      </c>
      <c r="G15" s="570">
        <v>0</v>
      </c>
      <c r="H15" s="401"/>
      <c r="I15" s="149">
        <f t="shared" si="1"/>
        <v>-0.28448275862068967</v>
      </c>
      <c r="J15" s="271">
        <f t="shared" si="1"/>
        <v>-1</v>
      </c>
      <c r="L15" s="443"/>
    </row>
    <row r="16" spans="1:12">
      <c r="A16" s="5" t="s">
        <v>85</v>
      </c>
      <c r="B16" s="92"/>
      <c r="C16" s="160">
        <f>IF(ISNA(VLOOKUP("CST706000000",Balance!C:G,5,FALSE))=TRUE,0,-VLOOKUP("CST706000000",Balance!C:G,5,FALSE))+IF(ISNA(VLOOKUP("CST706010000",Balance!C:G,5,FALSE))=TRUE,0,-VLOOKUP("CST706010000",Balance!C:G,5,FALSE))</f>
        <v>0</v>
      </c>
      <c r="D16" s="117">
        <f>+[2]Mans!$H16</f>
        <v>0</v>
      </c>
      <c r="E16" s="160">
        <f>IF(ISNA(VLOOKUP("CST706000000",Balanceanp!C:G,5,FALSE))=TRUE,0,-VLOOKUP("CST706000000",Balanceanp!C:G,5,FALSE))+IF(ISNA(VLOOKUP("CST706010000",Balanceanp!C:G,5,FALSE))=TRUE,0,-VLOOKUP("CST706010000",Balanceanp!C:G,5,FALSE))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s="443"/>
    </row>
    <row r="17" spans="1:12">
      <c r="A17" s="5" t="s">
        <v>88</v>
      </c>
      <c r="B17" s="92"/>
      <c r="C17" s="160">
        <f>IF(ISNA(VLOOKUP("CST707500000",Balance!C:G,5,FALSE))=TRUE,0,-VLOOKUP("CST707500000",Balance!C:G,5,FALSE))</f>
        <v>0</v>
      </c>
      <c r="D17" s="117">
        <f>+[2]Mans!$H17</f>
        <v>0</v>
      </c>
      <c r="E17" s="160">
        <f>IF(ISNA(VLOOKUP("CST707500000",Balanceanp!C:G,5,FALSE))=TRUE,0,-VLOOKUP("CST707500000",Balanceanp!C:G,5,FALSE))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s="443"/>
    </row>
    <row r="18" spans="1:12">
      <c r="A18" s="5" t="s">
        <v>89</v>
      </c>
      <c r="B18" s="92"/>
      <c r="C18" s="160">
        <f>IF(ISNA(VLOOKUP("CST707510000",Balance!C:G,5,FALSE))=TRUE,0,-VLOOKUP("CST707510000",Balance!C:G,5,FALSE))</f>
        <v>0</v>
      </c>
      <c r="D18" s="117">
        <f>+[2]Mans!$H18</f>
        <v>0</v>
      </c>
      <c r="E18" s="160">
        <f>IF(ISNA(VLOOKUP("CST707510000",Balanceanp!C:G,5,FALSE))=TRUE,0,-VLOOKUP("CST707510000",Balanceanp!C:G,5,FALSE))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s="443"/>
    </row>
    <row r="19" spans="1:12">
      <c r="A19" s="5" t="s">
        <v>90</v>
      </c>
      <c r="B19" s="92"/>
      <c r="C19" s="160">
        <f>IF(ISNA(VLOOKUP("CST708300000",Balance!C:G,5,FALSE))=TRUE,0,-VLOOKUP("CST708300000",Balance!C:G,5,FALSE))</f>
        <v>0</v>
      </c>
      <c r="D19" s="117">
        <f>+[2]Mans!$H19</f>
        <v>0</v>
      </c>
      <c r="E19" s="160">
        <f>IF(ISNA(VLOOKUP("CST708300000",Balanceanp!C:G,5,FALSE))=TRUE,0,-VLOOKUP("CST708300000",Balanceanp!C:G,5,FALSE))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s="443"/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444"/>
    </row>
    <row r="21" spans="1:12" s="33" customFormat="1" ht="15" customHeight="1">
      <c r="A21" s="13" t="s">
        <v>222</v>
      </c>
      <c r="B21" s="93"/>
      <c r="C21" s="163">
        <f>SUM(C7:C20)</f>
        <v>601665.07000000007</v>
      </c>
      <c r="D21" s="118">
        <f>SUM(D7:D20)</f>
        <v>800000</v>
      </c>
      <c r="E21" s="163">
        <f>SUM(E7:E20)</f>
        <v>765965.89999999991</v>
      </c>
      <c r="F21" s="136">
        <f>SUM(F7:F20)</f>
        <v>826032.5</v>
      </c>
      <c r="G21" s="136">
        <f>SUM(G7:G20)</f>
        <v>909800</v>
      </c>
      <c r="H21" s="312"/>
      <c r="I21" s="272">
        <f>+IF((E21)=0,,(F21-E21)/E21)</f>
        <v>7.8419417887924378E-2</v>
      </c>
      <c r="J21" s="188">
        <f>+IF((F21)=0,,(G21-F21)/F21)</f>
        <v>0.10140944817546525</v>
      </c>
      <c r="L21" s="445"/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444"/>
    </row>
    <row r="23" spans="1:12">
      <c r="A23" s="5" t="s">
        <v>92</v>
      </c>
      <c r="B23" s="92"/>
      <c r="C23" s="160">
        <f>IF(ISNA(VLOOKUP("CST602650000",Balance!C:G,5,FALSE))=TRUE,0,VLOOKUP("CST602650000",Balance!C:G,5,FALSE))</f>
        <v>0</v>
      </c>
      <c r="D23" s="115"/>
      <c r="E23" s="160">
        <f>IF(ISNA(VLOOKUP("CST602650000",Balanceanp!C:G,5,FALSE))=TRUE,0,VLOOKUP("CST602650000",Balanceanp!C:G,5,FALSE))</f>
        <v>0</v>
      </c>
      <c r="F23" s="134"/>
      <c r="G23" s="134"/>
      <c r="H23" s="400"/>
      <c r="I23" s="149"/>
      <c r="J23" s="271"/>
      <c r="L23" s="444"/>
    </row>
    <row r="24" spans="1:12">
      <c r="A24" s="5" t="s">
        <v>93</v>
      </c>
      <c r="B24" s="92"/>
      <c r="C24" s="160">
        <f>IF(ISNA(VLOOKUP("CST607100000",Balance!C:G,5,FALSE))=TRUE,0,VLOOKUP("CST607100000",Balance!C:G,5,FALSE))</f>
        <v>220794.45</v>
      </c>
      <c r="D24" s="115"/>
      <c r="E24" s="160">
        <f>IF(ISNA(VLOOKUP("CST607100000",Balanceanp!C:G,5,FALSE))=TRUE,0,VLOOKUP("CST607100000",Balanceanp!C:G,5,FALSE))</f>
        <v>304865.49</v>
      </c>
      <c r="F24" s="134"/>
      <c r="G24" s="134"/>
      <c r="H24" s="400"/>
      <c r="I24" s="149"/>
      <c r="J24" s="271"/>
      <c r="L24" s="444"/>
    </row>
    <row r="25" spans="1:12">
      <c r="A25" s="5" t="s">
        <v>94</v>
      </c>
      <c r="B25" s="92"/>
      <c r="C25" s="160">
        <f>IF(ISNA(VLOOKUP("CST607110000",Balance!C:G,5,FALSE))=TRUE,0,VLOOKUP("CST607110000",Balance!C:G,5,FALSE))+IF(ISNA(VLOOKUP("CST607120000",Balance!C:G,5,FALSE))=TRUE,0,VLOOKUP("CST607120000",Balance!C:G,5,FALSE))</f>
        <v>33670.92</v>
      </c>
      <c r="D25" s="115"/>
      <c r="E25" s="160">
        <f>IF(ISNA(VLOOKUP("CST607110000",Balanceanp!C:G,5,FALSE))=TRUE,0,VLOOKUP("CST607110000",Balanceanp!C:G,5,FALSE))+IF(ISNA(VLOOKUP("CST607120000",Balanceanp!C:G,5,FALSE))=TRUE,0,VLOOKUP("CST607120000",Balanceanp!C:G,5,FALSE))</f>
        <v>14994.859999999999</v>
      </c>
      <c r="F25" s="134"/>
      <c r="G25" s="134"/>
      <c r="H25" s="400"/>
      <c r="I25" s="149"/>
      <c r="J25" s="271"/>
      <c r="L25" s="444"/>
    </row>
    <row r="26" spans="1:12">
      <c r="A26" s="5" t="s">
        <v>288</v>
      </c>
      <c r="B26" s="92"/>
      <c r="C26" s="160">
        <f>IF(ISNA(VLOOKUP("CST607130000",Balance!C:G,5,FALSE))=TRUE,0,VLOOKUP("CST607130000",Balance!C:G,5,FALSE))</f>
        <v>28869.19</v>
      </c>
      <c r="D26" s="115"/>
      <c r="E26" s="160">
        <f>IF(ISNA(VLOOKUP("CST607130000",Balanceanp!C:G,5,FALSE))=TRUE,0,VLOOKUP("CST607130000",Balanceanp!C:G,5,FALSE))</f>
        <v>14757</v>
      </c>
      <c r="F26" s="134"/>
      <c r="G26" s="134"/>
      <c r="H26" s="400"/>
      <c r="I26" s="149"/>
      <c r="J26" s="271"/>
      <c r="L26" s="444"/>
    </row>
    <row r="27" spans="1:12">
      <c r="A27" s="5" t="s">
        <v>289</v>
      </c>
      <c r="B27" s="92"/>
      <c r="C27" s="160">
        <f>IF(ISNA(VLOOKUP("CST607140000",Balance!C:G,5,FALSE))=TRUE,0,VLOOKUP("CST607140000",Balance!C:G,5,FALSE))</f>
        <v>-23098.02</v>
      </c>
      <c r="D27" s="115"/>
      <c r="E27" s="160">
        <f>IF(ISNA(VLOOKUP("CST607140000",Balanceanp!C:G,5,FALSE))=TRUE,0,VLOOKUP("CST607140000",Balanceanp!C:G,5,FALSE))</f>
        <v>-18352</v>
      </c>
      <c r="F27" s="134"/>
      <c r="G27" s="134"/>
      <c r="H27" s="400"/>
      <c r="I27" s="149"/>
      <c r="J27" s="271"/>
      <c r="L27" s="444"/>
    </row>
    <row r="28" spans="1:12">
      <c r="A28" s="5" t="s">
        <v>95</v>
      </c>
      <c r="B28" s="92"/>
      <c r="C28" s="160">
        <f>IF(ISNA(VLOOKUP("CST607200000",Balance!C:G,5,FALSE))=TRUE,0,VLOOKUP("CST607200000",Balance!C:G,5,FALSE))</f>
        <v>125291.01</v>
      </c>
      <c r="D28" s="115"/>
      <c r="E28" s="160">
        <f>IF(ISNA(VLOOKUP("CST607200000",Balanceanp!C:G,5,FALSE))=TRUE,0,VLOOKUP("CST607200000",Balanceanp!C:G,5,FALSE))</f>
        <v>126576.77</v>
      </c>
      <c r="F28" s="134"/>
      <c r="G28" s="1161">
        <v>140000</v>
      </c>
      <c r="H28" s="400"/>
      <c r="I28" s="149"/>
      <c r="J28" s="271"/>
      <c r="L28" s="444"/>
    </row>
    <row r="29" spans="1:12">
      <c r="A29" s="5" t="s">
        <v>293</v>
      </c>
      <c r="B29" s="92"/>
      <c r="C29" s="160">
        <f>IF(ISNA(VLOOKUP("CST607150000",Balance!C:G,5,FALSE))=TRUE,0,VLOOKUP("CST607150000",Balance!C:G,5,FALSE))</f>
        <v>0</v>
      </c>
      <c r="D29" s="115"/>
      <c r="E29" s="357">
        <f>IF(ISNA(VLOOKUP("CST607150000",Balanceanp!C:G,5,FALSE))=TRUE,0,VLOOKUP("CST607150000",Balanceanp!C:G,5,FALSE))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444"/>
    </row>
    <row r="30" spans="1:12" s="43" customFormat="1" ht="15" customHeight="1">
      <c r="A30" s="42" t="s">
        <v>292</v>
      </c>
      <c r="B30" s="94"/>
      <c r="C30" s="164">
        <f>SUM(C23:C29)</f>
        <v>385527.55</v>
      </c>
      <c r="D30" s="119"/>
      <c r="E30" s="164">
        <f>SUM(E23:E29)</f>
        <v>442842.12</v>
      </c>
      <c r="F30" s="137"/>
      <c r="G30" s="137"/>
      <c r="H30" s="402"/>
      <c r="I30" s="273"/>
      <c r="J30" s="342"/>
      <c r="L30" s="446"/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444"/>
    </row>
    <row r="32" spans="1:12" s="33" customFormat="1" ht="15" customHeight="1">
      <c r="A32" s="56" t="s">
        <v>336</v>
      </c>
      <c r="B32" s="95"/>
      <c r="C32" s="166">
        <f>+C21-C30-C38</f>
        <v>245372.69000000006</v>
      </c>
      <c r="D32" s="120"/>
      <c r="E32" s="166">
        <f>+E21-E30-E38</f>
        <v>314777.61809999991</v>
      </c>
      <c r="F32" s="138"/>
      <c r="G32" s="138"/>
      <c r="H32" s="403"/>
      <c r="I32" s="273"/>
      <c r="J32" s="274"/>
      <c r="L32" s="447"/>
    </row>
    <row r="33" spans="1:12" s="33" customFormat="1" ht="15" customHeight="1">
      <c r="A33" s="56" t="s">
        <v>337</v>
      </c>
      <c r="B33" s="95"/>
      <c r="C33" s="196">
        <f>+C32/C21</f>
        <v>0.40782272768469013</v>
      </c>
      <c r="D33" s="120"/>
      <c r="E33" s="196">
        <f>+E32/E21</f>
        <v>0.41095513272849343</v>
      </c>
      <c r="F33" s="138"/>
      <c r="G33" s="138"/>
      <c r="H33" s="403"/>
      <c r="I33" s="273"/>
      <c r="J33" s="274"/>
      <c r="L33" s="447"/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444"/>
    </row>
    <row r="35" spans="1:12">
      <c r="A35" s="5" t="s">
        <v>96</v>
      </c>
      <c r="B35" s="92"/>
      <c r="C35" s="160">
        <f>IF(ISNA(VLOOKUP("CST607400000",Balance!C:G,5,FALSE))=TRUE,0,VLOOKUP("CST607400000",Balance!C:G,5,FALSE))</f>
        <v>2019.35</v>
      </c>
      <c r="D35" s="115"/>
      <c r="E35" s="160">
        <f>IF(ISNA(VLOOKUP("CST607400000",Balanceanp!C:G,5,FALSE))=TRUE,0,VLOOKUP("CST607400000",Balanceanp!C:G,5,FALSE))</f>
        <v>3239.54</v>
      </c>
      <c r="F35" s="134"/>
      <c r="G35" s="134"/>
      <c r="H35" s="400"/>
      <c r="I35" s="149" t="str">
        <f t="shared" si="3"/>
        <v/>
      </c>
      <c r="J35" s="271"/>
      <c r="L35" s="444"/>
    </row>
    <row r="36" spans="1:12">
      <c r="A36" s="5" t="s">
        <v>97</v>
      </c>
      <c r="B36" s="92"/>
      <c r="C36" s="160">
        <f>IF(ISNA(VLOOKUP("CST608000000",Balance!C:G,5,FALSE))=TRUE,0,VLOOKUP("CST608000000",Balance!C:G,5,FALSE))</f>
        <v>2940.54</v>
      </c>
      <c r="D36" s="115"/>
      <c r="E36" s="160">
        <f>IF(ISNA(VLOOKUP("CST608000000",Balanceanp!C:G,5,FALSE))=TRUE,0,VLOOKUP("CST608000000",Balanceanp!C:G,5,FALSE))</f>
        <v>1704.45</v>
      </c>
      <c r="F36" s="134"/>
      <c r="G36" s="134"/>
      <c r="H36" s="400"/>
      <c r="I36" s="149" t="str">
        <f t="shared" si="3"/>
        <v/>
      </c>
      <c r="J36" s="271"/>
      <c r="L36" s="444"/>
    </row>
    <row r="37" spans="1:12">
      <c r="A37" s="5" t="s">
        <v>98</v>
      </c>
      <c r="B37" s="92"/>
      <c r="C37" s="160">
        <f>IF(ISNA(VLOOKUP("CST608100000",Balance!C:G,5,FALSE))=TRUE,0,VLOOKUP("CST608100000",Balance!C:G,5,FALSE))</f>
        <v>0</v>
      </c>
      <c r="D37" s="115"/>
      <c r="E37" s="160">
        <f>IF(ISNA(VLOOKUP("CST608100000",Balanceanp!C:G,5,FALSE))=TRUE,0,VLOOKUP("CST608100000",Balanceanp!C:G,5,FALSE))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444"/>
    </row>
    <row r="38" spans="1:12">
      <c r="A38" s="5" t="s">
        <v>99</v>
      </c>
      <c r="B38" s="92"/>
      <c r="C38" s="160">
        <f>+C56-C57</f>
        <v>-29235.17</v>
      </c>
      <c r="D38" s="115"/>
      <c r="E38" s="160">
        <f>+E56-E57</f>
        <v>8346.1619000000064</v>
      </c>
      <c r="F38" s="134"/>
      <c r="G38" s="134"/>
      <c r="H38" s="400"/>
      <c r="I38" s="149" t="str">
        <f t="shared" si="3"/>
        <v/>
      </c>
      <c r="J38" s="271"/>
      <c r="L38" s="444"/>
    </row>
    <row r="39" spans="1:12">
      <c r="A39" s="5" t="s">
        <v>177</v>
      </c>
      <c r="B39" s="92"/>
      <c r="C39" s="160">
        <f>IF(ISNA(VLOOKUP("CST681730000",Balance!C:G,5,FALSE))=TRUE,0,VLOOKUP("CST681730000",Balance!C:G,5,FALSE))</f>
        <v>0</v>
      </c>
      <c r="D39" s="115"/>
      <c r="E39" s="160">
        <f>IF(ISNA(VLOOKUP("CST681730000",Balanceanp!C:G,5,FALSE))=TRUE,0,VLOOKUP("CST681730000",Balanceanp!C:G,5,FALSE))</f>
        <v>2494.0700000000002</v>
      </c>
      <c r="F39" s="134"/>
      <c r="G39" s="134"/>
      <c r="H39" s="400"/>
      <c r="I39" s="149" t="str">
        <f t="shared" si="3"/>
        <v/>
      </c>
      <c r="J39" s="271"/>
      <c r="L39" s="444"/>
    </row>
    <row r="40" spans="1:12">
      <c r="A40" s="5" t="s">
        <v>176</v>
      </c>
      <c r="B40" s="92"/>
      <c r="C40" s="160">
        <f>IF(ISNA(VLOOKUP("CST781730000",Balance!C:G,5,FALSE))=TRUE,0,VLOOKUP("CST781730000",Balance!C:G,5,FALSE))</f>
        <v>-2494.0700000000002</v>
      </c>
      <c r="D40" s="115"/>
      <c r="E40" s="160">
        <f>IF(ISNA(VLOOKUP("CST781730000",Balanceanp!C:G,5,FALSE))=TRUE,0,VLOOKUP("CST781730000",Balanceanp!C:G,5,FALSE))</f>
        <v>0</v>
      </c>
      <c r="F40" s="134"/>
      <c r="G40" s="134"/>
      <c r="H40" s="400"/>
      <c r="I40" s="149" t="str">
        <f t="shared" si="3"/>
        <v/>
      </c>
      <c r="J40" s="271"/>
      <c r="L40" s="444"/>
    </row>
    <row r="41" spans="1:12">
      <c r="A41" s="5" t="s">
        <v>317</v>
      </c>
      <c r="B41" s="92"/>
      <c r="C41" s="160">
        <f>IF(ISNA(VLOOKUP("CST609110000",Balance!C:G,5,FALSE))=TRUE,0,VLOOKUP("CST609110000",Balance!C:G,5,FALSE))</f>
        <v>-137.04</v>
      </c>
      <c r="D41" s="115"/>
      <c r="E41" s="160">
        <f>IF(ISNA(VLOOKUP("CST609110000",Balanceanp!C:G,5,FALSE))=TRUE,0,VLOOKUP("CST609110000",Balanceanp!C:G,5,FALSE))</f>
        <v>-6029.91</v>
      </c>
      <c r="F41" s="134"/>
      <c r="G41" s="134"/>
      <c r="H41" s="400"/>
      <c r="I41" s="149" t="str">
        <f t="shared" si="3"/>
        <v/>
      </c>
      <c r="J41" s="271"/>
      <c r="L41" s="444"/>
    </row>
    <row r="42" spans="1:12">
      <c r="A42" s="5" t="s">
        <v>318</v>
      </c>
      <c r="B42" s="92"/>
      <c r="C42" s="160">
        <f>IF(ISNA(VLOOKUP("CST609120000",Balance!C:G,5,FALSE))=TRUE,0,VLOOKUP("CST609120000",Balance!C:G,5,FALSE))</f>
        <v>-8899.66</v>
      </c>
      <c r="D42" s="115"/>
      <c r="E42" s="160">
        <f>IF(ISNA(VLOOKUP("CST609120000",Balanceanp!C:G,5,FALSE))=TRUE,0,VLOOKUP("CST609120000",Balanceanp!C:G,5,FALSE))</f>
        <v>-8782.9699999999993</v>
      </c>
      <c r="F42" s="134"/>
      <c r="G42" s="134"/>
      <c r="H42" s="400"/>
      <c r="I42" s="149" t="str">
        <f t="shared" si="3"/>
        <v/>
      </c>
      <c r="J42" s="271"/>
      <c r="L42" s="444"/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444"/>
    </row>
    <row r="44" spans="1:12" s="33" customFormat="1" ht="15" customHeight="1">
      <c r="A44" s="13" t="s">
        <v>291</v>
      </c>
      <c r="B44" s="93"/>
      <c r="C44" s="163">
        <f>+C30+SUM(C34:C43)</f>
        <v>349721.5</v>
      </c>
      <c r="D44" s="121"/>
      <c r="E44" s="163">
        <f>+E30+SUM(E34:E43)</f>
        <v>443813.46189999999</v>
      </c>
      <c r="F44" s="139"/>
      <c r="G44" s="139"/>
      <c r="H44" s="404"/>
      <c r="I44" s="272"/>
      <c r="J44" s="188"/>
      <c r="L44" s="448"/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444"/>
    </row>
    <row r="46" spans="1:12" s="33" customFormat="1" ht="15" customHeight="1">
      <c r="A46" s="56" t="s">
        <v>339</v>
      </c>
      <c r="B46" s="95"/>
      <c r="C46" s="166">
        <f>+C21-C44</f>
        <v>251943.57000000007</v>
      </c>
      <c r="D46" s="120"/>
      <c r="E46" s="166">
        <f>+E21-E44</f>
        <v>322152.43809999991</v>
      </c>
      <c r="F46" s="138"/>
      <c r="G46" s="138"/>
      <c r="H46" s="403"/>
      <c r="I46" s="273"/>
      <c r="J46" s="274"/>
      <c r="L46" s="447"/>
    </row>
    <row r="47" spans="1:12" s="33" customFormat="1" ht="15" customHeight="1">
      <c r="A47" s="56" t="s">
        <v>340</v>
      </c>
      <c r="B47" s="95"/>
      <c r="C47" s="196">
        <f>+C46/C21</f>
        <v>0.41874388686050867</v>
      </c>
      <c r="D47" s="120"/>
      <c r="E47" s="196">
        <f>+E46/E21</f>
        <v>0.42058326369359256</v>
      </c>
      <c r="F47" s="138"/>
      <c r="G47" s="138"/>
      <c r="H47" s="403"/>
      <c r="I47" s="273"/>
      <c r="J47" s="274"/>
      <c r="L47" s="447"/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444"/>
    </row>
    <row r="49" spans="1:12">
      <c r="A49" s="5" t="s">
        <v>91</v>
      </c>
      <c r="B49" s="92">
        <f>+C49/C21</f>
        <v>1.0271495401918544E-2</v>
      </c>
      <c r="C49" s="160">
        <f>IF(ISNA(VLOOKUP("CST709700000",Balance!C:G,5,FALSE))=TRUE,0,VLOOKUP("CST709700000",Balance!C:G,5,FALSE))</f>
        <v>6180</v>
      </c>
      <c r="D49" s="117">
        <f>+[2]Mans!$H49</f>
        <v>8240</v>
      </c>
      <c r="E49" s="160">
        <f>IF(ISNA(VLOOKUP("CST709700000",Balanceanp!C:G,5,FALSE))=TRUE,0,VLOOKUP("CST709700000",Balanceanp!C:G,5,FALSE))</f>
        <v>0</v>
      </c>
      <c r="F49" s="135">
        <f>+C49+C49/9*(12-Clients!$I$14)</f>
        <v>8240</v>
      </c>
      <c r="G49" s="570">
        <v>8500</v>
      </c>
      <c r="H49" s="419"/>
      <c r="I49" s="149">
        <f>+IF((E49)=0,,(F49-E49)/E49)</f>
        <v>0</v>
      </c>
      <c r="J49" s="271">
        <f>+IF((F49)=0,,(G49-F49)/F49)</f>
        <v>3.1553398058252427E-2</v>
      </c>
      <c r="L49" s="443"/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444"/>
    </row>
    <row r="51" spans="1:12" s="33" customFormat="1" ht="15" customHeight="1">
      <c r="A51" s="13" t="s">
        <v>223</v>
      </c>
      <c r="B51" s="93"/>
      <c r="C51" s="163">
        <f>+C21-C49</f>
        <v>595485.07000000007</v>
      </c>
      <c r="D51" s="118">
        <f>+D21-D49</f>
        <v>791760</v>
      </c>
      <c r="E51" s="163">
        <f>+E21-E49</f>
        <v>765965.89999999991</v>
      </c>
      <c r="F51" s="136">
        <f>+F21-F49</f>
        <v>817792.5</v>
      </c>
      <c r="G51" s="136">
        <f>+G21-G49</f>
        <v>901300</v>
      </c>
      <c r="H51" s="312"/>
      <c r="I51" s="272">
        <f>+IF((E51)=0,,(F51-E51)/E51)</f>
        <v>6.7661758832867236E-2</v>
      </c>
      <c r="J51" s="188">
        <f>+IF((F51)=0,,(G51-F51)/F51)</f>
        <v>0.1021133111394394</v>
      </c>
      <c r="L51" s="445"/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444"/>
    </row>
    <row r="53" spans="1:12" s="33" customFormat="1" ht="15" customHeight="1">
      <c r="A53" s="16" t="s">
        <v>3</v>
      </c>
      <c r="B53" s="96"/>
      <c r="C53" s="169">
        <f>+C51-C44</f>
        <v>245763.57000000007</v>
      </c>
      <c r="D53" s="122"/>
      <c r="E53" s="169">
        <f>+E51-E44</f>
        <v>322152.43809999991</v>
      </c>
      <c r="F53" s="140"/>
      <c r="G53" s="140"/>
      <c r="H53" s="405"/>
      <c r="I53" s="224"/>
      <c r="J53" s="123"/>
      <c r="K53" s="2"/>
      <c r="L53" s="449"/>
    </row>
    <row r="54" spans="1:12" s="33" customFormat="1" ht="15" customHeight="1">
      <c r="A54" s="16" t="s">
        <v>4</v>
      </c>
      <c r="B54" s="96"/>
      <c r="C54" s="197">
        <f>+C53/C51</f>
        <v>0.41271155631156303</v>
      </c>
      <c r="D54" s="123"/>
      <c r="E54" s="197">
        <f>+E53/E51</f>
        <v>0.42058326369359256</v>
      </c>
      <c r="F54" s="141"/>
      <c r="G54" s="141"/>
      <c r="H54" s="406"/>
      <c r="I54" s="224"/>
      <c r="J54" s="123"/>
      <c r="K54" s="2"/>
      <c r="L54" s="450"/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444"/>
    </row>
    <row r="56" spans="1:12">
      <c r="A56" s="5" t="s">
        <v>290</v>
      </c>
      <c r="B56" s="92"/>
      <c r="C56" s="160">
        <f>+[2]Mans!$C56</f>
        <v>94920.83</v>
      </c>
      <c r="D56" s="115"/>
      <c r="E56" s="160">
        <f>+[1]Mans!$G56</f>
        <v>100410.49190000001</v>
      </c>
      <c r="F56" s="134"/>
      <c r="G56" s="134"/>
      <c r="H56" s="400"/>
      <c r="I56" s="149" t="str">
        <f>+IF((D55)=0,"",(C55-D55)/D55)</f>
        <v/>
      </c>
      <c r="J56" s="271"/>
      <c r="L56" s="444"/>
    </row>
    <row r="57" spans="1:12">
      <c r="A57" s="5" t="s">
        <v>100</v>
      </c>
      <c r="B57" s="92"/>
      <c r="C57" s="160">
        <f>+[2]Mans!$C57</f>
        <v>124156</v>
      </c>
      <c r="D57" s="115"/>
      <c r="E57" s="160">
        <f>+[1]Mans!$G57</f>
        <v>92064.33</v>
      </c>
      <c r="F57" s="134"/>
      <c r="G57" s="134"/>
      <c r="H57" s="400"/>
      <c r="I57" s="149" t="str">
        <f>+IF((D56)=0,"",(C56-D56)/D56)</f>
        <v/>
      </c>
      <c r="J57" s="271"/>
      <c r="L57" s="444"/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444"/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444"/>
    </row>
    <row r="60" spans="1:12" s="33" customFormat="1" ht="15" customHeight="1">
      <c r="A60" s="16" t="s">
        <v>295</v>
      </c>
      <c r="B60" s="96"/>
      <c r="C60" s="197">
        <f>+[2]Mans!$C60</f>
        <v>0.42</v>
      </c>
      <c r="D60" s="123">
        <f>+[2]Mans!$H60</f>
        <v>0.42</v>
      </c>
      <c r="E60" s="197">
        <v>0.4</v>
      </c>
      <c r="F60" s="141">
        <f>+C60</f>
        <v>0.42</v>
      </c>
      <c r="G60" s="141">
        <v>0.42</v>
      </c>
      <c r="H60" s="406"/>
      <c r="I60" s="224"/>
      <c r="J60" s="123"/>
      <c r="L60" s="450"/>
    </row>
    <row r="61" spans="1:12">
      <c r="A61" s="5" t="s">
        <v>65</v>
      </c>
      <c r="B61" s="92"/>
      <c r="C61" s="92">
        <f>+[2]Mans!$C61</f>
        <v>0.42</v>
      </c>
      <c r="D61" s="117"/>
      <c r="E61" s="160"/>
      <c r="F61" s="135"/>
      <c r="G61" s="135"/>
      <c r="H61" s="408"/>
      <c r="I61" s="149"/>
      <c r="J61" s="254"/>
      <c r="L61" s="443"/>
    </row>
    <row r="62" spans="1:12" s="33" customFormat="1" ht="15" customHeight="1">
      <c r="A62" s="16" t="s">
        <v>296</v>
      </c>
      <c r="B62" s="96"/>
      <c r="C62" s="169">
        <f>+C51*C60</f>
        <v>250103.72940000001</v>
      </c>
      <c r="D62" s="122">
        <f>D51*D60</f>
        <v>332539.2</v>
      </c>
      <c r="E62" s="169">
        <f>+E51*E60</f>
        <v>306386.36</v>
      </c>
      <c r="F62" s="140">
        <f>+F51*F60</f>
        <v>343472.85</v>
      </c>
      <c r="G62" s="140">
        <f>+G51*G60</f>
        <v>378546</v>
      </c>
      <c r="H62" s="405"/>
      <c r="I62" s="224">
        <f>+IF((E62)=0,,(F62-E62)/E62)</f>
        <v>0.12104484677451044</v>
      </c>
      <c r="J62" s="123">
        <f>+IF((F62)=0,,(G62-F62)/F62)</f>
        <v>0.10211331113943949</v>
      </c>
      <c r="L62" s="449"/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444"/>
    </row>
    <row r="64" spans="1:12">
      <c r="A64" s="5" t="s">
        <v>104</v>
      </c>
      <c r="B64" s="92"/>
      <c r="C64" s="160">
        <f>IF(ISNA(VLOOKUP("CST613520000",Balance!C:G,5,FALSE))=TRUE,0,VLOOKUP("CST613520000",Balance!C:G,5,FALSE))</f>
        <v>2557.44</v>
      </c>
      <c r="D64" s="117">
        <f>+[2]Mans!$H64</f>
        <v>2887</v>
      </c>
      <c r="E64" s="160">
        <f>IF(ISNA(VLOOKUP("cst613520000",Balanceanp!C:G,5,FALSE))=TRUE,0,VLOOKUP("cst613520000",Balanceanp!C:G,5,FALSE))</f>
        <v>2873.88</v>
      </c>
      <c r="F64" s="368">
        <v>3321</v>
      </c>
      <c r="G64" s="570">
        <f>254.76*12+254.76*1.05*3</f>
        <v>3859.6139999999996</v>
      </c>
      <c r="H64" s="401"/>
      <c r="I64" s="149">
        <f t="shared" ref="I64:J68" si="4">+IF((E64)=0,,(F64-E64)/E64)</f>
        <v>0.15558060879368654</v>
      </c>
      <c r="J64" s="271">
        <f t="shared" si="4"/>
        <v>0.1621842818428183</v>
      </c>
      <c r="L64" s="443"/>
    </row>
    <row r="65" spans="1:12">
      <c r="A65" s="5" t="s">
        <v>314</v>
      </c>
      <c r="B65" s="92"/>
      <c r="C65" s="160"/>
      <c r="D65" s="117">
        <f>+[2]Mans!$H65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s="443"/>
    </row>
    <row r="66" spans="1:12">
      <c r="A66" s="5" t="s">
        <v>110</v>
      </c>
      <c r="B66" s="92"/>
      <c r="C66" s="160">
        <f>IF(ISNA(VLOOKUP("CST616120000",Balance!C:G,5,FALSE))=TRUE,0,VLOOKUP("CST616120000",Balance!C:G,5,FALSE))</f>
        <v>1490.39</v>
      </c>
      <c r="D66" s="117">
        <f>+[2]Mans!$H66</f>
        <v>1932.8085000000001</v>
      </c>
      <c r="E66" s="160">
        <f>IF(ISNA(VLOOKUP("cst616120000",Balanceanp!C:G,5,FALSE))=TRUE,0,VLOOKUP("cst616120000",Balanceanp!C:G,5,FALSE))</f>
        <v>1749.36</v>
      </c>
      <c r="F66" s="368">
        <f>+C66+C66/9*(12-Clients!$I$14)</f>
        <v>1987.1866666666667</v>
      </c>
      <c r="G66" s="570">
        <f>+F66*1.05</f>
        <v>2086.5460000000003</v>
      </c>
      <c r="H66" s="401"/>
      <c r="I66" s="149">
        <f t="shared" si="4"/>
        <v>0.13595067148366652</v>
      </c>
      <c r="J66" s="271">
        <f t="shared" si="4"/>
        <v>5.0000000000000107E-2</v>
      </c>
      <c r="L66" s="443"/>
    </row>
    <row r="67" spans="1:12">
      <c r="A67" s="5" t="s">
        <v>107</v>
      </c>
      <c r="B67" s="92"/>
      <c r="C67" s="160">
        <f>IF(ISNA(VLOOKUP("CST615520000",Balance!C:G,5,FALSE))=TRUE,0,VLOOKUP("CST615520000",Balance!C:G,5,FALSE))</f>
        <v>2741.32</v>
      </c>
      <c r="D67" s="117">
        <f>+[2]Mans!$H67</f>
        <v>2500</v>
      </c>
      <c r="E67" s="160">
        <f>IF(ISNA(VLOOKUP("cst615520000",Balanceanp!C:G,5,FALSE))=TRUE,0,VLOOKUP("cst615520000",Balanceanp!C:G,5,FALSE))</f>
        <v>3700.46</v>
      </c>
      <c r="F67" s="368">
        <f>+C67+C67/9*(12-Clients!$I$14)</f>
        <v>3655.0933333333332</v>
      </c>
      <c r="G67" s="570">
        <v>3000</v>
      </c>
      <c r="H67" s="401"/>
      <c r="I67" s="149">
        <f t="shared" si="4"/>
        <v>-1.2259737077732711E-2</v>
      </c>
      <c r="J67" s="271">
        <f t="shared" si="4"/>
        <v>-0.1792275254257073</v>
      </c>
      <c r="L67" s="443"/>
    </row>
    <row r="68" spans="1:12">
      <c r="A68" s="5" t="s">
        <v>125</v>
      </c>
      <c r="B68" s="92"/>
      <c r="C68" s="160">
        <f>IF(ISNA(VLOOKUP("CST606130000",Balance!C:G,5,FALSE))=TRUE,0,VLOOKUP("CST606130000",Balance!C:G,5,FALSE))</f>
        <v>4842.1000000000004</v>
      </c>
      <c r="D68" s="117">
        <f>+[2]Mans!$H68</f>
        <v>6500</v>
      </c>
      <c r="E68" s="160">
        <f>IF(ISNA(VLOOKUP("cst606130000",Balanceanp!C:G,5,FALSE))=TRUE,0,VLOOKUP("cst606130000",Balanceanp!C:G,5,FALSE))</f>
        <v>7567.65</v>
      </c>
      <c r="F68" s="368">
        <f>+C68+C68/9*(12-Clients!$I$14)</f>
        <v>6456.1333333333341</v>
      </c>
      <c r="G68" s="425">
        <v>6500</v>
      </c>
      <c r="H68" s="410"/>
      <c r="I68" s="149">
        <f t="shared" si="4"/>
        <v>-0.14687738818083099</v>
      </c>
      <c r="J68" s="271">
        <f t="shared" si="4"/>
        <v>6.7945726027961841E-3</v>
      </c>
      <c r="L68" s="443"/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444"/>
    </row>
    <row r="70" spans="1:12">
      <c r="A70" s="11" t="s">
        <v>128</v>
      </c>
      <c r="B70" s="98"/>
      <c r="C70" s="173">
        <f>SUM(C64:C69)</f>
        <v>11631.25</v>
      </c>
      <c r="D70" s="125">
        <f>SUM(D64:D69)</f>
        <v>13819.808499999999</v>
      </c>
      <c r="E70" s="276">
        <f>SUM(E64:E69)</f>
        <v>15891.35</v>
      </c>
      <c r="F70" s="370">
        <f>SUM(F64:F69)</f>
        <v>15419.413333333334</v>
      </c>
      <c r="G70" s="359">
        <f>SUM(G64:G69)</f>
        <v>15446.16</v>
      </c>
      <c r="H70" s="412"/>
      <c r="I70" s="384">
        <f>+IF((E70)=0,,(F70-E70)/E70)</f>
        <v>-2.9697707662764111E-2</v>
      </c>
      <c r="J70" s="279">
        <f>+IF((F70)=0,,(G70-F70)/F70)</f>
        <v>1.7346098770726678E-3</v>
      </c>
      <c r="L70" s="443"/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444"/>
    </row>
    <row r="72" spans="1:12">
      <c r="A72" s="5" t="s">
        <v>1</v>
      </c>
      <c r="B72" s="92"/>
      <c r="C72" s="160">
        <f>IF(ISNA(VLOOKUP("CST602220000",Balance!C:G,5,FALSE))=TRUE,0,VLOOKUP("CST602220000",Balance!C:G,5,FALSE))</f>
        <v>0</v>
      </c>
      <c r="D72" s="117">
        <f>+[2]Mans!$H72</f>
        <v>7.4422135000000003</v>
      </c>
      <c r="E72" s="160">
        <f>IF(ISNA(VLOOKUP("CST602220000",Balanceanp!C:G,5,FALSE))=TRUE,0,VLOOKUP("CST602220000",Balanceanp!C:G,5,FALSE))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0</v>
      </c>
      <c r="J72" s="271">
        <f t="shared" si="5"/>
        <v>0</v>
      </c>
      <c r="L72" s="443"/>
    </row>
    <row r="73" spans="1:12">
      <c r="A73" s="5" t="s">
        <v>123</v>
      </c>
      <c r="B73" s="92"/>
      <c r="C73" s="160">
        <f>IF(ISNA(VLOOKUP("CST606100000",Balance!C:G,5,FALSE))=TRUE,0,VLOOKUP("CST606100000",Balance!C:G,5,FALSE))</f>
        <v>2167.08</v>
      </c>
      <c r="D73" s="117">
        <f>+[2]Mans!$H73</f>
        <v>3082.128396666667</v>
      </c>
      <c r="E73" s="160">
        <f>IF(ISNA(VLOOKUP("CST606100000",Balanceanp!C:G,5,FALSE))=TRUE,0,VLOOKUP("CST606100000",Balanceanp!C:G,5,FALSE))</f>
        <v>3464.76</v>
      </c>
      <c r="F73" s="368">
        <v>3800</v>
      </c>
      <c r="G73" s="396">
        <f t="shared" ref="G73:G101" si="6">+F73*1.03</f>
        <v>3914</v>
      </c>
      <c r="H73" s="409"/>
      <c r="I73" s="149">
        <f t="shared" si="5"/>
        <v>9.6757062538242122E-2</v>
      </c>
      <c r="J73" s="271">
        <f t="shared" si="5"/>
        <v>0.03</v>
      </c>
      <c r="K73" s="2" t="s">
        <v>723</v>
      </c>
      <c r="L73" s="443"/>
    </row>
    <row r="74" spans="1:12">
      <c r="A74" s="5" t="s">
        <v>124</v>
      </c>
      <c r="B74" s="92"/>
      <c r="C74" s="160">
        <f>IF(ISNA(VLOOKUP("CST606110000",Balance!C:G,5,FALSE))=TRUE,0,VLOOKUP("CST606110000",Balance!C:G,5,FALSE))</f>
        <v>0</v>
      </c>
      <c r="D74" s="117">
        <f>+[2]Mans!$H74</f>
        <v>742.65387025000007</v>
      </c>
      <c r="E74" s="160">
        <f>IF(ISNA(VLOOKUP("CST606110000",Balanceanp!C:G,5,FALSE))=TRUE,0,VLOOKUP("CST606110000",Balanceanp!C:G,5,FALSE))</f>
        <v>0</v>
      </c>
      <c r="F74" s="368">
        <f>+C74+C74/9*(12-Clients!$I$14)</f>
        <v>0</v>
      </c>
      <c r="G74" s="396">
        <f t="shared" si="6"/>
        <v>0</v>
      </c>
      <c r="H74" s="409"/>
      <c r="I74" s="149">
        <f t="shared" si="5"/>
        <v>0</v>
      </c>
      <c r="J74" s="271">
        <f t="shared" si="5"/>
        <v>0</v>
      </c>
      <c r="L74" s="443"/>
    </row>
    <row r="75" spans="1:12">
      <c r="A75" s="5" t="s">
        <v>360</v>
      </c>
      <c r="B75" s="92"/>
      <c r="C75" s="160">
        <f>IF(ISNA(VLOOKUP("CST606140000",Balance!C:G,5,FALSE))=TRUE,0,VLOOKUP("CST606140000",Balance!C:G,5,FALSE))</f>
        <v>0</v>
      </c>
      <c r="D75" s="117">
        <f>+[2]Mans!$H75</f>
        <v>0</v>
      </c>
      <c r="E75" s="160">
        <f>IF(ISNA(VLOOKUP("CST606140000",Balanceanp!C:G,5,FALSE))=TRUE,0,VLOOKUP("CST606140000",Balanceanp!C:G,5,FALSE))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s="443"/>
    </row>
    <row r="76" spans="1:12">
      <c r="A76" s="5" t="s">
        <v>126</v>
      </c>
      <c r="B76" s="92"/>
      <c r="C76" s="160">
        <f>IF(ISNA(VLOOKUP("CST606310000",Balance!C:G,5,FALSE))=TRUE,0,VLOOKUP("CST606310000",Balance!C:G,5,FALSE))</f>
        <v>61.46</v>
      </c>
      <c r="D76" s="117">
        <f>+[2]Mans!$H76</f>
        <v>28.875929833333334</v>
      </c>
      <c r="E76" s="160">
        <f>IF(ISNA(VLOOKUP("CST606310000",Balanceanp!C:G,5,FALSE))=TRUE,0,VLOOKUP("CST606310000",Balanceanp!C:G,5,FALSE))</f>
        <v>0</v>
      </c>
      <c r="F76" s="368">
        <f>+C76+C76/9*(12-Clients!$I$14)</f>
        <v>81.946666666666658</v>
      </c>
      <c r="G76" s="396">
        <f t="shared" si="6"/>
        <v>84.405066666666656</v>
      </c>
      <c r="H76" s="409"/>
      <c r="I76" s="149">
        <f t="shared" si="5"/>
        <v>0</v>
      </c>
      <c r="J76" s="271">
        <f t="shared" si="5"/>
        <v>2.9999999999999971E-2</v>
      </c>
      <c r="L76" s="443"/>
    </row>
    <row r="77" spans="1:12">
      <c r="A77" s="5" t="s">
        <v>127</v>
      </c>
      <c r="B77" s="92"/>
      <c r="C77" s="160">
        <f>IF(ISNA(VLOOKUP("CST606410000",Balance!C:G,5,FALSE))=TRUE,0,VLOOKUP("CST606410000",Balance!C:G,5,FALSE))</f>
        <v>774.84</v>
      </c>
      <c r="D77" s="117">
        <f>+[2]Mans!$H77</f>
        <v>1702.0338000000002</v>
      </c>
      <c r="E77" s="160">
        <f>IF(ISNA(VLOOKUP("CST606410000",Balanceanp!C:G,5,FALSE))=TRUE,0,VLOOKUP("CST606410000",Balanceanp!C:G,5,FALSE))</f>
        <v>1366.76</v>
      </c>
      <c r="F77" s="368">
        <f>+C77+C77/9*(12-Clients!$I$14)</f>
        <v>1033.1199999999999</v>
      </c>
      <c r="G77" s="396">
        <f t="shared" si="6"/>
        <v>1064.1135999999999</v>
      </c>
      <c r="H77" s="409"/>
      <c r="I77" s="149">
        <f t="shared" si="5"/>
        <v>-0.24411015833065067</v>
      </c>
      <c r="J77" s="271">
        <f t="shared" si="5"/>
        <v>3.0000000000000016E-2</v>
      </c>
      <c r="L77" s="443"/>
    </row>
    <row r="78" spans="1:12">
      <c r="A78" s="5" t="s">
        <v>101</v>
      </c>
      <c r="B78" s="92"/>
      <c r="C78" s="160">
        <f>IF(ISNA(VLOOKUP("CST611000000",Balance!C:G,5,FALSE))=TRUE,0,VLOOKUP("CST611000000",Balance!C:G,5,FALSE))</f>
        <v>0</v>
      </c>
      <c r="D78" s="117">
        <f>+[2]Mans!$H78</f>
        <v>354.22289675000002</v>
      </c>
      <c r="E78" s="160">
        <f>IF(ISNA(VLOOKUP("CST611000000",Balanceanp!C:G,5,FALSE))=TRUE,0,VLOOKUP("CST611000000",Balanceanp!C:G,5,FALSE))</f>
        <v>7.5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-1</v>
      </c>
      <c r="J78" s="271">
        <f t="shared" si="5"/>
        <v>0</v>
      </c>
      <c r="L78" s="443"/>
    </row>
    <row r="79" spans="1:12">
      <c r="A79" s="5" t="s">
        <v>102</v>
      </c>
      <c r="B79" s="92"/>
      <c r="C79" s="160">
        <f>IF(ISNA(VLOOKUP("CST613200000",Balance!C:G,5,FALSE))=TRUE,0,VLOOKUP("CST613200000",Balance!C:G,5,FALSE))</f>
        <v>24674.94</v>
      </c>
      <c r="D79" s="117">
        <f>+[2]Mans!$H79</f>
        <v>32899.952799999999</v>
      </c>
      <c r="E79" s="160">
        <f>IF(ISNA(VLOOKUP("CST613200000",Balanceanp!C:G,5,FALSE))=TRUE,0,VLOOKUP("CST613200000",Balanceanp!C:G,5,FALSE))</f>
        <v>30663.759999999998</v>
      </c>
      <c r="F79" s="425">
        <f>7829.27*4</f>
        <v>31317.08</v>
      </c>
      <c r="G79" s="425">
        <f>+F79/1498*1517</f>
        <v>31714.292630173568</v>
      </c>
      <c r="H79" s="413"/>
      <c r="I79" s="149">
        <f t="shared" si="5"/>
        <v>2.1305932475339077E-2</v>
      </c>
      <c r="J79" s="271">
        <f t="shared" si="5"/>
        <v>1.2683578104138895E-2</v>
      </c>
      <c r="L79" s="443"/>
    </row>
    <row r="80" spans="1:12">
      <c r="A80" s="5" t="s">
        <v>325</v>
      </c>
      <c r="B80" s="92"/>
      <c r="C80" s="160">
        <f>IF(ISNA(VLOOKUP("CST614000000",Balance!C:G,5,FALSE))=TRUE,0,VLOOKUP("CST614000000",Balance!C:G,5,FALSE))</f>
        <v>0</v>
      </c>
      <c r="D80" s="117">
        <f>+[2]Mans!$H80</f>
        <v>0</v>
      </c>
      <c r="E80" s="160">
        <f>IF(ISNA(VLOOKUP("CST614000000",Balanceanp!C:G,5,FALSE))=TRUE,0,VLOOKUP("CST614000000",Balanceanp!C:G,5,FALSE))</f>
        <v>27.66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-1</v>
      </c>
      <c r="J80" s="271">
        <f t="shared" si="5"/>
        <v>0</v>
      </c>
      <c r="L80" s="443"/>
    </row>
    <row r="81" spans="1:12">
      <c r="A81" s="5" t="s">
        <v>103</v>
      </c>
      <c r="B81" s="92"/>
      <c r="C81" s="160">
        <f>IF(ISNA(VLOOKUP("CST613510000",Balance!C:G,5,FALSE))=TRUE,0,VLOOKUP("CST613510000",Balance!C:G,5,FALSE))</f>
        <v>0</v>
      </c>
      <c r="D81" s="117">
        <f>+[2]Mans!$H81</f>
        <v>0</v>
      </c>
      <c r="E81" s="160">
        <f>IF(ISNA(VLOOKUP("CST613510000",Balanceanp!C:G,5,FALSE))=TRUE,0,VLOOKUP("CST613510000",Balanceanp!C:G,5,FALSE))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s="443"/>
    </row>
    <row r="82" spans="1:12">
      <c r="A82" s="5" t="s">
        <v>105</v>
      </c>
      <c r="B82" s="92"/>
      <c r="C82" s="160">
        <f>IF(ISNA(VLOOKUP("CST613530000",Balance!C:G,5,FALSE))=TRUE,0,VLOOKUP("CST613530000",Balance!C:G,5,FALSE))</f>
        <v>135</v>
      </c>
      <c r="D82" s="117">
        <f>+[2]Mans!$H82</f>
        <v>396.55</v>
      </c>
      <c r="E82" s="160">
        <f>IF(ISNA(VLOOKUP("CST613530000",Balanceanp!C:G,5,FALSE))=TRUE,0,VLOOKUP("CST613530000",Balanceanp!C:G,5,FALSE))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s="443"/>
    </row>
    <row r="83" spans="1:12">
      <c r="A83" s="5" t="s">
        <v>287</v>
      </c>
      <c r="B83" s="92"/>
      <c r="C83" s="160">
        <f>IF(ISNA(VLOOKUP("CST613540000",Balance!C:G,5,FALSE))=TRUE,0,VLOOKUP("CST613540000",Balance!C:G,5,FALSE))</f>
        <v>0</v>
      </c>
      <c r="D83" s="117">
        <f>+[2]Mans!$H83</f>
        <v>150.41914858333328</v>
      </c>
      <c r="E83" s="160">
        <f>IF(ISNA(VLOOKUP("CST613540000",Balanceanp!C:G,5,FALSE))=TRUE,0,VLOOKUP("CST613540000",Balanceanp!C:G,5,FALSE))</f>
        <v>90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-1</v>
      </c>
      <c r="J83" s="271">
        <f t="shared" si="5"/>
        <v>0</v>
      </c>
      <c r="L83" s="443"/>
    </row>
    <row r="84" spans="1:12">
      <c r="A84" s="5" t="s">
        <v>108</v>
      </c>
      <c r="B84" s="92"/>
      <c r="C84" s="160">
        <f>IF(ISNA(VLOOKUP("CST615200000",Balance!C:G,5,FALSE))=TRUE,0,VLOOKUP("CST615200000",Balance!C:G,5,FALSE))</f>
        <v>1340.16</v>
      </c>
      <c r="D84" s="117">
        <f>+[2]Mans!$H84</f>
        <v>1582.4302</v>
      </c>
      <c r="E84" s="160">
        <f>IF(ISNA(VLOOKUP("CST615200000",Balanceanp!C:G,5,FALSE))=TRUE,0,VLOOKUP("CST615200000",Balanceanp!C:G,5,FALSE))</f>
        <v>1645.24</v>
      </c>
      <c r="F84" s="368">
        <f>+C84+C84/9*(12-Clients!$I$14)</f>
        <v>1786.88</v>
      </c>
      <c r="G84" s="396">
        <f t="shared" si="6"/>
        <v>1840.4864000000002</v>
      </c>
      <c r="H84" s="409"/>
      <c r="I84" s="149">
        <f t="shared" si="5"/>
        <v>8.6090783107631769E-2</v>
      </c>
      <c r="J84" s="271">
        <f t="shared" si="5"/>
        <v>3.0000000000000065E-2</v>
      </c>
      <c r="L84" s="443"/>
    </row>
    <row r="85" spans="1:12">
      <c r="A85" s="5" t="s">
        <v>109</v>
      </c>
      <c r="B85" s="92"/>
      <c r="C85" s="160">
        <f>IF(ISNA(VLOOKUP("CST615500000",Balance!C:G,5,FALSE))=TRUE,0,VLOOKUP("CST615500000",Balance!C:G,5,FALSE))</f>
        <v>934</v>
      </c>
      <c r="D85" s="117">
        <f>+[2]Mans!$H85</f>
        <v>1102.1000000000001</v>
      </c>
      <c r="E85" s="160">
        <f>IF(ISNA(VLOOKUP("CST615500000",Balanceanp!C:G,5,FALSE))=TRUE,0,VLOOKUP("CST615500000",Balanceanp!C:G,5,FALSE))</f>
        <v>920</v>
      </c>
      <c r="F85" s="368">
        <f>+C85+C85/9*(12-Clients!$I$14)</f>
        <v>1245.3333333333333</v>
      </c>
      <c r="G85" s="396">
        <f t="shared" si="6"/>
        <v>1282.6933333333334</v>
      </c>
      <c r="H85" s="409"/>
      <c r="I85" s="149">
        <f t="shared" si="5"/>
        <v>0.35362318840579704</v>
      </c>
      <c r="J85" s="271">
        <f t="shared" si="5"/>
        <v>3.0000000000000103E-2</v>
      </c>
      <c r="L85" s="443"/>
    </row>
    <row r="86" spans="1:12">
      <c r="A86" s="5" t="s">
        <v>106</v>
      </c>
      <c r="B86" s="92"/>
      <c r="C86" s="160">
        <f>IF(ISNA(VLOOKUP("CST615510000",Balance!C:G,5,FALSE))=TRUE,0,VLOOKUP("CST615510000",Balance!C:G,5,FALSE))</f>
        <v>130.41999999999999</v>
      </c>
      <c r="D86" s="117">
        <f>+[2]Mans!$H86</f>
        <v>430.56738941666674</v>
      </c>
      <c r="E86" s="160">
        <f>IF(ISNA(VLOOKUP("CST615510000",Balanceanp!C:G,5,FALSE))=TRUE,0,VLOOKUP("CST615510000",Balanceanp!C:G,5,FALSE))</f>
        <v>41</v>
      </c>
      <c r="F86" s="368">
        <f>+C86+C86/9*(12-Clients!$I$14)</f>
        <v>173.89333333333332</v>
      </c>
      <c r="G86" s="396">
        <f t="shared" si="6"/>
        <v>179.11013333333332</v>
      </c>
      <c r="H86" s="409"/>
      <c r="I86" s="149">
        <f t="shared" si="5"/>
        <v>3.2413008130081296</v>
      </c>
      <c r="J86" s="271">
        <f t="shared" si="5"/>
        <v>3.0000000000000041E-2</v>
      </c>
      <c r="L86" s="443"/>
    </row>
    <row r="87" spans="1:12">
      <c r="A87" s="5" t="s">
        <v>363</v>
      </c>
      <c r="B87" s="92"/>
      <c r="C87" s="160">
        <f>IF(ISNA(VLOOKUP("CST615530000",Balance!C:G,5,FALSE))=TRUE,0,VLOOKUP("CST615530000",Balance!C:G,5,FALSE))</f>
        <v>0</v>
      </c>
      <c r="D87" s="117">
        <f>+[2]Mans!$H87</f>
        <v>0</v>
      </c>
      <c r="E87" s="160">
        <f>IF(ISNA(VLOOKUP("CST615530000",Balanceanp!C:G,5,FALSE))=TRUE,0,VLOOKUP("CST615530000",Balanceanp!C:G,5,FALSE))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s="443"/>
    </row>
    <row r="88" spans="1:12">
      <c r="A88" s="5" t="s">
        <v>111</v>
      </c>
      <c r="B88" s="92"/>
      <c r="C88" s="160">
        <f>IF(ISNA(VLOOKUP("CST616130000",Balance!C:G,5,FALSE))=TRUE,0,VLOOKUP("CST616130000",Balance!C:G,5,FALSE))</f>
        <v>1744.02</v>
      </c>
      <c r="D88" s="117">
        <f>+[2]Mans!$H88</f>
        <v>2325.3819750000002</v>
      </c>
      <c r="E88" s="160">
        <f>IF(ISNA(VLOOKUP("CST616130000",Balanceanp!C:G,5,FALSE))=TRUE,0,VLOOKUP("CST616130000",Balanceanp!C:G,5,FALSE))</f>
        <v>2133.91</v>
      </c>
      <c r="F88" s="368">
        <f>+C88+C88/9*(12-Clients!$I$14)</f>
        <v>2325.36</v>
      </c>
      <c r="G88" s="570">
        <f>+F88*1.05</f>
        <v>2441.6280000000002</v>
      </c>
      <c r="H88" s="413"/>
      <c r="I88" s="149">
        <f t="shared" ref="I88:I101" si="7">+IF((E88)=0,,(F88-E88)/E88)</f>
        <v>8.9717935620527711E-2</v>
      </c>
      <c r="J88" s="271">
        <f t="shared" ref="J88:J101" si="8">+IF((F88)=0,,(G88-F88)/F88)</f>
        <v>5.000000000000001E-2</v>
      </c>
      <c r="L88" s="443"/>
    </row>
    <row r="89" spans="1:12">
      <c r="A89" s="5" t="s">
        <v>315</v>
      </c>
      <c r="B89" s="92"/>
      <c r="C89" s="160"/>
      <c r="D89" s="117">
        <f>+[2]Mans!$H89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s="443"/>
    </row>
    <row r="90" spans="1:12">
      <c r="A90" s="5" t="s">
        <v>112</v>
      </c>
      <c r="B90" s="92"/>
      <c r="C90" s="160">
        <f>IF(ISNA(VLOOKUP("CST618100000",Balance!C:G,5,FALSE))=TRUE,0,VLOOKUP("CST618100000",Balance!C:G,5,FALSE))</f>
        <v>0</v>
      </c>
      <c r="D90" s="117">
        <f>+[2]Mans!$H90</f>
        <v>1634.0512593333335</v>
      </c>
      <c r="E90" s="160">
        <f>IF(ISNA(VLOOKUP("CST618100000",Balanceanp!C:G,5,FALSE))=TRUE,0,VLOOKUP("CST618100000",Balanceanp!C:G,5,FALSE))</f>
        <v>1560.22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s="443"/>
    </row>
    <row r="91" spans="1:12">
      <c r="A91" s="5" t="s">
        <v>113</v>
      </c>
      <c r="B91" s="92"/>
      <c r="C91" s="160">
        <f>IF(ISNA(VLOOKUP("CST618500000",Balance!C:G,5,FALSE))=TRUE,0,VLOOKUP("CST618500000",Balance!C:G,5,FALSE))</f>
        <v>1010.84</v>
      </c>
      <c r="D91" s="117">
        <f>+[2]Mans!$H91</f>
        <v>870.19550000000004</v>
      </c>
      <c r="E91" s="160">
        <f>IF(ISNA(VLOOKUP("CST618500000",Balanceanp!C:G,5,FALSE))=TRUE,0,VLOOKUP("CST618500000",Balanceanp!C:G,5,FALSE))</f>
        <v>469.85</v>
      </c>
      <c r="F91" s="368">
        <f>+C91+C91/9*(12-Clients!$I$14)</f>
        <v>1347.7866666666669</v>
      </c>
      <c r="G91" s="396">
        <v>1300</v>
      </c>
      <c r="H91" s="409"/>
      <c r="I91" s="149">
        <f t="shared" si="7"/>
        <v>1.8685466993011957</v>
      </c>
      <c r="J91" s="271">
        <f t="shared" si="8"/>
        <v>-3.5455660638676882E-2</v>
      </c>
      <c r="L91" s="443"/>
    </row>
    <row r="92" spans="1:12">
      <c r="A92" s="5" t="s">
        <v>309</v>
      </c>
      <c r="B92" s="92"/>
      <c r="C92" s="160">
        <f>IF(ISNA(VLOOKUP("CST622200000",Balance!C:G,5,FALSE))=TRUE,0,VLOOKUP("CST622200000",Balance!C:G,5,FALSE))</f>
        <v>0</v>
      </c>
      <c r="D92" s="117">
        <f>+[2]Mans!$H92</f>
        <v>0</v>
      </c>
      <c r="E92" s="160">
        <f>IF(ISNA(VLOOKUP("CST622200000",Balanceanp!C:G,5,FALSE))=TRUE,0,VLOOKUP("CST622200000",Balanceanp!C:G,5,FALSE))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s="443"/>
    </row>
    <row r="93" spans="1:12">
      <c r="A93" s="5" t="s">
        <v>115</v>
      </c>
      <c r="B93" s="92"/>
      <c r="C93" s="160">
        <f>IF(ISNA(VLOOKUP("CST622600000",Balance!C:G,5,FALSE))=TRUE,0,VLOOKUP("CST622600000",Balance!C:G,5,FALSE))</f>
        <v>0</v>
      </c>
      <c r="D93" s="117">
        <f>+[2]Mans!$H93</f>
        <v>0</v>
      </c>
      <c r="E93" s="160">
        <f>IF(ISNA(VLOOKUP("CST622600000",Balanceanp!C:G,5,FALSE))=TRUE,0,VLOOKUP("CST622600000",Balanceanp!C:G,5,FALSE))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s="443"/>
    </row>
    <row r="94" spans="1:12">
      <c r="A94" s="5" t="s">
        <v>42</v>
      </c>
      <c r="B94" s="92"/>
      <c r="C94" s="160">
        <f>IF(ISNA(VLOOKUP("CST622710000",Balance!C:G,5,FALSE))=TRUE,0,VLOOKUP("CST622710000",Balance!C:G,5,FALSE))</f>
        <v>0</v>
      </c>
      <c r="D94" s="117">
        <f>+[2]Mans!$H94</f>
        <v>0</v>
      </c>
      <c r="E94" s="160">
        <f>IF(ISNA(VLOOKUP("CST622710000",Balanceanp!C:G,5,FALSE))=TRUE,0,VLOOKUP("CST622710000",Balanceanp!C:G,5,FALSE))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s="443"/>
    </row>
    <row r="95" spans="1:12">
      <c r="A95" s="5" t="s">
        <v>117</v>
      </c>
      <c r="B95" s="92">
        <f>+C95/$C$21</f>
        <v>1.5436245949926925E-2</v>
      </c>
      <c r="C95" s="160">
        <f>IF(ISNA(VLOOKUP("CST624200000",Balance!C:G,5,FALSE))=TRUE,0,VLOOKUP("CST624200000",Balance!C:G,5,FALSE))</f>
        <v>9287.4500000000007</v>
      </c>
      <c r="D95" s="117">
        <f>+[2]Mans!$H95</f>
        <v>11041.136499999999</v>
      </c>
      <c r="E95" s="160">
        <f>IF(ISNA(VLOOKUP("CST624200000",Balanceanp!C:G,5,FALSE))=TRUE,0,VLOOKUP("CST624200000",Balanceanp!C:G,5,FALSE))</f>
        <v>11948.34</v>
      </c>
      <c r="F95" s="368">
        <f>+C95+C95/9*(12-Clients!$I$14)</f>
        <v>12383.266666666666</v>
      </c>
      <c r="G95" s="396">
        <f t="shared" si="6"/>
        <v>12754.764666666666</v>
      </c>
      <c r="H95" s="420">
        <f>+G95/$G$21</f>
        <v>1.4019306074595148E-2</v>
      </c>
      <c r="I95" s="149">
        <f t="shared" si="7"/>
        <v>3.640059344366383E-2</v>
      </c>
      <c r="J95" s="271">
        <f t="shared" si="8"/>
        <v>2.9999999999999968E-2</v>
      </c>
      <c r="L95" s="443"/>
    </row>
    <row r="96" spans="1:12">
      <c r="A96" s="5" t="s">
        <v>118</v>
      </c>
      <c r="B96" s="92"/>
      <c r="C96" s="160">
        <f>IF(ISNA(VLOOKUP("CST625100000",Balance!C:G,5,FALSE))=TRUE,0,VLOOKUP("CST625100000",Balance!C:G,5,FALSE))</f>
        <v>10201.120000000001</v>
      </c>
      <c r="D96" s="117">
        <f>+[2]Mans!$H96</f>
        <v>12000</v>
      </c>
      <c r="E96" s="160">
        <f>IF(ISNA(VLOOKUP("CST625100000",Balanceanp!C:G,5,FALSE))=TRUE,0,VLOOKUP("CST625100000",Balanceanp!C:G,5,FALSE))</f>
        <v>12049.699999999999</v>
      </c>
      <c r="F96" s="368">
        <v>12800</v>
      </c>
      <c r="G96" s="570">
        <v>13000</v>
      </c>
      <c r="H96" s="401"/>
      <c r="I96" s="149">
        <f t="shared" si="7"/>
        <v>6.2267110384490995E-2</v>
      </c>
      <c r="J96" s="271">
        <f t="shared" si="8"/>
        <v>1.5625E-2</v>
      </c>
      <c r="L96" s="443"/>
    </row>
    <row r="97" spans="1:12">
      <c r="A97" s="5" t="s">
        <v>7</v>
      </c>
      <c r="B97" s="92"/>
      <c r="C97" s="160">
        <f>IF(ISNA(VLOOKUP("CST625200000",Balance!C:G,5,FALSE))=TRUE,0,VLOOKUP("CST625200000",Balance!C:G,5,FALSE))</f>
        <v>111.73</v>
      </c>
      <c r="D97" s="117">
        <f>+[2]Mans!$H97</f>
        <v>0</v>
      </c>
      <c r="E97" s="160">
        <f>IF(ISNA(VLOOKUP("CST625200000",Balanceanp!C:G,5,FALSE))=TRUE,0,VLOOKUP("CST625200000",Balanceanp!C:G,5,FALSE))</f>
        <v>90.12</v>
      </c>
      <c r="F97" s="368">
        <f>+C97+C97/9*(12-Clients!$I$14)</f>
        <v>148.97333333333336</v>
      </c>
      <c r="G97" s="570">
        <v>0</v>
      </c>
      <c r="H97" s="401"/>
      <c r="I97" s="149">
        <f t="shared" si="7"/>
        <v>0.65305518567835497</v>
      </c>
      <c r="J97" s="271">
        <f t="shared" si="8"/>
        <v>-1</v>
      </c>
      <c r="L97" s="443"/>
    </row>
    <row r="98" spans="1:12">
      <c r="A98" s="5" t="s">
        <v>307</v>
      </c>
      <c r="B98" s="92"/>
      <c r="C98" s="160">
        <f>IF(ISNA(VLOOKUP("CST625510000",Balance!C:G,5,FALSE))=TRUE,0,VLOOKUP("CST625510000",Balance!C:G,5,FALSE))</f>
        <v>0</v>
      </c>
      <c r="D98" s="117">
        <f>+[2]Mans!$H98</f>
        <v>0</v>
      </c>
      <c r="E98" s="160">
        <f>IF(ISNA(VLOOKUP("CST625510000",Balanceanp!C:G,5,FALSE))=TRUE,0,VLOOKUP("CST625510000",Balanceanp!C:G,5,FALSE))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s="443"/>
    </row>
    <row r="99" spans="1:12">
      <c r="A99" s="5" t="s">
        <v>119</v>
      </c>
      <c r="B99" s="92"/>
      <c r="C99" s="160">
        <f>IF(ISNA(VLOOKUP("CST626000000",Balance!C:G,5,FALSE))=TRUE,0,VLOOKUP("CST626000000",Balance!C:G,5,FALSE))</f>
        <v>3906.46</v>
      </c>
      <c r="D99" s="117">
        <f>+[2]Mans!$H99</f>
        <v>6585.3668000000007</v>
      </c>
      <c r="E99" s="160">
        <f>IF(ISNA(VLOOKUP("CST626000000",Balanceanp!C:G,5,FALSE))=TRUE,0,VLOOKUP("CST626000000",Balanceanp!C:G,5,FALSE))</f>
        <v>6275.94</v>
      </c>
      <c r="F99" s="368">
        <f>+C99+C99/9*(12-Clients!$I$14)</f>
        <v>5208.6133333333337</v>
      </c>
      <c r="G99" s="396">
        <f>+F99</f>
        <v>5208.6133333333337</v>
      </c>
      <c r="H99" s="409"/>
      <c r="I99" s="149">
        <f t="shared" si="7"/>
        <v>-0.17006642298471081</v>
      </c>
      <c r="J99" s="271">
        <f t="shared" si="8"/>
        <v>0</v>
      </c>
      <c r="L99" s="443"/>
    </row>
    <row r="100" spans="1:12">
      <c r="A100" s="5" t="s">
        <v>120</v>
      </c>
      <c r="B100" s="92"/>
      <c r="C100" s="160">
        <f>IF(ISNA(VLOOKUP("CST626100000",Balance!C:G,5,FALSE))=TRUE,0,VLOOKUP("CST626100000",Balance!C:G,5,FALSE))</f>
        <v>758.75</v>
      </c>
      <c r="D100" s="117">
        <f>+[2]Mans!$H100</f>
        <v>851.33619999999996</v>
      </c>
      <c r="E100" s="160">
        <f>IF(ISNA(VLOOKUP("CST626100000",Balanceanp!C:G,5,FALSE))=TRUE,0,VLOOKUP("CST626100000",Balanceanp!C:G,5,FALSE))</f>
        <v>628.6</v>
      </c>
      <c r="F100" s="368">
        <f>+C100+C100/9*(12-Clients!$I$14)</f>
        <v>1011.6666666666667</v>
      </c>
      <c r="G100" s="396">
        <f t="shared" si="6"/>
        <v>1042.0166666666669</v>
      </c>
      <c r="H100" s="409"/>
      <c r="I100" s="149">
        <f t="shared" si="7"/>
        <v>0.60939654258139786</v>
      </c>
      <c r="J100" s="271">
        <f t="shared" si="8"/>
        <v>3.0000000000000134E-2</v>
      </c>
      <c r="L100" s="443"/>
    </row>
    <row r="101" spans="1:12">
      <c r="A101" s="5" t="s">
        <v>121</v>
      </c>
      <c r="B101" s="92"/>
      <c r="C101" s="160">
        <f>IF(ISNA(VLOOKUP("CST628400000",Balance!C:G,5,FALSE))=TRUE,0,VLOOKUP("CST628400000",Balance!C:G,5,FALSE))</f>
        <v>0</v>
      </c>
      <c r="D101" s="117">
        <f>+[2]Mans!$H101</f>
        <v>0</v>
      </c>
      <c r="E101" s="160">
        <f>IF(ISNA(VLOOKUP("CST628400000",Balanceanp!C:G,5,FALSE))=TRUE,0,VLOOKUP("CST628400000",Balanceanp!C:G,5,FALSE))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s="443"/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444"/>
    </row>
    <row r="103" spans="1:12" s="33" customFormat="1" ht="15" customHeight="1">
      <c r="A103" s="13" t="s">
        <v>122</v>
      </c>
      <c r="B103" s="93">
        <f>+C103/$C$21</f>
        <v>0.1144648799372714</v>
      </c>
      <c r="C103" s="163">
        <f>SUM(C70:C102)</f>
        <v>68869.52</v>
      </c>
      <c r="D103" s="118">
        <f>SUM(D70:D102)</f>
        <v>91606.653379333351</v>
      </c>
      <c r="E103" s="163">
        <f>SUM(E70:E102)</f>
        <v>89454.71</v>
      </c>
      <c r="F103" s="136">
        <f>SUM(F70:F102)</f>
        <v>90263.333333333328</v>
      </c>
      <c r="G103" s="136">
        <f>SUM(G70:G102)</f>
        <v>91457.683830173555</v>
      </c>
      <c r="H103" s="421">
        <f>+G103/$G$21</f>
        <v>0.10052504267990059</v>
      </c>
      <c r="I103" s="272">
        <f>+IF((E103)=0,,(F103-E103)/E103)</f>
        <v>9.0394718549008986E-3</v>
      </c>
      <c r="J103" s="188">
        <f>+IF((F103)=0,,(G103-F103)/F103)</f>
        <v>1.3231845675692161E-2</v>
      </c>
      <c r="L103" s="445"/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444"/>
    </row>
    <row r="105" spans="1:12">
      <c r="A105" s="5" t="s">
        <v>129</v>
      </c>
      <c r="B105" s="92"/>
      <c r="C105" s="160">
        <f>IF(ISNA(VLOOKUP("CST623100000",Balance!C:G,5,FALSE))=TRUE,0,VLOOKUP("CST623100000",Balance!C:G,5,FALSE))</f>
        <v>0</v>
      </c>
      <c r="D105" s="117">
        <f>+[2]Mans!$H105</f>
        <v>1000</v>
      </c>
      <c r="E105" s="160">
        <f>IF(ISNA(VLOOKUP("CST623100000",Balanceanp!C:G,5,FALSE))=TRUE,0,VLOOKUP("CST623100000",Balanceanp!C:G,5,FALSE))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s="443"/>
    </row>
    <row r="106" spans="1:12">
      <c r="A106" s="5" t="s">
        <v>130</v>
      </c>
      <c r="B106" s="92"/>
      <c r="C106" s="160">
        <f>IF(ISNA(VLOOKUP("CST623200000",Balance!C:G,5,FALSE))=TRUE,0,VLOOKUP("CST623200000",Balance!C:G,5,FALSE))</f>
        <v>3475.47</v>
      </c>
      <c r="D106" s="117">
        <f>+[2]Mans!$H106</f>
        <v>3000</v>
      </c>
      <c r="E106" s="160">
        <f>IF(ISNA(VLOOKUP("CST623200000",Balanceanp!C:G,5,FALSE))=TRUE,0,VLOOKUP("CST623200000",Balanceanp!C:G,5,FALSE))</f>
        <v>3558.06</v>
      </c>
      <c r="F106" s="368">
        <f>+C106+C106/9*(12-Clients!$I$14)</f>
        <v>4633.9599999999991</v>
      </c>
      <c r="G106" s="570">
        <v>4000</v>
      </c>
      <c r="H106" s="401"/>
      <c r="I106" s="149">
        <f t="shared" si="9"/>
        <v>0.3023838833521636</v>
      </c>
      <c r="J106" s="271">
        <f t="shared" si="9"/>
        <v>-0.13680739583423232</v>
      </c>
      <c r="L106" s="443"/>
    </row>
    <row r="107" spans="1:12">
      <c r="A107" s="5" t="s">
        <v>131</v>
      </c>
      <c r="B107" s="92"/>
      <c r="C107" s="160">
        <f>IF(ISNA(VLOOKUP("CST629000000",Balance!C:G,5,FALSE))=TRUE,0,VLOOKUP("CST629000000",Balance!C:G,5,FALSE))</f>
        <v>0</v>
      </c>
      <c r="D107" s="117">
        <f>+[2]Mans!$H107</f>
        <v>0</v>
      </c>
      <c r="E107" s="160">
        <f>IF(ISNA(VLOOKUP("CST629000000",Balanceanp!C:G,5,FALSE))=TRUE,0,VLOOKUP("CST629000000",Balanceanp!C:G,5,FALSE))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s="443"/>
    </row>
    <row r="108" spans="1:12">
      <c r="A108" s="5" t="s">
        <v>132</v>
      </c>
      <c r="B108" s="92"/>
      <c r="C108" s="160">
        <f>IF(ISNA(VLOOKUP("CST623300000",Balance!C:G,5,FALSE))=TRUE,0,VLOOKUP("CST623300000",Balance!C:G,5,FALSE))</f>
        <v>628.5</v>
      </c>
      <c r="D108" s="117">
        <f>+[2]Mans!$H108</f>
        <v>500</v>
      </c>
      <c r="E108" s="160">
        <f>IF(ISNA(VLOOKUP("CST623300000",Balanceanp!C:G,5,FALSE))=TRUE,0,VLOOKUP("CST623300000",Balanceanp!C:G,5,FALSE))</f>
        <v>0</v>
      </c>
      <c r="F108" s="368">
        <f>+C108+C108/9*(12-Clients!$I$14)</f>
        <v>838</v>
      </c>
      <c r="G108" s="570">
        <v>150</v>
      </c>
      <c r="H108" s="401"/>
      <c r="I108" s="149">
        <f t="shared" si="9"/>
        <v>0</v>
      </c>
      <c r="J108" s="271">
        <f t="shared" si="9"/>
        <v>-0.82100238663484482</v>
      </c>
      <c r="L108" s="443"/>
    </row>
    <row r="109" spans="1:12">
      <c r="A109" s="5" t="s">
        <v>133</v>
      </c>
      <c r="B109" s="92"/>
      <c r="C109" s="160">
        <f>IF(ISNA(VLOOKUP("CST623700000",Balance!C:G,5,FALSE))=TRUE,0,VLOOKUP("CST623700000",Balance!C:G,5,FALSE))</f>
        <v>1901.0500000000002</v>
      </c>
      <c r="D109" s="117">
        <f>+[2]Mans!$H109</f>
        <v>2800</v>
      </c>
      <c r="E109" s="160">
        <f>IF(ISNA(VLOOKUP("CST623700000",Balanceanp!C:G,5,FALSE))=TRUE,0,VLOOKUP("CST623700000",Balanceanp!C:G,5,FALSE))</f>
        <v>852.89</v>
      </c>
      <c r="F109" s="368">
        <f>+C109+C109/9*(12-Clients!$I$14)</f>
        <v>2534.7333333333336</v>
      </c>
      <c r="G109" s="570">
        <v>2800</v>
      </c>
      <c r="H109" s="401"/>
      <c r="I109" s="149">
        <f t="shared" si="9"/>
        <v>1.9719346379173559</v>
      </c>
      <c r="J109" s="271">
        <f t="shared" si="9"/>
        <v>0.10465269193340512</v>
      </c>
      <c r="L109" s="443"/>
    </row>
    <row r="110" spans="1:12">
      <c r="A110" s="5" t="s">
        <v>134</v>
      </c>
      <c r="B110" s="92"/>
      <c r="C110" s="160">
        <f>IF(ISNA(VLOOKUP("CST623410000",Balance!C:G,5,FALSE))=TRUE,0,VLOOKUP("CST623410000",Balance!C:G,5,FALSE))+IF(ISNA(VLOOKUP("CST623420000",Balance!C:G,5,FALSE))=TRUE,0,VLOOKUP("CST623420000",Balance!C:G,5,FALSE))</f>
        <v>2250</v>
      </c>
      <c r="D110" s="117">
        <f>+[2]Mans!$H110</f>
        <v>3000</v>
      </c>
      <c r="E110" s="160">
        <f>IF(ISNA(VLOOKUP("cst623410000",Balanceanp!C:G,5,FALSE))=TRUE,0,VLOOKUP("cst623410000",Balanceanp!C:G,5,FALSE))+IF(ISNA(VLOOKUP("cst623420000",Balanceanp!C:G,5,FALSE))=TRUE,0,VLOOKUP("cst623420000",Balanceanp!C:G,5,FALSE))</f>
        <v>1265.67</v>
      </c>
      <c r="F110" s="368">
        <f>+C110+C110/9*(12-Clients!$I$14)</f>
        <v>3000</v>
      </c>
      <c r="G110" s="570">
        <v>3000</v>
      </c>
      <c r="H110" s="401"/>
      <c r="I110" s="149">
        <f t="shared" si="9"/>
        <v>1.3702860935314891</v>
      </c>
      <c r="J110" s="271">
        <f t="shared" si="9"/>
        <v>0</v>
      </c>
      <c r="L110" s="443"/>
    </row>
    <row r="111" spans="1:12">
      <c r="A111" s="5" t="s">
        <v>135</v>
      </c>
      <c r="B111" s="92"/>
      <c r="C111" s="160">
        <f>IF(ISNA(VLOOKUP("CST623800000",Balance!C:G,5,FALSE))=TRUE,0,VLOOKUP("CST623800000",Balance!C:G,5,FALSE))+IF(ISNA(VLOOKUP("CST623820000",Balance!C:G,5,FALSE))=TRUE,0,VLOOKUP("CST623820000",Balance!C:G,5,FALSE))</f>
        <v>0</v>
      </c>
      <c r="D111" s="117">
        <f>+[2]Mans!$H111</f>
        <v>50</v>
      </c>
      <c r="E111" s="160">
        <f>IF(ISNA(VLOOKUP("CST623800000",Balanceanp!C:G,5,FALSE))=TRUE,0,VLOOKUP("CST623800000",Balanceanp!C:G,5,FALSE))</f>
        <v>40</v>
      </c>
      <c r="F111" s="368">
        <f>+C111+C111/9*(12-Clients!$I$14)</f>
        <v>0</v>
      </c>
      <c r="G111" s="570">
        <v>50</v>
      </c>
      <c r="H111" s="401"/>
      <c r="I111" s="149">
        <f t="shared" si="9"/>
        <v>-1</v>
      </c>
      <c r="J111" s="271">
        <f t="shared" si="9"/>
        <v>0</v>
      </c>
      <c r="L111" s="443"/>
    </row>
    <row r="112" spans="1:12">
      <c r="A112" s="5" t="s">
        <v>136</v>
      </c>
      <c r="B112" s="92"/>
      <c r="C112" s="160">
        <f>IF(ISNA(VLOOKUP("CST625600000",Balance!C:G,5,FALSE))=TRUE,0,VLOOKUP("CST625600000",Balance!C:G,5,FALSE))</f>
        <v>16929.62</v>
      </c>
      <c r="D112" s="117">
        <f>+[2]Mans!$H112</f>
        <v>1000</v>
      </c>
      <c r="E112" s="160">
        <f>IF(ISNA(VLOOKUP("CST625600000",Balanceanp!C:G,5,FALSE))=TRUE,0,VLOOKUP("CST625600000",Balanceanp!C:G,5,FALSE))</f>
        <v>25.23</v>
      </c>
      <c r="F112" s="368">
        <f>+C112+C112/9*(12-Clients!$I$14)</f>
        <v>22572.826666666664</v>
      </c>
      <c r="G112" s="570">
        <v>1000</v>
      </c>
      <c r="H112" s="401"/>
      <c r="I112" s="149">
        <f t="shared" si="9"/>
        <v>893.68199233716462</v>
      </c>
      <c r="J112" s="271">
        <f t="shared" si="9"/>
        <v>-0.95569894658001775</v>
      </c>
      <c r="L112" s="443"/>
    </row>
    <row r="113" spans="1:12">
      <c r="A113" s="5" t="s">
        <v>137</v>
      </c>
      <c r="B113" s="92"/>
      <c r="C113" s="160">
        <f>IF(ISNA(VLOOKUP("CST625700000",Balance!C:G,5,FALSE))=TRUE,0,VLOOKUP("CST625700000",Balance!C:G,5,FALSE))+IF(ISNA(VLOOKUP("CST625710000",Balance!C:G,5,FALSE))=TRUE,0,VLOOKUP("CST625710000",Balance!C:G,5,FALSE))</f>
        <v>6318.6100000000006</v>
      </c>
      <c r="D113" s="117">
        <f>+[2]Mans!$H113</f>
        <v>4000</v>
      </c>
      <c r="E113" s="160">
        <f>IF(ISNA(VLOOKUP("CST625700000",Balanceanp!C:G,5,FALSE))=TRUE,0,VLOOKUP("CST625700000",Balanceanp!C:G,5,FALSE))+IF(ISNA(VLOOKUP("CST625710000",Balanceanp!C:G,5,FALSE))=TRUE,0,VLOOKUP("CST625710000",Balanceanp!C:G,5,FALSE))</f>
        <v>3885.04</v>
      </c>
      <c r="F113" s="368">
        <v>4531.53</v>
      </c>
      <c r="G113" s="570">
        <v>4600</v>
      </c>
      <c r="H113" s="401"/>
      <c r="I113" s="149">
        <f t="shared" si="9"/>
        <v>0.16640497909931423</v>
      </c>
      <c r="J113" s="271">
        <f t="shared" si="9"/>
        <v>1.5109687015202428E-2</v>
      </c>
      <c r="L113" s="443"/>
    </row>
    <row r="114" spans="1:12">
      <c r="A114" s="5" t="s">
        <v>138</v>
      </c>
      <c r="B114" s="92"/>
      <c r="C114" s="160">
        <f>IF(ISNA(VLOOKUP("CST623810000",Balance!C:G,5,FALSE))=TRUE,0,VLOOKUP("CST623810000",Balance!C:G,5,FALSE))</f>
        <v>0</v>
      </c>
      <c r="D114" s="117">
        <f>+[2]Mans!$H114</f>
        <v>0</v>
      </c>
      <c r="E114" s="160">
        <f>IF(ISNA(VLOOKUP("CST623810000",Balanceanp!C:G,5,FALSE))=TRUE,0,VLOOKUP("CST623810000",Balanceanp!C:G,5,FALSE))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s="443"/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444"/>
    </row>
    <row r="116" spans="1:12" s="33" customFormat="1" ht="15" customHeight="1">
      <c r="A116" s="13" t="s">
        <v>133</v>
      </c>
      <c r="B116" s="93">
        <f>+C116/$C$21</f>
        <v>5.2360111249270293E-2</v>
      </c>
      <c r="C116" s="163">
        <f>SUM(C104:C115)</f>
        <v>31503.25</v>
      </c>
      <c r="D116" s="118">
        <f>SUM(D104:D115)</f>
        <v>15350</v>
      </c>
      <c r="E116" s="163">
        <f>SUM(E104:E115)</f>
        <v>10401.189999999999</v>
      </c>
      <c r="F116" s="136">
        <f>SUM(F104:F115)</f>
        <v>38111.049999999996</v>
      </c>
      <c r="G116" s="136">
        <f>SUM(G104:G115)</f>
        <v>16600</v>
      </c>
      <c r="H116" s="421">
        <f>+G116/$G$21</f>
        <v>1.8245768300725433E-2</v>
      </c>
      <c r="I116" s="272">
        <f>+IF((E116)=0,,(F116-E116)/E116)</f>
        <v>2.6641047803184059</v>
      </c>
      <c r="J116" s="188">
        <f>+IF((F116)=0,,(G116-F116)/F116)</f>
        <v>-0.56443078844587069</v>
      </c>
      <c r="L116" s="445"/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444"/>
    </row>
    <row r="118" spans="1:12">
      <c r="A118" s="5" t="s">
        <v>139</v>
      </c>
      <c r="B118" s="92"/>
      <c r="C118" s="160">
        <f>IF(ISNA(VLOOKUP("CST633300000",Balance!C:G,5,FALSE))=TRUE,0,VLOOKUP("CST633300000",Balance!C:G,5,FALSE))</f>
        <v>1930.23</v>
      </c>
      <c r="D118" s="117">
        <f>+[2]Mans!$H118</f>
        <v>755.99999999999989</v>
      </c>
      <c r="E118" s="160">
        <f>IF(ISNA(VLOOKUP("CST633300000",Balanceanp!C:G,5,FALSE))=TRUE,0,VLOOKUP("CST633300000",Balanceanp!C:G,5,FALSE))</f>
        <v>795</v>
      </c>
      <c r="F118" s="368">
        <f>+C118+C118/9*(12-Clients!$I$14)</f>
        <v>2573.64</v>
      </c>
      <c r="G118" s="396">
        <f>G131*(0.2+0.5)%</f>
        <v>797.99999999999989</v>
      </c>
      <c r="H118" s="409"/>
      <c r="I118" s="149">
        <f t="shared" ref="I118:J127" si="10">+IF((E118)=0,,(F118-E118)/E118)</f>
        <v>2.2372830188679242</v>
      </c>
      <c r="J118" s="271">
        <f t="shared" si="10"/>
        <v>-0.68993332400801977</v>
      </c>
      <c r="L118" s="443"/>
    </row>
    <row r="119" spans="1:12">
      <c r="A119" s="5" t="s">
        <v>140</v>
      </c>
      <c r="B119" s="92"/>
      <c r="C119" s="160">
        <f>IF(ISNA(VLOOKUP("CST633400000",Balance!C:G,5,FALSE))=TRUE,0,VLOOKUP("CST633400000",Balance!C:G,5,FALSE))</f>
        <v>0</v>
      </c>
      <c r="D119" s="117">
        <f>+[2]Mans!$H119</f>
        <v>486.00000000000006</v>
      </c>
      <c r="E119" s="160">
        <f>IF(ISNA(VLOOKUP("CST633400000",Balanceanp!C:G,5,FALSE))=TRUE,0,VLOOKUP("CST633400000",Balanceanp!C:G,5,FALSE))</f>
        <v>438</v>
      </c>
      <c r="F119" s="368">
        <f>+C119+C119/9*(12-Clients!$I$14)</f>
        <v>0</v>
      </c>
      <c r="G119" s="396">
        <f>+G131*0.45%</f>
        <v>513.00000000000011</v>
      </c>
      <c r="H119" s="409"/>
      <c r="I119" s="149">
        <f t="shared" si="10"/>
        <v>-1</v>
      </c>
      <c r="J119" s="271">
        <f t="shared" si="10"/>
        <v>0</v>
      </c>
      <c r="L119" s="443"/>
    </row>
    <row r="120" spans="1:12">
      <c r="A120" s="5" t="s">
        <v>141</v>
      </c>
      <c r="B120" s="92"/>
      <c r="C120" s="160">
        <f>IF(ISNA(VLOOKUP("CST633500000",Balance!C:G,5,FALSE))=TRUE,0,VLOOKUP("CST633500000",Balance!C:G,5,FALSE))</f>
        <v>0</v>
      </c>
      <c r="D120" s="117">
        <f>+[2]Mans!$H120</f>
        <v>842.40000000000009</v>
      </c>
      <c r="E120" s="160">
        <f>IF(ISNA(VLOOKUP("CST633500000",Balanceanp!C:G,5,FALSE))=TRUE,0,VLOOKUP("CST633500000",Balanceanp!C:G,5,FALSE))</f>
        <v>662</v>
      </c>
      <c r="F120" s="368">
        <f>+C120+C120/9*(12-Clients!$I$14)</f>
        <v>0</v>
      </c>
      <c r="G120" s="396">
        <f>+G131*(0.6+0.18)%</f>
        <v>889.2</v>
      </c>
      <c r="H120" s="409"/>
      <c r="I120" s="149">
        <f t="shared" si="10"/>
        <v>-1</v>
      </c>
      <c r="J120" s="271">
        <f t="shared" si="10"/>
        <v>0</v>
      </c>
      <c r="L120" s="443"/>
    </row>
    <row r="121" spans="1:12">
      <c r="A121" s="5" t="s">
        <v>706</v>
      </c>
      <c r="B121" s="92"/>
      <c r="C121" s="160">
        <f>IF(ISNA(VLOOKUP("CST635110000",Balance!C:G,5,FALSE))=TRUE,0,VLOOKUP("CST635110000",Balance!C:G,5,FALSE))</f>
        <v>2617.65</v>
      </c>
      <c r="D121" s="117">
        <f>+[2]Mans!$H121</f>
        <v>3490.2000000000003</v>
      </c>
      <c r="E121" s="160">
        <f>IF(ISNA(VLOOKUP("CST635110000",Balanceanp!C:G,5,FALSE))=TRUE,0,VLOOKUP("CST635110000",Balanceanp!C:G,5,FALSE))</f>
        <v>1662</v>
      </c>
      <c r="F121" s="570">
        <v>973</v>
      </c>
      <c r="G121" s="570">
        <f>+F121*1.05</f>
        <v>1021.6500000000001</v>
      </c>
      <c r="H121" s="413"/>
      <c r="I121" s="149">
        <f t="shared" si="10"/>
        <v>-0.41456077015643805</v>
      </c>
      <c r="J121" s="271">
        <f t="shared" si="10"/>
        <v>5.0000000000000093E-2</v>
      </c>
      <c r="L121" s="443"/>
    </row>
    <row r="122" spans="1:12">
      <c r="A122" s="5" t="s">
        <v>143</v>
      </c>
      <c r="B122" s="92"/>
      <c r="C122" s="160">
        <f>IF(ISNA(VLOOKUP("CST635120000",Balance!C:G,5,FALSE))=TRUE,0,VLOOKUP("CST635120000",Balance!C:G,5,FALSE))</f>
        <v>1285.47</v>
      </c>
      <c r="D122" s="117">
        <f>+[2]Mans!$H122</f>
        <v>1713.9990000000003</v>
      </c>
      <c r="E122" s="160">
        <f>IF(ISNA(VLOOKUP("CST635120000",Balanceanp!C:G,5,FALSE))=TRUE,0,VLOOKUP("CST635120000",Balanceanp!C:G,5,FALSE))</f>
        <v>1632.38</v>
      </c>
      <c r="F122" s="397">
        <v>1632.38</v>
      </c>
      <c r="G122" s="397">
        <f>+F122*1.05</f>
        <v>1713.9990000000003</v>
      </c>
      <c r="H122" s="413"/>
      <c r="I122" s="149">
        <f t="shared" si="10"/>
        <v>0</v>
      </c>
      <c r="J122" s="271">
        <f t="shared" si="10"/>
        <v>5.0000000000000086E-2</v>
      </c>
      <c r="L122" s="443"/>
    </row>
    <row r="123" spans="1:12">
      <c r="A123" s="5" t="s">
        <v>144</v>
      </c>
      <c r="B123" s="92"/>
      <c r="C123" s="160">
        <f>IF(ISNA(VLOOKUP("CST635130000",Balance!C:G,5,FALSE))=TRUE,0,VLOOKUP("CST635130000",Balance!C:G,5,FALSE))</f>
        <v>2392.5</v>
      </c>
      <c r="D123" s="117">
        <f>+[2]Mans!$H123</f>
        <v>50</v>
      </c>
      <c r="E123" s="160">
        <f>IF(ISNA(VLOOKUP("CST635130000",Balanceanp!C:G,5,FALSE))=TRUE,0,VLOOKUP("CST635130000",Balanceanp!C:G,5,FALSE))</f>
        <v>0</v>
      </c>
      <c r="F123" s="425">
        <v>2392.5</v>
      </c>
      <c r="G123" s="425">
        <f>+F123*1.05</f>
        <v>2512.125</v>
      </c>
      <c r="H123" s="413"/>
      <c r="I123" s="149">
        <f t="shared" si="10"/>
        <v>0</v>
      </c>
      <c r="J123" s="271">
        <f t="shared" si="10"/>
        <v>0.05</v>
      </c>
      <c r="L123" s="443"/>
    </row>
    <row r="124" spans="1:12">
      <c r="A124" s="5" t="s">
        <v>145</v>
      </c>
      <c r="B124" s="92"/>
      <c r="C124" s="160">
        <f>IF(ISNA(VLOOKUP("CST635140000",Balance!C:G,5,FALSE))=TRUE,0,VLOOKUP("CST635140000",Balance!C:G,5,FALSE))</f>
        <v>0</v>
      </c>
      <c r="D124" s="117">
        <f>+[2]Mans!$H124</f>
        <v>0</v>
      </c>
      <c r="E124" s="160">
        <f>IF(ISNA(VLOOKUP("CST635140000",Balanceanp!C:G,5,FALSE))=TRUE,0,VLOOKUP("CST635140000",Balanceanp!C:G,5,FALSE))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0"/>
        <v>0</v>
      </c>
      <c r="J124" s="271">
        <f t="shared" si="10"/>
        <v>0</v>
      </c>
      <c r="L124" s="443"/>
    </row>
    <row r="125" spans="1:12">
      <c r="A125" s="5" t="s">
        <v>286</v>
      </c>
      <c r="B125" s="92"/>
      <c r="C125" s="160">
        <f>IF(ISNA(VLOOKUP("CST635300000",Balance!C:G,5,FALSE))=TRUE,0,VLOOKUP("CST635300000",Balance!C:G,5,FALSE))</f>
        <v>0</v>
      </c>
      <c r="D125" s="117">
        <f>+[2]Mans!$H125</f>
        <v>0</v>
      </c>
      <c r="E125" s="160">
        <f>IF(ISNA(VLOOKUP("CST635300000",Balanceanp!C:G,5,FALSE))=TRUE,0,VLOOKUP("CST635300000",Balanceanp!C:G,5,FALSE))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s="443"/>
    </row>
    <row r="126" spans="1:12">
      <c r="A126" s="5" t="s">
        <v>361</v>
      </c>
      <c r="B126" s="92"/>
      <c r="C126" s="160">
        <f>IF(ISNA(VLOOKUP("CST635400000",Balance!C:G,5,FALSE))=TRUE,0,VLOOKUP("CST635400000",Balance!C:G,5,FALSE))</f>
        <v>0</v>
      </c>
      <c r="D126" s="117">
        <f>+[2]Mans!$H126</f>
        <v>0</v>
      </c>
      <c r="E126" s="160">
        <f>IF(ISNA(VLOOKUP("CST635400000",Balanceanp!C:G,5,FALSE))=TRUE,0,VLOOKUP("CST635400000",Balanceanp!C:G,5,FALSE))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s="443"/>
    </row>
    <row r="127" spans="1:12">
      <c r="A127" s="5" t="s">
        <v>146</v>
      </c>
      <c r="B127" s="92"/>
      <c r="C127" s="160">
        <f>IF(ISNA(VLOOKUP("CST637100000",Balance!C:G,5,FALSE))=TRUE,0,VLOOKUP("CST637100000",Balance!C:G,5,FALSE))</f>
        <v>1020.6</v>
      </c>
      <c r="D127" s="117">
        <f>+[2]Mans!$H127</f>
        <v>1266.816</v>
      </c>
      <c r="E127" s="160">
        <f>IF(ISNA(VLOOKUP("CST637100000",Balanceanp!C:G,5,FALSE))=TRUE,0,VLOOKUP("CST637100000",Balanceanp!C:G,5,FALSE))</f>
        <v>1276.05</v>
      </c>
      <c r="F127" s="368">
        <f>+C127+C127/9*(12-Clients!$I$14)</f>
        <v>1360.8000000000002</v>
      </c>
      <c r="G127" s="396">
        <f>+G51*0.16%</f>
        <v>1442.0800000000002</v>
      </c>
      <c r="H127" s="409"/>
      <c r="I127" s="149">
        <f t="shared" si="10"/>
        <v>6.6415892794169692E-2</v>
      </c>
      <c r="J127" s="271">
        <f t="shared" si="10"/>
        <v>5.9729570840681923E-2</v>
      </c>
      <c r="L127" s="443"/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444"/>
    </row>
    <row r="129" spans="1:12" s="33" customFormat="1" ht="15" customHeight="1">
      <c r="A129" s="13" t="s">
        <v>147</v>
      </c>
      <c r="B129" s="93">
        <f>+C129/$C$21</f>
        <v>1.5368101724768565E-2</v>
      </c>
      <c r="C129" s="163">
        <f>SUM(C117:C128)</f>
        <v>9246.4500000000007</v>
      </c>
      <c r="D129" s="118">
        <f>SUM(D117:D128)</f>
        <v>8605.4150000000009</v>
      </c>
      <c r="E129" s="163">
        <f>SUM(E117:E128)</f>
        <v>6465.43</v>
      </c>
      <c r="F129" s="136">
        <f>SUM(F117:F128)</f>
        <v>8932.32</v>
      </c>
      <c r="G129" s="136">
        <f>SUM(G117:G128)</f>
        <v>8890.0540000000001</v>
      </c>
      <c r="H129" s="421">
        <f>+G129/$G$21</f>
        <v>9.7714376786106841E-3</v>
      </c>
      <c r="I129" s="272">
        <f>+IF((E129)=0,,(F129-E129)/E129)</f>
        <v>0.3815508017254845</v>
      </c>
      <c r="J129" s="188">
        <f>+IF((F129)=0,,(G129-F129)/F129)</f>
        <v>-4.7318053988213166E-3</v>
      </c>
      <c r="L129" s="445"/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444"/>
    </row>
    <row r="131" spans="1:12">
      <c r="A131" s="5" t="s">
        <v>148</v>
      </c>
      <c r="B131" s="92"/>
      <c r="C131" s="160">
        <f>IF(ISNA(VLOOKUP("CST641100000",Balance!C:G,5,FALSE))=TRUE,0,VLOOKUP("CST641100000",Balance!C:G,5,FALSE))</f>
        <v>82997.2</v>
      </c>
      <c r="D131" s="117">
        <f>+[2]Mans!$H131</f>
        <v>108000</v>
      </c>
      <c r="E131" s="160">
        <f>IF(ISNA(VLOOKUP("CST641100000",Balanceanp!C:G,5,FALSE))=TRUE,0,VLOOKUP("CST641100000",Balanceanp!C:G,5,FALSE))</f>
        <v>98401.34</v>
      </c>
      <c r="F131" s="368">
        <f>+C131+C131/9*(12-Clients!$I$14)</f>
        <v>110662.93333333332</v>
      </c>
      <c r="G131" s="570">
        <v>114000</v>
      </c>
      <c r="H131" s="401"/>
      <c r="I131" s="149">
        <f t="shared" ref="I131:J146" si="11">+IF((E131)=0,,(F131-E131)/E131)</f>
        <v>0.12460799144943883</v>
      </c>
      <c r="J131" s="271">
        <f t="shared" si="11"/>
        <v>3.0155234152477558E-2</v>
      </c>
      <c r="L131" s="443"/>
    </row>
    <row r="132" spans="1:12">
      <c r="A132" s="5" t="s">
        <v>149</v>
      </c>
      <c r="B132" s="92"/>
      <c r="C132" s="160">
        <f>IF(ISNA(VLOOKUP("CST641110000",Balance!C:G,5,FALSE))=TRUE,0,VLOOKUP("CST641110000",Balance!C:G,5,FALSE))</f>
        <v>-323.31</v>
      </c>
      <c r="D132" s="117">
        <f>+[2]Mans!$H132</f>
        <v>0</v>
      </c>
      <c r="E132" s="160">
        <f>IF(ISNA(VLOOKUP("CST641110000",Balanceanp!C:G,5,FALSE))=TRUE,0,VLOOKUP("CST641110000",Balanceanp!C:G,5,FALSE))</f>
        <v>243.11</v>
      </c>
      <c r="F132" s="368">
        <f>+C132+C132/9*(12-Clients!$I$14)</f>
        <v>-431.08</v>
      </c>
      <c r="G132" s="570">
        <v>0</v>
      </c>
      <c r="H132" s="401"/>
      <c r="I132" s="149">
        <f t="shared" si="11"/>
        <v>-2.7731890913578217</v>
      </c>
      <c r="J132" s="271">
        <f t="shared" si="11"/>
        <v>-1</v>
      </c>
      <c r="L132" s="443"/>
    </row>
    <row r="133" spans="1:12">
      <c r="A133" s="5" t="s">
        <v>150</v>
      </c>
      <c r="B133" s="92"/>
      <c r="C133" s="160">
        <f>IF(ISNA(VLOOKUP("CST641111000",Balance!C:G,5,FALSE))=TRUE,0,VLOOKUP("CST641111000",Balance!C:G,5,FALSE))</f>
        <v>0</v>
      </c>
      <c r="D133" s="117">
        <f>+[2]Mans!$H133</f>
        <v>0</v>
      </c>
      <c r="E133" s="160">
        <f>IF(ISNA(VLOOKUP("CST641111000",Balanceanp!C:G,5,FALSE))=TRUE,0,VLOOKUP("CST641111000",Balanceanp!C:G,5,FALSE))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s="443"/>
    </row>
    <row r="134" spans="1:12">
      <c r="A134" s="5" t="s">
        <v>151</v>
      </c>
      <c r="B134" s="92"/>
      <c r="C134" s="160">
        <f>IF(ISNA(VLOOKUP("CST641200000",Balance!C:G,5,FALSE))=TRUE,0,VLOOKUP("CST641200000",Balance!C:G,5,FALSE))</f>
        <v>0</v>
      </c>
      <c r="D134" s="117">
        <f>+[2]Mans!$H134</f>
        <v>0</v>
      </c>
      <c r="E134" s="160">
        <f>IF(ISNA(VLOOKUP("CST641200000",Balanceanp!C:G,5,FALSE))=TRUE,0,VLOOKUP("CST641200000",Balanceanp!C:G,5,FALSE))</f>
        <v>4701.0599999999995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s="443"/>
    </row>
    <row r="135" spans="1:12">
      <c r="A135" s="5" t="s">
        <v>114</v>
      </c>
      <c r="B135" s="92"/>
      <c r="C135" s="160">
        <f>IF(ISNA(VLOOKUP("CST621100000",Balance!C:G,5,FALSE))=TRUE,0,VLOOKUP("CST621100000",Balance!C:G,5,FALSE))</f>
        <v>0</v>
      </c>
      <c r="D135" s="117">
        <f>+[2]Mans!$H135</f>
        <v>0</v>
      </c>
      <c r="E135" s="160">
        <f>IF(ISNA(VLOOKUP("CST621100000",Balanceanp!C:G,5,FALSE))=TRUE,0,VLOOKUP("CST621100000",Balanceanp!C:G,5,FALSE))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s="443"/>
    </row>
    <row r="136" spans="1:12">
      <c r="A136" s="5" t="s">
        <v>338</v>
      </c>
      <c r="B136" s="92"/>
      <c r="C136" s="160">
        <f>IF(ISNA(VLOOKUP("CST621200000",Balance!C:G,5,FALSE))=TRUE,0,VLOOKUP("CST621200000",Balance!C:G,5,FALSE))</f>
        <v>0</v>
      </c>
      <c r="D136" s="117">
        <f>+[2]Mans!$H136</f>
        <v>0</v>
      </c>
      <c r="E136" s="160">
        <f>IF(ISNA(VLOOKUP("CST621200000",Balanceanp!C:G,5,FALSE))=TRUE,0,VLOOKUP("CST621200000",Balanceanp!C:G,5,FALSE))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s="443"/>
    </row>
    <row r="137" spans="1:12">
      <c r="A137" s="5" t="s">
        <v>87</v>
      </c>
      <c r="B137" s="92"/>
      <c r="C137" s="160">
        <f>-IF(ISNA(VLOOKUP("CST706100000",Balance!C:G,5,FALSE))=TRUE,0,-VLOOKUP("CST706100000",Balance!C:G,5,FALSE))</f>
        <v>0</v>
      </c>
      <c r="D137" s="117">
        <f>+[2]Mans!$H137</f>
        <v>0</v>
      </c>
      <c r="E137" s="160">
        <f>-IF(ISNA(VLOOKUP("CST706100000",Balanceanp!C:G,5,FALSE))=TRUE,0,-VLOOKUP("CST706100000",Balanceanp!C:G,5,FALSE))</f>
        <v>-12657.67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-1</v>
      </c>
      <c r="J137" s="271">
        <f t="shared" si="11"/>
        <v>0</v>
      </c>
      <c r="L137" s="443"/>
    </row>
    <row r="138" spans="1:12">
      <c r="A138" s="5" t="s">
        <v>152</v>
      </c>
      <c r="B138" s="92"/>
      <c r="C138" s="160">
        <f>IF(ISNA(VLOOKUP("CST641210000",Balance!C:G,5,FALSE))=TRUE,0,VLOOKUP("CST641210000",Balance!C:G,5,FALSE))</f>
        <v>0</v>
      </c>
      <c r="D138" s="117">
        <f>+[2]Mans!$H138</f>
        <v>0</v>
      </c>
      <c r="E138" s="160">
        <f>IF(ISNA(VLOOKUP("CST641210000",Balanceanp!C:G,5,FALSE))=TRUE,0,VLOOKUP("CST641210000",Balanceanp!C:G,5,FALSE))</f>
        <v>1748.6799999999998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s="443"/>
    </row>
    <row r="139" spans="1:12">
      <c r="A139" s="5" t="s">
        <v>153</v>
      </c>
      <c r="B139" s="92"/>
      <c r="C139" s="160">
        <f>IF(ISNA(VLOOKUP("CST641400000",Balance!C:G,5,FALSE))=TRUE,0,VLOOKUP("CST641400000",Balance!C:G,5,FALSE))</f>
        <v>0</v>
      </c>
      <c r="D139" s="117">
        <f>+[2]Mans!$H139</f>
        <v>0</v>
      </c>
      <c r="E139" s="160">
        <f>IF(ISNA(VLOOKUP("CST641400000",Balanceanp!C:G,5,FALSE))=TRUE,0,VLOOKUP("CST641400000",Balanceanp!C:G,5,FALSE))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s="443"/>
    </row>
    <row r="140" spans="1:12">
      <c r="A140" s="5" t="s">
        <v>154</v>
      </c>
      <c r="B140" s="92"/>
      <c r="C140" s="160">
        <f>IF(ISNA(VLOOKUP("CST641600000",Balance!C:G,5,FALSE))=TRUE,0,VLOOKUP("CST641600000",Balance!C:G,5,FALSE))</f>
        <v>0</v>
      </c>
      <c r="D140" s="117">
        <f>+[2]Mans!$H140</f>
        <v>0</v>
      </c>
      <c r="E140" s="160">
        <f>IF(ISNA(VLOOKUP("CST641600000",Balanceanp!C:G,5,FALSE))=TRUE,0,VLOOKUP("CST641600000",Balanceanp!C:G,5,FALSE))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s="443"/>
    </row>
    <row r="141" spans="1:12">
      <c r="A141" s="5" t="s">
        <v>155</v>
      </c>
      <c r="B141" s="92"/>
      <c r="C141" s="160">
        <f>IF(ISNA(VLOOKUP("CST645100000",Balance!C:G,5,FALSE))=TRUE,0,VLOOKUP("CST645100000",Balance!C:G,5,FALSE))</f>
        <v>20910.36</v>
      </c>
      <c r="D141" s="117">
        <f>+[2]Mans!$H141</f>
        <v>25485.97046947417</v>
      </c>
      <c r="E141" s="160">
        <f>IF(ISNA(VLOOKUP("CST645100000",Balanceanp!C:G,5,FALSE))=TRUE,0,VLOOKUP("CST645100000",Balanceanp!C:G,5,FALSE))</f>
        <v>23050.23</v>
      </c>
      <c r="F141" s="368">
        <f>+C141+C141/9*(12-Clients!$I$14)</f>
        <v>27880.480000000003</v>
      </c>
      <c r="G141" s="396">
        <f t="shared" ref="G141:G146" si="13">+($G$131/$C$131*C141)*1.01</f>
        <v>29008.434626710299</v>
      </c>
      <c r="H141" s="409"/>
      <c r="I141" s="149">
        <f t="shared" si="11"/>
        <v>0.20955322354701031</v>
      </c>
      <c r="J141" s="271">
        <f t="shared" si="11"/>
        <v>4.0456786494002105E-2</v>
      </c>
      <c r="L141" s="443"/>
    </row>
    <row r="142" spans="1:12">
      <c r="A142" s="5" t="s">
        <v>156</v>
      </c>
      <c r="B142" s="92"/>
      <c r="C142" s="160">
        <f>IF(ISNA(VLOOKUP("CST645200000",Balance!C:G,5,FALSE))=TRUE,0,VLOOKUP("CST645200000",Balance!C:G,5,FALSE))</f>
        <v>1846.02</v>
      </c>
      <c r="D142" s="117">
        <f>+[2]Mans!$H142</f>
        <v>2966.3158610425958</v>
      </c>
      <c r="E142" s="160">
        <f>IF(ISNA(VLOOKUP("CST645200000",Balanceanp!C:G,5,FALSE))=TRUE,0,VLOOKUP("CST645200000",Balanceanp!C:G,5,FALSE))</f>
        <v>2606</v>
      </c>
      <c r="F142" s="368">
        <f>+C142+C142/9*(12-Clients!$I$14)</f>
        <v>2461.36</v>
      </c>
      <c r="G142" s="396">
        <f t="shared" si="13"/>
        <v>2560.9387160048768</v>
      </c>
      <c r="H142" s="409"/>
      <c r="I142" s="149">
        <f t="shared" si="11"/>
        <v>-5.5502686108979231E-2</v>
      </c>
      <c r="J142" s="271">
        <f t="shared" si="11"/>
        <v>4.0456786494001973E-2</v>
      </c>
      <c r="L142" s="443"/>
    </row>
    <row r="143" spans="1:12">
      <c r="A143" s="5" t="s">
        <v>157</v>
      </c>
      <c r="B143" s="92"/>
      <c r="C143" s="160">
        <f>IF(ISNA(VLOOKUP("CST645300000",Balance!C:G,5,FALSE))=TRUE,0,VLOOKUP("CST645300000",Balance!C:G,5,FALSE))</f>
        <v>4441.09</v>
      </c>
      <c r="D143" s="117">
        <f>+[2]Mans!$H143</f>
        <v>6555.6551070283249</v>
      </c>
      <c r="E143" s="160">
        <f>IF(ISNA(VLOOKUP("CST645300000",Balanceanp!C:G,5,FALSE))=TRUE,0,VLOOKUP("CST645300000",Balanceanp!C:G,5,FALSE))</f>
        <v>5776.96</v>
      </c>
      <c r="F143" s="368">
        <f>+C143+C143/9*(12-Clients!$I$14)</f>
        <v>5921.4533333333329</v>
      </c>
      <c r="G143" s="396">
        <f t="shared" si="13"/>
        <v>6161.0163065741972</v>
      </c>
      <c r="H143" s="409"/>
      <c r="I143" s="149">
        <f t="shared" si="11"/>
        <v>2.5012001698701894E-2</v>
      </c>
      <c r="J143" s="271">
        <f t="shared" si="11"/>
        <v>4.0456786494002195E-2</v>
      </c>
      <c r="L143" s="443"/>
    </row>
    <row r="144" spans="1:12">
      <c r="A144" s="5" t="s">
        <v>326</v>
      </c>
      <c r="B144" s="92"/>
      <c r="C144" s="160">
        <f>IF(ISNA(VLOOKUP("CST645310000",Balance!C:G,5,FALSE))=TRUE,0,VLOOKUP("CST645310000",Balance!C:G,5,FALSE))</f>
        <v>0</v>
      </c>
      <c r="D144" s="117">
        <f>+[2]Mans!$H144</f>
        <v>0</v>
      </c>
      <c r="E144" s="160">
        <f>IF(ISNA(VLOOKUP("CST645310000",Balanceanp!C:G,5,FALSE))=TRUE,0,VLOOKUP("CST645310000",Balanceanp!C:G,5,FALSE))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s="443"/>
    </row>
    <row r="145" spans="1:12">
      <c r="A145" s="5" t="s">
        <v>158</v>
      </c>
      <c r="B145" s="92"/>
      <c r="C145" s="160">
        <f>IF(ISNA(VLOOKUP("CST645400000",Balance!C:G,5,FALSE))=TRUE,0,VLOOKUP("CST645400000",Balance!C:G,5,FALSE))</f>
        <v>3221.47</v>
      </c>
      <c r="D145" s="117">
        <f>+[2]Mans!$H145</f>
        <v>4619.0285673275594</v>
      </c>
      <c r="E145" s="160">
        <f>IF(ISNA(VLOOKUP("CST645400000",Balanceanp!C:G,5,FALSE))=TRUE,0,VLOOKUP("CST645400000",Balanceanp!C:G,5,FALSE))</f>
        <v>4136.8900000000003</v>
      </c>
      <c r="F145" s="368">
        <f>+C145+C145/9*(12-Clients!$I$14)</f>
        <v>4295.2933333333331</v>
      </c>
      <c r="G145" s="396">
        <f t="shared" si="13"/>
        <v>4469.0670986491104</v>
      </c>
      <c r="H145" s="409"/>
      <c r="I145" s="149">
        <f t="shared" si="11"/>
        <v>3.8290438791781442E-2</v>
      </c>
      <c r="J145" s="271">
        <f t="shared" si="11"/>
        <v>4.0456786494002132E-2</v>
      </c>
      <c r="L145" s="443"/>
    </row>
    <row r="146" spans="1:12">
      <c r="A146" s="5" t="s">
        <v>159</v>
      </c>
      <c r="B146" s="92"/>
      <c r="C146" s="160">
        <f>IF(ISNA(VLOOKUP("CST645800000",Balance!C:G,5,FALSE))=TRUE,0,VLOOKUP("CST645800000",Balance!C:G,5,FALSE))</f>
        <v>438.24</v>
      </c>
      <c r="D146" s="117">
        <f>+[2]Mans!$H146</f>
        <v>1107.759903000268</v>
      </c>
      <c r="E146" s="160">
        <f>IF(ISNA(VLOOKUP("CST645800000",Balanceanp!C:G,5,FALSE))=TRUE,0,VLOOKUP("CST645800000",Balanceanp!C:G,5,FALSE))</f>
        <v>1012.89</v>
      </c>
      <c r="F146" s="368">
        <f>+C146+C146/9*(12-Clients!$I$14)</f>
        <v>584.32000000000005</v>
      </c>
      <c r="G146" s="396">
        <f t="shared" si="13"/>
        <v>607.95970948417539</v>
      </c>
      <c r="H146" s="409"/>
      <c r="I146" s="149">
        <f t="shared" si="11"/>
        <v>-0.4231160343176455</v>
      </c>
      <c r="J146" s="271">
        <f t="shared" si="11"/>
        <v>4.0456786494002153E-2</v>
      </c>
      <c r="L146" s="443"/>
    </row>
    <row r="147" spans="1:12">
      <c r="A147" s="5" t="s">
        <v>160</v>
      </c>
      <c r="B147" s="92"/>
      <c r="C147" s="160">
        <f>IF(ISNA(VLOOKUP("CST645900000",Balance!C:G,5,FALSE))=TRUE,0,VLOOKUP("CST645900000",Balance!C:G,5,FALSE))</f>
        <v>-119.44</v>
      </c>
      <c r="D147" s="117">
        <f>+[2]Mans!$H147</f>
        <v>318.23910000000006</v>
      </c>
      <c r="E147" s="160">
        <f>IF(ISNA(VLOOKUP("CST645900000",Balanceanp!C:G,5,FALSE))=TRUE,0,VLOOKUP("CST645900000",Balanceanp!C:G,5,FALSE))</f>
        <v>90.09</v>
      </c>
      <c r="F147" s="368">
        <f>+C147+C147/9*(12-Clients!$I$14)</f>
        <v>-159.25333333333333</v>
      </c>
      <c r="G147" s="396">
        <f>+F147*1.03</f>
        <v>-164.03093333333334</v>
      </c>
      <c r="H147" s="409"/>
      <c r="I147" s="149">
        <f t="shared" ref="I147:J152" si="14">+IF((E147)=0,,(F147-E147)/E147)</f>
        <v>-2.7677137677137678</v>
      </c>
      <c r="J147" s="271">
        <f t="shared" si="14"/>
        <v>3.0000000000000044E-2</v>
      </c>
      <c r="L147" s="443"/>
    </row>
    <row r="148" spans="1:12">
      <c r="A148" s="5" t="s">
        <v>161</v>
      </c>
      <c r="B148" s="92"/>
      <c r="C148" s="160">
        <f>IF(ISNA(VLOOKUP("CST647100000",Balance!C:G,5,FALSE))=TRUE,0,VLOOKUP("CST647100000",Balance!C:G,5,FALSE))</f>
        <v>0</v>
      </c>
      <c r="D148" s="117">
        <f>+[2]Mans!$H148</f>
        <v>0</v>
      </c>
      <c r="E148" s="160">
        <f>IF(ISNA(VLOOKUP("CST647100000",Balanceanp!C:G,5,FALSE))=TRUE,0,VLOOKUP("CST647100000",Balanceanp!C:G,5,FALSE))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s="443"/>
    </row>
    <row r="149" spans="1:12">
      <c r="A149" s="5" t="s">
        <v>162</v>
      </c>
      <c r="B149" s="92"/>
      <c r="C149" s="160">
        <f>IF(ISNA(VLOOKUP("CST647400000",Balance!C:G,5,FALSE))=TRUE,0,VLOOKUP("CST647400000",Balance!C:G,5,FALSE))</f>
        <v>0</v>
      </c>
      <c r="D149" s="117">
        <f>+[2]Mans!$H149</f>
        <v>0</v>
      </c>
      <c r="E149" s="160">
        <f>IF(ISNA(VLOOKUP("CST647400000",Balanceanp!C:G,5,FALSE))=TRUE,0,VLOOKUP("CST647400000",Balanceanp!C:G,5,FALSE))</f>
        <v>21.26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s="443"/>
    </row>
    <row r="150" spans="1:12">
      <c r="A150" s="5" t="s">
        <v>163</v>
      </c>
      <c r="B150" s="92"/>
      <c r="C150" s="160">
        <f>IF(ISNA(VLOOKUP("CST647500000",Balance!C:G,5,FALSE))=TRUE,0,VLOOKUP("CST647500000",Balance!C:G,5,FALSE))</f>
        <v>344</v>
      </c>
      <c r="D150" s="117">
        <f>+[2]Mans!$H150</f>
        <v>438.16199999999998</v>
      </c>
      <c r="E150" s="160">
        <f>IF(ISNA(VLOOKUP("CST647500000",Balanceanp!C:G,5,FALSE))=TRUE,0,VLOOKUP("CST647500000",Balanceanp!C:G,5,FALSE))</f>
        <v>337.9</v>
      </c>
      <c r="F150" s="368">
        <f>+C150+C150/9*(12-Clients!$I$14)</f>
        <v>458.66666666666663</v>
      </c>
      <c r="G150" s="396">
        <f>+F150*1.03</f>
        <v>472.42666666666662</v>
      </c>
      <c r="H150" s="409"/>
      <c r="I150" s="149">
        <f t="shared" si="14"/>
        <v>0.35740357107625526</v>
      </c>
      <c r="J150" s="271">
        <f t="shared" si="14"/>
        <v>2.9999999999999982E-2</v>
      </c>
      <c r="L150" s="443"/>
    </row>
    <row r="151" spans="1:12">
      <c r="A151" s="5" t="s">
        <v>570</v>
      </c>
      <c r="B151" s="92"/>
      <c r="C151" s="160"/>
      <c r="D151" s="117">
        <f>+[2]Mans!$H151</f>
        <v>0</v>
      </c>
      <c r="E151" s="160"/>
      <c r="F151" s="368"/>
      <c r="G151" s="395"/>
      <c r="H151" s="409"/>
      <c r="I151" s="149"/>
      <c r="J151" s="271"/>
      <c r="L151" s="443"/>
    </row>
    <row r="152" spans="1:12">
      <c r="A152" s="5" t="s">
        <v>58</v>
      </c>
      <c r="B152" s="92"/>
      <c r="C152" s="160">
        <f>IF(ISNA(VLOOKUP("CST648000000",Balance!C:G,5,FALSE))=TRUE,0,VLOOKUP("CST648000000",Balance!C:G,5,FALSE))</f>
        <v>0</v>
      </c>
      <c r="D152" s="117">
        <f>+[2]Mans!$H152</f>
        <v>39.428400000000003</v>
      </c>
      <c r="E152" s="160">
        <f>IF(ISNA(VLOOKUP("CST648000000",Balanceanp!C:G,5,FALSE))=TRUE,0,VLOOKUP("CST648000000",Balanceanp!C:G,5,FALSE))</f>
        <v>5317.5019999999995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s="443"/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443"/>
    </row>
    <row r="154" spans="1:12" s="33" customFormat="1" ht="15" customHeight="1">
      <c r="A154" s="13" t="s">
        <v>164</v>
      </c>
      <c r="B154" s="93">
        <f>+C154/$C$21</f>
        <v>0.18906803082319537</v>
      </c>
      <c r="C154" s="163">
        <f>SUM(C130:C153)</f>
        <v>113755.63</v>
      </c>
      <c r="D154" s="118">
        <f>SUM(D130:D153)</f>
        <v>149530.55940787293</v>
      </c>
      <c r="E154" s="163">
        <f>SUM(E130:E153)</f>
        <v>134825.84199999998</v>
      </c>
      <c r="F154" s="136">
        <f>SUM(F130:F153)</f>
        <v>151674.17333333331</v>
      </c>
      <c r="G154" s="136">
        <f>SUM(G130:G153)</f>
        <v>157115.812190756</v>
      </c>
      <c r="H154" s="421">
        <f>+G154/$G$21</f>
        <v>0.17269269310920643</v>
      </c>
      <c r="I154" s="272">
        <f>+IF((E154)=0,,(F154-E154)/E154)</f>
        <v>0.12496366485390344</v>
      </c>
      <c r="J154" s="188">
        <f>+IF((F154)=0,,(G154-F154)/F154)</f>
        <v>3.5877161799086482E-2</v>
      </c>
      <c r="L154" s="445"/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444"/>
    </row>
    <row r="156" spans="1:12">
      <c r="A156" s="5" t="s">
        <v>545</v>
      </c>
      <c r="B156" s="92">
        <v>0.92789999999999995</v>
      </c>
      <c r="C156" s="160">
        <f>IF(ISNA(VLOOKUP("CST681740000",Balance!C:G,5,FALSE))=TRUE,0,VLOOKUP("CST681740000",Balance!C:G,5,FALSE))</f>
        <v>2556.63</v>
      </c>
      <c r="D156" s="117">
        <f>+[2]Mans!$H156</f>
        <v>11362.735999999999</v>
      </c>
      <c r="E156" s="160">
        <f>IF(ISNA(VLOOKUP("CST681740000",Balanceanp!C:G,5,FALSE))=TRUE,0,VLOOKUP("CST681740000",Balanceanp!C:G,5,FALSE))</f>
        <v>8284.84</v>
      </c>
      <c r="F156" s="368">
        <f>+C156+C156/9*(12-Clients!$I$14)</f>
        <v>3408.84</v>
      </c>
      <c r="G156" s="570">
        <f>+G21*B156*1.62%</f>
        <v>13676.095404000002</v>
      </c>
      <c r="H156" s="413"/>
      <c r="I156" s="149">
        <f t="shared" ref="I156:J166" si="15">+IF((E156)=0,,(F156-E156)/E156)</f>
        <v>-0.58854486025077124</v>
      </c>
      <c r="J156" s="271">
        <f t="shared" si="15"/>
        <v>3.0119499313549478</v>
      </c>
      <c r="L156" s="443"/>
    </row>
    <row r="157" spans="1:12">
      <c r="A157" s="5" t="s">
        <v>165</v>
      </c>
      <c r="B157" s="92"/>
      <c r="C157" s="160">
        <f>IF(ISNA(VLOOKUP("CST781740000",Balance!C:G,5,FALSE))=TRUE,0,VLOOKUP("CST781740000",Balance!C:G,5,FALSE))</f>
        <v>0</v>
      </c>
      <c r="D157" s="117">
        <f>+[2]Mans!$H157</f>
        <v>0</v>
      </c>
      <c r="E157" s="160">
        <f>IF(ISNA(VLOOKUP("CST781740000",Balanceanp!C:G,5,FALSE))=TRUE,0,VLOOKUP("CST781740000",Balanceanp!C:G,5,FALSE))</f>
        <v>-216.06</v>
      </c>
      <c r="F157" s="368">
        <f>+C157+C157/9*(12-Clients!$I$14)</f>
        <v>0</v>
      </c>
      <c r="G157" s="396">
        <v>0</v>
      </c>
      <c r="H157" s="409"/>
      <c r="I157" s="149">
        <f t="shared" si="15"/>
        <v>-1</v>
      </c>
      <c r="J157" s="271">
        <f t="shared" si="15"/>
        <v>0</v>
      </c>
      <c r="L157" s="443"/>
    </row>
    <row r="158" spans="1:12">
      <c r="A158" s="5" t="s">
        <v>166</v>
      </c>
      <c r="B158" s="92"/>
      <c r="C158" s="160">
        <f>IF(ISNA(VLOOKUP("CST654400000",Balance!C:G,5,FALSE))=TRUE,0,VLOOKUP("CST654400000",Balance!C:G,5,FALSE))</f>
        <v>5879.7</v>
      </c>
      <c r="D158" s="117">
        <f>+[2]Mans!$H158</f>
        <v>0</v>
      </c>
      <c r="E158" s="160">
        <f>IF(ISNA(VLOOKUP("CST654400000",Balanceanp!C:G,5,FALSE))=TRUE,0,VLOOKUP("CST654400000",Balanceanp!C:G,5,FALSE))</f>
        <v>216.06</v>
      </c>
      <c r="F158" s="368">
        <f>+C158+C158/9*(12-Clients!$I$14)</f>
        <v>7839.5999999999995</v>
      </c>
      <c r="G158" s="396">
        <v>0</v>
      </c>
      <c r="H158" s="409"/>
      <c r="I158" s="149">
        <f t="shared" si="15"/>
        <v>35.28436545404054</v>
      </c>
      <c r="J158" s="271">
        <f t="shared" si="15"/>
        <v>-1</v>
      </c>
      <c r="L158" s="443"/>
    </row>
    <row r="159" spans="1:12">
      <c r="A159" s="5" t="s">
        <v>60</v>
      </c>
      <c r="B159" s="92"/>
      <c r="C159" s="160">
        <f>IF(ISNA(VLOOKUP("CST791100000",Balance!C:G,5,FALSE))=TRUE,0,VLOOKUP("CST791100000",Balance!C:G,5,FALSE))</f>
        <v>0</v>
      </c>
      <c r="D159" s="117">
        <f>+[2]Mans!$H159</f>
        <v>0</v>
      </c>
      <c r="E159" s="160">
        <f>IF(ISNA(VLOOKUP("CST791100000",Balanceanp!C:G,5,FALSE))=TRUE,0,VLOOKUP("CST791100000",Balanceanp!C:G,5,FALSE))</f>
        <v>-1697.85</v>
      </c>
      <c r="F159" s="368">
        <f>+C159+C159/9*(12-Clients!$I$14)</f>
        <v>0</v>
      </c>
      <c r="G159" s="396">
        <v>0</v>
      </c>
      <c r="H159" s="409"/>
      <c r="I159" s="149">
        <f t="shared" si="15"/>
        <v>-1</v>
      </c>
      <c r="J159" s="271">
        <f t="shared" si="15"/>
        <v>0</v>
      </c>
      <c r="L159" s="443"/>
    </row>
    <row r="160" spans="1:12">
      <c r="A160" s="5" t="s">
        <v>199</v>
      </c>
      <c r="B160" s="92"/>
      <c r="C160" s="160">
        <f>IF(ISNA(VLOOKUP("CST654100000",Balance!C:G,5,FALSE))=TRUE,0,VLOOKUP("CST654100000",Balance!C:G,5,FALSE))</f>
        <v>6.16</v>
      </c>
      <c r="D160" s="117">
        <f>+[2]Mans!$H160</f>
        <v>0</v>
      </c>
      <c r="E160" s="160">
        <f>IF(ISNA(VLOOKUP("CST654100000",Balanceanp!C:G,5,FALSE))=TRUE,0,VLOOKUP("CST654100000",Balanceanp!C:G,5,FALSE))</f>
        <v>-2.52</v>
      </c>
      <c r="F160" s="368">
        <f>+C160+C160/9*(12-Clients!$I$14)</f>
        <v>8.2133333333333329</v>
      </c>
      <c r="G160" s="396">
        <v>0</v>
      </c>
      <c r="H160" s="409"/>
      <c r="I160" s="149">
        <f t="shared" si="15"/>
        <v>-4.2592592592592586</v>
      </c>
      <c r="J160" s="271">
        <f t="shared" si="15"/>
        <v>-1</v>
      </c>
      <c r="L160" s="443"/>
    </row>
    <row r="161" spans="1:12">
      <c r="A161" s="5" t="s">
        <v>41</v>
      </c>
      <c r="B161" s="92"/>
      <c r="C161" s="160">
        <f>IF(ISNA(VLOOKUP("CST622700000",Balance!C:G,5,FALSE))=TRUE,0,VLOOKUP("CST622700000",Balance!C:G,5,FALSE))</f>
        <v>-26.42</v>
      </c>
      <c r="D161" s="117">
        <f>+[2]Mans!$H161</f>
        <v>0</v>
      </c>
      <c r="E161" s="160">
        <f>IF(ISNA(VLOOKUP("CST622700000",Balanceanp!C:G,5,FALSE))=TRUE,0,VLOOKUP("CST622700000",Balanceanp!C:G,5,FALSE))</f>
        <v>201.9</v>
      </c>
      <c r="F161" s="368">
        <f>+C161+C161/9*(12-Clients!$I$14)</f>
        <v>-35.226666666666667</v>
      </c>
      <c r="G161" s="396">
        <f t="shared" ref="G161:G166" si="16">+F161*1.03</f>
        <v>-36.283466666666669</v>
      </c>
      <c r="H161" s="409"/>
      <c r="I161" s="149">
        <f t="shared" si="15"/>
        <v>-1.1744758131087998</v>
      </c>
      <c r="J161" s="271">
        <f t="shared" si="15"/>
        <v>3.0000000000000075E-2</v>
      </c>
      <c r="L161" s="443"/>
    </row>
    <row r="162" spans="1:12">
      <c r="A162" s="5" t="s">
        <v>355</v>
      </c>
      <c r="B162" s="92"/>
      <c r="C162" s="160">
        <f>IF(ISNA(VLOOKUP("CST654200000",Balance!C:G,5,FALSE))=TRUE,0,VLOOKUP("CST654200000",Balance!C:G,5,FALSE))</f>
        <v>0</v>
      </c>
      <c r="D162" s="117">
        <f>+[2]Mans!$H162</f>
        <v>40.705600000000004</v>
      </c>
      <c r="E162" s="160">
        <f>IF(ISNA(VLOOKUP("CST654200000",Balanceanp!C:G,5,FALSE))=TRUE,0,VLOOKUP("CST654200000",Balanceanp!C:G,5,FALSE))</f>
        <v>39.520000000000003</v>
      </c>
      <c r="F162" s="368">
        <f>+C162+C162/9*(12-Clients!$I$14)</f>
        <v>0</v>
      </c>
      <c r="G162" s="396">
        <f t="shared" si="16"/>
        <v>0</v>
      </c>
      <c r="H162" s="409"/>
      <c r="I162" s="149">
        <f t="shared" si="15"/>
        <v>-1</v>
      </c>
      <c r="J162" s="271">
        <f t="shared" si="15"/>
        <v>0</v>
      </c>
      <c r="L162" s="443"/>
    </row>
    <row r="163" spans="1:12">
      <c r="A163" s="5" t="s">
        <v>200</v>
      </c>
      <c r="B163" s="92"/>
      <c r="C163" s="160">
        <f>IF(ISNA(VLOOKUP("CST665000000",Balance!C:G,5,FALSE))=TRUE,0,VLOOKUP("CST665000000",Balance!C:G,5,FALSE))+IF(ISNA(VLOOKUP("CST665100000",Balance!C:G,5,FALSE))=TRUE,0,VLOOKUP("CST665100000",Balance!C:G,5,FALSE))</f>
        <v>0</v>
      </c>
      <c r="D163" s="117">
        <f>+[2]Mans!$H163</f>
        <v>0</v>
      </c>
      <c r="E163" s="160">
        <f>IF(ISNA(VLOOKUP("CST665000000",Balanceanp!C:G,5,FALSE))=TRUE,0,VLOOKUP("CST665000000",Balanceanp!C:G,5,FALSE))+IF(ISNA(VLOOKUP("CST665100000",Balanceanp!C:G,5,FALSE))=TRUE,0,VLOOKUP("CST665100000",Balanceanp!C:G,5,FALSE))</f>
        <v>0</v>
      </c>
      <c r="F163" s="368">
        <f>+C163+C163/9*(12-Clients!$I$14)</f>
        <v>0</v>
      </c>
      <c r="G163" s="396">
        <f t="shared" si="16"/>
        <v>0</v>
      </c>
      <c r="H163" s="409"/>
      <c r="I163" s="149">
        <f t="shared" si="15"/>
        <v>0</v>
      </c>
      <c r="J163" s="271">
        <f t="shared" si="15"/>
        <v>0</v>
      </c>
      <c r="L163" s="443"/>
    </row>
    <row r="164" spans="1:12">
      <c r="A164" s="5" t="s">
        <v>271</v>
      </c>
      <c r="B164" s="92"/>
      <c r="C164" s="160">
        <f>IF(ISNA(VLOOKUP("CST763000000",Balance!C:G,5,FALSE))=TRUE,0,VLOOKUP("CST763000000",Balance!C:G,5,FALSE))</f>
        <v>0</v>
      </c>
      <c r="D164" s="117">
        <f>+[2]Mans!$H164</f>
        <v>0</v>
      </c>
      <c r="E164" s="160">
        <f>IF(ISNA(VLOOKUP("CST763000000",Balanceanp!C:G,5,FALSE))=TRUE,0,VLOOKUP("CST763000000",Balanceanp!C:G,5,FALSE))</f>
        <v>0</v>
      </c>
      <c r="F164" s="368">
        <f>+C164+C164/9*(12-Clients!$I$14)</f>
        <v>0</v>
      </c>
      <c r="G164" s="396">
        <f t="shared" si="16"/>
        <v>0</v>
      </c>
      <c r="H164" s="409"/>
      <c r="I164" s="149">
        <f t="shared" si="15"/>
        <v>0</v>
      </c>
      <c r="J164" s="271">
        <f t="shared" si="15"/>
        <v>0</v>
      </c>
      <c r="L164" s="443"/>
    </row>
    <row r="165" spans="1:12">
      <c r="A165" s="5" t="s">
        <v>242</v>
      </c>
      <c r="B165" s="92"/>
      <c r="C165" s="160">
        <f>IF(ISNA(VLOOKUP("CST627520000",Balance!C:G,5,FALSE))=TRUE,0,VLOOKUP("CST627520000",Balance!C:G,5,FALSE))</f>
        <v>121.3</v>
      </c>
      <c r="D165" s="117">
        <f>+[2]Mans!$H165</f>
        <v>173.65799999999999</v>
      </c>
      <c r="E165" s="160">
        <f>IF(ISNA(VLOOKUP("CST627520000",Balanceanp!C:G,5,FALSE))=TRUE,0,VLOOKUP("CST627520000",Balanceanp!C:G,5,FALSE))</f>
        <v>192.6</v>
      </c>
      <c r="F165" s="368">
        <f>+C165+C165/9*(12-Clients!$I$14)</f>
        <v>161.73333333333335</v>
      </c>
      <c r="G165" s="396">
        <f t="shared" si="16"/>
        <v>166.58533333333335</v>
      </c>
      <c r="H165" s="409"/>
      <c r="I165" s="149">
        <f t="shared" si="15"/>
        <v>-0.16026306680512278</v>
      </c>
      <c r="J165" s="271">
        <f t="shared" si="15"/>
        <v>3.000000000000002E-2</v>
      </c>
      <c r="L165" s="443"/>
    </row>
    <row r="166" spans="1:12">
      <c r="A166" s="5" t="s">
        <v>201</v>
      </c>
      <c r="B166" s="92"/>
      <c r="C166" s="160">
        <f>IF(ISNA(VLOOKUP("CST763100000",Balance!C:G,5,FALSE))=TRUE,0,VLOOKUP("CST763100000",Balance!C:G,5,FALSE))</f>
        <v>0</v>
      </c>
      <c r="D166" s="117">
        <f>+[2]Mans!$H166</f>
        <v>0</v>
      </c>
      <c r="E166" s="160">
        <f>IF(ISNA(VLOOKUP("CST763100000",Balanceanp!C:G,5,FALSE))=TRUE,0,VLOOKUP("CST763100000",Balanceanp!C:G,5,FALSE))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s="443"/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444"/>
    </row>
    <row r="168" spans="1:12" s="33" customFormat="1" ht="15" customHeight="1">
      <c r="A168" s="13" t="s">
        <v>74</v>
      </c>
      <c r="B168" s="93">
        <f>+C168/$C$21</f>
        <v>1.4189572281468821E-2</v>
      </c>
      <c r="C168" s="163">
        <f>SUM(C155:C167)</f>
        <v>8537.369999999999</v>
      </c>
      <c r="D168" s="118">
        <f>SUM(D155:D167)</f>
        <v>11577.099599999998</v>
      </c>
      <c r="E168" s="163">
        <f>SUM(E155:E167)</f>
        <v>7018.49</v>
      </c>
      <c r="F168" s="136">
        <f>SUM(F155:F167)</f>
        <v>11383.159999999998</v>
      </c>
      <c r="G168" s="136">
        <f>SUM(G155:G167)</f>
        <v>13806.397270666668</v>
      </c>
      <c r="H168" s="421">
        <f>+G168/$G$21</f>
        <v>1.517520034146699E-2</v>
      </c>
      <c r="I168" s="272">
        <f>+IF((E168)=0,,(F168-E168)/E168)</f>
        <v>0.62188162980926076</v>
      </c>
      <c r="J168" s="188">
        <f>+IF((F168)=0,,(G168-F168)/F168)</f>
        <v>0.212879136431946</v>
      </c>
      <c r="L168" s="445"/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444"/>
    </row>
    <row r="170" spans="1:12">
      <c r="A170" s="5" t="s">
        <v>167</v>
      </c>
      <c r="B170" s="92"/>
      <c r="C170" s="160">
        <f>IF(ISNA(VLOOKUP("CST651100000",Balance!C:G,5,FALSE))=TRUE,0,VLOOKUP("CST651100000",Balance!C:G,5,FALSE))</f>
        <v>0</v>
      </c>
      <c r="D170" s="117">
        <f>+[2]Mans!$H170</f>
        <v>0</v>
      </c>
      <c r="E170" s="160">
        <f>IF(ISNA(VLOOKUP("CST651100000",Balanceanp!C:G,5,FALSE))=TRUE,0,VLOOKUP("CST651100000",Balanceanp!C:G,5,FALSE))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s="443"/>
    </row>
    <row r="171" spans="1:12">
      <c r="A171" s="5" t="s">
        <v>168</v>
      </c>
      <c r="B171" s="92"/>
      <c r="C171" s="160">
        <f>IF(ISNA(VLOOKUP("CST651600000",Balance!C:G,5,FALSE))=TRUE,0,VLOOKUP("CST651600000",Balance!C:G,5,FALSE))</f>
        <v>0</v>
      </c>
      <c r="D171" s="117">
        <f>+[2]Mans!$H171</f>
        <v>0</v>
      </c>
      <c r="E171" s="160">
        <f>IF(ISNA(VLOOKUP("CST651600000",Balanceanp!C:G,5,FALSE))=TRUE,0,VLOOKUP("CST651600000",Balanceanp!C:G,5,FALSE))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s="443"/>
    </row>
    <row r="172" spans="1:12">
      <c r="A172" s="5" t="s">
        <v>169</v>
      </c>
      <c r="B172" s="92"/>
      <c r="C172" s="160">
        <f>IF(ISNA(VLOOKUP("CST671200000",Balance!C:G,5,FALSE))=TRUE,0,VLOOKUP("CST671200000",Balance!C:G,5,FALSE))</f>
        <v>0</v>
      </c>
      <c r="D172" s="117">
        <f>+[2]Mans!$H172</f>
        <v>0</v>
      </c>
      <c r="E172" s="160">
        <f>IF(ISNA(VLOOKUP("CST671200000",Balanceanp!C:G,5,FALSE))=TRUE,0,VLOOKUP("CST671200000",Balanceanp!C:G,5,FALSE))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s="443"/>
    </row>
    <row r="173" spans="1:12">
      <c r="A173" s="5" t="s">
        <v>170</v>
      </c>
      <c r="B173" s="92"/>
      <c r="C173" s="160">
        <f>IF(ISNA(VLOOKUP("CST671800000",Balance!C:G,5,FALSE))=TRUE,0,VLOOKUP("CST671800000",Balance!C:G,5,FALSE))</f>
        <v>0</v>
      </c>
      <c r="D173" s="117">
        <f>+[2]Mans!$H173</f>
        <v>15.4397</v>
      </c>
      <c r="E173" s="160">
        <f>IF(ISNA(VLOOKUP("CST671800000",Balanceanp!C:G,5,FALSE))=TRUE,0,VLOOKUP("CST671800000",Balanceanp!C:G,5,FALSE))</f>
        <v>108.99</v>
      </c>
      <c r="F173" s="368">
        <f>+C173+C173/9*(12-Clients!$I$14)</f>
        <v>0</v>
      </c>
      <c r="G173" s="396">
        <f t="shared" si="17"/>
        <v>0</v>
      </c>
      <c r="H173" s="409"/>
      <c r="I173" s="149">
        <f t="shared" si="18"/>
        <v>-1</v>
      </c>
      <c r="J173" s="271">
        <f t="shared" si="18"/>
        <v>0</v>
      </c>
      <c r="L173" s="443"/>
    </row>
    <row r="174" spans="1:12">
      <c r="A174" s="5" t="s">
        <v>171</v>
      </c>
      <c r="B174" s="92"/>
      <c r="C174" s="160">
        <f>IF(ISNA(VLOOKUP("CST672000000",Balance!C:G,5,FALSE))=TRUE,0,VLOOKUP("CST672000000",Balance!C:G,5,FALSE))</f>
        <v>0</v>
      </c>
      <c r="D174" s="117">
        <f>+[2]Mans!$H174</f>
        <v>0</v>
      </c>
      <c r="E174" s="160">
        <f>IF(ISNA(VLOOKUP("CST672000000",Balanceanp!C:G,5,FALSE))=TRUE,0,VLOOKUP("CST672000000",Balanceanp!C:G,5,FALSE))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s="443"/>
    </row>
    <row r="175" spans="1:12">
      <c r="A175" s="5" t="s">
        <v>308</v>
      </c>
      <c r="B175" s="92"/>
      <c r="C175" s="160">
        <f>IF(ISNA(VLOOKUP("CST691100000",Balance!C:G,5,FALSE))=TRUE,0,VLOOKUP("CST691100000",Balance!C:G,5,FALSE))</f>
        <v>0</v>
      </c>
      <c r="D175" s="117">
        <f>+[2]Mans!$H175</f>
        <v>0</v>
      </c>
      <c r="E175" s="160">
        <f>IF(ISNA(VLOOKUP("CST691100000",Balanceanp!C:G,5,FALSE))=TRUE,0,VLOOKUP("CST691100000",Balanceanp!C:G,5,FALSE))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s="443"/>
    </row>
    <row r="176" spans="1:12">
      <c r="A176" s="5" t="s">
        <v>172</v>
      </c>
      <c r="B176" s="92"/>
      <c r="C176" s="160">
        <f>IF(ISNA(VLOOKUP("CST675100000",Balance!C:G,5,FALSE))=TRUE,0,VLOOKUP("CST675100000",Balance!C:G,5,FALSE))</f>
        <v>0</v>
      </c>
      <c r="D176" s="117">
        <f>+[2]Mans!$H176</f>
        <v>0</v>
      </c>
      <c r="E176" s="160">
        <f>IF(ISNA(VLOOKUP("CST675100000",Balanceanp!C:G,5,FALSE))=TRUE,0,VLOOKUP("CST675100000",Balanceanp!C:G,5,FALSE))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s="443"/>
    </row>
    <row r="177" spans="1:12">
      <c r="A177" s="5" t="s">
        <v>173</v>
      </c>
      <c r="B177" s="92"/>
      <c r="C177" s="160">
        <f>IF(ISNA(VLOOKUP("CST675200000",Balance!C:G,5,FALSE))=TRUE,0,VLOOKUP("CST675200000",Balance!C:G,5,FALSE))</f>
        <v>0</v>
      </c>
      <c r="D177" s="117">
        <f>+[2]Mans!$H177</f>
        <v>0</v>
      </c>
      <c r="E177" s="160">
        <f>IF(ISNA(VLOOKUP("CST675200000",Balanceanp!C:G,5,FALSE))=TRUE,0,VLOOKUP("CST675200000",Balanceanp!C:G,5,FALSE))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s="443"/>
    </row>
    <row r="178" spans="1:12">
      <c r="A178" s="5" t="s">
        <v>174</v>
      </c>
      <c r="B178" s="92"/>
      <c r="C178" s="160">
        <f>IF(ISNA(VLOOKUP("CST681110000",Balance!C:G,5,FALSE))=TRUE,0,VLOOKUP("CST681110000",Balance!C:G,5,FALSE))</f>
        <v>0</v>
      </c>
      <c r="D178" s="117">
        <f>+[2]Mans!$H178</f>
        <v>0</v>
      </c>
      <c r="E178" s="160">
        <f>IF(ISNA(VLOOKUP("CST681110000",Balanceanp!C:G,5,FALSE))=TRUE,0,VLOOKUP("CST681110000",Balanceanp!C:G,5,FALSE))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s="443"/>
    </row>
    <row r="179" spans="1:12">
      <c r="A179" s="5" t="s">
        <v>175</v>
      </c>
      <c r="B179" s="92"/>
      <c r="C179" s="160">
        <f>IF(ISNA(VLOOKUP("CST681120000",Balance!C:G,5,FALSE))=TRUE,0,VLOOKUP("CST681120000",Balance!C:G,5,FALSE))</f>
        <v>9825.0300000000007</v>
      </c>
      <c r="D179" s="117">
        <f>+[2]Mans!$H179</f>
        <v>13100</v>
      </c>
      <c r="E179" s="160">
        <f>IF(ISNA(VLOOKUP("CST681120000",Balanceanp!C:G,5,FALSE))=TRUE,0,VLOOKUP("CST681120000",Balanceanp!C:G,5,FALSE))</f>
        <v>11892.03</v>
      </c>
      <c r="F179" s="135">
        <v>12537.33</v>
      </c>
      <c r="G179" s="570">
        <f>12391.38+500+G255/10</f>
        <v>12891.38</v>
      </c>
      <c r="H179" s="413"/>
      <c r="I179" s="149">
        <f t="shared" si="18"/>
        <v>5.4263233442902452E-2</v>
      </c>
      <c r="J179" s="271">
        <f t="shared" si="18"/>
        <v>2.8239665064252059E-2</v>
      </c>
      <c r="L179" s="443"/>
    </row>
    <row r="180" spans="1:12">
      <c r="A180" s="5" t="s">
        <v>78</v>
      </c>
      <c r="B180" s="92"/>
      <c r="C180" s="160">
        <f>IF(ISNA(VLOOKUP("CST687250000",Balance!C:G,5,FALSE))=TRUE,0,+VLOOKUP("CST687250000",Balance!C:G,5,FALSE))</f>
        <v>0</v>
      </c>
      <c r="D180" s="117">
        <f>+[2]Mans!$H180</f>
        <v>0</v>
      </c>
      <c r="E180" s="160">
        <f>IF(ISNA(VLOOKUP("CST687250000",Balanceanp!C:G,5,FALSE))=TRUE,0,+VLOOKUP("CST687250000",Balanceanp!C:G,5,FALSE))</f>
        <v>653.1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s="443"/>
    </row>
    <row r="181" spans="1:12">
      <c r="A181" s="5" t="s">
        <v>327</v>
      </c>
      <c r="B181" s="92"/>
      <c r="C181" s="160">
        <f>IF(ISNA(VLOOKUP("CST661880000",Balance!C:G,5,FALSE))=TRUE,0,+VLOOKUP("CST661880000",Balance!C:G,5,FALSE))</f>
        <v>0</v>
      </c>
      <c r="D181" s="117">
        <f>+[2]Mans!$H181</f>
        <v>0</v>
      </c>
      <c r="E181" s="160">
        <f>IF(ISNA(VLOOKUP("CST661880000",Balanceanp!C:G,5,FALSE))=TRUE,0,+VLOOKUP("CST661880000",Balanceanp!C:G,5,FALSE))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s="443"/>
    </row>
    <row r="182" spans="1:12">
      <c r="A182" s="5" t="s">
        <v>82</v>
      </c>
      <c r="B182" s="92"/>
      <c r="C182" s="160">
        <f>IF(ISNA(VLOOKUP("CST661610000",Balance!C:G,5,FALSE))=TRUE,0,+VLOOKUP("CST661610000",Balance!C:G,5,FALSE))</f>
        <v>0</v>
      </c>
      <c r="D182" s="117">
        <f>+[2]Mans!$H182</f>
        <v>77.25</v>
      </c>
      <c r="E182" s="160">
        <f>IF(ISNA(VLOOKUP("CST661610000",Balanceanp!C:G,5,FALSE))=TRUE,0,+VLOOKUP("CST661610000",Balanceanp!C:G,5,FALSE))</f>
        <v>0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s="443"/>
    </row>
    <row r="183" spans="1:12">
      <c r="A183" s="5" t="s">
        <v>331</v>
      </c>
      <c r="B183" s="92"/>
      <c r="C183" s="160">
        <f>IF(ISNA(VLOOKUP("CST681500000",Balance!C:G,5,FALSE))=TRUE,0,VLOOKUP("CST681500000",Balance!C:G,5,FALSE))</f>
        <v>0</v>
      </c>
      <c r="D183" s="117">
        <f>+[2]Mans!$H183</f>
        <v>0</v>
      </c>
      <c r="E183" s="160">
        <f>IF(ISNA(VLOOKUP("CST681500000",Balanceanp!C:G,5,FALSE))=TRUE,0,VLOOKUP("CST681500000",Balanceanp!C:G,5,FALSE))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s="443"/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444"/>
    </row>
    <row r="185" spans="1:12" s="33" customFormat="1" ht="15" customHeight="1">
      <c r="A185" s="13" t="s">
        <v>178</v>
      </c>
      <c r="B185" s="93"/>
      <c r="C185" s="163">
        <f>SUM(C169:C184)</f>
        <v>9825.0300000000007</v>
      </c>
      <c r="D185" s="118">
        <f>SUM(D169:D184)</f>
        <v>13192.689700000001</v>
      </c>
      <c r="E185" s="280">
        <f>SUM(E169:E184)</f>
        <v>12654.12</v>
      </c>
      <c r="F185" s="136">
        <f>SUM(F169:F184)</f>
        <v>12537.33</v>
      </c>
      <c r="G185" s="136">
        <f>SUM(G169:G184)</f>
        <v>12891.38</v>
      </c>
      <c r="H185" s="421"/>
      <c r="I185" s="272">
        <f>+IF((E185)=0,,(F185-E185)/E185)</f>
        <v>-9.2294051265517374E-3</v>
      </c>
      <c r="J185" s="188">
        <f>+IF((F185)=0,,(G185-F185)/F185)</f>
        <v>2.8239665064252059E-2</v>
      </c>
      <c r="L185" s="445"/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444"/>
    </row>
    <row r="187" spans="1:12">
      <c r="A187" s="5" t="s">
        <v>179</v>
      </c>
      <c r="B187" s="92"/>
      <c r="C187" s="160">
        <f>IF(ISNA(VLOOKUP("CST740000000",Balance!C:G,5,FALSE))=TRUE,0,-VLOOKUP("CST740000000",Balance!C:G,5,FALSE))</f>
        <v>0</v>
      </c>
      <c r="D187" s="117">
        <f>+[2]Mans!$H187</f>
        <v>0</v>
      </c>
      <c r="E187" s="160">
        <f>IF(ISNA(VLOOKUP("CST740000000",Balanceanp!C:G,5,FALSE))=TRUE,0,-VLOOKUP("CST740000000",Balanceanp!C:G,5,FALSE))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s="443"/>
    </row>
    <row r="188" spans="1:12">
      <c r="A188" s="5" t="s">
        <v>230</v>
      </c>
      <c r="B188" s="92"/>
      <c r="C188" s="160">
        <f>IF(ISNA(VLOOKUP("CST751100000",Balance!C:G,5,FALSE))=TRUE,0,-VLOOKUP("CST751100000",Balance!C:G,5,FALSE))</f>
        <v>0</v>
      </c>
      <c r="D188" s="117">
        <f>+[2]Mans!$H188</f>
        <v>0</v>
      </c>
      <c r="E188" s="160">
        <f>IF(ISNA(VLOOKUP("CST751100000",Balanceanp!C:G,5,FALSE))=TRUE,0,-VLOOKUP("CST751100000",Balanceanp!C:G,5,FALSE))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s="443"/>
    </row>
    <row r="189" spans="1:12">
      <c r="A189" s="5" t="s">
        <v>180</v>
      </c>
      <c r="B189" s="92"/>
      <c r="C189" s="160">
        <f>IF(ISNA(VLOOKUP("CST758100000",Balance!C:G,5,FALSE))=TRUE,0,-VLOOKUP("CST758100000",Balance!C:G,5,FALSE))</f>
        <v>297.11</v>
      </c>
      <c r="D189" s="117">
        <f>+[2]Mans!$H189</f>
        <v>0</v>
      </c>
      <c r="E189" s="160">
        <f>IF(ISNA(VLOOKUP("CST758100000",Balanceanp!C:G,5,FALSE))=TRUE,0,-VLOOKUP("CST758100000",Balanceanp!C:G,5,FALSE))</f>
        <v>668.9</v>
      </c>
      <c r="F189" s="368">
        <f>+C189+C189/9*(12-Clients!$I$14)</f>
        <v>396.14666666666665</v>
      </c>
      <c r="G189" s="368">
        <v>0</v>
      </c>
      <c r="H189" s="410"/>
      <c r="I189" s="149">
        <f t="shared" si="19"/>
        <v>-0.40776399063138485</v>
      </c>
      <c r="J189" s="271">
        <f t="shared" si="19"/>
        <v>-1</v>
      </c>
      <c r="L189" s="443"/>
    </row>
    <row r="190" spans="1:12">
      <c r="A190" s="5" t="s">
        <v>181</v>
      </c>
      <c r="B190" s="92"/>
      <c r="C190" s="160">
        <f>IF(ISNA(VLOOKUP("CST763800000",Balance!C:G,5,FALSE))=TRUE,0,-VLOOKUP("CST763800000",Balance!C:G,5,FALSE))</f>
        <v>0</v>
      </c>
      <c r="D190" s="117">
        <f>+[2]Mans!$H190</f>
        <v>0</v>
      </c>
      <c r="E190" s="160">
        <f>IF(ISNA(VLOOKUP("CST763800000",Balanceanp!C:G,5,FALSE))=TRUE,0,-VLOOKUP("CST763800000",Balanceanp!C:G,5,FALSE))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s="443"/>
    </row>
    <row r="191" spans="1:12">
      <c r="A191" s="5" t="s">
        <v>182</v>
      </c>
      <c r="B191" s="92"/>
      <c r="C191" s="160">
        <f>IF(ISNA(VLOOKUP("CST765000000",Balance!C:G,5,FALSE))=TRUE,0,-VLOOKUP("CST765000000",Balance!C:G,5,FALSE))</f>
        <v>0</v>
      </c>
      <c r="D191" s="117">
        <f>+[2]Mans!$H191</f>
        <v>0</v>
      </c>
      <c r="E191" s="160">
        <f>IF(ISNA(VLOOKUP("CST765000000",Balanceanp!C:G,5,FALSE))=TRUE,0,-VLOOKUP("CST765000000",Balanceanp!C:G,5,FALSE))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s="443"/>
    </row>
    <row r="192" spans="1:12">
      <c r="A192" s="5" t="s">
        <v>183</v>
      </c>
      <c r="B192" s="92"/>
      <c r="C192" s="160">
        <f>IF(ISNA(VLOOKUP("CST771400000",Balance!C:G,5,FALSE))=TRUE,0,-VLOOKUP("CST771400000",Balance!C:G,5,FALSE))</f>
        <v>0</v>
      </c>
      <c r="D192" s="117">
        <f>+[2]Mans!$H192</f>
        <v>0</v>
      </c>
      <c r="E192" s="160">
        <f>IF(ISNA(VLOOKUP("CST771400000",Balanceanp!C:G,5,FALSE))=TRUE,0,-VLOOKUP("CST771400000",Balanceanp!C:G,5,FALSE))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s="443"/>
    </row>
    <row r="193" spans="1:12">
      <c r="A193" s="5" t="s">
        <v>184</v>
      </c>
      <c r="B193" s="92"/>
      <c r="C193" s="160">
        <f>IF(ISNA(VLOOKUP("CST771800000",Balance!C:G,5,FALSE))=TRUE,0,-VLOOKUP("CST771800000",Balance!C:G,5,FALSE))</f>
        <v>8.25</v>
      </c>
      <c r="D193" s="117">
        <f>+[2]Mans!$H193</f>
        <v>0</v>
      </c>
      <c r="E193" s="160">
        <f>IF(ISNA(VLOOKUP("CST771800000",Balanceanp!C:G,5,FALSE))=TRUE,0,-VLOOKUP("CST771800000",Balanceanp!C:G,5,FALSE))</f>
        <v>0</v>
      </c>
      <c r="F193" s="368">
        <f>+C193+C193/9*(12-Clients!$I$14)</f>
        <v>11</v>
      </c>
      <c r="G193" s="368">
        <v>0</v>
      </c>
      <c r="H193" s="410"/>
      <c r="I193" s="149">
        <f t="shared" si="19"/>
        <v>0</v>
      </c>
      <c r="J193" s="271">
        <f t="shared" si="19"/>
        <v>-1</v>
      </c>
      <c r="L193" s="443"/>
    </row>
    <row r="194" spans="1:12">
      <c r="A194" s="5" t="s">
        <v>185</v>
      </c>
      <c r="B194" s="92"/>
      <c r="C194" s="160">
        <f>IF(ISNA(VLOOKUP("CST758000000",Balance!C:G,5,FALSE))=TRUE,0,-VLOOKUP("CST758000000",Balance!C:G,5,FALSE))</f>
        <v>0</v>
      </c>
      <c r="D194" s="117">
        <f>+[2]Mans!$H194</f>
        <v>0</v>
      </c>
      <c r="E194" s="160">
        <f>IF(ISNA(VLOOKUP("CST772000000",Balanceanp!C:G,5,FALSE))=TRUE,0,-VLOOKUP("CST772000000",Balanceanp!C:G,5,FALSE))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s="443"/>
    </row>
    <row r="195" spans="1:12">
      <c r="A195" s="5" t="s">
        <v>186</v>
      </c>
      <c r="B195" s="92"/>
      <c r="C195" s="160">
        <f>IF(ISNA(VLOOKUP("CST775100000",Balance!C:G,5,FALSE))=TRUE,0,-VLOOKUP("CST775100000",Balance!C:G,5,FALSE))</f>
        <v>0</v>
      </c>
      <c r="D195" s="117">
        <f>+[2]Mans!$H195</f>
        <v>0</v>
      </c>
      <c r="E195" s="160">
        <f>IF(ISNA(VLOOKUP("CST775100000",Balanceanp!C:G,5,FALSE))=TRUE,0,-VLOOKUP("CST775100000",Balanceanp!C:G,5,FALSE))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s="443"/>
    </row>
    <row r="196" spans="1:12">
      <c r="A196" s="5" t="s">
        <v>187</v>
      </c>
      <c r="B196" s="92"/>
      <c r="C196" s="160">
        <f>IF(ISNA(VLOOKUP("CST775200000",Balance!C:G,5,FALSE))=TRUE,0,-VLOOKUP("CST775200000",Balance!C:G,5,FALSE))</f>
        <v>0</v>
      </c>
      <c r="D196" s="117">
        <f>+[2]Mans!$H196</f>
        <v>0</v>
      </c>
      <c r="E196" s="160">
        <f>IF(ISNA(VLOOKUP("CST775200000",Balanceanp!C:G,5,FALSE))=TRUE,0,-VLOOKUP("CST775200000",Balanceanp!C:G,5,FALSE))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s="443"/>
    </row>
    <row r="197" spans="1:12">
      <c r="A197" s="5" t="s">
        <v>328</v>
      </c>
      <c r="B197" s="92"/>
      <c r="C197" s="160">
        <f>IF(ISNA(VLOOKUP("CST791000000",Balance!C:G,5,FALSE))=TRUE,0,-VLOOKUP("CST791000000",Balance!C:G,5,FALSE))</f>
        <v>0</v>
      </c>
      <c r="D197" s="117">
        <f>+[2]Mans!$H197</f>
        <v>0</v>
      </c>
      <c r="E197" s="160">
        <f>IF(ISNA(VLOOKUP("CST791000000",Balanceanp!C:G,5,FALSE))=TRUE,0,-VLOOKUP("CST791000000",Balanceanp!C:G,5,FALSE))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s="443"/>
    </row>
    <row r="198" spans="1:12">
      <c r="A198" s="5" t="s">
        <v>344</v>
      </c>
      <c r="B198" s="92"/>
      <c r="C198" s="160">
        <f>IF(ISNA(VLOOKUP("CST781500000",Balance!C:G,5,FALSE))=TRUE,0,-VLOOKUP("CST781500000",Balance!C:G,5,FALSE))</f>
        <v>0</v>
      </c>
      <c r="D198" s="117">
        <f>+[2]Mans!$H198</f>
        <v>0</v>
      </c>
      <c r="E198" s="160">
        <f>IF(ISNA(VLOOKUP("CST781500000",Balanceanp!C:G,5,FALSE))=TRUE,0,-VLOOKUP("CST781500000",Balanceanp!C:G,5,FALSE))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s="443"/>
    </row>
    <row r="199" spans="1:12">
      <c r="A199" s="5" t="s">
        <v>77</v>
      </c>
      <c r="B199" s="92"/>
      <c r="C199" s="160">
        <f>IF(ISNA(VLOOKUP("CST787250000",Balance!C:G,5,FALSE))=TRUE,0,-VLOOKUP("CST787250000",Balance!C:G,5,FALSE))</f>
        <v>0</v>
      </c>
      <c r="D199" s="117">
        <f>+[2]Mans!$H199</f>
        <v>0</v>
      </c>
      <c r="E199" s="160">
        <f>IF(ISNA(VLOOKUP("CST787250000",Balanceanp!C:G,5,FALSE))=TRUE,0,-VLOOKUP("CST787250000",Balanceanp!C:G,5,FALSE))</f>
        <v>24.54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s="443"/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444"/>
    </row>
    <row r="201" spans="1:12" s="33" customFormat="1" ht="15" customHeight="1">
      <c r="A201" s="13" t="s">
        <v>188</v>
      </c>
      <c r="B201" s="93"/>
      <c r="C201" s="163">
        <f>SUM(C186:C200)</f>
        <v>305.36</v>
      </c>
      <c r="D201" s="118">
        <f>SUM(D186:D200)</f>
        <v>0</v>
      </c>
      <c r="E201" s="163">
        <f>SUM(E186:E200)</f>
        <v>693.43999999999994</v>
      </c>
      <c r="F201" s="136">
        <f>SUM(F186:F200)</f>
        <v>407.14666666666665</v>
      </c>
      <c r="G201" s="136">
        <f>SUM(G186:G200)</f>
        <v>0</v>
      </c>
      <c r="H201" s="421"/>
      <c r="I201" s="272">
        <f>+IF((E201)=0,,(F201-E201)/E201)</f>
        <v>-0.41285956006768187</v>
      </c>
      <c r="J201" s="188">
        <f>+IF((F201)=0,,(G201-F201)/F201)</f>
        <v>-1</v>
      </c>
      <c r="L201" s="445"/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444"/>
    </row>
    <row r="203" spans="1:12" s="33" customFormat="1" ht="15" customHeight="1">
      <c r="A203" s="14" t="s">
        <v>189</v>
      </c>
      <c r="B203" s="99">
        <f>+C203/$C$21</f>
        <v>0.40127290420898121</v>
      </c>
      <c r="C203" s="175">
        <f>+C103+C116+C129+C154+C168+C185-C201</f>
        <v>241431.89</v>
      </c>
      <c r="D203" s="126">
        <f>+D103+D116+D129+D154+D168+D185-D201</f>
        <v>289862.41708720633</v>
      </c>
      <c r="E203" s="175">
        <f>+E103+E116+E129+E154+E168+E185-E201</f>
        <v>260126.34199999998</v>
      </c>
      <c r="F203" s="145">
        <f>+F103+F116+F129+F154+F168+F185-F201</f>
        <v>312494.21999999997</v>
      </c>
      <c r="G203" s="145">
        <f>+G103+G116+G129+G154+G168+G185-G201</f>
        <v>300761.32729159622</v>
      </c>
      <c r="H203" s="422">
        <f>+G203/$G$21</f>
        <v>0.33057960792657309</v>
      </c>
      <c r="I203" s="281">
        <f>+IF((E203)=0,,(F203-E203)/E203)</f>
        <v>0.20131708921659308</v>
      </c>
      <c r="J203" s="282">
        <f>+IF((F203)=0,,(G203-F203)/F203)</f>
        <v>-3.754595111680388E-2</v>
      </c>
      <c r="L203" s="451"/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444"/>
    </row>
    <row r="205" spans="1:12" s="33" customFormat="1" ht="15" customHeight="1">
      <c r="A205" s="12" t="s">
        <v>228</v>
      </c>
      <c r="B205" s="100">
        <f>+C205/$C$21</f>
        <v>1.4413067722212953E-2</v>
      </c>
      <c r="C205" s="177">
        <f>+C62-C203</f>
        <v>8671.8393999999971</v>
      </c>
      <c r="D205" s="127">
        <f>+D62-D203</f>
        <v>42676.782912793686</v>
      </c>
      <c r="E205" s="177">
        <f>+E53-E203</f>
        <v>62026.096099999937</v>
      </c>
      <c r="F205" s="146">
        <f>+F62-F203</f>
        <v>30978.630000000005</v>
      </c>
      <c r="G205" s="146">
        <f>+G62-G203</f>
        <v>77784.672708403785</v>
      </c>
      <c r="H205" s="406">
        <f>+G205/$G$21</f>
        <v>8.5496452746102208E-2</v>
      </c>
      <c r="I205" s="226">
        <f>+IF((E205)=0,,(F205-E205)/E205)</f>
        <v>-0.5005548962801798</v>
      </c>
      <c r="J205" s="283">
        <f>+IF((F205)=0,,(G205-F205)/F205)</f>
        <v>1.5109139012410739</v>
      </c>
      <c r="L205" s="452"/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444"/>
    </row>
    <row r="207" spans="1:12" ht="15" customHeight="1">
      <c r="A207" s="63" t="s">
        <v>251</v>
      </c>
      <c r="B207" s="101">
        <f>+C207/$C$21</f>
        <v>1.2775633136764107E-2</v>
      </c>
      <c r="C207" s="179">
        <f>+[2]Mans!$C207</f>
        <v>7686.6522055254964</v>
      </c>
      <c r="D207" s="128">
        <f>+[2]Mans!$H207</f>
        <v>4770.1865017390955</v>
      </c>
      <c r="E207" s="284">
        <f>+[1]Mans!$G$207</f>
        <v>12439.862243398926</v>
      </c>
      <c r="F207" s="150">
        <f>+Repart!K16+IF(ISNA(VLOOKUP("CST661160000",Balance!C:G,5,FALSE))=TRUE,0,VLOOKUP("CST661160000",Balance!C:G,5,FALSE))</f>
        <v>8309.8766522284204</v>
      </c>
      <c r="G207" s="150">
        <f>+Repart!Q16</f>
        <v>3443.7774036106134</v>
      </c>
      <c r="H207" s="423">
        <f>+G207/$G$21</f>
        <v>3.785202685876691E-3</v>
      </c>
      <c r="I207" s="281">
        <f>+IF((E207)=0,,(F207-E207)/E207)</f>
        <v>-0.33199608728481189</v>
      </c>
      <c r="J207" s="282">
        <f>+IF((F207)=0,,(G207-F207)/F207)</f>
        <v>-0.58558020200130034</v>
      </c>
      <c r="L207" s="453"/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444"/>
    </row>
    <row r="209" spans="1:13" s="33" customFormat="1" ht="15" customHeight="1">
      <c r="A209" s="12" t="s">
        <v>190</v>
      </c>
      <c r="B209" s="100">
        <f>+C209/$C$21</f>
        <v>1.6374345854488455E-3</v>
      </c>
      <c r="C209" s="177">
        <f>+C205-C207</f>
        <v>985.18719447450076</v>
      </c>
      <c r="D209" s="127">
        <f>+D205-D207</f>
        <v>37906.59641105459</v>
      </c>
      <c r="E209" s="177">
        <f>+E205-E207</f>
        <v>49586.233856601015</v>
      </c>
      <c r="F209" s="146">
        <f>+F205-F207</f>
        <v>22668.753347771584</v>
      </c>
      <c r="G209" s="146">
        <f>+G205-G207</f>
        <v>74340.895304793172</v>
      </c>
      <c r="H209" s="406">
        <f>+G209/$G$21</f>
        <v>8.1711250060225518E-2</v>
      </c>
      <c r="I209" s="226">
        <f>+IF((E209)=0,,(F209-E209)/E209)</f>
        <v>-0.54284180134898719</v>
      </c>
      <c r="J209" s="283">
        <f>+IF((F209)=0,,(G209-F209)/F209)</f>
        <v>2.2794434772965197</v>
      </c>
      <c r="L209" s="452"/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444"/>
    </row>
    <row r="211" spans="1:13">
      <c r="A211" s="5" t="s">
        <v>191</v>
      </c>
      <c r="B211" s="92">
        <f>+C211/$C$21</f>
        <v>1.0861628412888982E-2</v>
      </c>
      <c r="C211" s="160">
        <f>+[2]Mans!$C211</f>
        <v>6535.0624193548392</v>
      </c>
      <c r="D211" s="117">
        <f>+[2]Mans!$H211</f>
        <v>9026.0372215405096</v>
      </c>
      <c r="E211" s="160">
        <f>+[1]Mans!$G211</f>
        <v>8095.0860719999991</v>
      </c>
      <c r="F211" s="368">
        <f>+Repart!I16</f>
        <v>8997.9607634408567</v>
      </c>
      <c r="G211" s="368">
        <f>+Repart!O16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L211" s="443"/>
    </row>
    <row r="212" spans="1:13">
      <c r="A212" s="5" t="s">
        <v>192</v>
      </c>
      <c r="B212" s="92">
        <f>+C212/$C$21</f>
        <v>3.8549170291196415E-2</v>
      </c>
      <c r="C212" s="160">
        <f>+[2]Mans!$C212</f>
        <v>23193.689241694614</v>
      </c>
      <c r="D212" s="117">
        <f>+[2]Mans!$H212</f>
        <v>30214.653276061177</v>
      </c>
      <c r="E212" s="160">
        <f>+[1]Mans!$G212</f>
        <v>27470.199947942507</v>
      </c>
      <c r="F212" s="368">
        <f>+Repart!J16</f>
        <v>33647.659432415981</v>
      </c>
      <c r="G212" s="368">
        <f>+Repart!P16</f>
        <v>37104.09232685859</v>
      </c>
      <c r="H212" s="410"/>
      <c r="I212" s="149">
        <f t="shared" si="20"/>
        <v>0.22487857737403039</v>
      </c>
      <c r="J212" s="271">
        <f t="shared" si="20"/>
        <v>0.10272431880098915</v>
      </c>
      <c r="L212" s="443"/>
    </row>
    <row r="213" spans="1:13">
      <c r="A213" s="5" t="s">
        <v>193</v>
      </c>
      <c r="B213" s="92"/>
      <c r="C213" s="160">
        <f>+[2]Mans!$C213</f>
        <v>-5085.5200000000004</v>
      </c>
      <c r="D213" s="117">
        <f>+[2]Mans!$H213</f>
        <v>-5600</v>
      </c>
      <c r="E213" s="160">
        <f>+[1]Mans!$G213</f>
        <v>-5018.84</v>
      </c>
      <c r="F213" s="368">
        <f>+C213+C213/9*(12-Clients!$I$14)</f>
        <v>-6780.6933333333336</v>
      </c>
      <c r="G213" s="368">
        <f>+G253*-4%</f>
        <v>-5600</v>
      </c>
      <c r="H213" s="410"/>
      <c r="I213" s="149">
        <f t="shared" si="20"/>
        <v>0.3510479181112236</v>
      </c>
      <c r="J213" s="271">
        <f t="shared" si="20"/>
        <v>-0.17412575311865849</v>
      </c>
      <c r="L213" s="443"/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444"/>
    </row>
    <row r="215" spans="1:13" s="33" customFormat="1" ht="15" customHeight="1">
      <c r="A215" s="20" t="s">
        <v>194</v>
      </c>
      <c r="B215" s="103">
        <f>+C215/$C$21</f>
        <v>4.0958388461955174E-2</v>
      </c>
      <c r="C215" s="180">
        <f>SUM(C210:C213)</f>
        <v>24643.231661049453</v>
      </c>
      <c r="D215" s="129">
        <f>SUM(D210:D213)</f>
        <v>33640.690497601689</v>
      </c>
      <c r="E215" s="180">
        <f>SUM(E210:E213)</f>
        <v>30546.446019942505</v>
      </c>
      <c r="F215" s="148">
        <f>SUM(F210:F213)</f>
        <v>35864.926862523505</v>
      </c>
      <c r="G215" s="148">
        <f>SUM(G210:G213)</f>
        <v>41148.777006169068</v>
      </c>
      <c r="H215" s="424">
        <f>+G215/$G$21</f>
        <v>4.522837657305899E-2</v>
      </c>
      <c r="I215" s="281">
        <f>+IF((E215)=0,,(F215-E215)/E215)</f>
        <v>0.17411128087073649</v>
      </c>
      <c r="J215" s="282">
        <f>+IF((F215)=0,,(G215-F215)/F215)</f>
        <v>0.14732638836542114</v>
      </c>
      <c r="L215" s="446"/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444"/>
    </row>
    <row r="217" spans="1:13" s="33" customFormat="1" ht="20.100000000000001" customHeight="1">
      <c r="A217" s="12" t="s">
        <v>86</v>
      </c>
      <c r="B217" s="100">
        <f>+C217/$C$21</f>
        <v>-3.9320953876506325E-2</v>
      </c>
      <c r="C217" s="177">
        <f>+C209-C215</f>
        <v>-23658.044466574953</v>
      </c>
      <c r="D217" s="127">
        <f>+D209-D215</f>
        <v>4265.9059134529016</v>
      </c>
      <c r="E217" s="177">
        <f>+E209-E215</f>
        <v>19039.78783665851</v>
      </c>
      <c r="F217" s="146">
        <f>+F209-F215</f>
        <v>-13196.173514751921</v>
      </c>
      <c r="G217" s="146">
        <f>+G209-G215</f>
        <v>33192.118298624104</v>
      </c>
      <c r="H217" s="406">
        <f>+G217/$G$21</f>
        <v>3.6482873487166521E-2</v>
      </c>
      <c r="I217" s="226">
        <f>+IF((E217)=0,,(F217-E217)/E217)</f>
        <v>-1.6930840631188386</v>
      </c>
      <c r="J217" s="283">
        <f>+IF((F217)=0,,(G217-F217)/F217)</f>
        <v>-3.5152835601561954</v>
      </c>
      <c r="L217" s="452"/>
    </row>
    <row r="218" spans="1:13">
      <c r="A218" s="2" t="s">
        <v>43</v>
      </c>
      <c r="C218" s="17">
        <f>+C225-C226-C215-C207-C53+C62-C38+C213+IF(ISNA(VLOOKUP("CST661160000",Balance!C:G,5,FALSE))=TRUE,0,VLOOKUP("CST661160000",Balance!C:G,5,FALSE))</f>
        <v>-23658.044466575142</v>
      </c>
      <c r="D218" s="117">
        <f>+[2]Mans!$H$217</f>
        <v>4265.9059134529016</v>
      </c>
      <c r="E218" s="17">
        <f>+[1]Mans!$G$217</f>
        <v>19039.78783665851</v>
      </c>
      <c r="F218" s="87"/>
      <c r="G218" s="398"/>
      <c r="H218" s="414"/>
      <c r="L218" s="443"/>
      <c r="M218" s="443"/>
    </row>
    <row r="219" spans="1:13">
      <c r="A219" s="2" t="s">
        <v>346</v>
      </c>
      <c r="B219" s="58">
        <f>+Clients!K13</f>
        <v>270</v>
      </c>
      <c r="C219" s="17">
        <f>+B219/C44*C57</f>
        <v>95.853757918801108</v>
      </c>
    </row>
    <row r="220" spans="1:13">
      <c r="A220" s="2" t="s">
        <v>354</v>
      </c>
      <c r="B220" s="58">
        <f>+Clients!K13</f>
        <v>270</v>
      </c>
      <c r="C220" s="17">
        <f>+B220/(C21*1.196)*Clients!K43</f>
        <v>64.209039014309496</v>
      </c>
    </row>
    <row r="222" spans="1:13">
      <c r="A222" s="264" t="s">
        <v>67</v>
      </c>
      <c r="B222" s="265"/>
      <c r="C222" s="265">
        <f>+(C215+C207+C203)/C60/Clients!$I$13*12</f>
        <v>869084.99640182534</v>
      </c>
      <c r="D222" s="265">
        <f>+(D215+D207+D203)/D60</f>
        <v>781603.08115844557</v>
      </c>
      <c r="E222" s="265">
        <f>+(E215+E207+E203)/E60/Clients!$I$13*12</f>
        <v>1010375.5008778046</v>
      </c>
      <c r="F222" s="265">
        <f>+(F215+F207+F203)/F60</f>
        <v>849211.96074940939</v>
      </c>
      <c r="G222" s="265">
        <f>+(G215+G207+G203)/G60</f>
        <v>822271.14690803783</v>
      </c>
      <c r="H222" s="265"/>
      <c r="I222" s="265"/>
      <c r="J222" s="265"/>
    </row>
    <row r="223" spans="1:13">
      <c r="A223" s="264" t="s">
        <v>66</v>
      </c>
      <c r="B223" s="265"/>
      <c r="C223" s="265">
        <f>+(C215+C207+C203)/C60/Clients!$I$13</f>
        <v>72423.749700152111</v>
      </c>
      <c r="D223" s="265">
        <f>+(D215+D207+D203)/D60/12</f>
        <v>65133.590096537133</v>
      </c>
      <c r="E223" s="265">
        <f>+(E215+E207+E203)/E60/Clients!$I$13</f>
        <v>84197.958406483711</v>
      </c>
      <c r="F223" s="265">
        <f>+(F215+F207+F203)/F60/9</f>
        <v>94356.884527712158</v>
      </c>
      <c r="G223" s="265">
        <f>+(G215+G207+G203)/G60/12</f>
        <v>68522.595575669824</v>
      </c>
      <c r="H223" s="265"/>
      <c r="I223" s="265"/>
      <c r="J223" s="265"/>
    </row>
    <row r="224" spans="1:13">
      <c r="B224" s="17"/>
      <c r="D224" s="17"/>
      <c r="E224" s="17"/>
      <c r="F224" s="17"/>
      <c r="G224" s="17"/>
      <c r="H224" s="17"/>
      <c r="I224" s="17"/>
      <c r="J224" s="17"/>
    </row>
    <row r="225" spans="1:12">
      <c r="A225" s="2" t="s">
        <v>215</v>
      </c>
      <c r="C225" s="17">
        <f>+C51-C40-C157-C166+C201-C164-C159-C137</f>
        <v>598284.5</v>
      </c>
      <c r="D225" s="17"/>
    </row>
    <row r="226" spans="1:12">
      <c r="A226" s="2" t="s">
        <v>216</v>
      </c>
      <c r="C226" s="17">
        <f>+C44-C38-C40+C103+C116+C129+C154+C156+C158+C160+C161+C162+C163+C165+C185+C213-C137+C207-[2]Repart!$E$16</f>
        <v>624196.88000000012</v>
      </c>
      <c r="D226" s="17"/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</row>
    <row r="229" spans="1:12" ht="20.25" customHeight="1">
      <c r="A229" s="7" t="str">
        <f>+A4</f>
        <v>LE MANS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</row>
    <row r="231" spans="1:12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</row>
    <row r="233" spans="1:12" s="33" customFormat="1" ht="15" customHeight="1">
      <c r="A233" s="245" t="s">
        <v>223</v>
      </c>
      <c r="B233" s="363"/>
      <c r="C233" s="175">
        <f t="shared" ref="C233:J233" si="21">+C51</f>
        <v>595485.07000000007</v>
      </c>
      <c r="D233" s="176">
        <f t="shared" si="21"/>
        <v>791760</v>
      </c>
      <c r="E233" s="175">
        <f t="shared" si="21"/>
        <v>765965.89999999991</v>
      </c>
      <c r="F233" s="206">
        <f t="shared" si="21"/>
        <v>817792.5</v>
      </c>
      <c r="G233" s="206">
        <f t="shared" si="21"/>
        <v>901300</v>
      </c>
      <c r="H233" s="313"/>
      <c r="I233" s="281">
        <f>+I51</f>
        <v>6.7661758832867236E-2</v>
      </c>
      <c r="J233" s="192">
        <f t="shared" si="21"/>
        <v>0.1021133111394394</v>
      </c>
      <c r="K233" s="58"/>
      <c r="L233" s="298"/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</row>
    <row r="235" spans="1:12" s="33" customFormat="1" ht="15" customHeight="1">
      <c r="A235" s="246" t="s">
        <v>295</v>
      </c>
      <c r="B235" s="364"/>
      <c r="C235" s="197">
        <f>+C60</f>
        <v>0.42</v>
      </c>
      <c r="D235" s="191">
        <f>+D60</f>
        <v>0.42</v>
      </c>
      <c r="E235" s="197">
        <f>+E60</f>
        <v>0.4</v>
      </c>
      <c r="F235" s="224">
        <f>+F60</f>
        <v>0.42</v>
      </c>
      <c r="G235" s="224">
        <f>+G60</f>
        <v>0.42</v>
      </c>
      <c r="H235" s="15"/>
      <c r="I235" s="224"/>
      <c r="J235" s="191"/>
      <c r="L235" s="298"/>
    </row>
    <row r="236" spans="1:12" s="33" customFormat="1" ht="15" customHeight="1">
      <c r="A236" s="246" t="s">
        <v>296</v>
      </c>
      <c r="B236" s="364"/>
      <c r="C236" s="169">
        <f>+C62</f>
        <v>250103.72940000001</v>
      </c>
      <c r="D236" s="170">
        <f>+D62</f>
        <v>332539.2</v>
      </c>
      <c r="E236" s="169">
        <f>+E62</f>
        <v>306386.36</v>
      </c>
      <c r="F236" s="223">
        <f>+F62</f>
        <v>343472.85</v>
      </c>
      <c r="G236" s="223">
        <f>+G62</f>
        <v>378546</v>
      </c>
      <c r="H236" s="309"/>
      <c r="I236" s="226">
        <f>+IF((E236)=0,,(F236-E236)/E236)</f>
        <v>0.12104484677451044</v>
      </c>
      <c r="J236" s="283">
        <f>+IF((F236)=0,,(G236-F236)/F236)</f>
        <v>0.10211331113943949</v>
      </c>
      <c r="L236" s="298"/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442"/>
    </row>
    <row r="238" spans="1:12" s="298" customFormat="1" ht="15" customHeight="1">
      <c r="A238" s="292" t="s">
        <v>122</v>
      </c>
      <c r="B238" s="365"/>
      <c r="C238" s="293">
        <f>+C103</f>
        <v>68869.52</v>
      </c>
      <c r="D238" s="294">
        <f>+D103</f>
        <v>91606.653379333351</v>
      </c>
      <c r="E238" s="293">
        <f>+E103</f>
        <v>89454.71</v>
      </c>
      <c r="F238" s="295">
        <f>+F103</f>
        <v>90263.333333333328</v>
      </c>
      <c r="G238" s="295">
        <f>+G103</f>
        <v>91457.683830173555</v>
      </c>
      <c r="H238" s="388"/>
      <c r="I238" s="415">
        <f t="shared" ref="I238:J243" si="22">+IF((E238)=0,,(F238-E238)/E238)</f>
        <v>9.0394718549008986E-3</v>
      </c>
      <c r="J238" s="297">
        <f t="shared" si="22"/>
        <v>1.3231845675692161E-2</v>
      </c>
    </row>
    <row r="239" spans="1:12" s="298" customFormat="1" ht="15" customHeight="1">
      <c r="A239" s="292" t="s">
        <v>133</v>
      </c>
      <c r="B239" s="365"/>
      <c r="C239" s="293">
        <f>+C116</f>
        <v>31503.25</v>
      </c>
      <c r="D239" s="294">
        <f>+D116</f>
        <v>15350</v>
      </c>
      <c r="E239" s="293">
        <f>+E116</f>
        <v>10401.189999999999</v>
      </c>
      <c r="F239" s="295">
        <f>+F116</f>
        <v>38111.049999999996</v>
      </c>
      <c r="G239" s="295">
        <f>+G116</f>
        <v>16600</v>
      </c>
      <c r="H239" s="388"/>
      <c r="I239" s="415">
        <f t="shared" si="22"/>
        <v>2.6641047803184059</v>
      </c>
      <c r="J239" s="297">
        <f t="shared" si="22"/>
        <v>-0.56443078844587069</v>
      </c>
    </row>
    <row r="240" spans="1:12" s="298" customFormat="1" ht="15" customHeight="1">
      <c r="A240" s="292" t="s">
        <v>147</v>
      </c>
      <c r="B240" s="365"/>
      <c r="C240" s="293">
        <f>+C129</f>
        <v>9246.4500000000007</v>
      </c>
      <c r="D240" s="294">
        <f>+D129</f>
        <v>8605.4150000000009</v>
      </c>
      <c r="E240" s="293">
        <f>+E129</f>
        <v>6465.43</v>
      </c>
      <c r="F240" s="295">
        <f>+F129</f>
        <v>8932.32</v>
      </c>
      <c r="G240" s="295">
        <f>+G129</f>
        <v>8890.0540000000001</v>
      </c>
      <c r="H240" s="388"/>
      <c r="I240" s="415">
        <f t="shared" si="22"/>
        <v>0.3815508017254845</v>
      </c>
      <c r="J240" s="297">
        <f t="shared" si="22"/>
        <v>-4.7318053988213166E-3</v>
      </c>
    </row>
    <row r="241" spans="1:12" s="298" customFormat="1" ht="15" customHeight="1">
      <c r="A241" s="292" t="s">
        <v>164</v>
      </c>
      <c r="B241" s="365"/>
      <c r="C241" s="293">
        <f>+C154</f>
        <v>113755.63</v>
      </c>
      <c r="D241" s="294">
        <f>+D154</f>
        <v>149530.55940787293</v>
      </c>
      <c r="E241" s="293">
        <f>+E154</f>
        <v>134825.84199999998</v>
      </c>
      <c r="F241" s="295">
        <f>+F154</f>
        <v>151674.17333333331</v>
      </c>
      <c r="G241" s="295">
        <f>+G154</f>
        <v>157115.812190756</v>
      </c>
      <c r="H241" s="388"/>
      <c r="I241" s="415">
        <f t="shared" si="22"/>
        <v>0.12496366485390344</v>
      </c>
      <c r="J241" s="297">
        <f t="shared" si="22"/>
        <v>3.5877161799086482E-2</v>
      </c>
    </row>
    <row r="242" spans="1:12" s="298" customFormat="1" ht="15" customHeight="1">
      <c r="A242" s="292" t="s">
        <v>74</v>
      </c>
      <c r="B242" s="365"/>
      <c r="C242" s="293">
        <f>+C168</f>
        <v>8537.369999999999</v>
      </c>
      <c r="D242" s="294">
        <f>+D168</f>
        <v>11577.099599999998</v>
      </c>
      <c r="E242" s="293">
        <f>+E168</f>
        <v>7018.49</v>
      </c>
      <c r="F242" s="295">
        <f>+F168</f>
        <v>11383.159999999998</v>
      </c>
      <c r="G242" s="295">
        <f>+G168</f>
        <v>13806.397270666668</v>
      </c>
      <c r="H242" s="388"/>
      <c r="I242" s="415">
        <f t="shared" si="22"/>
        <v>0.62188162980926076</v>
      </c>
      <c r="J242" s="297">
        <f t="shared" si="22"/>
        <v>0.212879136431946</v>
      </c>
    </row>
    <row r="243" spans="1:12" s="298" customFormat="1" ht="15" customHeight="1">
      <c r="A243" s="292" t="s">
        <v>369</v>
      </c>
      <c r="B243" s="365"/>
      <c r="C243" s="293">
        <f>+C185-C201</f>
        <v>9519.67</v>
      </c>
      <c r="D243" s="294">
        <f>+D185-D201</f>
        <v>13192.689700000001</v>
      </c>
      <c r="E243" s="293">
        <f>+E185-E201</f>
        <v>11960.68</v>
      </c>
      <c r="F243" s="295">
        <f>+F185-F201</f>
        <v>12130.183333333332</v>
      </c>
      <c r="G243" s="295">
        <f>+G185-G201</f>
        <v>12891.38</v>
      </c>
      <c r="H243" s="388"/>
      <c r="I243" s="415">
        <f t="shared" si="22"/>
        <v>1.4171713759864171E-2</v>
      </c>
      <c r="J243" s="297">
        <f t="shared" si="22"/>
        <v>6.2752280468418326E-2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442"/>
    </row>
    <row r="245" spans="1:12" s="33" customFormat="1" ht="15" customHeight="1">
      <c r="A245" s="245" t="s">
        <v>189</v>
      </c>
      <c r="B245" s="363"/>
      <c r="C245" s="299">
        <f>+C203</f>
        <v>241431.89</v>
      </c>
      <c r="D245" s="300">
        <f>+D203</f>
        <v>289862.41708720633</v>
      </c>
      <c r="E245" s="299">
        <f>+E203</f>
        <v>260126.34199999998</v>
      </c>
      <c r="F245" s="301">
        <f>+F203</f>
        <v>312494.21999999997</v>
      </c>
      <c r="G245" s="301">
        <f>+G203</f>
        <v>300761.32729159622</v>
      </c>
      <c r="H245" s="389"/>
      <c r="I245" s="281">
        <f>+I63</f>
        <v>0</v>
      </c>
      <c r="J245" s="192">
        <f>+J63</f>
        <v>0</v>
      </c>
      <c r="K245" s="58"/>
      <c r="L245" s="298"/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</row>
    <row r="247" spans="1:12" s="33" customFormat="1" ht="15" customHeight="1">
      <c r="A247" s="246" t="s">
        <v>228</v>
      </c>
      <c r="B247" s="366"/>
      <c r="C247" s="177">
        <f>+C205</f>
        <v>8671.8393999999971</v>
      </c>
      <c r="D247" s="178">
        <f>+D205</f>
        <v>42676.782912793686</v>
      </c>
      <c r="E247" s="177">
        <f>+E205</f>
        <v>62026.096099999937</v>
      </c>
      <c r="F247" s="228">
        <f>+F205</f>
        <v>30978.630000000005</v>
      </c>
      <c r="G247" s="228">
        <f>+G205</f>
        <v>77784.672708403785</v>
      </c>
      <c r="H247" s="314"/>
      <c r="I247" s="226">
        <f>+IF((E247)=0,,(F247-E247)/E247)</f>
        <v>-0.5005548962801798</v>
      </c>
      <c r="J247" s="283">
        <f>+IF((F247)=0,,(G247-F247)/F247)</f>
        <v>1.5109139012410739</v>
      </c>
      <c r="L247" s="298"/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</row>
    <row r="249" spans="1:12" s="33" customFormat="1" ht="15" customHeight="1">
      <c r="A249" s="247" t="s">
        <v>370</v>
      </c>
      <c r="B249" s="367"/>
      <c r="C249" s="180">
        <f>+C207+C215</f>
        <v>32329.88386657495</v>
      </c>
      <c r="D249" s="181">
        <f>+D207+D215</f>
        <v>38410.876999340784</v>
      </c>
      <c r="E249" s="180">
        <f>+E207+E215</f>
        <v>42986.308263341431</v>
      </c>
      <c r="F249" s="230">
        <f>+F207+F215</f>
        <v>44174.803514751926</v>
      </c>
      <c r="G249" s="230">
        <f>+G207+G215</f>
        <v>44592.554409779681</v>
      </c>
      <c r="H249" s="316"/>
      <c r="I249" s="281">
        <f>+I67</f>
        <v>-1.2259737077732711E-2</v>
      </c>
      <c r="J249" s="192">
        <f>+J67</f>
        <v>-0.1792275254257073</v>
      </c>
      <c r="L249" s="298"/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</row>
    <row r="251" spans="1:12" s="33" customFormat="1" ht="20.100000000000001" customHeight="1">
      <c r="A251" s="246" t="s">
        <v>86</v>
      </c>
      <c r="B251" s="366"/>
      <c r="C251" s="177">
        <f>+C217</f>
        <v>-23658.044466574953</v>
      </c>
      <c r="D251" s="178">
        <f>+D217</f>
        <v>4265.9059134529016</v>
      </c>
      <c r="E251" s="177">
        <f>+E217</f>
        <v>19039.78783665851</v>
      </c>
      <c r="F251" s="228">
        <f>+F217</f>
        <v>-13196.173514751921</v>
      </c>
      <c r="G251" s="228">
        <f>+G217</f>
        <v>33192.118298624104</v>
      </c>
      <c r="H251" s="314"/>
      <c r="I251" s="226">
        <f>+IF((E251)=0,,(F251-E251)/E251)</f>
        <v>-1.6930840631188386</v>
      </c>
      <c r="J251" s="283">
        <f>+IF((F251)=0,,(G251-F251)/F251)</f>
        <v>-3.5152835601561954</v>
      </c>
      <c r="L251" s="298"/>
    </row>
    <row r="252" spans="1:12">
      <c r="F252" s="2"/>
      <c r="G252" s="2"/>
      <c r="H252" s="5"/>
      <c r="I252" s="24"/>
    </row>
    <row r="253" spans="1:12" s="298" customFormat="1" ht="15" customHeight="1">
      <c r="A253" s="292" t="s">
        <v>95</v>
      </c>
      <c r="B253" s="365"/>
      <c r="C253" s="293">
        <f>+C28</f>
        <v>125291.01</v>
      </c>
      <c r="D253" s="294">
        <v>190000</v>
      </c>
      <c r="E253" s="293">
        <f>+E28</f>
        <v>126576.77</v>
      </c>
      <c r="F253" s="295"/>
      <c r="G253" s="399">
        <f>+G28</f>
        <v>140000</v>
      </c>
      <c r="H253" s="418"/>
      <c r="I253" s="415"/>
      <c r="J253" s="297"/>
    </row>
    <row r="254" spans="1:12" s="298" customFormat="1" ht="15" customHeight="1">
      <c r="A254" s="292" t="s">
        <v>371</v>
      </c>
      <c r="B254" s="365"/>
      <c r="C254" s="293">
        <f>+C222</f>
        <v>869084.99640182534</v>
      </c>
      <c r="D254" s="294">
        <f>+D222</f>
        <v>781603.08115844557</v>
      </c>
      <c r="E254" s="293">
        <f>+E222</f>
        <v>1010375.5008778046</v>
      </c>
      <c r="F254" s="295">
        <f>+F222</f>
        <v>849211.96074940939</v>
      </c>
      <c r="G254" s="295">
        <f>+G222</f>
        <v>822271.14690803783</v>
      </c>
      <c r="H254" s="388"/>
      <c r="I254" s="415"/>
      <c r="J254" s="297"/>
    </row>
    <row r="255" spans="1:12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399">
        <v>0</v>
      </c>
      <c r="H255" s="418"/>
      <c r="I255" s="415"/>
      <c r="J255" s="297"/>
    </row>
    <row r="256" spans="1:12">
      <c r="F256" s="2"/>
      <c r="G256" s="2"/>
      <c r="H256" s="2"/>
      <c r="I256" s="24"/>
    </row>
  </sheetData>
  <phoneticPr fontId="33" type="noConversion"/>
  <pageMargins left="0.39370078740157483" right="0.39370078740157483" top="0" bottom="0" header="0.51181102362204722" footer="0.51181102362204722"/>
  <pageSetup paperSize="9" scale="79" fitToHeight="2" orientation="landscape" horizontalDpi="4294967293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1:L256"/>
  <sheetViews>
    <sheetView topLeftCell="A232" workbookViewId="0">
      <selection activeCell="M1" sqref="M1"/>
    </sheetView>
  </sheetViews>
  <sheetFormatPr baseColWidth="10" defaultRowHeight="11.25"/>
  <cols>
    <col min="1" max="1" width="60" style="2" customWidth="1"/>
    <col min="2" max="2" width="8.8554687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42578125" style="442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>
      <c r="F2" s="58" t="s">
        <v>724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</row>
    <row r="4" spans="1:12" ht="20.25" customHeight="1">
      <c r="A4" s="7" t="s">
        <v>726</v>
      </c>
      <c r="B4" s="90" t="s">
        <v>226</v>
      </c>
      <c r="C4" s="559" t="s">
        <v>704</v>
      </c>
      <c r="D4" s="105" t="s">
        <v>197</v>
      </c>
      <c r="E4" s="260" t="s">
        <v>376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2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2">
      <c r="A8" s="5" t="s">
        <v>221</v>
      </c>
      <c r="B8" s="92"/>
      <c r="C8" s="160">
        <f>207750.63-1146.28</f>
        <v>206604.35</v>
      </c>
      <c r="D8" s="117">
        <f>+[3]Gatinais!$G8</f>
        <v>493312.60840000003</v>
      </c>
      <c r="E8" s="160"/>
      <c r="F8" s="396">
        <v>309000</v>
      </c>
      <c r="G8" s="570">
        <v>489700</v>
      </c>
      <c r="H8" s="401"/>
      <c r="I8" s="149">
        <f>+IF((E8)=0,,(F8-E8)/E8)</f>
        <v>0</v>
      </c>
      <c r="J8" s="271">
        <f>+IF((F8)=0,,(G8-F8)/F8)</f>
        <v>0.58478964401294498</v>
      </c>
      <c r="L8" s="443"/>
    </row>
    <row r="9" spans="1:12">
      <c r="A9" s="5" t="s">
        <v>422</v>
      </c>
      <c r="B9" s="92"/>
      <c r="C9" s="160"/>
      <c r="D9" s="117">
        <f>+[3]Gatinais!$G9</f>
        <v>0</v>
      </c>
      <c r="E9" s="160"/>
      <c r="F9" s="396">
        <f t="shared" ref="F9:F19" si="0">+C9+C9/9*3</f>
        <v>0</v>
      </c>
      <c r="G9" s="570">
        <f t="shared" ref="G9:G19" si="1">+F9/9*12*1.03</f>
        <v>0</v>
      </c>
      <c r="H9" s="401"/>
      <c r="I9" s="149">
        <f t="shared" ref="I9:J19" si="2">+IF((E9)=0,,(F9-E9)/E9)</f>
        <v>0</v>
      </c>
      <c r="J9" s="271">
        <f t="shared" si="2"/>
        <v>0</v>
      </c>
      <c r="L9" s="443"/>
    </row>
    <row r="10" spans="1:12">
      <c r="A10" s="5" t="s">
        <v>84</v>
      </c>
      <c r="B10" s="92"/>
      <c r="C10" s="160"/>
      <c r="D10" s="117">
        <f>+[3]Gatinais!$G10</f>
        <v>0</v>
      </c>
      <c r="E10" s="160"/>
      <c r="F10" s="396">
        <f t="shared" si="0"/>
        <v>0</v>
      </c>
      <c r="G10" s="570">
        <f t="shared" si="1"/>
        <v>0</v>
      </c>
      <c r="H10" s="401"/>
      <c r="I10" s="149">
        <f t="shared" si="2"/>
        <v>0</v>
      </c>
      <c r="J10" s="271">
        <f t="shared" si="2"/>
        <v>0</v>
      </c>
      <c r="L10" s="443"/>
    </row>
    <row r="11" spans="1:12">
      <c r="A11" s="5" t="s">
        <v>267</v>
      </c>
      <c r="B11" s="92"/>
      <c r="C11" s="160"/>
      <c r="D11" s="117">
        <f>+[3]Gatinais!$G11</f>
        <v>0</v>
      </c>
      <c r="E11" s="160"/>
      <c r="F11" s="396">
        <f t="shared" si="0"/>
        <v>0</v>
      </c>
      <c r="G11" s="570">
        <f t="shared" si="1"/>
        <v>0</v>
      </c>
      <c r="H11" s="401"/>
      <c r="I11" s="149">
        <f t="shared" si="2"/>
        <v>0</v>
      </c>
      <c r="J11" s="271">
        <f t="shared" si="2"/>
        <v>0</v>
      </c>
      <c r="L11" s="443"/>
    </row>
    <row r="12" spans="1:12">
      <c r="A12" s="5" t="s">
        <v>46</v>
      </c>
      <c r="B12" s="92"/>
      <c r="C12" s="160"/>
      <c r="D12" s="117">
        <f>+[3]Gatinais!$G12</f>
        <v>0</v>
      </c>
      <c r="E12" s="160"/>
      <c r="F12" s="396">
        <f t="shared" si="0"/>
        <v>0</v>
      </c>
      <c r="G12" s="570">
        <f t="shared" si="1"/>
        <v>0</v>
      </c>
      <c r="H12" s="401"/>
      <c r="I12" s="149">
        <f t="shared" si="2"/>
        <v>0</v>
      </c>
      <c r="J12" s="271">
        <f t="shared" si="2"/>
        <v>0</v>
      </c>
      <c r="L12" s="443"/>
    </row>
    <row r="13" spans="1:12">
      <c r="A13" s="5" t="s">
        <v>268</v>
      </c>
      <c r="B13" s="92"/>
      <c r="C13" s="160"/>
      <c r="D13" s="117">
        <f>+[3]Gatinais!$G13</f>
        <v>0</v>
      </c>
      <c r="E13" s="160"/>
      <c r="F13" s="396">
        <f t="shared" si="0"/>
        <v>0</v>
      </c>
      <c r="G13" s="570">
        <f t="shared" si="1"/>
        <v>0</v>
      </c>
      <c r="H13" s="401"/>
      <c r="I13" s="149">
        <f t="shared" si="2"/>
        <v>0</v>
      </c>
      <c r="J13" s="271">
        <f t="shared" si="2"/>
        <v>0</v>
      </c>
      <c r="L13" s="443"/>
    </row>
    <row r="14" spans="1:12">
      <c r="A14" s="5" t="s">
        <v>269</v>
      </c>
      <c r="B14" s="92"/>
      <c r="C14" s="160"/>
      <c r="D14" s="117">
        <f>+[3]Gatinais!$G14</f>
        <v>0</v>
      </c>
      <c r="E14" s="160"/>
      <c r="F14" s="396">
        <f t="shared" si="0"/>
        <v>0</v>
      </c>
      <c r="G14" s="570">
        <f t="shared" si="1"/>
        <v>0</v>
      </c>
      <c r="H14" s="401"/>
      <c r="I14" s="149">
        <f t="shared" si="2"/>
        <v>0</v>
      </c>
      <c r="J14" s="271">
        <f t="shared" si="2"/>
        <v>0</v>
      </c>
      <c r="L14" s="443"/>
    </row>
    <row r="15" spans="1:12">
      <c r="A15" s="5" t="s">
        <v>270</v>
      </c>
      <c r="B15" s="92"/>
      <c r="C15" s="160"/>
      <c r="D15" s="117">
        <f>+[3]Gatinais!$G15</f>
        <v>0</v>
      </c>
      <c r="E15" s="160"/>
      <c r="F15" s="396">
        <f t="shared" si="0"/>
        <v>0</v>
      </c>
      <c r="G15" s="570">
        <f t="shared" si="1"/>
        <v>0</v>
      </c>
      <c r="H15" s="401"/>
      <c r="I15" s="149">
        <f t="shared" si="2"/>
        <v>0</v>
      </c>
      <c r="J15" s="271">
        <f t="shared" si="2"/>
        <v>0</v>
      </c>
      <c r="L15" s="443"/>
    </row>
    <row r="16" spans="1:12">
      <c r="A16" s="5" t="s">
        <v>85</v>
      </c>
      <c r="B16" s="92"/>
      <c r="C16" s="160"/>
      <c r="D16" s="117">
        <f>+[3]Gatinais!$G16</f>
        <v>0</v>
      </c>
      <c r="E16" s="160"/>
      <c r="F16" s="396">
        <f t="shared" si="0"/>
        <v>0</v>
      </c>
      <c r="G16" s="570">
        <f t="shared" si="1"/>
        <v>0</v>
      </c>
      <c r="H16" s="401"/>
      <c r="I16" s="149">
        <f t="shared" si="2"/>
        <v>0</v>
      </c>
      <c r="J16" s="271">
        <f t="shared" si="2"/>
        <v>0</v>
      </c>
      <c r="L16" s="443"/>
    </row>
    <row r="17" spans="1:12">
      <c r="A17" s="5" t="s">
        <v>88</v>
      </c>
      <c r="B17" s="92"/>
      <c r="C17" s="160"/>
      <c r="D17" s="117">
        <f>+[3]Gatinais!$G17</f>
        <v>0</v>
      </c>
      <c r="E17" s="160"/>
      <c r="F17" s="396">
        <f t="shared" si="0"/>
        <v>0</v>
      </c>
      <c r="G17" s="570">
        <f t="shared" si="1"/>
        <v>0</v>
      </c>
      <c r="H17" s="401"/>
      <c r="I17" s="149">
        <f t="shared" si="2"/>
        <v>0</v>
      </c>
      <c r="J17" s="271">
        <f t="shared" si="2"/>
        <v>0</v>
      </c>
      <c r="L17" s="443"/>
    </row>
    <row r="18" spans="1:12">
      <c r="A18" s="5" t="s">
        <v>89</v>
      </c>
      <c r="B18" s="92"/>
      <c r="C18" s="160"/>
      <c r="D18" s="117">
        <f>+[3]Gatinais!$G18</f>
        <v>0</v>
      </c>
      <c r="E18" s="160"/>
      <c r="F18" s="396">
        <f t="shared" si="0"/>
        <v>0</v>
      </c>
      <c r="G18" s="570">
        <f t="shared" si="1"/>
        <v>0</v>
      </c>
      <c r="H18" s="401"/>
      <c r="I18" s="149">
        <f t="shared" si="2"/>
        <v>0</v>
      </c>
      <c r="J18" s="271">
        <f t="shared" si="2"/>
        <v>0</v>
      </c>
      <c r="L18" s="443"/>
    </row>
    <row r="19" spans="1:12">
      <c r="A19" s="5" t="s">
        <v>90</v>
      </c>
      <c r="B19" s="92"/>
      <c r="C19" s="160"/>
      <c r="D19" s="117">
        <f>+[3]Gatinais!$G19</f>
        <v>0</v>
      </c>
      <c r="E19" s="160"/>
      <c r="F19" s="396">
        <f t="shared" si="0"/>
        <v>0</v>
      </c>
      <c r="G19" s="570">
        <f t="shared" si="1"/>
        <v>0</v>
      </c>
      <c r="H19" s="401"/>
      <c r="I19" s="149">
        <f t="shared" si="2"/>
        <v>0</v>
      </c>
      <c r="J19" s="271">
        <f t="shared" si="2"/>
        <v>0</v>
      </c>
      <c r="L19" s="443"/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444"/>
    </row>
    <row r="21" spans="1:12" s="33" customFormat="1" ht="15" customHeight="1">
      <c r="A21" s="13" t="s">
        <v>222</v>
      </c>
      <c r="B21" s="93"/>
      <c r="C21" s="163">
        <f>SUM(C7:C20)</f>
        <v>206604.35</v>
      </c>
      <c r="D21" s="118">
        <f>SUM(D7:D20)</f>
        <v>493312.60840000003</v>
      </c>
      <c r="E21" s="163">
        <f>SUM(E7:E20)</f>
        <v>0</v>
      </c>
      <c r="F21" s="136">
        <f>SUM(F7:F20)</f>
        <v>309000</v>
      </c>
      <c r="G21" s="136">
        <f>SUM(G7:G20)</f>
        <v>489700</v>
      </c>
      <c r="H21" s="312"/>
      <c r="I21" s="272">
        <f>+IF((E21)=0,,(F21-E21)/E21)</f>
        <v>0</v>
      </c>
      <c r="J21" s="188">
        <f>+IF((F21)=0,,(G21-F21)/F21)</f>
        <v>0.58478964401294498</v>
      </c>
      <c r="L21" s="445"/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444"/>
    </row>
    <row r="23" spans="1:12">
      <c r="A23" s="5" t="s">
        <v>92</v>
      </c>
      <c r="B23" s="92"/>
      <c r="C23" s="160"/>
      <c r="D23" s="115"/>
      <c r="E23" s="160"/>
      <c r="F23" s="134"/>
      <c r="G23" s="134"/>
      <c r="H23" s="400"/>
      <c r="I23" s="149">
        <f>+IF((E23)=0,,(F23-E23)/E23)</f>
        <v>0</v>
      </c>
      <c r="J23" s="271">
        <f>+IF((F23)=0,,(G23-F23)/F23)</f>
        <v>0</v>
      </c>
      <c r="L23" s="444"/>
    </row>
    <row r="24" spans="1:12">
      <c r="A24" s="5" t="s">
        <v>93</v>
      </c>
      <c r="B24" s="92"/>
      <c r="C24" s="160">
        <f>125087.05-1644.88</f>
        <v>123442.17</v>
      </c>
      <c r="D24" s="115"/>
      <c r="E24" s="160"/>
      <c r="F24" s="395"/>
      <c r="G24" s="558"/>
      <c r="H24" s="400"/>
      <c r="I24" s="149">
        <f t="shared" ref="I24:I29" si="3">+IF((E24)=0,,(F24-E24)/E24)</f>
        <v>0</v>
      </c>
      <c r="J24" s="271">
        <f t="shared" ref="J24:J29" si="4">+IF((F24)=0,,(G24-F24)/F24)</f>
        <v>0</v>
      </c>
      <c r="L24" s="444"/>
    </row>
    <row r="25" spans="1:12">
      <c r="A25" s="5" t="s">
        <v>94</v>
      </c>
      <c r="B25" s="92"/>
      <c r="C25" s="160"/>
      <c r="D25" s="115"/>
      <c r="E25" s="160"/>
      <c r="F25" s="558"/>
      <c r="G25" s="558"/>
      <c r="H25" s="400"/>
      <c r="I25" s="149">
        <f t="shared" si="3"/>
        <v>0</v>
      </c>
      <c r="J25" s="271">
        <f t="shared" si="4"/>
        <v>0</v>
      </c>
      <c r="L25" s="444"/>
    </row>
    <row r="26" spans="1:12">
      <c r="A26" s="5" t="s">
        <v>288</v>
      </c>
      <c r="B26" s="92"/>
      <c r="C26" s="160"/>
      <c r="D26" s="115"/>
      <c r="E26" s="160"/>
      <c r="F26" s="558"/>
      <c r="G26" s="558"/>
      <c r="H26" s="400"/>
      <c r="I26" s="149">
        <f t="shared" si="3"/>
        <v>0</v>
      </c>
      <c r="J26" s="271">
        <f t="shared" si="4"/>
        <v>0</v>
      </c>
      <c r="L26" s="444"/>
    </row>
    <row r="27" spans="1:12">
      <c r="A27" s="5" t="s">
        <v>289</v>
      </c>
      <c r="B27" s="92"/>
      <c r="C27" s="160"/>
      <c r="D27" s="115"/>
      <c r="E27" s="160"/>
      <c r="F27" s="558"/>
      <c r="G27" s="558"/>
      <c r="H27" s="400"/>
      <c r="I27" s="149">
        <f t="shared" si="3"/>
        <v>0</v>
      </c>
      <c r="J27" s="271">
        <f t="shared" si="4"/>
        <v>0</v>
      </c>
      <c r="L27" s="444"/>
    </row>
    <row r="28" spans="1:12">
      <c r="A28" s="5" t="s">
        <v>95</v>
      </c>
      <c r="B28" s="92"/>
      <c r="C28" s="160"/>
      <c r="D28" s="117">
        <f>+[3]Gatinais!$G28</f>
        <v>160000</v>
      </c>
      <c r="E28" s="160"/>
      <c r="F28" s="1161">
        <f>140000/12*9</f>
        <v>105000</v>
      </c>
      <c r="G28" s="1161">
        <v>140000</v>
      </c>
      <c r="H28" s="400"/>
      <c r="I28" s="149">
        <f t="shared" si="3"/>
        <v>0</v>
      </c>
      <c r="J28" s="271">
        <f t="shared" si="4"/>
        <v>0.33333333333333331</v>
      </c>
      <c r="L28" s="444"/>
    </row>
    <row r="29" spans="1:12">
      <c r="A29" s="5" t="s">
        <v>293</v>
      </c>
      <c r="B29" s="92"/>
      <c r="C29" s="160"/>
      <c r="D29" s="115"/>
      <c r="E29" s="357"/>
      <c r="F29" s="134"/>
      <c r="G29" s="134"/>
      <c r="H29" s="400"/>
      <c r="I29" s="149">
        <f t="shared" si="3"/>
        <v>0</v>
      </c>
      <c r="J29" s="271">
        <f t="shared" si="4"/>
        <v>0</v>
      </c>
      <c r="L29" s="444"/>
    </row>
    <row r="30" spans="1:12" s="43" customFormat="1" ht="15" customHeight="1">
      <c r="A30" s="42" t="s">
        <v>292</v>
      </c>
      <c r="B30" s="94"/>
      <c r="C30" s="164">
        <f>SUM(C23:C29)</f>
        <v>123442.17</v>
      </c>
      <c r="D30" s="119"/>
      <c r="E30" s="164">
        <f>SUM(E23:E29)</f>
        <v>0</v>
      </c>
      <c r="F30" s="164">
        <f>SUM(F23:F29)</f>
        <v>105000</v>
      </c>
      <c r="G30" s="137"/>
      <c r="H30" s="402"/>
      <c r="I30" s="273"/>
      <c r="J30" s="342"/>
      <c r="L30" s="446"/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444"/>
    </row>
    <row r="32" spans="1:12" s="33" customFormat="1" ht="15" customHeight="1">
      <c r="A32" s="56" t="s">
        <v>336</v>
      </c>
      <c r="B32" s="95"/>
      <c r="C32" s="166">
        <f>+C21-C30-C38</f>
        <v>83162.180000000008</v>
      </c>
      <c r="D32" s="120"/>
      <c r="E32" s="166">
        <f>+E21-E30-E38</f>
        <v>0</v>
      </c>
      <c r="F32" s="166">
        <f>+F21-F30-F38</f>
        <v>204000</v>
      </c>
      <c r="G32" s="138"/>
      <c r="H32" s="403"/>
      <c r="I32" s="273"/>
      <c r="J32" s="274"/>
      <c r="L32" s="447"/>
    </row>
    <row r="33" spans="1:12" s="33" customFormat="1" ht="15" customHeight="1">
      <c r="A33" s="56" t="s">
        <v>337</v>
      </c>
      <c r="B33" s="95"/>
      <c r="C33" s="196">
        <f>+C32/C21</f>
        <v>0.40251901762959008</v>
      </c>
      <c r="D33" s="120"/>
      <c r="E33" s="196" t="e">
        <f>+E32/E21</f>
        <v>#DIV/0!</v>
      </c>
      <c r="F33" s="196">
        <f>+F32/F21</f>
        <v>0.66019417475728159</v>
      </c>
      <c r="G33" s="138"/>
      <c r="H33" s="403"/>
      <c r="I33" s="273"/>
      <c r="J33" s="274"/>
      <c r="L33" s="447"/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5">+IF((D33)=0,"",(C33-D33)/D33)</f>
        <v/>
      </c>
      <c r="J34" s="271"/>
      <c r="L34" s="444"/>
    </row>
    <row r="35" spans="1:12">
      <c r="A35" s="5" t="s">
        <v>96</v>
      </c>
      <c r="B35" s="92"/>
      <c r="C35" s="160">
        <f>1535.55-26</f>
        <v>1509.55</v>
      </c>
      <c r="D35" s="115"/>
      <c r="E35" s="160"/>
      <c r="F35" s="397"/>
      <c r="G35" s="558"/>
      <c r="H35" s="400"/>
      <c r="I35" s="149" t="str">
        <f t="shared" si="5"/>
        <v/>
      </c>
      <c r="J35" s="271"/>
      <c r="L35" s="444"/>
    </row>
    <row r="36" spans="1:12">
      <c r="A36" s="5" t="s">
        <v>97</v>
      </c>
      <c r="B36" s="92"/>
      <c r="C36" s="160"/>
      <c r="D36" s="115"/>
      <c r="E36" s="160"/>
      <c r="F36" s="397"/>
      <c r="G36" s="558"/>
      <c r="H36" s="400"/>
      <c r="I36" s="149" t="str">
        <f t="shared" si="5"/>
        <v/>
      </c>
      <c r="J36" s="271"/>
      <c r="L36" s="444"/>
    </row>
    <row r="37" spans="1:12">
      <c r="A37" s="5" t="s">
        <v>98</v>
      </c>
      <c r="B37" s="92"/>
      <c r="C37" s="160"/>
      <c r="D37" s="115"/>
      <c r="E37" s="160"/>
      <c r="F37" s="397"/>
      <c r="G37" s="558"/>
      <c r="H37" s="400"/>
      <c r="I37" s="149" t="str">
        <f t="shared" si="5"/>
        <v/>
      </c>
      <c r="J37" s="271"/>
      <c r="L37" s="444"/>
    </row>
    <row r="38" spans="1:12">
      <c r="A38" s="5" t="s">
        <v>99</v>
      </c>
      <c r="B38" s="92"/>
      <c r="C38" s="160"/>
      <c r="D38" s="115"/>
      <c r="E38" s="160"/>
      <c r="F38" s="397"/>
      <c r="G38" s="558"/>
      <c r="H38" s="400"/>
      <c r="I38" s="149" t="str">
        <f t="shared" si="5"/>
        <v/>
      </c>
      <c r="J38" s="271"/>
      <c r="L38" s="444"/>
    </row>
    <row r="39" spans="1:12">
      <c r="A39" s="5" t="s">
        <v>177</v>
      </c>
      <c r="B39" s="92"/>
      <c r="C39" s="160"/>
      <c r="D39" s="115"/>
      <c r="E39" s="160"/>
      <c r="F39" s="397"/>
      <c r="G39" s="558"/>
      <c r="H39" s="400"/>
      <c r="I39" s="149" t="str">
        <f t="shared" si="5"/>
        <v/>
      </c>
      <c r="J39" s="271"/>
      <c r="L39" s="444"/>
    </row>
    <row r="40" spans="1:12">
      <c r="A40" s="5" t="s">
        <v>176</v>
      </c>
      <c r="B40" s="92"/>
      <c r="C40" s="160"/>
      <c r="D40" s="115"/>
      <c r="E40" s="160"/>
      <c r="F40" s="397"/>
      <c r="G40" s="558"/>
      <c r="H40" s="400"/>
      <c r="I40" s="149" t="str">
        <f t="shared" si="5"/>
        <v/>
      </c>
      <c r="J40" s="271"/>
      <c r="L40" s="444"/>
    </row>
    <row r="41" spans="1:12">
      <c r="A41" s="5" t="s">
        <v>317</v>
      </c>
      <c r="B41" s="92"/>
      <c r="C41" s="160">
        <v>-4237.57</v>
      </c>
      <c r="D41" s="115"/>
      <c r="E41" s="160"/>
      <c r="F41" s="397"/>
      <c r="G41" s="558"/>
      <c r="H41" s="400"/>
      <c r="I41" s="149" t="str">
        <f t="shared" si="5"/>
        <v/>
      </c>
      <c r="J41" s="271"/>
      <c r="L41" s="444"/>
    </row>
    <row r="42" spans="1:12">
      <c r="A42" s="5" t="s">
        <v>318</v>
      </c>
      <c r="B42" s="92"/>
      <c r="C42" s="160"/>
      <c r="D42" s="115"/>
      <c r="E42" s="160"/>
      <c r="F42" s="397"/>
      <c r="G42" s="558"/>
      <c r="H42" s="400"/>
      <c r="I42" s="149" t="str">
        <f t="shared" si="5"/>
        <v/>
      </c>
      <c r="J42" s="271"/>
      <c r="L42" s="444"/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444"/>
    </row>
    <row r="44" spans="1:12" s="33" customFormat="1" ht="15" customHeight="1">
      <c r="A44" s="13" t="s">
        <v>291</v>
      </c>
      <c r="B44" s="93"/>
      <c r="C44" s="163">
        <f>+C30+SUM(C34:C43)</f>
        <v>120714.15</v>
      </c>
      <c r="D44" s="121"/>
      <c r="E44" s="163">
        <f>+E30+SUM(E34:E43)</f>
        <v>0</v>
      </c>
      <c r="F44" s="163">
        <f>+F30+SUM(F34:F43)</f>
        <v>105000</v>
      </c>
      <c r="G44" s="139"/>
      <c r="H44" s="404"/>
      <c r="I44" s="272"/>
      <c r="J44" s="188"/>
      <c r="L44" s="448"/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444"/>
    </row>
    <row r="46" spans="1:12" s="33" customFormat="1" ht="15" customHeight="1">
      <c r="A46" s="56" t="s">
        <v>339</v>
      </c>
      <c r="B46" s="95"/>
      <c r="C46" s="166">
        <f>+C21-C44</f>
        <v>85890.200000000012</v>
      </c>
      <c r="D46" s="120"/>
      <c r="E46" s="166">
        <f>+E21-E44</f>
        <v>0</v>
      </c>
      <c r="F46" s="138"/>
      <c r="G46" s="138"/>
      <c r="H46" s="403"/>
      <c r="I46" s="273"/>
      <c r="J46" s="274"/>
      <c r="L46" s="447"/>
    </row>
    <row r="47" spans="1:12" s="33" customFormat="1" ht="15" customHeight="1">
      <c r="A47" s="56" t="s">
        <v>340</v>
      </c>
      <c r="B47" s="95"/>
      <c r="C47" s="196">
        <f>+C46/C21</f>
        <v>0.41572309585930795</v>
      </c>
      <c r="D47" s="120"/>
      <c r="E47" s="196" t="e">
        <f>+E46/E21</f>
        <v>#DIV/0!</v>
      </c>
      <c r="F47" s="138"/>
      <c r="G47" s="138"/>
      <c r="H47" s="403"/>
      <c r="I47" s="273"/>
      <c r="J47" s="274"/>
      <c r="L47" s="447"/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444"/>
    </row>
    <row r="49" spans="1:12">
      <c r="A49" s="5" t="s">
        <v>91</v>
      </c>
      <c r="B49" s="92">
        <f>+C49/C21</f>
        <v>0</v>
      </c>
      <c r="C49" s="160"/>
      <c r="D49" s="117"/>
      <c r="E49" s="160"/>
      <c r="F49" s="396">
        <f>+C49+C49/9*3</f>
        <v>0</v>
      </c>
      <c r="G49" s="570">
        <v>5000</v>
      </c>
      <c r="H49" s="419"/>
      <c r="I49" s="149">
        <f>+IF((E49)=0,,(F49-E49)/E49)</f>
        <v>0</v>
      </c>
      <c r="J49" s="271">
        <f>+IF((F49)=0,,(G49-F49)/F49)</f>
        <v>0</v>
      </c>
      <c r="L49" s="443"/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444"/>
    </row>
    <row r="51" spans="1:12" s="33" customFormat="1" ht="15" customHeight="1">
      <c r="A51" s="13" t="s">
        <v>223</v>
      </c>
      <c r="B51" s="93"/>
      <c r="C51" s="163">
        <f>+C21-C49</f>
        <v>206604.35</v>
      </c>
      <c r="D51" s="118">
        <f>+D21-D49</f>
        <v>493312.60840000003</v>
      </c>
      <c r="E51" s="163">
        <f>+E21-E49</f>
        <v>0</v>
      </c>
      <c r="F51" s="136">
        <f>+F21-F49</f>
        <v>309000</v>
      </c>
      <c r="G51" s="136">
        <f>+G21-G49</f>
        <v>484700</v>
      </c>
      <c r="H51" s="312"/>
      <c r="I51" s="272">
        <f>+IF((E51)=0,,(F51-E51)/E51)</f>
        <v>0</v>
      </c>
      <c r="J51" s="188">
        <f>+IF((F51)=0,,(G51-F51)/F51)</f>
        <v>0.56860841423948216</v>
      </c>
      <c r="L51" s="445"/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444"/>
    </row>
    <row r="53" spans="1:12" s="33" customFormat="1" ht="15" customHeight="1">
      <c r="A53" s="16" t="s">
        <v>3</v>
      </c>
      <c r="B53" s="96"/>
      <c r="C53" s="169">
        <f>+C51-C44</f>
        <v>85890.200000000012</v>
      </c>
      <c r="D53" s="122"/>
      <c r="E53" s="169"/>
      <c r="F53" s="169"/>
      <c r="G53" s="140"/>
      <c r="H53" s="405"/>
      <c r="I53" s="224"/>
      <c r="J53" s="123"/>
      <c r="L53" s="449"/>
    </row>
    <row r="54" spans="1:12" s="33" customFormat="1" ht="15" customHeight="1">
      <c r="A54" s="16" t="s">
        <v>4</v>
      </c>
      <c r="B54" s="96"/>
      <c r="C54" s="197">
        <f>+C53/C51</f>
        <v>0.41572309585930795</v>
      </c>
      <c r="D54" s="123"/>
      <c r="E54" s="197"/>
      <c r="F54" s="197"/>
      <c r="G54" s="141"/>
      <c r="H54" s="406"/>
      <c r="I54" s="224"/>
      <c r="J54" s="123"/>
      <c r="L54" s="450"/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444"/>
    </row>
    <row r="56" spans="1:12">
      <c r="A56" s="5" t="s">
        <v>290</v>
      </c>
      <c r="B56" s="92"/>
      <c r="C56" s="160"/>
      <c r="D56" s="115"/>
      <c r="E56" s="160"/>
      <c r="F56" s="395"/>
      <c r="G56" s="134"/>
      <c r="H56" s="400"/>
      <c r="I56" s="149" t="str">
        <f>+IF((D55)=0,"",(C55-D55)/D55)</f>
        <v/>
      </c>
      <c r="J56" s="271"/>
      <c r="L56" s="444"/>
    </row>
    <row r="57" spans="1:12">
      <c r="A57" s="5" t="s">
        <v>100</v>
      </c>
      <c r="B57" s="92"/>
      <c r="C57" s="160"/>
      <c r="D57" s="115"/>
      <c r="E57" s="160"/>
      <c r="F57" s="558"/>
      <c r="G57" s="134"/>
      <c r="H57" s="400"/>
      <c r="I57" s="149" t="str">
        <f>+IF((D56)=0,"",(C56-D56)/D56)</f>
        <v/>
      </c>
      <c r="J57" s="271"/>
      <c r="L57" s="444"/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444"/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444"/>
    </row>
    <row r="60" spans="1:12" s="33" customFormat="1" ht="15" customHeight="1">
      <c r="A60" s="16" t="s">
        <v>295</v>
      </c>
      <c r="B60" s="96"/>
      <c r="C60" s="197">
        <v>0.41570000000000001</v>
      </c>
      <c r="D60" s="123">
        <v>0.3</v>
      </c>
      <c r="E60" s="197"/>
      <c r="F60" s="141">
        <v>0.35499999999999998</v>
      </c>
      <c r="G60" s="141">
        <v>0.36</v>
      </c>
      <c r="H60" s="406"/>
      <c r="I60" s="224"/>
      <c r="J60" s="123"/>
      <c r="L60" s="450"/>
    </row>
    <row r="61" spans="1:12">
      <c r="A61" s="5" t="s">
        <v>65</v>
      </c>
      <c r="B61" s="92"/>
      <c r="C61" s="92">
        <f>+[2]Rennes!$C61</f>
        <v>0.43</v>
      </c>
      <c r="D61" s="117"/>
      <c r="E61" s="160"/>
      <c r="F61" s="135"/>
      <c r="G61" s="135"/>
      <c r="H61" s="408"/>
      <c r="I61" s="149"/>
      <c r="J61" s="254"/>
      <c r="L61" s="443"/>
    </row>
    <row r="62" spans="1:12" s="33" customFormat="1" ht="15" customHeight="1">
      <c r="A62" s="16" t="s">
        <v>296</v>
      </c>
      <c r="B62" s="96"/>
      <c r="C62" s="169">
        <f>+C51*C60</f>
        <v>85885.428295000005</v>
      </c>
      <c r="D62" s="122">
        <f>D51*D60</f>
        <v>147993.78252000001</v>
      </c>
      <c r="E62" s="169"/>
      <c r="F62" s="140">
        <f>+F51*F60</f>
        <v>109695</v>
      </c>
      <c r="G62" s="140">
        <f>+G51*G60</f>
        <v>174492</v>
      </c>
      <c r="H62" s="405"/>
      <c r="I62" s="224">
        <f>+IF((E62)=0,,(F62-E62)/E62)</f>
        <v>0</v>
      </c>
      <c r="J62" s="123">
        <f>+IF((F62)=0,,(G62-F62)/F62)</f>
        <v>0.59070149049637632</v>
      </c>
      <c r="L62" s="449"/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444"/>
    </row>
    <row r="64" spans="1:12">
      <c r="A64" s="5" t="s">
        <v>104</v>
      </c>
      <c r="B64" s="92"/>
      <c r="C64" s="160">
        <v>2033.75</v>
      </c>
      <c r="D64" s="117">
        <f>+[3]Gatinais!$G64</f>
        <v>4036.8584000000005</v>
      </c>
      <c r="E64" s="160"/>
      <c r="F64" s="396">
        <f>2311.81+278.06*2</f>
        <v>2867.93</v>
      </c>
      <c r="G64" s="570">
        <f>280*12</f>
        <v>3360</v>
      </c>
      <c r="H64" s="401"/>
      <c r="I64" s="149">
        <f t="shared" ref="I64:J68" si="6">+IF((E64)=0,,(F64-E64)/E64)</f>
        <v>0</v>
      </c>
      <c r="J64" s="271">
        <f t="shared" si="6"/>
        <v>0.17157671212337824</v>
      </c>
      <c r="L64" s="443"/>
    </row>
    <row r="65" spans="1:12">
      <c r="A65" s="5" t="s">
        <v>314</v>
      </c>
      <c r="B65" s="92"/>
      <c r="C65" s="160"/>
      <c r="D65" s="117">
        <f>+[3]Gatinais!$G65</f>
        <v>881.85509999999999</v>
      </c>
      <c r="E65" s="160"/>
      <c r="F65" s="425">
        <v>0</v>
      </c>
      <c r="G65" s="570">
        <f>+F65/9*12*1.03</f>
        <v>0</v>
      </c>
      <c r="H65" s="409"/>
      <c r="I65" s="149">
        <f t="shared" si="6"/>
        <v>0</v>
      </c>
      <c r="J65" s="271">
        <f t="shared" si="6"/>
        <v>0</v>
      </c>
      <c r="L65" s="443"/>
    </row>
    <row r="66" spans="1:12">
      <c r="A66" s="5" t="s">
        <v>110</v>
      </c>
      <c r="B66" s="92"/>
      <c r="C66" s="160"/>
      <c r="D66" s="117">
        <f>+[3]Gatinais!$G66</f>
        <v>0</v>
      </c>
      <c r="E66" s="160"/>
      <c r="F66" s="396">
        <f>+C66+C66/9*3</f>
        <v>0</v>
      </c>
      <c r="G66" s="570">
        <f>+F66/9*12*1.03</f>
        <v>0</v>
      </c>
      <c r="H66" s="401"/>
      <c r="I66" s="149">
        <f t="shared" si="6"/>
        <v>0</v>
      </c>
      <c r="J66" s="271">
        <f t="shared" si="6"/>
        <v>0</v>
      </c>
      <c r="L66" s="443"/>
    </row>
    <row r="67" spans="1:12">
      <c r="A67" s="5" t="s">
        <v>107</v>
      </c>
      <c r="B67" s="92"/>
      <c r="C67" s="160">
        <v>156</v>
      </c>
      <c r="D67" s="117">
        <f>+[3]Gatinais!$G67</f>
        <v>340.49739999999997</v>
      </c>
      <c r="E67" s="160"/>
      <c r="F67" s="396">
        <f>+C67+C67/6*3</f>
        <v>234</v>
      </c>
      <c r="G67" s="570">
        <f>+F67/9*12*1.03</f>
        <v>321.36</v>
      </c>
      <c r="H67" s="401"/>
      <c r="I67" s="149">
        <f t="shared" si="6"/>
        <v>0</v>
      </c>
      <c r="J67" s="271">
        <f t="shared" si="6"/>
        <v>0.37333333333333341</v>
      </c>
      <c r="L67" s="443"/>
    </row>
    <row r="68" spans="1:12">
      <c r="A68" s="5" t="s">
        <v>125</v>
      </c>
      <c r="B68" s="92"/>
      <c r="C68" s="160">
        <v>621.05999999999995</v>
      </c>
      <c r="D68" s="117">
        <f>+[3]Gatinais!$G68</f>
        <v>2654.4335999999998</v>
      </c>
      <c r="E68" s="160"/>
      <c r="F68" s="396">
        <f>+C68+C68/6*3</f>
        <v>931.58999999999992</v>
      </c>
      <c r="G68" s="570">
        <f>+F68/9*12*1.03</f>
        <v>1279.3835999999999</v>
      </c>
      <c r="H68" s="410"/>
      <c r="I68" s="149">
        <f t="shared" si="6"/>
        <v>0</v>
      </c>
      <c r="J68" s="271">
        <f t="shared" si="6"/>
        <v>0.37333333333333335</v>
      </c>
      <c r="L68" s="443"/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444"/>
    </row>
    <row r="70" spans="1:12">
      <c r="A70" s="11" t="s">
        <v>128</v>
      </c>
      <c r="B70" s="98"/>
      <c r="C70" s="173">
        <f>SUM(C64:C69)</f>
        <v>2810.81</v>
      </c>
      <c r="D70" s="125">
        <f>SUM(D64:D69)</f>
        <v>7913.6445000000003</v>
      </c>
      <c r="E70" s="276">
        <f>SUM(E64:E69)</f>
        <v>0</v>
      </c>
      <c r="F70" s="370">
        <f>SUM(F64:F69)</f>
        <v>4033.5199999999995</v>
      </c>
      <c r="G70" s="359">
        <f>SUM(G64:G69)</f>
        <v>4960.7435999999998</v>
      </c>
      <c r="H70" s="412"/>
      <c r="I70" s="384">
        <f>+IF((E70)=0,,(F70-E70)/E70)</f>
        <v>0</v>
      </c>
      <c r="J70" s="279">
        <f>+IF((F70)=0,,(G70-F70)/F70)</f>
        <v>0.22987950970864168</v>
      </c>
      <c r="L70" s="443"/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444"/>
    </row>
    <row r="72" spans="1:12">
      <c r="A72" s="5" t="s">
        <v>1</v>
      </c>
      <c r="B72" s="92"/>
      <c r="C72" s="160"/>
      <c r="D72" s="117">
        <f>+[3]Gatinais!$G72</f>
        <v>64.931200000000004</v>
      </c>
      <c r="E72" s="160"/>
      <c r="F72" s="396">
        <f>+C72+C72/6*3</f>
        <v>0</v>
      </c>
      <c r="G72" s="570">
        <f t="shared" ref="G72:G101" si="7">+F72/9*12*1.03</f>
        <v>0</v>
      </c>
      <c r="H72" s="409"/>
      <c r="I72" s="149">
        <f t="shared" ref="I72:J87" si="8">+IF((E72)=0,,(F72-E72)/E72)</f>
        <v>0</v>
      </c>
      <c r="J72" s="271">
        <f t="shared" si="8"/>
        <v>0</v>
      </c>
      <c r="L72" s="443"/>
    </row>
    <row r="73" spans="1:12">
      <c r="A73" s="5" t="s">
        <v>123</v>
      </c>
      <c r="B73" s="92"/>
      <c r="C73" s="160">
        <f>594-72.55</f>
        <v>521.45000000000005</v>
      </c>
      <c r="D73" s="117">
        <f>+[3]Gatinais!$G73</f>
        <v>1207.4072000000001</v>
      </c>
      <c r="E73" s="160"/>
      <c r="F73" s="396">
        <f>+C73+C73/6*3</f>
        <v>782.17500000000007</v>
      </c>
      <c r="G73" s="570">
        <f t="shared" si="7"/>
        <v>1074.1870000000001</v>
      </c>
      <c r="H73" s="409"/>
      <c r="I73" s="149">
        <f t="shared" si="8"/>
        <v>0</v>
      </c>
      <c r="J73" s="271">
        <f t="shared" si="8"/>
        <v>0.37333333333333335</v>
      </c>
      <c r="L73" s="443"/>
    </row>
    <row r="74" spans="1:12">
      <c r="A74" s="5" t="s">
        <v>124</v>
      </c>
      <c r="B74" s="92"/>
      <c r="C74" s="160">
        <v>1203.52</v>
      </c>
      <c r="D74" s="117">
        <f>+[3]Gatinais!$G74</f>
        <v>2836.5684999999999</v>
      </c>
      <c r="E74" s="160"/>
      <c r="F74" s="396">
        <f>+C74+C74/6*3</f>
        <v>1805.28</v>
      </c>
      <c r="G74" s="570">
        <f t="shared" si="7"/>
        <v>2479.2512000000002</v>
      </c>
      <c r="H74" s="409"/>
      <c r="I74" s="149">
        <f t="shared" si="8"/>
        <v>0</v>
      </c>
      <c r="J74" s="271">
        <f t="shared" si="8"/>
        <v>0.37333333333333346</v>
      </c>
      <c r="L74" s="443"/>
    </row>
    <row r="75" spans="1:12">
      <c r="A75" s="5" t="s">
        <v>360</v>
      </c>
      <c r="B75" s="92"/>
      <c r="C75" s="160"/>
      <c r="D75" s="117">
        <f>+[3]Gatinais!$G75</f>
        <v>0</v>
      </c>
      <c r="E75" s="160"/>
      <c r="F75" s="396">
        <f>+C75+C75/6*3</f>
        <v>0</v>
      </c>
      <c r="G75" s="570">
        <f t="shared" si="7"/>
        <v>0</v>
      </c>
      <c r="H75" s="409"/>
      <c r="I75" s="149">
        <f t="shared" si="8"/>
        <v>0</v>
      </c>
      <c r="J75" s="271">
        <f t="shared" si="8"/>
        <v>0</v>
      </c>
      <c r="L75" s="443"/>
    </row>
    <row r="76" spans="1:12">
      <c r="A76" s="5" t="s">
        <v>126</v>
      </c>
      <c r="B76" s="92"/>
      <c r="C76" s="160">
        <v>151.77000000000001</v>
      </c>
      <c r="D76" s="117">
        <f>+[3]Gatinais!$G76</f>
        <v>0</v>
      </c>
      <c r="E76" s="160"/>
      <c r="F76" s="396">
        <f>+C76+C76/6*3</f>
        <v>227.65500000000003</v>
      </c>
      <c r="G76" s="570">
        <f t="shared" si="7"/>
        <v>312.64620000000002</v>
      </c>
      <c r="H76" s="409"/>
      <c r="I76" s="149">
        <f t="shared" si="8"/>
        <v>0</v>
      </c>
      <c r="J76" s="271">
        <f t="shared" si="8"/>
        <v>0.37333333333333324</v>
      </c>
      <c r="L76" s="443"/>
    </row>
    <row r="77" spans="1:12">
      <c r="A77" s="5" t="s">
        <v>127</v>
      </c>
      <c r="B77" s="92"/>
      <c r="C77" s="160">
        <v>398.5</v>
      </c>
      <c r="D77" s="117">
        <f>+[3]Gatinais!$G77</f>
        <v>1327.6391000000001</v>
      </c>
      <c r="E77" s="160"/>
      <c r="F77" s="396">
        <v>1237</v>
      </c>
      <c r="G77" s="570">
        <v>1300</v>
      </c>
      <c r="H77" s="409"/>
      <c r="I77" s="149">
        <f t="shared" si="8"/>
        <v>0</v>
      </c>
      <c r="J77" s="271">
        <f t="shared" si="8"/>
        <v>5.092966855295069E-2</v>
      </c>
      <c r="L77" s="443"/>
    </row>
    <row r="78" spans="1:12">
      <c r="A78" s="5" t="s">
        <v>101</v>
      </c>
      <c r="B78" s="92"/>
      <c r="C78" s="160"/>
      <c r="D78" s="117">
        <f>+[3]Gatinais!$G78</f>
        <v>0</v>
      </c>
      <c r="E78" s="160"/>
      <c r="F78" s="396">
        <f>+C78+C78/6*3</f>
        <v>0</v>
      </c>
      <c r="G78" s="570">
        <f t="shared" si="7"/>
        <v>0</v>
      </c>
      <c r="H78" s="410"/>
      <c r="I78" s="149">
        <f t="shared" si="8"/>
        <v>0</v>
      </c>
      <c r="J78" s="271">
        <f t="shared" si="8"/>
        <v>0</v>
      </c>
      <c r="L78" s="443"/>
    </row>
    <row r="79" spans="1:12">
      <c r="A79" s="5" t="s">
        <v>102</v>
      </c>
      <c r="B79" s="92"/>
      <c r="C79" s="160">
        <v>8700</v>
      </c>
      <c r="D79" s="117">
        <f>+[3]Gatinais!$G79</f>
        <v>17922</v>
      </c>
      <c r="E79" s="160"/>
      <c r="F79" s="425">
        <f>4350*3/1334.5*1508.5+4350/1334.5*1529.5</f>
        <v>19737.167478456351</v>
      </c>
      <c r="G79" s="425">
        <f>+(17400/4*3)/1334.5*1508.05+4350*1.05/1334.5*1508.05</f>
        <v>19908.633102285501</v>
      </c>
      <c r="H79" s="413"/>
      <c r="I79" s="149">
        <f t="shared" si="8"/>
        <v>0</v>
      </c>
      <c r="J79" s="271">
        <f t="shared" si="8"/>
        <v>8.6874483897605541E-3</v>
      </c>
      <c r="L79" s="443"/>
    </row>
    <row r="80" spans="1:12">
      <c r="A80" s="5" t="s">
        <v>325</v>
      </c>
      <c r="B80" s="92"/>
      <c r="C80" s="160"/>
      <c r="D80" s="117">
        <f>+[3]Gatinais!$G80</f>
        <v>0</v>
      </c>
      <c r="E80" s="160"/>
      <c r="F80" s="396">
        <f>+C80+C80/6*3</f>
        <v>0</v>
      </c>
      <c r="G80" s="395">
        <f t="shared" si="7"/>
        <v>0</v>
      </c>
      <c r="H80" s="409"/>
      <c r="I80" s="149">
        <f t="shared" si="8"/>
        <v>0</v>
      </c>
      <c r="J80" s="271">
        <f t="shared" si="8"/>
        <v>0</v>
      </c>
      <c r="L80" s="443"/>
    </row>
    <row r="81" spans="1:12">
      <c r="A81" s="5" t="s">
        <v>103</v>
      </c>
      <c r="B81" s="92"/>
      <c r="C81" s="160"/>
      <c r="D81" s="117">
        <f>+[3]Gatinais!$G81</f>
        <v>0</v>
      </c>
      <c r="E81" s="160"/>
      <c r="F81" s="396">
        <f>+C81+C81/6*3</f>
        <v>0</v>
      </c>
      <c r="G81" s="395">
        <f t="shared" si="7"/>
        <v>0</v>
      </c>
      <c r="H81" s="409"/>
      <c r="I81" s="149">
        <f t="shared" si="8"/>
        <v>0</v>
      </c>
      <c r="J81" s="271">
        <f t="shared" si="8"/>
        <v>0</v>
      </c>
      <c r="L81" s="443"/>
    </row>
    <row r="82" spans="1:12">
      <c r="A82" s="5" t="s">
        <v>105</v>
      </c>
      <c r="B82" s="92"/>
      <c r="C82" s="160">
        <v>90</v>
      </c>
      <c r="D82" s="117">
        <f>+[3]Gatinais!$G82</f>
        <v>0</v>
      </c>
      <c r="E82" s="160"/>
      <c r="F82" s="396">
        <v>180</v>
      </c>
      <c r="G82" s="570">
        <f>+F82/9*12</f>
        <v>240</v>
      </c>
      <c r="H82" s="409"/>
      <c r="I82" s="149">
        <f t="shared" si="8"/>
        <v>0</v>
      </c>
      <c r="J82" s="271">
        <f t="shared" si="8"/>
        <v>0.33333333333333331</v>
      </c>
      <c r="L82" s="443"/>
    </row>
    <row r="83" spans="1:12">
      <c r="A83" s="5" t="s">
        <v>287</v>
      </c>
      <c r="B83" s="92"/>
      <c r="C83" s="160"/>
      <c r="D83" s="117">
        <f>+[3]Gatinais!$G83</f>
        <v>734.39</v>
      </c>
      <c r="E83" s="160"/>
      <c r="F83" s="396">
        <f>+C83+C83/6*3</f>
        <v>0</v>
      </c>
      <c r="G83" s="395">
        <f t="shared" si="7"/>
        <v>0</v>
      </c>
      <c r="H83" s="409"/>
      <c r="I83" s="149">
        <f t="shared" si="8"/>
        <v>0</v>
      </c>
      <c r="J83" s="271">
        <f t="shared" si="8"/>
        <v>0</v>
      </c>
      <c r="L83" s="443"/>
    </row>
    <row r="84" spans="1:12">
      <c r="A84" s="5" t="s">
        <v>108</v>
      </c>
      <c r="B84" s="92"/>
      <c r="C84" s="160">
        <v>328.9</v>
      </c>
      <c r="D84" s="117">
        <f>+[3]Gatinais!$G84</f>
        <v>1277.2</v>
      </c>
      <c r="E84" s="160"/>
      <c r="F84" s="396">
        <f>+C84+C84/6*3</f>
        <v>493.34999999999997</v>
      </c>
      <c r="G84" s="570">
        <v>1000</v>
      </c>
      <c r="H84" s="409"/>
      <c r="I84" s="149">
        <f t="shared" si="8"/>
        <v>0</v>
      </c>
      <c r="J84" s="271">
        <f t="shared" si="8"/>
        <v>1.0269585486976793</v>
      </c>
      <c r="L84" s="443"/>
    </row>
    <row r="85" spans="1:12">
      <c r="A85" s="5" t="s">
        <v>109</v>
      </c>
      <c r="B85" s="92"/>
      <c r="C85" s="160"/>
      <c r="D85" s="117">
        <f>+[3]Gatinais!$G85</f>
        <v>0</v>
      </c>
      <c r="E85" s="160"/>
      <c r="F85" s="396">
        <v>946</v>
      </c>
      <c r="G85" s="570">
        <v>1000</v>
      </c>
      <c r="H85" s="409"/>
      <c r="I85" s="149">
        <f t="shared" si="8"/>
        <v>0</v>
      </c>
      <c r="J85" s="271">
        <f t="shared" si="8"/>
        <v>5.7082452431289642E-2</v>
      </c>
      <c r="L85" s="443"/>
    </row>
    <row r="86" spans="1:12">
      <c r="A86" s="5" t="s">
        <v>106</v>
      </c>
      <c r="B86" s="92"/>
      <c r="C86" s="160"/>
      <c r="D86" s="117">
        <f>+[3]Gatinais!$G86</f>
        <v>0</v>
      </c>
      <c r="E86" s="160"/>
      <c r="F86" s="396">
        <v>550</v>
      </c>
      <c r="G86" s="570">
        <v>800</v>
      </c>
      <c r="H86" s="409"/>
      <c r="I86" s="149">
        <f t="shared" si="8"/>
        <v>0</v>
      </c>
      <c r="J86" s="271">
        <f t="shared" si="8"/>
        <v>0.45454545454545453</v>
      </c>
      <c r="L86" s="443"/>
    </row>
    <row r="87" spans="1:12">
      <c r="A87" s="5" t="s">
        <v>363</v>
      </c>
      <c r="B87" s="92"/>
      <c r="C87" s="160"/>
      <c r="D87" s="117">
        <f>+[3]Gatinais!$G87</f>
        <v>0</v>
      </c>
      <c r="E87" s="160"/>
      <c r="F87" s="396">
        <f t="shared" ref="F87:F92" si="9">+C87+C87/6*3</f>
        <v>0</v>
      </c>
      <c r="G87" s="395">
        <f t="shared" si="7"/>
        <v>0</v>
      </c>
      <c r="H87" s="409"/>
      <c r="I87" s="149">
        <f t="shared" si="8"/>
        <v>0</v>
      </c>
      <c r="J87" s="271">
        <f t="shared" si="8"/>
        <v>0</v>
      </c>
      <c r="L87" s="443"/>
    </row>
    <row r="88" spans="1:12">
      <c r="A88" s="5" t="s">
        <v>111</v>
      </c>
      <c r="B88" s="92"/>
      <c r="C88" s="160">
        <v>1206.8499999999999</v>
      </c>
      <c r="D88" s="117">
        <f>+[3]Gatinais!$G88</f>
        <v>2968.0377000000003</v>
      </c>
      <c r="E88" s="160"/>
      <c r="F88" s="396">
        <f t="shared" si="9"/>
        <v>1810.2749999999999</v>
      </c>
      <c r="G88" s="570">
        <f t="shared" si="7"/>
        <v>2486.1109999999999</v>
      </c>
      <c r="H88" s="413"/>
      <c r="I88" s="149">
        <f t="shared" ref="I88:J101" si="10">+IF((E88)=0,,(F88-E88)/E88)</f>
        <v>0</v>
      </c>
      <c r="J88" s="271">
        <f t="shared" si="10"/>
        <v>0.37333333333333335</v>
      </c>
      <c r="L88" s="443"/>
    </row>
    <row r="89" spans="1:12">
      <c r="A89" s="5" t="s">
        <v>315</v>
      </c>
      <c r="B89" s="92"/>
      <c r="C89" s="160"/>
      <c r="D89" s="117">
        <f>+[3]Gatinais!$G89</f>
        <v>0</v>
      </c>
      <c r="E89" s="160"/>
      <c r="F89" s="396">
        <f t="shared" si="9"/>
        <v>0</v>
      </c>
      <c r="G89" s="395">
        <f t="shared" si="7"/>
        <v>0</v>
      </c>
      <c r="H89" s="409"/>
      <c r="I89" s="149">
        <f t="shared" si="10"/>
        <v>0</v>
      </c>
      <c r="J89" s="271">
        <f t="shared" si="10"/>
        <v>0</v>
      </c>
      <c r="L89" s="443"/>
    </row>
    <row r="90" spans="1:12">
      <c r="A90" s="5" t="s">
        <v>112</v>
      </c>
      <c r="B90" s="92"/>
      <c r="C90" s="160"/>
      <c r="D90" s="117">
        <f>+[3]Gatinais!$G90</f>
        <v>258.01499999999999</v>
      </c>
      <c r="E90" s="160"/>
      <c r="F90" s="396">
        <f t="shared" si="9"/>
        <v>0</v>
      </c>
      <c r="G90" s="570">
        <v>200</v>
      </c>
      <c r="H90" s="409"/>
      <c r="I90" s="149">
        <f t="shared" si="10"/>
        <v>0</v>
      </c>
      <c r="J90" s="271">
        <f t="shared" si="10"/>
        <v>0</v>
      </c>
      <c r="L90" s="443"/>
    </row>
    <row r="91" spans="1:12">
      <c r="A91" s="5" t="s">
        <v>113</v>
      </c>
      <c r="B91" s="92"/>
      <c r="C91" s="160"/>
      <c r="D91" s="117">
        <f>+[3]Gatinais!$G91</f>
        <v>0</v>
      </c>
      <c r="E91" s="160"/>
      <c r="F91" s="396">
        <f t="shared" si="9"/>
        <v>0</v>
      </c>
      <c r="G91" s="570">
        <v>500</v>
      </c>
      <c r="H91" s="409"/>
      <c r="I91" s="149">
        <f t="shared" si="10"/>
        <v>0</v>
      </c>
      <c r="J91" s="271">
        <f t="shared" si="10"/>
        <v>0</v>
      </c>
      <c r="L91" s="443"/>
    </row>
    <row r="92" spans="1:12">
      <c r="A92" s="5" t="s">
        <v>309</v>
      </c>
      <c r="B92" s="92"/>
      <c r="C92" s="160"/>
      <c r="D92" s="117">
        <f>+[3]Gatinais!$G92</f>
        <v>0</v>
      </c>
      <c r="E92" s="160"/>
      <c r="F92" s="396">
        <f t="shared" si="9"/>
        <v>0</v>
      </c>
      <c r="G92" s="395">
        <f t="shared" si="7"/>
        <v>0</v>
      </c>
      <c r="H92" s="409"/>
      <c r="I92" s="149">
        <f t="shared" si="10"/>
        <v>0</v>
      </c>
      <c r="J92" s="271">
        <f t="shared" si="10"/>
        <v>0</v>
      </c>
      <c r="L92" s="443"/>
    </row>
    <row r="93" spans="1:12">
      <c r="A93" s="5" t="s">
        <v>115</v>
      </c>
      <c r="B93" s="92"/>
      <c r="C93" s="160">
        <f>281.5-128.5</f>
        <v>153</v>
      </c>
      <c r="D93" s="117">
        <f>+[3]Gatinais!$G93</f>
        <v>6341.71</v>
      </c>
      <c r="E93" s="160"/>
      <c r="F93" s="425">
        <v>3855</v>
      </c>
      <c r="G93" s="395">
        <v>0</v>
      </c>
      <c r="H93" s="409"/>
      <c r="I93" s="149">
        <f t="shared" si="10"/>
        <v>0</v>
      </c>
      <c r="J93" s="271">
        <f t="shared" si="10"/>
        <v>-1</v>
      </c>
      <c r="L93" s="443"/>
    </row>
    <row r="94" spans="1:12">
      <c r="A94" s="5" t="s">
        <v>42</v>
      </c>
      <c r="B94" s="92"/>
      <c r="C94" s="160"/>
      <c r="D94" s="117">
        <f>+[3]Gatinais!$G94</f>
        <v>19.549400000000002</v>
      </c>
      <c r="E94" s="160"/>
      <c r="F94" s="396">
        <f>+C94+C94/6*3</f>
        <v>0</v>
      </c>
      <c r="G94" s="395">
        <f t="shared" si="7"/>
        <v>0</v>
      </c>
      <c r="H94" s="409"/>
      <c r="I94" s="149">
        <f t="shared" si="10"/>
        <v>0</v>
      </c>
      <c r="J94" s="271">
        <f t="shared" si="10"/>
        <v>0</v>
      </c>
      <c r="L94" s="443"/>
    </row>
    <row r="95" spans="1:12">
      <c r="A95" s="5" t="s">
        <v>117</v>
      </c>
      <c r="B95" s="92">
        <f>+C95/$C$21</f>
        <v>0</v>
      </c>
      <c r="C95" s="160"/>
      <c r="D95" s="117">
        <f>+[3]Gatinais!$G95</f>
        <v>0</v>
      </c>
      <c r="E95" s="160"/>
      <c r="F95" s="396">
        <f>+C95+C95/6*3</f>
        <v>0</v>
      </c>
      <c r="G95" s="395">
        <f t="shared" si="7"/>
        <v>0</v>
      </c>
      <c r="H95" s="420">
        <f>+G95/$G$21</f>
        <v>0</v>
      </c>
      <c r="I95" s="149">
        <f t="shared" si="10"/>
        <v>0</v>
      </c>
      <c r="J95" s="271">
        <f t="shared" si="10"/>
        <v>0</v>
      </c>
      <c r="L95" s="443"/>
    </row>
    <row r="96" spans="1:12">
      <c r="A96" s="5" t="s">
        <v>118</v>
      </c>
      <c r="B96" s="92"/>
      <c r="C96" s="160">
        <v>21.92</v>
      </c>
      <c r="D96" s="117">
        <f>+[3]Gatinais!$G96</f>
        <v>1449.3027</v>
      </c>
      <c r="E96" s="160"/>
      <c r="F96" s="396">
        <v>670</v>
      </c>
      <c r="G96" s="570">
        <v>3000</v>
      </c>
      <c r="H96" s="401"/>
      <c r="I96" s="149">
        <f t="shared" si="10"/>
        <v>0</v>
      </c>
      <c r="J96" s="271">
        <f t="shared" si="10"/>
        <v>3.4776119402985075</v>
      </c>
      <c r="L96" s="443"/>
    </row>
    <row r="97" spans="1:12">
      <c r="A97" s="5" t="s">
        <v>7</v>
      </c>
      <c r="B97" s="92"/>
      <c r="C97" s="160"/>
      <c r="D97" s="117">
        <f>+[3]Gatinais!$G97</f>
        <v>1439.3632</v>
      </c>
      <c r="E97" s="160"/>
      <c r="F97" s="396">
        <f>+C97+C97/6*3</f>
        <v>0</v>
      </c>
      <c r="G97" s="570">
        <v>0</v>
      </c>
      <c r="H97" s="401"/>
      <c r="I97" s="149">
        <f t="shared" si="10"/>
        <v>0</v>
      </c>
      <c r="J97" s="271">
        <f t="shared" si="10"/>
        <v>0</v>
      </c>
      <c r="L97" s="443"/>
    </row>
    <row r="98" spans="1:12">
      <c r="A98" s="5" t="s">
        <v>307</v>
      </c>
      <c r="B98" s="92"/>
      <c r="C98" s="160"/>
      <c r="D98" s="117">
        <f>+[3]Gatinais!$G98</f>
        <v>0</v>
      </c>
      <c r="E98" s="160"/>
      <c r="F98" s="396">
        <f>+C98+C98/6*3</f>
        <v>0</v>
      </c>
      <c r="G98" s="395">
        <f t="shared" si="7"/>
        <v>0</v>
      </c>
      <c r="H98" s="409"/>
      <c r="I98" s="149">
        <f t="shared" si="10"/>
        <v>0</v>
      </c>
      <c r="J98" s="271">
        <f t="shared" si="10"/>
        <v>0</v>
      </c>
      <c r="L98" s="443"/>
    </row>
    <row r="99" spans="1:12">
      <c r="A99" s="5" t="s">
        <v>119</v>
      </c>
      <c r="B99" s="92"/>
      <c r="C99" s="160">
        <f>2572.22-3964.39</f>
        <v>-1392.17</v>
      </c>
      <c r="D99" s="117">
        <f>+[3]Gatinais!$G99</f>
        <v>6020.9782999999998</v>
      </c>
      <c r="E99" s="160"/>
      <c r="F99" s="396">
        <v>0</v>
      </c>
      <c r="G99" s="570">
        <f>150*12</f>
        <v>1800</v>
      </c>
      <c r="H99" s="409"/>
      <c r="I99" s="149">
        <f t="shared" si="10"/>
        <v>0</v>
      </c>
      <c r="J99" s="271">
        <f t="shared" si="10"/>
        <v>0</v>
      </c>
      <c r="L99" s="443"/>
    </row>
    <row r="100" spans="1:12">
      <c r="A100" s="5" t="s">
        <v>120</v>
      </c>
      <c r="B100" s="92"/>
      <c r="C100" s="160">
        <v>315.87</v>
      </c>
      <c r="D100" s="117">
        <f>+[3]Gatinais!$G100</f>
        <v>513.33140000000003</v>
      </c>
      <c r="E100" s="160"/>
      <c r="F100" s="396">
        <f>+C100+C100/6*3</f>
        <v>473.80500000000001</v>
      </c>
      <c r="G100" s="570">
        <f t="shared" si="7"/>
        <v>650.69220000000007</v>
      </c>
      <c r="H100" s="409"/>
      <c r="I100" s="149">
        <f t="shared" si="10"/>
        <v>0</v>
      </c>
      <c r="J100" s="271">
        <f t="shared" si="10"/>
        <v>0.37333333333333346</v>
      </c>
      <c r="L100" s="443"/>
    </row>
    <row r="101" spans="1:12">
      <c r="A101" s="5" t="s">
        <v>546</v>
      </c>
      <c r="B101" s="92"/>
      <c r="C101" s="160"/>
      <c r="D101" s="117">
        <f>+[3]Gatinais!$G101</f>
        <v>472.56400000000002</v>
      </c>
      <c r="E101" s="160"/>
      <c r="F101" s="396">
        <f>+C101+C101/6*3</f>
        <v>0</v>
      </c>
      <c r="G101" s="570">
        <f t="shared" si="7"/>
        <v>0</v>
      </c>
      <c r="H101" s="409"/>
      <c r="I101" s="149">
        <f t="shared" si="10"/>
        <v>0</v>
      </c>
      <c r="J101" s="271">
        <f t="shared" si="10"/>
        <v>0</v>
      </c>
      <c r="L101" s="443"/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444"/>
    </row>
    <row r="103" spans="1:12" s="33" customFormat="1" ht="15" customHeight="1">
      <c r="A103" s="13" t="s">
        <v>122</v>
      </c>
      <c r="B103" s="93">
        <f>+C103/$C$21</f>
        <v>7.0232887158474644E-2</v>
      </c>
      <c r="C103" s="163">
        <f>SUM(C70:C102)</f>
        <v>14510.420000000002</v>
      </c>
      <c r="D103" s="118">
        <f>SUM(D70:D102)</f>
        <v>52766.632200000007</v>
      </c>
      <c r="E103" s="163">
        <f>SUM(E70:E102)</f>
        <v>0</v>
      </c>
      <c r="F103" s="136">
        <f>SUM(F70:F102)</f>
        <v>36801.227478456349</v>
      </c>
      <c r="G103" s="136">
        <f>SUM(G70:G102)</f>
        <v>41712.264302285497</v>
      </c>
      <c r="H103" s="421">
        <f>+G103/$G$21</f>
        <v>8.5179220547856843E-2</v>
      </c>
      <c r="I103" s="272">
        <f>+IF((E103)=0,,(F103-E103)/E103)</f>
        <v>0</v>
      </c>
      <c r="J103" s="188">
        <f>+IF((F103)=0,,(G103-F103)/F103)</f>
        <v>0.13344763640571766</v>
      </c>
      <c r="L103" s="445"/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444"/>
    </row>
    <row r="105" spans="1:12">
      <c r="A105" s="5" t="s">
        <v>129</v>
      </c>
      <c r="B105" s="92"/>
      <c r="C105" s="160">
        <v>1825</v>
      </c>
      <c r="D105" s="117">
        <f>+[3]Gatinais!$G105</f>
        <v>2352.1491999999998</v>
      </c>
      <c r="E105" s="160"/>
      <c r="F105" s="396">
        <v>3204</v>
      </c>
      <c r="G105" s="570">
        <v>1400</v>
      </c>
      <c r="H105" s="401"/>
      <c r="I105" s="149">
        <f t="shared" ref="I105:J114" si="11">+IF((E105)=0,,(F105-E105)/E105)</f>
        <v>0</v>
      </c>
      <c r="J105" s="271">
        <f t="shared" si="11"/>
        <v>-0.56304619225967545</v>
      </c>
      <c r="L105" s="443"/>
    </row>
    <row r="106" spans="1:12">
      <c r="A106" s="5" t="s">
        <v>130</v>
      </c>
      <c r="B106" s="92"/>
      <c r="C106" s="160"/>
      <c r="D106" s="117">
        <f>+[3]Gatinais!$G106</f>
        <v>0</v>
      </c>
      <c r="E106" s="160"/>
      <c r="F106" s="396">
        <v>1745</v>
      </c>
      <c r="G106" s="570">
        <v>2000</v>
      </c>
      <c r="H106" s="401"/>
      <c r="I106" s="149">
        <f t="shared" si="11"/>
        <v>0</v>
      </c>
      <c r="J106" s="271">
        <f t="shared" si="11"/>
        <v>0.14613180515759314</v>
      </c>
      <c r="L106" s="443"/>
    </row>
    <row r="107" spans="1:12">
      <c r="A107" s="5" t="s">
        <v>131</v>
      </c>
      <c r="B107" s="92"/>
      <c r="C107" s="160"/>
      <c r="D107" s="117">
        <f>+[3]Gatinais!$G107</f>
        <v>0</v>
      </c>
      <c r="E107" s="160"/>
      <c r="F107" s="396">
        <f>+C107+C107/9*3</f>
        <v>0</v>
      </c>
      <c r="G107" s="570">
        <f t="shared" ref="G107:G114" si="12">+F107/9*12*1.03</f>
        <v>0</v>
      </c>
      <c r="H107" s="401"/>
      <c r="I107" s="149">
        <f t="shared" si="11"/>
        <v>0</v>
      </c>
      <c r="J107" s="271">
        <f t="shared" si="11"/>
        <v>0</v>
      </c>
      <c r="L107" s="443"/>
    </row>
    <row r="108" spans="1:12">
      <c r="A108" s="5" t="s">
        <v>132</v>
      </c>
      <c r="B108" s="92"/>
      <c r="C108" s="160"/>
      <c r="D108" s="117">
        <f>+[3]Gatinais!$G108</f>
        <v>0</v>
      </c>
      <c r="E108" s="160"/>
      <c r="F108" s="396">
        <f>+C108+C108/9*3</f>
        <v>0</v>
      </c>
      <c r="G108" s="570">
        <f t="shared" si="12"/>
        <v>0</v>
      </c>
      <c r="H108" s="401"/>
      <c r="I108" s="149">
        <f t="shared" si="11"/>
        <v>0</v>
      </c>
      <c r="J108" s="271">
        <f t="shared" si="11"/>
        <v>0</v>
      </c>
      <c r="L108" s="443"/>
    </row>
    <row r="109" spans="1:12">
      <c r="A109" s="5" t="s">
        <v>133</v>
      </c>
      <c r="B109" s="92"/>
      <c r="C109" s="160"/>
      <c r="D109" s="117">
        <f>+[3]Gatinais!$G109</f>
        <v>0</v>
      </c>
      <c r="E109" s="160"/>
      <c r="F109" s="396">
        <f>+C109+C109/9*3</f>
        <v>0</v>
      </c>
      <c r="G109" s="570">
        <v>1500</v>
      </c>
      <c r="H109" s="401"/>
      <c r="I109" s="149">
        <f t="shared" si="11"/>
        <v>0</v>
      </c>
      <c r="J109" s="271">
        <f t="shared" si="11"/>
        <v>0</v>
      </c>
      <c r="L109" s="443"/>
    </row>
    <row r="110" spans="1:12">
      <c r="A110" s="5" t="s">
        <v>134</v>
      </c>
      <c r="B110" s="92"/>
      <c r="C110" s="160"/>
      <c r="D110" s="117">
        <f>+[3]Gatinais!$G110</f>
        <v>369.22410000000002</v>
      </c>
      <c r="E110" s="160"/>
      <c r="F110" s="396">
        <f>+C110+C110/9*3</f>
        <v>0</v>
      </c>
      <c r="G110" s="570">
        <v>2000</v>
      </c>
      <c r="H110" s="401"/>
      <c r="I110" s="149">
        <f t="shared" si="11"/>
        <v>0</v>
      </c>
      <c r="J110" s="271">
        <f t="shared" si="11"/>
        <v>0</v>
      </c>
      <c r="L110" s="443"/>
    </row>
    <row r="111" spans="1:12">
      <c r="A111" s="5" t="s">
        <v>135</v>
      </c>
      <c r="B111" s="92"/>
      <c r="C111" s="160">
        <v>100</v>
      </c>
      <c r="D111" s="117">
        <f>+[3]Gatinais!$G111</f>
        <v>123.60000000000001</v>
      </c>
      <c r="E111" s="160"/>
      <c r="F111" s="425">
        <v>220</v>
      </c>
      <c r="G111" s="570">
        <v>200</v>
      </c>
      <c r="H111" s="401"/>
      <c r="I111" s="149">
        <f t="shared" si="11"/>
        <v>0</v>
      </c>
      <c r="J111" s="271">
        <f t="shared" si="11"/>
        <v>-9.0909090909090912E-2</v>
      </c>
      <c r="L111" s="443"/>
    </row>
    <row r="112" spans="1:12">
      <c r="A112" s="5" t="s">
        <v>136</v>
      </c>
      <c r="B112" s="92"/>
      <c r="C112" s="160"/>
      <c r="D112" s="117">
        <f>+[3]Gatinais!$G112</f>
        <v>0</v>
      </c>
      <c r="E112" s="160"/>
      <c r="F112" s="396">
        <f>+C112+C112/9*3</f>
        <v>0</v>
      </c>
      <c r="G112" s="570">
        <f t="shared" si="12"/>
        <v>0</v>
      </c>
      <c r="H112" s="401"/>
      <c r="I112" s="149">
        <f t="shared" si="11"/>
        <v>0</v>
      </c>
      <c r="J112" s="271">
        <f t="shared" si="11"/>
        <v>0</v>
      </c>
      <c r="L112" s="443"/>
    </row>
    <row r="113" spans="1:12">
      <c r="A113" s="5" t="s">
        <v>137</v>
      </c>
      <c r="B113" s="92"/>
      <c r="C113" s="160">
        <v>286.07</v>
      </c>
      <c r="D113" s="117">
        <f>+[3]Gatinais!$G113</f>
        <v>0</v>
      </c>
      <c r="E113" s="160"/>
      <c r="F113" s="396">
        <v>500</v>
      </c>
      <c r="G113" s="570">
        <v>2000</v>
      </c>
      <c r="H113" s="401"/>
      <c r="I113" s="149">
        <f t="shared" si="11"/>
        <v>0</v>
      </c>
      <c r="J113" s="271">
        <f t="shared" si="11"/>
        <v>3</v>
      </c>
      <c r="L113" s="443"/>
    </row>
    <row r="114" spans="1:12">
      <c r="A114" s="5" t="s">
        <v>138</v>
      </c>
      <c r="B114" s="92"/>
      <c r="C114" s="160"/>
      <c r="D114" s="117">
        <f>+[3]Gatinais!$G114</f>
        <v>0</v>
      </c>
      <c r="E114" s="160"/>
      <c r="F114" s="396">
        <f>+C114+C114/9*3</f>
        <v>0</v>
      </c>
      <c r="G114" s="570">
        <f t="shared" si="12"/>
        <v>0</v>
      </c>
      <c r="H114" s="401"/>
      <c r="I114" s="149">
        <f t="shared" si="11"/>
        <v>0</v>
      </c>
      <c r="J114" s="271">
        <f t="shared" si="11"/>
        <v>0</v>
      </c>
      <c r="L114" s="443"/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444"/>
    </row>
    <row r="116" spans="1:12" s="33" customFormat="1" ht="15" customHeight="1">
      <c r="A116" s="13" t="s">
        <v>133</v>
      </c>
      <c r="B116" s="93">
        <f>+C116/$C$21</f>
        <v>1.0701952790442216E-2</v>
      </c>
      <c r="C116" s="163">
        <f>SUM(C104:C115)</f>
        <v>2211.0700000000002</v>
      </c>
      <c r="D116" s="118">
        <f>SUM(D104:D115)</f>
        <v>2844.9732999999997</v>
      </c>
      <c r="E116" s="163">
        <f>SUM(E104:E115)</f>
        <v>0</v>
      </c>
      <c r="F116" s="136">
        <f>SUM(F104:F115)</f>
        <v>5669</v>
      </c>
      <c r="G116" s="136">
        <f>SUM(G104:G115)</f>
        <v>9100</v>
      </c>
      <c r="H116" s="421">
        <f>+G116/$G$21</f>
        <v>1.8582805799469061E-2</v>
      </c>
      <c r="I116" s="272">
        <f>+IF((E116)=0,,(F116-E116)/E116)</f>
        <v>0</v>
      </c>
      <c r="J116" s="188">
        <f>+IF((F116)=0,,(G116-F116)/F116)</f>
        <v>0.60522137943199861</v>
      </c>
      <c r="L116" s="445"/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444"/>
    </row>
    <row r="118" spans="1:12">
      <c r="A118" s="5" t="s">
        <v>139</v>
      </c>
      <c r="B118" s="92"/>
      <c r="C118" s="160">
        <f>381.27-478</f>
        <v>-96.730000000000018</v>
      </c>
      <c r="D118" s="117">
        <f>+[3]Gatinais!$G118</f>
        <v>386.15159999999997</v>
      </c>
      <c r="E118" s="160"/>
      <c r="F118" s="396">
        <f>F131*(0.2+0.5)%</f>
        <v>328.99999999999994</v>
      </c>
      <c r="G118" s="396">
        <f>G131*(0.2+0.5)%</f>
        <v>407.4</v>
      </c>
      <c r="H118" s="409"/>
      <c r="I118" s="149">
        <f t="shared" ref="I118:J127" si="13">+IF((E118)=0,,(F118-E118)/E118)</f>
        <v>0</v>
      </c>
      <c r="J118" s="271">
        <f t="shared" si="13"/>
        <v>0.23829787234042568</v>
      </c>
      <c r="L118" s="443"/>
    </row>
    <row r="119" spans="1:12">
      <c r="A119" s="5" t="s">
        <v>140</v>
      </c>
      <c r="B119" s="92"/>
      <c r="C119" s="160"/>
      <c r="D119" s="117">
        <f>+[3]Gatinais!$G119</f>
        <v>0</v>
      </c>
      <c r="E119" s="160"/>
      <c r="F119" s="396">
        <f>+F131*0.45%</f>
        <v>211.50000000000003</v>
      </c>
      <c r="G119" s="396">
        <f>+G131*0.45%</f>
        <v>261.90000000000003</v>
      </c>
      <c r="H119" s="409"/>
      <c r="I119" s="149">
        <f t="shared" si="13"/>
        <v>0</v>
      </c>
      <c r="J119" s="271">
        <f t="shared" si="13"/>
        <v>0.23829787234042552</v>
      </c>
      <c r="L119" s="443"/>
    </row>
    <row r="120" spans="1:12">
      <c r="A120" s="5" t="s">
        <v>141</v>
      </c>
      <c r="B120" s="92"/>
      <c r="C120" s="160">
        <v>-589</v>
      </c>
      <c r="D120" s="117">
        <f>+[3]Gatinais!$G120</f>
        <v>478.38</v>
      </c>
      <c r="E120" s="160"/>
      <c r="F120" s="396">
        <f>+F131*(0.6+0.18)%</f>
        <v>366.6</v>
      </c>
      <c r="G120" s="396">
        <f>+G131*(0.6+0.18)%</f>
        <v>453.96000000000004</v>
      </c>
      <c r="H120" s="409"/>
      <c r="I120" s="149">
        <f t="shared" si="13"/>
        <v>0</v>
      </c>
      <c r="J120" s="271">
        <f t="shared" si="13"/>
        <v>0.23829787234042554</v>
      </c>
      <c r="L120" s="443"/>
    </row>
    <row r="121" spans="1:12">
      <c r="A121" s="5" t="s">
        <v>706</v>
      </c>
      <c r="B121" s="92"/>
      <c r="C121" s="160"/>
      <c r="D121" s="117">
        <f>+[3]Gatinais!$G121</f>
        <v>2602.9500000000003</v>
      </c>
      <c r="E121" s="160"/>
      <c r="F121" s="570">
        <v>1010</v>
      </c>
      <c r="G121" s="570">
        <f>+F121/9*12*1.03</f>
        <v>1387.0666666666668</v>
      </c>
      <c r="H121" s="413"/>
      <c r="I121" s="149">
        <f t="shared" si="13"/>
        <v>0</v>
      </c>
      <c r="J121" s="271">
        <f t="shared" si="13"/>
        <v>0.37333333333333352</v>
      </c>
      <c r="L121" s="443"/>
    </row>
    <row r="122" spans="1:12">
      <c r="A122" s="5" t="s">
        <v>143</v>
      </c>
      <c r="B122" s="92"/>
      <c r="C122" s="160"/>
      <c r="D122" s="117">
        <f>+[3]Gatinais!$G122</f>
        <v>1856.4</v>
      </c>
      <c r="E122" s="160"/>
      <c r="F122" s="1164">
        <v>1856</v>
      </c>
      <c r="G122" s="1164">
        <f>+F122/9*12</f>
        <v>2474.666666666667</v>
      </c>
      <c r="H122" s="413"/>
      <c r="I122" s="149">
        <f t="shared" si="13"/>
        <v>0</v>
      </c>
      <c r="J122" s="271">
        <f t="shared" si="13"/>
        <v>0.33333333333333348</v>
      </c>
      <c r="L122" s="443"/>
    </row>
    <row r="123" spans="1:12">
      <c r="A123" s="5" t="s">
        <v>144</v>
      </c>
      <c r="B123" s="92"/>
      <c r="C123" s="160"/>
      <c r="D123" s="117">
        <f>+[3]Gatinais!$G123</f>
        <v>200</v>
      </c>
      <c r="E123" s="160"/>
      <c r="F123" s="396">
        <f>+C123+C123/9*3</f>
        <v>0</v>
      </c>
      <c r="G123" s="570">
        <v>200</v>
      </c>
      <c r="H123" s="413"/>
      <c r="I123" s="149">
        <f t="shared" si="13"/>
        <v>0</v>
      </c>
      <c r="J123" s="271">
        <f t="shared" si="13"/>
        <v>0</v>
      </c>
      <c r="L123" s="443"/>
    </row>
    <row r="124" spans="1:12">
      <c r="A124" s="5" t="s">
        <v>145</v>
      </c>
      <c r="B124" s="92"/>
      <c r="C124" s="160"/>
      <c r="D124" s="117">
        <f>+[3]Gatinais!$G124</f>
        <v>0</v>
      </c>
      <c r="E124" s="160"/>
      <c r="F124" s="396">
        <f>+C124+C124/9*3</f>
        <v>0</v>
      </c>
      <c r="G124" s="570">
        <f>+F124/9*12*1.03</f>
        <v>0</v>
      </c>
      <c r="H124" s="413"/>
      <c r="I124" s="149">
        <f t="shared" si="13"/>
        <v>0</v>
      </c>
      <c r="J124" s="271">
        <f t="shared" si="13"/>
        <v>0</v>
      </c>
      <c r="L124" s="443"/>
    </row>
    <row r="125" spans="1:12">
      <c r="A125" s="5" t="s">
        <v>286</v>
      </c>
      <c r="B125" s="92"/>
      <c r="C125" s="160"/>
      <c r="D125" s="117">
        <f>+[3]Gatinais!$G125</f>
        <v>0</v>
      </c>
      <c r="E125" s="160"/>
      <c r="F125" s="396">
        <f>+C125+C125/9*3</f>
        <v>0</v>
      </c>
      <c r="G125" s="570">
        <f>+F125/9*12*1.03</f>
        <v>0</v>
      </c>
      <c r="H125" s="413"/>
      <c r="I125" s="149">
        <f t="shared" si="13"/>
        <v>0</v>
      </c>
      <c r="J125" s="271">
        <f t="shared" si="13"/>
        <v>0</v>
      </c>
      <c r="L125" s="443"/>
    </row>
    <row r="126" spans="1:12">
      <c r="A126" s="5" t="s">
        <v>361</v>
      </c>
      <c r="B126" s="92"/>
      <c r="C126" s="160"/>
      <c r="D126" s="117">
        <f>+[3]Gatinais!$G126</f>
        <v>0</v>
      </c>
      <c r="E126" s="160"/>
      <c r="F126" s="396">
        <v>578</v>
      </c>
      <c r="G126" s="570">
        <v>0</v>
      </c>
      <c r="H126" s="413"/>
      <c r="I126" s="149">
        <f t="shared" si="13"/>
        <v>0</v>
      </c>
      <c r="J126" s="271">
        <f t="shared" si="13"/>
        <v>-1</v>
      </c>
      <c r="L126" s="443"/>
    </row>
    <row r="127" spans="1:12">
      <c r="A127" s="5" t="s">
        <v>146</v>
      </c>
      <c r="B127" s="92"/>
      <c r="C127" s="160"/>
      <c r="D127" s="117">
        <f>+[3]Gatinais!$G127</f>
        <v>789.30017344000009</v>
      </c>
      <c r="E127" s="160"/>
      <c r="F127" s="396">
        <f>+F21*0.16%</f>
        <v>494.40000000000003</v>
      </c>
      <c r="G127" s="396">
        <f>+G21*0.16%</f>
        <v>783.52</v>
      </c>
      <c r="H127" s="409"/>
      <c r="I127" s="149">
        <f t="shared" si="13"/>
        <v>0</v>
      </c>
      <c r="J127" s="271">
        <f t="shared" si="13"/>
        <v>0.58478964401294486</v>
      </c>
      <c r="L127" s="443"/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444"/>
    </row>
    <row r="129" spans="1:12" s="33" customFormat="1" ht="15" customHeight="1">
      <c r="A129" s="13" t="s">
        <v>147</v>
      </c>
      <c r="B129" s="93">
        <f>+C129/$C$21</f>
        <v>-3.3190491874929063E-3</v>
      </c>
      <c r="C129" s="163">
        <f>SUM(C117:C128)</f>
        <v>-685.73</v>
      </c>
      <c r="D129" s="118">
        <f>SUM(D117:D128)</f>
        <v>6313.1817734400011</v>
      </c>
      <c r="E129" s="163">
        <f>SUM(E117:E128)</f>
        <v>0</v>
      </c>
      <c r="F129" s="136">
        <f>SUM(F117:F128)</f>
        <v>4845.5</v>
      </c>
      <c r="G129" s="136">
        <f>SUM(G117:G128)</f>
        <v>5968.5133333333342</v>
      </c>
      <c r="H129" s="421">
        <f>+G129/$G$21</f>
        <v>1.2188101558777484E-2</v>
      </c>
      <c r="I129" s="272">
        <f>+IF((E129)=0,,(F129-E129)/E129)</f>
        <v>0</v>
      </c>
      <c r="J129" s="188">
        <f>+IF((F129)=0,,(G129-F129)/F129)</f>
        <v>0.23176417982320385</v>
      </c>
      <c r="L129" s="445"/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444"/>
    </row>
    <row r="131" spans="1:12">
      <c r="A131" s="5" t="s">
        <v>148</v>
      </c>
      <c r="B131" s="92"/>
      <c r="C131" s="160">
        <v>32581.68</v>
      </c>
      <c r="D131" s="117">
        <f>+[3]Gatinais!$G131</f>
        <v>70249.501199999999</v>
      </c>
      <c r="E131" s="160"/>
      <c r="F131" s="570">
        <v>47000</v>
      </c>
      <c r="G131" s="570">
        <f>4850*12</f>
        <v>58200</v>
      </c>
      <c r="H131" s="401"/>
      <c r="I131" s="149">
        <f t="shared" ref="I131:J146" si="14">+IF((E131)=0,,(F131-E131)/E131)</f>
        <v>0</v>
      </c>
      <c r="J131" s="271">
        <f t="shared" si="14"/>
        <v>0.23829787234042554</v>
      </c>
      <c r="L131" s="443"/>
    </row>
    <row r="132" spans="1:12">
      <c r="A132" s="5" t="s">
        <v>149</v>
      </c>
      <c r="B132" s="92"/>
      <c r="C132" s="160"/>
      <c r="D132" s="117">
        <f>+[3]Gatinais!$G132</f>
        <v>0</v>
      </c>
      <c r="E132" s="160"/>
      <c r="F132" s="396">
        <f t="shared" ref="F132:F152" si="15">+C132+C132/9*3</f>
        <v>0</v>
      </c>
      <c r="G132" s="570">
        <f t="shared" ref="G132:G140" si="16">+F132/9*12*1.03</f>
        <v>0</v>
      </c>
      <c r="H132" s="401"/>
      <c r="I132" s="149">
        <f t="shared" si="14"/>
        <v>0</v>
      </c>
      <c r="J132" s="271">
        <f t="shared" si="14"/>
        <v>0</v>
      </c>
      <c r="L132" s="443"/>
    </row>
    <row r="133" spans="1:12">
      <c r="A133" s="5" t="s">
        <v>150</v>
      </c>
      <c r="B133" s="92"/>
      <c r="C133" s="160"/>
      <c r="D133" s="117">
        <f>+[3]Gatinais!$G133</f>
        <v>0</v>
      </c>
      <c r="E133" s="160"/>
      <c r="F133" s="396">
        <f t="shared" si="15"/>
        <v>0</v>
      </c>
      <c r="G133" s="570">
        <f t="shared" si="16"/>
        <v>0</v>
      </c>
      <c r="H133" s="401"/>
      <c r="I133" s="149">
        <f t="shared" si="14"/>
        <v>0</v>
      </c>
      <c r="J133" s="271">
        <f t="shared" si="14"/>
        <v>0</v>
      </c>
      <c r="L133" s="443"/>
    </row>
    <row r="134" spans="1:12">
      <c r="A134" s="5" t="s">
        <v>151</v>
      </c>
      <c r="B134" s="92"/>
      <c r="C134" s="160">
        <v>-2792.35</v>
      </c>
      <c r="D134" s="117">
        <f>+[3]Gatinais!$G134</f>
        <v>784.09440000000006</v>
      </c>
      <c r="E134" s="160"/>
      <c r="F134" s="396">
        <f t="shared" si="15"/>
        <v>-3723.1333333333332</v>
      </c>
      <c r="G134" s="570">
        <v>0</v>
      </c>
      <c r="H134" s="401"/>
      <c r="I134" s="149">
        <f t="shared" si="14"/>
        <v>0</v>
      </c>
      <c r="J134" s="271">
        <f t="shared" si="14"/>
        <v>-1</v>
      </c>
      <c r="L134" s="443"/>
    </row>
    <row r="135" spans="1:12">
      <c r="A135" s="5" t="s">
        <v>114</v>
      </c>
      <c r="B135" s="92"/>
      <c r="C135" s="160"/>
      <c r="D135" s="117">
        <f>+[3]Gatinais!$G135</f>
        <v>0</v>
      </c>
      <c r="E135" s="160"/>
      <c r="F135" s="396">
        <f t="shared" si="15"/>
        <v>0</v>
      </c>
      <c r="G135" s="570">
        <f t="shared" si="16"/>
        <v>0</v>
      </c>
      <c r="H135" s="401"/>
      <c r="I135" s="149">
        <f t="shared" si="14"/>
        <v>0</v>
      </c>
      <c r="J135" s="271">
        <f t="shared" si="14"/>
        <v>0</v>
      </c>
      <c r="L135" s="443"/>
    </row>
    <row r="136" spans="1:12">
      <c r="A136" s="5" t="s">
        <v>338</v>
      </c>
      <c r="B136" s="92"/>
      <c r="C136" s="160"/>
      <c r="D136" s="117">
        <f>+[3]Gatinais!$G136</f>
        <v>0</v>
      </c>
      <c r="E136" s="160"/>
      <c r="F136" s="396">
        <f t="shared" si="15"/>
        <v>0</v>
      </c>
      <c r="G136" s="570">
        <f t="shared" si="16"/>
        <v>0</v>
      </c>
      <c r="H136" s="401"/>
      <c r="I136" s="149">
        <f t="shared" si="14"/>
        <v>0</v>
      </c>
      <c r="J136" s="271">
        <f t="shared" si="14"/>
        <v>0</v>
      </c>
      <c r="L136" s="443"/>
    </row>
    <row r="137" spans="1:12">
      <c r="A137" s="5" t="s">
        <v>87</v>
      </c>
      <c r="B137" s="92"/>
      <c r="C137" s="160"/>
      <c r="D137" s="117">
        <f>+[3]Gatinais!$G137</f>
        <v>0</v>
      </c>
      <c r="E137" s="160"/>
      <c r="F137" s="396">
        <f t="shared" si="15"/>
        <v>0</v>
      </c>
      <c r="G137" s="570">
        <f t="shared" si="16"/>
        <v>0</v>
      </c>
      <c r="H137" s="401"/>
      <c r="I137" s="149">
        <f t="shared" si="14"/>
        <v>0</v>
      </c>
      <c r="J137" s="271">
        <f t="shared" si="14"/>
        <v>0</v>
      </c>
      <c r="L137" s="443"/>
    </row>
    <row r="138" spans="1:12">
      <c r="A138" s="5" t="s">
        <v>152</v>
      </c>
      <c r="B138" s="92"/>
      <c r="C138" s="160">
        <v>-984.59</v>
      </c>
      <c r="D138" s="117">
        <f>+[3]Gatinais!$G138</f>
        <v>326.19600000000003</v>
      </c>
      <c r="E138" s="160"/>
      <c r="F138" s="396">
        <f t="shared" si="15"/>
        <v>-1312.7866666666666</v>
      </c>
      <c r="G138" s="570">
        <v>0</v>
      </c>
      <c r="H138" s="401"/>
      <c r="I138" s="149">
        <f t="shared" si="14"/>
        <v>0</v>
      </c>
      <c r="J138" s="271">
        <f t="shared" si="14"/>
        <v>-1</v>
      </c>
      <c r="L138" s="443"/>
    </row>
    <row r="139" spans="1:12">
      <c r="A139" s="5" t="s">
        <v>153</v>
      </c>
      <c r="B139" s="92"/>
      <c r="C139" s="160"/>
      <c r="D139" s="117">
        <f>+[3]Gatinais!$G139</f>
        <v>0</v>
      </c>
      <c r="E139" s="160"/>
      <c r="F139" s="396">
        <f t="shared" si="15"/>
        <v>0</v>
      </c>
      <c r="G139" s="570">
        <f t="shared" si="16"/>
        <v>0</v>
      </c>
      <c r="H139" s="401"/>
      <c r="I139" s="149">
        <f t="shared" si="14"/>
        <v>0</v>
      </c>
      <c r="J139" s="271">
        <f t="shared" si="14"/>
        <v>0</v>
      </c>
      <c r="L139" s="443"/>
    </row>
    <row r="140" spans="1:12">
      <c r="A140" s="5" t="s">
        <v>154</v>
      </c>
      <c r="B140" s="92"/>
      <c r="C140" s="160"/>
      <c r="D140" s="117">
        <f>+[3]Gatinais!$G140</f>
        <v>0</v>
      </c>
      <c r="E140" s="160"/>
      <c r="F140" s="396">
        <f t="shared" si="15"/>
        <v>0</v>
      </c>
      <c r="G140" s="570">
        <f t="shared" si="16"/>
        <v>0</v>
      </c>
      <c r="H140" s="401"/>
      <c r="I140" s="149">
        <f t="shared" si="14"/>
        <v>0</v>
      </c>
      <c r="J140" s="271">
        <f t="shared" si="14"/>
        <v>0</v>
      </c>
      <c r="L140" s="443"/>
    </row>
    <row r="141" spans="1:12">
      <c r="A141" s="5" t="s">
        <v>155</v>
      </c>
      <c r="B141" s="92"/>
      <c r="C141" s="160">
        <v>8839.92</v>
      </c>
      <c r="D141" s="117">
        <f>+[3]Gatinais!$G141</f>
        <v>19170.185999999998</v>
      </c>
      <c r="E141" s="160"/>
      <c r="F141" s="396">
        <f t="shared" si="15"/>
        <v>11786.560000000001</v>
      </c>
      <c r="G141" s="396">
        <f>+$G$131/$C$131*C141</f>
        <v>15790.571388584014</v>
      </c>
      <c r="H141" s="409"/>
      <c r="I141" s="149">
        <f t="shared" si="14"/>
        <v>0</v>
      </c>
      <c r="J141" s="271">
        <f t="shared" si="14"/>
        <v>0.33970992287690494</v>
      </c>
      <c r="L141" s="443"/>
    </row>
    <row r="142" spans="1:12">
      <c r="A142" s="5" t="s">
        <v>156</v>
      </c>
      <c r="B142" s="92"/>
      <c r="C142" s="160"/>
      <c r="D142" s="117">
        <f>+[3]Gatinais!$G142</f>
        <v>0</v>
      </c>
      <c r="E142" s="160"/>
      <c r="F142" s="396">
        <f t="shared" si="15"/>
        <v>0</v>
      </c>
      <c r="G142" s="396">
        <f>+$G$131/$C$131*C142</f>
        <v>0</v>
      </c>
      <c r="H142" s="409"/>
      <c r="I142" s="149">
        <f t="shared" si="14"/>
        <v>0</v>
      </c>
      <c r="J142" s="271">
        <f t="shared" si="14"/>
        <v>0</v>
      </c>
      <c r="L142" s="443"/>
    </row>
    <row r="143" spans="1:12">
      <c r="A143" s="5" t="s">
        <v>157</v>
      </c>
      <c r="B143" s="92"/>
      <c r="C143" s="160">
        <v>2062</v>
      </c>
      <c r="D143" s="117">
        <f>+[3]Gatinais!$G143</f>
        <v>4524.5160000000005</v>
      </c>
      <c r="E143" s="160"/>
      <c r="F143" s="396">
        <f t="shared" si="15"/>
        <v>2749.3333333333335</v>
      </c>
      <c r="G143" s="396">
        <f>+$G$131/$C$131*C143</f>
        <v>3683.3091479629043</v>
      </c>
      <c r="H143" s="409"/>
      <c r="I143" s="149">
        <f t="shared" si="14"/>
        <v>0</v>
      </c>
      <c r="J143" s="271">
        <f t="shared" si="14"/>
        <v>0.33970992287690499</v>
      </c>
      <c r="L143" s="443"/>
    </row>
    <row r="144" spans="1:12">
      <c r="A144" s="5" t="s">
        <v>326</v>
      </c>
      <c r="B144" s="92"/>
      <c r="C144" s="160"/>
      <c r="D144" s="117">
        <f>+[3]Gatinais!$G144</f>
        <v>0</v>
      </c>
      <c r="E144" s="160"/>
      <c r="F144" s="396">
        <f t="shared" si="15"/>
        <v>0</v>
      </c>
      <c r="G144" s="396">
        <f>+$G$131/$C$131*C144</f>
        <v>0</v>
      </c>
      <c r="H144" s="409"/>
      <c r="I144" s="149">
        <f t="shared" si="14"/>
        <v>0</v>
      </c>
      <c r="J144" s="271">
        <f t="shared" si="14"/>
        <v>0</v>
      </c>
      <c r="L144" s="443"/>
    </row>
    <row r="145" spans="1:12">
      <c r="A145" s="5" t="s">
        <v>158</v>
      </c>
      <c r="B145" s="92"/>
      <c r="C145" s="160">
        <v>736.86</v>
      </c>
      <c r="D145" s="117">
        <f>+[3]Gatinais!$G145</f>
        <v>1312.9032000000002</v>
      </c>
      <c r="E145" s="160"/>
      <c r="F145" s="396">
        <f t="shared" si="15"/>
        <v>982.48</v>
      </c>
      <c r="G145" s="396">
        <f>+$G$131/$C$131*C145</f>
        <v>1316.2382050281017</v>
      </c>
      <c r="H145" s="409"/>
      <c r="I145" s="149">
        <f t="shared" si="14"/>
        <v>0</v>
      </c>
      <c r="J145" s="271">
        <f t="shared" si="14"/>
        <v>0.33970992287690505</v>
      </c>
      <c r="L145" s="443"/>
    </row>
    <row r="146" spans="1:12">
      <c r="A146" s="5" t="s">
        <v>159</v>
      </c>
      <c r="B146" s="92"/>
      <c r="C146" s="160"/>
      <c r="D146" s="117">
        <f>+[3]Gatinais!$G146</f>
        <v>0</v>
      </c>
      <c r="E146" s="160"/>
      <c r="F146" s="396">
        <f t="shared" si="15"/>
        <v>0</v>
      </c>
      <c r="G146" s="570">
        <f t="shared" ref="G146:G152" si="17">+F146/9*12*1.03</f>
        <v>0</v>
      </c>
      <c r="H146" s="409"/>
      <c r="I146" s="149">
        <f t="shared" si="14"/>
        <v>0</v>
      </c>
      <c r="J146" s="271">
        <f t="shared" si="14"/>
        <v>0</v>
      </c>
      <c r="L146" s="443"/>
    </row>
    <row r="147" spans="1:12">
      <c r="A147" s="5" t="s">
        <v>160</v>
      </c>
      <c r="B147" s="92"/>
      <c r="C147" s="160"/>
      <c r="D147" s="117">
        <f>+[3]Gatinais!$G147</f>
        <v>0</v>
      </c>
      <c r="E147" s="160"/>
      <c r="F147" s="396">
        <f t="shared" si="15"/>
        <v>0</v>
      </c>
      <c r="G147" s="570">
        <f t="shared" si="17"/>
        <v>0</v>
      </c>
      <c r="H147" s="409"/>
      <c r="I147" s="149">
        <f t="shared" ref="I147:J152" si="18">+IF((E147)=0,,(F147-E147)/E147)</f>
        <v>0</v>
      </c>
      <c r="J147" s="271">
        <f t="shared" si="18"/>
        <v>0</v>
      </c>
      <c r="L147" s="443"/>
    </row>
    <row r="148" spans="1:12">
      <c r="A148" s="5" t="s">
        <v>161</v>
      </c>
      <c r="B148" s="92"/>
      <c r="C148" s="160"/>
      <c r="D148" s="117">
        <f>+[3]Gatinais!$G148</f>
        <v>0</v>
      </c>
      <c r="E148" s="160"/>
      <c r="F148" s="396">
        <f t="shared" si="15"/>
        <v>0</v>
      </c>
      <c r="G148" s="570">
        <f t="shared" si="17"/>
        <v>0</v>
      </c>
      <c r="H148" s="409"/>
      <c r="I148" s="149">
        <f t="shared" si="18"/>
        <v>0</v>
      </c>
      <c r="J148" s="271">
        <f t="shared" si="18"/>
        <v>0</v>
      </c>
      <c r="L148" s="443"/>
    </row>
    <row r="149" spans="1:12">
      <c r="A149" s="5" t="s">
        <v>162</v>
      </c>
      <c r="B149" s="92"/>
      <c r="C149" s="160"/>
      <c r="D149" s="117">
        <f>+[3]Gatinais!$G149</f>
        <v>0</v>
      </c>
      <c r="E149" s="160"/>
      <c r="F149" s="396">
        <f t="shared" si="15"/>
        <v>0</v>
      </c>
      <c r="G149" s="570">
        <f t="shared" si="17"/>
        <v>0</v>
      </c>
      <c r="H149" s="409"/>
      <c r="I149" s="149">
        <f t="shared" si="18"/>
        <v>0</v>
      </c>
      <c r="J149" s="271">
        <f t="shared" si="18"/>
        <v>0</v>
      </c>
      <c r="L149" s="443"/>
    </row>
    <row r="150" spans="1:12">
      <c r="A150" s="5" t="s">
        <v>163</v>
      </c>
      <c r="B150" s="92"/>
      <c r="C150" s="160">
        <v>74.48</v>
      </c>
      <c r="D150" s="117">
        <f>+[3]Gatinais!$G150</f>
        <v>0</v>
      </c>
      <c r="E150" s="160"/>
      <c r="F150" s="396">
        <f t="shared" si="15"/>
        <v>99.306666666666672</v>
      </c>
      <c r="G150" s="570">
        <f t="shared" si="17"/>
        <v>136.38115555555558</v>
      </c>
      <c r="H150" s="409"/>
      <c r="I150" s="149">
        <f t="shared" si="18"/>
        <v>0</v>
      </c>
      <c r="J150" s="271">
        <f t="shared" si="18"/>
        <v>0.37333333333333352</v>
      </c>
      <c r="L150" s="443"/>
    </row>
    <row r="151" spans="1:12">
      <c r="A151" s="5" t="s">
        <v>570</v>
      </c>
      <c r="B151" s="92"/>
      <c r="C151" s="160"/>
      <c r="D151" s="117">
        <f>+[3]Gatinais!$G151</f>
        <v>0</v>
      </c>
      <c r="E151" s="160"/>
      <c r="F151" s="396">
        <f t="shared" si="15"/>
        <v>0</v>
      </c>
      <c r="G151" s="570">
        <f t="shared" si="17"/>
        <v>0</v>
      </c>
      <c r="H151" s="409"/>
      <c r="I151" s="149"/>
      <c r="J151" s="271"/>
      <c r="L151" s="443"/>
    </row>
    <row r="152" spans="1:12">
      <c r="A152" s="5" t="s">
        <v>58</v>
      </c>
      <c r="B152" s="92"/>
      <c r="C152" s="160"/>
      <c r="D152" s="117">
        <f>+[3]Gatinais!$G152</f>
        <v>0</v>
      </c>
      <c r="E152" s="160"/>
      <c r="F152" s="396">
        <f t="shared" si="15"/>
        <v>0</v>
      </c>
      <c r="G152" s="570">
        <f t="shared" si="17"/>
        <v>0</v>
      </c>
      <c r="H152" s="409"/>
      <c r="I152" s="149">
        <f t="shared" si="18"/>
        <v>0</v>
      </c>
      <c r="J152" s="271">
        <f t="shared" si="18"/>
        <v>0</v>
      </c>
      <c r="L152" s="443"/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443"/>
    </row>
    <row r="154" spans="1:12" s="33" customFormat="1" ht="15" customHeight="1">
      <c r="A154" s="13" t="s">
        <v>164</v>
      </c>
      <c r="B154" s="93">
        <f>+C154/$C$21</f>
        <v>0.19611397339891443</v>
      </c>
      <c r="C154" s="163">
        <f>SUM(C130:C153)</f>
        <v>40518.000000000007</v>
      </c>
      <c r="D154" s="118">
        <f>SUM(D130:D153)</f>
        <v>96367.396800000002</v>
      </c>
      <c r="E154" s="163">
        <f>SUM(E130:E153)</f>
        <v>0</v>
      </c>
      <c r="F154" s="136">
        <f>SUM(F130:F153)</f>
        <v>57581.760000000002</v>
      </c>
      <c r="G154" s="136">
        <f>SUM(G130:G153)</f>
        <v>79126.499897130576</v>
      </c>
      <c r="H154" s="421">
        <f>+G154/$G$21</f>
        <v>0.16158158034946002</v>
      </c>
      <c r="I154" s="272">
        <f>+IF((E154)=0,,(F154-E154)/E154)</f>
        <v>0</v>
      </c>
      <c r="J154" s="188">
        <f>+IF((F154)=0,,(G154-F154)/F154)</f>
        <v>0.37415910693126736</v>
      </c>
      <c r="L154" s="445"/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444"/>
    </row>
    <row r="156" spans="1:12">
      <c r="A156" s="5" t="s">
        <v>545</v>
      </c>
      <c r="B156" s="92">
        <v>0.73740000000000006</v>
      </c>
      <c r="C156" s="160"/>
      <c r="D156" s="117">
        <f>+[3]Gatinais!$G155</f>
        <v>20000</v>
      </c>
      <c r="E156" s="160"/>
      <c r="F156" s="1164">
        <v>3000</v>
      </c>
      <c r="G156" s="570">
        <f>+G21*B156*1.62%</f>
        <v>5849.8974360000011</v>
      </c>
      <c r="H156" s="413"/>
      <c r="I156" s="149">
        <f t="shared" ref="I156:J166" si="19">+IF((E156)=0,,(F156-E156)/E156)</f>
        <v>0</v>
      </c>
      <c r="J156" s="271">
        <f t="shared" si="19"/>
        <v>0.94996581200000041</v>
      </c>
      <c r="L156" s="443"/>
    </row>
    <row r="157" spans="1:12">
      <c r="A157" s="5" t="s">
        <v>165</v>
      </c>
      <c r="B157" s="92"/>
      <c r="C157" s="160"/>
      <c r="D157" s="117">
        <f>+[3]Gatinais!$G156</f>
        <v>0</v>
      </c>
      <c r="E157" s="160"/>
      <c r="F157" s="396">
        <v>0</v>
      </c>
      <c r="G157" s="570">
        <f t="shared" ref="G157:G166" si="20">+F157/9*12*1.03</f>
        <v>0</v>
      </c>
      <c r="H157" s="409"/>
      <c r="I157" s="149">
        <f t="shared" si="19"/>
        <v>0</v>
      </c>
      <c r="J157" s="271">
        <f t="shared" si="19"/>
        <v>0</v>
      </c>
      <c r="L157" s="443"/>
    </row>
    <row r="158" spans="1:12">
      <c r="A158" s="5" t="s">
        <v>166</v>
      </c>
      <c r="B158" s="92"/>
      <c r="C158" s="160"/>
      <c r="D158" s="117">
        <f>+[3]Gatinais!$G157</f>
        <v>0</v>
      </c>
      <c r="E158" s="160"/>
      <c r="F158" s="396">
        <v>0</v>
      </c>
      <c r="G158" s="570">
        <f t="shared" si="20"/>
        <v>0</v>
      </c>
      <c r="H158" s="409"/>
      <c r="I158" s="149">
        <f t="shared" si="19"/>
        <v>0</v>
      </c>
      <c r="J158" s="271">
        <f t="shared" si="19"/>
        <v>0</v>
      </c>
      <c r="L158" s="443"/>
    </row>
    <row r="159" spans="1:12">
      <c r="A159" s="5" t="s">
        <v>60</v>
      </c>
      <c r="B159" s="92"/>
      <c r="C159" s="160"/>
      <c r="D159" s="117">
        <f>+[3]Gatinais!$G158</f>
        <v>0</v>
      </c>
      <c r="E159" s="160"/>
      <c r="F159" s="396">
        <f t="shared" ref="F159:F166" si="21">+C159+C159/9*3</f>
        <v>0</v>
      </c>
      <c r="G159" s="570">
        <f t="shared" si="20"/>
        <v>0</v>
      </c>
      <c r="H159" s="409"/>
      <c r="I159" s="149">
        <f t="shared" si="19"/>
        <v>0</v>
      </c>
      <c r="J159" s="271">
        <f t="shared" si="19"/>
        <v>0</v>
      </c>
      <c r="L159" s="443"/>
    </row>
    <row r="160" spans="1:12">
      <c r="A160" s="5" t="s">
        <v>199</v>
      </c>
      <c r="B160" s="92"/>
      <c r="C160" s="160"/>
      <c r="D160" s="117">
        <f>+[3]Gatinais!$G159</f>
        <v>0</v>
      </c>
      <c r="E160" s="160"/>
      <c r="F160" s="396">
        <f t="shared" si="21"/>
        <v>0</v>
      </c>
      <c r="G160" s="570">
        <f t="shared" si="20"/>
        <v>0</v>
      </c>
      <c r="H160" s="409"/>
      <c r="I160" s="149">
        <f t="shared" si="19"/>
        <v>0</v>
      </c>
      <c r="J160" s="271">
        <f t="shared" si="19"/>
        <v>0</v>
      </c>
      <c r="L160" s="443"/>
    </row>
    <row r="161" spans="1:12">
      <c r="A161" s="5" t="s">
        <v>41</v>
      </c>
      <c r="B161" s="92"/>
      <c r="C161" s="160"/>
      <c r="D161" s="117">
        <f>+[3]Gatinais!$G160</f>
        <v>0</v>
      </c>
      <c r="E161" s="160"/>
      <c r="F161" s="396">
        <f t="shared" si="21"/>
        <v>0</v>
      </c>
      <c r="G161" s="570">
        <f t="shared" si="20"/>
        <v>0</v>
      </c>
      <c r="H161" s="409"/>
      <c r="I161" s="149">
        <f t="shared" si="19"/>
        <v>0</v>
      </c>
      <c r="J161" s="271">
        <f t="shared" si="19"/>
        <v>0</v>
      </c>
      <c r="L161" s="443"/>
    </row>
    <row r="162" spans="1:12">
      <c r="A162" s="5" t="s">
        <v>355</v>
      </c>
      <c r="B162" s="92"/>
      <c r="C162" s="160"/>
      <c r="D162" s="117">
        <f>+[3]Gatinais!$G161</f>
        <v>0</v>
      </c>
      <c r="E162" s="160"/>
      <c r="F162" s="396">
        <f t="shared" si="21"/>
        <v>0</v>
      </c>
      <c r="G162" s="570">
        <f t="shared" si="20"/>
        <v>0</v>
      </c>
      <c r="H162" s="409"/>
      <c r="I162" s="149">
        <f t="shared" si="19"/>
        <v>0</v>
      </c>
      <c r="J162" s="271">
        <f t="shared" si="19"/>
        <v>0</v>
      </c>
      <c r="L162" s="443"/>
    </row>
    <row r="163" spans="1:12">
      <c r="A163" s="5" t="s">
        <v>200</v>
      </c>
      <c r="B163" s="92"/>
      <c r="C163" s="160"/>
      <c r="D163" s="117">
        <f>+[3]Gatinais!$G162</f>
        <v>0</v>
      </c>
      <c r="E163" s="160"/>
      <c r="F163" s="396">
        <f t="shared" si="21"/>
        <v>0</v>
      </c>
      <c r="G163" s="570">
        <f t="shared" si="20"/>
        <v>0</v>
      </c>
      <c r="H163" s="409"/>
      <c r="I163" s="149">
        <f t="shared" si="19"/>
        <v>0</v>
      </c>
      <c r="J163" s="271">
        <f t="shared" si="19"/>
        <v>0</v>
      </c>
      <c r="L163" s="443"/>
    </row>
    <row r="164" spans="1:12">
      <c r="A164" s="5" t="s">
        <v>271</v>
      </c>
      <c r="B164" s="92"/>
      <c r="C164" s="160"/>
      <c r="D164" s="117">
        <f>+[3]Gatinais!$G163</f>
        <v>0</v>
      </c>
      <c r="E164" s="160"/>
      <c r="F164" s="396">
        <f t="shared" si="21"/>
        <v>0</v>
      </c>
      <c r="G164" s="570">
        <f t="shared" si="20"/>
        <v>0</v>
      </c>
      <c r="H164" s="409"/>
      <c r="I164" s="149">
        <f t="shared" si="19"/>
        <v>0</v>
      </c>
      <c r="J164" s="271">
        <f t="shared" si="19"/>
        <v>0</v>
      </c>
      <c r="L164" s="443"/>
    </row>
    <row r="165" spans="1:12">
      <c r="A165" s="5" t="s">
        <v>242</v>
      </c>
      <c r="B165" s="92"/>
      <c r="C165" s="160"/>
      <c r="D165" s="117">
        <f>+[3]Gatinais!$G164</f>
        <v>0</v>
      </c>
      <c r="E165" s="160"/>
      <c r="F165" s="396">
        <f t="shared" si="21"/>
        <v>0</v>
      </c>
      <c r="G165" s="570">
        <f t="shared" si="20"/>
        <v>0</v>
      </c>
      <c r="H165" s="409"/>
      <c r="I165" s="149">
        <f t="shared" si="19"/>
        <v>0</v>
      </c>
      <c r="J165" s="271">
        <f t="shared" si="19"/>
        <v>0</v>
      </c>
      <c r="L165" s="443"/>
    </row>
    <row r="166" spans="1:12">
      <c r="A166" s="5" t="s">
        <v>201</v>
      </c>
      <c r="B166" s="92"/>
      <c r="C166" s="160"/>
      <c r="D166" s="117">
        <f>+[3]Gatinais!$G165</f>
        <v>0</v>
      </c>
      <c r="E166" s="160"/>
      <c r="F166" s="396">
        <f t="shared" si="21"/>
        <v>0</v>
      </c>
      <c r="G166" s="570">
        <f t="shared" si="20"/>
        <v>0</v>
      </c>
      <c r="H166" s="409"/>
      <c r="I166" s="149">
        <f t="shared" si="19"/>
        <v>0</v>
      </c>
      <c r="J166" s="271">
        <f t="shared" si="19"/>
        <v>0</v>
      </c>
      <c r="L166" s="443"/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444"/>
    </row>
    <row r="168" spans="1:12" s="33" customFormat="1" ht="15" customHeight="1">
      <c r="A168" s="13" t="s">
        <v>74</v>
      </c>
      <c r="B168" s="93">
        <f>+C168/$C$21</f>
        <v>0</v>
      </c>
      <c r="C168" s="163">
        <f>SUM(C155:C167)</f>
        <v>0</v>
      </c>
      <c r="D168" s="118">
        <f>SUM(D155:D167)</f>
        <v>20000</v>
      </c>
      <c r="E168" s="163">
        <f>SUM(E155:E167)</f>
        <v>0</v>
      </c>
      <c r="F168" s="136">
        <f>SUM(F155:F167)</f>
        <v>3000</v>
      </c>
      <c r="G168" s="136">
        <f>SUM(G155:G167)</f>
        <v>5849.8974360000011</v>
      </c>
      <c r="H168" s="421">
        <f>+G168/$G$21</f>
        <v>1.1945880000000002E-2</v>
      </c>
      <c r="I168" s="272">
        <f>+IF((E168)=0,,(F168-E168)/E168)</f>
        <v>0</v>
      </c>
      <c r="J168" s="188">
        <f>+IF((F168)=0,,(G168-F168)/F168)</f>
        <v>0.94996581200000041</v>
      </c>
      <c r="L168" s="445"/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444"/>
    </row>
    <row r="170" spans="1:12">
      <c r="A170" s="5" t="s">
        <v>167</v>
      </c>
      <c r="B170" s="92"/>
      <c r="C170" s="160">
        <f>1993.74-326.73</f>
        <v>1667.01</v>
      </c>
      <c r="D170" s="117">
        <f>+[3]Gatinais!$G169</f>
        <v>0</v>
      </c>
      <c r="E170" s="160"/>
      <c r="F170" s="570">
        <v>1667</v>
      </c>
      <c r="G170" s="395">
        <v>0</v>
      </c>
      <c r="H170" s="409"/>
      <c r="I170" s="149">
        <f t="shared" ref="I170:J183" si="22">+IF((E170)=0,,(F170-E170)/E170)</f>
        <v>0</v>
      </c>
      <c r="J170" s="271">
        <f t="shared" si="22"/>
        <v>-1</v>
      </c>
      <c r="L170" s="443"/>
    </row>
    <row r="171" spans="1:12">
      <c r="A171" s="5" t="s">
        <v>168</v>
      </c>
      <c r="B171" s="92"/>
      <c r="C171" s="160"/>
      <c r="D171" s="117">
        <f>+[3]Gatinais!$G170</f>
        <v>0</v>
      </c>
      <c r="E171" s="160"/>
      <c r="F171" s="396">
        <f t="shared" ref="F171:F178" si="23">+C171+C171/9*3</f>
        <v>0</v>
      </c>
      <c r="G171" s="395">
        <f t="shared" ref="G171:G183" si="24">+F171/9*12*1.03</f>
        <v>0</v>
      </c>
      <c r="H171" s="409"/>
      <c r="I171" s="149">
        <f t="shared" si="22"/>
        <v>0</v>
      </c>
      <c r="J171" s="271">
        <f t="shared" si="22"/>
        <v>0</v>
      </c>
      <c r="L171" s="443"/>
    </row>
    <row r="172" spans="1:12">
      <c r="A172" s="5" t="s">
        <v>169</v>
      </c>
      <c r="B172" s="92"/>
      <c r="C172" s="160">
        <v>173</v>
      </c>
      <c r="D172" s="117">
        <f>+[3]Gatinais!$G171</f>
        <v>0</v>
      </c>
      <c r="E172" s="160"/>
      <c r="F172" s="396">
        <v>173</v>
      </c>
      <c r="G172" s="395">
        <v>0</v>
      </c>
      <c r="H172" s="409"/>
      <c r="I172" s="149">
        <f t="shared" si="22"/>
        <v>0</v>
      </c>
      <c r="J172" s="271">
        <f t="shared" si="22"/>
        <v>-1</v>
      </c>
      <c r="L172" s="443"/>
    </row>
    <row r="173" spans="1:12">
      <c r="A173" s="5" t="s">
        <v>170</v>
      </c>
      <c r="B173" s="92"/>
      <c r="C173" s="160">
        <f>10.58-7.46</f>
        <v>3.12</v>
      </c>
      <c r="D173" s="117">
        <f>+[3]Gatinais!$G172</f>
        <v>0</v>
      </c>
      <c r="E173" s="160"/>
      <c r="F173" s="396">
        <f t="shared" si="23"/>
        <v>4.16</v>
      </c>
      <c r="G173" s="395">
        <v>0</v>
      </c>
      <c r="H173" s="409"/>
      <c r="I173" s="149">
        <f t="shared" si="22"/>
        <v>0</v>
      </c>
      <c r="J173" s="271">
        <f t="shared" si="22"/>
        <v>-1</v>
      </c>
      <c r="L173" s="443"/>
    </row>
    <row r="174" spans="1:12">
      <c r="A174" s="5" t="s">
        <v>341</v>
      </c>
      <c r="B174" s="92"/>
      <c r="C174" s="160"/>
      <c r="D174" s="117">
        <f>+[3]Gatinais!$G173</f>
        <v>0</v>
      </c>
      <c r="E174" s="160"/>
      <c r="F174" s="396">
        <f t="shared" si="23"/>
        <v>0</v>
      </c>
      <c r="G174" s="395">
        <f t="shared" si="24"/>
        <v>0</v>
      </c>
      <c r="H174" s="409"/>
      <c r="I174" s="149">
        <f t="shared" si="22"/>
        <v>0</v>
      </c>
      <c r="J174" s="271">
        <f t="shared" si="22"/>
        <v>0</v>
      </c>
      <c r="L174" s="443"/>
    </row>
    <row r="175" spans="1:12">
      <c r="A175" s="5" t="s">
        <v>308</v>
      </c>
      <c r="B175" s="92"/>
      <c r="C175" s="160"/>
      <c r="D175" s="117">
        <f>+[3]Gatinais!$G174</f>
        <v>0</v>
      </c>
      <c r="E175" s="160"/>
      <c r="F175" s="396">
        <f t="shared" si="23"/>
        <v>0</v>
      </c>
      <c r="G175" s="395">
        <f t="shared" si="24"/>
        <v>0</v>
      </c>
      <c r="H175" s="409"/>
      <c r="I175" s="149">
        <f t="shared" si="22"/>
        <v>0</v>
      </c>
      <c r="J175" s="271">
        <f t="shared" si="22"/>
        <v>0</v>
      </c>
      <c r="L175" s="443"/>
    </row>
    <row r="176" spans="1:12">
      <c r="A176" s="5" t="s">
        <v>172</v>
      </c>
      <c r="B176" s="92"/>
      <c r="C176" s="160"/>
      <c r="D176" s="117">
        <f>+[3]Gatinais!$G175</f>
        <v>0</v>
      </c>
      <c r="E176" s="160"/>
      <c r="F176" s="396">
        <f t="shared" si="23"/>
        <v>0</v>
      </c>
      <c r="G176" s="395">
        <f t="shared" si="24"/>
        <v>0</v>
      </c>
      <c r="H176" s="409"/>
      <c r="I176" s="149">
        <f t="shared" si="22"/>
        <v>0</v>
      </c>
      <c r="J176" s="271">
        <f t="shared" si="22"/>
        <v>0</v>
      </c>
      <c r="L176" s="443"/>
    </row>
    <row r="177" spans="1:12">
      <c r="A177" s="5" t="s">
        <v>173</v>
      </c>
      <c r="B177" s="92"/>
      <c r="C177" s="160"/>
      <c r="D177" s="117">
        <f>+[3]Gatinais!$G176</f>
        <v>0</v>
      </c>
      <c r="E177" s="160"/>
      <c r="F177" s="396">
        <f t="shared" si="23"/>
        <v>0</v>
      </c>
      <c r="G177" s="395">
        <f t="shared" si="24"/>
        <v>0</v>
      </c>
      <c r="H177" s="409"/>
      <c r="I177" s="149">
        <f t="shared" si="22"/>
        <v>0</v>
      </c>
      <c r="J177" s="271">
        <f t="shared" si="22"/>
        <v>0</v>
      </c>
      <c r="L177" s="443"/>
    </row>
    <row r="178" spans="1:12">
      <c r="A178" s="5" t="s">
        <v>174</v>
      </c>
      <c r="B178" s="92"/>
      <c r="C178" s="160"/>
      <c r="D178" s="117">
        <f>+[3]Gatinais!$G177</f>
        <v>0</v>
      </c>
      <c r="E178" s="160"/>
      <c r="F178" s="396">
        <f t="shared" si="23"/>
        <v>0</v>
      </c>
      <c r="G178" s="395">
        <f t="shared" si="24"/>
        <v>0</v>
      </c>
      <c r="H178" s="409"/>
      <c r="I178" s="149">
        <f t="shared" si="22"/>
        <v>0</v>
      </c>
      <c r="J178" s="271">
        <f t="shared" si="22"/>
        <v>0</v>
      </c>
      <c r="L178" s="443"/>
    </row>
    <row r="179" spans="1:12">
      <c r="A179" s="5" t="s">
        <v>175</v>
      </c>
      <c r="B179" s="92"/>
      <c r="C179" s="160"/>
      <c r="D179" s="117">
        <f>+[3]Gatinais!$G178</f>
        <v>3600</v>
      </c>
      <c r="E179" s="160"/>
      <c r="F179" s="570">
        <v>3600</v>
      </c>
      <c r="G179" s="570">
        <f>+F179+500+150</f>
        <v>4250</v>
      </c>
      <c r="H179" s="413"/>
      <c r="I179" s="149">
        <f t="shared" si="22"/>
        <v>0</v>
      </c>
      <c r="J179" s="271">
        <f t="shared" si="22"/>
        <v>0.18055555555555555</v>
      </c>
      <c r="L179" s="443"/>
    </row>
    <row r="180" spans="1:12">
      <c r="A180" s="5" t="s">
        <v>78</v>
      </c>
      <c r="B180" s="92"/>
      <c r="C180" s="160"/>
      <c r="D180" s="117">
        <f>+[3]Gatinais!$G179</f>
        <v>0</v>
      </c>
      <c r="E180" s="160"/>
      <c r="F180" s="396">
        <f>+C180+C180/9*3</f>
        <v>0</v>
      </c>
      <c r="G180" s="395">
        <f t="shared" si="24"/>
        <v>0</v>
      </c>
      <c r="H180" s="409"/>
      <c r="I180" s="149">
        <f t="shared" si="22"/>
        <v>0</v>
      </c>
      <c r="J180" s="271">
        <f t="shared" si="22"/>
        <v>0</v>
      </c>
      <c r="L180" s="443"/>
    </row>
    <row r="181" spans="1:12">
      <c r="A181" s="5" t="s">
        <v>327</v>
      </c>
      <c r="B181" s="92"/>
      <c r="C181" s="160"/>
      <c r="D181" s="117">
        <f>+[3]Gatinais!$G180</f>
        <v>0</v>
      </c>
      <c r="E181" s="160"/>
      <c r="F181" s="396">
        <f>+C181+C181/9*3</f>
        <v>0</v>
      </c>
      <c r="G181" s="395">
        <f t="shared" si="24"/>
        <v>0</v>
      </c>
      <c r="H181" s="409"/>
      <c r="I181" s="149">
        <f t="shared" si="22"/>
        <v>0</v>
      </c>
      <c r="J181" s="271">
        <f t="shared" si="22"/>
        <v>0</v>
      </c>
      <c r="L181" s="443"/>
    </row>
    <row r="182" spans="1:12">
      <c r="A182" s="5" t="s">
        <v>82</v>
      </c>
      <c r="B182" s="92"/>
      <c r="C182" s="160"/>
      <c r="D182" s="117">
        <f>+[3]Gatinais!$G181</f>
        <v>0</v>
      </c>
      <c r="E182" s="160"/>
      <c r="F182" s="396">
        <f>+C182+C182/9*3</f>
        <v>0</v>
      </c>
      <c r="G182" s="395">
        <f t="shared" si="24"/>
        <v>0</v>
      </c>
      <c r="H182" s="409"/>
      <c r="I182" s="149">
        <f t="shared" si="22"/>
        <v>0</v>
      </c>
      <c r="J182" s="271">
        <f t="shared" si="22"/>
        <v>0</v>
      </c>
      <c r="L182" s="443"/>
    </row>
    <row r="183" spans="1:12">
      <c r="A183" s="5" t="s">
        <v>331</v>
      </c>
      <c r="B183" s="92"/>
      <c r="C183" s="160"/>
      <c r="D183" s="117">
        <f>+[3]Gatinais!$G182</f>
        <v>0</v>
      </c>
      <c r="E183" s="160"/>
      <c r="F183" s="396">
        <f>+C183+C183/9*3</f>
        <v>0</v>
      </c>
      <c r="G183" s="395">
        <f t="shared" si="24"/>
        <v>0</v>
      </c>
      <c r="H183" s="409"/>
      <c r="I183" s="149">
        <f t="shared" si="22"/>
        <v>0</v>
      </c>
      <c r="J183" s="271">
        <f t="shared" si="22"/>
        <v>0</v>
      </c>
      <c r="L183" s="443"/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444"/>
    </row>
    <row r="185" spans="1:12" s="33" customFormat="1" ht="15" customHeight="1">
      <c r="A185" s="13" t="s">
        <v>178</v>
      </c>
      <c r="B185" s="93"/>
      <c r="C185" s="163">
        <f>SUM(C169:C184)</f>
        <v>1843.1299999999999</v>
      </c>
      <c r="D185" s="118">
        <f>SUM(D169:D184)</f>
        <v>3600</v>
      </c>
      <c r="E185" s="280">
        <f>SUM(E169:E184)</f>
        <v>0</v>
      </c>
      <c r="F185" s="136">
        <f>SUM(F169:F184)</f>
        <v>5444.16</v>
      </c>
      <c r="G185" s="136">
        <f>SUM(G169:G184)</f>
        <v>4250</v>
      </c>
      <c r="H185" s="421"/>
      <c r="I185" s="272">
        <f>+IF((E185)=0,,(F185-E185)/E185)</f>
        <v>0</v>
      </c>
      <c r="J185" s="188">
        <f>+IF((F185)=0,,(G185-F185)/F185)</f>
        <v>-0.21934696996414504</v>
      </c>
      <c r="L185" s="445"/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444"/>
    </row>
    <row r="187" spans="1:12">
      <c r="A187" s="5" t="s">
        <v>179</v>
      </c>
      <c r="B187" s="92"/>
      <c r="C187" s="160"/>
      <c r="D187" s="117">
        <f>+[3]Gatinais!$G186</f>
        <v>0</v>
      </c>
      <c r="E187" s="160"/>
      <c r="F187" s="396">
        <f t="shared" ref="F187:F199" si="25">+C187+C187/9*3</f>
        <v>0</v>
      </c>
      <c r="G187" s="395">
        <f t="shared" ref="G187:G199" si="26">+F187/9*12*1.03</f>
        <v>0</v>
      </c>
      <c r="H187" s="410"/>
      <c r="I187" s="149">
        <f t="shared" ref="I187:J199" si="27">+IF((E187)=0,,(F187-E187)/E187)</f>
        <v>0</v>
      </c>
      <c r="J187" s="271">
        <f t="shared" si="27"/>
        <v>0</v>
      </c>
      <c r="L187" s="443"/>
    </row>
    <row r="188" spans="1:12">
      <c r="A188" s="5" t="s">
        <v>167</v>
      </c>
      <c r="B188" s="92"/>
      <c r="C188" s="160"/>
      <c r="D188" s="117">
        <f>+[3]Gatinais!$G187</f>
        <v>0</v>
      </c>
      <c r="E188" s="160"/>
      <c r="F188" s="396">
        <f t="shared" si="25"/>
        <v>0</v>
      </c>
      <c r="G188" s="395">
        <f t="shared" si="26"/>
        <v>0</v>
      </c>
      <c r="H188" s="410"/>
      <c r="I188" s="149">
        <f t="shared" si="27"/>
        <v>0</v>
      </c>
      <c r="J188" s="271">
        <f t="shared" si="27"/>
        <v>0</v>
      </c>
      <c r="L188" s="443"/>
    </row>
    <row r="189" spans="1:12">
      <c r="A189" s="5" t="s">
        <v>180</v>
      </c>
      <c r="B189" s="92"/>
      <c r="C189" s="160"/>
      <c r="D189" s="117">
        <f>+[3]Gatinais!$G188</f>
        <v>0</v>
      </c>
      <c r="E189" s="160"/>
      <c r="F189" s="396">
        <f t="shared" si="25"/>
        <v>0</v>
      </c>
      <c r="G189" s="395">
        <f t="shared" si="26"/>
        <v>0</v>
      </c>
      <c r="H189" s="410"/>
      <c r="I189" s="149">
        <f t="shared" si="27"/>
        <v>0</v>
      </c>
      <c r="J189" s="271">
        <f t="shared" si="27"/>
        <v>0</v>
      </c>
      <c r="L189" s="443"/>
    </row>
    <row r="190" spans="1:12">
      <c r="A190" s="5" t="s">
        <v>181</v>
      </c>
      <c r="B190" s="92"/>
      <c r="C190" s="160"/>
      <c r="D190" s="117">
        <f>+[3]Gatinais!$G189</f>
        <v>0</v>
      </c>
      <c r="E190" s="160"/>
      <c r="F190" s="396">
        <f t="shared" si="25"/>
        <v>0</v>
      </c>
      <c r="G190" s="395">
        <f t="shared" si="26"/>
        <v>0</v>
      </c>
      <c r="H190" s="410"/>
      <c r="I190" s="149">
        <f t="shared" si="27"/>
        <v>0</v>
      </c>
      <c r="J190" s="271">
        <f t="shared" si="27"/>
        <v>0</v>
      </c>
      <c r="L190" s="443"/>
    </row>
    <row r="191" spans="1:12">
      <c r="A191" s="5" t="s">
        <v>182</v>
      </c>
      <c r="B191" s="92"/>
      <c r="C191" s="160"/>
      <c r="D191" s="117">
        <f>+[3]Gatinais!$G190</f>
        <v>0</v>
      </c>
      <c r="E191" s="160"/>
      <c r="F191" s="396">
        <f t="shared" si="25"/>
        <v>0</v>
      </c>
      <c r="G191" s="395">
        <f t="shared" si="26"/>
        <v>0</v>
      </c>
      <c r="H191" s="410"/>
      <c r="I191" s="149">
        <f t="shared" si="27"/>
        <v>0</v>
      </c>
      <c r="J191" s="271">
        <f t="shared" si="27"/>
        <v>0</v>
      </c>
      <c r="L191" s="443"/>
    </row>
    <row r="192" spans="1:12">
      <c r="A192" s="5" t="s">
        <v>183</v>
      </c>
      <c r="B192" s="92"/>
      <c r="C192" s="160"/>
      <c r="D192" s="117">
        <f>+[3]Gatinais!$G191</f>
        <v>0</v>
      </c>
      <c r="E192" s="160"/>
      <c r="F192" s="396">
        <f t="shared" si="25"/>
        <v>0</v>
      </c>
      <c r="G192" s="395">
        <f t="shared" si="26"/>
        <v>0</v>
      </c>
      <c r="H192" s="410"/>
      <c r="I192" s="149">
        <f t="shared" si="27"/>
        <v>0</v>
      </c>
      <c r="J192" s="271">
        <f t="shared" si="27"/>
        <v>0</v>
      </c>
      <c r="L192" s="443"/>
    </row>
    <row r="193" spans="1:12">
      <c r="A193" s="5" t="s">
        <v>184</v>
      </c>
      <c r="B193" s="92"/>
      <c r="C193" s="160"/>
      <c r="D193" s="117">
        <f>+[3]Gatinais!$G192</f>
        <v>0</v>
      </c>
      <c r="E193" s="160"/>
      <c r="F193" s="396">
        <f t="shared" si="25"/>
        <v>0</v>
      </c>
      <c r="G193" s="395">
        <f t="shared" si="26"/>
        <v>0</v>
      </c>
      <c r="H193" s="410"/>
      <c r="I193" s="149">
        <f t="shared" si="27"/>
        <v>0</v>
      </c>
      <c r="J193" s="271">
        <f t="shared" si="27"/>
        <v>0</v>
      </c>
      <c r="L193" s="443"/>
    </row>
    <row r="194" spans="1:12">
      <c r="A194" s="5" t="s">
        <v>185</v>
      </c>
      <c r="B194" s="92"/>
      <c r="C194" s="160"/>
      <c r="D194" s="117">
        <f>+[3]Gatinais!$G193</f>
        <v>0</v>
      </c>
      <c r="E194" s="160"/>
      <c r="F194" s="396">
        <f t="shared" si="25"/>
        <v>0</v>
      </c>
      <c r="G194" s="395">
        <f t="shared" si="26"/>
        <v>0</v>
      </c>
      <c r="H194" s="410"/>
      <c r="I194" s="149">
        <f t="shared" si="27"/>
        <v>0</v>
      </c>
      <c r="J194" s="271">
        <f t="shared" si="27"/>
        <v>0</v>
      </c>
      <c r="L194" s="443"/>
    </row>
    <row r="195" spans="1:12">
      <c r="A195" s="5" t="s">
        <v>186</v>
      </c>
      <c r="B195" s="92"/>
      <c r="C195" s="160"/>
      <c r="D195" s="117">
        <f>+[3]Gatinais!$G194</f>
        <v>0</v>
      </c>
      <c r="E195" s="160"/>
      <c r="F195" s="396">
        <f t="shared" si="25"/>
        <v>0</v>
      </c>
      <c r="G195" s="395">
        <f t="shared" si="26"/>
        <v>0</v>
      </c>
      <c r="H195" s="410"/>
      <c r="I195" s="149">
        <f t="shared" si="27"/>
        <v>0</v>
      </c>
      <c r="J195" s="271">
        <f t="shared" si="27"/>
        <v>0</v>
      </c>
      <c r="L195" s="443"/>
    </row>
    <row r="196" spans="1:12">
      <c r="A196" s="5" t="s">
        <v>187</v>
      </c>
      <c r="B196" s="92"/>
      <c r="C196" s="160"/>
      <c r="D196" s="117">
        <f>+[3]Gatinais!$G195</f>
        <v>0</v>
      </c>
      <c r="E196" s="160"/>
      <c r="F196" s="396">
        <f t="shared" si="25"/>
        <v>0</v>
      </c>
      <c r="G196" s="395">
        <f t="shared" si="26"/>
        <v>0</v>
      </c>
      <c r="H196" s="410"/>
      <c r="I196" s="149">
        <f t="shared" si="27"/>
        <v>0</v>
      </c>
      <c r="J196" s="271">
        <f t="shared" si="27"/>
        <v>0</v>
      </c>
      <c r="L196" s="443"/>
    </row>
    <row r="197" spans="1:12">
      <c r="A197" s="5" t="s">
        <v>328</v>
      </c>
      <c r="B197" s="92"/>
      <c r="C197" s="160"/>
      <c r="D197" s="117">
        <f>+[3]Gatinais!$G196</f>
        <v>0</v>
      </c>
      <c r="E197" s="160"/>
      <c r="F197" s="396">
        <f t="shared" si="25"/>
        <v>0</v>
      </c>
      <c r="G197" s="395">
        <f t="shared" si="26"/>
        <v>0</v>
      </c>
      <c r="H197" s="410"/>
      <c r="I197" s="149">
        <f t="shared" si="27"/>
        <v>0</v>
      </c>
      <c r="J197" s="271">
        <f t="shared" si="27"/>
        <v>0</v>
      </c>
      <c r="L197" s="443"/>
    </row>
    <row r="198" spans="1:12">
      <c r="A198" s="5" t="s">
        <v>344</v>
      </c>
      <c r="B198" s="92"/>
      <c r="C198" s="160"/>
      <c r="D198" s="117">
        <f>+[3]Gatinais!$G197</f>
        <v>0</v>
      </c>
      <c r="E198" s="160"/>
      <c r="F198" s="396">
        <f t="shared" si="25"/>
        <v>0</v>
      </c>
      <c r="G198" s="395">
        <f t="shared" si="26"/>
        <v>0</v>
      </c>
      <c r="H198" s="410"/>
      <c r="I198" s="149">
        <f t="shared" si="27"/>
        <v>0</v>
      </c>
      <c r="J198" s="271">
        <f t="shared" si="27"/>
        <v>0</v>
      </c>
      <c r="L198" s="443"/>
    </row>
    <row r="199" spans="1:12">
      <c r="A199" s="5" t="s">
        <v>77</v>
      </c>
      <c r="B199" s="92"/>
      <c r="C199" s="160"/>
      <c r="D199" s="117">
        <f>+[3]Gatinais!$G198</f>
        <v>0</v>
      </c>
      <c r="E199" s="160"/>
      <c r="F199" s="396">
        <f t="shared" si="25"/>
        <v>0</v>
      </c>
      <c r="G199" s="395">
        <f t="shared" si="26"/>
        <v>0</v>
      </c>
      <c r="H199" s="410"/>
      <c r="I199" s="149">
        <f t="shared" si="27"/>
        <v>0</v>
      </c>
      <c r="J199" s="271">
        <f t="shared" si="27"/>
        <v>0</v>
      </c>
      <c r="L199" s="443"/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444"/>
    </row>
    <row r="201" spans="1:12" s="33" customFormat="1" ht="15" customHeight="1">
      <c r="A201" s="13" t="s">
        <v>188</v>
      </c>
      <c r="B201" s="93"/>
      <c r="C201" s="163">
        <f>SUM(C186:C200)</f>
        <v>0</v>
      </c>
      <c r="D201" s="118">
        <f>SUM(D186:D200)</f>
        <v>0</v>
      </c>
      <c r="E201" s="163">
        <f>SUM(E186:E200)</f>
        <v>0</v>
      </c>
      <c r="F201" s="136">
        <f>SUM(F186:F200)</f>
        <v>0</v>
      </c>
      <c r="G201" s="136">
        <f>SUM(G186:G200)</f>
        <v>0</v>
      </c>
      <c r="H201" s="421"/>
      <c r="I201" s="272">
        <f>+IF((E201)=0,,(F201-E201)/E201)</f>
        <v>0</v>
      </c>
      <c r="J201" s="188">
        <f>+IF((F201)=0,,(G201-F201)/F201)</f>
        <v>0</v>
      </c>
      <c r="L201" s="445"/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444"/>
    </row>
    <row r="203" spans="1:12" s="33" customFormat="1" ht="15" customHeight="1">
      <c r="A203" s="14" t="s">
        <v>189</v>
      </c>
      <c r="B203" s="99">
        <f>+C203/$C$21</f>
        <v>0.28265082511573453</v>
      </c>
      <c r="C203" s="175">
        <f>+C103+C116+C129+C154+C168+C185-C201</f>
        <v>58396.890000000007</v>
      </c>
      <c r="D203" s="126">
        <f>+D103+D116+D129+D154+D168+D185-D201</f>
        <v>181892.18407344</v>
      </c>
      <c r="E203" s="175">
        <f>+E103+E116+E129+E154+E168+E185-E201</f>
        <v>0</v>
      </c>
      <c r="F203" s="145">
        <f>+F103+F116+F129+F154+F168+F185-F201</f>
        <v>113341.64747845635</v>
      </c>
      <c r="G203" s="145">
        <f>+G103+G116+G129+G154+G168+G185-G201</f>
        <v>146007.1749687494</v>
      </c>
      <c r="H203" s="422">
        <f>+G203/$G$21</f>
        <v>0.29815637118388688</v>
      </c>
      <c r="I203" s="281">
        <f>+IF((E203)=0,,(F203-E203)/E203)</f>
        <v>0</v>
      </c>
      <c r="J203" s="282">
        <f>+IF((F203)=0,,(G203-F203)/F203)</f>
        <v>0.2882040998786613</v>
      </c>
      <c r="K203" s="27"/>
      <c r="L203" s="451"/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444"/>
    </row>
    <row r="205" spans="1:12" s="33" customFormat="1" ht="15" customHeight="1">
      <c r="A205" s="12" t="s">
        <v>228</v>
      </c>
      <c r="B205" s="100">
        <f>+C205/$C$21</f>
        <v>0.13304917488426549</v>
      </c>
      <c r="C205" s="177">
        <f>+C62-C203</f>
        <v>27488.538294999998</v>
      </c>
      <c r="D205" s="127">
        <f>+D62-D203</f>
        <v>-33898.401553439995</v>
      </c>
      <c r="E205" s="177">
        <f>+E53-E203</f>
        <v>0</v>
      </c>
      <c r="F205" s="146">
        <f>+F62-F203</f>
        <v>-3646.647478456347</v>
      </c>
      <c r="G205" s="146">
        <f>+G62-G203</f>
        <v>28484.825031250599</v>
      </c>
      <c r="H205" s="406">
        <f>+G205/$G$21</f>
        <v>5.8167908987646719E-2</v>
      </c>
      <c r="I205" s="226">
        <f>+IF((E205)=0,,(F205-E205)/E205)</f>
        <v>0</v>
      </c>
      <c r="J205" s="283">
        <f>+IF((F205)=0,,(G205-F205)/F205)</f>
        <v>-8.8112362655104892</v>
      </c>
      <c r="L205" s="452"/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444"/>
    </row>
    <row r="207" spans="1:12" ht="15" customHeight="1">
      <c r="A207" s="63" t="s">
        <v>251</v>
      </c>
      <c r="B207" s="101">
        <f>+C207/$C$21</f>
        <v>1.5775756899600615E-2</v>
      </c>
      <c r="C207" s="179">
        <f>1824.47+2210.75-775.88</f>
        <v>3259.34</v>
      </c>
      <c r="D207" s="128">
        <f>+[3]Gatinais!$G206</f>
        <v>8090.6500000000005</v>
      </c>
      <c r="E207" s="284">
        <f>+Repart!E18</f>
        <v>0</v>
      </c>
      <c r="F207" s="150">
        <f>+Repart!K18+C207</f>
        <v>3543.7639572385187</v>
      </c>
      <c r="G207" s="150">
        <f>+Repart!Q18</f>
        <v>1853.6137552738155</v>
      </c>
      <c r="H207" s="423">
        <f>+G207/$G$21</f>
        <v>3.785202685876691E-3</v>
      </c>
      <c r="I207" s="281">
        <f>+IF((E207)=0,,(F207-E207)/E207)</f>
        <v>0</v>
      </c>
      <c r="J207" s="282">
        <f>+IF((F207)=0,,(G207-F207)/F207)</f>
        <v>-0.47693645015842262</v>
      </c>
      <c r="L207" s="453"/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444"/>
    </row>
    <row r="209" spans="1:12" s="33" customFormat="1" ht="15" customHeight="1">
      <c r="A209" s="12" t="s">
        <v>190</v>
      </c>
      <c r="B209" s="100">
        <f>+C209/$C$21</f>
        <v>0.11727341798466488</v>
      </c>
      <c r="C209" s="177">
        <f>+C205-C207</f>
        <v>24229.198294999998</v>
      </c>
      <c r="D209" s="127">
        <f>+D205-D207</f>
        <v>-41989.051553439996</v>
      </c>
      <c r="E209" s="177">
        <f>+E205-E207</f>
        <v>0</v>
      </c>
      <c r="F209" s="146">
        <f>+F205-F207</f>
        <v>-7190.4114356948658</v>
      </c>
      <c r="G209" s="146">
        <f>+G205-G207</f>
        <v>26631.211275976784</v>
      </c>
      <c r="H209" s="406">
        <f>+G209/$G$21</f>
        <v>5.4382706301770029E-2</v>
      </c>
      <c r="I209" s="226">
        <f>+IF((E209)=0,,(F209-E209)/E209)</f>
        <v>0</v>
      </c>
      <c r="J209" s="283">
        <f>+IF((F209)=0,,(G209-F209)/F209)</f>
        <v>-4.7037117436386584</v>
      </c>
      <c r="L209" s="452"/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444"/>
    </row>
    <row r="211" spans="1:12">
      <c r="A211" s="5" t="s">
        <v>191</v>
      </c>
      <c r="B211" s="92">
        <f>+C211/$C$21</f>
        <v>0</v>
      </c>
      <c r="C211" s="160"/>
      <c r="D211" s="117">
        <f>+[3]Gatinais!$G211</f>
        <v>0</v>
      </c>
      <c r="E211" s="160">
        <f>+Repart!C18</f>
        <v>0</v>
      </c>
      <c r="F211" s="368">
        <f>+Repart!I18</f>
        <v>2462.8983440860184</v>
      </c>
      <c r="G211" s="368">
        <f>+Repart!O18</f>
        <v>9644.6846793104778</v>
      </c>
      <c r="H211" s="410"/>
      <c r="I211" s="149">
        <f t="shared" ref="I211:J213" si="28">+IF((E211)=0,,(F211-E211)/E211)</f>
        <v>0</v>
      </c>
      <c r="J211" s="271">
        <f t="shared" si="28"/>
        <v>2.9159897534827488</v>
      </c>
      <c r="L211" s="443"/>
    </row>
    <row r="212" spans="1:12">
      <c r="A212" s="5" t="s">
        <v>192</v>
      </c>
      <c r="B212" s="92">
        <f>+C212/$C$21</f>
        <v>0</v>
      </c>
      <c r="C212" s="160"/>
      <c r="D212" s="117">
        <f>+[3]Gatinais!$G212</f>
        <v>0</v>
      </c>
      <c r="E212" s="160">
        <f>+Repart!D18</f>
        <v>0</v>
      </c>
      <c r="F212" s="368">
        <f>+Repart!J18</f>
        <v>4770.9289746713166</v>
      </c>
      <c r="G212" s="368">
        <f>+Repart!P18</f>
        <v>19971.283812335296</v>
      </c>
      <c r="H212" s="410"/>
      <c r="I212" s="149">
        <f t="shared" si="28"/>
        <v>0</v>
      </c>
      <c r="J212" s="271">
        <f t="shared" si="28"/>
        <v>3.1860367065538169</v>
      </c>
      <c r="L212" s="443"/>
    </row>
    <row r="213" spans="1:12">
      <c r="A213" s="5" t="s">
        <v>193</v>
      </c>
      <c r="B213" s="92"/>
      <c r="C213" s="160"/>
      <c r="D213" s="117">
        <f>+[3]Gatinais!$G213</f>
        <v>0</v>
      </c>
      <c r="E213" s="160"/>
      <c r="F213" s="368">
        <f>-F28*4%</f>
        <v>-4200</v>
      </c>
      <c r="G213" s="368">
        <f>-G28*4%</f>
        <v>-5600</v>
      </c>
      <c r="H213" s="410"/>
      <c r="I213" s="149">
        <f t="shared" si="28"/>
        <v>0</v>
      </c>
      <c r="J213" s="271">
        <f t="shared" si="28"/>
        <v>0.33333333333333331</v>
      </c>
      <c r="L213" s="443"/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444"/>
    </row>
    <row r="215" spans="1:12" s="33" customFormat="1" ht="15" customHeight="1">
      <c r="A215" s="20" t="s">
        <v>194</v>
      </c>
      <c r="B215" s="103">
        <f>+C215/$C$21</f>
        <v>0</v>
      </c>
      <c r="C215" s="180">
        <f>SUM(C210:C213)</f>
        <v>0</v>
      </c>
      <c r="D215" s="129">
        <f>SUM(D210:D213)</f>
        <v>0</v>
      </c>
      <c r="E215" s="180">
        <f>SUM(E210:E213)</f>
        <v>0</v>
      </c>
      <c r="F215" s="148">
        <f>SUM(F210:F213)</f>
        <v>3033.827318757335</v>
      </c>
      <c r="G215" s="148">
        <f>SUM(G210:G213)</f>
        <v>24015.968491645774</v>
      </c>
      <c r="H215" s="424">
        <f>+G215/$G$21</f>
        <v>4.9042206435870477E-2</v>
      </c>
      <c r="I215" s="281">
        <f>+IF((E215)=0,,(F215-E215)/E215)</f>
        <v>0</v>
      </c>
      <c r="J215" s="282">
        <f>+IF((F215)=0,,(G215-F215)/F215)</f>
        <v>6.9160631006127229</v>
      </c>
      <c r="L215" s="446"/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444"/>
    </row>
    <row r="217" spans="1:12" s="33" customFormat="1" ht="20.100000000000001" customHeight="1">
      <c r="A217" s="12" t="s">
        <v>86</v>
      </c>
      <c r="B217" s="100">
        <f>+C217/$C$21</f>
        <v>0.11727341798466488</v>
      </c>
      <c r="C217" s="177">
        <f>+C209-C215</f>
        <v>24229.198294999998</v>
      </c>
      <c r="D217" s="127">
        <f>+D209-D215</f>
        <v>-41989.051553439996</v>
      </c>
      <c r="E217" s="177">
        <f>+E209-E215</f>
        <v>0</v>
      </c>
      <c r="F217" s="146">
        <f>+F209-F215</f>
        <v>-10224.238754452201</v>
      </c>
      <c r="G217" s="146">
        <f>+G209-G215</f>
        <v>2615.2427843310106</v>
      </c>
      <c r="H217" s="406">
        <f>+G217/$G$21</f>
        <v>5.340499865899552E-3</v>
      </c>
      <c r="I217" s="226">
        <f>+IF((E217)=0,,(F217-E217)/E217)</f>
        <v>0</v>
      </c>
      <c r="J217" s="283">
        <f>+IF((F217)=0,,(G217-F217)/F217)</f>
        <v>-1.2557885087720775</v>
      </c>
      <c r="L217" s="452"/>
    </row>
    <row r="218" spans="1:12">
      <c r="A218" s="2" t="s">
        <v>43</v>
      </c>
      <c r="C218" s="17">
        <f>+C225-C226-C215-C207-C53+C62-C38+C213</f>
        <v>24229.198294999995</v>
      </c>
      <c r="D218" s="117"/>
      <c r="E218" s="17"/>
      <c r="F218" s="87"/>
      <c r="G218" s="398"/>
      <c r="H218" s="414"/>
      <c r="L218" s="443"/>
    </row>
    <row r="219" spans="1:12">
      <c r="A219" s="2" t="s">
        <v>346</v>
      </c>
      <c r="B219" s="58">
        <f>+Clients!K13</f>
        <v>270</v>
      </c>
      <c r="C219" s="17">
        <f>+B219/C44*C57</f>
        <v>0</v>
      </c>
    </row>
    <row r="220" spans="1:12">
      <c r="A220" s="2" t="s">
        <v>354</v>
      </c>
      <c r="B220" s="58">
        <f>+Clients!K13</f>
        <v>270</v>
      </c>
      <c r="C220" s="17">
        <f>+B220/(C21*1.196)*Clients!K46</f>
        <v>349.52073660918666</v>
      </c>
    </row>
    <row r="222" spans="1:12">
      <c r="A222" s="264" t="s">
        <v>67</v>
      </c>
      <c r="B222" s="265"/>
      <c r="C222" s="265">
        <f>+(C215+C207+C203)/C60/Clients!$I$13*12</f>
        <v>197758.73626814212</v>
      </c>
      <c r="D222" s="265">
        <f>+(D215+D207+D203)/D60</f>
        <v>633276.1135781334</v>
      </c>
      <c r="E222" s="265" t="e">
        <f>+(E215+E207+E203)/E60/Clients!$I$13*12</f>
        <v>#DIV/0!</v>
      </c>
      <c r="F222" s="265">
        <f>+(F215+F207+F203)/F60</f>
        <v>337800.67254775274</v>
      </c>
      <c r="G222" s="265">
        <f>+(G215+G207+G203)/G60</f>
        <v>477435.43671019166</v>
      </c>
      <c r="H222" s="265"/>
      <c r="I222" s="265"/>
      <c r="J222" s="265"/>
    </row>
    <row r="223" spans="1:12">
      <c r="A223" s="264" t="s">
        <v>66</v>
      </c>
      <c r="B223" s="265"/>
      <c r="C223" s="265">
        <f>+(C215+C207+C203)/C60/Clients!$I$13</f>
        <v>16479.894689011842</v>
      </c>
      <c r="D223" s="265">
        <f>+(D215+D207+D203)/D60/12</f>
        <v>52773.00946484445</v>
      </c>
      <c r="E223" s="265" t="e">
        <f>+(E215+E207+E203)/E60/Clients!$I$13</f>
        <v>#DIV/0!</v>
      </c>
      <c r="F223" s="265">
        <f>+(F215+F207+F203)/F60/9</f>
        <v>37533.408060861417</v>
      </c>
      <c r="G223" s="265">
        <f>+(G215+G207+G203)/G60/12</f>
        <v>39786.286392515969</v>
      </c>
      <c r="H223" s="265"/>
      <c r="I223" s="265"/>
      <c r="J223" s="265"/>
    </row>
    <row r="224" spans="1:12">
      <c r="B224" s="17"/>
      <c r="D224" s="17"/>
      <c r="E224" s="17"/>
      <c r="F224" s="17"/>
      <c r="G224" s="17"/>
      <c r="H224" s="17"/>
      <c r="I224" s="17"/>
      <c r="J224" s="17"/>
    </row>
    <row r="225" spans="1:12">
      <c r="A225" s="2" t="s">
        <v>215</v>
      </c>
      <c r="C225" s="17">
        <f>+C51-C40-C157-C166+C201-C164-C159-C137</f>
        <v>206604.35</v>
      </c>
      <c r="D225" s="17"/>
    </row>
    <row r="226" spans="1:12">
      <c r="A226" s="2" t="s">
        <v>216</v>
      </c>
      <c r="C226" s="17">
        <f>+C44-C38-C40+C103+C116+C129+C154+C156+C158+C160+C161+C162+C163+C165+C185+C213</f>
        <v>179111.04000000001</v>
      </c>
      <c r="D226" s="17"/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</row>
    <row r="229" spans="1:12" ht="20.25" customHeight="1">
      <c r="A229" s="7" t="str">
        <f>+A4</f>
        <v>CHALETTE/LOING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</row>
    <row r="231" spans="1:12">
      <c r="A231" s="4"/>
      <c r="B231" s="91"/>
      <c r="C231" s="158">
        <v>2010</v>
      </c>
      <c r="D231" s="107">
        <v>2010</v>
      </c>
      <c r="E231" s="158">
        <v>2009</v>
      </c>
      <c r="F231" s="133">
        <v>2010</v>
      </c>
      <c r="G231" s="133">
        <v>2011</v>
      </c>
      <c r="H231" s="4"/>
      <c r="I231" s="153" t="s">
        <v>196</v>
      </c>
      <c r="J231" s="185" t="s">
        <v>57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</row>
    <row r="233" spans="1:12" s="33" customFormat="1" ht="15" customHeight="1">
      <c r="A233" s="245" t="s">
        <v>223</v>
      </c>
      <c r="B233" s="363"/>
      <c r="C233" s="175">
        <f t="shared" ref="C233:J233" si="29">+C51</f>
        <v>206604.35</v>
      </c>
      <c r="D233" s="176">
        <f t="shared" si="29"/>
        <v>493312.60840000003</v>
      </c>
      <c r="E233" s="175">
        <f t="shared" si="29"/>
        <v>0</v>
      </c>
      <c r="F233" s="206">
        <f t="shared" si="29"/>
        <v>309000</v>
      </c>
      <c r="G233" s="206">
        <f t="shared" si="29"/>
        <v>484700</v>
      </c>
      <c r="H233" s="313"/>
      <c r="I233" s="281">
        <f>+I51</f>
        <v>0</v>
      </c>
      <c r="J233" s="192">
        <f t="shared" si="29"/>
        <v>0.56860841423948216</v>
      </c>
      <c r="K233" s="58"/>
      <c r="L233" s="298"/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</row>
    <row r="235" spans="1:12" s="33" customFormat="1" ht="15" customHeight="1">
      <c r="A235" s="246" t="s">
        <v>295</v>
      </c>
      <c r="B235" s="364"/>
      <c r="C235" s="197">
        <f>+C60</f>
        <v>0.41570000000000001</v>
      </c>
      <c r="D235" s="191">
        <f>+D60</f>
        <v>0.3</v>
      </c>
      <c r="E235" s="197">
        <f>+E60</f>
        <v>0</v>
      </c>
      <c r="F235" s="224">
        <f>+F60</f>
        <v>0.35499999999999998</v>
      </c>
      <c r="G235" s="224">
        <f>+G60</f>
        <v>0.36</v>
      </c>
      <c r="H235" s="15"/>
      <c r="I235" s="224"/>
      <c r="J235" s="191"/>
      <c r="L235" s="298"/>
    </row>
    <row r="236" spans="1:12" s="33" customFormat="1" ht="15" customHeight="1">
      <c r="A236" s="246" t="s">
        <v>296</v>
      </c>
      <c r="B236" s="364"/>
      <c r="C236" s="169">
        <f>+C62</f>
        <v>85885.428295000005</v>
      </c>
      <c r="D236" s="170">
        <f>+D62</f>
        <v>147993.78252000001</v>
      </c>
      <c r="E236" s="169">
        <f>+E62</f>
        <v>0</v>
      </c>
      <c r="F236" s="223">
        <f>+F62</f>
        <v>109695</v>
      </c>
      <c r="G236" s="223">
        <f>+G62</f>
        <v>174492</v>
      </c>
      <c r="H236" s="309"/>
      <c r="I236" s="226">
        <f>+IF((E236)=0,,(F236-E236)/E236)</f>
        <v>0</v>
      </c>
      <c r="J236" s="283">
        <f>+IF((F236)=0,,(G236-F236)/F236)</f>
        <v>0.59070149049637632</v>
      </c>
      <c r="L236" s="298"/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442"/>
    </row>
    <row r="238" spans="1:12" s="298" customFormat="1" ht="15" customHeight="1">
      <c r="A238" s="292" t="s">
        <v>122</v>
      </c>
      <c r="B238" s="365"/>
      <c r="C238" s="293">
        <f>+C103</f>
        <v>14510.420000000002</v>
      </c>
      <c r="D238" s="294">
        <f>+D103</f>
        <v>52766.632200000007</v>
      </c>
      <c r="E238" s="293">
        <f>+E103</f>
        <v>0</v>
      </c>
      <c r="F238" s="295">
        <f>+F103</f>
        <v>36801.227478456349</v>
      </c>
      <c r="G238" s="295">
        <f>+G103</f>
        <v>41712.264302285497</v>
      </c>
      <c r="H238" s="388"/>
      <c r="I238" s="415">
        <f t="shared" ref="I238:J243" si="30">+IF((E238)=0,,(F238-E238)/E238)</f>
        <v>0</v>
      </c>
      <c r="J238" s="297">
        <f t="shared" si="30"/>
        <v>0.13344763640571766</v>
      </c>
    </row>
    <row r="239" spans="1:12" s="298" customFormat="1" ht="15" customHeight="1">
      <c r="A239" s="292" t="s">
        <v>133</v>
      </c>
      <c r="B239" s="365"/>
      <c r="C239" s="293">
        <f>+C116</f>
        <v>2211.0700000000002</v>
      </c>
      <c r="D239" s="294">
        <f>+D116</f>
        <v>2844.9732999999997</v>
      </c>
      <c r="E239" s="293">
        <f>+E116</f>
        <v>0</v>
      </c>
      <c r="F239" s="295">
        <f>+F116</f>
        <v>5669</v>
      </c>
      <c r="G239" s="295">
        <f>+G116</f>
        <v>9100</v>
      </c>
      <c r="H239" s="388"/>
      <c r="I239" s="415">
        <f t="shared" si="30"/>
        <v>0</v>
      </c>
      <c r="J239" s="297">
        <f t="shared" si="30"/>
        <v>0.60522137943199861</v>
      </c>
    </row>
    <row r="240" spans="1:12" s="298" customFormat="1" ht="15" customHeight="1">
      <c r="A240" s="292" t="s">
        <v>147</v>
      </c>
      <c r="B240" s="365"/>
      <c r="C240" s="293">
        <f>+C129</f>
        <v>-685.73</v>
      </c>
      <c r="D240" s="294">
        <f>+D129</f>
        <v>6313.1817734400011</v>
      </c>
      <c r="E240" s="293">
        <f>+E129</f>
        <v>0</v>
      </c>
      <c r="F240" s="295">
        <f>+F129</f>
        <v>4845.5</v>
      </c>
      <c r="G240" s="295">
        <f>+G129</f>
        <v>5968.5133333333342</v>
      </c>
      <c r="H240" s="388"/>
      <c r="I240" s="415">
        <f t="shared" si="30"/>
        <v>0</v>
      </c>
      <c r="J240" s="297">
        <f t="shared" si="30"/>
        <v>0.23176417982320385</v>
      </c>
    </row>
    <row r="241" spans="1:12" s="298" customFormat="1" ht="15" customHeight="1">
      <c r="A241" s="292" t="s">
        <v>164</v>
      </c>
      <c r="B241" s="365"/>
      <c r="C241" s="293">
        <f>+C154</f>
        <v>40518.000000000007</v>
      </c>
      <c r="D241" s="294">
        <f>+D154</f>
        <v>96367.396800000002</v>
      </c>
      <c r="E241" s="293">
        <f>+E154</f>
        <v>0</v>
      </c>
      <c r="F241" s="295">
        <f>+F154</f>
        <v>57581.760000000002</v>
      </c>
      <c r="G241" s="295">
        <f>+G154</f>
        <v>79126.499897130576</v>
      </c>
      <c r="H241" s="388"/>
      <c r="I241" s="415">
        <f t="shared" si="30"/>
        <v>0</v>
      </c>
      <c r="J241" s="297">
        <f t="shared" si="30"/>
        <v>0.37415910693126736</v>
      </c>
    </row>
    <row r="242" spans="1:12" s="298" customFormat="1" ht="15" customHeight="1">
      <c r="A242" s="292" t="s">
        <v>74</v>
      </c>
      <c r="B242" s="365"/>
      <c r="C242" s="293">
        <f>+C168</f>
        <v>0</v>
      </c>
      <c r="D242" s="294">
        <f>+D168</f>
        <v>20000</v>
      </c>
      <c r="E242" s="293">
        <f>+E168</f>
        <v>0</v>
      </c>
      <c r="F242" s="295">
        <f>+F168</f>
        <v>3000</v>
      </c>
      <c r="G242" s="295">
        <f>+G168</f>
        <v>5849.8974360000011</v>
      </c>
      <c r="H242" s="388"/>
      <c r="I242" s="415">
        <f t="shared" si="30"/>
        <v>0</v>
      </c>
      <c r="J242" s="297">
        <f t="shared" si="30"/>
        <v>0.94996581200000041</v>
      </c>
    </row>
    <row r="243" spans="1:12" s="298" customFormat="1" ht="15" customHeight="1">
      <c r="A243" s="292" t="s">
        <v>369</v>
      </c>
      <c r="B243" s="365"/>
      <c r="C243" s="293">
        <f>+C185-C201</f>
        <v>1843.1299999999999</v>
      </c>
      <c r="D243" s="294">
        <f>+D185-D201</f>
        <v>3600</v>
      </c>
      <c r="E243" s="293">
        <f>+E185-E201</f>
        <v>0</v>
      </c>
      <c r="F243" s="295">
        <f>+F185-F201</f>
        <v>5444.16</v>
      </c>
      <c r="G243" s="295">
        <f>+G185-G201</f>
        <v>4250</v>
      </c>
      <c r="H243" s="388"/>
      <c r="I243" s="415">
        <f t="shared" si="30"/>
        <v>0</v>
      </c>
      <c r="J243" s="297">
        <f t="shared" si="30"/>
        <v>-0.21934696996414504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442"/>
    </row>
    <row r="245" spans="1:12" s="33" customFormat="1" ht="15" customHeight="1">
      <c r="A245" s="245" t="s">
        <v>189</v>
      </c>
      <c r="B245" s="363"/>
      <c r="C245" s="299">
        <f>+C203</f>
        <v>58396.890000000007</v>
      </c>
      <c r="D245" s="300">
        <f>+D203</f>
        <v>181892.18407344</v>
      </c>
      <c r="E245" s="299">
        <f>+E203</f>
        <v>0</v>
      </c>
      <c r="F245" s="301">
        <f>+F203</f>
        <v>113341.64747845635</v>
      </c>
      <c r="G245" s="301">
        <f>+G203</f>
        <v>146007.1749687494</v>
      </c>
      <c r="H245" s="389"/>
      <c r="I245" s="281">
        <f>+I63</f>
        <v>0</v>
      </c>
      <c r="J245" s="192">
        <f>+J63</f>
        <v>0</v>
      </c>
      <c r="K245" s="58"/>
      <c r="L245" s="298"/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</row>
    <row r="247" spans="1:12" s="33" customFormat="1" ht="15" customHeight="1">
      <c r="A247" s="246" t="s">
        <v>228</v>
      </c>
      <c r="B247" s="366"/>
      <c r="C247" s="177">
        <f>+C205</f>
        <v>27488.538294999998</v>
      </c>
      <c r="D247" s="178">
        <f>+D205</f>
        <v>-33898.401553439995</v>
      </c>
      <c r="E247" s="177">
        <f>+E205</f>
        <v>0</v>
      </c>
      <c r="F247" s="228">
        <f>+F205</f>
        <v>-3646.647478456347</v>
      </c>
      <c r="G247" s="228">
        <f>+G205</f>
        <v>28484.825031250599</v>
      </c>
      <c r="H247" s="314"/>
      <c r="I247" s="226">
        <f>+IF((E247)=0,,(F247-E247)/E247)</f>
        <v>0</v>
      </c>
      <c r="J247" s="283">
        <f>+IF((F247)=0,,(G247-F247)/F247)</f>
        <v>-8.8112362655104892</v>
      </c>
      <c r="L247" s="298"/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</row>
    <row r="249" spans="1:12" s="33" customFormat="1" ht="15" customHeight="1">
      <c r="A249" s="247" t="s">
        <v>370</v>
      </c>
      <c r="B249" s="367"/>
      <c r="C249" s="180">
        <f>+C207+C215</f>
        <v>3259.34</v>
      </c>
      <c r="D249" s="181">
        <f>+D207+D215</f>
        <v>8090.6500000000005</v>
      </c>
      <c r="E249" s="180">
        <f>+E207+E215</f>
        <v>0</v>
      </c>
      <c r="F249" s="230">
        <f>+F207+F215</f>
        <v>6577.5912759958537</v>
      </c>
      <c r="G249" s="230">
        <f>+G207+G215</f>
        <v>25869.582246919588</v>
      </c>
      <c r="H249" s="316"/>
      <c r="I249" s="281">
        <f>+I67</f>
        <v>0</v>
      </c>
      <c r="J249" s="192">
        <f>+J67</f>
        <v>0.37333333333333341</v>
      </c>
      <c r="L249" s="298"/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</row>
    <row r="251" spans="1:12" s="33" customFormat="1" ht="20.100000000000001" customHeight="1">
      <c r="A251" s="246" t="s">
        <v>86</v>
      </c>
      <c r="B251" s="366"/>
      <c r="C251" s="177">
        <f>+C217</f>
        <v>24229.198294999998</v>
      </c>
      <c r="D251" s="178">
        <f>+D217</f>
        <v>-41989.051553439996</v>
      </c>
      <c r="E251" s="177">
        <f>+E217</f>
        <v>0</v>
      </c>
      <c r="F251" s="228">
        <f>+F217</f>
        <v>-10224.238754452201</v>
      </c>
      <c r="G251" s="228">
        <f>+G217</f>
        <v>2615.2427843310106</v>
      </c>
      <c r="H251" s="314"/>
      <c r="I251" s="226">
        <f>+IF((E251)=0,,(F251-E251)/E251)</f>
        <v>0</v>
      </c>
      <c r="J251" s="283">
        <f>+IF((F251)=0,,(G251-F251)/F251)</f>
        <v>-1.2557885087720775</v>
      </c>
      <c r="L251" s="298"/>
    </row>
    <row r="252" spans="1:12">
      <c r="F252" s="2"/>
      <c r="G252" s="2"/>
      <c r="H252" s="5"/>
      <c r="I252" s="24"/>
    </row>
    <row r="253" spans="1:12" s="298" customFormat="1" ht="15" customHeight="1">
      <c r="A253" s="292" t="s">
        <v>95</v>
      </c>
      <c r="B253" s="365"/>
      <c r="C253" s="293">
        <f>+C28</f>
        <v>0</v>
      </c>
      <c r="D253" s="294"/>
      <c r="E253" s="293">
        <f>+E28</f>
        <v>0</v>
      </c>
      <c r="F253" s="295"/>
      <c r="G253" s="399">
        <f>+D253</f>
        <v>0</v>
      </c>
      <c r="H253" s="418"/>
      <c r="I253" s="415"/>
      <c r="J253" s="297"/>
    </row>
    <row r="254" spans="1:12" s="298" customFormat="1" ht="15" customHeight="1">
      <c r="A254" s="292" t="s">
        <v>371</v>
      </c>
      <c r="B254" s="365"/>
      <c r="C254" s="293">
        <f>+C222</f>
        <v>197758.73626814212</v>
      </c>
      <c r="D254" s="294">
        <f>+D222</f>
        <v>633276.1135781334</v>
      </c>
      <c r="E254" s="293" t="e">
        <f>+E222</f>
        <v>#DIV/0!</v>
      </c>
      <c r="F254" s="295">
        <f>+F222</f>
        <v>337800.67254775274</v>
      </c>
      <c r="G254" s="295">
        <f>+G222</f>
        <v>477435.43671019166</v>
      </c>
      <c r="H254" s="388"/>
      <c r="I254" s="415"/>
      <c r="J254" s="297"/>
    </row>
    <row r="255" spans="1:12" s="298" customFormat="1" ht="15" customHeight="1">
      <c r="A255" s="292" t="s">
        <v>372</v>
      </c>
      <c r="B255" s="365"/>
      <c r="C255" s="293"/>
      <c r="D255" s="294"/>
      <c r="E255" s="293"/>
      <c r="F255" s="295"/>
      <c r="G255" s="399">
        <v>0</v>
      </c>
      <c r="H255" s="418"/>
      <c r="I255" s="415"/>
      <c r="J255" s="297"/>
    </row>
    <row r="256" spans="1:12">
      <c r="F256" s="2"/>
      <c r="G256" s="2"/>
      <c r="H256" s="2"/>
      <c r="I256" s="24"/>
    </row>
  </sheetData>
  <phoneticPr fontId="0" type="noConversion"/>
  <hyperlinks>
    <hyperlink ref="C1" location="Sommaire!A1" display="Retour au sommaire"/>
  </hyperlinks>
  <pageMargins left="0.70866141732283472" right="0.70866141732283472" top="0.74803149606299213" bottom="0.74803149606299213" header="0.31496062992125984" footer="0.31496062992125984"/>
  <pageSetup paperSize="9" scale="84" orientation="landscape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 enableFormatConditionsCalculation="0">
    <tabColor indexed="47"/>
    <pageSetUpPr fitToPage="1"/>
  </sheetPr>
  <dimension ref="A1:L256"/>
  <sheetViews>
    <sheetView workbookViewId="0">
      <pane xSplit="2" ySplit="6" topLeftCell="C99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14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-100634.11543633947</v>
      </c>
      <c r="F5" s="132"/>
      <c r="G5" s="215">
        <f>G217</f>
        <v>0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" t="s">
        <v>221</v>
      </c>
      <c r="B8" s="92"/>
      <c r="C8" s="160">
        <f>-IF(ISNA(VLOOKUP("TOURC707130000",Balance!C:G,5,FALSE))=TRUE,0,VLOOKUP("TOURC707130000",Balance!C:G,5,FALSE))</f>
        <v>192503.65000000002</v>
      </c>
      <c r="D8" s="117">
        <f>+[2]Tourcoing!$H8</f>
        <v>487277</v>
      </c>
      <c r="E8" s="160">
        <f>-IF(ISNA(VLOOKUP("TOURC707130000",Balanceanp!C:G,5,FALSE))=TRUE,0,VLOOKUP("TOURC707130000",Balanceanp!C:G,5,FALSE))</f>
        <v>341995.87</v>
      </c>
      <c r="F8" s="368">
        <f>+C8:C19</f>
        <v>192503.65000000002</v>
      </c>
      <c r="G8" s="395"/>
      <c r="H8" s="401"/>
      <c r="I8" s="149">
        <f>+IF((E8)=0,,(F8-E8)/E8)</f>
        <v>-0.43711703302148058</v>
      </c>
      <c r="J8" s="271">
        <f>+IF((F8)=0,,(G8-F8)/F8)</f>
        <v>-1</v>
      </c>
      <c r="L8" s="17">
        <f t="shared" ref="L8:L71" si="0">IF(SUM(C8:J8)&lt;&gt;0,1,0)</f>
        <v>1</v>
      </c>
    </row>
    <row r="9" spans="1:12">
      <c r="A9" s="5" t="s">
        <v>422</v>
      </c>
      <c r="B9" s="92"/>
      <c r="C9" s="160">
        <f>-IF(ISNA(VLOOKUP("TOURC707131000",Balance!C:G,5,FALSE))=TRUE,0,VLOOKUP("TOURC707131000",Balance!C:G,5,FALSE))</f>
        <v>0</v>
      </c>
      <c r="D9" s="117">
        <f>+[2]Tourcoing!$H9</f>
        <v>0</v>
      </c>
      <c r="E9" s="160">
        <f>-IF(ISNA(VLOOKUP("TOURC707131000",Balanceanp!C:G,5,FALSE))=TRUE,0,VLOOKUP("TOURC707131000",Balanceanp!C:G,5,FALSE))</f>
        <v>114523.49</v>
      </c>
      <c r="F9" s="368">
        <f t="shared" ref="F9:F19" si="1">+C9:C20</f>
        <v>0</v>
      </c>
      <c r="G9" s="395"/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>
      <c r="A10" s="5" t="s">
        <v>84</v>
      </c>
      <c r="B10" s="92"/>
      <c r="C10" s="160">
        <f>-IF(ISNA(VLOOKUP("TOURC707300000",Balance!C:G,5,FALSE))=TRUE,0,VLOOKUP("TOURC707300000",Balance!C:G,5,FALSE))</f>
        <v>0</v>
      </c>
      <c r="D10" s="117">
        <f>+[2]Tourcoing!$H10</f>
        <v>0</v>
      </c>
      <c r="E10" s="160">
        <f>-IF(ISNA(VLOOKUP("TOURC707300000",Balanceanp!C:G,5,FALSE))=TRUE,0,VLOOKUP("TOURC707300000",Balanceanp!C:G,5,FALSE))</f>
        <v>0</v>
      </c>
      <c r="F10" s="368">
        <f t="shared" si="1"/>
        <v>0</v>
      </c>
      <c r="G10" s="395"/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>
      <c r="A11" s="5" t="s">
        <v>267</v>
      </c>
      <c r="B11" s="92"/>
      <c r="C11" s="160">
        <f>-IF(ISNA(VLOOKUP("TOURC707110000",Balance!C:G,5,FALSE))=TRUE,0,VLOOKUP("TOURC707110000",Balance!C:G,5,FALSE))</f>
        <v>0</v>
      </c>
      <c r="D11" s="117">
        <f>+[2]Tourcoing!$H11</f>
        <v>0</v>
      </c>
      <c r="E11" s="160">
        <f>-IF(ISNA(VLOOKUP("TOURC707110000",Balanceanp!C:G,5,FALSE))=TRUE,0,VLOOKUP("TOURC707110000",Balanceanp!C:G,5,FALSE))</f>
        <v>0</v>
      </c>
      <c r="F11" s="368">
        <f t="shared" si="1"/>
        <v>0</v>
      </c>
      <c r="G11" s="395"/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>
      <c r="A12" s="5" t="s">
        <v>46</v>
      </c>
      <c r="B12" s="92"/>
      <c r="C12" s="160">
        <f>-IF(ISNA(VLOOKUP("TOURC707120000",Balance!C:G,5,FALSE))=TRUE,0,VLOOKUP("TOURC707120000",Balance!C:G,5,FALSE))</f>
        <v>0</v>
      </c>
      <c r="D12" s="117">
        <f>+[2]Tourcoing!$H12</f>
        <v>0</v>
      </c>
      <c r="E12" s="160">
        <f>-IF(ISNA(VLOOKUP("TOURC707120000",Balanceanp!C:G,5,FALSE))=TRUE,0,VLOOKUP("TOURC707120000",Balanceanp!C:G,5,FALSE))</f>
        <v>0</v>
      </c>
      <c r="F12" s="368">
        <f t="shared" si="1"/>
        <v>0</v>
      </c>
      <c r="G12" s="395"/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>
      <c r="A13" s="5" t="s">
        <v>268</v>
      </c>
      <c r="B13" s="92"/>
      <c r="C13" s="160">
        <f>-IF(ISNA(VLOOKUP("TOURC707230000",Balance!C:G,5,FALSE))=TRUE,0,VLOOKUP("TOURC707230000",Balance!C:G,5,FALSE))</f>
        <v>0</v>
      </c>
      <c r="D13" s="117">
        <f>+[2]Tourcoing!$H13</f>
        <v>0</v>
      </c>
      <c r="E13" s="160">
        <f>-IF(ISNA(VLOOKUP("TOURC707230000",Balanceanp!C:G,5,FALSE))=TRUE,0,VLOOKUP("TOURC707230000",Balanceanp!C:G,5,FALSE))</f>
        <v>0</v>
      </c>
      <c r="F13" s="368">
        <f t="shared" si="1"/>
        <v>0</v>
      </c>
      <c r="G13" s="395"/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>
      <c r="A14" s="5" t="s">
        <v>269</v>
      </c>
      <c r="B14" s="92"/>
      <c r="C14" s="160">
        <f>-IF(ISNA(VLOOKUP("TOURC708820000",Balance!C:G,5,FALSE))=TRUE,0,VLOOKUP("TOURC708820000",Balance!C:G,5,FALSE))</f>
        <v>10</v>
      </c>
      <c r="D14" s="117">
        <f>+[2]Tourcoing!$H14</f>
        <v>0</v>
      </c>
      <c r="E14" s="160">
        <f>-IF(ISNA(VLOOKUP("TOURC708820000",Balanceanp!C:G,5,FALSE))=TRUE,0,VLOOKUP("TOURC708820000",Balanceanp!C:G,5,FALSE))</f>
        <v>75.37</v>
      </c>
      <c r="F14" s="368">
        <f t="shared" si="1"/>
        <v>10</v>
      </c>
      <c r="G14" s="395"/>
      <c r="H14" s="401"/>
      <c r="I14" s="149">
        <f t="shared" si="2"/>
        <v>-0.86732121533766748</v>
      </c>
      <c r="J14" s="271">
        <f t="shared" si="2"/>
        <v>-1</v>
      </c>
      <c r="L14" s="17">
        <v>0</v>
      </c>
    </row>
    <row r="15" spans="1:12">
      <c r="A15" s="5" t="s">
        <v>270</v>
      </c>
      <c r="B15" s="92"/>
      <c r="C15" s="160">
        <f>-IF(ISNA(VLOOKUP("TOURC708500000",Balance!C:G,5,FALSE))=TRUE,0,VLOOKUP("TOURC708500000",Balance!C:G,5,FALSE))</f>
        <v>489</v>
      </c>
      <c r="D15" s="117">
        <f>+[2]Tourcoing!$H15</f>
        <v>0</v>
      </c>
      <c r="E15" s="160">
        <f>-IF(ISNA(VLOOKUP("TOURC708500000",Balanceanp!C:G,5,FALSE))=TRUE,0,VLOOKUP("TOURC708500000",Balanceanp!C:G,5,FALSE))</f>
        <v>1209</v>
      </c>
      <c r="F15" s="368">
        <f t="shared" si="1"/>
        <v>489</v>
      </c>
      <c r="G15" s="395"/>
      <c r="H15" s="401"/>
      <c r="I15" s="149">
        <f t="shared" si="2"/>
        <v>-0.59553349875930517</v>
      </c>
      <c r="J15" s="271">
        <f t="shared" si="2"/>
        <v>-1</v>
      </c>
      <c r="L15" s="17">
        <v>0</v>
      </c>
    </row>
    <row r="16" spans="1:12">
      <c r="A16" s="5" t="s">
        <v>85</v>
      </c>
      <c r="B16" s="92"/>
      <c r="C16" s="160">
        <f>IF(ISNA(VLOOKUP("TOURC706000000",Balance!C:G,5,FALSE))=TRUE,0,-VLOOKUP("TOURC706000000",Balance!C:G,5,FALSE))+IF(ISNA(VLOOKUP("TOURC706010000",Balance!C:G,5,FALSE))=TRUE,0,-VLOOKUP("TOURC706010000",Balance!C:G,5,FALSE))</f>
        <v>0</v>
      </c>
      <c r="D16" s="117">
        <f>+[2]Tourcoing!$H16</f>
        <v>0</v>
      </c>
      <c r="E16" s="160">
        <f>IF(ISNA(VLOOKUP("TOURC706000000",Balanceanp!C:G,5,FALSE))=TRUE,0,-VLOOKUP("TOURC706000000",Balanceanp!C:G,5,FALSE))+IF(ISNA(VLOOKUP("TOURC706010000",Balanceanp!C:G,5,FALSE))=TRUE,0,-VLOOKUP("TOURC706010000",Balanceanp!C:G,5,FALSE))</f>
        <v>0</v>
      </c>
      <c r="F16" s="368">
        <f t="shared" si="1"/>
        <v>0</v>
      </c>
      <c r="G16" s="395"/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>
      <c r="A17" s="5" t="s">
        <v>88</v>
      </c>
      <c r="B17" s="92"/>
      <c r="C17" s="160">
        <f>IF(ISNA(VLOOKUP("TOURC707500000",Balance!C:G,5,FALSE))=TRUE,0,-VLOOKUP("TOURC707500000",Balance!C:G,5,FALSE))</f>
        <v>0</v>
      </c>
      <c r="D17" s="117">
        <f>+[2]Tourcoing!$H17</f>
        <v>0</v>
      </c>
      <c r="E17" s="160">
        <f>IF(ISNA(VLOOKUP("TOURC707500000",Balanceanp!C:G,5,FALSE))=TRUE,0,-VLOOKUP("TOURC707500000",Balanceanp!C:G,5,FALSE))</f>
        <v>0</v>
      </c>
      <c r="F17" s="368">
        <f t="shared" si="1"/>
        <v>0</v>
      </c>
      <c r="G17" s="395"/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>
      <c r="A18" s="5" t="s">
        <v>89</v>
      </c>
      <c r="B18" s="92"/>
      <c r="C18" s="160">
        <f>IF(ISNA(VLOOKUP("TOURC707510000",Balance!C:G,5,FALSE))=TRUE,0,-VLOOKUP("TOURC707510000",Balance!C:G,5,FALSE))</f>
        <v>0</v>
      </c>
      <c r="D18" s="117">
        <f>+[2]Tourcoing!$H18</f>
        <v>0</v>
      </c>
      <c r="E18" s="160">
        <f>IF(ISNA(VLOOKUP("TOURC707510000",Balanceanp!C:G,5,FALSE))=TRUE,0,-VLOOKUP("TOURC707510000",Balanceanp!C:G,5,FALSE))</f>
        <v>0</v>
      </c>
      <c r="F18" s="368">
        <f t="shared" si="1"/>
        <v>0</v>
      </c>
      <c r="G18" s="395"/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>
      <c r="A19" s="5" t="s">
        <v>90</v>
      </c>
      <c r="B19" s="92"/>
      <c r="C19" s="160">
        <f>IF(ISNA(VLOOKUP("TOURC708300000",Balance!C:G,5,FALSE))=TRUE,0,-VLOOKUP("TOURC708300000",Balance!C:G,5,FALSE))</f>
        <v>0</v>
      </c>
      <c r="D19" s="117">
        <f>+[2]Tourcoing!$H19</f>
        <v>0</v>
      </c>
      <c r="E19" s="160">
        <f>IF(ISNA(VLOOKUP("TOURC708300000",Balanceanp!C:G,5,FALSE))=TRUE,0,-VLOOKUP("TOURC708300000",Balanceanp!C:G,5,FALSE))</f>
        <v>0</v>
      </c>
      <c r="F19" s="368">
        <f t="shared" si="1"/>
        <v>0</v>
      </c>
      <c r="G19" s="395"/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93"/>
      <c r="C21" s="163">
        <f>SUM(C7:C20)</f>
        <v>193002.65000000002</v>
      </c>
      <c r="D21" s="118">
        <f>SUM(D7:D20)</f>
        <v>487277</v>
      </c>
      <c r="E21" s="163">
        <f>SUM(E7:E20)</f>
        <v>457803.73</v>
      </c>
      <c r="F21" s="136">
        <f>SUM(F7:F20)</f>
        <v>193002.65000000002</v>
      </c>
      <c r="G21" s="136">
        <f>SUM(G7:G20)</f>
        <v>0</v>
      </c>
      <c r="H21" s="312"/>
      <c r="I21" s="272">
        <f>+IF((E21)=0,,(F21-E21)/E21)</f>
        <v>-0.5784161697415614</v>
      </c>
      <c r="J21" s="188">
        <f>+IF((F21)=0,,(G21-F21)/F21)</f>
        <v>-1</v>
      </c>
      <c r="L21" s="17">
        <f t="shared" si="0"/>
        <v>1</v>
      </c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" t="s">
        <v>92</v>
      </c>
      <c r="B23" s="92"/>
      <c r="C23" s="160">
        <f>IF(ISNA(VLOOKUP("TOURC602650000",Balance!C:G,5,FALSE))=TRUE,0,VLOOKUP("TOURC602650000",Balance!C:G,5,FALSE))</f>
        <v>0</v>
      </c>
      <c r="D23" s="115"/>
      <c r="E23" s="160">
        <f>IF(ISNA(VLOOKUP("TOURC602650000",Balanceanp!C:G,5,FALSE))=TRUE,0,VLOOKUP("TOURC602650000",Balanceanp!C:G,5,FALSE))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" t="s">
        <v>93</v>
      </c>
      <c r="B24" s="92"/>
      <c r="C24" s="160">
        <f>IF(ISNA(VLOOKUP("tourc607100000",Balance!C:G,5,FALSE))=TRUE,0,VLOOKUP("tourc607100000",Balance!C:G,5,FALSE))</f>
        <v>28708.98</v>
      </c>
      <c r="D24" s="115"/>
      <c r="E24" s="160">
        <f>IF(ISNA(VLOOKUP("tourc607100000",Balanceanp!C:G,5,FALSE))=TRUE,0,VLOOKUP("tourc607100000",Balanceanp!C:G,5,FALSE))</f>
        <v>91133.24</v>
      </c>
      <c r="F24" s="134"/>
      <c r="G24" s="563">
        <f>H24*G30</f>
        <v>0</v>
      </c>
      <c r="H24" s="560">
        <f>1-H28</f>
        <v>0.65</v>
      </c>
      <c r="I24" s="149"/>
      <c r="J24" s="271"/>
      <c r="L24" s="17">
        <f t="shared" si="0"/>
        <v>1</v>
      </c>
    </row>
    <row r="25" spans="1:12">
      <c r="A25" s="5" t="s">
        <v>94</v>
      </c>
      <c r="B25" s="92"/>
      <c r="C25" s="160">
        <f>IF(ISNA(VLOOKUP("tourc607110000",Balance!C:G,5,FALSE))=TRUE,0,VLOOKUP("tourc607110000",Balance!C:G,5,FALSE))+IF(ISNA(VLOOKUP("tourc607120000",Balance!C:G,5,FALSE))=TRUE,0,VLOOKUP("tourc607120000",Balance!C:G,5,FALSE))</f>
        <v>1089.8499999999999</v>
      </c>
      <c r="D25" s="115"/>
      <c r="E25" s="160">
        <f>IF(ISNA(VLOOKUP("tourc607110000",Balanceanp!C:G,5,FALSE))=TRUE,0,VLOOKUP("tourc607110000",Balanceanp!C:G,5,FALSE))+IF(ISNA(VLOOKUP("tourc607120000",Balanceanp!C:G,5,FALSE))=TRUE,0,VLOOKUP("tourc607120000",Balanceanp!C:G,5,FALSE))</f>
        <v>5637.07</v>
      </c>
      <c r="F25" s="134"/>
      <c r="G25" s="134"/>
      <c r="H25" s="400"/>
      <c r="I25" s="149"/>
      <c r="J25" s="271"/>
      <c r="L25" s="17">
        <v>0</v>
      </c>
    </row>
    <row r="26" spans="1:12">
      <c r="A26" s="5" t="s">
        <v>288</v>
      </c>
      <c r="B26" s="92"/>
      <c r="C26" s="160">
        <f>IF(ISNA(VLOOKUP("TOURC607130000",Balance!C:G,5,FALSE))=TRUE,0,VLOOKUP("TOURC607130000",Balance!C:G,5,FALSE))</f>
        <v>22175</v>
      </c>
      <c r="D26" s="115"/>
      <c r="E26" s="160">
        <f>IF(ISNA(VLOOKUP("TOURC607130000",Balanceanp!C:G,5,FALSE))=TRUE,0,VLOOKUP("TOURC607130000",Balanceanp!C:G,5,FALSE))</f>
        <v>50702</v>
      </c>
      <c r="F26" s="134"/>
      <c r="G26" s="134"/>
      <c r="H26" s="400"/>
      <c r="I26" s="149"/>
      <c r="J26" s="271"/>
      <c r="L26" s="17">
        <v>0</v>
      </c>
    </row>
    <row r="27" spans="1:12">
      <c r="A27" s="5" t="s">
        <v>289</v>
      </c>
      <c r="B27" s="92"/>
      <c r="C27" s="160">
        <f>IF(ISNA(VLOOKUP("TOURC607140000",Balance!C:G,5,FALSE))=TRUE,0,VLOOKUP("TOURC607140000",Balance!C:G,5,FALSE))</f>
        <v>-111257.85</v>
      </c>
      <c r="D27" s="115"/>
      <c r="E27" s="160">
        <f>IF(ISNA(VLOOKUP("TOURC607140000",Balanceanp!C:G,5,FALSE))=TRUE,0,VLOOKUP("TOURC607140000",Balanceanp!C:G,5,FALSE))</f>
        <v>-115080</v>
      </c>
      <c r="F27" s="134"/>
      <c r="G27" s="134"/>
      <c r="H27" s="400"/>
      <c r="I27" s="149"/>
      <c r="J27" s="271"/>
      <c r="L27" s="17">
        <v>0</v>
      </c>
    </row>
    <row r="28" spans="1:12">
      <c r="A28" s="5" t="s">
        <v>95</v>
      </c>
      <c r="B28" s="92"/>
      <c r="C28" s="160">
        <f>IF(ISNA(VLOOKUP("TOURC607200000",Balance!C:G,5,FALSE))=TRUE,0,VLOOKUP("TOURC607200000",Balance!C:G,5,FALSE))</f>
        <v>46293.13</v>
      </c>
      <c r="D28" s="115"/>
      <c r="E28" s="160">
        <f>IF(ISNA(VLOOKUP("TOURC607200000",Balanceanp!C:G,5,FALSE))=TRUE,0,VLOOKUP("TOURC607200000",Balanceanp!C:G,5,FALSE))</f>
        <v>134087.72</v>
      </c>
      <c r="F28" s="134"/>
      <c r="G28" s="563">
        <f>H28*G30</f>
        <v>0</v>
      </c>
      <c r="H28" s="567">
        <v>0.35</v>
      </c>
      <c r="I28" s="149"/>
      <c r="J28" s="271"/>
      <c r="L28" s="17">
        <f t="shared" si="0"/>
        <v>1</v>
      </c>
    </row>
    <row r="29" spans="1:12">
      <c r="A29" s="5" t="s">
        <v>293</v>
      </c>
      <c r="B29" s="92"/>
      <c r="C29" s="160">
        <f>IF(ISNA(VLOOKUP("TOURC607150000",Balance!C:G,5,FALSE))=TRUE,0,VLOOKUP("TOURC607150000",Balance!C:G,5,FALSE))</f>
        <v>47471.3</v>
      </c>
      <c r="D29" s="115"/>
      <c r="E29" s="357">
        <f>IF(ISNA(VLOOKUP("TOURC607150000",Balanceanp!C:G,5,FALSE))=TRUE,0,VLOOKUP("TOURC607150000",Balanceanp!C:G,5,FALSE))</f>
        <v>102939.48</v>
      </c>
      <c r="F29" s="134"/>
      <c r="G29" s="134"/>
      <c r="H29" s="400"/>
      <c r="I29" s="149" t="str">
        <f>+IF((D28)=0,"",(C28-D28)/D28)</f>
        <v/>
      </c>
      <c r="J29" s="271"/>
      <c r="L29" s="17">
        <v>0</v>
      </c>
    </row>
    <row r="30" spans="1:12" s="43" customFormat="1" ht="15" customHeight="1">
      <c r="A30" s="42" t="s">
        <v>292</v>
      </c>
      <c r="B30" s="94"/>
      <c r="C30" s="164">
        <f>SUM(C23:C29)</f>
        <v>34480.409999999996</v>
      </c>
      <c r="D30" s="119"/>
      <c r="E30" s="164">
        <f>SUM(E23:E29)</f>
        <v>269419.51</v>
      </c>
      <c r="F30" s="573">
        <f>1-(E30/E21)</f>
        <v>0.41149559877985264</v>
      </c>
      <c r="G30" s="137">
        <f>G21*(1-H30)</f>
        <v>0</v>
      </c>
      <c r="H30" s="574"/>
      <c r="I30" s="273"/>
      <c r="J30" s="342"/>
      <c r="L30" s="17">
        <f t="shared" si="0"/>
        <v>1</v>
      </c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hidden="1" customHeight="1">
      <c r="A32" s="56" t="s">
        <v>336</v>
      </c>
      <c r="B32" s="95"/>
      <c r="C32" s="166">
        <f>+C21-C30-C38</f>
        <v>52124.230000000025</v>
      </c>
      <c r="D32" s="120"/>
      <c r="E32" s="166">
        <f>+E21-E30-E38</f>
        <v>166113.22629999998</v>
      </c>
      <c r="F32" s="138"/>
      <c r="G32" s="138"/>
      <c r="H32" s="403"/>
      <c r="I32" s="273"/>
      <c r="J32" s="274"/>
      <c r="L32" s="17">
        <f t="shared" si="0"/>
        <v>1</v>
      </c>
    </row>
    <row r="33" spans="1:12" s="33" customFormat="1" ht="0.75" hidden="1" customHeight="1">
      <c r="A33" s="56" t="s">
        <v>337</v>
      </c>
      <c r="B33" s="95"/>
      <c r="C33" s="196">
        <f>+C32/C21</f>
        <v>0.27007002235461541</v>
      </c>
      <c r="D33" s="120"/>
      <c r="E33" s="196">
        <f>+E32/E21</f>
        <v>0.36284812773369057</v>
      </c>
      <c r="F33" s="138"/>
      <c r="G33" s="138"/>
      <c r="H33" s="403"/>
      <c r="I33" s="273"/>
      <c r="J33" s="274"/>
      <c r="L33" s="17">
        <f t="shared" si="0"/>
        <v>1</v>
      </c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5" t="s">
        <v>96</v>
      </c>
      <c r="B35" s="92"/>
      <c r="C35" s="160">
        <f>IF(ISNA(VLOOKUP("TOURC607400000",Balance!C:G,5,FALSE))=TRUE,0,VLOOKUP("TOURC607400000",Balance!C:G,5,FALSE))</f>
        <v>1876.35</v>
      </c>
      <c r="D35" s="115"/>
      <c r="E35" s="160">
        <f>IF(ISNA(VLOOKUP("TOURC607400000",Balanceanp!C:G,5,FALSE))=TRUE,0,VLOOKUP("TOURC607400000",Balanceanp!C:G,5,FALSE))</f>
        <v>3247.96</v>
      </c>
      <c r="F35" s="576">
        <f>E35/E30</f>
        <v>1.205540014529757E-2</v>
      </c>
      <c r="G35" s="579">
        <f>F35*G30</f>
        <v>0</v>
      </c>
      <c r="H35" s="400"/>
      <c r="I35" s="149" t="str">
        <f t="shared" si="3"/>
        <v/>
      </c>
      <c r="J35" s="271"/>
      <c r="L35" s="17">
        <f t="shared" si="0"/>
        <v>1</v>
      </c>
    </row>
    <row r="36" spans="1:12">
      <c r="A36" s="5" t="s">
        <v>97</v>
      </c>
      <c r="B36" s="92"/>
      <c r="C36" s="160">
        <f>IF(ISNA(VLOOKUP("TOURC608000000",Balance!C:G,5,FALSE))=TRUE,0,VLOOKUP("TOURC608000000",Balance!C:G,5,FALSE))</f>
        <v>1203.81</v>
      </c>
      <c r="D36" s="115"/>
      <c r="E36" s="160">
        <f>IF(ISNA(VLOOKUP("TOURC608000000",Balanceanp!C:G,5,FALSE))=TRUE,0,VLOOKUP("TOURC608000000",Balanceanp!C:G,5,FALSE))</f>
        <v>1105.02</v>
      </c>
      <c r="F36" s="576">
        <f>E36/E30</f>
        <v>4.1014847068796163E-3</v>
      </c>
      <c r="G36" s="579">
        <f>F36*G30</f>
        <v>0</v>
      </c>
      <c r="H36" s="400"/>
      <c r="I36" s="149" t="str">
        <f t="shared" si="3"/>
        <v/>
      </c>
      <c r="J36" s="271"/>
      <c r="L36" s="17">
        <f t="shared" si="0"/>
        <v>1</v>
      </c>
    </row>
    <row r="37" spans="1:12">
      <c r="A37" s="5" t="s">
        <v>98</v>
      </c>
      <c r="B37" s="92"/>
      <c r="C37" s="160">
        <f>IF(ISNA(VLOOKUP("TOURC608100000",Balance!C:G,5,FALSE))=TRUE,0,VLOOKUP("TOURC608100000",Balance!C:G,5,FALSE))</f>
        <v>0</v>
      </c>
      <c r="D37" s="115"/>
      <c r="E37" s="160">
        <f>IF(ISNA(VLOOKUP("TOURC608100000",Balanceanp!C:G,5,FALSE))=TRUE,0,VLOOKUP("TOURC608100000",Balanceanp!C:G,5,FALSE))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>
      <c r="A38" s="5" t="s">
        <v>99</v>
      </c>
      <c r="B38" s="92"/>
      <c r="C38" s="160">
        <f>+C56-C57</f>
        <v>106398.01</v>
      </c>
      <c r="D38" s="115"/>
      <c r="E38" s="160">
        <f>+E56-E57</f>
        <v>22270.993700000006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>
      <c r="A39" s="5" t="s">
        <v>177</v>
      </c>
      <c r="B39" s="92"/>
      <c r="C39" s="160">
        <f>IF(ISNA(VLOOKUP("TOURC681730000",Balance!C:G,5,FALSE))=TRUE,0,VLOOKUP("TOURC681730000",Balance!C:G,5,FALSE))</f>
        <v>0</v>
      </c>
      <c r="D39" s="115"/>
      <c r="E39" s="160">
        <f>IF(ISNA(VLOOKUP("TOURC681730000",Balanceanp!C:G,5,FALSE))=TRUE,0,VLOOKUP("TOURC681730000",Balanceanp!C:G,5,FALSE))</f>
        <v>11579.19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>
      <c r="A40" s="5" t="s">
        <v>176</v>
      </c>
      <c r="B40" s="92"/>
      <c r="C40" s="160">
        <f>IF(ISNA(VLOOKUP("TOURC781730000",Balance!C:G,5,FALSE))=TRUE,0,VLOOKUP("TOURC781730000",Balance!C:G,5,FALSE))</f>
        <v>-8207.57</v>
      </c>
      <c r="D40" s="115"/>
      <c r="E40" s="160">
        <f>IF(ISNA(VLOOKUP("TOURC781730000",Balanceanp!C:G,5,FALSE))=TRUE,0,VLOOKUP("TOURC781730000",Balanceanp!C:G,5,FALSE))</f>
        <v>-6567.39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" t="s">
        <v>317</v>
      </c>
      <c r="B41" s="92"/>
      <c r="C41" s="160">
        <f>IF(ISNA(VLOOKUP("TOURC609110000",Balance!C:G,5,FALSE))=TRUE,0,VLOOKUP("TOURC609110000",Balance!C:G,5,FALSE))</f>
        <v>245.87</v>
      </c>
      <c r="D41" s="115"/>
      <c r="E41" s="160">
        <f>IF(ISNA(VLOOKUP("TOURC609110000",Balanceanp!C:G,5,FALSE))=TRUE,0,VLOOKUP("TOURC609110000",Balanceanp!C:G,5,FALSE))</f>
        <v>-3844.73</v>
      </c>
      <c r="F41" s="561">
        <f>E41/SUM(E24:E25)</f>
        <v>-3.9730471050469923E-2</v>
      </c>
      <c r="G41" s="575">
        <f>H41*(G24)</f>
        <v>0</v>
      </c>
      <c r="H41" s="562">
        <v>-0.02</v>
      </c>
      <c r="I41" s="149" t="str">
        <f t="shared" si="3"/>
        <v/>
      </c>
      <c r="J41" s="271"/>
      <c r="L41" s="17">
        <f t="shared" si="0"/>
        <v>1</v>
      </c>
    </row>
    <row r="42" spans="1:12">
      <c r="A42" s="5" t="s">
        <v>318</v>
      </c>
      <c r="B42" s="92"/>
      <c r="C42" s="160">
        <f>IF(ISNA(VLOOKUP("TOURC609120000",Balance!C:G,5,FALSE))=TRUE,0,VLOOKUP("TOURC609120000",Balance!C:G,5,FALSE))</f>
        <v>-3268.3</v>
      </c>
      <c r="D42" s="115"/>
      <c r="E42" s="160">
        <f>IF(ISNA(VLOOKUP("TOURC609120000",Balanceanp!C:G,5,FALSE))=TRUE,0,VLOOKUP("TOURC609120000",Balanceanp!C:G,5,FALSE))</f>
        <v>-9654</v>
      </c>
      <c r="F42" s="561">
        <f>E42/E28</f>
        <v>-7.1997644527030516E-2</v>
      </c>
      <c r="G42" s="575">
        <f>H42*G28</f>
        <v>0</v>
      </c>
      <c r="H42" s="562">
        <v>-7.0000000000000007E-2</v>
      </c>
      <c r="I42" s="149" t="str">
        <f t="shared" si="3"/>
        <v/>
      </c>
      <c r="J42" s="271"/>
      <c r="L42" s="17">
        <f t="shared" si="0"/>
        <v>1</v>
      </c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93"/>
      <c r="C44" s="163">
        <f>+C30+SUM(C34:C43)</f>
        <v>132728.57999999999</v>
      </c>
      <c r="D44" s="121"/>
      <c r="E44" s="163">
        <f>+E30+SUM(E34:E43)</f>
        <v>287556.55369999999</v>
      </c>
      <c r="F44" s="139"/>
      <c r="G44" s="571">
        <f>SUM(G35:G43)+G30</f>
        <v>0</v>
      </c>
      <c r="H44" s="404"/>
      <c r="I44" s="272"/>
      <c r="J44" s="188"/>
      <c r="L44" s="17">
        <f t="shared" si="0"/>
        <v>1</v>
      </c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customHeight="1">
      <c r="A46" s="56" t="s">
        <v>339</v>
      </c>
      <c r="B46" s="95"/>
      <c r="C46" s="166">
        <f>+C21-C44</f>
        <v>60274.070000000036</v>
      </c>
      <c r="D46" s="120"/>
      <c r="E46" s="166">
        <f>+E21-E44</f>
        <v>170247.17629999999</v>
      </c>
      <c r="F46" s="138"/>
      <c r="G46" s="138"/>
      <c r="H46" s="403"/>
      <c r="I46" s="273"/>
      <c r="J46" s="274"/>
      <c r="L46" s="17">
        <v>0</v>
      </c>
    </row>
    <row r="47" spans="1:12" s="33" customFormat="1" ht="15" customHeight="1">
      <c r="A47" s="56" t="s">
        <v>340</v>
      </c>
      <c r="B47" s="95"/>
      <c r="C47" s="196">
        <f>+C46/C21</f>
        <v>0.3122965928188034</v>
      </c>
      <c r="D47" s="120"/>
      <c r="E47" s="196">
        <f>+E46/E21</f>
        <v>0.37187808911037051</v>
      </c>
      <c r="F47" s="138"/>
      <c r="G47" s="138"/>
      <c r="H47" s="403"/>
      <c r="I47" s="273"/>
      <c r="J47" s="274"/>
      <c r="L47" s="17">
        <v>0</v>
      </c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" t="s">
        <v>91</v>
      </c>
      <c r="B49" s="92">
        <f>+C49/C21</f>
        <v>1.8936268491650241E-2</v>
      </c>
      <c r="C49" s="160">
        <f>IF(ISNA(VLOOKUP("TOURC709700000",Balance!C:G,5,FALSE))=TRUE,0,VLOOKUP("TOURC709700000",Balance!C:G,5,FALSE))</f>
        <v>3654.75</v>
      </c>
      <c r="D49" s="117">
        <f>+[2]Tourcoing!$H49</f>
        <v>4873</v>
      </c>
      <c r="E49" s="160">
        <f>IF(ISNA(VLOOKUP("TOURC709700000",Balanceanp!C:G,5,FALSE))=TRUE,0,VLOOKUP("TOURC709700000",Balanceanp!C:G,5,FALSE))</f>
        <v>4184.79</v>
      </c>
      <c r="F49" s="135">
        <f>+C49</f>
        <v>3654.75</v>
      </c>
      <c r="G49" s="425"/>
      <c r="H49" s="564" t="e">
        <f>G49/G21</f>
        <v>#DIV/0!</v>
      </c>
      <c r="I49" s="149">
        <f>+IF((E49)=0,,(F49-E49)/E49)</f>
        <v>-0.12665868538206218</v>
      </c>
      <c r="J49" s="271">
        <f>+IF((F49)=0,,(G49-F49)/F49)</f>
        <v>-1</v>
      </c>
      <c r="L49" s="17" t="e">
        <f t="shared" si="0"/>
        <v>#DIV/0!</v>
      </c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93"/>
      <c r="C51" s="163">
        <f>+C21-C49</f>
        <v>189347.90000000002</v>
      </c>
      <c r="D51" s="118">
        <f>+D21-D49</f>
        <v>482404</v>
      </c>
      <c r="E51" s="163">
        <f>+E21-E49</f>
        <v>453618.94</v>
      </c>
      <c r="F51" s="136">
        <f>+F21-F49</f>
        <v>189347.90000000002</v>
      </c>
      <c r="G51" s="136">
        <f>+G21-G49</f>
        <v>0</v>
      </c>
      <c r="H51" s="312"/>
      <c r="I51" s="272">
        <f>+IF((E51)=0,,(F51-E51)/E51)</f>
        <v>-0.58258378717608217</v>
      </c>
      <c r="J51" s="188">
        <f>+IF((F51)=0,,(G51-F51)/F51)</f>
        <v>-1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56619.320000000036</v>
      </c>
      <c r="D53" s="122"/>
      <c r="E53" s="169">
        <f>+E51-E44</f>
        <v>166062.38630000001</v>
      </c>
      <c r="F53" s="140"/>
      <c r="G53" s="140">
        <f>+G51-G44</f>
        <v>0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0.29902269842971602</v>
      </c>
      <c r="D54" s="123"/>
      <c r="E54" s="197">
        <f>+E53/E51</f>
        <v>0.36608344946972454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+[2]Tourcoing!$C56</f>
        <v>106155.01</v>
      </c>
      <c r="D56" s="115"/>
      <c r="E56" s="160">
        <f>+[1]Tourcoing!$G56</f>
        <v>125739.662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+[2]Tourcoing!$C57</f>
        <v>-243</v>
      </c>
      <c r="D57" s="115"/>
      <c r="E57" s="160">
        <f>+[1]Tourcoing!$G57</f>
        <v>103468.66829999999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t="12" hidden="1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96"/>
      <c r="C60" s="197">
        <f>+[2]Tourcoing!$C60</f>
        <v>0.36820000000000003</v>
      </c>
      <c r="D60" s="123">
        <f>+[2]Tourcoing!$H60</f>
        <v>0.37320171474531721</v>
      </c>
      <c r="E60" s="197">
        <f>+[1]Tourcoing!$G$54</f>
        <v>0.36608344946972454</v>
      </c>
      <c r="F60" s="141">
        <f>+C54</f>
        <v>0.29902269842971602</v>
      </c>
      <c r="G60" s="141" t="e">
        <f>G62/G51</f>
        <v>#DIV/0!</v>
      </c>
      <c r="H60" s="406"/>
      <c r="I60" s="224"/>
      <c r="J60" s="123"/>
      <c r="L60" s="17" t="e">
        <f t="shared" si="0"/>
        <v>#DIV/0!</v>
      </c>
    </row>
    <row r="61" spans="1:12">
      <c r="A61" s="5" t="s">
        <v>65</v>
      </c>
      <c r="B61" s="92"/>
      <c r="C61" s="92">
        <f>+[2]Tourcoing!$C61</f>
        <v>0.35899999999999999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96"/>
      <c r="C62" s="169">
        <f>+C51*C60</f>
        <v>69717.89678000001</v>
      </c>
      <c r="D62" s="122">
        <f>D51*D60</f>
        <v>180034</v>
      </c>
      <c r="E62" s="169">
        <f>+E51*E60</f>
        <v>166062.38630000001</v>
      </c>
      <c r="F62" s="140">
        <f>+F51*F60</f>
        <v>56619.320000000029</v>
      </c>
      <c r="G62" s="140">
        <f>G51-G44</f>
        <v>0</v>
      </c>
      <c r="H62" s="405"/>
      <c r="I62" s="224">
        <f>+IF((E62)=0,,(F62-E62)/E62)</f>
        <v>-0.65904789602556713</v>
      </c>
      <c r="J62" s="123">
        <f>+IF((F62)=0,,(G62-F62)/F62)</f>
        <v>-1</v>
      </c>
      <c r="L62" s="17">
        <f t="shared" si="0"/>
        <v>1</v>
      </c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" t="s">
        <v>104</v>
      </c>
      <c r="B64" s="92"/>
      <c r="C64" s="160">
        <f>IF(ISNA(VLOOKUP("TOURC613520000",Balance!C:G,5,FALSE))=TRUE,0,VLOOKUP("TOURC613520000",Balance!C:G,5,FALSE))</f>
        <v>1520.74</v>
      </c>
      <c r="D64" s="117">
        <f>+[2]Tourcoing!$H64</f>
        <v>2296</v>
      </c>
      <c r="E64" s="160">
        <f>IF(ISNA(VLOOKUP("TOURC613520000",Balanceanp!C:G,5,FALSE))=TRUE,0,VLOOKUP("TOURC613520000",Balanceanp!C:G,5,FALSE))</f>
        <v>3041.88</v>
      </c>
      <c r="F64" s="368">
        <f>+C64</f>
        <v>1520.74</v>
      </c>
      <c r="G64" s="395"/>
      <c r="H64" s="401"/>
      <c r="I64" s="149">
        <f t="shared" ref="I64:J68" si="4">+IF((E64)=0,,(F64-E64)/E64)</f>
        <v>-0.50006574881323396</v>
      </c>
      <c r="J64" s="271">
        <f t="shared" si="4"/>
        <v>-1</v>
      </c>
      <c r="L64" s="17">
        <f t="shared" si="0"/>
        <v>1</v>
      </c>
    </row>
    <row r="65" spans="1:12">
      <c r="A65" s="5" t="s">
        <v>314</v>
      </c>
      <c r="B65" s="92"/>
      <c r="C65" s="160"/>
      <c r="D65" s="117">
        <f>+[2]Tourcoing!$H65</f>
        <v>0</v>
      </c>
      <c r="E65" s="160"/>
      <c r="F65" s="368">
        <f>+C65</f>
        <v>0</v>
      </c>
      <c r="G65" s="395"/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5" t="s">
        <v>110</v>
      </c>
      <c r="B66" s="92"/>
      <c r="C66" s="160">
        <f>IF(ISNA(VLOOKUP("TOURC616120000",Balance!C:G,5,FALSE))=TRUE,0,VLOOKUP("TOURC616120000",Balance!C:G,5,FALSE))</f>
        <v>382.56</v>
      </c>
      <c r="D66" s="117">
        <f>+[2]Tourcoing!$H66</f>
        <v>474</v>
      </c>
      <c r="E66" s="160">
        <f>IF(ISNA(VLOOKUP("TOURC616120000",Balanceanp!C:G,5,FALSE))=TRUE,0,VLOOKUP("TOURC616120000",Balanceanp!C:G,5,FALSE))</f>
        <v>614.23</v>
      </c>
      <c r="F66" s="368">
        <f>+C66</f>
        <v>382.56</v>
      </c>
      <c r="G66" s="395"/>
      <c r="H66" s="401"/>
      <c r="I66" s="149">
        <f t="shared" si="4"/>
        <v>-0.3771714178727838</v>
      </c>
      <c r="J66" s="271">
        <f t="shared" si="4"/>
        <v>-1</v>
      </c>
      <c r="L66" s="17">
        <f t="shared" si="0"/>
        <v>1</v>
      </c>
    </row>
    <row r="67" spans="1:12">
      <c r="A67" s="5" t="s">
        <v>107</v>
      </c>
      <c r="B67" s="92"/>
      <c r="C67" s="160">
        <f>IF(ISNA(VLOOKUP("TOURC615520000",Balance!C:G,5,FALSE))=TRUE,0,VLOOKUP("TOURC615520000",Balance!C:G,5,FALSE))</f>
        <v>441.81</v>
      </c>
      <c r="D67" s="117">
        <f>+[2]Tourcoing!$H67</f>
        <v>1531</v>
      </c>
      <c r="E67" s="160">
        <f>IF(ISNA(VLOOKUP("TOURC615520000",Balanceanp!C:G,5,FALSE))=TRUE,0,VLOOKUP("TOURC615520000",Balanceanp!C:G,5,FALSE))</f>
        <v>2164.81</v>
      </c>
      <c r="F67" s="368">
        <f>+C67</f>
        <v>441.81</v>
      </c>
      <c r="G67" s="395"/>
      <c r="H67" s="401"/>
      <c r="I67" s="149">
        <f t="shared" si="4"/>
        <v>-0.79591280528083297</v>
      </c>
      <c r="J67" s="271">
        <f t="shared" si="4"/>
        <v>-1</v>
      </c>
      <c r="L67" s="17">
        <f t="shared" si="0"/>
        <v>1</v>
      </c>
    </row>
    <row r="68" spans="1:12">
      <c r="A68" s="5" t="s">
        <v>125</v>
      </c>
      <c r="B68" s="92"/>
      <c r="C68" s="160">
        <f>IF(ISNA(VLOOKUP("TOURC606130000",Balance!C:G,5,FALSE))=TRUE,0,VLOOKUP("TOURC606130000",Balance!C:G,5,FALSE))</f>
        <v>496.99</v>
      </c>
      <c r="D68" s="117">
        <f>+[2]Tourcoing!$H68</f>
        <v>1408</v>
      </c>
      <c r="E68" s="160">
        <f>IF(ISNA(VLOOKUP("TOURC606130000",Balanceanp!C:G,5,FALSE))=TRUE,0,VLOOKUP("TOURC606130000",Balanceanp!C:G,5,FALSE))</f>
        <v>1679.35</v>
      </c>
      <c r="F68" s="368">
        <f>+C68</f>
        <v>496.99</v>
      </c>
      <c r="G68" s="368"/>
      <c r="H68" s="410"/>
      <c r="I68" s="149">
        <f t="shared" si="4"/>
        <v>-0.70405811772411941</v>
      </c>
      <c r="J68" s="271">
        <f t="shared" si="4"/>
        <v>-1</v>
      </c>
      <c r="L68" s="17">
        <f t="shared" si="0"/>
        <v>1</v>
      </c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98"/>
      <c r="C70" s="173">
        <f>SUM(C64:C69)</f>
        <v>2842.1000000000004</v>
      </c>
      <c r="D70" s="125">
        <f>SUM(D64:D69)</f>
        <v>5709</v>
      </c>
      <c r="E70" s="276">
        <f>SUM(E64:E69)</f>
        <v>7500.27</v>
      </c>
      <c r="F70" s="370">
        <f>SUM(F64:F69)</f>
        <v>2842.1000000000004</v>
      </c>
      <c r="G70" s="359">
        <f>SUM(G64:G69)</f>
        <v>0</v>
      </c>
      <c r="H70" s="412"/>
      <c r="I70" s="384">
        <f>+IF((E70)=0,,(F70-E70)/E70)</f>
        <v>-0.62106697492223606</v>
      </c>
      <c r="J70" s="279">
        <f>+IF((F70)=0,,(G70-F70)/F70)</f>
        <v>-1</v>
      </c>
      <c r="L70" s="17">
        <f t="shared" si="0"/>
        <v>1</v>
      </c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" t="s">
        <v>1</v>
      </c>
      <c r="B72" s="92"/>
      <c r="C72" s="160">
        <f>IF(ISNA(VLOOKUP("TOURC602220000",Balance!C:G,5,FALSE))=TRUE,0,VLOOKUP("TOURC602220000",Balance!C:G,5,FALSE))</f>
        <v>0</v>
      </c>
      <c r="D72" s="117">
        <f>+[2]Tourcoing!$H72</f>
        <v>0.81954524999999989</v>
      </c>
      <c r="E72" s="160">
        <f>IF(ISNA(VLOOKUP("TOURC602220000",Balanceanp!C:G,5,FALSE))=TRUE,0,VLOOKUP("TOURC602220000",Balanceanp!C:G,5,FALSE))</f>
        <v>0</v>
      </c>
      <c r="F72" s="368">
        <f t="shared" ref="F72:F101" si="5">+C72</f>
        <v>0</v>
      </c>
      <c r="G72" s="396"/>
      <c r="H72" s="409"/>
      <c r="I72" s="149">
        <f t="shared" ref="I72:J87" si="6">+IF((E72)=0,,(F72-E72)/E72)</f>
        <v>0</v>
      </c>
      <c r="J72" s="271">
        <f t="shared" si="6"/>
        <v>0</v>
      </c>
      <c r="L72" s="17">
        <f t="shared" ref="L72:L133" si="7">IF(SUM(C72:J72)&lt;&gt;0,1,0)</f>
        <v>1</v>
      </c>
    </row>
    <row r="73" spans="1:12">
      <c r="A73" s="5" t="s">
        <v>123</v>
      </c>
      <c r="B73" s="92"/>
      <c r="C73" s="160">
        <f>IF(ISNA(VLOOKUP("TOURC606100000",Balance!C:G,5,FALSE))=TRUE,0,VLOOKUP("TOURC606100000",Balance!C:G,5,FALSE))</f>
        <v>1795.2</v>
      </c>
      <c r="D73" s="117">
        <f>+[2]Tourcoing!$H73</f>
        <v>2000</v>
      </c>
      <c r="E73" s="160">
        <f>IF(ISNA(VLOOKUP("TOURC606100000",Balanceanp!C:G,5,FALSE))=TRUE,0,VLOOKUP("TOURC606100000",Balanceanp!C:G,5,FALSE))</f>
        <v>4132.83</v>
      </c>
      <c r="F73" s="368">
        <f t="shared" si="5"/>
        <v>1795.2</v>
      </c>
      <c r="G73" s="396"/>
      <c r="H73" s="409"/>
      <c r="I73" s="149">
        <f t="shared" si="6"/>
        <v>-0.56562452363150673</v>
      </c>
      <c r="J73" s="271">
        <f t="shared" si="6"/>
        <v>-1</v>
      </c>
      <c r="L73" s="17">
        <f t="shared" si="7"/>
        <v>1</v>
      </c>
    </row>
    <row r="74" spans="1:12">
      <c r="A74" s="5" t="s">
        <v>124</v>
      </c>
      <c r="B74" s="92"/>
      <c r="C74" s="160">
        <f>IF(ISNA(VLOOKUP("TOURC606110000",Balance!C:G,5,FALSE))=TRUE,0,VLOOKUP("TOURC606110000",Balance!C:G,5,FALSE))</f>
        <v>5400.23</v>
      </c>
      <c r="D74" s="117">
        <f>+[2]Tourcoing!$H74</f>
        <v>3000</v>
      </c>
      <c r="E74" s="160">
        <f>IF(ISNA(VLOOKUP("TOURC606110000",Balanceanp!C:G,5,FALSE))=TRUE,0,VLOOKUP("TOURC606110000",Balanceanp!C:G,5,FALSE))</f>
        <v>6808.34</v>
      </c>
      <c r="F74" s="368">
        <f t="shared" si="5"/>
        <v>5400.23</v>
      </c>
      <c r="G74" s="396"/>
      <c r="H74" s="409"/>
      <c r="I74" s="149">
        <f t="shared" si="6"/>
        <v>-0.20682133970982655</v>
      </c>
      <c r="J74" s="271">
        <f t="shared" si="6"/>
        <v>-1</v>
      </c>
      <c r="L74" s="17">
        <f t="shared" si="7"/>
        <v>1</v>
      </c>
    </row>
    <row r="75" spans="1:12">
      <c r="A75" s="5" t="s">
        <v>360</v>
      </c>
      <c r="B75" s="92"/>
      <c r="C75" s="160">
        <f>IF(ISNA(VLOOKUP("TOURC606140000",Balance!C:G,5,FALSE))=TRUE,0,VLOOKUP("TOURC606140000",Balance!C:G,5,FALSE))</f>
        <v>0</v>
      </c>
      <c r="D75" s="117">
        <f>+[2]Tourcoing!$H75</f>
        <v>0</v>
      </c>
      <c r="E75" s="160">
        <f>IF(ISNA(VLOOKUP("TOURC606140000",Balanceanp!C:G,5,FALSE))=TRUE,0,VLOOKUP("TOURC606140000",Balanceanp!C:G,5,FALSE))</f>
        <v>0</v>
      </c>
      <c r="F75" s="368">
        <f t="shared" si="5"/>
        <v>0</v>
      </c>
      <c r="G75" s="396"/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" t="s">
        <v>126</v>
      </c>
      <c r="B76" s="92"/>
      <c r="C76" s="160">
        <f>IF(ISNA(VLOOKUP("TOURC606310000",Balance!C:G,5,FALSE))=TRUE,0,VLOOKUP("TOURC606310000",Balance!C:G,5,FALSE))</f>
        <v>0</v>
      </c>
      <c r="D76" s="117">
        <f>+[2]Tourcoing!$H76</f>
        <v>56.937801670138889</v>
      </c>
      <c r="E76" s="160">
        <f>IF(ISNA(VLOOKUP("TOURC606310000",Balanceanp!C:G,5,FALSE))=TRUE,0,VLOOKUP("TOURC606310000",Balanceanp!C:G,5,FALSE))</f>
        <v>217.64</v>
      </c>
      <c r="F76" s="368">
        <f t="shared" si="5"/>
        <v>0</v>
      </c>
      <c r="G76" s="396"/>
      <c r="H76" s="409"/>
      <c r="I76" s="149">
        <f t="shared" si="6"/>
        <v>-1</v>
      </c>
      <c r="J76" s="271">
        <f t="shared" si="6"/>
        <v>0</v>
      </c>
      <c r="L76" s="17">
        <f t="shared" si="7"/>
        <v>1</v>
      </c>
    </row>
    <row r="77" spans="1:12">
      <c r="A77" s="5" t="s">
        <v>127</v>
      </c>
      <c r="B77" s="92"/>
      <c r="C77" s="160">
        <f>IF(ISNA(VLOOKUP("TOURC606410000",Balance!C:G,5,FALSE))=TRUE,0,VLOOKUP("TOURC606410000",Balance!C:G,5,FALSE))</f>
        <v>647.54999999999995</v>
      </c>
      <c r="D77" s="117">
        <f>+[2]Tourcoing!$H77</f>
        <v>500</v>
      </c>
      <c r="E77" s="160">
        <f>IF(ISNA(VLOOKUP("TOURC606410000",Balanceanp!C:G,5,FALSE))=TRUE,0,VLOOKUP("TOURC606410000",Balanceanp!C:G,5,FALSE))</f>
        <v>1904</v>
      </c>
      <c r="F77" s="368">
        <f t="shared" si="5"/>
        <v>647.54999999999995</v>
      </c>
      <c r="G77" s="396"/>
      <c r="H77" s="409"/>
      <c r="I77" s="149">
        <f t="shared" si="6"/>
        <v>-0.65990021008403366</v>
      </c>
      <c r="J77" s="271">
        <f t="shared" si="6"/>
        <v>-1</v>
      </c>
      <c r="L77" s="17">
        <f t="shared" si="7"/>
        <v>1</v>
      </c>
    </row>
    <row r="78" spans="1:12">
      <c r="A78" s="5" t="s">
        <v>101</v>
      </c>
      <c r="B78" s="92"/>
      <c r="C78" s="160">
        <f>IF(ISNA(VLOOKUP("TOURC611000000",Balance!C:G,5,FALSE))=TRUE,0,VLOOKUP("TOURC611000000",Balance!C:G,5,FALSE))</f>
        <v>132.30000000000001</v>
      </c>
      <c r="D78" s="117">
        <f>+[2]Tourcoing!$H78</f>
        <v>191.5161422106375</v>
      </c>
      <c r="E78" s="160">
        <f>IF(ISNA(VLOOKUP("TOURC611000000",Balanceanp!C:G,5,FALSE))=TRUE,0,VLOOKUP("TOURC611000000",Balanceanp!C:G,5,FALSE))</f>
        <v>209.02</v>
      </c>
      <c r="F78" s="368">
        <f t="shared" si="5"/>
        <v>132.30000000000001</v>
      </c>
      <c r="G78" s="368"/>
      <c r="H78" s="410"/>
      <c r="I78" s="149">
        <f t="shared" si="6"/>
        <v>-0.36704621567314133</v>
      </c>
      <c r="J78" s="271">
        <f t="shared" si="6"/>
        <v>-1</v>
      </c>
      <c r="L78" s="17">
        <f t="shared" si="7"/>
        <v>1</v>
      </c>
    </row>
    <row r="79" spans="1:12">
      <c r="A79" s="5" t="s">
        <v>102</v>
      </c>
      <c r="B79" s="92"/>
      <c r="C79" s="160">
        <f>IF(ISNA(VLOOKUP("TOURC613200000",Balance!C:G,5,FALSE))=TRUE,0,VLOOKUP("TOURC613200000",Balance!C:G,5,FALSE))</f>
        <v>18550.29</v>
      </c>
      <c r="D79" s="117">
        <f>+[2]Tourcoing!$H79</f>
        <v>20400</v>
      </c>
      <c r="E79" s="160">
        <f>IF(ISNA(VLOOKUP("TOURC613200000",Balanceanp!C:G,5,FALSE))=TRUE,0,VLOOKUP("TOURC613200000",Balanceanp!C:G,5,FALSE))</f>
        <v>36221.949999999997</v>
      </c>
      <c r="F79" s="368">
        <f t="shared" si="5"/>
        <v>18550.29</v>
      </c>
      <c r="G79" s="397"/>
      <c r="H79" s="413"/>
      <c r="I79" s="149">
        <f t="shared" si="6"/>
        <v>-0.48787158062997704</v>
      </c>
      <c r="J79" s="271">
        <f t="shared" si="6"/>
        <v>-1</v>
      </c>
      <c r="L79" s="17">
        <f t="shared" si="7"/>
        <v>1</v>
      </c>
    </row>
    <row r="80" spans="1:12">
      <c r="A80" s="5" t="s">
        <v>325</v>
      </c>
      <c r="B80" s="92"/>
      <c r="C80" s="160">
        <f>IF(ISNA(VLOOKUP("TOURC614000000",Balance!C:G,5,FALSE))=TRUE,0,VLOOKUP("TOURC614000000",Balance!C:G,5,FALSE))</f>
        <v>0</v>
      </c>
      <c r="D80" s="117">
        <f>+[2]Tourcoing!$H80</f>
        <v>32.815957718749999</v>
      </c>
      <c r="E80" s="160">
        <f>IF(ISNA(VLOOKUP("TOURC614000000",Balanceanp!C:G,5,FALSE))=TRUE,0,VLOOKUP("TOURC614000000",Balanceanp!C:G,5,FALSE))</f>
        <v>0</v>
      </c>
      <c r="F80" s="368">
        <f t="shared" si="5"/>
        <v>0</v>
      </c>
      <c r="G80" s="396"/>
      <c r="H80" s="409"/>
      <c r="I80" s="149">
        <f t="shared" si="6"/>
        <v>0</v>
      </c>
      <c r="J80" s="271">
        <f t="shared" si="6"/>
        <v>0</v>
      </c>
      <c r="L80" s="17">
        <f t="shared" si="7"/>
        <v>1</v>
      </c>
    </row>
    <row r="81" spans="1:12">
      <c r="A81" s="5" t="s">
        <v>103</v>
      </c>
      <c r="B81" s="92"/>
      <c r="C81" s="160">
        <f>IF(ISNA(VLOOKUP("TOURC613510000",Balance!C:G,5,FALSE))=TRUE,0,VLOOKUP("TOURC613510000",Balance!C:G,5,FALSE))</f>
        <v>0</v>
      </c>
      <c r="D81" s="117">
        <f>+[2]Tourcoing!$H81</f>
        <v>0</v>
      </c>
      <c r="E81" s="160">
        <f>IF(ISNA(VLOOKUP("TOURC613510000",Balanceanp!C:G,5,FALSE))=TRUE,0,VLOOKUP("TOURC613510000",Balanceanp!C:G,5,FALSE))</f>
        <v>0</v>
      </c>
      <c r="F81" s="368">
        <f t="shared" si="5"/>
        <v>0</v>
      </c>
      <c r="G81" s="396"/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" t="s">
        <v>105</v>
      </c>
      <c r="B82" s="92"/>
      <c r="C82" s="160">
        <f>IF(ISNA(VLOOKUP("TOURC613530000",Balance!C:G,5,FALSE))=TRUE,0,VLOOKUP("TOURC613530000",Balance!C:G,5,FALSE))</f>
        <v>90</v>
      </c>
      <c r="D82" s="117">
        <f>+[2]Tourcoing!$H82</f>
        <v>188.16789047286252</v>
      </c>
      <c r="E82" s="160">
        <f>IF(ISNA(VLOOKUP("TOURC613530000",Balanceanp!C:G,5,FALSE))=TRUE,0,VLOOKUP("TOURC613530000",Balanceanp!C:G,5,FALSE))</f>
        <v>180</v>
      </c>
      <c r="F82" s="368">
        <f t="shared" si="5"/>
        <v>90</v>
      </c>
      <c r="G82" s="396"/>
      <c r="H82" s="409"/>
      <c r="I82" s="149">
        <f t="shared" si="6"/>
        <v>-0.5</v>
      </c>
      <c r="J82" s="271">
        <f t="shared" si="6"/>
        <v>-1</v>
      </c>
      <c r="L82" s="17">
        <f t="shared" si="7"/>
        <v>1</v>
      </c>
    </row>
    <row r="83" spans="1:12">
      <c r="A83" s="5" t="s">
        <v>287</v>
      </c>
      <c r="B83" s="92"/>
      <c r="C83" s="160">
        <f>IF(ISNA(VLOOKUP("TOURC613540000",Balance!C:G,5,FALSE))=TRUE,0,VLOOKUP("TOURC613540000",Balance!C:G,5,FALSE))</f>
        <v>0</v>
      </c>
      <c r="D83" s="117">
        <f>+[2]Tourcoing!$H83</f>
        <v>0</v>
      </c>
      <c r="E83" s="160">
        <f>IF(ISNA(VLOOKUP("TOURC613540000",Balanceanp!C:G,5,FALSE))=TRUE,0,VLOOKUP("TOURC613540000",Balanceanp!C:G,5,FALSE))</f>
        <v>0</v>
      </c>
      <c r="F83" s="368">
        <f t="shared" si="5"/>
        <v>0</v>
      </c>
      <c r="G83" s="396"/>
      <c r="H83" s="409"/>
      <c r="I83" s="149">
        <f t="shared" si="6"/>
        <v>0</v>
      </c>
      <c r="J83" s="271">
        <f t="shared" si="6"/>
        <v>0</v>
      </c>
      <c r="L83" s="17">
        <f t="shared" si="7"/>
        <v>0</v>
      </c>
    </row>
    <row r="84" spans="1:12">
      <c r="A84" s="5" t="s">
        <v>108</v>
      </c>
      <c r="B84" s="92"/>
      <c r="C84" s="160">
        <f>IF(ISNA(VLOOKUP("TOURC615200000",Balance!C:G,5,FALSE))=TRUE,0,VLOOKUP("TOURC615200000",Balance!C:G,5,FALSE))</f>
        <v>6227.51</v>
      </c>
      <c r="D84" s="117">
        <f>+[2]Tourcoing!$H84</f>
        <v>500</v>
      </c>
      <c r="E84" s="160">
        <f>IF(ISNA(VLOOKUP("TOURC615200000",Balanceanp!C:G,5,FALSE))=TRUE,0,VLOOKUP("TOURC615200000",Balanceanp!C:G,5,FALSE))</f>
        <v>3757.05</v>
      </c>
      <c r="F84" s="368">
        <f t="shared" si="5"/>
        <v>6227.51</v>
      </c>
      <c r="G84" s="396"/>
      <c r="H84" s="409"/>
      <c r="I84" s="149">
        <f t="shared" si="6"/>
        <v>0.65755313344246147</v>
      </c>
      <c r="J84" s="271">
        <f t="shared" si="6"/>
        <v>-1</v>
      </c>
      <c r="L84" s="17">
        <f t="shared" si="7"/>
        <v>1</v>
      </c>
    </row>
    <row r="85" spans="1:12">
      <c r="A85" s="5" t="s">
        <v>109</v>
      </c>
      <c r="B85" s="92"/>
      <c r="C85" s="160">
        <f>IF(ISNA(VLOOKUP("TOURC615500000",Balance!C:G,5,FALSE))=TRUE,0,VLOOKUP("TOURC615500000",Balance!C:G,5,FALSE))</f>
        <v>736.8</v>
      </c>
      <c r="D85" s="117">
        <f>+[2]Tourcoing!$H85</f>
        <v>1000</v>
      </c>
      <c r="E85" s="160">
        <f>IF(ISNA(VLOOKUP("TOURC615500000",Balanceanp!C:G,5,FALSE))=TRUE,0,VLOOKUP("TOURC615500000",Balanceanp!C:G,5,FALSE))</f>
        <v>725.59999999999991</v>
      </c>
      <c r="F85" s="368">
        <f t="shared" si="5"/>
        <v>736.8</v>
      </c>
      <c r="G85" s="396"/>
      <c r="H85" s="409"/>
      <c r="I85" s="149">
        <f t="shared" si="6"/>
        <v>1.5435501653803814E-2</v>
      </c>
      <c r="J85" s="271">
        <f t="shared" si="6"/>
        <v>-1</v>
      </c>
      <c r="L85" s="17">
        <f t="shared" si="7"/>
        <v>1</v>
      </c>
    </row>
    <row r="86" spans="1:12">
      <c r="A86" s="5" t="s">
        <v>106</v>
      </c>
      <c r="B86" s="92"/>
      <c r="C86" s="160">
        <f>IF(ISNA(VLOOKUP("TOURC615510000",Balance!C:G,5,FALSE))=TRUE,0,VLOOKUP("TOURC615510000",Balance!C:G,5,FALSE))</f>
        <v>361.31</v>
      </c>
      <c r="D86" s="117">
        <f>+[2]Tourcoing!$H86</f>
        <v>1000</v>
      </c>
      <c r="E86" s="160">
        <f>IF(ISNA(VLOOKUP("TOURC615510000",Balanceanp!C:G,5,FALSE))=TRUE,0,VLOOKUP("TOURC615510000",Balanceanp!C:G,5,FALSE))</f>
        <v>1016.65</v>
      </c>
      <c r="F86" s="368">
        <f t="shared" si="5"/>
        <v>361.31</v>
      </c>
      <c r="G86" s="396"/>
      <c r="H86" s="409"/>
      <c r="I86" s="149">
        <f t="shared" si="6"/>
        <v>-0.64460728864407602</v>
      </c>
      <c r="J86" s="271">
        <f t="shared" si="6"/>
        <v>-1</v>
      </c>
      <c r="L86" s="17">
        <f t="shared" si="7"/>
        <v>1</v>
      </c>
    </row>
    <row r="87" spans="1:12">
      <c r="A87" s="5" t="s">
        <v>363</v>
      </c>
      <c r="B87" s="92"/>
      <c r="C87" s="160">
        <f>IF(ISNA(VLOOKUP("TOURC615530000",Balance!C:G,5,FALSE))=TRUE,0,VLOOKUP("TOURC615530000",Balance!C:G,5,FALSE))</f>
        <v>0</v>
      </c>
      <c r="D87" s="117">
        <f>+[2]Tourcoing!$H87</f>
        <v>0</v>
      </c>
      <c r="E87" s="160">
        <f>IF(ISNA(VLOOKUP("TOURC615530000",Balanceanp!C:G,5,FALSE))=TRUE,0,VLOOKUP("TOURC615530000",Balanceanp!C:G,5,FALSE))</f>
        <v>0</v>
      </c>
      <c r="F87" s="368">
        <f t="shared" si="5"/>
        <v>0</v>
      </c>
      <c r="G87" s="396"/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" t="s">
        <v>111</v>
      </c>
      <c r="B88" s="92"/>
      <c r="C88" s="160">
        <f>IF(ISNA(VLOOKUP("TOURC616130000",Balance!C:G,5,FALSE))=TRUE,0,VLOOKUP("TOURC616130000",Balance!C:G,5,FALSE))</f>
        <v>2556.4499999999998</v>
      </c>
      <c r="D88" s="117">
        <f>+[2]Tourcoing!$H88</f>
        <v>3408.5551500000001</v>
      </c>
      <c r="E88" s="160">
        <f>IF(ISNA(VLOOKUP("TOURC616130000",Balanceanp!C:G,5,FALSE))=TRUE,0,VLOOKUP("TOURC616130000",Balanceanp!C:G,5,FALSE))</f>
        <v>3082.19</v>
      </c>
      <c r="F88" s="368">
        <f t="shared" si="5"/>
        <v>2556.4499999999998</v>
      </c>
      <c r="G88" s="397"/>
      <c r="H88" s="413"/>
      <c r="I88" s="149">
        <f t="shared" ref="I88:I101" si="8">+IF((E88)=0,,(F88-E88)/E88)</f>
        <v>-0.17057352077581209</v>
      </c>
      <c r="J88" s="271">
        <f t="shared" ref="J88:J101" si="9">+IF((F88)=0,,(G88-F88)/F88)</f>
        <v>-1</v>
      </c>
      <c r="L88" s="17">
        <f t="shared" si="7"/>
        <v>1</v>
      </c>
    </row>
    <row r="89" spans="1:12">
      <c r="A89" s="5" t="s">
        <v>315</v>
      </c>
      <c r="B89" s="92"/>
      <c r="C89" s="160"/>
      <c r="D89" s="117">
        <f>+[2]Tourcoing!$H89</f>
        <v>0</v>
      </c>
      <c r="E89" s="160"/>
      <c r="F89" s="368">
        <f t="shared" si="5"/>
        <v>0</v>
      </c>
      <c r="G89" s="396"/>
      <c r="H89" s="409"/>
      <c r="I89" s="149">
        <f t="shared" si="8"/>
        <v>0</v>
      </c>
      <c r="J89" s="271">
        <f t="shared" si="9"/>
        <v>0</v>
      </c>
      <c r="L89" s="17">
        <f t="shared" si="7"/>
        <v>0</v>
      </c>
    </row>
    <row r="90" spans="1:12">
      <c r="A90" s="5" t="s">
        <v>112</v>
      </c>
      <c r="B90" s="92"/>
      <c r="C90" s="160">
        <f>IF(ISNA(VLOOKUP("TOURC618100000",Balance!C:G,5,FALSE))=TRUE,0,VLOOKUP("TOURC618100000",Balance!C:G,5,FALSE))</f>
        <v>170.4</v>
      </c>
      <c r="D90" s="117">
        <f>+[2]Tourcoing!$H90</f>
        <v>329.80413026388891</v>
      </c>
      <c r="E90" s="160">
        <f>IF(ISNA(VLOOKUP("TOURC618100000",Balanceanp!C:G,5,FALSE))=TRUE,0,VLOOKUP("TOURC618100000",Balanceanp!C:G,5,FALSE))</f>
        <v>352.4</v>
      </c>
      <c r="F90" s="368">
        <f t="shared" si="5"/>
        <v>170.4</v>
      </c>
      <c r="G90" s="396"/>
      <c r="H90" s="409"/>
      <c r="I90" s="149">
        <f t="shared" si="8"/>
        <v>-0.51645856980703742</v>
      </c>
      <c r="J90" s="271">
        <f t="shared" si="9"/>
        <v>-1</v>
      </c>
      <c r="L90" s="17">
        <f t="shared" si="7"/>
        <v>1</v>
      </c>
    </row>
    <row r="91" spans="1:12">
      <c r="A91" s="5" t="s">
        <v>113</v>
      </c>
      <c r="B91" s="92"/>
      <c r="C91" s="160">
        <f>IF(ISNA(VLOOKUP("TOURC618500000",Balance!C:G,5,FALSE))=TRUE,0,VLOOKUP("TOURC618500000",Balance!C:G,5,FALSE))</f>
        <v>598.05999999999995</v>
      </c>
      <c r="D91" s="117">
        <f>+[2]Tourcoing!$H91</f>
        <v>606.60947181599681</v>
      </c>
      <c r="E91" s="160">
        <f>IF(ISNA(VLOOKUP("TOURC618500000",Balanceanp!C:G,5,FALSE))=TRUE,0,VLOOKUP("TOURC618500000",Balanceanp!C:G,5,FALSE))</f>
        <v>442.4</v>
      </c>
      <c r="F91" s="368">
        <f t="shared" si="5"/>
        <v>598.05999999999995</v>
      </c>
      <c r="G91" s="396"/>
      <c r="H91" s="409"/>
      <c r="I91" s="149">
        <f t="shared" si="8"/>
        <v>0.35185352622061478</v>
      </c>
      <c r="J91" s="271">
        <f t="shared" si="9"/>
        <v>-1</v>
      </c>
      <c r="L91" s="17">
        <f t="shared" si="7"/>
        <v>1</v>
      </c>
    </row>
    <row r="92" spans="1:12">
      <c r="A92" s="5" t="s">
        <v>309</v>
      </c>
      <c r="B92" s="92"/>
      <c r="C92" s="160">
        <f>IF(ISNA(VLOOKUP("TOURC622200000",Balance!C:G,5,FALSE))=TRUE,0,VLOOKUP("TOURC622200000",Balance!C:G,5,FALSE))</f>
        <v>0</v>
      </c>
      <c r="D92" s="117">
        <f>+[2]Tourcoing!$H92</f>
        <v>0</v>
      </c>
      <c r="E92" s="160">
        <f>IF(ISNA(VLOOKUP("TOURC622200000",Balanceanp!C:G,5,FALSE))=TRUE,0,VLOOKUP("TOURC622200000",Balanceanp!C:G,5,FALSE))</f>
        <v>0</v>
      </c>
      <c r="F92" s="368">
        <f t="shared" si="5"/>
        <v>0</v>
      </c>
      <c r="G92" s="396"/>
      <c r="H92" s="409"/>
      <c r="I92" s="149">
        <f t="shared" si="8"/>
        <v>0</v>
      </c>
      <c r="J92" s="271">
        <f t="shared" si="9"/>
        <v>0</v>
      </c>
      <c r="L92" s="17">
        <f t="shared" si="7"/>
        <v>0</v>
      </c>
    </row>
    <row r="93" spans="1:12">
      <c r="A93" s="5" t="s">
        <v>115</v>
      </c>
      <c r="B93" s="92"/>
      <c r="C93" s="160">
        <f>IF(ISNA(VLOOKUP("TOURC622600000",Balance!C:G,5,FALSE))=TRUE,0,VLOOKUP("TOURC622600000",Balance!C:G,5,FALSE))</f>
        <v>0</v>
      </c>
      <c r="D93" s="117">
        <f>+[2]Tourcoing!$H93</f>
        <v>0.5862025052083335</v>
      </c>
      <c r="E93" s="160">
        <f>IF(ISNA(VLOOKUP("TOURC622600000",Balanceanp!C:G,5,FALSE))=TRUE,0,VLOOKUP("TOURC622600000",Balanceanp!C:G,5,FALSE))</f>
        <v>0</v>
      </c>
      <c r="F93" s="368">
        <f t="shared" si="5"/>
        <v>0</v>
      </c>
      <c r="G93" s="396"/>
      <c r="H93" s="409"/>
      <c r="I93" s="149">
        <f t="shared" si="8"/>
        <v>0</v>
      </c>
      <c r="J93" s="271">
        <f t="shared" si="9"/>
        <v>0</v>
      </c>
      <c r="L93" s="17">
        <f t="shared" si="7"/>
        <v>1</v>
      </c>
    </row>
    <row r="94" spans="1:12">
      <c r="A94" s="5" t="s">
        <v>42</v>
      </c>
      <c r="B94" s="92"/>
      <c r="C94" s="160">
        <f>IF(ISNA(VLOOKUP("TOURC622710000",Balance!C:G,5,FALSE))=TRUE,0,VLOOKUP("TOURC622710000",Balance!C:G,5,FALSE))</f>
        <v>0</v>
      </c>
      <c r="D94" s="117">
        <f>+[2]Tourcoing!$H94</f>
        <v>183.27834923004789</v>
      </c>
      <c r="E94" s="160">
        <f>IF(ISNA(VLOOKUP("TOURC622710000",Balanceanp!C:G,5,FALSE))=TRUE,0,VLOOKUP("TOURC622710000",Balanceanp!C:G,5,FALSE))</f>
        <v>177.17</v>
      </c>
      <c r="F94" s="368">
        <f t="shared" si="5"/>
        <v>0</v>
      </c>
      <c r="G94" s="396"/>
      <c r="H94" s="409"/>
      <c r="I94" s="149">
        <f t="shared" si="8"/>
        <v>-1</v>
      </c>
      <c r="J94" s="271">
        <f t="shared" si="9"/>
        <v>0</v>
      </c>
      <c r="L94" s="17">
        <f t="shared" si="7"/>
        <v>1</v>
      </c>
    </row>
    <row r="95" spans="1:12">
      <c r="A95" s="5" t="s">
        <v>117</v>
      </c>
      <c r="B95" s="92">
        <f>+C95/$C$21</f>
        <v>6.3664410825447207E-3</v>
      </c>
      <c r="C95" s="160">
        <f>IF(ISNA(VLOOKUP("TOURC624200000",Balance!C:G,5,FALSE))=TRUE,0,VLOOKUP("TOURC624200000",Balance!C:G,5,FALSE))</f>
        <v>1228.74</v>
      </c>
      <c r="D95" s="117">
        <f>+[2]Tourcoing!$H95</f>
        <v>2038.4039382288213</v>
      </c>
      <c r="E95" s="160">
        <f>IF(ISNA(VLOOKUP("TOURC624200000",Balanceanp!C:G,5,FALSE))=TRUE,0,VLOOKUP("TOURC624200000",Balanceanp!C:G,5,FALSE))</f>
        <v>1585.8</v>
      </c>
      <c r="F95" s="368">
        <f t="shared" si="5"/>
        <v>1228.74</v>
      </c>
      <c r="G95" s="396">
        <f>B95*G21</f>
        <v>0</v>
      </c>
      <c r="H95" s="420" t="e">
        <f>+G95/$G$21</f>
        <v>#DIV/0!</v>
      </c>
      <c r="I95" s="149">
        <f t="shared" si="8"/>
        <v>-0.22516080211880435</v>
      </c>
      <c r="J95" s="271">
        <f t="shared" si="9"/>
        <v>-1</v>
      </c>
      <c r="L95" s="17" t="e">
        <f t="shared" si="7"/>
        <v>#DIV/0!</v>
      </c>
    </row>
    <row r="96" spans="1:12">
      <c r="A96" s="5" t="s">
        <v>118</v>
      </c>
      <c r="B96" s="92"/>
      <c r="C96" s="160">
        <f>IF(ISNA(VLOOKUP("TOURC625100000",Balance!C:G,5,FALSE))=TRUE,0,VLOOKUP("TOURC625100000",Balance!C:G,5,FALSE))</f>
        <v>3307.3200000000006</v>
      </c>
      <c r="D96" s="117">
        <f>+[2]Tourcoing!$H96</f>
        <v>8474.0571999999993</v>
      </c>
      <c r="E96" s="160">
        <f>IF(ISNA(VLOOKUP("TOURC625100000",Balanceanp!C:G,5,FALSE))=TRUE,0,VLOOKUP("TOURC625100000",Balanceanp!C:G,5,FALSE))</f>
        <v>8836.630000000001</v>
      </c>
      <c r="F96" s="368">
        <f t="shared" si="5"/>
        <v>3307.3200000000006</v>
      </c>
      <c r="G96" s="395"/>
      <c r="H96" s="401"/>
      <c r="I96" s="149">
        <f t="shared" si="8"/>
        <v>-0.62572609693967041</v>
      </c>
      <c r="J96" s="271">
        <f t="shared" si="9"/>
        <v>-1</v>
      </c>
      <c r="L96" s="17">
        <f t="shared" si="7"/>
        <v>1</v>
      </c>
    </row>
    <row r="97" spans="1:12">
      <c r="A97" s="5" t="s">
        <v>7</v>
      </c>
      <c r="B97" s="92"/>
      <c r="C97" s="160">
        <f>IF(ISNA(VLOOKUP("TOURC625200000",Balance!C:G,5,FALSE))=TRUE,0,VLOOKUP("TOURC625200000",Balance!C:G,5,FALSE))</f>
        <v>12.53</v>
      </c>
      <c r="D97" s="117">
        <f>+[2]Tourcoing!$H97</f>
        <v>71.195954239348964</v>
      </c>
      <c r="E97" s="160">
        <f>IF(ISNA(VLOOKUP("TOURC625200000",Balanceanp!C:G,5,FALSE))=TRUE,0,VLOOKUP("TOURC625200000",Balanceanp!C:G,5,FALSE))</f>
        <v>75.72</v>
      </c>
      <c r="F97" s="368">
        <f t="shared" si="5"/>
        <v>12.53</v>
      </c>
      <c r="G97" s="395"/>
      <c r="H97" s="401"/>
      <c r="I97" s="149">
        <f t="shared" si="8"/>
        <v>-0.83452192287374538</v>
      </c>
      <c r="J97" s="271">
        <f t="shared" si="9"/>
        <v>-1</v>
      </c>
      <c r="L97" s="17">
        <f t="shared" si="7"/>
        <v>1</v>
      </c>
    </row>
    <row r="98" spans="1:12">
      <c r="A98" s="5" t="s">
        <v>307</v>
      </c>
      <c r="B98" s="92"/>
      <c r="C98" s="160">
        <f>IF(ISNA(VLOOKUP("TOURC625510000",Balance!C:G,5,FALSE))=TRUE,0,VLOOKUP("TOURC625510000",Balance!C:G,5,FALSE))</f>
        <v>0</v>
      </c>
      <c r="D98" s="117">
        <f>+[2]Tourcoing!$H98</f>
        <v>800</v>
      </c>
      <c r="E98" s="160">
        <f>IF(ISNA(VLOOKUP("TOURC625510000",Balanceanp!C:G,5,FALSE))=TRUE,0,VLOOKUP("TOURC625510000",Balanceanp!C:G,5,FALSE))</f>
        <v>0</v>
      </c>
      <c r="F98" s="368">
        <f t="shared" si="5"/>
        <v>0</v>
      </c>
      <c r="G98" s="425"/>
      <c r="H98" s="409"/>
      <c r="I98" s="149">
        <f t="shared" si="8"/>
        <v>0</v>
      </c>
      <c r="J98" s="271">
        <f t="shared" si="9"/>
        <v>0</v>
      </c>
      <c r="L98" s="17">
        <f t="shared" si="7"/>
        <v>1</v>
      </c>
    </row>
    <row r="99" spans="1:12">
      <c r="A99" s="5" t="s">
        <v>119</v>
      </c>
      <c r="B99" s="92"/>
      <c r="C99" s="160">
        <f>IF(ISNA(VLOOKUP("TOURC626000000",Balance!C:G,5,FALSE))=TRUE,0,VLOOKUP("TOURC626000000",Balance!C:G,5,FALSE))</f>
        <v>2343.0300000000002</v>
      </c>
      <c r="D99" s="117">
        <f>+[2]Tourcoing!$H99</f>
        <v>3855.1133356647902</v>
      </c>
      <c r="E99" s="160">
        <f>IF(ISNA(VLOOKUP("TOURC626000000",Balanceanp!C:G,5,FALSE))=TRUE,0,VLOOKUP("TOURC626000000",Balanceanp!C:G,5,FALSE))</f>
        <v>3607.33</v>
      </c>
      <c r="F99" s="368">
        <f t="shared" si="5"/>
        <v>2343.0300000000002</v>
      </c>
      <c r="G99" s="396"/>
      <c r="H99" s="409"/>
      <c r="I99" s="149">
        <f t="shared" si="8"/>
        <v>-0.3504808265392963</v>
      </c>
      <c r="J99" s="271">
        <f t="shared" si="9"/>
        <v>-1</v>
      </c>
      <c r="L99" s="17">
        <f t="shared" si="7"/>
        <v>1</v>
      </c>
    </row>
    <row r="100" spans="1:12">
      <c r="A100" s="5" t="s">
        <v>120</v>
      </c>
      <c r="B100" s="92"/>
      <c r="C100" s="160">
        <f>IF(ISNA(VLOOKUP("TOURC626100000",Balance!C:G,5,FALSE))=TRUE,0,VLOOKUP("TOURC626100000",Balance!C:G,5,FALSE))</f>
        <v>1073.4000000000001</v>
      </c>
      <c r="D100" s="117">
        <f>+[2]Tourcoing!$H100</f>
        <v>672.44624893819616</v>
      </c>
      <c r="E100" s="160">
        <f>IF(ISNA(VLOOKUP("TOURC626100000",Balanceanp!C:G,5,FALSE))=TRUE,0,VLOOKUP("TOURC626100000",Balanceanp!C:G,5,FALSE))</f>
        <v>629.91999999999996</v>
      </c>
      <c r="F100" s="368">
        <f t="shared" si="5"/>
        <v>1073.4000000000001</v>
      </c>
      <c r="G100" s="396"/>
      <c r="H100" s="409"/>
      <c r="I100" s="149">
        <f t="shared" si="8"/>
        <v>0.70402590805181631</v>
      </c>
      <c r="J100" s="271">
        <f t="shared" si="9"/>
        <v>-1</v>
      </c>
      <c r="L100" s="17">
        <f t="shared" si="7"/>
        <v>1</v>
      </c>
    </row>
    <row r="101" spans="1:12">
      <c r="A101" s="5" t="s">
        <v>121</v>
      </c>
      <c r="B101" s="92"/>
      <c r="C101" s="160">
        <f>IF(ISNA(VLOOKUP("TOURC628400000",Balance!C:G,5,FALSE))=TRUE,0,VLOOKUP("TOURC628400000",Balance!C:G,5,FALSE))</f>
        <v>0</v>
      </c>
      <c r="D101" s="117">
        <f>+[2]Tourcoing!$H101</f>
        <v>3.9861770354166675</v>
      </c>
      <c r="E101" s="160">
        <f>IF(ISNA(VLOOKUP("TOURC628400000",Balanceanp!C:G,5,FALSE))=TRUE,0,VLOOKUP("TOURC628400000",Balanceanp!C:G,5,FALSE))</f>
        <v>0</v>
      </c>
      <c r="F101" s="368">
        <f t="shared" si="5"/>
        <v>0</v>
      </c>
      <c r="G101" s="396"/>
      <c r="H101" s="409"/>
      <c r="I101" s="149">
        <f t="shared" si="8"/>
        <v>0</v>
      </c>
      <c r="J101" s="271">
        <f t="shared" si="9"/>
        <v>0</v>
      </c>
      <c r="L101" s="17">
        <f t="shared" si="7"/>
        <v>1</v>
      </c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93">
        <f>+C103/$C$21</f>
        <v>0.24908062143188184</v>
      </c>
      <c r="C103" s="163">
        <f>SUM(C70:C102)</f>
        <v>48073.219999999994</v>
      </c>
      <c r="D103" s="118">
        <f>SUM(D70:D102)</f>
        <v>55023.293495244106</v>
      </c>
      <c r="E103" s="163">
        <f>SUM(E70:E102)</f>
        <v>81462.91</v>
      </c>
      <c r="F103" s="136">
        <f>SUM(F70:F102)</f>
        <v>48073.219999999994</v>
      </c>
      <c r="G103" s="136">
        <f>SUM(G70:G102)</f>
        <v>0</v>
      </c>
      <c r="H103" s="421" t="e">
        <f>+G103/$G$21</f>
        <v>#DIV/0!</v>
      </c>
      <c r="I103" s="272">
        <f>+IF((E103)=0,,(F103-E103)/E103)</f>
        <v>-0.40987597914191881</v>
      </c>
      <c r="J103" s="188">
        <f>+IF((F103)=0,,(G103-F103)/F103)</f>
        <v>-1</v>
      </c>
      <c r="K103" s="136">
        <f>(C103+(C103/3))</f>
        <v>64097.626666666656</v>
      </c>
      <c r="L103" s="17" t="e">
        <f t="shared" si="7"/>
        <v>#DIV/0!</v>
      </c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" t="s">
        <v>129</v>
      </c>
      <c r="B105" s="92"/>
      <c r="C105" s="160">
        <f>IF(ISNA(VLOOKUP("TOURC623100000",Balance!C:G,5,FALSE))=TRUE,0,VLOOKUP("TOURC623100000",Balance!C:G,5,FALSE))</f>
        <v>0</v>
      </c>
      <c r="D105" s="117">
        <f>+[2]Tourcoing!$H105</f>
        <v>924.21899999999994</v>
      </c>
      <c r="E105" s="160">
        <f>IF(ISNA(VLOOKUP("TOURC623100000",Balanceanp!C:G,5,FALSE))=TRUE,0,VLOOKUP("TOURC623100000",Balanceanp!C:G,5,FALSE))</f>
        <v>774.3</v>
      </c>
      <c r="F105" s="368">
        <f t="shared" ref="F105:F114" si="10">+C105</f>
        <v>0</v>
      </c>
      <c r="G105" s="395"/>
      <c r="H105" s="401"/>
      <c r="I105" s="149">
        <f t="shared" ref="I105:J114" si="11">+IF((E105)=0,,(F105-E105)/E105)</f>
        <v>-1</v>
      </c>
      <c r="J105" s="271">
        <f t="shared" si="11"/>
        <v>0</v>
      </c>
      <c r="L105" s="17">
        <f t="shared" si="7"/>
        <v>1</v>
      </c>
    </row>
    <row r="106" spans="1:12">
      <c r="A106" s="5" t="s">
        <v>130</v>
      </c>
      <c r="B106" s="92"/>
      <c r="C106" s="160">
        <f>IF(ISNA(VLOOKUP("TOURC623200000",Balance!C:G,5,FALSE))=TRUE,0,VLOOKUP("TOURC623200000",Balance!C:G,5,FALSE))</f>
        <v>1421.46</v>
      </c>
      <c r="D106" s="117">
        <f>+[2]Tourcoing!$H106</f>
        <v>1500</v>
      </c>
      <c r="E106" s="160">
        <f>IF(ISNA(VLOOKUP("TOURC623200000",Balanceanp!C:G,5,FALSE))=TRUE,0,VLOOKUP("TOURC623200000",Balanceanp!C:G,5,FALSE))</f>
        <v>5875.29</v>
      </c>
      <c r="F106" s="368">
        <f t="shared" si="10"/>
        <v>1421.46</v>
      </c>
      <c r="G106" s="395"/>
      <c r="H106" s="401"/>
      <c r="I106" s="149">
        <f t="shared" si="11"/>
        <v>-0.75806130420796247</v>
      </c>
      <c r="J106" s="271">
        <f t="shared" si="11"/>
        <v>-1</v>
      </c>
      <c r="L106" s="17">
        <f t="shared" si="7"/>
        <v>1</v>
      </c>
    </row>
    <row r="107" spans="1:12">
      <c r="A107" s="5" t="s">
        <v>131</v>
      </c>
      <c r="B107" s="92"/>
      <c r="C107" s="160">
        <f>IF(ISNA(VLOOKUP("TOURC629000000",Balance!C:G,5,FALSE))=TRUE,0,VLOOKUP("TOURC629000000",Balance!C:G,5,FALSE))</f>
        <v>0</v>
      </c>
      <c r="D107" s="117">
        <f>+[2]Tourcoing!$H107</f>
        <v>0</v>
      </c>
      <c r="E107" s="160">
        <f>IF(ISNA(VLOOKUP("TOURC629000000",Balanceanp!C:G,5,FALSE))=TRUE,0,VLOOKUP("TOURC629000000",Balanceanp!C:G,5,FALSE))</f>
        <v>0</v>
      </c>
      <c r="F107" s="368">
        <f t="shared" si="10"/>
        <v>0</v>
      </c>
      <c r="G107" s="395"/>
      <c r="H107" s="401"/>
      <c r="I107" s="149">
        <f t="shared" si="11"/>
        <v>0</v>
      </c>
      <c r="J107" s="271">
        <f t="shared" si="11"/>
        <v>0</v>
      </c>
      <c r="L107" s="17">
        <f t="shared" si="7"/>
        <v>0</v>
      </c>
    </row>
    <row r="108" spans="1:12">
      <c r="A108" s="5" t="s">
        <v>132</v>
      </c>
      <c r="B108" s="92"/>
      <c r="C108" s="160">
        <f>IF(ISNA(VLOOKUP("TOURC623300000",Balance!C:G,5,FALSE))=TRUE,0,VLOOKUP("TOURC623300000",Balance!C:G,5,FALSE))</f>
        <v>369.1</v>
      </c>
      <c r="D108" s="117">
        <f>+[2]Tourcoing!$H108</f>
        <v>450</v>
      </c>
      <c r="E108" s="160">
        <f>IF(ISNA(VLOOKUP("TOURC623300000",Balanceanp!C:G,5,FALSE))=TRUE,0,VLOOKUP("TOURC623300000",Balanceanp!C:G,5,FALSE))</f>
        <v>130.91999999999999</v>
      </c>
      <c r="F108" s="368">
        <f t="shared" si="10"/>
        <v>369.1</v>
      </c>
      <c r="G108" s="395"/>
      <c r="H108" s="401"/>
      <c r="I108" s="149">
        <f t="shared" si="11"/>
        <v>1.8192789489764747</v>
      </c>
      <c r="J108" s="271">
        <f t="shared" si="11"/>
        <v>-1</v>
      </c>
      <c r="L108" s="17">
        <f t="shared" si="7"/>
        <v>1</v>
      </c>
    </row>
    <row r="109" spans="1:12">
      <c r="A109" s="5" t="s">
        <v>133</v>
      </c>
      <c r="B109" s="92"/>
      <c r="C109" s="160">
        <f>IF(ISNA(VLOOKUP("TOURC623700000",Balance!C:G,5,FALSE))=TRUE,0,VLOOKUP("TOURC623700000",Balance!C:G,5,FALSE))</f>
        <v>2868.28</v>
      </c>
      <c r="D109" s="117">
        <f>+[2]Tourcoing!$H109</f>
        <v>4000</v>
      </c>
      <c r="E109" s="160">
        <f>IF(ISNA(VLOOKUP("TOURC623700000",Balanceanp!C:G,5,FALSE))=TRUE,0,VLOOKUP("TOURC623700000",Balanceanp!C:G,5,FALSE))</f>
        <v>2104.14</v>
      </c>
      <c r="F109" s="368">
        <f t="shared" si="10"/>
        <v>2868.28</v>
      </c>
      <c r="G109" s="395"/>
      <c r="H109" s="401"/>
      <c r="I109" s="149">
        <f t="shared" si="11"/>
        <v>0.36316024599123647</v>
      </c>
      <c r="J109" s="271">
        <f t="shared" si="11"/>
        <v>-1</v>
      </c>
      <c r="L109" s="17">
        <f t="shared" si="7"/>
        <v>1</v>
      </c>
    </row>
    <row r="110" spans="1:12">
      <c r="A110" s="5" t="s">
        <v>134</v>
      </c>
      <c r="B110" s="92"/>
      <c r="C110" s="160">
        <f>IF(ISNA(VLOOKUP("TOURC623410000",Balance!C:G,5,FALSE))=TRUE,0,VLOOKUP("TOURC623410000",Balance!C:G,5,FALSE))+IF(ISNA(VLOOKUP("TOURC623420000",Balance!C:G,5,FALSE))=TRUE,0,VLOOKUP("TOURC623420000",Balance!C:G,5,FALSE))</f>
        <v>1781.86</v>
      </c>
      <c r="D110" s="117">
        <f>+[2]Tourcoing!$H110</f>
        <v>2500</v>
      </c>
      <c r="E110" s="160">
        <f>IF(ISNA(VLOOKUP("TOURC623410000",Balanceanp!C:G,5,FALSE))=TRUE,0,VLOOKUP("TOURC623410000",Balanceanp!C:G,5,FALSE))+IF(ISNA(VLOOKUP("TOURC623420000",Balanceanp!C:G,5,FALSE))=TRUE,0,VLOOKUP("TOURC623420000",Balanceanp!C:G,5,FALSE))</f>
        <v>3280.62</v>
      </c>
      <c r="F110" s="368">
        <f t="shared" si="10"/>
        <v>1781.86</v>
      </c>
      <c r="G110" s="395"/>
      <c r="H110" s="401"/>
      <c r="I110" s="149">
        <f t="shared" si="11"/>
        <v>-0.45685266809322628</v>
      </c>
      <c r="J110" s="271">
        <f t="shared" si="11"/>
        <v>-1</v>
      </c>
      <c r="L110" s="17">
        <f t="shared" si="7"/>
        <v>1</v>
      </c>
    </row>
    <row r="111" spans="1:12">
      <c r="A111" s="5" t="s">
        <v>135</v>
      </c>
      <c r="B111" s="92"/>
      <c r="C111" s="160">
        <f>IF(ISNA(VLOOKUP("TOURc623800000",Balance!C:G,5,FALSE))=TRUE,0,VLOOKUP("TOURC623800000",Balance!C:G,5,FALSE))+IF(ISNA(VLOOKUP("TOURC623820000",Balance!C:G,5,FALSE))=TRUE,0,VLOOKUP("TOURC623820000",Balance!C:G,5,FALSE))</f>
        <v>0</v>
      </c>
      <c r="D111" s="117">
        <f>+[2]Tourcoing!$H111</f>
        <v>0</v>
      </c>
      <c r="E111" s="160">
        <f>IF(ISNA(VLOOKUP("TOURC623800000",Balanceanp!C:G,5,FALSE))=TRUE,0,VLOOKUP("TOURC623800000",Balanceanp!C:G,5,FALSE))</f>
        <v>12</v>
      </c>
      <c r="F111" s="368">
        <f t="shared" si="10"/>
        <v>0</v>
      </c>
      <c r="G111" s="395"/>
      <c r="H111" s="401"/>
      <c r="I111" s="149">
        <f t="shared" si="11"/>
        <v>-1</v>
      </c>
      <c r="J111" s="271">
        <f t="shared" si="11"/>
        <v>0</v>
      </c>
      <c r="L111" s="17">
        <f t="shared" si="7"/>
        <v>1</v>
      </c>
    </row>
    <row r="112" spans="1:12">
      <c r="A112" s="5" t="s">
        <v>136</v>
      </c>
      <c r="B112" s="92"/>
      <c r="C112" s="160">
        <f>IF(ISNA(VLOOKUP("TOURC625600000",Balance!C:G,5,FALSE))=TRUE,0,VLOOKUP("TOURC625600000",Balance!C:G,5,FALSE))</f>
        <v>0</v>
      </c>
      <c r="D112" s="117">
        <f>+[2]Tourcoing!$H112</f>
        <v>0</v>
      </c>
      <c r="E112" s="160">
        <f>IF(ISNA(VLOOKUP("TOURC625600000",Balanceanp!C:G,5,FALSE))=TRUE,0,VLOOKUP("TOURC625600000",Balanceanp!C:G,5,FALSE))</f>
        <v>25.23</v>
      </c>
      <c r="F112" s="368">
        <f t="shared" si="10"/>
        <v>0</v>
      </c>
      <c r="G112" s="395"/>
      <c r="H112" s="401"/>
      <c r="I112" s="149">
        <f t="shared" si="11"/>
        <v>-1</v>
      </c>
      <c r="J112" s="271">
        <f t="shared" si="11"/>
        <v>0</v>
      </c>
      <c r="L112" s="17">
        <f t="shared" si="7"/>
        <v>1</v>
      </c>
    </row>
    <row r="113" spans="1:12">
      <c r="A113" s="5" t="s">
        <v>137</v>
      </c>
      <c r="B113" s="92"/>
      <c r="C113" s="566">
        <f>IF(ISNA(VLOOKUP("tourc625700000",Balance!C:G,5,FALSE))=TRUE,0,VLOOKUP("tourc625700000",Balance!C:G,5,FALSE))+IF(ISNA(VLOOKUP("tourc625710000",Balance!C:G,5,FALSE))=TRUE,0,VLOOKUP("tourc625710000",Balance!C:G,5,FALSE))</f>
        <v>1748.3400000000001</v>
      </c>
      <c r="D113" s="117">
        <f>+[2]Tourcoing!$H113</f>
        <v>3075</v>
      </c>
      <c r="E113" s="160">
        <f>IF(ISNA(VLOOKUP("tourc625700000",Balanceanp!C:G,5,FALSE))=TRUE,0,VLOOKUP("tourc625700000",Balanceanp!C:G,5,FALSE))+IF(ISNA(VLOOKUP("tourc625710000",Balanceanp!C:G,5,FALSE))=TRUE,0,VLOOKUP("tourc625710000",Balanceanp!C:G,5,FALSE))</f>
        <v>1828.26</v>
      </c>
      <c r="F113" s="368">
        <f t="shared" si="10"/>
        <v>1748.3400000000001</v>
      </c>
      <c r="G113" s="395"/>
      <c r="H113" s="401"/>
      <c r="I113" s="149">
        <f t="shared" si="11"/>
        <v>-4.3713694988677672E-2</v>
      </c>
      <c r="J113" s="271">
        <f t="shared" si="11"/>
        <v>-1</v>
      </c>
      <c r="L113" s="17">
        <f t="shared" si="7"/>
        <v>1</v>
      </c>
    </row>
    <row r="114" spans="1:12">
      <c r="A114" s="5" t="s">
        <v>138</v>
      </c>
      <c r="B114" s="92"/>
      <c r="C114" s="160">
        <f>IF(ISNA(VLOOKUP("TOURC623810000",Balance!C:G,5,FALSE))=TRUE,0,VLOOKUP("TOURC623810000",Balance!C:G,5,FALSE))</f>
        <v>0</v>
      </c>
      <c r="D114" s="117">
        <f>+[2]Tourcoing!$H114</f>
        <v>0</v>
      </c>
      <c r="E114" s="160">
        <f>IF(ISNA(VLOOKUP("TOURC623810000",Balanceanp!C:G,5,FALSE))=TRUE,0,VLOOKUP("TOURC623810000",Balanceanp!C:G,5,FALSE))</f>
        <v>0</v>
      </c>
      <c r="F114" s="368">
        <f t="shared" si="10"/>
        <v>0</v>
      </c>
      <c r="G114" s="395"/>
      <c r="H114" s="401"/>
      <c r="I114" s="149">
        <f t="shared" si="11"/>
        <v>0</v>
      </c>
      <c r="J114" s="271">
        <f t="shared" si="11"/>
        <v>0</v>
      </c>
      <c r="L114" s="17">
        <f t="shared" si="7"/>
        <v>0</v>
      </c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93">
        <f>+C116/$C$21</f>
        <v>4.242967648371667E-2</v>
      </c>
      <c r="C116" s="163">
        <f>SUM(C104:C115)</f>
        <v>8189.04</v>
      </c>
      <c r="D116" s="118">
        <f>SUM(D104:D115)</f>
        <v>12449.219000000001</v>
      </c>
      <c r="E116" s="163">
        <f>SUM(E104:E115)</f>
        <v>14030.76</v>
      </c>
      <c r="F116" s="136">
        <f>SUM(F104:F115)</f>
        <v>8189.04</v>
      </c>
      <c r="G116" s="136">
        <f>SUM(G104:G115)</f>
        <v>0</v>
      </c>
      <c r="H116" s="421" t="e">
        <f>+G116/$G$21</f>
        <v>#DIV/0!</v>
      </c>
      <c r="I116" s="272">
        <f>+IF((E116)=0,,(F116-E116)/E116)</f>
        <v>-0.41635093180982358</v>
      </c>
      <c r="J116" s="188">
        <f>+IF((F116)=0,,(G116-F116)/F116)</f>
        <v>-1</v>
      </c>
      <c r="K116" s="136">
        <f>(C116+(C116/3))</f>
        <v>10918.72</v>
      </c>
      <c r="L116" s="17" t="e">
        <f t="shared" si="7"/>
        <v>#DIV/0!</v>
      </c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" t="s">
        <v>139</v>
      </c>
      <c r="B118" s="92"/>
      <c r="C118" s="160">
        <f>IF(ISNA(VLOOKUP("TOURC633300000",Balance!C:G,5,FALSE))=TRUE,0,VLOOKUP("TOURC633300000",Balance!C:G,5,FALSE))</f>
        <v>518.42999999999995</v>
      </c>
      <c r="D118" s="117">
        <f>+[2]Tourcoing!$H118</f>
        <v>296.09999999999997</v>
      </c>
      <c r="E118" s="160">
        <f>IF(ISNA(VLOOKUP("TOURC633300000",Balanceanp!C:G,5,FALSE))=TRUE,0,VLOOKUP("TOURC633300000",Balanceanp!C:G,5,FALSE))</f>
        <v>425</v>
      </c>
      <c r="F118" s="368">
        <f t="shared" ref="F118:F127" si="12">+C118</f>
        <v>518.42999999999995</v>
      </c>
      <c r="G118" s="396"/>
      <c r="H118" s="409"/>
      <c r="I118" s="149">
        <f t="shared" ref="I118:J127" si="13">+IF((E118)=0,,(F118-E118)/E118)</f>
        <v>0.21983529411764693</v>
      </c>
      <c r="J118" s="271">
        <f t="shared" si="13"/>
        <v>-1</v>
      </c>
      <c r="L118" s="17">
        <f t="shared" si="7"/>
        <v>1</v>
      </c>
    </row>
    <row r="119" spans="1:12">
      <c r="A119" s="5" t="s">
        <v>140</v>
      </c>
      <c r="B119" s="92"/>
      <c r="C119" s="160">
        <f>IF(ISNA(VLOOKUP("TOURC633400000",Balance!C:G,5,FALSE))=TRUE,0,VLOOKUP("TOURC633400000",Balance!C:G,5,FALSE))</f>
        <v>0</v>
      </c>
      <c r="D119" s="117">
        <f>+[2]Tourcoing!$H119</f>
        <v>190.35000000000002</v>
      </c>
      <c r="E119" s="160">
        <f>IF(ISNA(VLOOKUP("TOURC633400000",Balanceanp!C:G,5,FALSE))=TRUE,0,VLOOKUP("TOURC633400000",Balanceanp!C:G,5,FALSE))</f>
        <v>234</v>
      </c>
      <c r="F119" s="368">
        <f t="shared" si="12"/>
        <v>0</v>
      </c>
      <c r="G119" s="396"/>
      <c r="H119" s="409"/>
      <c r="I119" s="149">
        <f t="shared" si="13"/>
        <v>-1</v>
      </c>
      <c r="J119" s="271">
        <f t="shared" si="13"/>
        <v>0</v>
      </c>
      <c r="L119" s="17">
        <f t="shared" si="7"/>
        <v>1</v>
      </c>
    </row>
    <row r="120" spans="1:12">
      <c r="A120" s="5" t="s">
        <v>141</v>
      </c>
      <c r="B120" s="92"/>
      <c r="C120" s="160">
        <f>IF(ISNA(VLOOKUP("TOURC633500000",Balance!C:G,5,FALSE))=TRUE,0,VLOOKUP("TOURC633500000",Balance!C:G,5,FALSE))</f>
        <v>0</v>
      </c>
      <c r="D120" s="117">
        <f>+[2]Tourcoing!$H120</f>
        <v>329.94</v>
      </c>
      <c r="E120" s="160">
        <f>IF(ISNA(VLOOKUP("TOURC633500000",Balanceanp!C:G,5,FALSE))=TRUE,0,VLOOKUP("TOURC633500000",Balanceanp!C:G,5,FALSE))</f>
        <v>354</v>
      </c>
      <c r="F120" s="368">
        <f t="shared" si="12"/>
        <v>0</v>
      </c>
      <c r="G120" s="396"/>
      <c r="H120" s="409"/>
      <c r="I120" s="149">
        <f t="shared" si="13"/>
        <v>-1</v>
      </c>
      <c r="J120" s="271">
        <f t="shared" si="13"/>
        <v>0</v>
      </c>
      <c r="L120" s="17">
        <f t="shared" si="7"/>
        <v>1</v>
      </c>
    </row>
    <row r="121" spans="1:12">
      <c r="A121" s="5" t="s">
        <v>706</v>
      </c>
      <c r="B121" s="92"/>
      <c r="C121" s="160">
        <f>IF(ISNA(VLOOKUP("TOURC635110000",Balance!C:G,5,FALSE))=TRUE,0,VLOOKUP("TOURC635110000",Balance!C:G,5,FALSE))</f>
        <v>5763.51</v>
      </c>
      <c r="D121" s="117">
        <f>+[2]Tourcoing!$H121</f>
        <v>7684.6875</v>
      </c>
      <c r="E121" s="160">
        <f>IF(ISNA(VLOOKUP("TOURC635110000",Balanceanp!C:G,5,FALSE))=TRUE,0,VLOOKUP("TOURC635110000",Balanceanp!C:G,5,FALSE))</f>
        <v>7462</v>
      </c>
      <c r="F121" s="397">
        <f t="shared" si="12"/>
        <v>5763.51</v>
      </c>
      <c r="G121" s="397"/>
      <c r="H121" s="413"/>
      <c r="I121" s="149">
        <f t="shared" si="13"/>
        <v>-0.2276186009112838</v>
      </c>
      <c r="J121" s="271">
        <f t="shared" si="13"/>
        <v>-1</v>
      </c>
      <c r="L121" s="17">
        <f t="shared" si="7"/>
        <v>1</v>
      </c>
    </row>
    <row r="122" spans="1:12">
      <c r="A122" s="5" t="s">
        <v>143</v>
      </c>
      <c r="B122" s="92"/>
      <c r="C122" s="160">
        <f>IF(ISNA(VLOOKUP("TOURC635120000",Balance!C:G,5,FALSE))=TRUE,0,VLOOKUP("TOURC635120000",Balance!C:G,5,FALSE))</f>
        <v>2999.97</v>
      </c>
      <c r="D122" s="117">
        <f>+[2]Tourcoing!$H122</f>
        <v>4000</v>
      </c>
      <c r="E122" s="160">
        <f>IF(ISNA(VLOOKUP("TOURC635120000",Balanceanp!C:G,5,FALSE))=TRUE,0,VLOOKUP("TOURC635120000",Balanceanp!C:G,5,FALSE))</f>
        <v>8937</v>
      </c>
      <c r="F122" s="397">
        <f t="shared" si="12"/>
        <v>2999.97</v>
      </c>
      <c r="G122" s="397"/>
      <c r="H122" s="413"/>
      <c r="I122" s="149">
        <f t="shared" si="13"/>
        <v>-0.66432024169184301</v>
      </c>
      <c r="J122" s="271">
        <f t="shared" si="13"/>
        <v>-1</v>
      </c>
      <c r="L122" s="17">
        <f t="shared" si="7"/>
        <v>1</v>
      </c>
    </row>
    <row r="123" spans="1:12">
      <c r="A123" s="5" t="s">
        <v>144</v>
      </c>
      <c r="B123" s="92"/>
      <c r="C123" s="160">
        <f>IF(ISNA(VLOOKUP("TOURC635130000",Balance!C:G,5,FALSE))=TRUE,0,VLOOKUP("TOURC635130000",Balance!C:G,5,FALSE))</f>
        <v>0</v>
      </c>
      <c r="D123" s="117">
        <f>+[2]Tourcoing!$H123</f>
        <v>50</v>
      </c>
      <c r="E123" s="160">
        <f>IF(ISNA(VLOOKUP("TOURC635130000",Balanceanp!C:G,5,FALSE))=TRUE,0,VLOOKUP("TOURC635130000",Balanceanp!C:G,5,FALSE))</f>
        <v>0</v>
      </c>
      <c r="F123" s="368">
        <f t="shared" si="12"/>
        <v>0</v>
      </c>
      <c r="G123" s="397"/>
      <c r="H123" s="413"/>
      <c r="I123" s="149">
        <f t="shared" si="13"/>
        <v>0</v>
      </c>
      <c r="J123" s="271">
        <f t="shared" si="13"/>
        <v>0</v>
      </c>
      <c r="L123" s="17">
        <f t="shared" si="7"/>
        <v>1</v>
      </c>
    </row>
    <row r="124" spans="1:12">
      <c r="A124" s="5" t="s">
        <v>145</v>
      </c>
      <c r="B124" s="92"/>
      <c r="C124" s="160">
        <f>IF(ISNA(VLOOKUP("TOURC635140000",Balance!C:G,5,FALSE))=TRUE,0,VLOOKUP("TOURC635140000",Balance!C:G,5,FALSE))</f>
        <v>0</v>
      </c>
      <c r="D124" s="117">
        <f>+[2]Tourcoing!$H124</f>
        <v>0</v>
      </c>
      <c r="E124" s="160">
        <f>IF(ISNA(VLOOKUP("TOURC635140000",Balanceanp!C:G,5,FALSE))=TRUE,0,VLOOKUP("TOURC635140000",Balanceanp!C:G,5,FALSE))</f>
        <v>0</v>
      </c>
      <c r="F124" s="368">
        <f t="shared" si="12"/>
        <v>0</v>
      </c>
      <c r="G124" s="397"/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>
      <c r="A125" s="5" t="s">
        <v>286</v>
      </c>
      <c r="B125" s="92"/>
      <c r="C125" s="160">
        <f>IF(ISNA(VLOOKUP("TOURC635300000",Balance!C:G,5,FALSE))=TRUE,0,VLOOKUP("TOURC635300000",Balance!C:G,5,FALSE))</f>
        <v>0</v>
      </c>
      <c r="D125" s="117">
        <f>+[2]Tourcoing!$H125</f>
        <v>0</v>
      </c>
      <c r="E125" s="160">
        <f>IF(ISNA(VLOOKUP("TOURC635300000",Balanceanp!C:G,5,FALSE))=TRUE,0,VLOOKUP("TOURC635300000",Balanceanp!C:G,5,FALSE))</f>
        <v>0</v>
      </c>
      <c r="F125" s="368">
        <f t="shared" si="12"/>
        <v>0</v>
      </c>
      <c r="G125" s="397"/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>
      <c r="A126" s="5" t="s">
        <v>361</v>
      </c>
      <c r="B126" s="92"/>
      <c r="C126" s="160">
        <f>IF(ISNA(VLOOKUP("TOURC635400000",Balance!C:G,5,FALSE))=TRUE,0,VLOOKUP("TOURC635400000",Balance!C:G,5,FALSE))</f>
        <v>0</v>
      </c>
      <c r="D126" s="117">
        <f>+[2]Tourcoing!$H126</f>
        <v>0</v>
      </c>
      <c r="E126" s="160">
        <f>IF(ISNA(VLOOKUP("TOURC635400000",Balanceanp!C:G,5,FALSE))=TRUE,0,VLOOKUP("TOURC635400000",Balanceanp!C:G,5,FALSE))</f>
        <v>0</v>
      </c>
      <c r="F126" s="368">
        <f t="shared" si="12"/>
        <v>0</v>
      </c>
      <c r="G126" s="397"/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" t="s">
        <v>146</v>
      </c>
      <c r="B127" s="92"/>
      <c r="C127" s="160">
        <f>IF(ISNA(VLOOKUP("TOURC637100000",Balance!C:G,5,FALSE))=TRUE,0,VLOOKUP("TOURC637100000",Balance!C:G,5,FALSE))</f>
        <v>385.45</v>
      </c>
      <c r="D127" s="117">
        <f>+[2]Tourcoing!$H127</f>
        <v>771.84640000000002</v>
      </c>
      <c r="E127" s="160">
        <f>IF(ISNA(VLOOKUP("TOURC637100000",Balanceanp!C:G,5,FALSE))=TRUE,0,VLOOKUP("TOURC637100000",Balanceanp!C:G,5,FALSE))</f>
        <v>724.34</v>
      </c>
      <c r="F127" s="368">
        <f t="shared" si="12"/>
        <v>385.45</v>
      </c>
      <c r="G127" s="396"/>
      <c r="H127" s="409"/>
      <c r="I127" s="149">
        <f t="shared" si="13"/>
        <v>-0.46786039705110866</v>
      </c>
      <c r="J127" s="271">
        <f t="shared" si="13"/>
        <v>-1</v>
      </c>
      <c r="L127" s="17">
        <f t="shared" si="7"/>
        <v>1</v>
      </c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93">
        <f>+C129/$C$21</f>
        <v>5.0089260432434474E-2</v>
      </c>
      <c r="C129" s="163">
        <f>SUM(C117:C128)</f>
        <v>9667.36</v>
      </c>
      <c r="D129" s="118">
        <f>SUM(D117:D128)</f>
        <v>13322.9239</v>
      </c>
      <c r="E129" s="163">
        <f>SUM(E117:E128)</f>
        <v>18136.34</v>
      </c>
      <c r="F129" s="136">
        <f>SUM(F117:F128)</f>
        <v>9667.36</v>
      </c>
      <c r="G129" s="136">
        <f>SUM(G117:G128)</f>
        <v>0</v>
      </c>
      <c r="H129" s="421" t="e">
        <f>+G129/$G$21</f>
        <v>#DIV/0!</v>
      </c>
      <c r="I129" s="272">
        <f>+IF((E129)=0,,(F129-E129)/E129)</f>
        <v>-0.46696191183006053</v>
      </c>
      <c r="J129" s="188">
        <f>+IF((F129)=0,,(G129-F129)/F129)</f>
        <v>-1</v>
      </c>
      <c r="K129" s="136">
        <f>(C129+(C129/3))</f>
        <v>12889.813333333334</v>
      </c>
      <c r="L129" s="17" t="e">
        <f t="shared" si="7"/>
        <v>#DIV/0!</v>
      </c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" t="s">
        <v>148</v>
      </c>
      <c r="B131" s="92"/>
      <c r="C131" s="160">
        <f>IF(ISNA(VLOOKUP("TOURC641100000",Balance!C:G,5,FALSE))=TRUE,0,VLOOKUP("TOURC641100000",Balance!C:G,5,FALSE))</f>
        <v>22403.48</v>
      </c>
      <c r="D131" s="117">
        <f>+[2]Tourcoing!$H131</f>
        <v>42300</v>
      </c>
      <c r="E131" s="160">
        <f>IF(ISNA(VLOOKUP("TOURC641100000",Balanceanp!C:G,5,FALSE))=TRUE,0,VLOOKUP("TOURC641100000",Balanceanp!C:G,5,FALSE))</f>
        <v>66169.3</v>
      </c>
      <c r="F131" s="368">
        <f t="shared" ref="F131:F152" si="14">+C131</f>
        <v>22403.48</v>
      </c>
      <c r="G131" s="395"/>
      <c r="H131" s="401"/>
      <c r="I131" s="149">
        <f t="shared" ref="I131:J146" si="15">+IF((E131)=0,,(F131-E131)/E131)</f>
        <v>-0.66142183761956086</v>
      </c>
      <c r="J131" s="271">
        <f t="shared" si="15"/>
        <v>-1</v>
      </c>
      <c r="L131" s="17">
        <v>1</v>
      </c>
    </row>
    <row r="132" spans="1:12">
      <c r="A132" s="5" t="s">
        <v>149</v>
      </c>
      <c r="B132" s="92"/>
      <c r="C132" s="160">
        <f>IF(ISNA(VLOOKUP("TOURC641110000",Balance!C:G,5,FALSE))=TRUE,0,VLOOKUP("TOURC641110000",Balance!C:G,5,FALSE))</f>
        <v>0</v>
      </c>
      <c r="D132" s="117">
        <f>+[2]Tourcoing!$H132</f>
        <v>0</v>
      </c>
      <c r="E132" s="160">
        <f>IF(ISNA(VLOOKUP("TOURC641110000",Balanceanp!C:G,5,FALSE))=TRUE,0,VLOOKUP("TOURC641110000",Balanceanp!C:G,5,FALSE))</f>
        <v>-225</v>
      </c>
      <c r="F132" s="368">
        <f t="shared" si="14"/>
        <v>0</v>
      </c>
      <c r="G132" s="395"/>
      <c r="H132" s="401"/>
      <c r="I132" s="149">
        <f t="shared" si="15"/>
        <v>-1</v>
      </c>
      <c r="J132" s="271">
        <f t="shared" si="15"/>
        <v>0</v>
      </c>
      <c r="L132" s="17">
        <v>0</v>
      </c>
    </row>
    <row r="133" spans="1:12">
      <c r="A133" s="5" t="s">
        <v>150</v>
      </c>
      <c r="B133" s="92"/>
      <c r="C133" s="160">
        <f>IF(ISNA(VLOOKUP("TOURC641111000",Balance!C:G,5,FALSE))=TRUE,0,VLOOKUP("TOURC641111000",Balance!C:G,5,FALSE))</f>
        <v>539</v>
      </c>
      <c r="D133" s="117">
        <f>+[2]Tourcoing!$H133</f>
        <v>0</v>
      </c>
      <c r="E133" s="160">
        <f>IF(ISNA(VLOOKUP("TOURC641111000",Balanceanp!C:G,5,FALSE))=TRUE,0,VLOOKUP("TOURC641111000",Balanceanp!C:G,5,FALSE))</f>
        <v>0</v>
      </c>
      <c r="F133" s="368">
        <f t="shared" si="14"/>
        <v>539</v>
      </c>
      <c r="G133" s="395"/>
      <c r="H133" s="401"/>
      <c r="I133" s="149">
        <f t="shared" si="15"/>
        <v>0</v>
      </c>
      <c r="J133" s="271">
        <f t="shared" si="15"/>
        <v>-1</v>
      </c>
      <c r="L133" s="17">
        <f t="shared" si="7"/>
        <v>1</v>
      </c>
    </row>
    <row r="134" spans="1:12">
      <c r="A134" s="5" t="s">
        <v>151</v>
      </c>
      <c r="B134" s="92"/>
      <c r="C134" s="160">
        <f>IF(ISNA(VLOOKUP("TOURC641200000",Balance!C:G,5,FALSE))=TRUE,0,VLOOKUP("TOURC641200000",Balance!C:G,5,FALSE))</f>
        <v>0</v>
      </c>
      <c r="D134" s="117">
        <f>+[2]Tourcoing!$H134</f>
        <v>0</v>
      </c>
      <c r="E134" s="160">
        <f>IF(ISNA(VLOOKUP("TOURC641200000",Balanceanp!C:G,5,FALSE))=TRUE,0,VLOOKUP("TOURC641200000",Balanceanp!C:G,5,FALSE))</f>
        <v>-508.44999999999982</v>
      </c>
      <c r="F134" s="368">
        <f t="shared" si="14"/>
        <v>0</v>
      </c>
      <c r="G134" s="395"/>
      <c r="H134" s="401"/>
      <c r="I134" s="149">
        <f t="shared" si="15"/>
        <v>-1</v>
      </c>
      <c r="J134" s="271">
        <f t="shared" si="15"/>
        <v>0</v>
      </c>
      <c r="L134" s="17">
        <v>0</v>
      </c>
    </row>
    <row r="135" spans="1:12">
      <c r="A135" s="5" t="s">
        <v>114</v>
      </c>
      <c r="B135" s="92"/>
      <c r="C135" s="160">
        <f>IF(ISNA(VLOOKUP("TOURC621100000",Balance!C:G,5,FALSE))=TRUE,0,VLOOKUP("TOURC621100000",Balance!C:G,5,FALSE))</f>
        <v>0</v>
      </c>
      <c r="D135" s="117">
        <f>+[2]Tourcoing!$H135</f>
        <v>0</v>
      </c>
      <c r="E135" s="160">
        <f>IF(ISNA(VLOOKUP("TOURC621100000",Balanceanp!C:G,5,FALSE))=TRUE,0,VLOOKUP("TOURC621100000",Balanceanp!C:G,5,FALSE))</f>
        <v>0</v>
      </c>
      <c r="F135" s="368">
        <f t="shared" si="14"/>
        <v>0</v>
      </c>
      <c r="G135" s="395"/>
      <c r="H135" s="401"/>
      <c r="I135" s="149">
        <f t="shared" si="15"/>
        <v>0</v>
      </c>
      <c r="J135" s="271">
        <f t="shared" si="15"/>
        <v>0</v>
      </c>
      <c r="L135" s="17">
        <v>0</v>
      </c>
    </row>
    <row r="136" spans="1:12">
      <c r="A136" s="5" t="s">
        <v>338</v>
      </c>
      <c r="B136" s="92"/>
      <c r="C136" s="160">
        <f>IF(ISNA(VLOOKUP("TOURC621200000",Balance!C:G,5,FALSE))=TRUE,0,VLOOKUP("TOURC621200000",Balance!C:G,5,FALSE))</f>
        <v>1800</v>
      </c>
      <c r="D136" s="117">
        <f>+[2]Tourcoing!$H136</f>
        <v>1727.2894000000001</v>
      </c>
      <c r="E136" s="160">
        <f>IF(ISNA(VLOOKUP("TOURC621200000",Balanceanp!C:G,5,FALSE))=TRUE,0,VLOOKUP("TOURC621200000",Balanceanp!C:G,5,FALSE))</f>
        <v>2236.84</v>
      </c>
      <c r="F136" s="368">
        <f t="shared" si="14"/>
        <v>1800</v>
      </c>
      <c r="G136" s="395"/>
      <c r="H136" s="401"/>
      <c r="I136" s="149">
        <f t="shared" si="15"/>
        <v>-0.19529336027610383</v>
      </c>
      <c r="J136" s="271">
        <f t="shared" si="15"/>
        <v>-1</v>
      </c>
      <c r="L136" s="17">
        <f t="shared" ref="L136:L197" si="16">IF(SUM(C136:J136)&lt;&gt;0,1,0)</f>
        <v>1</v>
      </c>
    </row>
    <row r="137" spans="1:12">
      <c r="A137" s="5" t="s">
        <v>87</v>
      </c>
      <c r="B137" s="92"/>
      <c r="C137" s="160">
        <f>IF(ISNA(VLOOKUP("TOURC706100000",Balance!C:G,5,FALSE))=TRUE,0,-VLOOKUP("TOURC706100000",Balance!C:G,5,FALSE))</f>
        <v>0</v>
      </c>
      <c r="D137" s="117">
        <f>+[2]Tourcoing!$H137</f>
        <v>0</v>
      </c>
      <c r="E137" s="160">
        <f>IF(ISNA(VLOOKUP("TOURC706100000",Balanceanp!C:G,5,FALSE))=TRUE,0,-VLOOKUP("TOURC706100000",Balanceanp!C:G,5,FALSE))</f>
        <v>0</v>
      </c>
      <c r="F137" s="368">
        <f t="shared" si="14"/>
        <v>0</v>
      </c>
      <c r="G137" s="395"/>
      <c r="H137" s="401"/>
      <c r="I137" s="149">
        <f t="shared" si="15"/>
        <v>0</v>
      </c>
      <c r="J137" s="271">
        <f t="shared" si="15"/>
        <v>0</v>
      </c>
      <c r="L137" s="17">
        <f t="shared" si="16"/>
        <v>0</v>
      </c>
    </row>
    <row r="138" spans="1:12">
      <c r="A138" s="5" t="s">
        <v>152</v>
      </c>
      <c r="B138" s="92"/>
      <c r="C138" s="160">
        <f>IF(ISNA(VLOOKUP("TOURC641210000",Balance!C:G,5,FALSE))=TRUE,0,VLOOKUP("TOURC641210000",Balance!C:G,5,FALSE))</f>
        <v>0</v>
      </c>
      <c r="D138" s="117">
        <f>+[2]Tourcoing!$H138</f>
        <v>0</v>
      </c>
      <c r="E138" s="160">
        <f>IF(ISNA(VLOOKUP("TOURC641210000",Balanceanp!C:G,5,FALSE))=TRUE,0,VLOOKUP("TOURC641210000",Balanceanp!C:G,5,FALSE))</f>
        <v>-25.910000000000082</v>
      </c>
      <c r="F138" s="368">
        <f t="shared" si="14"/>
        <v>0</v>
      </c>
      <c r="G138" s="395"/>
      <c r="H138" s="401"/>
      <c r="I138" s="149">
        <f t="shared" si="15"/>
        <v>-1</v>
      </c>
      <c r="J138" s="271">
        <f t="shared" si="15"/>
        <v>0</v>
      </c>
      <c r="L138" s="17">
        <v>0</v>
      </c>
    </row>
    <row r="139" spans="1:12">
      <c r="A139" s="5" t="s">
        <v>153</v>
      </c>
      <c r="B139" s="92"/>
      <c r="C139" s="160">
        <f>IF(ISNA(VLOOKUP("TOURC641400000",Balance!C:G,5,FALSE))=TRUE,0,VLOOKUP("TOURC641400000",Balance!C:G,5,FALSE))</f>
        <v>0</v>
      </c>
      <c r="D139" s="117">
        <f>+[2]Tourcoing!$H139</f>
        <v>0</v>
      </c>
      <c r="E139" s="160">
        <f>IF(ISNA(VLOOKUP("TOURC641400000",Balanceanp!C:G,5,FALSE))=TRUE,0,VLOOKUP("TOURC641400000",Balanceanp!C:G,5,FALSE))</f>
        <v>0</v>
      </c>
      <c r="F139" s="368">
        <f t="shared" si="14"/>
        <v>0</v>
      </c>
      <c r="G139" s="395"/>
      <c r="H139" s="401"/>
      <c r="I139" s="149">
        <f t="shared" si="15"/>
        <v>0</v>
      </c>
      <c r="J139" s="271">
        <f t="shared" si="15"/>
        <v>0</v>
      </c>
      <c r="L139" s="17">
        <f t="shared" si="16"/>
        <v>0</v>
      </c>
    </row>
    <row r="140" spans="1:12">
      <c r="A140" s="5" t="s">
        <v>154</v>
      </c>
      <c r="B140" s="92"/>
      <c r="C140" s="160">
        <f>IF(ISNA(VLOOKUP("TOURC641600000",Balance!C:G,5,FALSE))=TRUE,0,VLOOKUP("TOURC641600000",Balance!C:G,5,FALSE))</f>
        <v>1349.99</v>
      </c>
      <c r="D140" s="117">
        <f>+[2]Tourcoing!$H140</f>
        <v>0</v>
      </c>
      <c r="E140" s="160">
        <f>IF(ISNA(VLOOKUP("TOURC641600000",Balanceanp!C:G,5,FALSE))=TRUE,0,VLOOKUP("TOURC641600000",Balanceanp!C:G,5,FALSE))</f>
        <v>15200</v>
      </c>
      <c r="F140" s="368">
        <f t="shared" si="14"/>
        <v>1349.99</v>
      </c>
      <c r="G140" s="395"/>
      <c r="H140" s="401"/>
      <c r="I140" s="149">
        <f t="shared" si="15"/>
        <v>-0.91118486842105262</v>
      </c>
      <c r="J140" s="271">
        <f t="shared" si="15"/>
        <v>-1</v>
      </c>
      <c r="L140" s="17">
        <f t="shared" si="16"/>
        <v>1</v>
      </c>
    </row>
    <row r="141" spans="1:12">
      <c r="A141" s="5" t="s">
        <v>155</v>
      </c>
      <c r="B141" s="92"/>
      <c r="C141" s="160">
        <f>IF(ISNA(VLOOKUP("TOURC645100000",Balance!C:G,5,FALSE))=TRUE,0,VLOOKUP("TOURC645100000",Balance!C:G,5,FALSE))</f>
        <v>6187.6100000000006</v>
      </c>
      <c r="D141" s="117">
        <f>+[2]Tourcoing!$H141</f>
        <v>15393.188165701398</v>
      </c>
      <c r="E141" s="160">
        <f>IF(ISNA(VLOOKUP("TOURC645100000",Balanceanp!C:G,5,FALSE))=TRUE,0,VLOOKUP("TOURC645100000",Balanceanp!C:G,5,FALSE))</f>
        <v>24663.489999999998</v>
      </c>
      <c r="F141" s="368">
        <f t="shared" si="14"/>
        <v>6187.6100000000006</v>
      </c>
      <c r="G141" s="396"/>
      <c r="H141" s="409"/>
      <c r="I141" s="149">
        <f t="shared" si="15"/>
        <v>-0.74911863649467281</v>
      </c>
      <c r="J141" s="271">
        <f t="shared" si="15"/>
        <v>-1</v>
      </c>
      <c r="L141" s="17">
        <f t="shared" si="16"/>
        <v>1</v>
      </c>
    </row>
    <row r="142" spans="1:12">
      <c r="A142" s="5" t="s">
        <v>156</v>
      </c>
      <c r="B142" s="92"/>
      <c r="C142" s="160">
        <f>IF(ISNA(VLOOKUP("TOURC645200000",Balance!C:G,5,FALSE))=TRUE,0,VLOOKUP("TOURC645200000",Balance!C:G,5,FALSE))</f>
        <v>571.54</v>
      </c>
      <c r="D142" s="117">
        <f>+[2]Tourcoing!$H142</f>
        <v>967.99955452243057</v>
      </c>
      <c r="E142" s="160">
        <f>IF(ISNA(VLOOKUP("TOURC645200000",Balanceanp!C:G,5,FALSE))=TRUE,0,VLOOKUP("TOURC645200000",Balanceanp!C:G,5,FALSE))</f>
        <v>1722.69</v>
      </c>
      <c r="F142" s="368">
        <f t="shared" si="14"/>
        <v>571.54</v>
      </c>
      <c r="G142" s="396"/>
      <c r="H142" s="409"/>
      <c r="I142" s="149">
        <f t="shared" si="15"/>
        <v>-0.66822817802390455</v>
      </c>
      <c r="J142" s="271">
        <f t="shared" si="15"/>
        <v>-1</v>
      </c>
      <c r="L142" s="17">
        <f t="shared" si="16"/>
        <v>1</v>
      </c>
    </row>
    <row r="143" spans="1:12">
      <c r="A143" s="5" t="s">
        <v>157</v>
      </c>
      <c r="B143" s="92"/>
      <c r="C143" s="160">
        <f>IF(ISNA(VLOOKUP("TOURC645300000",Balance!C:G,5,FALSE))=TRUE,0,VLOOKUP("TOURC645300000",Balance!C:G,5,FALSE))</f>
        <v>1489.03</v>
      </c>
      <c r="D143" s="117">
        <f>+[2]Tourcoing!$H143</f>
        <v>1907.9197591657214</v>
      </c>
      <c r="E143" s="160">
        <f>IF(ISNA(VLOOKUP("TOURC645300000",Balanceanp!C:G,5,FALSE))=TRUE,0,VLOOKUP("TOURC645300000",Balanceanp!C:G,5,FALSE))</f>
        <v>2967.92</v>
      </c>
      <c r="F143" s="368">
        <f t="shared" si="14"/>
        <v>1489.03</v>
      </c>
      <c r="G143" s="396"/>
      <c r="H143" s="409"/>
      <c r="I143" s="149">
        <f t="shared" si="15"/>
        <v>-0.49829173293080681</v>
      </c>
      <c r="J143" s="271">
        <f t="shared" si="15"/>
        <v>-1</v>
      </c>
      <c r="L143" s="17">
        <f t="shared" si="16"/>
        <v>1</v>
      </c>
    </row>
    <row r="144" spans="1:12">
      <c r="A144" s="5" t="s">
        <v>326</v>
      </c>
      <c r="B144" s="92"/>
      <c r="C144" s="160">
        <f>IF(ISNA(VLOOKUP("TOURC645310000",Balance!C:G,5,FALSE))=TRUE,0,VLOOKUP("TOURC645310000",Balance!C:G,5,FALSE))</f>
        <v>0</v>
      </c>
      <c r="D144" s="117">
        <f>+[2]Tourcoing!$H144</f>
        <v>0</v>
      </c>
      <c r="E144" s="160">
        <f>IF(ISNA(VLOOKUP("TOURC645310000",Balanceanp!C:G,5,FALSE))=TRUE,0,VLOOKUP("TOURC645310000",Balanceanp!C:G,5,FALSE))</f>
        <v>0</v>
      </c>
      <c r="F144" s="368">
        <f t="shared" si="14"/>
        <v>0</v>
      </c>
      <c r="G144" s="396"/>
      <c r="H144" s="409"/>
      <c r="I144" s="149">
        <f t="shared" si="15"/>
        <v>0</v>
      </c>
      <c r="J144" s="271">
        <f t="shared" si="15"/>
        <v>0</v>
      </c>
      <c r="L144" s="17">
        <f t="shared" si="16"/>
        <v>0</v>
      </c>
    </row>
    <row r="145" spans="1:12">
      <c r="A145" s="5" t="s">
        <v>158</v>
      </c>
      <c r="B145" s="92"/>
      <c r="C145" s="160">
        <f>IF(ISNA(VLOOKUP("TOURC645400000",Balance!C:G,5,FALSE))=TRUE,0,VLOOKUP("TOURC645400000",Balance!C:G,5,FALSE))</f>
        <v>1149.43</v>
      </c>
      <c r="D145" s="117">
        <f>+[2]Tourcoing!$H145</f>
        <v>1406.0513047086899</v>
      </c>
      <c r="E145" s="160">
        <f>IF(ISNA(VLOOKUP("TOURC645400000",Balanceanp!C:G,5,FALSE))=TRUE,0,VLOOKUP("TOURC645400000",Balanceanp!C:G,5,FALSE))</f>
        <v>2214.17</v>
      </c>
      <c r="F145" s="368">
        <f t="shared" si="14"/>
        <v>1149.43</v>
      </c>
      <c r="G145" s="396"/>
      <c r="H145" s="409"/>
      <c r="I145" s="149">
        <f t="shared" si="15"/>
        <v>-0.48087545220105049</v>
      </c>
      <c r="J145" s="271">
        <f t="shared" si="15"/>
        <v>-1</v>
      </c>
      <c r="L145" s="17">
        <f t="shared" si="16"/>
        <v>1</v>
      </c>
    </row>
    <row r="146" spans="1:12">
      <c r="A146" s="5" t="s">
        <v>159</v>
      </c>
      <c r="B146" s="92"/>
      <c r="C146" s="160">
        <f>IF(ISNA(VLOOKUP("TOURC645800000",Balance!C:G,5,FALSE))=TRUE,0,VLOOKUP("TOURC645800000",Balance!C:G,5,FALSE))</f>
        <v>0</v>
      </c>
      <c r="D146" s="117">
        <f>+[2]Tourcoing!$H146</f>
        <v>0</v>
      </c>
      <c r="E146" s="160">
        <f>IF(ISNA(VLOOKUP("TOURC645800000",Balanceanp!C:G,5,FALSE))=TRUE,0,VLOOKUP("TOURC645800000",Balanceanp!C:G,5,FALSE))</f>
        <v>0</v>
      </c>
      <c r="F146" s="368">
        <f t="shared" si="14"/>
        <v>0</v>
      </c>
      <c r="G146" s="396"/>
      <c r="H146" s="409"/>
      <c r="I146" s="149">
        <f t="shared" si="15"/>
        <v>0</v>
      </c>
      <c r="J146" s="271">
        <f t="shared" si="15"/>
        <v>0</v>
      </c>
      <c r="L146" s="17">
        <f t="shared" si="16"/>
        <v>0</v>
      </c>
    </row>
    <row r="147" spans="1:12">
      <c r="A147" s="5" t="s">
        <v>160</v>
      </c>
      <c r="B147" s="92"/>
      <c r="C147" s="160">
        <f>IF(ISNA(VLOOKUP("TOURC645900000",Balance!C:G,5,FALSE))=TRUE,0,VLOOKUP("TOURC645900000",Balance!C:G,5,FALSE))</f>
        <v>0</v>
      </c>
      <c r="D147" s="117">
        <f>+[2]Tourcoing!$H147</f>
        <v>-76.528999999999996</v>
      </c>
      <c r="E147" s="160">
        <f>IF(ISNA(VLOOKUP("TOURC645900000",Balanceanp!C:G,5,FALSE))=TRUE,0,VLOOKUP("TOURC645900000",Balanceanp!C:G,5,FALSE))</f>
        <v>-74.3</v>
      </c>
      <c r="F147" s="368">
        <f t="shared" si="14"/>
        <v>0</v>
      </c>
      <c r="G147" s="396"/>
      <c r="H147" s="409"/>
      <c r="I147" s="149">
        <f t="shared" ref="I147:J152" si="17">+IF((E147)=0,,(F147-E147)/E147)</f>
        <v>-1</v>
      </c>
      <c r="J147" s="271">
        <f t="shared" si="17"/>
        <v>0</v>
      </c>
      <c r="L147" s="17">
        <f t="shared" si="16"/>
        <v>1</v>
      </c>
    </row>
    <row r="148" spans="1:12">
      <c r="A148" s="5" t="s">
        <v>161</v>
      </c>
      <c r="B148" s="92"/>
      <c r="C148" s="160">
        <f>IF(ISNA(VLOOKUP("TOURC647100000",Balance!C:G,5,FALSE))=TRUE,0,VLOOKUP("TOURC647100000",Balance!C:G,5,FALSE))</f>
        <v>0</v>
      </c>
      <c r="D148" s="117">
        <f>+[2]Tourcoing!$H148</f>
        <v>24.091699999999999</v>
      </c>
      <c r="E148" s="160">
        <f>IF(ISNA(VLOOKUP("TOURC647100000",Balanceanp!C:G,5,FALSE))=TRUE,0,VLOOKUP("TOURC647100000",Balanceanp!C:G,5,FALSE))</f>
        <v>70.19</v>
      </c>
      <c r="F148" s="368">
        <f t="shared" si="14"/>
        <v>0</v>
      </c>
      <c r="G148" s="396"/>
      <c r="H148" s="409"/>
      <c r="I148" s="149">
        <f t="shared" si="17"/>
        <v>-1</v>
      </c>
      <c r="J148" s="271">
        <f t="shared" si="17"/>
        <v>0</v>
      </c>
      <c r="L148" s="17">
        <f t="shared" si="16"/>
        <v>1</v>
      </c>
    </row>
    <row r="149" spans="1:12">
      <c r="A149" s="5" t="s">
        <v>162</v>
      </c>
      <c r="B149" s="92"/>
      <c r="C149" s="160">
        <f>IF(ISNA(VLOOKUP("TOURC647400000",Balance!C:G,5,FALSE))=TRUE,0,VLOOKUP("TOURC647400000",Balance!C:G,5,FALSE))</f>
        <v>0</v>
      </c>
      <c r="D149" s="117">
        <f>+[2]Tourcoing!$H149</f>
        <v>62.640840500000003</v>
      </c>
      <c r="E149" s="160">
        <f>IF(ISNA(VLOOKUP("TOURC647400000",Balanceanp!C:G,5,FALSE))=TRUE,0,VLOOKUP("TOURC647400000",Balanceanp!C:G,5,FALSE))</f>
        <v>65.5</v>
      </c>
      <c r="F149" s="368">
        <f t="shared" si="14"/>
        <v>0</v>
      </c>
      <c r="G149" s="396"/>
      <c r="H149" s="409"/>
      <c r="I149" s="149">
        <f t="shared" si="17"/>
        <v>-1</v>
      </c>
      <c r="J149" s="271">
        <f t="shared" si="17"/>
        <v>0</v>
      </c>
      <c r="L149" s="17">
        <f t="shared" si="16"/>
        <v>1</v>
      </c>
    </row>
    <row r="150" spans="1:12">
      <c r="A150" s="5" t="s">
        <v>163</v>
      </c>
      <c r="B150" s="92"/>
      <c r="C150" s="160">
        <f>IF(ISNA(VLOOKUP("TOURC647500000",Balance!C:G,5,FALSE))=TRUE,0,VLOOKUP("TOURC647500000",Balance!C:G,5,FALSE))</f>
        <v>81.510000000000005</v>
      </c>
      <c r="D150" s="117">
        <f>+[2]Tourcoing!$H150</f>
        <v>144.29799693400625</v>
      </c>
      <c r="E150" s="160">
        <f>IF(ISNA(VLOOKUP("TOURC647500000",Balanceanp!C:G,5,FALSE))=TRUE,0,VLOOKUP("TOURC647500000",Balanceanp!C:G,5,FALSE))</f>
        <v>201.48</v>
      </c>
      <c r="F150" s="368">
        <f t="shared" si="14"/>
        <v>81.510000000000005</v>
      </c>
      <c r="G150" s="396"/>
      <c r="H150" s="409"/>
      <c r="I150" s="149">
        <f t="shared" si="17"/>
        <v>-0.59544371649791539</v>
      </c>
      <c r="J150" s="271">
        <f t="shared" si="17"/>
        <v>-1</v>
      </c>
      <c r="L150" s="17">
        <f t="shared" si="16"/>
        <v>1</v>
      </c>
    </row>
    <row r="151" spans="1:12">
      <c r="A151" s="5" t="s">
        <v>570</v>
      </c>
      <c r="B151" s="92"/>
      <c r="C151" s="160"/>
      <c r="D151" s="117">
        <f>+[2]Tourcoing!$H151</f>
        <v>0</v>
      </c>
      <c r="E151" s="160"/>
      <c r="F151" s="368">
        <f t="shared" si="14"/>
        <v>0</v>
      </c>
      <c r="G151" s="395"/>
      <c r="H151" s="409"/>
      <c r="I151" s="149"/>
      <c r="J151" s="271"/>
      <c r="L151" s="17">
        <f t="shared" si="16"/>
        <v>0</v>
      </c>
    </row>
    <row r="152" spans="1:12">
      <c r="A152" s="5" t="s">
        <v>58</v>
      </c>
      <c r="B152" s="92"/>
      <c r="C152" s="160">
        <f>IF(ISNA(VLOOKUP("TOURC648000000",Balance!C:G,5,FALSE))=TRUE,0,VLOOKUP("TOURC648000000",Balance!C:G,5,FALSE))</f>
        <v>0</v>
      </c>
      <c r="D152" s="117">
        <f>+[2]Tourcoing!$H152</f>
        <v>0</v>
      </c>
      <c r="E152" s="160">
        <f>IF(ISNA(VLOOKUP("TOURC648000000",Balanceanp!C:G,5,FALSE))=TRUE,0,VLOOKUP("TOURC648000000",Balanceanp!C:G,5,FALSE))</f>
        <v>160.28271999999998</v>
      </c>
      <c r="F152" s="368">
        <f t="shared" si="14"/>
        <v>0</v>
      </c>
      <c r="G152" s="396"/>
      <c r="H152" s="409">
        <f>SUM(G141:G152)</f>
        <v>0</v>
      </c>
      <c r="I152" s="149">
        <f t="shared" si="17"/>
        <v>-1</v>
      </c>
      <c r="J152" s="271">
        <f t="shared" si="17"/>
        <v>0</v>
      </c>
      <c r="L152" s="17">
        <f t="shared" si="16"/>
        <v>1</v>
      </c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6"/>
        <v>0</v>
      </c>
    </row>
    <row r="154" spans="1:12" s="33" customFormat="1" ht="15" customHeight="1">
      <c r="A154" s="13" t="s">
        <v>164</v>
      </c>
      <c r="B154" s="93">
        <f>+C154/$C$21</f>
        <v>0.18430622584715806</v>
      </c>
      <c r="C154" s="163">
        <f>SUM(C130:C153)</f>
        <v>35571.590000000004</v>
      </c>
      <c r="D154" s="118">
        <f>SUM(D130:D153)</f>
        <v>63856.949721532241</v>
      </c>
      <c r="E154" s="163">
        <f>SUM(E130:E153)</f>
        <v>114838.20271999999</v>
      </c>
      <c r="F154" s="136">
        <f>SUM(F130:F153)</f>
        <v>35571.590000000004</v>
      </c>
      <c r="G154" s="136">
        <f>SUM(G130:G153)</f>
        <v>0</v>
      </c>
      <c r="H154" s="421" t="e">
        <f>+G154/$G$21</f>
        <v>#DIV/0!</v>
      </c>
      <c r="I154" s="272">
        <f>+IF((E154)=0,,(F154-E154)/E154)</f>
        <v>-0.69024602303528615</v>
      </c>
      <c r="J154" s="188">
        <f>+IF((F154)=0,,(G154-F154)/F154)</f>
        <v>-1</v>
      </c>
      <c r="K154" s="136">
        <f>(C154+(C154/3))</f>
        <v>47428.786666666674</v>
      </c>
      <c r="L154" s="17" t="e">
        <f t="shared" si="16"/>
        <v>#DIV/0!</v>
      </c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6"/>
        <v>0</v>
      </c>
    </row>
    <row r="156" spans="1:12">
      <c r="A156" s="5" t="s">
        <v>545</v>
      </c>
      <c r="B156" s="92">
        <v>0.76119999999999999</v>
      </c>
      <c r="C156" s="160">
        <f>IF(ISNA(VLOOKUP("TOURC681740000",Balance!C:G,5,FALSE))=TRUE,0,VLOOKUP("TOURC681740000",Balance!C:G,5,FALSE))</f>
        <v>1193.21</v>
      </c>
      <c r="D156" s="117">
        <f>+[2]Tourcoing!$H156</f>
        <v>5857.1962320200009</v>
      </c>
      <c r="E156" s="160">
        <f>IF(ISNA(VLOOKUP("TOURC681740000",Balanceanp!C:G,5,FALSE))=TRUE,0,VLOOKUP("TOURC681740000",Balanceanp!C:G,5,FALSE))</f>
        <v>5503.87</v>
      </c>
      <c r="F156" s="368">
        <f t="shared" ref="F156:F166" si="18">+C156</f>
        <v>1193.21</v>
      </c>
      <c r="G156" s="570">
        <f>+G21*B156*1.62%</f>
        <v>0</v>
      </c>
      <c r="H156" s="565"/>
      <c r="I156" s="149">
        <f t="shared" ref="I156:J166" si="19">+IF((E156)=0,,(F156-E156)/E156)</f>
        <v>-0.78320527192684419</v>
      </c>
      <c r="J156" s="271">
        <f t="shared" si="19"/>
        <v>-1</v>
      </c>
      <c r="L156" s="17">
        <f t="shared" si="16"/>
        <v>1</v>
      </c>
    </row>
    <row r="157" spans="1:12">
      <c r="A157" s="5" t="s">
        <v>165</v>
      </c>
      <c r="B157" s="92"/>
      <c r="C157" s="160">
        <f>IF(ISNA(VLOOKUP("TOURC781740000",Balance!C:G,5,FALSE))=TRUE,0,VLOOKUP("TOURC781740000",Balance!C:G,5,FALSE))</f>
        <v>-2616.59</v>
      </c>
      <c r="D157" s="117">
        <f>+[2]Tourcoing!$H157</f>
        <v>0</v>
      </c>
      <c r="E157" s="160">
        <f>IF(ISNA(VLOOKUP("TOURC781740000",Balanceanp!C:G,5,FALSE))=TRUE,0,VLOOKUP("TOURC781740000",Balanceanp!C:G,5,FALSE))</f>
        <v>-3644.49</v>
      </c>
      <c r="F157" s="368">
        <f t="shared" si="18"/>
        <v>-2616.59</v>
      </c>
      <c r="G157" s="396"/>
      <c r="H157" s="409"/>
      <c r="I157" s="149">
        <f t="shared" si="19"/>
        <v>-0.28204220617973974</v>
      </c>
      <c r="J157" s="271">
        <f t="shared" si="19"/>
        <v>-1</v>
      </c>
      <c r="L157" s="17">
        <f t="shared" si="16"/>
        <v>1</v>
      </c>
    </row>
    <row r="158" spans="1:12">
      <c r="A158" s="5" t="s">
        <v>166</v>
      </c>
      <c r="B158" s="92"/>
      <c r="C158" s="160">
        <f>IF(ISNA(VLOOKUP("TOURC654400000",Balance!C:G,5,FALSE))=TRUE,0,VLOOKUP("TOURC654400000",Balance!C:G,5,FALSE))</f>
        <v>5198.58</v>
      </c>
      <c r="D158" s="117">
        <f>+[2]Tourcoing!$H158</f>
        <v>0</v>
      </c>
      <c r="E158" s="160">
        <f>IF(ISNA(VLOOKUP("TOURC654400000",Balanceanp!C:G,5,FALSE))=TRUE,0,VLOOKUP("TOURC654400000",Balanceanp!C:G,5,FALSE))</f>
        <v>3502.62</v>
      </c>
      <c r="F158" s="368">
        <f t="shared" si="18"/>
        <v>5198.58</v>
      </c>
      <c r="G158" s="396"/>
      <c r="H158" s="409"/>
      <c r="I158" s="149">
        <f t="shared" si="19"/>
        <v>0.48419754355311168</v>
      </c>
      <c r="J158" s="271">
        <f t="shared" si="19"/>
        <v>-1</v>
      </c>
      <c r="L158" s="17">
        <f t="shared" si="16"/>
        <v>1</v>
      </c>
    </row>
    <row r="159" spans="1:12">
      <c r="A159" s="5" t="s">
        <v>60</v>
      </c>
      <c r="B159" s="92"/>
      <c r="C159" s="160">
        <f>IF(ISNA(VLOOKUP("TOURC791100000",Balance!C:G,5,FALSE))=TRUE,0,VLOOKUP("TOURC791100000",Balance!C:G,5,FALSE))</f>
        <v>-2581.9899999999998</v>
      </c>
      <c r="D159" s="117">
        <f>+[2]Tourcoing!$H159</f>
        <v>0</v>
      </c>
      <c r="E159" s="160">
        <f>IF(ISNA(VLOOKUP("TOURC791100000",Balanceanp!C:G,5,FALSE))=TRUE,0,VLOOKUP("TOURC791100000",Balanceanp!C:G,5,FALSE))</f>
        <v>0</v>
      </c>
      <c r="F159" s="368">
        <f t="shared" si="18"/>
        <v>-2581.9899999999998</v>
      </c>
      <c r="G159" s="396"/>
      <c r="H159" s="409"/>
      <c r="I159" s="149">
        <f t="shared" si="19"/>
        <v>0</v>
      </c>
      <c r="J159" s="271">
        <f t="shared" si="19"/>
        <v>-1</v>
      </c>
      <c r="L159" s="17">
        <f t="shared" si="16"/>
        <v>1</v>
      </c>
    </row>
    <row r="160" spans="1:12">
      <c r="A160" s="5" t="s">
        <v>199</v>
      </c>
      <c r="B160" s="92"/>
      <c r="C160" s="160">
        <f>IF(ISNA(VLOOKUP("TOURC654100000",Balance!C:G,5,FALSE))=TRUE,0,VLOOKUP("TOURC654100000",Balance!C:G,5,FALSE))</f>
        <v>0.02</v>
      </c>
      <c r="D160" s="117">
        <f>+[2]Tourcoing!$H160</f>
        <v>0</v>
      </c>
      <c r="E160" s="160">
        <f>IF(ISNA(VLOOKUP("TOURC654100000",Balanceanp!C:G,5,FALSE))=TRUE,0,VLOOKUP("TOURC654100000",Balanceanp!C:G,5,FALSE))</f>
        <v>6.51</v>
      </c>
      <c r="F160" s="368">
        <f t="shared" si="18"/>
        <v>0.02</v>
      </c>
      <c r="G160" s="396"/>
      <c r="H160" s="409"/>
      <c r="I160" s="149">
        <f t="shared" si="19"/>
        <v>-0.99692780337941633</v>
      </c>
      <c r="J160" s="271">
        <f t="shared" si="19"/>
        <v>-1</v>
      </c>
      <c r="L160" s="17">
        <f t="shared" si="16"/>
        <v>1</v>
      </c>
    </row>
    <row r="161" spans="1:12">
      <c r="A161" s="5" t="s">
        <v>41</v>
      </c>
      <c r="B161" s="92"/>
      <c r="C161" s="160">
        <f>IF(ISNA(VLOOKUP("TOURC622700000",Balance!C:G,5,FALSE))=TRUE,0,VLOOKUP("TOURC622700000",Balance!C:G,5,FALSE))</f>
        <v>291.73</v>
      </c>
      <c r="D161" s="117">
        <f>+[2]Tourcoing!$H161</f>
        <v>132.27275675312498</v>
      </c>
      <c r="E161" s="160">
        <f>IF(ISNA(VLOOKUP("TOURC622700000",Balanceanp!C:G,5,FALSE))=TRUE,0,VLOOKUP("TOURC622700000",Balanceanp!C:G,5,FALSE))</f>
        <v>306.87</v>
      </c>
      <c r="F161" s="368">
        <f t="shared" si="18"/>
        <v>291.73</v>
      </c>
      <c r="G161" s="396"/>
      <c r="H161" s="409"/>
      <c r="I161" s="149">
        <f t="shared" si="19"/>
        <v>-4.9336852738944788E-2</v>
      </c>
      <c r="J161" s="271">
        <f t="shared" si="19"/>
        <v>-1</v>
      </c>
      <c r="L161" s="17">
        <f t="shared" si="16"/>
        <v>1</v>
      </c>
    </row>
    <row r="162" spans="1:12">
      <c r="A162" s="5" t="s">
        <v>355</v>
      </c>
      <c r="B162" s="92"/>
      <c r="C162" s="160">
        <f>IF(ISNA(VLOOKUP("TOURC654200000",Balance!C:G,5,FALSE))=TRUE,0,VLOOKUP("TOURC654200000",Balance!C:G,5,FALSE))</f>
        <v>3.59</v>
      </c>
      <c r="D162" s="117">
        <f>+[2]Tourcoing!$H162</f>
        <v>1.9985426414451388</v>
      </c>
      <c r="E162" s="160">
        <f>IF(ISNA(VLOOKUP("TOURC654200000",Balanceanp!C:G,5,FALSE))=TRUE,0,VLOOKUP("TOURC654200000",Balanceanp!C:G,5,FALSE))</f>
        <v>7.18</v>
      </c>
      <c r="F162" s="368">
        <f t="shared" si="18"/>
        <v>3.59</v>
      </c>
      <c r="G162" s="396"/>
      <c r="H162" s="409"/>
      <c r="I162" s="149">
        <f t="shared" si="19"/>
        <v>-0.5</v>
      </c>
      <c r="J162" s="271">
        <f t="shared" si="19"/>
        <v>-1</v>
      </c>
      <c r="L162" s="17">
        <f t="shared" si="16"/>
        <v>1</v>
      </c>
    </row>
    <row r="163" spans="1:12">
      <c r="A163" s="5" t="s">
        <v>200</v>
      </c>
      <c r="B163" s="92"/>
      <c r="C163" s="160">
        <f>IF(ISNA(VLOOKUP("TOURC665000000",Balance!C:G,5,FALSE))=TRUE,0,VLOOKUP("TOURC665000000",Balance!C:G,5,FALSE))+IF(ISNA(VLOOKUP("TOURC665100000",Balance!C:G,5,FALSE))=TRUE,0,VLOOKUP("TOURC665100000",Balance!C:G,5,FALSE))</f>
        <v>514.88</v>
      </c>
      <c r="D163" s="117">
        <f>+[2]Tourcoing!$H163</f>
        <v>1258.0748237720927</v>
      </c>
      <c r="E163" s="160">
        <f>IF(ISNA(VLOOKUP("TOURC665000000",Balanceanp!C:G,5,FALSE))=TRUE,0,VLOOKUP("TOURC665000000",Balanceanp!C:G,5,FALSE))+IF(ISNA(VLOOKUP("TOURC665100000",Balanceanp!C:G,5,FALSE))=TRUE,0,VLOOKUP("TOURC665100000",Balanceanp!C:G,5,FALSE))</f>
        <v>1212.5099999999998</v>
      </c>
      <c r="F163" s="368">
        <f t="shared" si="18"/>
        <v>514.88</v>
      </c>
      <c r="G163" s="396"/>
      <c r="H163" s="409"/>
      <c r="I163" s="149">
        <f t="shared" si="19"/>
        <v>-0.57536020321481873</v>
      </c>
      <c r="J163" s="271">
        <f t="shared" si="19"/>
        <v>-1</v>
      </c>
      <c r="L163" s="17">
        <f t="shared" si="16"/>
        <v>1</v>
      </c>
    </row>
    <row r="164" spans="1:12">
      <c r="A164" s="5" t="s">
        <v>271</v>
      </c>
      <c r="B164" s="92"/>
      <c r="C164" s="160">
        <f>IF(ISNA(VLOOKUP("TOURC763000000",Balance!C:G,5,FALSE))=TRUE,0,VLOOKUP("TOURC763000000",Balance!C:G,5,FALSE))</f>
        <v>-37.5</v>
      </c>
      <c r="D164" s="117">
        <f>+[2]Tourcoing!$H164</f>
        <v>-23.096357171770833</v>
      </c>
      <c r="E164" s="160">
        <f>IF(ISNA(VLOOKUP("TOURC763000000",Balanceanp!C:G,5,FALSE))=TRUE,0,VLOOKUP("TOURC763000000",Balanceanp!C:G,5,FALSE))</f>
        <v>-43.5</v>
      </c>
      <c r="F164" s="368">
        <f t="shared" si="18"/>
        <v>-37.5</v>
      </c>
      <c r="G164" s="396"/>
      <c r="H164" s="409"/>
      <c r="I164" s="149">
        <f t="shared" si="19"/>
        <v>-0.13793103448275862</v>
      </c>
      <c r="J164" s="271">
        <f t="shared" si="19"/>
        <v>-1</v>
      </c>
      <c r="L164" s="17">
        <f t="shared" si="16"/>
        <v>1</v>
      </c>
    </row>
    <row r="165" spans="1:12">
      <c r="A165" s="5" t="s">
        <v>242</v>
      </c>
      <c r="B165" s="92"/>
      <c r="C165" s="160">
        <f>IF(ISNA(VLOOKUP("TOURC627520000",Balance!C:G,5,FALSE))=TRUE,0,VLOOKUP("TOURC627520000",Balance!C:G,5,FALSE))</f>
        <v>134.4</v>
      </c>
      <c r="D165" s="117">
        <f>+[2]Tourcoing!$H165</f>
        <v>146.20639808114586</v>
      </c>
      <c r="E165" s="160">
        <f>IF(ISNA(VLOOKUP("TOURC627520000",Balanceanp!C:G,5,FALSE))=TRUE,0,VLOOKUP("TOURC627520000",Balanceanp!C:G,5,FALSE))</f>
        <v>135.69999999999999</v>
      </c>
      <c r="F165" s="368">
        <f t="shared" si="18"/>
        <v>134.4</v>
      </c>
      <c r="G165" s="396"/>
      <c r="H165" s="409"/>
      <c r="I165" s="149">
        <f t="shared" si="19"/>
        <v>-9.5799557848193304E-3</v>
      </c>
      <c r="J165" s="271">
        <f t="shared" si="19"/>
        <v>-1</v>
      </c>
      <c r="L165" s="17">
        <f t="shared" si="16"/>
        <v>1</v>
      </c>
    </row>
    <row r="166" spans="1:12">
      <c r="A166" s="5" t="s">
        <v>201</v>
      </c>
      <c r="B166" s="92"/>
      <c r="C166" s="160">
        <f>IF(ISNA(VLOOKUP("TOURC763100000",Balance!C:G,5,FALSE))=TRUE,0,VLOOKUP("TOURC763100000",Balance!C:G,5,FALSE))</f>
        <v>0</v>
      </c>
      <c r="D166" s="117">
        <f>+[2]Tourcoing!$H166</f>
        <v>0</v>
      </c>
      <c r="E166" s="160">
        <f>IF(ISNA(VLOOKUP("TOURC763100000",Balanceanp!C:G,5,FALSE))=TRUE,0,VLOOKUP("TOURC763100000",Balanceanp!C:G,5,FALSE))</f>
        <v>0</v>
      </c>
      <c r="F166" s="368">
        <f t="shared" si="18"/>
        <v>0</v>
      </c>
      <c r="G166" s="396"/>
      <c r="H166" s="409"/>
      <c r="I166" s="149">
        <f t="shared" si="19"/>
        <v>0</v>
      </c>
      <c r="J166" s="271">
        <f t="shared" si="19"/>
        <v>0</v>
      </c>
      <c r="L166" s="17">
        <f t="shared" si="16"/>
        <v>0</v>
      </c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6"/>
        <v>0</v>
      </c>
    </row>
    <row r="168" spans="1:12" s="33" customFormat="1" ht="15" customHeight="1">
      <c r="A168" s="13" t="s">
        <v>74</v>
      </c>
      <c r="B168" s="93">
        <f>+C168/$C$21</f>
        <v>1.0882389438694235E-2</v>
      </c>
      <c r="C168" s="163">
        <f>SUM(C155:C167)</f>
        <v>2100.33</v>
      </c>
      <c r="D168" s="118">
        <f>SUM(D155:D167)</f>
        <v>7372.6523960960385</v>
      </c>
      <c r="E168" s="163">
        <f>SUM(E155:E167)</f>
        <v>6987.2699999999995</v>
      </c>
      <c r="F168" s="136">
        <f>SUM(F155:F167)</f>
        <v>2100.33</v>
      </c>
      <c r="G168" s="136">
        <f>SUM(G155:G167)</f>
        <v>0</v>
      </c>
      <c r="H168" s="421" t="e">
        <f>+G168/$G$21</f>
        <v>#DIV/0!</v>
      </c>
      <c r="I168" s="272">
        <f>+IF((E168)=0,,(F168-E168)/E168)</f>
        <v>-0.69940620585722324</v>
      </c>
      <c r="J168" s="188">
        <f>+IF((F168)=0,,(G168-F168)/F168)</f>
        <v>-1</v>
      </c>
      <c r="K168" s="136">
        <f>(C168+(C168/3))</f>
        <v>2800.44</v>
      </c>
      <c r="L168" s="17" t="e">
        <f t="shared" si="16"/>
        <v>#DIV/0!</v>
      </c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6"/>
        <v>0</v>
      </c>
    </row>
    <row r="170" spans="1:12">
      <c r="A170" s="5" t="s">
        <v>167</v>
      </c>
      <c r="B170" s="92"/>
      <c r="C170" s="160">
        <f>IF(ISNA(VLOOKUP("TOURC651100000",Balance!C:G,5,FALSE))=TRUE,0,VLOOKUP("TOURC651100000",Balance!C:G,5,FALSE))</f>
        <v>0</v>
      </c>
      <c r="D170" s="117">
        <f>+[2]Tourcoing!$H170</f>
        <v>0</v>
      </c>
      <c r="E170" s="160">
        <f>IF(ISNA(VLOOKUP("TOURC651100000",Balanceanp!C:G,5,FALSE))=TRUE,0,VLOOKUP("TOURC651100000",Balanceanp!C:G,5,FALSE))</f>
        <v>0</v>
      </c>
      <c r="F170" s="368">
        <f t="shared" ref="F170:F183" si="20">+C170</f>
        <v>0</v>
      </c>
      <c r="G170" s="396"/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6"/>
        <v>0</v>
      </c>
    </row>
    <row r="171" spans="1:12">
      <c r="A171" s="5" t="s">
        <v>168</v>
      </c>
      <c r="B171" s="92"/>
      <c r="C171" s="160">
        <f>IF(ISNA(VLOOKUP("TOURC651600000",Balance!C:G,5,FALSE))=TRUE,0,VLOOKUP("TOURC651600000",Balance!C:G,5,FALSE))</f>
        <v>0</v>
      </c>
      <c r="D171" s="117">
        <f>+[2]Tourcoing!$H171</f>
        <v>0</v>
      </c>
      <c r="E171" s="160">
        <f>IF(ISNA(VLOOKUP("TOURC651600000",Balanceanp!C:G,5,FALSE))=TRUE,0,VLOOKUP("TOURC651600000",Balanceanp!C:G,5,FALSE))</f>
        <v>0</v>
      </c>
      <c r="F171" s="368">
        <f t="shared" si="20"/>
        <v>0</v>
      </c>
      <c r="G171" s="396"/>
      <c r="H171" s="409"/>
      <c r="I171" s="149">
        <f t="shared" si="21"/>
        <v>0</v>
      </c>
      <c r="J171" s="271">
        <f t="shared" si="21"/>
        <v>0</v>
      </c>
      <c r="L171" s="17">
        <f t="shared" si="16"/>
        <v>0</v>
      </c>
    </row>
    <row r="172" spans="1:12">
      <c r="A172" s="5" t="s">
        <v>169</v>
      </c>
      <c r="B172" s="92"/>
      <c r="C172" s="160">
        <f>IF(ISNA(VLOOKUP("TOURC671200000",Balance!C:G,5,FALSE))=TRUE,0,VLOOKUP("TOURC671200000",Balance!C:G,5,FALSE))</f>
        <v>0</v>
      </c>
      <c r="D172" s="117">
        <f>+[2]Tourcoing!$H172</f>
        <v>0</v>
      </c>
      <c r="E172" s="160">
        <f>IF(ISNA(VLOOKUP("TOURC671200000",Balanceanp!C:G,5,FALSE))=TRUE,0,VLOOKUP("TOURC671200000",Balanceanp!C:G,5,FALSE))</f>
        <v>0</v>
      </c>
      <c r="F172" s="368">
        <f t="shared" si="20"/>
        <v>0</v>
      </c>
      <c r="G172" s="396"/>
      <c r="H172" s="409"/>
      <c r="I172" s="149">
        <f t="shared" si="21"/>
        <v>0</v>
      </c>
      <c r="J172" s="271">
        <f t="shared" si="21"/>
        <v>0</v>
      </c>
      <c r="L172" s="17">
        <f t="shared" si="16"/>
        <v>0</v>
      </c>
    </row>
    <row r="173" spans="1:12">
      <c r="A173" s="5" t="s">
        <v>170</v>
      </c>
      <c r="B173" s="92"/>
      <c r="C173" s="160">
        <f>IF(ISNA(VLOOKUP("TOURC671800000",Balance!C:G,5,FALSE))=TRUE,0,VLOOKUP("TOURC671800000",Balance!C:G,5,FALSE))</f>
        <v>90.62</v>
      </c>
      <c r="D173" s="117">
        <f>+[2]Tourcoing!$H173</f>
        <v>6510.7716250000003</v>
      </c>
      <c r="E173" s="160">
        <f>IF(ISNA(VLOOKUP("TOURC671800000",Balanceanp!C:G,5,FALSE))=TRUE,0,VLOOKUP("TOURC671800000",Balanceanp!C:G,5,FALSE))+IF(ISNA(VLOOKUP("TOURC658000000",Balanceanp!C:G,5,FALSE))=TRUE,0,VLOOKUP("TOURC658000000",Balanceanp!C:G,5,FALSE))</f>
        <v>5840.37</v>
      </c>
      <c r="F173" s="368">
        <f t="shared" si="20"/>
        <v>90.62</v>
      </c>
      <c r="G173" s="396"/>
      <c r="H173" s="409"/>
      <c r="I173" s="149">
        <f t="shared" si="21"/>
        <v>-0.98448385975546071</v>
      </c>
      <c r="J173" s="271">
        <f t="shared" si="21"/>
        <v>-1</v>
      </c>
      <c r="L173" s="17">
        <f t="shared" si="16"/>
        <v>1</v>
      </c>
    </row>
    <row r="174" spans="1:12">
      <c r="A174" s="5" t="s">
        <v>171</v>
      </c>
      <c r="B174" s="92"/>
      <c r="C174" s="160">
        <f>IF(ISNA(VLOOKUP("TOURC672000000",Balance!C:G,5,FALSE))=TRUE,0,VLOOKUP("TOURC672000000",Balance!C:G,5,FALSE))</f>
        <v>0</v>
      </c>
      <c r="D174" s="117">
        <f>+[2]Tourcoing!$H174</f>
        <v>0</v>
      </c>
      <c r="E174" s="160">
        <f>IF(ISNA(VLOOKUP("TOURC672000000",Balanceanp!C:G,5,FALSE))=TRUE,0,VLOOKUP("TOURC672000000",Balanceanp!C:G,5,FALSE))</f>
        <v>0</v>
      </c>
      <c r="F174" s="368">
        <f t="shared" si="20"/>
        <v>0</v>
      </c>
      <c r="G174" s="396"/>
      <c r="H174" s="409"/>
      <c r="I174" s="149">
        <f t="shared" si="21"/>
        <v>0</v>
      </c>
      <c r="J174" s="271">
        <f t="shared" si="21"/>
        <v>0</v>
      </c>
      <c r="L174" s="17">
        <f t="shared" si="16"/>
        <v>0</v>
      </c>
    </row>
    <row r="175" spans="1:12">
      <c r="A175" s="5" t="s">
        <v>308</v>
      </c>
      <c r="B175" s="92"/>
      <c r="C175" s="160">
        <f>IF(ISNA(VLOOKUP("TOURC691100000",Balance!C:G,5,FALSE))=TRUE,0,VLOOKUP("TOURC691100000",Balance!C:G,5,FALSE))</f>
        <v>0</v>
      </c>
      <c r="D175" s="117">
        <f>+[2]Tourcoing!$H175</f>
        <v>0</v>
      </c>
      <c r="E175" s="160">
        <f>IF(ISNA(VLOOKUP("TOURC691100000",Balanceanp!C:G,5,FALSE))=TRUE,0,VLOOKUP("TOURC691100000",Balanceanp!C:G,5,FALSE))</f>
        <v>0</v>
      </c>
      <c r="F175" s="368">
        <f t="shared" si="20"/>
        <v>0</v>
      </c>
      <c r="G175" s="396"/>
      <c r="H175" s="409"/>
      <c r="I175" s="149">
        <f t="shared" si="21"/>
        <v>0</v>
      </c>
      <c r="J175" s="271">
        <f t="shared" si="21"/>
        <v>0</v>
      </c>
      <c r="L175" s="17">
        <f t="shared" si="16"/>
        <v>0</v>
      </c>
    </row>
    <row r="176" spans="1:12">
      <c r="A176" s="5" t="s">
        <v>172</v>
      </c>
      <c r="B176" s="92"/>
      <c r="C176" s="160">
        <f>IF(ISNA(VLOOKUP("TOURC675100000",Balance!C:G,5,FALSE))=TRUE,0,VLOOKUP("TOURC675100000",Balance!C:G,5,FALSE))</f>
        <v>0</v>
      </c>
      <c r="D176" s="117">
        <f>+[2]Tourcoing!$H176</f>
        <v>0</v>
      </c>
      <c r="E176" s="160">
        <f>IF(ISNA(VLOOKUP("TOURC675100000",Balanceanp!C:G,5,FALSE))=TRUE,0,VLOOKUP("TOURC675100000",Balanceanp!C:G,5,FALSE))</f>
        <v>0</v>
      </c>
      <c r="F176" s="368">
        <f t="shared" si="20"/>
        <v>0</v>
      </c>
      <c r="G176" s="396"/>
      <c r="H176" s="409"/>
      <c r="I176" s="149">
        <f t="shared" si="21"/>
        <v>0</v>
      </c>
      <c r="J176" s="271">
        <f t="shared" si="21"/>
        <v>0</v>
      </c>
      <c r="L176" s="17">
        <f t="shared" si="16"/>
        <v>0</v>
      </c>
    </row>
    <row r="177" spans="1:12">
      <c r="A177" s="5" t="s">
        <v>173</v>
      </c>
      <c r="B177" s="92"/>
      <c r="C177" s="160">
        <f>IF(ISNA(VLOOKUP("TOURC675200000",Balance!C:G,5,FALSE))=TRUE,0,VLOOKUP("TOURC675200000",Balance!C:G,5,FALSE))</f>
        <v>0</v>
      </c>
      <c r="D177" s="117">
        <f>+[2]Tourcoing!$H177</f>
        <v>0</v>
      </c>
      <c r="E177" s="160">
        <f>IF(ISNA(VLOOKUP("TOURC675200000",Balanceanp!C:G,5,FALSE))=TRUE,0,VLOOKUP("TOURC675200000",Balanceanp!C:G,5,FALSE))</f>
        <v>0</v>
      </c>
      <c r="F177" s="368">
        <f t="shared" si="20"/>
        <v>0</v>
      </c>
      <c r="G177" s="396"/>
      <c r="H177" s="409"/>
      <c r="I177" s="149">
        <f t="shared" si="21"/>
        <v>0</v>
      </c>
      <c r="J177" s="271">
        <f t="shared" si="21"/>
        <v>0</v>
      </c>
      <c r="L177" s="17">
        <f t="shared" si="16"/>
        <v>0</v>
      </c>
    </row>
    <row r="178" spans="1:12">
      <c r="A178" s="5" t="s">
        <v>174</v>
      </c>
      <c r="B178" s="92"/>
      <c r="C178" s="160">
        <f>IF(ISNA(VLOOKUP("TOURC681110000",Balance!C:G,5,FALSE))=TRUE,0,VLOOKUP("TOURC681110000",Balance!C:G,5,FALSE))</f>
        <v>0</v>
      </c>
      <c r="D178" s="117">
        <f>+[2]Tourcoing!$H178</f>
        <v>0</v>
      </c>
      <c r="E178" s="160">
        <f>IF(ISNA(VLOOKUP("TOURC681110000",Balanceanp!C:G,5,FALSE))=TRUE,0,VLOOKUP("TOURC681110000",Balanceanp!C:G,5,FALSE))</f>
        <v>0</v>
      </c>
      <c r="F178" s="368">
        <f t="shared" si="20"/>
        <v>0</v>
      </c>
      <c r="G178" s="396"/>
      <c r="H178" s="409"/>
      <c r="I178" s="149">
        <f t="shared" si="21"/>
        <v>0</v>
      </c>
      <c r="J178" s="271">
        <f t="shared" si="21"/>
        <v>0</v>
      </c>
      <c r="L178" s="17">
        <f t="shared" si="16"/>
        <v>0</v>
      </c>
    </row>
    <row r="179" spans="1:12">
      <c r="A179" s="5" t="s">
        <v>175</v>
      </c>
      <c r="B179" s="92"/>
      <c r="C179" s="160">
        <f>IF(ISNA(VLOOKUP("TOURC681120000",Balance!C:G,5,FALSE))=TRUE,0,VLOOKUP("TOURC681120000",Balance!C:G,5,FALSE))</f>
        <v>6000.03</v>
      </c>
      <c r="D179" s="117">
        <f>+[2]Tourcoing!$H179</f>
        <v>8000</v>
      </c>
      <c r="E179" s="160">
        <f>IF(ISNA(VLOOKUP("TOURC681120000",Balanceanp!C:G,5,FALSE))=TRUE,0,VLOOKUP("TOURC681120000",Balanceanp!C:G,5,FALSE))</f>
        <v>9775.59</v>
      </c>
      <c r="F179" s="425">
        <v>3245.11</v>
      </c>
      <c r="G179" s="425"/>
      <c r="H179" s="413"/>
      <c r="I179" s="149">
        <f t="shared" si="21"/>
        <v>-0.66803947383226991</v>
      </c>
      <c r="J179" s="271">
        <f t="shared" si="21"/>
        <v>-1</v>
      </c>
      <c r="L179" s="17">
        <f t="shared" si="16"/>
        <v>1</v>
      </c>
    </row>
    <row r="180" spans="1:12">
      <c r="A180" s="5" t="s">
        <v>78</v>
      </c>
      <c r="B180" s="92"/>
      <c r="C180" s="160">
        <f>IF(ISNA(VLOOKUP("TOURC687250000",Balance!C:G,5,FALSE))=TRUE,0,+VLOOKUP("TOURC687250000",Balance!C:G,5,FALSE))</f>
        <v>0</v>
      </c>
      <c r="D180" s="117">
        <f>+[2]Tourcoing!$H180</f>
        <v>0</v>
      </c>
      <c r="E180" s="160">
        <f>IF(ISNA(VLOOKUP("TOURC687250000",Balanceanp!C:G,5,FALSE))=TRUE,0,+VLOOKUP("TOURC687250000",Balanceanp!C:G,5,FALSE))</f>
        <v>1321.53</v>
      </c>
      <c r="F180" s="425">
        <v>11531.04</v>
      </c>
      <c r="G180" s="396"/>
      <c r="H180" s="409"/>
      <c r="I180" s="149">
        <f t="shared" si="21"/>
        <v>7.7255226896097708</v>
      </c>
      <c r="J180" s="271">
        <f t="shared" si="21"/>
        <v>-1</v>
      </c>
      <c r="L180" s="17">
        <f t="shared" si="16"/>
        <v>1</v>
      </c>
    </row>
    <row r="181" spans="1:12">
      <c r="A181" s="5" t="s">
        <v>327</v>
      </c>
      <c r="B181" s="92"/>
      <c r="C181" s="160">
        <f>IF(ISNA(VLOOKUP("TOURC661880000",Balance!C:G,5,FALSE))=TRUE,0,+VLOOKUP("TOURC661880000",Balance!C:G,5,FALSE))</f>
        <v>0</v>
      </c>
      <c r="D181" s="117">
        <f>+[2]Tourcoing!$H181</f>
        <v>0</v>
      </c>
      <c r="E181" s="160">
        <f>IF(ISNA(VLOOKUP("TOURC661880000",Balanceanp!C:G,5,FALSE))=TRUE,0,+VLOOKUP("TOURC661880000",Balanceanp!C:G,5,FALSE))</f>
        <v>0</v>
      </c>
      <c r="F181" s="368">
        <f t="shared" si="20"/>
        <v>0</v>
      </c>
      <c r="G181" s="396"/>
      <c r="H181" s="409"/>
      <c r="I181" s="149">
        <f t="shared" si="21"/>
        <v>0</v>
      </c>
      <c r="J181" s="271">
        <f t="shared" si="21"/>
        <v>0</v>
      </c>
      <c r="L181" s="17">
        <f t="shared" si="16"/>
        <v>0</v>
      </c>
    </row>
    <row r="182" spans="1:12">
      <c r="A182" s="5" t="s">
        <v>82</v>
      </c>
      <c r="B182" s="92"/>
      <c r="C182" s="160"/>
      <c r="D182" s="117">
        <f>+[2]Tourcoing!$H182</f>
        <v>0</v>
      </c>
      <c r="E182" s="160"/>
      <c r="F182" s="368">
        <f t="shared" si="20"/>
        <v>0</v>
      </c>
      <c r="G182" s="396"/>
      <c r="H182" s="409"/>
      <c r="I182" s="149">
        <f t="shared" si="21"/>
        <v>0</v>
      </c>
      <c r="J182" s="271">
        <f t="shared" si="21"/>
        <v>0</v>
      </c>
      <c r="L182" s="17">
        <f t="shared" si="16"/>
        <v>0</v>
      </c>
    </row>
    <row r="183" spans="1:12">
      <c r="A183" s="5" t="s">
        <v>331</v>
      </c>
      <c r="B183" s="92"/>
      <c r="C183" s="160">
        <f>IF(ISNA(VLOOKUP("TOURC681500000",Balance!C:G,5,FALSE))=TRUE,0,VLOOKUP("TOURC681500000",Balance!C:G,5,FALSE))</f>
        <v>0</v>
      </c>
      <c r="D183" s="117">
        <f>+[2]Tourcoing!$H183</f>
        <v>0</v>
      </c>
      <c r="E183" s="160">
        <f>IF(ISNA(VLOOKUP("TOURC681500000",Balanceanp!C:G,5,FALSE))=TRUE,0,VLOOKUP("TOURC681500000",Balanceanp!C:G,5,FALSE))</f>
        <v>0</v>
      </c>
      <c r="F183" s="368">
        <f t="shared" si="20"/>
        <v>0</v>
      </c>
      <c r="G183" s="396"/>
      <c r="H183" s="409"/>
      <c r="I183" s="149">
        <f t="shared" si="21"/>
        <v>0</v>
      </c>
      <c r="J183" s="271">
        <f t="shared" si="21"/>
        <v>0</v>
      </c>
      <c r="L183" s="17">
        <f t="shared" si="16"/>
        <v>0</v>
      </c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6"/>
        <v>0</v>
      </c>
    </row>
    <row r="185" spans="1:12" s="33" customFormat="1" ht="15" customHeight="1">
      <c r="A185" s="13" t="s">
        <v>178</v>
      </c>
      <c r="B185" s="93"/>
      <c r="C185" s="163">
        <f>SUM(C169:C184)</f>
        <v>6090.65</v>
      </c>
      <c r="D185" s="118">
        <f>SUM(D169:D184)</f>
        <v>14510.771625000001</v>
      </c>
      <c r="E185" s="280">
        <f>SUM(E169:E184)</f>
        <v>16937.489999999998</v>
      </c>
      <c r="F185" s="136">
        <f>SUM(F169:F184)</f>
        <v>14866.77</v>
      </c>
      <c r="G185" s="136">
        <f>SUM(G169:G184)</f>
        <v>0</v>
      </c>
      <c r="H185" s="421"/>
      <c r="I185" s="272">
        <f>+IF((E185)=0,,(F185-E185)/E185)</f>
        <v>-0.12225660354633407</v>
      </c>
      <c r="J185" s="188">
        <f>+IF((F185)=0,,(G185-F185)/F185)</f>
        <v>-1</v>
      </c>
      <c r="K185" s="136">
        <f>(C185+(C185/3))</f>
        <v>8120.8666666666659</v>
      </c>
      <c r="L185" s="17">
        <f t="shared" si="16"/>
        <v>1</v>
      </c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6"/>
        <v>0</v>
      </c>
    </row>
    <row r="187" spans="1:12">
      <c r="A187" s="5" t="s">
        <v>179</v>
      </c>
      <c r="B187" s="92"/>
      <c r="C187" s="160">
        <f>IF(ISNA(VLOOKUP("TOURC740000000",Balance!C:G,5,FALSE))=TRUE,0,-VLOOKUP("TOURC740000000",Balance!C:G,5,FALSE))</f>
        <v>1745</v>
      </c>
      <c r="D187" s="117">
        <f>+[2]Tourcoing!$H187</f>
        <v>0</v>
      </c>
      <c r="E187" s="160">
        <f>IF(ISNA(VLOOKUP("TOURC740000000",Balanceanp!C:G,5,FALSE))=TRUE,0,-VLOOKUP("TOURC740000000",Balanceanp!C:G,5,FALSE))</f>
        <v>0</v>
      </c>
      <c r="F187" s="368">
        <f t="shared" ref="F187:F199" si="22">+C187</f>
        <v>1745</v>
      </c>
      <c r="G187" s="368"/>
      <c r="H187" s="410"/>
      <c r="I187" s="149">
        <f t="shared" ref="I187:J199" si="23">+IF((E187)=0,,(F187-E187)/E187)</f>
        <v>0</v>
      </c>
      <c r="J187" s="271">
        <f t="shared" si="23"/>
        <v>-1</v>
      </c>
      <c r="L187" s="17">
        <f t="shared" si="16"/>
        <v>1</v>
      </c>
    </row>
    <row r="188" spans="1:12">
      <c r="A188" s="5" t="s">
        <v>167</v>
      </c>
      <c r="B188" s="92"/>
      <c r="C188" s="160">
        <f>IF(ISNA(VLOOKUP("TOURC751100000",Balance!C:G,5,FALSE))=TRUE,0,-VLOOKUP("TOURC751100000",Balance!C:G,5,FALSE))</f>
        <v>0</v>
      </c>
      <c r="D188" s="117">
        <f>+[2]Tourcoing!$H188</f>
        <v>0</v>
      </c>
      <c r="E188" s="160">
        <f>IF(ISNA(VLOOKUP("TOURC751100000",Balanceanp!C:G,5,FALSE))=TRUE,0,-VLOOKUP("TOURC751100000",Balanceanp!C:G,5,FALSE))</f>
        <v>0</v>
      </c>
      <c r="F188" s="368">
        <f t="shared" si="22"/>
        <v>0</v>
      </c>
      <c r="G188" s="368"/>
      <c r="H188" s="410"/>
      <c r="I188" s="149">
        <f t="shared" si="23"/>
        <v>0</v>
      </c>
      <c r="J188" s="271">
        <f t="shared" si="23"/>
        <v>0</v>
      </c>
      <c r="L188" s="17">
        <f t="shared" si="16"/>
        <v>0</v>
      </c>
    </row>
    <row r="189" spans="1:12">
      <c r="A189" s="5" t="s">
        <v>180</v>
      </c>
      <c r="B189" s="92"/>
      <c r="C189" s="160">
        <f>IF(ISNA(VLOOKUP("TOURC758100000",Balance!C:G,5,FALSE))=TRUE,0,-VLOOKUP("TOURC758100000",Balance!C:G,5,FALSE))</f>
        <v>2491</v>
      </c>
      <c r="D189" s="117">
        <f>+[2]Tourcoing!$H189</f>
        <v>0</v>
      </c>
      <c r="E189" s="160">
        <f>IF(ISNA(VLOOKUP("TOURC758100000",Balanceanp!C:G,5,FALSE))=TRUE,0,-VLOOKUP("TOURC758100000",Balanceanp!C:G,5,FALSE))</f>
        <v>842.32</v>
      </c>
      <c r="F189" s="368">
        <f t="shared" si="22"/>
        <v>2491</v>
      </c>
      <c r="G189" s="368"/>
      <c r="H189" s="410"/>
      <c r="I189" s="149">
        <f t="shared" si="23"/>
        <v>1.9573083863614775</v>
      </c>
      <c r="J189" s="271">
        <f t="shared" si="23"/>
        <v>-1</v>
      </c>
      <c r="L189" s="17">
        <v>0</v>
      </c>
    </row>
    <row r="190" spans="1:12">
      <c r="A190" s="5" t="s">
        <v>181</v>
      </c>
      <c r="B190" s="92"/>
      <c r="C190" s="160">
        <f>IF(ISNA(VLOOKUP("TOURC763800000",Balance!C:G,5,FALSE))=TRUE,0,-VLOOKUP("TOURC763800000",Balance!C:G,5,FALSE))</f>
        <v>0</v>
      </c>
      <c r="D190" s="117">
        <f>+[2]Tourcoing!$H190</f>
        <v>0</v>
      </c>
      <c r="E190" s="160">
        <f>IF(ISNA(VLOOKUP("TOURC763800000",Balanceanp!C:G,5,FALSE))=TRUE,0,-VLOOKUP("TOURC763800000",Balanceanp!C:G,5,FALSE))</f>
        <v>0</v>
      </c>
      <c r="F190" s="368">
        <f t="shared" si="22"/>
        <v>0</v>
      </c>
      <c r="G190" s="368"/>
      <c r="H190" s="410"/>
      <c r="I190" s="149">
        <f t="shared" si="23"/>
        <v>0</v>
      </c>
      <c r="J190" s="271">
        <f t="shared" si="23"/>
        <v>0</v>
      </c>
      <c r="L190" s="17">
        <f t="shared" si="16"/>
        <v>0</v>
      </c>
    </row>
    <row r="191" spans="1:12">
      <c r="A191" s="5" t="s">
        <v>182</v>
      </c>
      <c r="B191" s="92"/>
      <c r="C191" s="160">
        <f>IF(ISNA(VLOOKUP("TOURC765000000",Balance!C:G,5,FALSE))=TRUE,0,-VLOOKUP("TOURC765000000",Balance!C:G,5,FALSE))</f>
        <v>0</v>
      </c>
      <c r="D191" s="117">
        <f>+[2]Tourcoing!$H191</f>
        <v>0</v>
      </c>
      <c r="E191" s="160">
        <f>IF(ISNA(VLOOKUP("TOURC765000000",Balanceanp!C:G,5,FALSE))=TRUE,0,-VLOOKUP("TOURC765000000",Balanceanp!C:G,5,FALSE))</f>
        <v>0</v>
      </c>
      <c r="F191" s="368">
        <f t="shared" si="22"/>
        <v>0</v>
      </c>
      <c r="G191" s="368"/>
      <c r="H191" s="410"/>
      <c r="I191" s="149">
        <f t="shared" si="23"/>
        <v>0</v>
      </c>
      <c r="J191" s="271">
        <f t="shared" si="23"/>
        <v>0</v>
      </c>
      <c r="L191" s="17">
        <f t="shared" si="16"/>
        <v>0</v>
      </c>
    </row>
    <row r="192" spans="1:12">
      <c r="A192" s="5" t="s">
        <v>183</v>
      </c>
      <c r="B192" s="92"/>
      <c r="C192" s="160">
        <f>IF(ISNA(VLOOKUP("TOURC771400000",Balance!C:G,5,FALSE))=TRUE,0,-VLOOKUP("TOURC771400000",Balance!C:G,5,FALSE))</f>
        <v>0</v>
      </c>
      <c r="D192" s="117">
        <f>+[2]Tourcoing!$H192</f>
        <v>0</v>
      </c>
      <c r="E192" s="160">
        <f>IF(ISNA(VLOOKUP("TOURC771400000",Balanceanp!C:G,5,FALSE))=TRUE,0,-VLOOKUP("TOURC771400000",Balanceanp!C:G,5,FALSE))</f>
        <v>0</v>
      </c>
      <c r="F192" s="368">
        <f t="shared" si="22"/>
        <v>0</v>
      </c>
      <c r="G192" s="368"/>
      <c r="H192" s="410"/>
      <c r="I192" s="149">
        <f t="shared" si="23"/>
        <v>0</v>
      </c>
      <c r="J192" s="271">
        <f t="shared" si="23"/>
        <v>0</v>
      </c>
      <c r="L192" s="17">
        <f t="shared" si="16"/>
        <v>0</v>
      </c>
    </row>
    <row r="193" spans="1:12">
      <c r="A193" s="5" t="s">
        <v>184</v>
      </c>
      <c r="B193" s="92"/>
      <c r="C193" s="160">
        <f>IF(ISNA(VLOOKUP("TOURC771800000",Balance!C:G,5,FALSE))=TRUE,0,-VLOOKUP("TOURC771800000",Balance!C:G,5,FALSE))</f>
        <v>200.56</v>
      </c>
      <c r="D193" s="117">
        <f>+[2]Tourcoing!$H193</f>
        <v>0</v>
      </c>
      <c r="E193" s="160">
        <f>IF(ISNA(VLOOKUP("TOURC771800000",Balanceanp!C:G,5,FALSE))=TRUE,0,-VLOOKUP("TOURC771800000",Balanceanp!C:G,5,FALSE))</f>
        <v>1234</v>
      </c>
      <c r="F193" s="368">
        <f t="shared" si="22"/>
        <v>200.56</v>
      </c>
      <c r="G193" s="368"/>
      <c r="H193" s="410"/>
      <c r="I193" s="149">
        <f t="shared" si="23"/>
        <v>-0.83747163695299842</v>
      </c>
      <c r="J193" s="271">
        <f t="shared" si="23"/>
        <v>-1</v>
      </c>
      <c r="L193" s="17">
        <v>0</v>
      </c>
    </row>
    <row r="194" spans="1:12">
      <c r="A194" s="5" t="s">
        <v>185</v>
      </c>
      <c r="B194" s="92"/>
      <c r="C194" s="160">
        <f>IF(ISNA(VLOOKUP("TOURC758000000",Balance!C:G,5,FALSE))=TRUE,0,-VLOOKUP("TOURC758000000",Balance!C:G,5,FALSE))</f>
        <v>0</v>
      </c>
      <c r="D194" s="117">
        <f>+[2]Tourcoing!$H194</f>
        <v>0</v>
      </c>
      <c r="E194" s="160">
        <f>IF(ISNA(VLOOKUP("TOURC758000000",Balanceanp!C:G,5,FALSE))=TRUE,0,-VLOOKUP("TOURC758000000",Balanceanp!C:G,5,FALSE))</f>
        <v>207.74</v>
      </c>
      <c r="F194" s="368">
        <f t="shared" si="22"/>
        <v>0</v>
      </c>
      <c r="G194" s="368"/>
      <c r="H194" s="410"/>
      <c r="I194" s="149">
        <f t="shared" si="23"/>
        <v>-1</v>
      </c>
      <c r="J194" s="271">
        <f t="shared" si="23"/>
        <v>0</v>
      </c>
      <c r="L194" s="17">
        <v>0</v>
      </c>
    </row>
    <row r="195" spans="1:12">
      <c r="A195" s="5" t="s">
        <v>186</v>
      </c>
      <c r="B195" s="92"/>
      <c r="C195" s="160">
        <f>IF(ISNA(VLOOKUP("TOURC775100000",Balance!C:G,5,FALSE))=TRUE,0,-VLOOKUP("TOURC775100000",Balance!C:G,5,FALSE))</f>
        <v>0</v>
      </c>
      <c r="D195" s="117">
        <f>+[2]Tourcoing!$H195</f>
        <v>0</v>
      </c>
      <c r="E195" s="160">
        <f>IF(ISNA(VLOOKUP("TOURC775100000",Balanceanp!C:G,5,FALSE))=TRUE,0,-VLOOKUP("TOURC775100000",Balanceanp!C:G,5,FALSE))</f>
        <v>0</v>
      </c>
      <c r="F195" s="368">
        <f t="shared" si="22"/>
        <v>0</v>
      </c>
      <c r="G195" s="368"/>
      <c r="H195" s="410"/>
      <c r="I195" s="149">
        <f t="shared" si="23"/>
        <v>0</v>
      </c>
      <c r="J195" s="271">
        <f t="shared" si="23"/>
        <v>0</v>
      </c>
      <c r="L195" s="17">
        <f t="shared" si="16"/>
        <v>0</v>
      </c>
    </row>
    <row r="196" spans="1:12">
      <c r="A196" s="5" t="s">
        <v>187</v>
      </c>
      <c r="B196" s="92"/>
      <c r="C196" s="160">
        <f>IF(ISNA(VLOOKUP("TOURC775200000",Balance!C:G,5,FALSE))=TRUE,0,-VLOOKUP("TOURC775200000",Balance!C:G,5,FALSE))</f>
        <v>0</v>
      </c>
      <c r="D196" s="117">
        <f>+[2]Tourcoing!$H196</f>
        <v>0</v>
      </c>
      <c r="E196" s="160">
        <f>IF(ISNA(VLOOKUP("TOURC775200000",Balanceanp!C:G,5,FALSE))=TRUE,0,-VLOOKUP("TOURC775200000",Balanceanp!C:G,5,FALSE))</f>
        <v>0</v>
      </c>
      <c r="F196" s="368">
        <f t="shared" si="22"/>
        <v>0</v>
      </c>
      <c r="G196" s="368"/>
      <c r="H196" s="410"/>
      <c r="I196" s="149">
        <f t="shared" si="23"/>
        <v>0</v>
      </c>
      <c r="J196" s="271">
        <f t="shared" si="23"/>
        <v>0</v>
      </c>
      <c r="L196" s="17">
        <f t="shared" si="16"/>
        <v>0</v>
      </c>
    </row>
    <row r="197" spans="1:12">
      <c r="A197" s="5" t="s">
        <v>328</v>
      </c>
      <c r="B197" s="92"/>
      <c r="C197" s="160">
        <f>IF(ISNA(VLOOKUP("TOURC791000000",Balance!C:G,5,FALSE))=TRUE,0,-VLOOKUP("TOURC791000000",Balance!C:G,5,FALSE))</f>
        <v>0</v>
      </c>
      <c r="D197" s="117">
        <f>+[2]Tourcoing!$H197</f>
        <v>0</v>
      </c>
      <c r="E197" s="160">
        <f>IF(ISNA(VLOOKUP("TOURC791000000",Balanceanp!C:G,5,FALSE))=TRUE,0,-VLOOKUP("TOURC791000000",Balanceanp!C:G,5,FALSE))</f>
        <v>0</v>
      </c>
      <c r="F197" s="368">
        <f t="shared" si="22"/>
        <v>0</v>
      </c>
      <c r="G197" s="368"/>
      <c r="H197" s="410"/>
      <c r="I197" s="149">
        <f t="shared" si="23"/>
        <v>0</v>
      </c>
      <c r="J197" s="271">
        <f t="shared" si="23"/>
        <v>0</v>
      </c>
      <c r="L197" s="17">
        <f t="shared" si="16"/>
        <v>0</v>
      </c>
    </row>
    <row r="198" spans="1:12">
      <c r="A198" s="5" t="s">
        <v>344</v>
      </c>
      <c r="B198" s="92"/>
      <c r="C198" s="160">
        <f>IF(ISNA(VLOOKUP("TOURC781500000",Balance!C:G,5,FALSE))=TRUE,0,-VLOOKUP("TOURC781500000",Balance!C:G,5,FALSE))</f>
        <v>0</v>
      </c>
      <c r="D198" s="117">
        <f>+[2]Tourcoing!$H198</f>
        <v>0</v>
      </c>
      <c r="E198" s="160">
        <f>IF(ISNA(VLOOKUP("TOURC781500000",Balanceanp!C:G,5,FALSE))=TRUE,0,-VLOOKUP("TOURC781500000",Balanceanp!C:G,5,FALSE))</f>
        <v>0</v>
      </c>
      <c r="F198" s="368">
        <f t="shared" si="22"/>
        <v>0</v>
      </c>
      <c r="G198" s="368"/>
      <c r="H198" s="410"/>
      <c r="I198" s="149">
        <f t="shared" si="23"/>
        <v>0</v>
      </c>
      <c r="J198" s="271">
        <f t="shared" si="23"/>
        <v>0</v>
      </c>
      <c r="L198" s="17">
        <v>0</v>
      </c>
    </row>
    <row r="199" spans="1:12">
      <c r="A199" s="5" t="s">
        <v>77</v>
      </c>
      <c r="B199" s="92"/>
      <c r="C199" s="160">
        <f>IF(ISNA(VLOOKUP("TOURC787250000",Balance!C:G,5,FALSE))=TRUE,0,-VLOOKUP("TOURC787250000",Balance!C:G,5,FALSE))</f>
        <v>0</v>
      </c>
      <c r="D199" s="117">
        <f>+[2]Tourcoing!$H199</f>
        <v>0</v>
      </c>
      <c r="E199" s="160">
        <f>IF(ISNA(VLOOKUP("TOURC787250000",Balanceanp!C:G,5,FALSE))=TRUE,0,-VLOOKUP("TOURC787250000",Balanceanp!C:G,5,FALSE))</f>
        <v>3479.14</v>
      </c>
      <c r="F199" s="368">
        <f t="shared" si="22"/>
        <v>0</v>
      </c>
      <c r="G199" s="368"/>
      <c r="H199" s="410"/>
      <c r="I199" s="149">
        <f t="shared" si="23"/>
        <v>-1</v>
      </c>
      <c r="J199" s="271">
        <f t="shared" si="23"/>
        <v>0</v>
      </c>
      <c r="L199" s="17">
        <v>0</v>
      </c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4">IF(SUM(C200:J200)&lt;&gt;0,1,0)</f>
        <v>0</v>
      </c>
    </row>
    <row r="201" spans="1:12" s="33" customFormat="1" ht="15" customHeight="1">
      <c r="A201" s="13" t="s">
        <v>188</v>
      </c>
      <c r="B201" s="93"/>
      <c r="C201" s="163">
        <f>SUM(C186:C200)</f>
        <v>4436.5600000000004</v>
      </c>
      <c r="D201" s="118">
        <f>SUM(D186:D200)</f>
        <v>0</v>
      </c>
      <c r="E201" s="163">
        <f>SUM(E186:E200)</f>
        <v>5763.2000000000007</v>
      </c>
      <c r="F201" s="136">
        <f>SUM(F186:F200)</f>
        <v>4436.5600000000004</v>
      </c>
      <c r="G201" s="136">
        <f>SUM(G186:G200)</f>
        <v>0</v>
      </c>
      <c r="H201" s="421"/>
      <c r="I201" s="272">
        <f>+IF((E201)=0,,(F201-E201)/E201)</f>
        <v>-0.23019156024430876</v>
      </c>
      <c r="J201" s="188">
        <f>+IF((F201)=0,,(G201-F201)/F201)</f>
        <v>-1</v>
      </c>
      <c r="K201" s="136">
        <f>(C201+(C201/3))</f>
        <v>5915.4133333333339</v>
      </c>
      <c r="L201" s="17">
        <f t="shared" si="24"/>
        <v>1</v>
      </c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4"/>
        <v>0</v>
      </c>
    </row>
    <row r="203" spans="1:12" s="33" customFormat="1" ht="15" customHeight="1">
      <c r="A203" s="14" t="s">
        <v>189</v>
      </c>
      <c r="B203" s="99">
        <f>+C203/$C$21</f>
        <v>0.54535847046659713</v>
      </c>
      <c r="C203" s="175">
        <f>+C103+C116+C129+C154+C168+C185-C201</f>
        <v>105255.62999999999</v>
      </c>
      <c r="D203" s="126">
        <f>+D103+D116+D129+D154+D168+D185-D201</f>
        <v>166535.81013787238</v>
      </c>
      <c r="E203" s="175">
        <f>+E103+E116+E129+E154+E168+E185-E201</f>
        <v>246629.77271999995</v>
      </c>
      <c r="F203" s="145">
        <f>+F103+F116+F129+F154+F168+F185-F201</f>
        <v>114031.75</v>
      </c>
      <c r="G203" s="145">
        <f>+G103+G116+G129+G154+G168+G185-G201</f>
        <v>0</v>
      </c>
      <c r="H203" s="422" t="e">
        <f>+G203/$G$21</f>
        <v>#DIV/0!</v>
      </c>
      <c r="I203" s="281">
        <f>+IF((E203)=0,,(F203-E203)/E203)</f>
        <v>-0.53763996640640455</v>
      </c>
      <c r="J203" s="282">
        <f>+IF((F203)=0,,(G203-F203)/F203)</f>
        <v>-1</v>
      </c>
      <c r="K203" s="145">
        <f>+K103+K116+K129+K154+K168+K185-K201</f>
        <v>140340.84</v>
      </c>
      <c r="L203" s="17" t="e">
        <f t="shared" si="24"/>
        <v>#DIV/0!</v>
      </c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4"/>
        <v>0</v>
      </c>
    </row>
    <row r="205" spans="1:12" s="33" customFormat="1" ht="15" customHeight="1">
      <c r="A205" s="12" t="s">
        <v>228</v>
      </c>
      <c r="B205" s="100">
        <f>+C205/$C$21</f>
        <v>-0.18413080452522271</v>
      </c>
      <c r="C205" s="177">
        <f>+C62-C203</f>
        <v>-35537.73321999998</v>
      </c>
      <c r="D205" s="127">
        <f>+D62-D203</f>
        <v>13498.18986212762</v>
      </c>
      <c r="E205" s="177">
        <f>+E53-E203</f>
        <v>-80567.386419999937</v>
      </c>
      <c r="F205" s="146">
        <f>+F62-F203</f>
        <v>-57412.429999999971</v>
      </c>
      <c r="G205" s="146">
        <f>+G62-G203</f>
        <v>0</v>
      </c>
      <c r="H205" s="406" t="e">
        <f>+G205/$G$21</f>
        <v>#DIV/0!</v>
      </c>
      <c r="I205" s="226">
        <f>+IF((E205)=0,,(F205-E205)/E205)</f>
        <v>-0.28739862925790544</v>
      </c>
      <c r="J205" s="283">
        <f>+IF((F205)=0,,(G205-F205)/F205)</f>
        <v>-1</v>
      </c>
      <c r="L205" s="17" t="e">
        <f t="shared" si="24"/>
        <v>#DIV/0!</v>
      </c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4"/>
        <v>0</v>
      </c>
    </row>
    <row r="207" spans="1:12" ht="15" customHeight="1">
      <c r="A207" s="63" t="s">
        <v>251</v>
      </c>
      <c r="B207" s="101">
        <f>+C207/$C$21</f>
        <v>2.3625184772062759E-3</v>
      </c>
      <c r="C207" s="179">
        <f>+[2]Tourcoing!$C207</f>
        <v>455.97232677477592</v>
      </c>
      <c r="D207" s="128">
        <f>+[2]Tourcoing!$H207</f>
        <v>2905.5027100099014</v>
      </c>
      <c r="E207" s="284">
        <f>+[1]Tourcoing!$G$207</f>
        <v>1069.7796955305669</v>
      </c>
      <c r="F207" s="150">
        <f>+Repart!K37</f>
        <v>455.97232677477592</v>
      </c>
      <c r="G207" s="150">
        <f>+Repart!Q37</f>
        <v>0</v>
      </c>
      <c r="H207" s="423" t="e">
        <f>+G207/$G$21</f>
        <v>#DIV/0!</v>
      </c>
      <c r="I207" s="281">
        <f>+IF((E207)=0,,(F207-E207)/E207)</f>
        <v>-0.57376988114489103</v>
      </c>
      <c r="J207" s="282">
        <f>+IF((F207)=0,,(G207-F207)/F207)</f>
        <v>-1</v>
      </c>
      <c r="L207" s="17" t="e">
        <f t="shared" si="24"/>
        <v>#DIV/0!</v>
      </c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4"/>
        <v>0</v>
      </c>
    </row>
    <row r="209" spans="1:12" s="33" customFormat="1" ht="15" customHeight="1">
      <c r="A209" s="12" t="s">
        <v>190</v>
      </c>
      <c r="B209" s="100">
        <f>+C209/$C$21</f>
        <v>-0.18649332300242899</v>
      </c>
      <c r="C209" s="177">
        <f>+C205-C207</f>
        <v>-35993.705546774756</v>
      </c>
      <c r="D209" s="127">
        <f>+D205-D207</f>
        <v>10592.687152117718</v>
      </c>
      <c r="E209" s="177">
        <f>+E205-E207</f>
        <v>-81637.166115530505</v>
      </c>
      <c r="F209" s="146">
        <f>+F205-F207</f>
        <v>-57868.402326774747</v>
      </c>
      <c r="G209" s="146">
        <f>+G205-G207</f>
        <v>0</v>
      </c>
      <c r="H209" s="406" t="e">
        <f>+G209/$G$21</f>
        <v>#DIV/0!</v>
      </c>
      <c r="I209" s="226">
        <f>+IF((E209)=0,,(F209-E209)/E209)</f>
        <v>-0.29115126013951664</v>
      </c>
      <c r="J209" s="283">
        <f>+IF((F209)=0,,(G209-F209)/F209)</f>
        <v>-1</v>
      </c>
      <c r="L209" s="17" t="e">
        <f t="shared" si="24"/>
        <v>#DIV/0!</v>
      </c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4"/>
        <v>0</v>
      </c>
    </row>
    <row r="211" spans="1:12">
      <c r="A211" s="5" t="s">
        <v>191</v>
      </c>
      <c r="B211" s="92">
        <f>+C211/$C$21</f>
        <v>2.3023407637260448E-2</v>
      </c>
      <c r="C211" s="160">
        <f>+[2]Tourcoing!$C211</f>
        <v>4443.5786860215057</v>
      </c>
      <c r="D211" s="117">
        <f>+[2]Tourcoing!$H211</f>
        <v>9026.0372215405096</v>
      </c>
      <c r="E211" s="160">
        <f>+[1]Tourcoing!$G211</f>
        <v>8095.0860719999991</v>
      </c>
      <c r="F211" s="368">
        <f>+Repart!I37</f>
        <v>4443.5786860215057</v>
      </c>
      <c r="G211" s="368">
        <f>+Repart!O37</f>
        <v>0</v>
      </c>
      <c r="H211" s="410"/>
      <c r="I211" s="149">
        <f t="shared" ref="I211:J213" si="25">+IF((E211)=0,,(F211-E211)/E211)</f>
        <v>-0.45107703037385244</v>
      </c>
      <c r="J211" s="271">
        <f t="shared" si="25"/>
        <v>-1</v>
      </c>
      <c r="L211" s="17">
        <f t="shared" si="24"/>
        <v>1</v>
      </c>
    </row>
    <row r="212" spans="1:12">
      <c r="A212" s="5" t="s">
        <v>192</v>
      </c>
      <c r="B212" s="92">
        <f>+C212/$C$21</f>
        <v>4.089596731595338E-2</v>
      </c>
      <c r="C212" s="160">
        <f>+[2]Tourcoing!$C212</f>
        <v>7893.030066292391</v>
      </c>
      <c r="D212" s="117">
        <f>+[2]Tourcoing!$H212</f>
        <v>18403.632005499076</v>
      </c>
      <c r="E212" s="160">
        <f>+[1]Tourcoing!$G212</f>
        <v>16418.433248808968</v>
      </c>
      <c r="F212" s="368">
        <f>+Repart!J37</f>
        <v>7893.030066292391</v>
      </c>
      <c r="G212" s="368">
        <f>+Repart!P37</f>
        <v>0</v>
      </c>
      <c r="H212" s="410"/>
      <c r="I212" s="149">
        <f t="shared" si="25"/>
        <v>-0.51925802257258802</v>
      </c>
      <c r="J212" s="271">
        <f t="shared" si="25"/>
        <v>-1</v>
      </c>
      <c r="L212" s="17">
        <f t="shared" si="24"/>
        <v>1</v>
      </c>
    </row>
    <row r="213" spans="1:12">
      <c r="A213" s="5" t="s">
        <v>193</v>
      </c>
      <c r="B213" s="92"/>
      <c r="C213" s="160">
        <f>+[2]Tourcoing!$C213</f>
        <v>-5705.2</v>
      </c>
      <c r="D213" s="117">
        <f>+[2]Tourcoing!$H213</f>
        <v>-4578.6000000000004</v>
      </c>
      <c r="E213" s="160">
        <f>+[1]Tourcoing!$G213</f>
        <v>-5516.57</v>
      </c>
      <c r="F213" s="368">
        <f>+C213</f>
        <v>-5705.2</v>
      </c>
      <c r="G213" s="368">
        <f>+G253*-4%</f>
        <v>0</v>
      </c>
      <c r="H213" s="410"/>
      <c r="I213" s="149">
        <f t="shared" si="25"/>
        <v>3.4193348403083822E-2</v>
      </c>
      <c r="J213" s="271">
        <f t="shared" si="25"/>
        <v>-1</v>
      </c>
      <c r="L213" s="17">
        <f t="shared" si="24"/>
        <v>1</v>
      </c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4"/>
        <v>0</v>
      </c>
    </row>
    <row r="215" spans="1:12" s="33" customFormat="1" ht="15" customHeight="1">
      <c r="A215" s="20" t="s">
        <v>194</v>
      </c>
      <c r="B215" s="103">
        <f>+C215/$C$21</f>
        <v>3.4359159070167664E-2</v>
      </c>
      <c r="C215" s="180">
        <f>SUM(C210:C213)</f>
        <v>6631.408752313896</v>
      </c>
      <c r="D215" s="129">
        <f>SUM(D210:D213)</f>
        <v>22851.069227039588</v>
      </c>
      <c r="E215" s="180">
        <f>SUM(E210:E213)</f>
        <v>18996.949320808966</v>
      </c>
      <c r="F215" s="148">
        <f>SUM(F210:F213)</f>
        <v>6631.408752313896</v>
      </c>
      <c r="G215" s="148">
        <f>SUM(G210:G213)</f>
        <v>0</v>
      </c>
      <c r="H215" s="424" t="e">
        <f>+G215/$G$21</f>
        <v>#DIV/0!</v>
      </c>
      <c r="I215" s="281">
        <f>+IF((E215)=0,,(F215-E215)/E215)</f>
        <v>-0.65092243810694639</v>
      </c>
      <c r="J215" s="282">
        <f>+IF((F215)=0,,(G215-F215)/F215)</f>
        <v>-1</v>
      </c>
      <c r="L215" s="17" t="e">
        <f t="shared" si="24"/>
        <v>#DIV/0!</v>
      </c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4"/>
        <v>0</v>
      </c>
    </row>
    <row r="217" spans="1:12" s="33" customFormat="1" ht="20.100000000000001" customHeight="1">
      <c r="A217" s="12" t="s">
        <v>86</v>
      </c>
      <c r="B217" s="100">
        <f>+C217/$C$21</f>
        <v>-0.22085248207259664</v>
      </c>
      <c r="C217" s="177">
        <f>+C209-C215</f>
        <v>-42625.114299088651</v>
      </c>
      <c r="D217" s="127">
        <f>+D209-D215</f>
        <v>-12258.38207492187</v>
      </c>
      <c r="E217" s="177">
        <f>+E209-E215</f>
        <v>-100634.11543633947</v>
      </c>
      <c r="F217" s="146">
        <f>+F209-F215</f>
        <v>-64499.811079088642</v>
      </c>
      <c r="G217" s="146">
        <f>+G209-G215</f>
        <v>0</v>
      </c>
      <c r="H217" s="406" t="e">
        <f>+G217/$G$21</f>
        <v>#DIV/0!</v>
      </c>
      <c r="I217" s="226">
        <f>+IF((E217)=0,,(F217-E217)/E217)</f>
        <v>-0.35906614969065009</v>
      </c>
      <c r="J217" s="283">
        <f>+IF((F217)=0,,(G217-F217)/F217)</f>
        <v>-1</v>
      </c>
      <c r="L217" s="17" t="e">
        <f t="shared" si="24"/>
        <v>#DIV/0!</v>
      </c>
    </row>
    <row r="218" spans="1:12">
      <c r="A218" s="2" t="s">
        <v>43</v>
      </c>
      <c r="C218" s="17">
        <f>+C225-C226-C215-C207-C53+C62-C38+C213</f>
        <v>-42625.1142990886</v>
      </c>
      <c r="D218" s="117">
        <f>+[2]Tourcoing!$H$217</f>
        <v>-12258.38207492187</v>
      </c>
      <c r="E218" s="17">
        <f>+[1]Tourcoing!$G$217</f>
        <v>-100634.11543633947</v>
      </c>
      <c r="F218" s="87"/>
      <c r="G218" s="398"/>
      <c r="H218" s="414"/>
      <c r="L218" s="17">
        <v>0</v>
      </c>
    </row>
    <row r="219" spans="1:12">
      <c r="A219" s="2" t="s">
        <v>346</v>
      </c>
      <c r="B219" s="58">
        <f>+Clients!K13</f>
        <v>270</v>
      </c>
      <c r="C219" s="17">
        <f>+B219/C44*C57</f>
        <v>-0.49431704912385865</v>
      </c>
      <c r="L219" s="17">
        <v>0</v>
      </c>
    </row>
    <row r="220" spans="1:12">
      <c r="A220" s="2" t="s">
        <v>354</v>
      </c>
      <c r="B220" s="58">
        <f>+Clients!K13</f>
        <v>270</v>
      </c>
      <c r="C220" s="17">
        <f>+B220/(C21*1.196)*Clients!K36</f>
        <v>158.60751082778162</v>
      </c>
      <c r="L220" s="17">
        <v>0</v>
      </c>
    </row>
    <row r="221" spans="1:12">
      <c r="L221" s="17">
        <f t="shared" si="24"/>
        <v>0</v>
      </c>
    </row>
    <row r="222" spans="1:12">
      <c r="A222" s="264" t="s">
        <v>67</v>
      </c>
      <c r="B222" s="265"/>
      <c r="C222" s="265">
        <f>+(C215+C207+C203)/C60/Clients!$I$13*12</f>
        <v>406818.79804124089</v>
      </c>
      <c r="D222" s="265">
        <f>+(D215+D207+D203)/D60</f>
        <v>515250.53202434321</v>
      </c>
      <c r="E222" s="265">
        <f>+(E215+E207+E203)/E60/Clients!$I$13*12</f>
        <v>971350.48351280554</v>
      </c>
      <c r="F222" s="265">
        <f>+(F215+F207+F203)/F60</f>
        <v>405049.95679301984</v>
      </c>
      <c r="G222" s="265" t="e">
        <f>+(G215+G207+G203)/G60</f>
        <v>#DIV/0!</v>
      </c>
      <c r="H222" s="265"/>
      <c r="I222" s="265"/>
      <c r="J222" s="265"/>
      <c r="L222" s="17" t="e">
        <f t="shared" si="24"/>
        <v>#DIV/0!</v>
      </c>
    </row>
    <row r="223" spans="1:12">
      <c r="A223" s="264" t="s">
        <v>66</v>
      </c>
      <c r="B223" s="265"/>
      <c r="C223" s="265">
        <f>+(C215+C207+C203)/C60/Clients!$I$13</f>
        <v>33901.566503436741</v>
      </c>
      <c r="D223" s="265">
        <f>+(D215+D207+D203)/D60/12</f>
        <v>42937.544335361934</v>
      </c>
      <c r="E223" s="265">
        <f>+(E215+E207+E203)/E60/Clients!$I$13</f>
        <v>80945.873626067128</v>
      </c>
      <c r="F223" s="265">
        <f>+(F215+F207+F203)/F60/9</f>
        <v>45005.550754779979</v>
      </c>
      <c r="G223" s="265" t="e">
        <f>+(G215+G207+G203)/G60/12</f>
        <v>#DIV/0!</v>
      </c>
      <c r="H223" s="265"/>
      <c r="I223" s="265"/>
      <c r="J223" s="265"/>
      <c r="L223" s="17" t="e">
        <f t="shared" si="24"/>
        <v>#DIV/0!</v>
      </c>
    </row>
    <row r="224" spans="1:12">
      <c r="B224" s="17"/>
      <c r="D224" s="17"/>
      <c r="E224" s="17"/>
      <c r="F224" s="17"/>
      <c r="G224" s="17"/>
      <c r="H224" s="17"/>
      <c r="I224" s="17"/>
      <c r="J224" s="17"/>
      <c r="L224" s="17">
        <f t="shared" si="24"/>
        <v>0</v>
      </c>
    </row>
    <row r="225" spans="1:12">
      <c r="A225" s="2" t="s">
        <v>215</v>
      </c>
      <c r="C225" s="17">
        <f>+C51-C40-C157-C166+C201-C164-C159-C137</f>
        <v>207228.11000000002</v>
      </c>
      <c r="D225" s="17"/>
      <c r="L225" s="17">
        <v>0</v>
      </c>
    </row>
    <row r="226" spans="1:12">
      <c r="A226" s="2" t="s">
        <v>216</v>
      </c>
      <c r="C226" s="17">
        <f>+C44-C38-C40+C103+C116+C129+C154+C156+C158+C160+C161+C162+C163+C165+C185+C213</f>
        <v>143761.20999999993</v>
      </c>
      <c r="D226" s="17"/>
      <c r="L226" s="17">
        <v>0</v>
      </c>
    </row>
    <row r="227" spans="1:12" ht="10.5" customHeight="1">
      <c r="L227" s="17">
        <f t="shared" si="24"/>
        <v>0</v>
      </c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4"/>
        <v>0</v>
      </c>
    </row>
    <row r="229" spans="1:12" ht="20.25" customHeight="1">
      <c r="A229" s="7" t="str">
        <f>+A4</f>
        <v>TOURCOING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4"/>
        <v>0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4"/>
        <v>0</v>
      </c>
    </row>
    <row r="231" spans="1:12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L231" s="17">
        <f t="shared" si="24"/>
        <v>1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4"/>
        <v>0</v>
      </c>
    </row>
    <row r="233" spans="1:12" s="33" customFormat="1" ht="15" customHeight="1">
      <c r="A233" s="245" t="s">
        <v>223</v>
      </c>
      <c r="B233" s="363"/>
      <c r="C233" s="175">
        <f t="shared" ref="C233:J233" si="26">+C51</f>
        <v>189347.90000000002</v>
      </c>
      <c r="D233" s="176">
        <f t="shared" si="26"/>
        <v>482404</v>
      </c>
      <c r="E233" s="175">
        <f t="shared" si="26"/>
        <v>453618.94</v>
      </c>
      <c r="F233" s="206">
        <f t="shared" si="26"/>
        <v>189347.90000000002</v>
      </c>
      <c r="G233" s="206">
        <f t="shared" si="26"/>
        <v>0</v>
      </c>
      <c r="H233" s="313"/>
      <c r="I233" s="281">
        <f>+I51</f>
        <v>-0.58258378717608217</v>
      </c>
      <c r="J233" s="192">
        <f t="shared" si="26"/>
        <v>-1</v>
      </c>
      <c r="K233" s="58"/>
      <c r="L233" s="17">
        <f t="shared" si="24"/>
        <v>1</v>
      </c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4"/>
        <v>0</v>
      </c>
    </row>
    <row r="235" spans="1:12" s="33" customFormat="1" ht="15" customHeight="1">
      <c r="A235" s="246" t="s">
        <v>295</v>
      </c>
      <c r="B235" s="364"/>
      <c r="C235" s="197">
        <f>+C60</f>
        <v>0.36820000000000003</v>
      </c>
      <c r="D235" s="191">
        <f>+D60</f>
        <v>0.37320171474531721</v>
      </c>
      <c r="E235" s="197">
        <f>+E60</f>
        <v>0.36608344946972454</v>
      </c>
      <c r="F235" s="224">
        <f>+F60</f>
        <v>0.29902269842971602</v>
      </c>
      <c r="G235" s="224" t="e">
        <f>+G60</f>
        <v>#DIV/0!</v>
      </c>
      <c r="H235" s="15"/>
      <c r="I235" s="224"/>
      <c r="J235" s="191"/>
      <c r="L235" s="17" t="e">
        <f t="shared" si="24"/>
        <v>#DIV/0!</v>
      </c>
    </row>
    <row r="236" spans="1:12" s="33" customFormat="1" ht="15" customHeight="1">
      <c r="A236" s="246" t="s">
        <v>296</v>
      </c>
      <c r="B236" s="364"/>
      <c r="C236" s="169">
        <f>+C62</f>
        <v>69717.89678000001</v>
      </c>
      <c r="D236" s="170">
        <f>+D62</f>
        <v>180034</v>
      </c>
      <c r="E236" s="169">
        <f>+E62</f>
        <v>166062.38630000001</v>
      </c>
      <c r="F236" s="223">
        <f>+F62</f>
        <v>56619.320000000029</v>
      </c>
      <c r="G236" s="223">
        <f>+G62</f>
        <v>0</v>
      </c>
      <c r="H236" s="309"/>
      <c r="I236" s="226">
        <f>+IF((E236)=0,,(F236-E236)/E236)</f>
        <v>-0.65904789602556713</v>
      </c>
      <c r="J236" s="283">
        <f>+IF((F236)=0,,(G236-F236)/F236)</f>
        <v>-1</v>
      </c>
      <c r="L236" s="17">
        <f t="shared" si="24"/>
        <v>1</v>
      </c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4"/>
        <v>0</v>
      </c>
    </row>
    <row r="238" spans="1:12" s="298" customFormat="1" ht="15" customHeight="1">
      <c r="A238" s="292" t="s">
        <v>122</v>
      </c>
      <c r="B238" s="365"/>
      <c r="C238" s="293">
        <f>+C103</f>
        <v>48073.219999999994</v>
      </c>
      <c r="D238" s="294">
        <f>+D103</f>
        <v>55023.293495244106</v>
      </c>
      <c r="E238" s="293">
        <f>+E103</f>
        <v>81462.91</v>
      </c>
      <c r="F238" s="295">
        <f>+F103</f>
        <v>48073.219999999994</v>
      </c>
      <c r="G238" s="295">
        <f>+G103</f>
        <v>0</v>
      </c>
      <c r="H238" s="388"/>
      <c r="I238" s="415">
        <f t="shared" ref="I238:J243" si="27">+IF((E238)=0,,(F238-E238)/E238)</f>
        <v>-0.40987597914191881</v>
      </c>
      <c r="J238" s="297">
        <f t="shared" si="27"/>
        <v>-1</v>
      </c>
      <c r="L238" s="17">
        <f t="shared" si="24"/>
        <v>1</v>
      </c>
    </row>
    <row r="239" spans="1:12" s="298" customFormat="1" ht="15" customHeight="1">
      <c r="A239" s="292" t="s">
        <v>133</v>
      </c>
      <c r="B239" s="365"/>
      <c r="C239" s="293">
        <f>+C116</f>
        <v>8189.04</v>
      </c>
      <c r="D239" s="294">
        <f>+D116</f>
        <v>12449.219000000001</v>
      </c>
      <c r="E239" s="293">
        <f>+E116</f>
        <v>14030.76</v>
      </c>
      <c r="F239" s="295">
        <f>+F116</f>
        <v>8189.04</v>
      </c>
      <c r="G239" s="295">
        <f>+G116</f>
        <v>0</v>
      </c>
      <c r="H239" s="388"/>
      <c r="I239" s="415">
        <f t="shared" si="27"/>
        <v>-0.41635093180982358</v>
      </c>
      <c r="J239" s="297">
        <f t="shared" si="27"/>
        <v>-1</v>
      </c>
      <c r="L239" s="17">
        <f t="shared" si="24"/>
        <v>1</v>
      </c>
    </row>
    <row r="240" spans="1:12" s="298" customFormat="1" ht="15" customHeight="1">
      <c r="A240" s="292" t="s">
        <v>147</v>
      </c>
      <c r="B240" s="365"/>
      <c r="C240" s="293">
        <f>+C129</f>
        <v>9667.36</v>
      </c>
      <c r="D240" s="294">
        <f>+D129</f>
        <v>13322.9239</v>
      </c>
      <c r="E240" s="293">
        <f>+E129</f>
        <v>18136.34</v>
      </c>
      <c r="F240" s="295">
        <f>+F129</f>
        <v>9667.36</v>
      </c>
      <c r="G240" s="295">
        <f>+G129</f>
        <v>0</v>
      </c>
      <c r="H240" s="388"/>
      <c r="I240" s="415">
        <f t="shared" si="27"/>
        <v>-0.46696191183006053</v>
      </c>
      <c r="J240" s="297">
        <f t="shared" si="27"/>
        <v>-1</v>
      </c>
      <c r="L240" s="17">
        <f t="shared" si="24"/>
        <v>1</v>
      </c>
    </row>
    <row r="241" spans="1:12" s="298" customFormat="1" ht="15" customHeight="1">
      <c r="A241" s="292" t="s">
        <v>164</v>
      </c>
      <c r="B241" s="365"/>
      <c r="C241" s="293">
        <f>+C154</f>
        <v>35571.590000000004</v>
      </c>
      <c r="D241" s="294">
        <f>+D154</f>
        <v>63856.949721532241</v>
      </c>
      <c r="E241" s="293">
        <f>+E154</f>
        <v>114838.20271999999</v>
      </c>
      <c r="F241" s="295">
        <f>+F154</f>
        <v>35571.590000000004</v>
      </c>
      <c r="G241" s="295">
        <f>+G154</f>
        <v>0</v>
      </c>
      <c r="H241" s="388"/>
      <c r="I241" s="415">
        <f t="shared" si="27"/>
        <v>-0.69024602303528615</v>
      </c>
      <c r="J241" s="297">
        <f t="shared" si="27"/>
        <v>-1</v>
      </c>
      <c r="L241" s="17">
        <f t="shared" si="24"/>
        <v>1</v>
      </c>
    </row>
    <row r="242" spans="1:12" s="298" customFormat="1" ht="15" customHeight="1">
      <c r="A242" s="292" t="s">
        <v>74</v>
      </c>
      <c r="B242" s="365"/>
      <c r="C242" s="293">
        <f>+C168</f>
        <v>2100.33</v>
      </c>
      <c r="D242" s="294">
        <f>+D168</f>
        <v>7372.6523960960385</v>
      </c>
      <c r="E242" s="293">
        <f>+E168</f>
        <v>6987.2699999999995</v>
      </c>
      <c r="F242" s="295">
        <f>+F168</f>
        <v>2100.33</v>
      </c>
      <c r="G242" s="295">
        <f>+G168</f>
        <v>0</v>
      </c>
      <c r="H242" s="388"/>
      <c r="I242" s="415">
        <f t="shared" si="27"/>
        <v>-0.69940620585722324</v>
      </c>
      <c r="J242" s="297">
        <f t="shared" si="27"/>
        <v>-1</v>
      </c>
      <c r="L242" s="17">
        <f t="shared" si="24"/>
        <v>1</v>
      </c>
    </row>
    <row r="243" spans="1:12" s="298" customFormat="1" ht="15" customHeight="1">
      <c r="A243" s="292" t="s">
        <v>369</v>
      </c>
      <c r="B243" s="365"/>
      <c r="C243" s="293">
        <f>+C185-C201</f>
        <v>1654.0899999999992</v>
      </c>
      <c r="D243" s="294">
        <f>+D185-D201</f>
        <v>14510.771625000001</v>
      </c>
      <c r="E243" s="293">
        <f>+E185-E201</f>
        <v>11174.289999999997</v>
      </c>
      <c r="F243" s="295">
        <f>+F185-F201</f>
        <v>10430.209999999999</v>
      </c>
      <c r="G243" s="295">
        <f>+G185-G201</f>
        <v>0</v>
      </c>
      <c r="H243" s="388"/>
      <c r="I243" s="415">
        <f t="shared" si="27"/>
        <v>-6.6588570727983465E-2</v>
      </c>
      <c r="J243" s="297">
        <f t="shared" si="27"/>
        <v>-1</v>
      </c>
      <c r="L243" s="17">
        <f t="shared" si="24"/>
        <v>1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4"/>
        <v>0</v>
      </c>
    </row>
    <row r="245" spans="1:12" s="33" customFormat="1" ht="15" customHeight="1">
      <c r="A245" s="245" t="s">
        <v>189</v>
      </c>
      <c r="B245" s="363"/>
      <c r="C245" s="299">
        <f>+C203</f>
        <v>105255.62999999999</v>
      </c>
      <c r="D245" s="300">
        <f>+D203</f>
        <v>166535.81013787238</v>
      </c>
      <c r="E245" s="299">
        <f>+E203</f>
        <v>246629.77271999995</v>
      </c>
      <c r="F245" s="301">
        <f>+F203</f>
        <v>114031.75</v>
      </c>
      <c r="G245" s="301">
        <f>+G203</f>
        <v>0</v>
      </c>
      <c r="H245" s="389"/>
      <c r="I245" s="281">
        <f>+I63</f>
        <v>0</v>
      </c>
      <c r="J245" s="192">
        <f>+J63</f>
        <v>0</v>
      </c>
      <c r="K245" s="58"/>
      <c r="L245" s="17">
        <f t="shared" si="24"/>
        <v>1</v>
      </c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4"/>
        <v>0</v>
      </c>
    </row>
    <row r="247" spans="1:12" s="33" customFormat="1" ht="15" customHeight="1">
      <c r="A247" s="246" t="s">
        <v>228</v>
      </c>
      <c r="B247" s="366"/>
      <c r="C247" s="177">
        <f>+C205</f>
        <v>-35537.73321999998</v>
      </c>
      <c r="D247" s="178">
        <f>+D205</f>
        <v>13498.18986212762</v>
      </c>
      <c r="E247" s="177">
        <f>+E205</f>
        <v>-80567.386419999937</v>
      </c>
      <c r="F247" s="228">
        <f>+F205</f>
        <v>-57412.429999999971</v>
      </c>
      <c r="G247" s="228">
        <f>+G205</f>
        <v>0</v>
      </c>
      <c r="H247" s="314"/>
      <c r="I247" s="226">
        <f>+IF((E247)=0,,(F247-E247)/E247)</f>
        <v>-0.28739862925790544</v>
      </c>
      <c r="J247" s="283">
        <f>+IF((F247)=0,,(G247-F247)/F247)</f>
        <v>-1</v>
      </c>
      <c r="L247" s="17">
        <f t="shared" si="24"/>
        <v>1</v>
      </c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4"/>
        <v>0</v>
      </c>
    </row>
    <row r="249" spans="1:12" s="33" customFormat="1" ht="15" customHeight="1">
      <c r="A249" s="247" t="s">
        <v>370</v>
      </c>
      <c r="B249" s="367"/>
      <c r="C249" s="180">
        <f>+C207+C215</f>
        <v>7087.3810790886719</v>
      </c>
      <c r="D249" s="181">
        <f>+D207+D215</f>
        <v>25756.571937049492</v>
      </c>
      <c r="E249" s="180">
        <f>+E207+E215</f>
        <v>20066.729016339534</v>
      </c>
      <c r="F249" s="230">
        <f>+F207+F215</f>
        <v>7087.3810790886719</v>
      </c>
      <c r="G249" s="230">
        <f>+G207+G215</f>
        <v>0</v>
      </c>
      <c r="H249" s="316"/>
      <c r="I249" s="281">
        <f>+I67</f>
        <v>-0.79591280528083297</v>
      </c>
      <c r="J249" s="192">
        <f>+J67</f>
        <v>-1</v>
      </c>
      <c r="L249" s="17">
        <f t="shared" si="24"/>
        <v>1</v>
      </c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4"/>
        <v>0</v>
      </c>
    </row>
    <row r="251" spans="1:12" s="33" customFormat="1" ht="20.100000000000001" customHeight="1">
      <c r="A251" s="246" t="s">
        <v>86</v>
      </c>
      <c r="B251" s="366"/>
      <c r="C251" s="177">
        <f>+C217</f>
        <v>-42625.114299088651</v>
      </c>
      <c r="D251" s="178">
        <f>+D217</f>
        <v>-12258.38207492187</v>
      </c>
      <c r="E251" s="177">
        <f>+E217</f>
        <v>-100634.11543633947</v>
      </c>
      <c r="F251" s="228">
        <f>+F217</f>
        <v>-64499.811079088642</v>
      </c>
      <c r="G251" s="228">
        <f>+G217</f>
        <v>0</v>
      </c>
      <c r="H251" s="314"/>
      <c r="I251" s="226">
        <f>+IF((E251)=0,,(F251-E251)/E251)</f>
        <v>-0.35906614969065009</v>
      </c>
      <c r="J251" s="283">
        <f>+IF((F251)=0,,(G251-F251)/F251)</f>
        <v>-1</v>
      </c>
      <c r="L251" s="17">
        <f t="shared" si="24"/>
        <v>1</v>
      </c>
    </row>
    <row r="252" spans="1:12">
      <c r="F252" s="2"/>
      <c r="G252" s="2"/>
      <c r="H252" s="5"/>
      <c r="I252" s="24"/>
      <c r="L252" s="17">
        <f t="shared" si="24"/>
        <v>0</v>
      </c>
    </row>
    <row r="253" spans="1:12" s="298" customFormat="1" ht="15" customHeight="1">
      <c r="A253" s="292" t="s">
        <v>95</v>
      </c>
      <c r="B253" s="365"/>
      <c r="C253" s="293">
        <f>+C28</f>
        <v>46293.13</v>
      </c>
      <c r="D253" s="294">
        <v>130128</v>
      </c>
      <c r="E253" s="293">
        <f>+E28</f>
        <v>134087.72</v>
      </c>
      <c r="F253" s="295"/>
      <c r="G253" s="399">
        <f>+G28</f>
        <v>0</v>
      </c>
      <c r="H253" s="418"/>
      <c r="I253" s="415"/>
      <c r="J253" s="297"/>
      <c r="L253" s="17">
        <v>1</v>
      </c>
    </row>
    <row r="254" spans="1:12" s="298" customFormat="1" ht="15" customHeight="1">
      <c r="A254" s="292" t="s">
        <v>371</v>
      </c>
      <c r="B254" s="365"/>
      <c r="C254" s="293">
        <f>+C222</f>
        <v>406818.79804124089</v>
      </c>
      <c r="D254" s="294">
        <f>+D222</f>
        <v>515250.53202434321</v>
      </c>
      <c r="E254" s="293">
        <f>+E222</f>
        <v>971350.48351280554</v>
      </c>
      <c r="F254" s="295">
        <f>+F222</f>
        <v>405049.95679301984</v>
      </c>
      <c r="G254" s="295" t="e">
        <f>+G222</f>
        <v>#DIV/0!</v>
      </c>
      <c r="H254" s="388"/>
      <c r="I254" s="415"/>
      <c r="J254" s="297"/>
      <c r="L254" s="17">
        <v>1</v>
      </c>
    </row>
    <row r="255" spans="1:12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399">
        <v>7000</v>
      </c>
      <c r="H255" s="418"/>
      <c r="I255" s="415"/>
      <c r="J255" s="297"/>
      <c r="L255" s="17">
        <v>1</v>
      </c>
    </row>
    <row r="256" spans="1:12">
      <c r="F256" s="2"/>
      <c r="G256" s="2"/>
      <c r="H256" s="2"/>
      <c r="I256" s="24"/>
      <c r="L256" s="17">
        <f t="shared" si="24"/>
        <v>0</v>
      </c>
    </row>
  </sheetData>
  <phoneticPr fontId="0" type="noConversion"/>
  <hyperlinks>
    <hyperlink ref="C1" location="Sommaire!A1" display="Retour au sommaire"/>
  </hyperlinks>
  <pageMargins left="0" right="0" top="0" bottom="0" header="0.51181102362204722" footer="0.51181102362204722"/>
  <pageSetup paperSize="9" scale="86" fitToHeight="2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 filterMode="1" enableFormatConditionsCalculation="0">
    <tabColor rgb="FFC00000"/>
    <pageSetUpPr fitToPage="1"/>
  </sheetPr>
  <dimension ref="A1:L256"/>
  <sheetViews>
    <sheetView workbookViewId="0">
      <pane xSplit="2" ySplit="7" topLeftCell="C217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678" customWidth="1"/>
    <col min="2" max="2" width="6.140625" style="24" customWidth="1"/>
    <col min="3" max="3" width="0.140625" style="950" customWidth="1"/>
    <col min="4" max="4" width="13.7109375" style="818" customWidth="1"/>
    <col min="5" max="5" width="11" style="818" customWidth="1"/>
    <col min="6" max="7" width="13.7109375" style="819" customWidth="1"/>
    <col min="8" max="8" width="8.42578125" style="819" customWidth="1"/>
    <col min="9" max="9" width="9.5703125" style="751" customWidth="1"/>
    <col min="10" max="10" width="9.140625" style="751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685" t="s">
        <v>515</v>
      </c>
      <c r="B1" s="22"/>
      <c r="C1" s="752" t="s">
        <v>299</v>
      </c>
    </row>
    <row r="2" spans="1:12" hidden="1">
      <c r="A2" s="2"/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951"/>
      <c r="B3" s="102" t="s">
        <v>198</v>
      </c>
      <c r="C3" s="820" t="s">
        <v>195</v>
      </c>
      <c r="D3" s="821" t="s">
        <v>196</v>
      </c>
      <c r="E3" s="822" t="s">
        <v>54</v>
      </c>
      <c r="F3" s="823" t="s">
        <v>364</v>
      </c>
      <c r="G3" s="823" t="s">
        <v>196</v>
      </c>
      <c r="H3" s="824" t="s">
        <v>198</v>
      </c>
      <c r="I3" s="825" t="s">
        <v>225</v>
      </c>
      <c r="J3" s="826" t="s">
        <v>225</v>
      </c>
      <c r="L3" s="2">
        <v>1</v>
      </c>
    </row>
    <row r="4" spans="1:12" ht="20.25" customHeight="1">
      <c r="A4" s="952" t="s">
        <v>208</v>
      </c>
      <c r="B4" s="90" t="s">
        <v>226</v>
      </c>
      <c r="C4" s="827" t="str">
        <f>+Clients!E13</f>
        <v>Septembre</v>
      </c>
      <c r="D4" s="828" t="s">
        <v>197</v>
      </c>
      <c r="E4" s="829" t="s">
        <v>390</v>
      </c>
      <c r="F4" s="830" t="s">
        <v>366</v>
      </c>
      <c r="G4" s="830" t="s">
        <v>197</v>
      </c>
      <c r="H4" s="831" t="s">
        <v>226</v>
      </c>
      <c r="I4" s="832"/>
      <c r="J4" s="833"/>
      <c r="L4" s="2">
        <v>1</v>
      </c>
    </row>
    <row r="5" spans="1:12">
      <c r="A5" s="953"/>
      <c r="B5" s="90"/>
      <c r="C5" s="834"/>
      <c r="D5" s="835"/>
      <c r="E5" s="834">
        <f>E217</f>
        <v>176608.28462902133</v>
      </c>
      <c r="F5" s="836">
        <f>F217</f>
        <v>171894.5200438163</v>
      </c>
      <c r="G5" s="836">
        <f>G217</f>
        <v>153301.06595289859</v>
      </c>
      <c r="H5" s="831"/>
      <c r="I5" s="832"/>
      <c r="J5" s="833"/>
      <c r="L5" s="2">
        <v>1</v>
      </c>
    </row>
    <row r="6" spans="1:12">
      <c r="A6" s="935"/>
      <c r="B6" s="91"/>
      <c r="C6" s="837">
        <f>+Clients!E14</f>
        <v>2010</v>
      </c>
      <c r="D6" s="838">
        <f>+Clients!E14</f>
        <v>2010</v>
      </c>
      <c r="E6" s="837">
        <f>+C6-1</f>
        <v>2009</v>
      </c>
      <c r="F6" s="839">
        <f>+Conso!G6</f>
        <v>2010</v>
      </c>
      <c r="G6" s="839">
        <f>+Conso!I6</f>
        <v>2011</v>
      </c>
      <c r="H6" s="840"/>
      <c r="I6" s="841" t="s">
        <v>367</v>
      </c>
      <c r="J6" s="842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954" t="s">
        <v>221</v>
      </c>
      <c r="B8" s="92"/>
      <c r="C8" s="843">
        <f>-IF(ISNA(VLOOKUP("BOU707130000",Balance!C:G,5,FALSE))=TRUE,0,VLOOKUP("BOU707130000",Balance!C:G,5,FALSE))</f>
        <v>1742637.95</v>
      </c>
      <c r="D8" s="844">
        <f>+[2]Boulogne!$H8</f>
        <v>2166940</v>
      </c>
      <c r="E8" s="843">
        <f>-IF(ISNA(VLOOKUP("BOU707130000",Balanceanp!C:G,5,FALSE))=TRUE,0,VLOOKUP("BOU707130000",Balanceanp!C:G,5,FALSE))</f>
        <v>1664415.33</v>
      </c>
      <c r="F8" s="845">
        <f>+CA!G60</f>
        <v>2260602.2330527785</v>
      </c>
      <c r="G8" s="846">
        <v>2256694</v>
      </c>
      <c r="H8" s="847"/>
      <c r="I8" s="848">
        <f>+IF((E8)=0,,(F8-E8)/E8)</f>
        <v>0.35819599369634408</v>
      </c>
      <c r="J8" s="849">
        <f>+IF((F8)=0,,(G8-F8)/F8)</f>
        <v>-1.7288459666346253E-3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-IF(ISNA(VLOOKUP("BOU707131000",Balance!C:G,5,FALSE))=TRUE,0,VLOOKUP("BOU707131000",Balance!C:G,5,FALSE))</f>
        <v>0</v>
      </c>
      <c r="D9" s="117">
        <f>+[2]Boulogne!$H9</f>
        <v>0</v>
      </c>
      <c r="E9" s="160">
        <f>-IF(ISNA(VLOOKUP("BOU707131000",Balanceanp!C:G,5,FALSE))=TRUE,0,VLOOKUP("BOU707131000",Balanceanp!C:G,5,FALSE))</f>
        <v>333230.67</v>
      </c>
      <c r="F9" s="368">
        <f>+C9</f>
        <v>0</v>
      </c>
      <c r="G9" s="395"/>
      <c r="H9" s="401"/>
      <c r="I9" s="149">
        <f t="shared" ref="I9:J19" si="1">+IF((E9)=0,,(F9-E9)/E9)</f>
        <v>-1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-IF(ISNA(VLOOKUP("BOU707300000",Balance!C:G,5,FALSE))=TRUE,0,VLOOKUP("BOU707300000",Balance!C:G,5,FALSE))</f>
        <v>0</v>
      </c>
      <c r="D10" s="117">
        <f>+[2]Boulogne!$H10</f>
        <v>0</v>
      </c>
      <c r="E10" s="160">
        <f>-IF(ISNA(VLOOKUP("BOU707300000",Balanceanp!C:G,5,FALSE))=TRUE,0,VLOOKUP("BOU707300000",Balanceanp!C:G,5,FALSE))</f>
        <v>0</v>
      </c>
      <c r="F10" s="368">
        <f t="shared" ref="F10:F19" si="2">+C10</f>
        <v>0</v>
      </c>
      <c r="G10" s="395"/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-IF(ISNA(VLOOKUP("BOU707110000",Balance!C:G,5,FALSE))=TRUE,0,VLOOKUP("BOU707110000",Balance!C:G,5,FALSE))</f>
        <v>142.53</v>
      </c>
      <c r="D11" s="117">
        <f>+[2]Boulogne!$H11</f>
        <v>0</v>
      </c>
      <c r="E11" s="160">
        <f>-IF(ISNA(VLOOKUP("BOU707110000",Balanceanp!C:G,5,FALSE))=TRUE,0,VLOOKUP("BOU707110000",Balanceanp!C:G,5,FALSE))</f>
        <v>0</v>
      </c>
      <c r="F11" s="368">
        <f t="shared" si="2"/>
        <v>142.53</v>
      </c>
      <c r="G11" s="395"/>
      <c r="H11" s="401"/>
      <c r="I11" s="149">
        <f t="shared" si="1"/>
        <v>0</v>
      </c>
      <c r="J11" s="271">
        <f t="shared" si="1"/>
        <v>-1</v>
      </c>
      <c r="L11" s="17">
        <v>0</v>
      </c>
    </row>
    <row r="12" spans="1:12" hidden="1">
      <c r="A12" s="5" t="s">
        <v>46</v>
      </c>
      <c r="B12" s="92"/>
      <c r="C12" s="160">
        <f>-IF(ISNA(VLOOKUP("BOU707120000",Balance!C:G,5,FALSE))=TRUE,0,VLOOKUP("BOU707120000",Balance!C:G,5,FALSE))</f>
        <v>0</v>
      </c>
      <c r="D12" s="117">
        <f>+[2]Boulogne!$H12</f>
        <v>0</v>
      </c>
      <c r="E12" s="160">
        <f>-IF(ISNA(VLOOKUP("BOU707120000",Balanceanp!C:G,5,FALSE))=TRUE,0,VLOOKUP("BOU707120000",Balanceanp!C:G,5,FALSE))</f>
        <v>0</v>
      </c>
      <c r="F12" s="368">
        <f t="shared" si="2"/>
        <v>0</v>
      </c>
      <c r="G12" s="395"/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-IF(ISNA(VLOOKUP("BOU707230000",Balance!C:G,5,FALSE))=TRUE,0,VLOOKUP("BOU707230000",Balance!C:G,5,FALSE))</f>
        <v>0</v>
      </c>
      <c r="D13" s="117">
        <f>+[2]Boulogne!$H13</f>
        <v>0</v>
      </c>
      <c r="E13" s="160">
        <f>-IF(ISNA(VLOOKUP("BOU707230000",Balanceanp!C:G,5,FALSE))=TRUE,0,VLOOKUP("BOU707230000",Balanceanp!C:G,5,FALSE))</f>
        <v>0</v>
      </c>
      <c r="F13" s="368">
        <f t="shared" si="2"/>
        <v>0</v>
      </c>
      <c r="G13" s="395"/>
      <c r="H13" s="401"/>
      <c r="I13" s="149">
        <f t="shared" si="1"/>
        <v>0</v>
      </c>
      <c r="J13" s="271">
        <f t="shared" si="1"/>
        <v>0</v>
      </c>
      <c r="L13" s="17">
        <v>0</v>
      </c>
    </row>
    <row r="14" spans="1:12" hidden="1">
      <c r="A14" s="5" t="s">
        <v>269</v>
      </c>
      <c r="B14" s="92"/>
      <c r="C14" s="160">
        <f>-IF(ISNA(VLOOKUP("BOU708820000",Balance!C:G,5,FALSE))=TRUE,0,VLOOKUP("BOU708820000",Balance!C:G,5,FALSE))</f>
        <v>0</v>
      </c>
      <c r="D14" s="117">
        <f>+[2]Boulogne!$H14</f>
        <v>0</v>
      </c>
      <c r="E14" s="160">
        <f>-IF(ISNA(VLOOKUP("BOU708820000",Balanceanp!C:G,5,FALSE))=TRUE,0,VLOOKUP("BOU708820000",Balanceanp!C:G,5,FALSE))</f>
        <v>0</v>
      </c>
      <c r="F14" s="368">
        <f t="shared" si="2"/>
        <v>0</v>
      </c>
      <c r="G14" s="395"/>
      <c r="H14" s="401"/>
      <c r="I14" s="149">
        <f t="shared" si="1"/>
        <v>0</v>
      </c>
      <c r="J14" s="271">
        <f t="shared" si="1"/>
        <v>0</v>
      </c>
      <c r="L14" s="17">
        <v>0</v>
      </c>
    </row>
    <row r="15" spans="1:12" hidden="1">
      <c r="A15" s="5" t="s">
        <v>270</v>
      </c>
      <c r="B15" s="92"/>
      <c r="C15" s="160">
        <f>-IF(ISNA(VLOOKUP("BOU708500000",Balance!C:G,5,FALSE))=TRUE,0,VLOOKUP("BOU708500000",Balance!C:G,5,FALSE))</f>
        <v>2811</v>
      </c>
      <c r="D15" s="117">
        <f>+[2]Boulogne!$H15</f>
        <v>0</v>
      </c>
      <c r="E15" s="160">
        <f>-IF(ISNA(VLOOKUP("BOU708500000",Balanceanp!C:G,5,FALSE))=TRUE,0,VLOOKUP("BOU708500000",Balanceanp!C:G,5,FALSE))</f>
        <v>3753</v>
      </c>
      <c r="F15" s="368">
        <f t="shared" si="2"/>
        <v>2811</v>
      </c>
      <c r="G15" s="395"/>
      <c r="H15" s="401"/>
      <c r="I15" s="149">
        <f t="shared" si="1"/>
        <v>-0.25099920063948838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IF(ISNA(VLOOKUP("BOU706000000",Balance!C:G,5,FALSE))=TRUE,0,-VLOOKUP("BOU706000000",Balance!C:G,5,FALSE))+IF(ISNA(VLOOKUP("BOU706010000",Balance!C:G,5,FALSE))=TRUE,0,-VLOOKUP("BOU706010000",Balance!C:G,5,FALSE))</f>
        <v>0</v>
      </c>
      <c r="D16" s="117">
        <f>+[2]Boulogne!$H16</f>
        <v>0</v>
      </c>
      <c r="E16" s="160">
        <f>IF(ISNA(VLOOKUP("BOU706000000",Balanceanp!C:G,5,FALSE))=TRUE,0,-VLOOKUP("BOU706000000",Balanceanp!C:G,5,FALSE))+IF(ISNA(VLOOKUP("BOU706010000",Balanceanp!C:G,5,FALSE))=TRUE,0,-VLOOKUP("BOU706010000",Balanceanp!C:G,5,FALSE))</f>
        <v>-150</v>
      </c>
      <c r="F16" s="368">
        <f t="shared" si="2"/>
        <v>0</v>
      </c>
      <c r="G16" s="395"/>
      <c r="H16" s="401"/>
      <c r="I16" s="149">
        <f t="shared" si="1"/>
        <v>-1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IF(ISNA(VLOOKUP("BOU707500000",Balance!C:G,5,FALSE))=TRUE,0,-VLOOKUP("BOU707500000",Balance!C:G,5,FALSE))</f>
        <v>0</v>
      </c>
      <c r="D17" s="117">
        <f>+[2]Boulogne!$H17</f>
        <v>0</v>
      </c>
      <c r="E17" s="160">
        <f>IF(ISNA(VLOOKUP("BOU707500000",Balanceanp!C:G,5,FALSE))=TRUE,0,-VLOOKUP("BOU707500000",Balanceanp!C:G,5,FALSE))</f>
        <v>0</v>
      </c>
      <c r="F17" s="368">
        <f t="shared" si="2"/>
        <v>0</v>
      </c>
      <c r="G17" s="395"/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IF(ISNA(VLOOKUP("BOU707510000",Balance!C:G,5,FALSE))=TRUE,0,-VLOOKUP("BOU707510000",Balance!C:G,5,FALSE))</f>
        <v>0</v>
      </c>
      <c r="D18" s="117">
        <f>+[2]Boulogne!$H18</f>
        <v>0</v>
      </c>
      <c r="E18" s="160">
        <f>IF(ISNA(VLOOKUP("BOU707510000",Balanceanp!C:G,5,FALSE))=TRUE,0,-VLOOKUP("BOU707510000",Balanceanp!C:G,5,FALSE))</f>
        <v>0</v>
      </c>
      <c r="F18" s="368">
        <f t="shared" si="2"/>
        <v>0</v>
      </c>
      <c r="G18" s="395"/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IF(ISNA(VLOOKUP("BOU708300000",Balance!C:G,5,FALSE))=TRUE,0,-VLOOKUP("BOU708300000",Balance!C:G,5,FALSE))</f>
        <v>0</v>
      </c>
      <c r="D19" s="117">
        <f>+[2]Boulogne!$H19</f>
        <v>0</v>
      </c>
      <c r="E19" s="160">
        <f>IF(ISNA(VLOOKUP("BOU708300000",Balanceanp!C:G,5,FALSE))=TRUE,0,-VLOOKUP("BOU708300000",Balanceanp!C:G,5,FALSE))</f>
        <v>0</v>
      </c>
      <c r="F19" s="368">
        <f t="shared" si="2"/>
        <v>0</v>
      </c>
      <c r="G19" s="395"/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695" t="s">
        <v>222</v>
      </c>
      <c r="B21" s="93"/>
      <c r="C21" s="850">
        <f>SUM(C7:C20)</f>
        <v>1745591.48</v>
      </c>
      <c r="D21" s="851">
        <f>SUM(D7:D20)</f>
        <v>2166940</v>
      </c>
      <c r="E21" s="850">
        <f>SUM(E7:E20)</f>
        <v>2001249</v>
      </c>
      <c r="F21" s="852">
        <f>SUM(F7:F20)</f>
        <v>2263555.7630527783</v>
      </c>
      <c r="G21" s="852">
        <f>SUM(G7:G20)</f>
        <v>2256694</v>
      </c>
      <c r="H21" s="764"/>
      <c r="I21" s="853">
        <f>+IF((E21)=0,,(F21-E21)/E21)</f>
        <v>0.13107152735755437</v>
      </c>
      <c r="J21" s="854">
        <f>+IF((F21)=0,,(G21-F21)/F21)</f>
        <v>-3.0314088854272799E-3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IF(ISNA(VLOOKUP("BOU602650000",Balance!C:G,5,FALSE))=TRUE,0,VLOOKUP("BOU602650000",Balance!C:G,5,FALSE))</f>
        <v>0</v>
      </c>
      <c r="D23" s="115"/>
      <c r="E23" s="160">
        <f>IF(ISNA(VLOOKUP("BOU602650000",Balanceanp!C:G,5,FALSE))=TRUE,0,VLOOKUP("BOU602650000",Balanceanp!C:G,5,FALSE))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954" t="s">
        <v>93</v>
      </c>
      <c r="B24" s="92"/>
      <c r="C24" s="843">
        <f>IF(ISNA(VLOOKUP("bou607100000",Balance!C:G,5,FALSE))=TRUE,0,VLOOKUP("bou607100000",Balance!C:G,5,FALSE))</f>
        <v>681454.21000000008</v>
      </c>
      <c r="D24" s="855"/>
      <c r="E24" s="843">
        <f>IF(ISNA(VLOOKUP("bou607100000",Balanceanp!C:G,5,FALSE))=TRUE,0,VLOOKUP("bou607100000",Balanceanp!C:G,5,FALSE))</f>
        <v>721909.23</v>
      </c>
      <c r="F24" s="856"/>
      <c r="G24" s="857">
        <f>H24*G30</f>
        <v>981503.92142000003</v>
      </c>
      <c r="H24" s="858">
        <f>1-H28</f>
        <v>0.61</v>
      </c>
      <c r="I24" s="848"/>
      <c r="J24" s="849"/>
      <c r="L24" s="17">
        <f t="shared" si="0"/>
        <v>1</v>
      </c>
    </row>
    <row r="25" spans="1:12" hidden="1">
      <c r="A25" s="5" t="s">
        <v>94</v>
      </c>
      <c r="B25" s="92"/>
      <c r="C25" s="160">
        <f>IF(ISNA(VLOOKUP("bou607110000",Balance!C:G,5,FALSE))=TRUE,0,VLOOKUP("bou607110000",Balance!C:G,5,FALSE))+IF(ISNA(VLOOKUP("bou607120000",Balance!C:G,5,FALSE))=TRUE,0,VLOOKUP("bou607120000",Balance!C:G,5,FALSE))</f>
        <v>110880.92000000001</v>
      </c>
      <c r="D25" s="115"/>
      <c r="E25" s="160">
        <f>IF(ISNA(VLOOKUP("bou607110000",Balanceanp!C:G,5,FALSE))=TRUE,0,VLOOKUP("bou607110000",Balanceanp!C:G,5,FALSE))+IF(ISNA(VLOOKUP("bou607120000",Balanceanp!C:G,5,FALSE))=TRUE,0,VLOOKUP("bou607120000",Balanceanp!C:G,5,FALSE))</f>
        <v>94916.22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IF(ISNA(VLOOKUP("bou607130000",Balance!C:G,5,FALSE))=TRUE,0,VLOOKUP("bou607130000",Balance!C:G,5,FALSE))</f>
        <v>96945.5</v>
      </c>
      <c r="D26" s="115"/>
      <c r="E26" s="160">
        <f>IF(ISNA(VLOOKUP("bou607130000",Balanceanp!C:G,5,FALSE))=TRUE,0,VLOOKUP("bou607130000",Balanceanp!C:G,5,FALSE))</f>
        <v>119780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IF(ISNA(VLOOKUP("bou607140000",Balance!C:G,5,FALSE))=TRUE,0,VLOOKUP("bou607140000",Balance!C:G,5,FALSE))</f>
        <v>-141094.39000000001</v>
      </c>
      <c r="D27" s="115"/>
      <c r="E27" s="160">
        <f>IF(ISNA(VLOOKUP("bou607140000",Balanceanp!C:G,5,FALSE))=TRUE,0,VLOOKUP("bou607140000",Balanceanp!C:G,5,FALSE))</f>
        <v>-182454</v>
      </c>
      <c r="F27" s="134"/>
      <c r="G27" s="134"/>
      <c r="H27" s="400"/>
      <c r="I27" s="149"/>
      <c r="J27" s="271"/>
      <c r="L27" s="17">
        <v>0</v>
      </c>
    </row>
    <row r="28" spans="1:12">
      <c r="A28" s="954" t="s">
        <v>95</v>
      </c>
      <c r="B28" s="92"/>
      <c r="C28" s="843">
        <f>IF(ISNA(VLOOKUP("BOU607200000",Balance!C:G,5,FALSE))=TRUE,0,VLOOKUP("BOU607200000",Balance!C:G,5,FALSE))</f>
        <v>583889.34</v>
      </c>
      <c r="D28" s="859">
        <f>C28/C30</f>
        <v>0.43833048872497155</v>
      </c>
      <c r="E28" s="843">
        <f>IF(ISNA(VLOOKUP("BOU607200000",Balanceanp!C:G,5,FALSE))=TRUE,0,VLOOKUP("BOU607200000",Balanceanp!C:G,5,FALSE))</f>
        <v>612906.68000000005</v>
      </c>
      <c r="F28" s="859">
        <f>E28/E30</f>
        <v>0.44833988149428589</v>
      </c>
      <c r="G28" s="857">
        <f>H28*G30</f>
        <v>627518.90058000013</v>
      </c>
      <c r="H28" s="860">
        <v>0.39</v>
      </c>
      <c r="I28" s="848"/>
      <c r="J28" s="849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IF(ISNA(VLOOKUP("BOU607150000",Balance!C:G,5,FALSE))=TRUE,0,VLOOKUP("BOU607150000",Balance!C:G,5,FALSE))</f>
        <v>0</v>
      </c>
      <c r="D29" s="115"/>
      <c r="E29" s="357">
        <f>IF(ISNA(VLOOKUP("BOU607150000",Balanceanp!C:G,5,FALSE))=TRUE,0,VLOOKUP("BOU607150000",Balanceanp!C:G,5,FALSE))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700" t="s">
        <v>292</v>
      </c>
      <c r="B30" s="94"/>
      <c r="C30" s="861">
        <f>SUM(C23:C29)</f>
        <v>1332075.58</v>
      </c>
      <c r="D30" s="862"/>
      <c r="E30" s="861">
        <f>SUM(E23:E29)</f>
        <v>1367058.13</v>
      </c>
      <c r="F30" s="863">
        <f>1-(E30/E21)</f>
        <v>0.31689753249095942</v>
      </c>
      <c r="G30" s="864">
        <f>G21*(1-H30)</f>
        <v>1609022.8220000002</v>
      </c>
      <c r="H30" s="865">
        <v>0.28699999999999998</v>
      </c>
      <c r="I30" s="866"/>
      <c r="J30" s="867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955" t="s">
        <v>336</v>
      </c>
      <c r="B32" s="95"/>
      <c r="C32" s="868">
        <f>+C21-C30-C38</f>
        <v>489628.72999999986</v>
      </c>
      <c r="D32" s="869"/>
      <c r="E32" s="868">
        <f>+E21-E30-E38</f>
        <v>623564.70400000014</v>
      </c>
      <c r="F32" s="870"/>
      <c r="G32" s="870"/>
      <c r="H32" s="871"/>
      <c r="I32" s="866"/>
      <c r="J32" s="872"/>
      <c r="L32" s="17">
        <f t="shared" si="0"/>
        <v>1</v>
      </c>
    </row>
    <row r="33" spans="1:12" s="33" customFormat="1" ht="0.75" customHeight="1">
      <c r="A33" s="955" t="s">
        <v>337</v>
      </c>
      <c r="B33" s="95"/>
      <c r="C33" s="873">
        <f>+C32/C21</f>
        <v>0.28049445452151262</v>
      </c>
      <c r="D33" s="869"/>
      <c r="E33" s="873">
        <f>+E32/E21</f>
        <v>0.3115877654404825</v>
      </c>
      <c r="F33" s="870"/>
      <c r="G33" s="870"/>
      <c r="H33" s="871"/>
      <c r="I33" s="866"/>
      <c r="J33" s="872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954" t="s">
        <v>96</v>
      </c>
      <c r="B35" s="92"/>
      <c r="C35" s="843">
        <f>IF(ISNA(VLOOKUP("BOU607400000",Balance!C:G,5,FALSE))=TRUE,0,VLOOKUP("BOU607400000",Balance!C:G,5,FALSE))</f>
        <v>9916.64</v>
      </c>
      <c r="D35" s="855"/>
      <c r="E35" s="843">
        <f>IF(ISNA(VLOOKUP("BOU607400000",Balanceanp!C:G,5,FALSE))=TRUE,0,VLOOKUP("BOU607400000",Balanceanp!C:G,5,FALSE))</f>
        <v>15944.050000000001</v>
      </c>
      <c r="F35" s="874">
        <f>E35/E30</f>
        <v>1.1663037328193208E-2</v>
      </c>
      <c r="G35" s="875">
        <f>F35*G30</f>
        <v>18766.093234900778</v>
      </c>
      <c r="H35" s="876"/>
      <c r="I35" s="848" t="str">
        <f t="shared" si="3"/>
        <v/>
      </c>
      <c r="J35" s="849"/>
      <c r="L35" s="17">
        <f t="shared" si="0"/>
        <v>1</v>
      </c>
    </row>
    <row r="36" spans="1:12">
      <c r="A36" s="954" t="s">
        <v>97</v>
      </c>
      <c r="B36" s="92"/>
      <c r="C36" s="843">
        <f>IF(ISNA(VLOOKUP("BOU608000000",Balance!C:G,5,FALSE))=TRUE,0,VLOOKUP("BOU608000000",Balance!C:G,5,FALSE))</f>
        <v>2544.83</v>
      </c>
      <c r="D36" s="855"/>
      <c r="E36" s="843">
        <f>IF(ISNA(VLOOKUP("BOU608000000",Balanceanp!C:G,5,FALSE))=TRUE,0,VLOOKUP("BOU608000000",Balanceanp!C:G,5,FALSE))</f>
        <v>3300.76</v>
      </c>
      <c r="F36" s="874">
        <f>E36/E30</f>
        <v>2.4144986431557233E-3</v>
      </c>
      <c r="G36" s="875">
        <f>F36*G30</f>
        <v>3884.9834205255934</v>
      </c>
      <c r="H36" s="876"/>
      <c r="I36" s="848" t="str">
        <f t="shared" si="3"/>
        <v/>
      </c>
      <c r="J36" s="849"/>
      <c r="L36" s="17">
        <f t="shared" si="0"/>
        <v>1</v>
      </c>
    </row>
    <row r="37" spans="1:12" hidden="1">
      <c r="A37" s="5" t="s">
        <v>98</v>
      </c>
      <c r="B37" s="92"/>
      <c r="C37" s="160">
        <f>IF(ISNA(VLOOKUP("BOU608100000",Balance!C:G,5,FALSE))=TRUE,0,VLOOKUP("BOU608100000",Balance!C:G,5,FALSE))</f>
        <v>0</v>
      </c>
      <c r="D37" s="115"/>
      <c r="E37" s="160">
        <f>IF(ISNA(VLOOKUP("BOU608100000",Balanceanp!C:G,5,FALSE))=TRUE,0,VLOOKUP("BOU608100000",Balanceanp!C:G,5,FALSE))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-76112.829999999987</v>
      </c>
      <c r="D38" s="115"/>
      <c r="E38" s="160">
        <f>+E56-E57</f>
        <v>10626.165999999968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IF(ISNA(VLOOKUP("BOU681730000",Balance!C:G,5,FALSE))=TRUE,0,VLOOKUP("BOU681730000",Balance!C:G,5,FALSE))</f>
        <v>0</v>
      </c>
      <c r="D39" s="115"/>
      <c r="E39" s="160">
        <f>IF(ISNA(VLOOKUP("BOU681730000",Balanceanp!C:G,5,FALSE))=TRUE,0,VLOOKUP("BOU681730000",Balanceanp!C:G,5,FALSE))</f>
        <v>4772.18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IF(ISNA(VLOOKUP("BOU781730000",Balance!C:G,5,FALSE))=TRUE,0,VLOOKUP("BOU781730000",Balance!C:G,5,FALSE))</f>
        <v>-4112.03</v>
      </c>
      <c r="D40" s="115"/>
      <c r="E40" s="160">
        <f>IF(ISNA(VLOOKUP("BOU781730000",Balanceanp!C:G,5,FALSE))=TRUE,0,VLOOKUP("BOU781730000",Balanceanp!C:G,5,FALSE))</f>
        <v>-4115.6400000000003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954" t="s">
        <v>317</v>
      </c>
      <c r="B41" s="92"/>
      <c r="C41" s="843">
        <f>IF(ISNA(VLOOKUP("bou609110000",Balance!C:G,5,FALSE))=TRUE,0,VLOOKUP("bou609110000",Balance!C:G,5,FALSE))</f>
        <v>-2181.87</v>
      </c>
      <c r="D41" s="855"/>
      <c r="E41" s="843">
        <f>IF(ISNA(VLOOKUP("bou609110000",Balanceanp!C:G,5,FALSE))=TRUE,0,VLOOKUP("bou609110000",Balanceanp!C:G,5,FALSE))</f>
        <v>-27585.99</v>
      </c>
      <c r="F41" s="877">
        <f>E41/SUM(E24:E25)</f>
        <v>-3.3772196985292269E-2</v>
      </c>
      <c r="G41" s="878">
        <f>H41*(G24)</f>
        <v>-19630.0784284</v>
      </c>
      <c r="H41" s="879">
        <v>-0.02</v>
      </c>
      <c r="I41" s="848" t="str">
        <f t="shared" si="3"/>
        <v/>
      </c>
      <c r="J41" s="849"/>
      <c r="L41" s="17">
        <f t="shared" si="0"/>
        <v>1</v>
      </c>
    </row>
    <row r="42" spans="1:12">
      <c r="A42" s="954" t="s">
        <v>318</v>
      </c>
      <c r="B42" s="92"/>
      <c r="C42" s="843">
        <f>IF(ISNA(VLOOKUP("bou609120000",Balance!C:G,5,FALSE))=TRUE,0,VLOOKUP("bou609120000",Balance!C:G,5,FALSE))</f>
        <v>-40861.31</v>
      </c>
      <c r="D42" s="855"/>
      <c r="E42" s="843">
        <f>IF(ISNA(VLOOKUP("bou609120000",Balanceanp!C:G,5,FALSE))=TRUE,0,VLOOKUP("bou609120000",Balanceanp!C:G,5,FALSE))</f>
        <v>-42576.14</v>
      </c>
      <c r="F42" s="877">
        <f>E42/E28</f>
        <v>-6.9465942188784754E-2</v>
      </c>
      <c r="G42" s="878">
        <f>H42*G28</f>
        <v>-43926.323040600015</v>
      </c>
      <c r="H42" s="879">
        <v>-7.0000000000000007E-2</v>
      </c>
      <c r="I42" s="848" t="str">
        <f t="shared" si="3"/>
        <v/>
      </c>
      <c r="J42" s="849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695" t="s">
        <v>291</v>
      </c>
      <c r="B44" s="93"/>
      <c r="C44" s="850">
        <f>+C30+SUM(C34:C43)</f>
        <v>1221269.01</v>
      </c>
      <c r="D44" s="880"/>
      <c r="E44" s="850">
        <f>+E30+SUM(E34:E43)</f>
        <v>1327423.5159999998</v>
      </c>
      <c r="F44" s="881"/>
      <c r="G44" s="882">
        <f>SUM(G35:G43)+G30</f>
        <v>1568117.4971864265</v>
      </c>
      <c r="H44" s="883"/>
      <c r="I44" s="853"/>
      <c r="J44" s="854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524322.47</v>
      </c>
      <c r="D46" s="120"/>
      <c r="E46" s="166">
        <f>+E21-E44</f>
        <v>673825.48400000017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0.30036951715644256</v>
      </c>
      <c r="D47" s="120"/>
      <c r="E47" s="196">
        <f>+E46/E21</f>
        <v>0.33670247130666908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954" t="s">
        <v>91</v>
      </c>
      <c r="B49" s="92">
        <f>+C49/C21</f>
        <v>1.3965466880028539E-2</v>
      </c>
      <c r="C49" s="843">
        <f>IF(ISNA(VLOOKUP("BOU709700000",Balance!C:G,5,FALSE))=TRUE,0,VLOOKUP("BOU709700000",Balance!C:G,5,FALSE))</f>
        <v>24378</v>
      </c>
      <c r="D49" s="844">
        <f>+[2]Boulogne!$H49</f>
        <v>32504</v>
      </c>
      <c r="E49" s="843">
        <f>IF(ISNA(VLOOKUP("BOU709700000",Balanceanp!C:G,5,FALSE))=TRUE,0,VLOOKUP("BOU709700000",Balanceanp!C:G,5,FALSE))</f>
        <v>22905.54</v>
      </c>
      <c r="F49" s="884">
        <f>+C49+C49/9*(12-Clients!$I$14)</f>
        <v>32504</v>
      </c>
      <c r="G49" s="885">
        <v>34720</v>
      </c>
      <c r="H49" s="886">
        <f>G49/G21</f>
        <v>1.5385338021016584E-2</v>
      </c>
      <c r="I49" s="848">
        <f>+IF((E49)=0,,(F49-E49)/E49)</f>
        <v>0.4190453488544692</v>
      </c>
      <c r="J49" s="849">
        <f>+IF((F49)=0,,(G49-F49)/F49)</f>
        <v>6.8176224464681273E-2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695" t="s">
        <v>223</v>
      </c>
      <c r="B51" s="93"/>
      <c r="C51" s="850">
        <f>+C21-C49</f>
        <v>1721213.48</v>
      </c>
      <c r="D51" s="851">
        <f>+D21-D49</f>
        <v>2134436</v>
      </c>
      <c r="E51" s="850">
        <f>+E21-E49</f>
        <v>1978343.46</v>
      </c>
      <c r="F51" s="852">
        <f>+F21-F49</f>
        <v>2231051.7630527783</v>
      </c>
      <c r="G51" s="852">
        <f>+G21-G49</f>
        <v>2221974</v>
      </c>
      <c r="H51" s="764"/>
      <c r="I51" s="853">
        <f>+IF((E51)=0,,(F51-E51)/E51)</f>
        <v>0.12773732577900218</v>
      </c>
      <c r="J51" s="854">
        <f>+IF((F51)=0,,(G51-F51)/F51)</f>
        <v>-4.068826731459199E-3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499944.47</v>
      </c>
      <c r="D53" s="122"/>
      <c r="E53" s="169">
        <f>+E51-E44</f>
        <v>650919.94400000013</v>
      </c>
      <c r="F53" s="140"/>
      <c r="G53" s="140">
        <f>+G51-G44</f>
        <v>653856.50281357346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0.29046046629846284</v>
      </c>
      <c r="D54" s="123"/>
      <c r="E54" s="197">
        <f>+E53/E51</f>
        <v>0.32902271883568696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+[2]Boulogne!$C56</f>
        <v>222712.17</v>
      </c>
      <c r="D56" s="115"/>
      <c r="E56" s="160">
        <f>+[1]Boulogne!$G$56</f>
        <v>226727.62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+[2]Boulogne!$C57</f>
        <v>298825</v>
      </c>
      <c r="D57" s="115"/>
      <c r="E57" s="160">
        <f>+[1]Boulogne!$G$57</f>
        <v>216101.45400000003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705" t="s">
        <v>295</v>
      </c>
      <c r="B60" s="96"/>
      <c r="C60" s="887">
        <f>+[2]Boulogne!$C60</f>
        <v>0.3</v>
      </c>
      <c r="D60" s="888">
        <f>+[2]Boulogne!$H60</f>
        <v>0.33446587295191799</v>
      </c>
      <c r="E60" s="887">
        <f>+[1]Boulogne!$G$54</f>
        <v>0.32902271883568696</v>
      </c>
      <c r="F60" s="889">
        <f>+C60</f>
        <v>0.3</v>
      </c>
      <c r="G60" s="889">
        <f>G62/G51</f>
        <v>0.29426829603477517</v>
      </c>
      <c r="H60" s="766"/>
      <c r="I60" s="890"/>
      <c r="J60" s="888"/>
      <c r="L60" s="17">
        <f t="shared" si="0"/>
        <v>1</v>
      </c>
    </row>
    <row r="61" spans="1:12" hidden="1">
      <c r="A61" s="5" t="s">
        <v>65</v>
      </c>
      <c r="B61" s="92"/>
      <c r="C61" s="92">
        <f>+[2]Boulogne!$C61</f>
        <v>0.31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705" t="s">
        <v>296</v>
      </c>
      <c r="B62" s="96"/>
      <c r="C62" s="891">
        <f>+C51*C60</f>
        <v>516364.04399999999</v>
      </c>
      <c r="D62" s="892">
        <f>D51*D60</f>
        <v>713896</v>
      </c>
      <c r="E62" s="891">
        <f>+E51*E60</f>
        <v>650919.94400000013</v>
      </c>
      <c r="F62" s="893">
        <f>+F51*F60</f>
        <v>669315.52891583345</v>
      </c>
      <c r="G62" s="893">
        <f>G51-G44</f>
        <v>653856.50281357346</v>
      </c>
      <c r="H62" s="768"/>
      <c r="I62" s="890">
        <f>+IF((E62)=0,,(F62-E62)/E62)</f>
        <v>2.82609022590239E-2</v>
      </c>
      <c r="J62" s="888">
        <f>+IF((F62)=0,,(G62-F62)/F62)</f>
        <v>-2.3096768914506932E-2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954" t="s">
        <v>104</v>
      </c>
      <c r="B64" s="92"/>
      <c r="C64" s="843">
        <f>IF(ISNA(VLOOKUP("BOU613520000",Balance!C:G,5,FALSE))=TRUE,0,VLOOKUP("BOU613520000",Balance!C:G,5,FALSE))</f>
        <v>6403.9</v>
      </c>
      <c r="D64" s="844">
        <f>+[2]Boulogne!$H64</f>
        <v>6506.2216000000008</v>
      </c>
      <c r="E64" s="843">
        <f>IF(ISNA(VLOOKUP("BOU613520000",Balanceanp!C:G,5,FALSE))=TRUE,0,VLOOKUP("BOU613520000",Balanceanp!C:G,5,FALSE))</f>
        <v>6832.35</v>
      </c>
      <c r="F64" s="845">
        <f>+C64+C64/9*(12-Clients!$I$14)</f>
        <v>8538.5333333333328</v>
      </c>
      <c r="G64" s="846">
        <f>+F64*1.03</f>
        <v>8794.6893333333337</v>
      </c>
      <c r="H64" s="847"/>
      <c r="I64" s="848">
        <f t="shared" ref="I64:J68" si="4">+IF((E64)=0,,(F64-E64)/E64)</f>
        <v>0.24972130135800016</v>
      </c>
      <c r="J64" s="849">
        <f t="shared" si="4"/>
        <v>3.0000000000000103E-2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+[2]Boulogne!$H65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954" t="s">
        <v>110</v>
      </c>
      <c r="B66" s="92"/>
      <c r="C66" s="843">
        <f>IF(ISNA(VLOOKUP("BOU616120000",Balance!C:G,5,FALSE))=TRUE,0,VLOOKUP("BOU616120000",Balance!C:G,5,FALSE))</f>
        <v>1877.8</v>
      </c>
      <c r="D66" s="844">
        <f>+[2]Boulogne!$H66</f>
        <v>1150.098</v>
      </c>
      <c r="E66" s="843">
        <f>IF(ISNA(VLOOKUP("BOU616120000",Balanceanp!C:G,5,FALSE))=TRUE,0,VLOOKUP("BOU616120000",Balanceanp!C:G,5,FALSE))</f>
        <v>1807.06</v>
      </c>
      <c r="F66" s="845">
        <f>+C66+C66/9*(12-Clients!$I$14)</f>
        <v>2503.7333333333336</v>
      </c>
      <c r="G66" s="846">
        <f>+F66*1.03</f>
        <v>2578.8453333333337</v>
      </c>
      <c r="H66" s="847"/>
      <c r="I66" s="848">
        <f t="shared" si="4"/>
        <v>0.38552861185203241</v>
      </c>
      <c r="J66" s="849">
        <f t="shared" si="4"/>
        <v>3.000000000000003E-2</v>
      </c>
      <c r="L66" s="17">
        <f t="shared" si="0"/>
        <v>1</v>
      </c>
    </row>
    <row r="67" spans="1:12">
      <c r="A67" s="954" t="s">
        <v>107</v>
      </c>
      <c r="B67" s="92"/>
      <c r="C67" s="843">
        <f>IF(ISNA(VLOOKUP("BOU615520000",Balance!C:G,5,FALSE))=TRUE,0,VLOOKUP("BOU615520000",Balance!C:G,5,FALSE))</f>
        <v>2498.2199999999998</v>
      </c>
      <c r="D67" s="844">
        <f>+[2]Boulogne!$H67</f>
        <v>4559.408300000001</v>
      </c>
      <c r="E67" s="843">
        <f>IF(ISNA(VLOOKUP("BOU615520000",Balanceanp!C:G,5,FALSE))=TRUE,0,VLOOKUP("BOU615520000",Balanceanp!C:G,5,FALSE))</f>
        <v>5319.81</v>
      </c>
      <c r="F67" s="845">
        <f>+C67+C67/9*(12-Clients!$I$14)</f>
        <v>3330.96</v>
      </c>
      <c r="G67" s="846">
        <f>+F67*1.03</f>
        <v>3430.8888000000002</v>
      </c>
      <c r="H67" s="847"/>
      <c r="I67" s="848">
        <f t="shared" si="4"/>
        <v>-0.37385733701015644</v>
      </c>
      <c r="J67" s="849">
        <f t="shared" si="4"/>
        <v>3.0000000000000041E-2</v>
      </c>
      <c r="L67" s="17">
        <f t="shared" si="0"/>
        <v>1</v>
      </c>
    </row>
    <row r="68" spans="1:12">
      <c r="A68" s="954" t="s">
        <v>125</v>
      </c>
      <c r="B68" s="92"/>
      <c r="C68" s="843">
        <f>IF(ISNA(VLOOKUP("BOU606130000",Balance!C:G,5,FALSE))=TRUE,0,VLOOKUP("BOU606130000",Balance!C:G,5,FALSE))</f>
        <v>4860.1499999999996</v>
      </c>
      <c r="D68" s="844">
        <f>+[2]Boulogne!$H68</f>
        <v>7075.5026000000007</v>
      </c>
      <c r="E68" s="843">
        <f>IF(ISNA(VLOOKUP("BOU606130000",Balanceanp!C:G,5,FALSE))=TRUE,0,VLOOKUP("BOU606130000",Balanceanp!C:G,5,FALSE))</f>
        <v>7393.17</v>
      </c>
      <c r="F68" s="845">
        <f>+C68+C68/9*(12-Clients!$I$14)</f>
        <v>6480.2</v>
      </c>
      <c r="G68" s="845">
        <f>+F68*1.03</f>
        <v>6674.6059999999998</v>
      </c>
      <c r="H68" s="894"/>
      <c r="I68" s="848">
        <f t="shared" si="4"/>
        <v>-0.12348830068833805</v>
      </c>
      <c r="J68" s="849">
        <f t="shared" si="4"/>
        <v>2.9999999999999992E-2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710" t="s">
        <v>128</v>
      </c>
      <c r="B70" s="98"/>
      <c r="C70" s="895">
        <f>SUM(C64:C69)</f>
        <v>15640.069999999998</v>
      </c>
      <c r="D70" s="896">
        <f>SUM(D64:D69)</f>
        <v>19291.230500000001</v>
      </c>
      <c r="E70" s="897">
        <f>SUM(E64:E69)</f>
        <v>21352.39</v>
      </c>
      <c r="F70" s="898">
        <f>SUM(F64:F69)</f>
        <v>20853.426666666666</v>
      </c>
      <c r="G70" s="899">
        <f>SUM(G64:G69)</f>
        <v>21479.029466666667</v>
      </c>
      <c r="H70" s="900"/>
      <c r="I70" s="901">
        <f>+IF((E70)=0,,(F70-E70)/E70)</f>
        <v>-2.3368032025142531E-2</v>
      </c>
      <c r="J70" s="902">
        <f>+IF((F70)=0,,(G70-F70)/F70)</f>
        <v>3.0000000000000027E-2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954" t="s">
        <v>1</v>
      </c>
      <c r="B72" s="92"/>
      <c r="C72" s="843">
        <f>IF(ISNA(VLOOKUP("bou602220000",Balance!C:G,5,FALSE))=TRUE,0,VLOOKUP("bou602220000",Balance!C:G,5,FALSE))</f>
        <v>0</v>
      </c>
      <c r="D72" s="844">
        <f>+[2]Boulogne!$H72</f>
        <v>59.512911387848966</v>
      </c>
      <c r="E72" s="843">
        <f>IF(ISNA(VLOOKUP("bou602220000",Balanceanp!C:G,5,FALSE))=TRUE,0,VLOOKUP("bou602220000",Balanceanp!C:G,5,FALSE))</f>
        <v>28.22</v>
      </c>
      <c r="F72" s="845">
        <f>+C72+C72/9*(12-Clients!$I$14)</f>
        <v>0</v>
      </c>
      <c r="G72" s="903">
        <f>+F72*1.03</f>
        <v>0</v>
      </c>
      <c r="H72" s="904"/>
      <c r="I72" s="848">
        <f t="shared" ref="I72:J87" si="5">+IF((E72)=0,,(F72-E72)/E72)</f>
        <v>-1</v>
      </c>
      <c r="J72" s="849">
        <f t="shared" si="5"/>
        <v>0</v>
      </c>
      <c r="L72" s="17">
        <f t="shared" ref="L72:L133" si="6">IF(SUM(C72:J72)&lt;&gt;0,1,0)</f>
        <v>1</v>
      </c>
    </row>
    <row r="73" spans="1:12">
      <c r="A73" s="954" t="s">
        <v>123</v>
      </c>
      <c r="B73" s="92"/>
      <c r="C73" s="843">
        <f>IF(ISNA(VLOOKUP("BOU606100000",Balance!C:G,5,FALSE))=TRUE,0,VLOOKUP("BOU606100000",Balance!C:G,5,FALSE))</f>
        <v>6072.71</v>
      </c>
      <c r="D73" s="844">
        <f>+[2]Boulogne!$H73</f>
        <v>6718.4633648632671</v>
      </c>
      <c r="E73" s="843">
        <f>IF(ISNA(VLOOKUP("BOU606100000",Balanceanp!C:G,5,FALSE))=TRUE,0,VLOOKUP("BOU606100000",Balanceanp!C:G,5,FALSE))</f>
        <v>6932.36</v>
      </c>
      <c r="F73" s="845">
        <f>+C73+C73/9*(12-Clients!$I$14)</f>
        <v>8096.9466666666667</v>
      </c>
      <c r="G73" s="903">
        <f t="shared" ref="G73:G101" si="7">+F73*1.03</f>
        <v>8339.855066666667</v>
      </c>
      <c r="H73" s="904"/>
      <c r="I73" s="848">
        <f t="shared" si="5"/>
        <v>0.16799281437586436</v>
      </c>
      <c r="J73" s="849">
        <f t="shared" si="5"/>
        <v>3.000000000000003E-2</v>
      </c>
      <c r="L73" s="17">
        <f t="shared" si="6"/>
        <v>1</v>
      </c>
    </row>
    <row r="74" spans="1:12" hidden="1">
      <c r="A74" s="5" t="s">
        <v>124</v>
      </c>
      <c r="B74" s="92"/>
      <c r="C74" s="160">
        <f>IF(ISNA(VLOOKUP("BOU606110000",Balance!C:G,5,FALSE))=TRUE,0,VLOOKUP("BOU606110000",Balance!C:G,5,FALSE))</f>
        <v>0</v>
      </c>
      <c r="D74" s="117">
        <f>+[2]Boulogne!$H74</f>
        <v>0</v>
      </c>
      <c r="E74" s="160">
        <f>IF(ISNA(VLOOKUP("BOU606110000",Balanceanp!C:G,5,FALSE))=TRUE,0,VLOOKUP("BOU606110000",Balanceanp!C:G,5,FALSE))</f>
        <v>0</v>
      </c>
      <c r="F74" s="368">
        <f>+C74+C74/9*(12-Clients!$I$14)</f>
        <v>0</v>
      </c>
      <c r="G74" s="396">
        <f t="shared" si="7"/>
        <v>0</v>
      </c>
      <c r="H74" s="409"/>
      <c r="I74" s="149">
        <f t="shared" si="5"/>
        <v>0</v>
      </c>
      <c r="J74" s="271">
        <f t="shared" si="5"/>
        <v>0</v>
      </c>
      <c r="L74" s="17">
        <f t="shared" si="6"/>
        <v>0</v>
      </c>
    </row>
    <row r="75" spans="1:12" hidden="1">
      <c r="A75" s="5" t="s">
        <v>360</v>
      </c>
      <c r="B75" s="92"/>
      <c r="C75" s="160">
        <f>IF(ISNA(VLOOKUP("bou606140000",Balance!C:G,5,FALSE))=TRUE,0,VLOOKUP("bou606140000",Balance!C:G,5,FALSE))</f>
        <v>0</v>
      </c>
      <c r="D75" s="117">
        <f>+[2]Boulogne!$H75</f>
        <v>0</v>
      </c>
      <c r="E75" s="160">
        <f>IF(ISNA(VLOOKUP("bou606140000",Balanceanp!C:G,5,FALSE))=TRUE,0,VLOOKUP("bou606140000",Balanceanp!C:G,5,FALSE))</f>
        <v>0</v>
      </c>
      <c r="F75" s="368">
        <f>+C75+C75/9*(12-Clients!$I$14)</f>
        <v>0</v>
      </c>
      <c r="G75" s="396">
        <f t="shared" si="7"/>
        <v>0</v>
      </c>
      <c r="H75" s="409"/>
      <c r="I75" s="149">
        <f t="shared" si="5"/>
        <v>0</v>
      </c>
      <c r="J75" s="271">
        <f t="shared" si="5"/>
        <v>0</v>
      </c>
      <c r="L75" s="17">
        <f t="shared" si="6"/>
        <v>0</v>
      </c>
    </row>
    <row r="76" spans="1:12">
      <c r="A76" s="954" t="s">
        <v>126</v>
      </c>
      <c r="B76" s="92"/>
      <c r="C76" s="843">
        <f>IF(ISNA(VLOOKUP("BOU606310000",Balance!C:G,5,FALSE))=TRUE,0,VLOOKUP("BOU606310000",Balance!C:G,5,FALSE))</f>
        <v>110.92</v>
      </c>
      <c r="D76" s="844">
        <f>+[2]Boulogne!$H76</f>
        <v>80.564988508314244</v>
      </c>
      <c r="E76" s="843">
        <f>IF(ISNA(VLOOKUP("BOU606310000",Balanceanp!C:G,5,FALSE))=TRUE,0,VLOOKUP("BOU606310000",Balanceanp!C:G,5,FALSE))</f>
        <v>26.07</v>
      </c>
      <c r="F76" s="845">
        <f>+C76+C76/9*(12-Clients!$I$14)</f>
        <v>147.89333333333335</v>
      </c>
      <c r="G76" s="903">
        <f t="shared" si="7"/>
        <v>152.33013333333335</v>
      </c>
      <c r="H76" s="904"/>
      <c r="I76" s="848">
        <f t="shared" si="5"/>
        <v>4.6729318501470409</v>
      </c>
      <c r="J76" s="849">
        <f t="shared" si="5"/>
        <v>3.0000000000000034E-2</v>
      </c>
      <c r="L76" s="17">
        <f t="shared" si="6"/>
        <v>1</v>
      </c>
    </row>
    <row r="77" spans="1:12">
      <c r="A77" s="954" t="s">
        <v>127</v>
      </c>
      <c r="B77" s="92"/>
      <c r="C77" s="843">
        <f>IF(ISNA(VLOOKUP("BOU606410000",Balance!C:G,5,FALSE))=TRUE,0,VLOOKUP("BOU606410000",Balance!C:G,5,FALSE))</f>
        <v>2412.5700000000002</v>
      </c>
      <c r="D77" s="844">
        <f>+[2]Boulogne!$H77</f>
        <v>4107.8992383075392</v>
      </c>
      <c r="E77" s="843">
        <f>IF(ISNA(VLOOKUP("BOU606410000",Balanceanp!C:G,5,FALSE))=TRUE,0,VLOOKUP("BOU606410000",Balanceanp!C:G,5,FALSE))</f>
        <v>3850.55</v>
      </c>
      <c r="F77" s="845">
        <f>+C77+C77/9*(12-Clients!$I$14)</f>
        <v>3216.76</v>
      </c>
      <c r="G77" s="903">
        <f t="shared" si="7"/>
        <v>3313.2628000000004</v>
      </c>
      <c r="H77" s="904"/>
      <c r="I77" s="848">
        <f t="shared" si="5"/>
        <v>-0.16459726532573268</v>
      </c>
      <c r="J77" s="849">
        <f t="shared" si="5"/>
        <v>3.0000000000000061E-2</v>
      </c>
      <c r="L77" s="17">
        <f t="shared" si="6"/>
        <v>1</v>
      </c>
    </row>
    <row r="78" spans="1:12">
      <c r="A78" s="954" t="s">
        <v>101</v>
      </c>
      <c r="B78" s="92"/>
      <c r="C78" s="843">
        <f>IF(ISNA(VLOOKUP("BOU611000000",Balance!C:G,5,FALSE))=TRUE,0,VLOOKUP("BOU611000000",Balance!C:G,5,FALSE))</f>
        <v>0</v>
      </c>
      <c r="D78" s="844">
        <f>+[2]Boulogne!$H78</f>
        <v>1.3272717444916666</v>
      </c>
      <c r="E78" s="843">
        <f>IF(ISNA(VLOOKUP("BOU611000000",Balanceanp!C:G,5,FALSE))=TRUE,0,VLOOKUP("BOU611000000",Balanceanp!C:G,5,FALSE))</f>
        <v>560</v>
      </c>
      <c r="F78" s="845">
        <f>+C78+C78/9*(12-Clients!$I$14)</f>
        <v>0</v>
      </c>
      <c r="G78" s="845">
        <f t="shared" si="7"/>
        <v>0</v>
      </c>
      <c r="H78" s="894"/>
      <c r="I78" s="848">
        <f t="shared" si="5"/>
        <v>-1</v>
      </c>
      <c r="J78" s="849">
        <f t="shared" si="5"/>
        <v>0</v>
      </c>
      <c r="L78" s="17">
        <f t="shared" si="6"/>
        <v>1</v>
      </c>
    </row>
    <row r="79" spans="1:12">
      <c r="A79" s="954" t="s">
        <v>102</v>
      </c>
      <c r="B79" s="92"/>
      <c r="C79" s="843">
        <f>IF(ISNA(VLOOKUP("BOU613200000",Balance!C:G,5,FALSE))=TRUE,0,VLOOKUP("BOU613200000",Balance!C:G,5,FALSE))</f>
        <v>19312.47</v>
      </c>
      <c r="D79" s="844">
        <f>+[2]Boulogne!$H79</f>
        <v>25750</v>
      </c>
      <c r="E79" s="843">
        <f>IF(ISNA(VLOOKUP("BOU613200000",Balanceanp!C:G,5,FALSE))=TRUE,0,VLOOKUP("BOU613200000",Balanceanp!C:G,5,FALSE))</f>
        <v>25000</v>
      </c>
      <c r="F79" s="885">
        <f>6250*4</f>
        <v>25000</v>
      </c>
      <c r="G79" s="885">
        <f>+F79</f>
        <v>25000</v>
      </c>
      <c r="H79" s="1150">
        <f>G79/G21</f>
        <v>1.1078152376884061E-2</v>
      </c>
      <c r="I79" s="848">
        <f t="shared" si="5"/>
        <v>0</v>
      </c>
      <c r="J79" s="849">
        <f t="shared" si="5"/>
        <v>0</v>
      </c>
      <c r="L79" s="17">
        <f t="shared" si="6"/>
        <v>1</v>
      </c>
    </row>
    <row r="80" spans="1:12">
      <c r="A80" s="954" t="s">
        <v>325</v>
      </c>
      <c r="B80" s="92"/>
      <c r="C80" s="843">
        <f>IF(ISNA(VLOOKUP("bou614000000",Balance!C:G,5,FALSE))=TRUE,0,VLOOKUP("bou614000000",Balance!C:G,5,FALSE))</f>
        <v>102.77</v>
      </c>
      <c r="D80" s="844">
        <f>+[2]Boulogne!$H80</f>
        <v>208.86543522174063</v>
      </c>
      <c r="E80" s="843">
        <f>IF(ISNA(VLOOKUP("bou614000000",Balanceanp!C:G,5,FALSE))=TRUE,0,VLOOKUP("bou614000000",Balanceanp!C:G,5,FALSE))</f>
        <v>155</v>
      </c>
      <c r="F80" s="845">
        <f>+C80+C80/9*(12-Clients!$I$14)</f>
        <v>137.02666666666667</v>
      </c>
      <c r="G80" s="903">
        <f t="shared" si="7"/>
        <v>141.13746666666668</v>
      </c>
      <c r="H80" s="904"/>
      <c r="I80" s="848">
        <f t="shared" si="5"/>
        <v>-0.11595698924731181</v>
      </c>
      <c r="J80" s="849">
        <f t="shared" si="5"/>
        <v>3.0000000000000086E-2</v>
      </c>
      <c r="L80" s="17">
        <f t="shared" si="6"/>
        <v>1</v>
      </c>
    </row>
    <row r="81" spans="1:12" hidden="1">
      <c r="A81" s="5" t="s">
        <v>103</v>
      </c>
      <c r="B81" s="92"/>
      <c r="C81" s="160">
        <f>IF(ISNA(VLOOKUP("BOU613510000",Balance!C:G,5,FALSE))=TRUE,0,VLOOKUP("BOU613510000",Balance!C:G,5,FALSE))</f>
        <v>0</v>
      </c>
      <c r="D81" s="117">
        <f>+[2]Boulogne!$H81</f>
        <v>0</v>
      </c>
      <c r="E81" s="160">
        <f>IF(ISNA(VLOOKUP("BOU613510000",Balanceanp!C:G,5,FALSE))=TRUE,0,VLOOKUP("BOU613510000",Balanceanp!C:G,5,FALSE))</f>
        <v>0</v>
      </c>
      <c r="F81" s="368">
        <f>+C81+C81/9*(12-Clients!$I$14)</f>
        <v>0</v>
      </c>
      <c r="G81" s="396">
        <f t="shared" si="7"/>
        <v>0</v>
      </c>
      <c r="H81" s="409"/>
      <c r="I81" s="149">
        <f t="shared" si="5"/>
        <v>0</v>
      </c>
      <c r="J81" s="271">
        <f t="shared" si="5"/>
        <v>0</v>
      </c>
      <c r="L81" s="17">
        <f t="shared" si="6"/>
        <v>0</v>
      </c>
    </row>
    <row r="82" spans="1:12">
      <c r="A82" s="954" t="s">
        <v>105</v>
      </c>
      <c r="B82" s="92"/>
      <c r="C82" s="843">
        <f>IF(ISNA(VLOOKUP("BOU613530000",Balance!C:G,5,FALSE))=TRUE,0,VLOOKUP("BOU613530000",Balance!C:G,5,FALSE))</f>
        <v>176.85</v>
      </c>
      <c r="D82" s="844">
        <f>+[2]Boulogne!$H82</f>
        <v>249.86360469425</v>
      </c>
      <c r="E82" s="843">
        <f>IF(ISNA(VLOOKUP("BOU613530000",Balanceanp!C:G,5,FALSE))=TRUE,0,VLOOKUP("BOU613530000",Balanceanp!C:G,5,FALSE))</f>
        <v>235.8</v>
      </c>
      <c r="F82" s="845">
        <f>+C82+C82/9*(12-Clients!$I$14)</f>
        <v>235.79999999999998</v>
      </c>
      <c r="G82" s="903">
        <f t="shared" si="7"/>
        <v>242.874</v>
      </c>
      <c r="H82" s="904"/>
      <c r="I82" s="848">
        <f t="shared" si="5"/>
        <v>-1.205331188736387E-16</v>
      </c>
      <c r="J82" s="849">
        <f t="shared" si="5"/>
        <v>3.0000000000000054E-2</v>
      </c>
      <c r="L82" s="17">
        <f t="shared" si="6"/>
        <v>1</v>
      </c>
    </row>
    <row r="83" spans="1:12">
      <c r="A83" s="954" t="s">
        <v>287</v>
      </c>
      <c r="B83" s="92"/>
      <c r="C83" s="843">
        <f>IF(ISNA(VLOOKUP("bou613540000",Balance!C:G,5,FALSE))=TRUE,0,VLOOKUP("bou613540000",Balance!C:G,5,FALSE))</f>
        <v>698.24</v>
      </c>
      <c r="D83" s="844">
        <f>+[2]Boulogne!$H83</f>
        <v>0.39080167013888889</v>
      </c>
      <c r="E83" s="843">
        <f>IF(ISNA(VLOOKUP("bou613540000",Balanceanp!C:G,5,FALSE))=TRUE,0,VLOOKUP("bou613540000",Balanceanp!C:G,5,FALSE))</f>
        <v>15.81</v>
      </c>
      <c r="F83" s="845">
        <f>+C83+C83/9*(12-Clients!$I$14)</f>
        <v>930.98666666666668</v>
      </c>
      <c r="G83" s="903">
        <f t="shared" si="7"/>
        <v>958.91626666666673</v>
      </c>
      <c r="H83" s="904"/>
      <c r="I83" s="848">
        <f t="shared" si="5"/>
        <v>57.885937170567153</v>
      </c>
      <c r="J83" s="849">
        <f t="shared" si="5"/>
        <v>3.0000000000000054E-2</v>
      </c>
      <c r="L83" s="17">
        <f t="shared" si="6"/>
        <v>1</v>
      </c>
    </row>
    <row r="84" spans="1:12">
      <c r="A84" s="954" t="s">
        <v>108</v>
      </c>
      <c r="B84" s="92"/>
      <c r="C84" s="843">
        <f>IF(ISNA(VLOOKUP("BOU615200000",Balance!C:G,5,FALSE))=TRUE,0,VLOOKUP("BOU615200000",Balance!C:G,5,FALSE))</f>
        <v>4174.2</v>
      </c>
      <c r="D84" s="844">
        <f>+[2]Boulogne!$H84</f>
        <v>3858.1952125289831</v>
      </c>
      <c r="E84" s="843">
        <f>IF(ISNA(VLOOKUP("BOU615200000",Balanceanp!C:G,5,FALSE))=TRUE,0,VLOOKUP("BOU615200000",Balanceanp!C:G,5,FALSE))</f>
        <v>3827.7</v>
      </c>
      <c r="F84" s="845">
        <f>+C84+C84/9*(12-Clients!$I$14)</f>
        <v>5565.5999999999995</v>
      </c>
      <c r="G84" s="903">
        <f t="shared" si="7"/>
        <v>5732.5679999999993</v>
      </c>
      <c r="H84" s="904"/>
      <c r="I84" s="848">
        <f t="shared" si="5"/>
        <v>0.45403244768398771</v>
      </c>
      <c r="J84" s="849">
        <f t="shared" si="5"/>
        <v>2.9999999999999975E-2</v>
      </c>
      <c r="L84" s="17">
        <f t="shared" si="6"/>
        <v>1</v>
      </c>
    </row>
    <row r="85" spans="1:12">
      <c r="A85" s="954" t="s">
        <v>109</v>
      </c>
      <c r="B85" s="92"/>
      <c r="C85" s="843">
        <f>IF(ISNA(VLOOKUP("BOU615500000",Balance!C:G,5,FALSE))=TRUE,0,VLOOKUP("BOU615500000",Balance!C:G,5,FALSE))</f>
        <v>0</v>
      </c>
      <c r="D85" s="844">
        <f>+[2]Boulogne!$H85</f>
        <v>772.04663773240532</v>
      </c>
      <c r="E85" s="843">
        <f>IF(ISNA(VLOOKUP("BOU615500000",Balanceanp!C:G,5,FALSE))=TRUE,0,VLOOKUP("BOU615500000",Balanceanp!C:G,5,FALSE))</f>
        <v>571.58000000000004</v>
      </c>
      <c r="F85" s="845">
        <f>+C85+C85/9*(12-Clients!$I$14)</f>
        <v>0</v>
      </c>
      <c r="G85" s="903">
        <f t="shared" si="7"/>
        <v>0</v>
      </c>
      <c r="H85" s="904"/>
      <c r="I85" s="848">
        <f t="shared" si="5"/>
        <v>-1</v>
      </c>
      <c r="J85" s="849">
        <f t="shared" si="5"/>
        <v>0</v>
      </c>
      <c r="L85" s="17">
        <f t="shared" si="6"/>
        <v>1</v>
      </c>
    </row>
    <row r="86" spans="1:12">
      <c r="A86" s="954" t="s">
        <v>106</v>
      </c>
      <c r="B86" s="92"/>
      <c r="C86" s="843">
        <f>IF(ISNA(VLOOKUP("BOU615510000",Balance!C:G,5,FALSE))=TRUE,0,VLOOKUP("BOU615510000",Balance!C:G,5,FALSE))</f>
        <v>878.52</v>
      </c>
      <c r="D86" s="844">
        <f>+[2]Boulogne!$H86</f>
        <v>1074.5559055472506</v>
      </c>
      <c r="E86" s="843">
        <f>IF(ISNA(VLOOKUP("BOU615510000",Balanceanp!C:G,5,FALSE))=TRUE,0,VLOOKUP("BOU615510000",Balanceanp!C:G,5,FALSE))</f>
        <v>1111.52</v>
      </c>
      <c r="F86" s="845">
        <f>+C86+C86/9*(12-Clients!$I$14)</f>
        <v>1171.3599999999999</v>
      </c>
      <c r="G86" s="903">
        <f t="shared" si="7"/>
        <v>1206.5008</v>
      </c>
      <c r="H86" s="904"/>
      <c r="I86" s="848">
        <f t="shared" si="5"/>
        <v>5.3836188282711889E-2</v>
      </c>
      <c r="J86" s="849">
        <f t="shared" si="5"/>
        <v>3.000000000000011E-2</v>
      </c>
      <c r="L86" s="17">
        <f t="shared" si="6"/>
        <v>1</v>
      </c>
    </row>
    <row r="87" spans="1:12" hidden="1">
      <c r="A87" s="5" t="s">
        <v>363</v>
      </c>
      <c r="B87" s="92"/>
      <c r="C87" s="160">
        <f>IF(ISNA(VLOOKUP("bou615530000",Balance!C:G,5,FALSE))=TRUE,0,VLOOKUP("bou615530000",Balance!C:G,5,FALSE))</f>
        <v>0</v>
      </c>
      <c r="D87" s="117">
        <f>+[2]Boulogne!$H87</f>
        <v>0</v>
      </c>
      <c r="E87" s="160">
        <f>IF(ISNA(VLOOKUP("bou615530000",Balanceanp!C:G,5,FALSE))=TRUE,0,VLOOKUP("bou615530000",Balanceanp!C:G,5,FALSE))</f>
        <v>0</v>
      </c>
      <c r="F87" s="368">
        <f>+C87+C87/9*(12-Clients!$I$14)</f>
        <v>0</v>
      </c>
      <c r="G87" s="396">
        <f t="shared" si="7"/>
        <v>0</v>
      </c>
      <c r="H87" s="409"/>
      <c r="I87" s="149">
        <f t="shared" si="5"/>
        <v>0</v>
      </c>
      <c r="J87" s="271">
        <f t="shared" si="5"/>
        <v>0</v>
      </c>
      <c r="L87" s="17">
        <f t="shared" si="6"/>
        <v>0</v>
      </c>
    </row>
    <row r="88" spans="1:12">
      <c r="A88" s="954" t="s">
        <v>111</v>
      </c>
      <c r="B88" s="92"/>
      <c r="C88" s="843">
        <f>IF(ISNA(VLOOKUP("BOU616130000",Balance!C:G,5,FALSE))=TRUE,0,VLOOKUP("BOU616130000",Balance!C:G,5,FALSE))</f>
        <v>2722.59</v>
      </c>
      <c r="D88" s="844">
        <f>+[2]Boulogne!$H88</f>
        <v>3630.1797000000001</v>
      </c>
      <c r="E88" s="843">
        <f>IF(ISNA(VLOOKUP("BOU616130000",Balanceanp!C:G,5,FALSE))=TRUE,0,VLOOKUP("BOU616130000",Balanceanp!C:G,5,FALSE))</f>
        <v>3249.09</v>
      </c>
      <c r="F88" s="845">
        <f>+C88+C88/9*(12-Clients!$I$14)</f>
        <v>3630.12</v>
      </c>
      <c r="G88" s="906">
        <f>+E88*1.05*1.05</f>
        <v>3582.1217250000004</v>
      </c>
      <c r="H88" s="905"/>
      <c r="I88" s="848">
        <f t="shared" ref="I88:I101" si="8">+IF((E88)=0,,(F88-E88)/E88)</f>
        <v>0.11727283639419028</v>
      </c>
      <c r="J88" s="849">
        <f t="shared" ref="J88:J101" si="9">+IF((F88)=0,,(G88-F88)/F88)</f>
        <v>-1.3222228190803464E-2</v>
      </c>
      <c r="L88" s="17">
        <f t="shared" si="6"/>
        <v>1</v>
      </c>
    </row>
    <row r="89" spans="1:12" hidden="1">
      <c r="A89" s="5" t="s">
        <v>315</v>
      </c>
      <c r="B89" s="92"/>
      <c r="C89" s="160"/>
      <c r="D89" s="117">
        <f>+[2]Boulogne!$H89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954" t="s">
        <v>112</v>
      </c>
      <c r="B90" s="92"/>
      <c r="C90" s="843">
        <f>IF(ISNA(VLOOKUP("BOU618100000",Balance!C:G,5,FALSE))=TRUE,0,VLOOKUP("BOU618100000",Balance!C:G,5,FALSE))</f>
        <v>269.36</v>
      </c>
      <c r="D90" s="844">
        <f>+[2]Boulogne!$H90</f>
        <v>446.03324593370485</v>
      </c>
      <c r="E90" s="843">
        <f>IF(ISNA(VLOOKUP("BOU618100000",Balanceanp!C:G,5,FALSE))=TRUE,0,VLOOKUP("BOU618100000",Balanceanp!C:G,5,FALSE))</f>
        <v>486.32</v>
      </c>
      <c r="F90" s="845">
        <f>+C90+C90/9*(12-Clients!$I$14)</f>
        <v>359.1466666666667</v>
      </c>
      <c r="G90" s="903">
        <f t="shared" si="7"/>
        <v>369.92106666666672</v>
      </c>
      <c r="H90" s="904"/>
      <c r="I90" s="848">
        <f t="shared" si="8"/>
        <v>-0.26150134342271197</v>
      </c>
      <c r="J90" s="849">
        <f t="shared" si="9"/>
        <v>3.0000000000000037E-2</v>
      </c>
      <c r="L90" s="17">
        <f t="shared" si="6"/>
        <v>1</v>
      </c>
    </row>
    <row r="91" spans="1:12">
      <c r="A91" s="954" t="s">
        <v>113</v>
      </c>
      <c r="B91" s="92"/>
      <c r="C91" s="843">
        <f>IF(ISNA(VLOOKUP("BOU618500000",Balance!C:G,5,FALSE))=TRUE,0,VLOOKUP("BOU618500000",Balance!C:G,5,FALSE))</f>
        <v>1563.62</v>
      </c>
      <c r="D91" s="844">
        <f>+[2]Boulogne!$H91</f>
        <v>1109.8543617300129</v>
      </c>
      <c r="E91" s="843">
        <f>IF(ISNA(VLOOKUP("BOU618500000",Balanceanp!C:G,5,FALSE))=TRUE,0,VLOOKUP("BOU618500000",Balanceanp!C:G,5,FALSE))</f>
        <v>898.32</v>
      </c>
      <c r="F91" s="845">
        <f>+C91+C91/9*(12-Clients!$I$14)</f>
        <v>2084.8266666666668</v>
      </c>
      <c r="G91" s="903">
        <f t="shared" si="7"/>
        <v>2147.3714666666669</v>
      </c>
      <c r="H91" s="904"/>
      <c r="I91" s="848">
        <f t="shared" si="8"/>
        <v>1.3208062457327752</v>
      </c>
      <c r="J91" s="849">
        <f t="shared" si="9"/>
        <v>3.0000000000000058E-2</v>
      </c>
      <c r="L91" s="17">
        <f t="shared" si="6"/>
        <v>1</v>
      </c>
    </row>
    <row r="92" spans="1:12" hidden="1">
      <c r="A92" s="5" t="s">
        <v>309</v>
      </c>
      <c r="B92" s="92"/>
      <c r="C92" s="160">
        <f>IF(ISNA(VLOOKUP("BOU622200000",Balance!C:G,5,FALSE))=TRUE,0,VLOOKUP("BOU622200000",Balance!C:G,5,FALSE))</f>
        <v>0</v>
      </c>
      <c r="D92" s="117">
        <f>+[2]Boulogne!$H92</f>
        <v>0</v>
      </c>
      <c r="E92" s="160">
        <f>IF(ISNA(VLOOKUP("BOU622200000",Balanceanp!C:G,5,FALSE))=TRUE,0,VLOOKUP("BOU622200000",Balanceanp!C:G,5,FALSE))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954" t="s">
        <v>115</v>
      </c>
      <c r="B93" s="92"/>
      <c r="C93" s="843">
        <f>IF(ISNA(VLOOKUP("BOU622600000",Balance!C:G,5,FALSE))=TRUE,0,VLOOKUP("BOU622600000",Balance!C:G,5,FALSE))</f>
        <v>0</v>
      </c>
      <c r="D93" s="844">
        <f>+[2]Boulogne!$H93</f>
        <v>0.5862025052083335</v>
      </c>
      <c r="E93" s="843">
        <f>IF(ISNA(VLOOKUP("BOU622600000",Balanceanp!C:G,5,FALSE))=TRUE,0,VLOOKUP("BOU622600000",Balanceanp!C:G,5,FALSE))</f>
        <v>0</v>
      </c>
      <c r="F93" s="845">
        <f>+C93+C93/9*(12-Clients!$I$14)</f>
        <v>0</v>
      </c>
      <c r="G93" s="903">
        <f t="shared" si="7"/>
        <v>0</v>
      </c>
      <c r="H93" s="904"/>
      <c r="I93" s="848">
        <f t="shared" si="8"/>
        <v>0</v>
      </c>
      <c r="J93" s="849">
        <f t="shared" si="9"/>
        <v>0</v>
      </c>
      <c r="L93" s="17">
        <f t="shared" si="6"/>
        <v>1</v>
      </c>
    </row>
    <row r="94" spans="1:12" hidden="1">
      <c r="A94" s="5" t="s">
        <v>42</v>
      </c>
      <c r="B94" s="92"/>
      <c r="C94" s="160">
        <f>IF(ISNA(VLOOKUP("BOU622710000",Balance!C:G,5,FALSE))=TRUE,0,VLOOKUP("BOU622710000",Balance!C:G,5,FALSE))</f>
        <v>0</v>
      </c>
      <c r="D94" s="117">
        <f>+[2]Boulogne!$H94</f>
        <v>0</v>
      </c>
      <c r="E94" s="160">
        <f>IF(ISNA(VLOOKUP("BOU622710000",Balanceanp!C:G,5,FALSE))=TRUE,0,VLOOKUP("BOU622710000",Balanceanp!C:G,5,FALSE))</f>
        <v>0</v>
      </c>
      <c r="F94" s="368">
        <f>+C94+C94/9*(12-Clients!$I$14)</f>
        <v>0</v>
      </c>
      <c r="G94" s="396">
        <f t="shared" si="7"/>
        <v>0</v>
      </c>
      <c r="H94" s="409"/>
      <c r="I94" s="149">
        <f t="shared" si="8"/>
        <v>0</v>
      </c>
      <c r="J94" s="271">
        <f t="shared" si="9"/>
        <v>0</v>
      </c>
      <c r="L94" s="17">
        <f t="shared" si="6"/>
        <v>0</v>
      </c>
    </row>
    <row r="95" spans="1:12">
      <c r="A95" s="954" t="s">
        <v>117</v>
      </c>
      <c r="B95" s="92">
        <f>+C95/$C$21</f>
        <v>1.3160301401104454E-2</v>
      </c>
      <c r="C95" s="843">
        <f>IF(ISNA(VLOOKUP("BOU624200000",Balance!C:G,5,FALSE))=TRUE,0,VLOOKUP("BOU624200000",Balance!C:G,5,FALSE))</f>
        <v>22972.51</v>
      </c>
      <c r="D95" s="844">
        <f>+[2]Boulogne!$H95</f>
        <v>34521.248441238786</v>
      </c>
      <c r="E95" s="843">
        <f>IF(ISNA(VLOOKUP("BOU624200000",Balanceanp!C:G,5,FALSE))=TRUE,0,VLOOKUP("BOU624200000",Balanceanp!C:G,5,FALSE))</f>
        <v>35913.99</v>
      </c>
      <c r="F95" s="845">
        <f>+C95+C95/9*(12-Clients!$I$14)</f>
        <v>30630.013333333329</v>
      </c>
      <c r="G95" s="903">
        <f>B95*G21</f>
        <v>29698.773210064017</v>
      </c>
      <c r="H95" s="907">
        <f>+G95/$G$21</f>
        <v>1.3160301401104454E-2</v>
      </c>
      <c r="I95" s="848">
        <f t="shared" si="8"/>
        <v>-0.14712864448273971</v>
      </c>
      <c r="J95" s="849">
        <f t="shared" si="9"/>
        <v>-3.0402863790329571E-2</v>
      </c>
      <c r="L95" s="17">
        <f t="shared" si="6"/>
        <v>1</v>
      </c>
    </row>
    <row r="96" spans="1:12">
      <c r="A96" s="954" t="s">
        <v>118</v>
      </c>
      <c r="B96" s="92"/>
      <c r="C96" s="843">
        <f>IF(ISNA(VLOOKUP("BOU625100000",Balance!C:G,5,FALSE))=TRUE,0,VLOOKUP("BOU625100000",Balance!C:G,5,FALSE))</f>
        <v>4531.8600000000006</v>
      </c>
      <c r="D96" s="844">
        <f>+[2]Boulogne!$H96</f>
        <v>7074.5447000000004</v>
      </c>
      <c r="E96" s="843">
        <f>IF(ISNA(VLOOKUP("BOU625100000",Balanceanp!C:G,5,FALSE))=TRUE,0,VLOOKUP("BOU625100000",Balanceanp!C:G,5,FALSE))</f>
        <v>5762.8</v>
      </c>
      <c r="F96" s="845">
        <f>+C96+C96/9*(12-Clients!$I$14)</f>
        <v>6042.4800000000014</v>
      </c>
      <c r="G96" s="846">
        <f t="shared" si="7"/>
        <v>6223.7544000000016</v>
      </c>
      <c r="H96" s="847"/>
      <c r="I96" s="848">
        <f t="shared" si="8"/>
        <v>4.8531963628791766E-2</v>
      </c>
      <c r="J96" s="849">
        <f t="shared" si="9"/>
        <v>3.0000000000000034E-2</v>
      </c>
      <c r="L96" s="17">
        <f t="shared" si="6"/>
        <v>1</v>
      </c>
    </row>
    <row r="97" spans="1:12">
      <c r="A97" s="954" t="s">
        <v>7</v>
      </c>
      <c r="B97" s="92"/>
      <c r="C97" s="843">
        <f>IF(ISNA(VLOOKUP("BOU625200000",Balance!C:G,5,FALSE))=TRUE,0,VLOOKUP("BOU625200000",Balance!C:G,5,FALSE))</f>
        <v>0</v>
      </c>
      <c r="D97" s="844">
        <f>+[2]Boulogne!$H97</f>
        <v>224.01986281062503</v>
      </c>
      <c r="E97" s="843">
        <f>IF(ISNA(VLOOKUP("BOU625200000",Balanceanp!C:G,5,FALSE))=TRUE,0,VLOOKUP("BOU625200000",Balanceanp!C:G,5,FALSE))</f>
        <v>0</v>
      </c>
      <c r="F97" s="845">
        <f>+C97+C97/9*(12-Clients!$I$14)</f>
        <v>0</v>
      </c>
      <c r="G97" s="846">
        <f t="shared" si="7"/>
        <v>0</v>
      </c>
      <c r="H97" s="847"/>
      <c r="I97" s="848">
        <f t="shared" si="8"/>
        <v>0</v>
      </c>
      <c r="J97" s="849">
        <f t="shared" si="9"/>
        <v>0</v>
      </c>
      <c r="L97" s="17">
        <f t="shared" si="6"/>
        <v>1</v>
      </c>
    </row>
    <row r="98" spans="1:12" hidden="1">
      <c r="A98" s="5" t="s">
        <v>307</v>
      </c>
      <c r="B98" s="92"/>
      <c r="C98" s="160">
        <f>IF(ISNA(VLOOKUP("BOU625510000",Balance!C:G,5,FALSE))=TRUE,0,VLOOKUP("BOU625510000",Balance!C:G,5,FALSE))</f>
        <v>0</v>
      </c>
      <c r="D98" s="117">
        <f>+[2]Boulogne!$H98</f>
        <v>0</v>
      </c>
      <c r="E98" s="160">
        <f>IF(ISNA(VLOOKUP("BOU625510000",Balanceanp!C:G,5,FALSE))=TRUE,0,VLOOKUP("BOU625510000",Balanceanp!C:G,5,FALSE))</f>
        <v>0</v>
      </c>
      <c r="F98" s="368">
        <f>+C98+C98/9*(12-Clients!$I$14)</f>
        <v>0</v>
      </c>
      <c r="G98" s="396">
        <f t="shared" si="7"/>
        <v>0</v>
      </c>
      <c r="H98" s="409"/>
      <c r="I98" s="149">
        <f t="shared" si="8"/>
        <v>0</v>
      </c>
      <c r="J98" s="271">
        <f t="shared" si="9"/>
        <v>0</v>
      </c>
      <c r="L98" s="17">
        <f t="shared" si="6"/>
        <v>0</v>
      </c>
    </row>
    <row r="99" spans="1:12">
      <c r="A99" s="954" t="s">
        <v>119</v>
      </c>
      <c r="B99" s="92"/>
      <c r="C99" s="843">
        <f>IF(ISNA(VLOOKUP("BOU626000000",Balance!C:G,5,FALSE))=TRUE,0,VLOOKUP("BOU626000000",Balance!C:G,5,FALSE))</f>
        <v>4481.8100000000004</v>
      </c>
      <c r="D99" s="844">
        <f>+[2]Boulogne!$H99</f>
        <v>6395.9852209370847</v>
      </c>
      <c r="E99" s="843">
        <f>IF(ISNA(VLOOKUP("BOU626000000",Balanceanp!C:G,5,FALSE))=TRUE,0,VLOOKUP("BOU626000000",Balanceanp!C:G,5,FALSE))</f>
        <v>5982.63</v>
      </c>
      <c r="F99" s="845">
        <f>+C99+C99/9*(12-Clients!$I$14)</f>
        <v>5975.7466666666678</v>
      </c>
      <c r="G99" s="903">
        <f>+F99</f>
        <v>5975.7466666666678</v>
      </c>
      <c r="H99" s="904"/>
      <c r="I99" s="848">
        <f t="shared" si="8"/>
        <v>-1.1505530733694549E-3</v>
      </c>
      <c r="J99" s="849">
        <f t="shared" si="9"/>
        <v>0</v>
      </c>
      <c r="L99" s="17">
        <f t="shared" si="6"/>
        <v>1</v>
      </c>
    </row>
    <row r="100" spans="1:12">
      <c r="A100" s="954" t="s">
        <v>120</v>
      </c>
      <c r="B100" s="92"/>
      <c r="C100" s="843">
        <f>IF(ISNA(VLOOKUP("BOU626100000",Balance!C:G,5,FALSE))=TRUE,0,VLOOKUP("BOU626100000",Balance!C:G,5,FALSE))</f>
        <v>1443.78</v>
      </c>
      <c r="D100" s="844">
        <f>+[2]Boulogne!$H100</f>
        <v>1054.4005415289566</v>
      </c>
      <c r="E100" s="843">
        <f>IF(ISNA(VLOOKUP("BOU626100000",Balanceanp!C:G,5,FALSE))=TRUE,0,VLOOKUP("BOU626100000",Balanceanp!C:G,5,FALSE))</f>
        <v>1063.69</v>
      </c>
      <c r="F100" s="845">
        <f>+C100+C100/9*(12-Clients!$I$14)</f>
        <v>1925.04</v>
      </c>
      <c r="G100" s="903">
        <f t="shared" si="7"/>
        <v>1982.7912000000001</v>
      </c>
      <c r="H100" s="904"/>
      <c r="I100" s="848">
        <f t="shared" si="8"/>
        <v>0.80977540448814966</v>
      </c>
      <c r="J100" s="849">
        <f t="shared" si="9"/>
        <v>3.0000000000000079E-2</v>
      </c>
      <c r="L100" s="17">
        <f t="shared" si="6"/>
        <v>1</v>
      </c>
    </row>
    <row r="101" spans="1:12">
      <c r="A101" s="954" t="s">
        <v>121</v>
      </c>
      <c r="B101" s="92"/>
      <c r="C101" s="843">
        <f>IF(ISNA(VLOOKUP("BOU628400000",Balance!C:G,5,FALSE))=TRUE,0,VLOOKUP("BOU628400000",Balance!C:G,5,FALSE))</f>
        <v>0</v>
      </c>
      <c r="D101" s="844">
        <f>+[2]Boulogne!$H101</f>
        <v>4.12</v>
      </c>
      <c r="E101" s="843">
        <f>IF(ISNA(VLOOKUP("BOU628400000",Balanceanp!C:G,5,FALSE))=TRUE,0,VLOOKUP("BOU628400000",Balanceanp!C:G,5,FALSE))</f>
        <v>0</v>
      </c>
      <c r="F101" s="845">
        <f>+C101+C101/9*(12-Clients!$I$14)</f>
        <v>0</v>
      </c>
      <c r="G101" s="903">
        <f t="shared" si="7"/>
        <v>0</v>
      </c>
      <c r="H101" s="904"/>
      <c r="I101" s="848">
        <f t="shared" si="8"/>
        <v>0</v>
      </c>
      <c r="J101" s="849">
        <f t="shared" si="9"/>
        <v>0</v>
      </c>
      <c r="L101" s="17">
        <f t="shared" si="6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695" t="s">
        <v>122</v>
      </c>
      <c r="B103" s="93">
        <f>+C103/$C$21</f>
        <v>5.0163426553846376E-2</v>
      </c>
      <c r="C103" s="850">
        <f>SUM(C70:C102)</f>
        <v>87564.849999999991</v>
      </c>
      <c r="D103" s="851">
        <f>SUM(D70:D102)</f>
        <v>116633.8881488906</v>
      </c>
      <c r="E103" s="850">
        <f>SUM(E70:E102)</f>
        <v>117023.84000000001</v>
      </c>
      <c r="F103" s="852">
        <f>SUM(F70:F102)</f>
        <v>116003.17333333331</v>
      </c>
      <c r="G103" s="852">
        <f>SUM(G70:G102)</f>
        <v>116546.95373506403</v>
      </c>
      <c r="H103" s="908">
        <f>+G103/$G$21</f>
        <v>5.164499650154785E-2</v>
      </c>
      <c r="I103" s="853">
        <f>+IF((E103)=0,,(F103-E103)/E103)</f>
        <v>-8.7218695495439261E-3</v>
      </c>
      <c r="J103" s="854">
        <f>+IF((F103)=0,,(G103-F103)/F103)</f>
        <v>4.6876338474653298E-3</v>
      </c>
      <c r="K103" s="136">
        <f>(C103+(C103/3))</f>
        <v>116753.13333333332</v>
      </c>
      <c r="L103" s="17">
        <f t="shared" si="6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954" t="s">
        <v>129</v>
      </c>
      <c r="B105" s="92"/>
      <c r="C105" s="843">
        <f>IF(ISNA(VLOOKUP("BOU623100000",Balance!C:G,5,FALSE))=TRUE,0,VLOOKUP("BOU623100000",Balance!C:G,5,FALSE))</f>
        <v>0</v>
      </c>
      <c r="D105" s="844">
        <f>+[2]Boulogne!$H105</f>
        <v>977.779</v>
      </c>
      <c r="E105" s="843">
        <f>IF(ISNA(VLOOKUP("BOU623100000",Balanceanp!C:G,5,FALSE))=TRUE,0,VLOOKUP("BOU623100000",Balanceanp!C:G,5,FALSE))</f>
        <v>774.3</v>
      </c>
      <c r="F105" s="845">
        <f>+C105+C105/9*(12-Clients!$I$14)</f>
        <v>0</v>
      </c>
      <c r="G105" s="846">
        <f t="shared" ref="G105:G114" si="10">+F105*1.03</f>
        <v>0</v>
      </c>
      <c r="H105" s="847"/>
      <c r="I105" s="848">
        <f t="shared" ref="I105:J114" si="11">+IF((E105)=0,,(F105-E105)/E105)</f>
        <v>-1</v>
      </c>
      <c r="J105" s="849">
        <f t="shared" si="11"/>
        <v>0</v>
      </c>
      <c r="L105" s="17">
        <f t="shared" si="6"/>
        <v>1</v>
      </c>
    </row>
    <row r="106" spans="1:12">
      <c r="A106" s="954" t="s">
        <v>130</v>
      </c>
      <c r="B106" s="92"/>
      <c r="C106" s="843">
        <f>IF(ISNA(VLOOKUP("BOU623200000",Balance!C:G,5,FALSE))=TRUE,0,VLOOKUP("BOU623200000",Balance!C:G,5,FALSE))</f>
        <v>13880.68</v>
      </c>
      <c r="D106" s="844">
        <f>+[2]Boulogne!$H106</f>
        <v>11543.2718</v>
      </c>
      <c r="E106" s="843">
        <f>IF(ISNA(VLOOKUP("BOU623200000",Balanceanp!C:G,5,FALSE))=TRUE,0,VLOOKUP("BOU623200000",Balanceanp!C:G,5,FALSE))</f>
        <v>14507.38</v>
      </c>
      <c r="F106" s="845">
        <f>+C106+C106/9*(12-Clients!$I$14)</f>
        <v>18507.573333333334</v>
      </c>
      <c r="G106" s="846">
        <f t="shared" si="10"/>
        <v>19062.800533333335</v>
      </c>
      <c r="H106" s="847"/>
      <c r="I106" s="848">
        <f t="shared" si="11"/>
        <v>0.27573506266006231</v>
      </c>
      <c r="J106" s="849">
        <f t="shared" si="11"/>
        <v>3.0000000000000061E-2</v>
      </c>
      <c r="L106" s="17">
        <f t="shared" si="6"/>
        <v>1</v>
      </c>
    </row>
    <row r="107" spans="1:12" hidden="1">
      <c r="A107" s="5" t="s">
        <v>131</v>
      </c>
      <c r="B107" s="92"/>
      <c r="C107" s="160">
        <f>IF(ISNA(VLOOKUP("BOU629000000",Balance!C:G,5,FALSE))=TRUE,0,VLOOKUP("BOU629000000",Balance!C:G,5,FALSE))</f>
        <v>0</v>
      </c>
      <c r="D107" s="117">
        <f>+[2]Boulogne!$H107</f>
        <v>0</v>
      </c>
      <c r="E107" s="160">
        <f>IF(ISNA(VLOOKUP("BOU629000000",Balanceanp!C:G,5,FALSE))=TRUE,0,VLOOKUP("BOU629000000",Balanceanp!C:G,5,FALSE))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>
      <c r="A108" s="954" t="s">
        <v>132</v>
      </c>
      <c r="B108" s="92"/>
      <c r="C108" s="843">
        <f>IF(ISNA(VLOOKUP("BOU623300000",Balance!C:G,5,FALSE))=TRUE,0,VLOOKUP("BOU623300000",Balance!C:G,5,FALSE))</f>
        <v>1703.3399999999997</v>
      </c>
      <c r="D108" s="844">
        <f>+[2]Boulogne!$H108</f>
        <v>450</v>
      </c>
      <c r="E108" s="843">
        <f>IF(ISNA(VLOOKUP("BOU623300000",Balanceanp!C:G,5,FALSE))=TRUE,0,VLOOKUP("BOU623300000",Balanceanp!C:G,5,FALSE))</f>
        <v>130.91999999999999</v>
      </c>
      <c r="F108" s="845">
        <f>+C108+C108/9*(12-Clients!$I$14)</f>
        <v>2271.1199999999994</v>
      </c>
      <c r="G108" s="846">
        <v>450</v>
      </c>
      <c r="H108" s="847"/>
      <c r="I108" s="848">
        <f t="shared" si="11"/>
        <v>16.347387717690189</v>
      </c>
      <c r="J108" s="849">
        <f t="shared" si="11"/>
        <v>-0.80185987530381486</v>
      </c>
      <c r="L108" s="17">
        <f t="shared" si="6"/>
        <v>1</v>
      </c>
    </row>
    <row r="109" spans="1:12">
      <c r="A109" s="954" t="s">
        <v>133</v>
      </c>
      <c r="B109" s="92"/>
      <c r="C109" s="843">
        <f>IF(ISNA(VLOOKUP("BOU623700000",Balance!C:G,5,FALSE))=TRUE,0,VLOOKUP("BOU623700000",Balance!C:G,5,FALSE))</f>
        <v>2883.14</v>
      </c>
      <c r="D109" s="844">
        <f>+[2]Boulogne!$H109</f>
        <v>15206.0239</v>
      </c>
      <c r="E109" s="843">
        <f>IF(ISNA(VLOOKUP("BOU623700000",Balanceanp!C:G,5,FALSE))=TRUE,0,VLOOKUP("BOU623700000",Balanceanp!C:G,5,FALSE))</f>
        <v>6347.3399999999992</v>
      </c>
      <c r="F109" s="845">
        <f>+C109+C109/9*(12-Clients!$I$14)</f>
        <v>3844.1866666666665</v>
      </c>
      <c r="G109" s="846">
        <f t="shared" si="10"/>
        <v>3959.5122666666666</v>
      </c>
      <c r="H109" s="847"/>
      <c r="I109" s="848">
        <f t="shared" si="11"/>
        <v>-0.39436257287829751</v>
      </c>
      <c r="J109" s="849">
        <f t="shared" si="11"/>
        <v>3.0000000000000034E-2</v>
      </c>
      <c r="L109" s="17">
        <f t="shared" si="6"/>
        <v>1</v>
      </c>
    </row>
    <row r="110" spans="1:12">
      <c r="A110" s="954" t="s">
        <v>134</v>
      </c>
      <c r="B110" s="92"/>
      <c r="C110" s="843">
        <f>IF(ISNA(VLOOKUP("BOU623410000",Balance!C:G,5,FALSE))=TRUE,0,VLOOKUP("BOU623410000",Balance!C:G,5,FALSE))+IF(ISNA(VLOOKUP("BOU623420000",Balance!C:G,5,FALSE))=TRUE,0,VLOOKUP("BOU623420000",Balance!C:G,5,FALSE))</f>
        <v>26406.62</v>
      </c>
      <c r="D110" s="844">
        <f>+[2]Boulogne!$H110</f>
        <v>36162.558400000002</v>
      </c>
      <c r="E110" s="843">
        <f>IF(ISNA(VLOOKUP("bou623410000",Balanceanp!C:G,5,FALSE))=TRUE,0,VLOOKUP("bou623410000",Balanceanp!C:G,5,FALSE))+IF(ISNA(VLOOKUP("bou623420000",Balanceanp!C:G,5,FALSE))=TRUE,0,VLOOKUP("bou623420000",Balanceanp!C:G,5,FALSE))</f>
        <v>60043.23</v>
      </c>
      <c r="F110" s="845">
        <f>+C110+C110/9*(12-Clients!$I$14)</f>
        <v>35208.826666666668</v>
      </c>
      <c r="G110" s="909">
        <v>10000</v>
      </c>
      <c r="H110" s="847"/>
      <c r="I110" s="848">
        <f t="shared" si="11"/>
        <v>-0.41360871714152175</v>
      </c>
      <c r="J110" s="849">
        <f t="shared" si="11"/>
        <v>-0.71598031099777248</v>
      </c>
      <c r="L110" s="17">
        <f t="shared" si="6"/>
        <v>1</v>
      </c>
    </row>
    <row r="111" spans="1:12">
      <c r="A111" s="954" t="s">
        <v>135</v>
      </c>
      <c r="B111" s="92"/>
      <c r="C111" s="843">
        <f>IF(ISNA(VLOOKUP("Bou623800000",Balance!C:G,5,FALSE))=TRUE,0,VLOOKUP("Bou623800000",Balance!C:G,5,FALSE))+IF(ISNA(VLOOKUP("Bou623820000",Balance!C:G,5,FALSE))=TRUE,0,VLOOKUP("Bou623820000",Balance!C:G,5,FALSE))</f>
        <v>0</v>
      </c>
      <c r="D111" s="844">
        <f>+[2]Boulogne!$H111</f>
        <v>0</v>
      </c>
      <c r="E111" s="843">
        <f>IF(ISNA(VLOOKUP("BOU623800000",Balanceanp!C:G,5,FALSE))=TRUE,0,VLOOKUP("BOU623800000",Balanceanp!C:G,5,FALSE))</f>
        <v>80</v>
      </c>
      <c r="F111" s="845">
        <f>+C111+C111/9*(12-Clients!$I$14)</f>
        <v>0</v>
      </c>
      <c r="G111" s="846">
        <f t="shared" si="10"/>
        <v>0</v>
      </c>
      <c r="H111" s="847"/>
      <c r="I111" s="848">
        <f t="shared" si="11"/>
        <v>-1</v>
      </c>
      <c r="J111" s="849">
        <f t="shared" si="11"/>
        <v>0</v>
      </c>
      <c r="L111" s="17">
        <f t="shared" si="6"/>
        <v>1</v>
      </c>
    </row>
    <row r="112" spans="1:12">
      <c r="A112" s="954" t="s">
        <v>136</v>
      </c>
      <c r="B112" s="92"/>
      <c r="C112" s="843">
        <f>IF(ISNA(VLOOKUP("BOU625600000",Balance!C:G,5,FALSE))=TRUE,0,VLOOKUP("BOU625600000",Balance!C:G,5,FALSE))</f>
        <v>19.5</v>
      </c>
      <c r="D112" s="844">
        <f>+[2]Boulogne!$H112</f>
        <v>25.997199999999999</v>
      </c>
      <c r="E112" s="843">
        <f>IF(ISNA(VLOOKUP("BOU625600000",Balanceanp!C:G,5,FALSE))=TRUE,0,VLOOKUP("BOU625600000",Balanceanp!C:G,5,FALSE))</f>
        <v>25.24</v>
      </c>
      <c r="F112" s="845">
        <f>+C112+C112/9*(12-Clients!$I$14)</f>
        <v>26</v>
      </c>
      <c r="G112" s="846">
        <v>0</v>
      </c>
      <c r="H112" s="847"/>
      <c r="I112" s="848">
        <f t="shared" si="11"/>
        <v>3.0110935023771854E-2</v>
      </c>
      <c r="J112" s="849">
        <f t="shared" si="11"/>
        <v>-1</v>
      </c>
      <c r="L112" s="17">
        <f t="shared" si="6"/>
        <v>1</v>
      </c>
    </row>
    <row r="113" spans="1:12">
      <c r="A113" s="954" t="s">
        <v>343</v>
      </c>
      <c r="B113" s="92"/>
      <c r="C113" s="910">
        <f>IF(ISNA(VLOOKUP("bou625700000",Balance!C:G,5,FALSE))=TRUE,0,VLOOKUP("bou625700000",Balance!C:G,5,FALSE))+IF(ISNA(VLOOKUP("bou625710000",Balance!C:G,5,FALSE))=TRUE,0,VLOOKUP("bou625710000",Balance!C:G,5,FALSE))</f>
        <v>10153.73</v>
      </c>
      <c r="D113" s="844">
        <f>+[2]Boulogne!$H113</f>
        <v>21100</v>
      </c>
      <c r="E113" s="843">
        <f>IF(ISNA(VLOOKUP("bou625700000",Balanceanp!C:G,5,FALSE))=TRUE,0,VLOOKUP("bou625700000",Balanceanp!C:G,5,FALSE))+IF(ISNA(VLOOKUP("bou625710000",Balanceanp!C:G,5,FALSE))=TRUE,0,VLOOKUP("bou625710000",Balanceanp!C:G,5,FALSE))</f>
        <v>13630.75</v>
      </c>
      <c r="F113" s="845">
        <v>13705.2</v>
      </c>
      <c r="G113" s="846">
        <v>14000</v>
      </c>
      <c r="H113" s="847"/>
      <c r="I113" s="848">
        <f t="shared" si="11"/>
        <v>5.4619151550722245E-3</v>
      </c>
      <c r="J113" s="849">
        <f t="shared" si="11"/>
        <v>2.1510083763826814E-2</v>
      </c>
      <c r="L113" s="17">
        <f t="shared" si="6"/>
        <v>1</v>
      </c>
    </row>
    <row r="114" spans="1:12">
      <c r="A114" s="954" t="s">
        <v>138</v>
      </c>
      <c r="B114" s="92"/>
      <c r="C114" s="843">
        <f>IF(ISNA(VLOOKUP("BOU623810000",Balance!C:G,5,FALSE))=TRUE,0,VLOOKUP("BOU623810000",Balance!C:G,5,FALSE))</f>
        <v>0</v>
      </c>
      <c r="D114" s="844">
        <f>+[2]Boulogne!$H114</f>
        <v>0</v>
      </c>
      <c r="E114" s="843">
        <f>IF(ISNA(VLOOKUP("BOU623810000",Balanceanp!C:G,5,FALSE))=TRUE,0,VLOOKUP("BOU623810000",Balanceanp!C:G,5,FALSE))</f>
        <v>-8126.05</v>
      </c>
      <c r="F114" s="845">
        <f>+C114+C114/9*(12-Clients!$I$14)</f>
        <v>0</v>
      </c>
      <c r="G114" s="846">
        <f t="shared" si="10"/>
        <v>0</v>
      </c>
      <c r="H114" s="847"/>
      <c r="I114" s="848">
        <f t="shared" si="11"/>
        <v>-1</v>
      </c>
      <c r="J114" s="849">
        <f t="shared" si="11"/>
        <v>0</v>
      </c>
      <c r="L114" s="17">
        <f t="shared" si="6"/>
        <v>1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695" t="s">
        <v>133</v>
      </c>
      <c r="B116" s="93">
        <f>+C116/$C$21</f>
        <v>3.1534875502485835E-2</v>
      </c>
      <c r="C116" s="850">
        <f>SUM(C104:C115)</f>
        <v>55047.009999999995</v>
      </c>
      <c r="D116" s="851">
        <f>SUM(D104:D115)</f>
        <v>85465.630300000004</v>
      </c>
      <c r="E116" s="850">
        <f>SUM(E104:E115)</f>
        <v>87413.11</v>
      </c>
      <c r="F116" s="852">
        <f>SUM(F104:F115)</f>
        <v>73562.906666666662</v>
      </c>
      <c r="G116" s="852">
        <f>SUM(G104:G115)</f>
        <v>47472.3128</v>
      </c>
      <c r="H116" s="908">
        <f>+G116/$G$21</f>
        <v>2.1036220595260145E-2</v>
      </c>
      <c r="I116" s="853">
        <f>+IF((E116)=0,,(F116-E116)/E116)</f>
        <v>-0.15844537888348029</v>
      </c>
      <c r="J116" s="854">
        <f>+IF((F116)=0,,(G116-F116)/F116)</f>
        <v>-0.35467051329130006</v>
      </c>
      <c r="K116" s="136">
        <f>(C116+(C116/3))</f>
        <v>73396.013333333321</v>
      </c>
      <c r="L116" s="17">
        <f t="shared" si="6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954" t="s">
        <v>139</v>
      </c>
      <c r="B118" s="92"/>
      <c r="C118" s="843">
        <f>IF(ISNA(VLOOKUP("BOU633300000",Balance!C:G,5,FALSE))=TRUE,0,VLOOKUP("BOU633300000",Balance!C:G,5,FALSE))</f>
        <v>2440.7199999999998</v>
      </c>
      <c r="D118" s="844">
        <f>+[2]Boulogne!$H118</f>
        <v>901.1099999999999</v>
      </c>
      <c r="E118" s="843">
        <f>IF(ISNA(VLOOKUP("BOU633300000",Balanceanp!C:G,5,FALSE))=TRUE,0,VLOOKUP("BOU633300000",Balanceanp!C:G,5,FALSE))</f>
        <v>1237.1400000000001</v>
      </c>
      <c r="F118" s="845">
        <f>+C118+C118/9*(12-Clients!$I$14)</f>
        <v>3254.2933333333331</v>
      </c>
      <c r="G118" s="903">
        <f>G131*(0.2+0.5)%</f>
        <v>979.52399999999989</v>
      </c>
      <c r="H118" s="904"/>
      <c r="I118" s="848">
        <f t="shared" ref="I118:J127" si="12">+IF((E118)=0,,(F118-E118)/E118)</f>
        <v>1.6304972220875025</v>
      </c>
      <c r="J118" s="849">
        <f t="shared" si="12"/>
        <v>-0.69900562129207777</v>
      </c>
      <c r="L118" s="17">
        <f t="shared" si="6"/>
        <v>1</v>
      </c>
    </row>
    <row r="119" spans="1:12">
      <c r="A119" s="954" t="s">
        <v>140</v>
      </c>
      <c r="B119" s="92"/>
      <c r="C119" s="843">
        <f>IF(ISNA(VLOOKUP("BOU633400000",Balance!C:G,5,FALSE))=TRUE,0,VLOOKUP("BOU633400000",Balance!C:G,5,FALSE))</f>
        <v>0</v>
      </c>
      <c r="D119" s="844">
        <f>+[2]Boulogne!$H119</f>
        <v>579.28500000000008</v>
      </c>
      <c r="E119" s="843">
        <f>IF(ISNA(VLOOKUP("BOU633400000",Balanceanp!C:G,5,FALSE))=TRUE,0,VLOOKUP("BOU633400000",Balanceanp!C:G,5,FALSE))</f>
        <v>643</v>
      </c>
      <c r="F119" s="845">
        <f>+C119+C119/9*(12-Clients!$I$14)</f>
        <v>0</v>
      </c>
      <c r="G119" s="903">
        <f>+G131*0.45%</f>
        <v>629.69400000000007</v>
      </c>
      <c r="H119" s="904"/>
      <c r="I119" s="848">
        <f t="shared" si="12"/>
        <v>-1</v>
      </c>
      <c r="J119" s="849">
        <f t="shared" si="12"/>
        <v>0</v>
      </c>
      <c r="L119" s="17">
        <f t="shared" si="6"/>
        <v>1</v>
      </c>
    </row>
    <row r="120" spans="1:12">
      <c r="A120" s="954" t="s">
        <v>141</v>
      </c>
      <c r="B120" s="92"/>
      <c r="C120" s="843">
        <f>IF(ISNA(VLOOKUP("BOU633500000",Balance!C:G,5,FALSE))=TRUE,0,VLOOKUP("BOU633500000",Balance!C:G,5,FALSE))</f>
        <v>0</v>
      </c>
      <c r="D120" s="844">
        <f>+[2]Boulogne!$H120</f>
        <v>1004.0940000000001</v>
      </c>
      <c r="E120" s="843">
        <f>IF(ISNA(VLOOKUP("BOU633500000",Balanceanp!C:G,5,FALSE))=TRUE,0,VLOOKUP("BOU633500000",Balanceanp!C:G,5,FALSE))</f>
        <v>972</v>
      </c>
      <c r="F120" s="845">
        <f>+C120+C120/9*(12-Clients!$I$14)</f>
        <v>0</v>
      </c>
      <c r="G120" s="903">
        <f>+G131*(0.6+0.18)%</f>
        <v>1091.4696000000001</v>
      </c>
      <c r="H120" s="904"/>
      <c r="I120" s="848">
        <f t="shared" si="12"/>
        <v>-1</v>
      </c>
      <c r="J120" s="849">
        <f t="shared" si="12"/>
        <v>0</v>
      </c>
      <c r="L120" s="17">
        <f t="shared" si="6"/>
        <v>1</v>
      </c>
    </row>
    <row r="121" spans="1:12">
      <c r="A121" s="954" t="s">
        <v>706</v>
      </c>
      <c r="B121" s="92"/>
      <c r="C121" s="843">
        <f>IF(ISNA(VLOOKUP("BOU635110000",Balance!C:G,5,FALSE))=TRUE,0,VLOOKUP("BOU635110000",Balance!C:G,5,FALSE))</f>
        <v>4061.16</v>
      </c>
      <c r="D121" s="844">
        <f>+[2]Boulogne!$H121</f>
        <v>5414.85</v>
      </c>
      <c r="E121" s="843">
        <f>IF(ISNA(VLOOKUP("BOU635110000",Balanceanp!C:G,5,FALSE))=TRUE,0,VLOOKUP("BOU635110000",Balanceanp!C:G,5,FALSE))</f>
        <v>5157</v>
      </c>
      <c r="F121" s="911">
        <v>1336</v>
      </c>
      <c r="G121" s="911">
        <f>+F121*1.05</f>
        <v>1402.8</v>
      </c>
      <c r="H121" s="905"/>
      <c r="I121" s="848">
        <f t="shared" si="12"/>
        <v>-0.74093465192941632</v>
      </c>
      <c r="J121" s="849">
        <f t="shared" si="12"/>
        <v>4.9999999999999968E-2</v>
      </c>
      <c r="L121" s="17">
        <f t="shared" si="6"/>
        <v>1</v>
      </c>
    </row>
    <row r="122" spans="1:12">
      <c r="A122" s="954" t="s">
        <v>143</v>
      </c>
      <c r="B122" s="92"/>
      <c r="C122" s="843">
        <f>IF(ISNA(VLOOKUP("BOU635120000",Balance!C:G,5,FALSE))=TRUE,0,VLOOKUP("BOU635120000",Balance!C:G,5,FALSE))</f>
        <v>2600.37</v>
      </c>
      <c r="D122" s="844">
        <f>+[2]Boulogne!$H122</f>
        <v>3467.1000000000004</v>
      </c>
      <c r="E122" s="843">
        <f>IF(ISNA(VLOOKUP("BOU635120000",Balanceanp!C:G,5,FALSE))=TRUE,0,VLOOKUP("BOU635120000",Balanceanp!C:G,5,FALSE))</f>
        <v>3302</v>
      </c>
      <c r="F122" s="885">
        <v>3461</v>
      </c>
      <c r="G122" s="885">
        <f>+F122*1.05</f>
        <v>3634.05</v>
      </c>
      <c r="H122" s="905"/>
      <c r="I122" s="848">
        <f t="shared" si="12"/>
        <v>4.8152634766807992E-2</v>
      </c>
      <c r="J122" s="849">
        <f t="shared" si="12"/>
        <v>5.0000000000000051E-2</v>
      </c>
      <c r="L122" s="17">
        <f t="shared" si="6"/>
        <v>1</v>
      </c>
    </row>
    <row r="123" spans="1:12">
      <c r="A123" s="954" t="s">
        <v>144</v>
      </c>
      <c r="B123" s="92"/>
      <c r="C123" s="843">
        <f>IF(ISNA(VLOOKUP("BOU635130000",Balance!C:G,5,FALSE))=TRUE,0,VLOOKUP("BOU635130000",Balance!C:G,5,FALSE))</f>
        <v>0</v>
      </c>
      <c r="D123" s="844">
        <f>+[2]Boulogne!$H123</f>
        <v>236.38500000000002</v>
      </c>
      <c r="E123" s="843">
        <f>IF(ISNA(VLOOKUP("BOU635130000",Balanceanp!C:G,5,FALSE))=TRUE,0,VLOOKUP("BOU635130000",Balanceanp!C:G,5,FALSE))</f>
        <v>229.5</v>
      </c>
      <c r="F123" s="885">
        <f>+E123*1.05</f>
        <v>240.97500000000002</v>
      </c>
      <c r="G123" s="885">
        <f>+F123*1.05</f>
        <v>253.02375000000004</v>
      </c>
      <c r="H123" s="905"/>
      <c r="I123" s="848">
        <f t="shared" si="12"/>
        <v>5.00000000000001E-2</v>
      </c>
      <c r="J123" s="849">
        <f t="shared" si="12"/>
        <v>5.0000000000000044E-2</v>
      </c>
      <c r="L123" s="17">
        <f t="shared" si="6"/>
        <v>1</v>
      </c>
    </row>
    <row r="124" spans="1:12" hidden="1">
      <c r="A124" s="5" t="s">
        <v>145</v>
      </c>
      <c r="B124" s="92"/>
      <c r="C124" s="160">
        <f>IF(ISNA(VLOOKUP("BOU635140000",Balance!C:G,5,FALSE))=TRUE,0,VLOOKUP("BOU635140000",Balance!C:G,5,FALSE))</f>
        <v>0</v>
      </c>
      <c r="D124" s="117">
        <f>+[2]Boulogne!$H124</f>
        <v>0</v>
      </c>
      <c r="E124" s="160">
        <f>IF(ISNA(VLOOKUP("BOU635140000",Balanceanp!C:G,5,FALSE))=TRUE,0,VLOOKUP("BOU635140000",Balanceanp!C:G,5,FALSE))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2"/>
        <v>0</v>
      </c>
      <c r="J124" s="271">
        <f t="shared" si="12"/>
        <v>0</v>
      </c>
      <c r="L124" s="17">
        <f t="shared" si="6"/>
        <v>0</v>
      </c>
    </row>
    <row r="125" spans="1:12" hidden="1">
      <c r="A125" s="5" t="s">
        <v>286</v>
      </c>
      <c r="B125" s="92"/>
      <c r="C125" s="160">
        <f>IF(ISNA(VLOOKUP("BOU635300000",Balance!C:G,5,FALSE))=TRUE,0,VLOOKUP("BOU635300000",Balance!C:G,5,FALSE))</f>
        <v>0</v>
      </c>
      <c r="D125" s="117">
        <f>+[2]Boulogne!$H125</f>
        <v>0</v>
      </c>
      <c r="E125" s="160">
        <f>IF(ISNA(VLOOKUP("BOU635300000",Balanceanp!C:G,5,FALSE))=TRUE,0,VLOOKUP("BOU635300000",Balanceanp!C:G,5,FALSE))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2"/>
        <v>0</v>
      </c>
      <c r="J125" s="271">
        <f t="shared" si="12"/>
        <v>0</v>
      </c>
      <c r="L125" s="17">
        <f t="shared" si="6"/>
        <v>0</v>
      </c>
    </row>
    <row r="126" spans="1:12" hidden="1">
      <c r="A126" s="5" t="s">
        <v>361</v>
      </c>
      <c r="B126" s="92"/>
      <c r="C126" s="160">
        <f>IF(ISNA(VLOOKUP("bou635400000",Balance!C:G,5,FALSE))=TRUE,0,VLOOKUP("bou635400000",Balance!C:G,5,FALSE))</f>
        <v>0</v>
      </c>
      <c r="D126" s="117">
        <f>+[2]Boulogne!$H126</f>
        <v>0</v>
      </c>
      <c r="E126" s="160">
        <f>IF(ISNA(VLOOKUP("bou635400000",Balanceanp!C:G,5,FALSE))=TRUE,0,VLOOKUP("bou635400000",Balanceanp!C:G,5,FALSE))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954" t="s">
        <v>146</v>
      </c>
      <c r="B127" s="92"/>
      <c r="C127" s="843">
        <f>IF(ISNA(VLOOKUP("BOU637100000",Balance!C:G,5,FALSE))=TRUE,0,VLOOKUP("BOU637100000",Balance!C:G,5,FALSE))</f>
        <v>3136.03</v>
      </c>
      <c r="D127" s="844">
        <f>+[2]Boulogne!$H127</f>
        <v>3415.0976000000001</v>
      </c>
      <c r="E127" s="843">
        <f>IF(ISNA(VLOOKUP("BOU637100000",Balanceanp!C:G,5,FALSE))=TRUE,0,VLOOKUP("BOU637100000",Balanceanp!C:G,5,FALSE))</f>
        <v>3165.59</v>
      </c>
      <c r="F127" s="845">
        <f>+C127+C127/9*(12-Clients!$I$14)</f>
        <v>4181.373333333333</v>
      </c>
      <c r="G127" s="903">
        <f>+G51*0.16%</f>
        <v>3555.1584000000003</v>
      </c>
      <c r="H127" s="904"/>
      <c r="I127" s="848">
        <f t="shared" si="12"/>
        <v>0.32088278435720757</v>
      </c>
      <c r="J127" s="849">
        <f t="shared" si="12"/>
        <v>-0.14976298058373153</v>
      </c>
      <c r="L127" s="17">
        <f t="shared" si="6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695" t="s">
        <v>147</v>
      </c>
      <c r="B129" s="93">
        <f>+C129/$C$21</f>
        <v>7.0109645585575385E-3</v>
      </c>
      <c r="C129" s="850">
        <f>SUM(C117:C128)</f>
        <v>12238.28</v>
      </c>
      <c r="D129" s="851">
        <f>SUM(D117:D128)</f>
        <v>15017.921600000001</v>
      </c>
      <c r="E129" s="850">
        <f>SUM(E117:E128)</f>
        <v>14706.23</v>
      </c>
      <c r="F129" s="852">
        <f>SUM(F117:F128)</f>
        <v>12473.641666666666</v>
      </c>
      <c r="G129" s="852">
        <f>SUM(G117:G128)</f>
        <v>11545.71975</v>
      </c>
      <c r="H129" s="908">
        <f>+G129/$G$21</f>
        <v>5.11620970765199E-3</v>
      </c>
      <c r="I129" s="853">
        <f>+IF((E129)=0,,(F129-E129)/E129)</f>
        <v>-0.15181241782110938</v>
      </c>
      <c r="J129" s="854">
        <f>+IF((F129)=0,,(G129-F129)/F129)</f>
        <v>-7.4390618350561849E-2</v>
      </c>
      <c r="K129" s="136">
        <f>(C129+(C129/3))</f>
        <v>16317.706666666667</v>
      </c>
      <c r="L129" s="17">
        <f t="shared" si="6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954" t="s">
        <v>148</v>
      </c>
      <c r="B131" s="92"/>
      <c r="C131" s="843">
        <f>IF(ISNA(VLOOKUP("BOU641100000",Balance!C:G,5,FALSE))=TRUE,0,VLOOKUP("BOU641100000",Balance!C:G,5,FALSE))</f>
        <v>95595.12</v>
      </c>
      <c r="D131" s="844">
        <f>+[2]Boulogne!$H131</f>
        <v>128730</v>
      </c>
      <c r="E131" s="843">
        <f>IF(ISNA(VLOOKUP("BOU641100000",Balanceanp!C:G,5,FALSE))=TRUE,0,VLOOKUP("BOU641100000",Balanceanp!C:G,5,FALSE))</f>
        <v>122094.23999999999</v>
      </c>
      <c r="F131" s="845">
        <f>+C131+C131/9*(12-Clients!$I$14)</f>
        <v>127460.16</v>
      </c>
      <c r="G131" s="846">
        <v>139932</v>
      </c>
      <c r="H131" s="847"/>
      <c r="I131" s="848">
        <f t="shared" ref="I131:J146" si="13">+IF((E131)=0,,(F131-E131)/E131)</f>
        <v>4.3949002016802866E-2</v>
      </c>
      <c r="J131" s="849">
        <f t="shared" si="13"/>
        <v>9.7848927853220927E-2</v>
      </c>
      <c r="L131" s="17">
        <v>1</v>
      </c>
    </row>
    <row r="132" spans="1:12" hidden="1">
      <c r="A132" s="5" t="s">
        <v>149</v>
      </c>
      <c r="B132" s="92"/>
      <c r="C132" s="160">
        <f>IF(ISNA(VLOOKUP("BOU641110000",Balance!C:G,5,FALSE))=TRUE,0,VLOOKUP("BOU641110000",Balance!C:G,5,FALSE))</f>
        <v>-1270</v>
      </c>
      <c r="D132" s="117">
        <f>+[2]Boulogne!$H132</f>
        <v>0</v>
      </c>
      <c r="E132" s="160">
        <f>IF(ISNA(VLOOKUP("BOU641110000",Balanceanp!C:G,5,FALSE))=TRUE,0,VLOOKUP("BOU641110000",Balanceanp!C:G,5,FALSE))</f>
        <v>320</v>
      </c>
      <c r="F132" s="368">
        <f>+C132+C132/9*(12-Clients!$I$14)</f>
        <v>-1693.3333333333335</v>
      </c>
      <c r="G132" s="395"/>
      <c r="H132" s="401"/>
      <c r="I132" s="149">
        <f t="shared" si="13"/>
        <v>-6.291666666666667</v>
      </c>
      <c r="J132" s="271">
        <f t="shared" si="13"/>
        <v>-1</v>
      </c>
      <c r="L132" s="17">
        <v>0</v>
      </c>
    </row>
    <row r="133" spans="1:12">
      <c r="A133" s="954" t="s">
        <v>150</v>
      </c>
      <c r="B133" s="92"/>
      <c r="C133" s="843">
        <f>IF(ISNA(VLOOKUP("BOU641111000",Balance!C:G,5,FALSE))=TRUE,0,VLOOKUP("BOU641111000",Balance!C:G,5,FALSE))</f>
        <v>100</v>
      </c>
      <c r="D133" s="844">
        <f>+[2]Boulogne!$H133</f>
        <v>0</v>
      </c>
      <c r="E133" s="843">
        <f>IF(ISNA(VLOOKUP("BOU641111000",Balanceanp!C:G,5,FALSE))=TRUE,0,VLOOKUP("BOU641111000",Balanceanp!C:G,5,FALSE))</f>
        <v>0</v>
      </c>
      <c r="F133" s="845">
        <f>+C133+C133/9*(12-Clients!$I$14)</f>
        <v>133.33333333333331</v>
      </c>
      <c r="G133" s="846"/>
      <c r="H133" s="847"/>
      <c r="I133" s="848">
        <f t="shared" si="13"/>
        <v>0</v>
      </c>
      <c r="J133" s="849">
        <f t="shared" si="13"/>
        <v>-1</v>
      </c>
      <c r="L133" s="17">
        <f t="shared" si="6"/>
        <v>1</v>
      </c>
    </row>
    <row r="134" spans="1:12" hidden="1">
      <c r="A134" s="5" t="s">
        <v>151</v>
      </c>
      <c r="B134" s="92"/>
      <c r="C134" s="160">
        <f>IF(ISNA(VLOOKUP("BOU641200000",Balance!C:G,5,FALSE))=TRUE,0,VLOOKUP("BOU641200000",Balance!C:G,5,FALSE))</f>
        <v>0</v>
      </c>
      <c r="D134" s="117">
        <f>+[2]Boulogne!$H134</f>
        <v>0</v>
      </c>
      <c r="E134" s="160">
        <f>IF(ISNA(VLOOKUP("BOU641200000",Balanceanp!C:G,5,FALSE))=TRUE,0,VLOOKUP("BOU641200000",Balanceanp!C:G,5,FALSE))</f>
        <v>-1392.08</v>
      </c>
      <c r="F134" s="368">
        <f>+C134+C134/9*(12-Clients!$I$14)</f>
        <v>0</v>
      </c>
      <c r="G134" s="395"/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IF(ISNA(VLOOKUP("BOU621100000",Balance!C:G,5,FALSE))=TRUE,0,VLOOKUP("BOU621100000",Balance!C:G,5,FALSE))</f>
        <v>2906.01</v>
      </c>
      <c r="D135" s="117">
        <f>+[2]Boulogne!$H135</f>
        <v>5994</v>
      </c>
      <c r="E135" s="160">
        <f>IF(ISNA(VLOOKUP("BOU621100000",Balanceanp!C:G,5,FALSE))=TRUE,0,VLOOKUP("BOU621100000",Balanceanp!C:G,5,FALSE))</f>
        <v>4199.7299999999996</v>
      </c>
      <c r="F135" s="368">
        <f>+C135+C135/9*(12-Clients!$I$14)</f>
        <v>3874.6800000000003</v>
      </c>
      <c r="G135" s="395"/>
      <c r="H135" s="401"/>
      <c r="I135" s="149">
        <f t="shared" si="13"/>
        <v>-7.7397832717817402E-2</v>
      </c>
      <c r="J135" s="271">
        <f t="shared" si="13"/>
        <v>-1</v>
      </c>
      <c r="L135" s="17">
        <v>0</v>
      </c>
    </row>
    <row r="136" spans="1:12" hidden="1">
      <c r="A136" s="5" t="s">
        <v>338</v>
      </c>
      <c r="B136" s="92"/>
      <c r="C136" s="160">
        <f>IF(ISNA(VLOOKUP("BOU621200000",Balance!C:G,5,FALSE))=TRUE,0,VLOOKUP("BOU621200000",Balance!C:G,5,FALSE))</f>
        <v>0</v>
      </c>
      <c r="D136" s="117">
        <f>+[2]Boulogne!$H136</f>
        <v>0</v>
      </c>
      <c r="E136" s="160">
        <f>IF(ISNA(VLOOKUP("BOU621200000",Balanceanp!C:G,5,FALSE))=TRUE,0,VLOOKUP("BOU621200000",Balanceanp!C:G,5,FALSE))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3"/>
        <v>0</v>
      </c>
      <c r="J136" s="271">
        <f t="shared" si="13"/>
        <v>0</v>
      </c>
      <c r="L136" s="17">
        <f t="shared" ref="L136:L197" si="14">IF(SUM(C136:J136)&lt;&gt;0,1,0)</f>
        <v>0</v>
      </c>
    </row>
    <row r="137" spans="1:12" hidden="1">
      <c r="A137" s="5" t="s">
        <v>87</v>
      </c>
      <c r="B137" s="92"/>
      <c r="C137" s="160">
        <f>IF(ISNA(VLOOKUP("BOU706100000",Balance!C:G,5,FALSE))=TRUE,0,-VLOOKUP("BOU706100000",Balance!C:G,5,FALSE))</f>
        <v>0</v>
      </c>
      <c r="D137" s="117">
        <f>+[2]Boulogne!$H137</f>
        <v>0</v>
      </c>
      <c r="E137" s="160">
        <f>IF(ISNA(VLOOKUP("BOU706100000",Balanceanp!C:G,5,FALSE))=TRUE,0,-VLOOKUP("BOU706100000",Balanceanp!C:G,5,FALSE))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3"/>
        <v>0</v>
      </c>
      <c r="J137" s="271">
        <f t="shared" si="13"/>
        <v>0</v>
      </c>
      <c r="L137" s="17">
        <f t="shared" si="14"/>
        <v>0</v>
      </c>
    </row>
    <row r="138" spans="1:12" hidden="1">
      <c r="A138" s="5" t="s">
        <v>152</v>
      </c>
      <c r="B138" s="92"/>
      <c r="C138" s="160">
        <f>IF(ISNA(VLOOKUP("BOU641210000",Balance!C:G,5,FALSE))=TRUE,0,VLOOKUP("BOU641210000",Balance!C:G,5,FALSE))</f>
        <v>0</v>
      </c>
      <c r="D138" s="117">
        <f>+[2]Boulogne!$H138</f>
        <v>0</v>
      </c>
      <c r="E138" s="160">
        <f>IF(ISNA(VLOOKUP("BOU641210000",Balanceanp!C:G,5,FALSE))=TRUE,0,VLOOKUP("BOU641210000",Balanceanp!C:G,5,FALSE))</f>
        <v>-825.94999999999982</v>
      </c>
      <c r="F138" s="368">
        <f>+C138+C138/9*(12-Clients!$I$14)</f>
        <v>0</v>
      </c>
      <c r="G138" s="395"/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IF(ISNA(VLOOKUP("BOU641400000",Balance!C:G,5,FALSE))=TRUE,0,VLOOKUP("BOU641400000",Balance!C:G,5,FALSE))</f>
        <v>0</v>
      </c>
      <c r="D139" s="117">
        <f>+[2]Boulogne!$H139</f>
        <v>0</v>
      </c>
      <c r="E139" s="160">
        <f>IF(ISNA(VLOOKUP("BOU641400000",Balanceanp!C:G,5,FALSE))=TRUE,0,VLOOKUP("BOU641400000",Balanceanp!C:G,5,FALSE))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3"/>
        <v>0</v>
      </c>
      <c r="J139" s="271">
        <f t="shared" si="13"/>
        <v>0</v>
      </c>
      <c r="L139" s="17">
        <f t="shared" si="14"/>
        <v>0</v>
      </c>
    </row>
    <row r="140" spans="1:12" hidden="1">
      <c r="A140" s="5" t="s">
        <v>154</v>
      </c>
      <c r="B140" s="92"/>
      <c r="C140" s="160">
        <f>IF(ISNA(VLOOKUP("BOU641600000",Balance!C:G,5,FALSE))=TRUE,0,VLOOKUP("BOU641600000",Balance!C:G,5,FALSE))</f>
        <v>0</v>
      </c>
      <c r="D140" s="117">
        <f>+[2]Boulogne!$H140</f>
        <v>0</v>
      </c>
      <c r="E140" s="160">
        <f>IF(ISNA(VLOOKUP("BOU641600000",Balanceanp!C:G,5,FALSE))=TRUE,0,VLOOKUP("BOU641600000",Balanceanp!C:G,5,FALSE))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3"/>
        <v>0</v>
      </c>
      <c r="J140" s="271">
        <f t="shared" si="13"/>
        <v>0</v>
      </c>
      <c r="L140" s="17">
        <f t="shared" si="14"/>
        <v>0</v>
      </c>
    </row>
    <row r="141" spans="1:12">
      <c r="A141" s="954" t="s">
        <v>155</v>
      </c>
      <c r="B141" s="92"/>
      <c r="C141" s="843">
        <f>IF(ISNA(VLOOKUP("BOU645100000",Balance!C:G,5,FALSE))=TRUE,0,VLOOKUP("BOU645100000",Balance!C:G,5,FALSE))</f>
        <v>20279.8</v>
      </c>
      <c r="D141" s="844">
        <f>+[2]Boulogne!$H141</f>
        <v>24315.361719276094</v>
      </c>
      <c r="E141" s="843">
        <f>IF(ISNA(VLOOKUP("BOU645100000",Balanceanp!C:G,5,FALSE))=TRUE,0,VLOOKUP("BOU645100000",Balanceanp!C:G,5,FALSE))</f>
        <v>25069.770000000004</v>
      </c>
      <c r="F141" s="845">
        <f>+C141+C141/9*(12-Clients!$I$14)</f>
        <v>27039.733333333334</v>
      </c>
      <c r="G141" s="903">
        <f t="shared" ref="G141:G146" si="15">+($G$131/$C$131*C141)*1.01</f>
        <v>29982.397671931369</v>
      </c>
      <c r="H141" s="904"/>
      <c r="I141" s="848">
        <f t="shared" si="13"/>
        <v>7.8579234405953033E-2</v>
      </c>
      <c r="J141" s="849">
        <f t="shared" si="13"/>
        <v>0.10882741713175309</v>
      </c>
      <c r="L141" s="17">
        <f t="shared" si="14"/>
        <v>1</v>
      </c>
    </row>
    <row r="142" spans="1:12">
      <c r="A142" s="954" t="s">
        <v>156</v>
      </c>
      <c r="B142" s="92"/>
      <c r="C142" s="843">
        <f>IF(ISNA(VLOOKUP("BOU645200000",Balance!C:G,5,FALSE))=TRUE,0,VLOOKUP("BOU645200000",Balance!C:G,5,FALSE))</f>
        <v>3209.2</v>
      </c>
      <c r="D142" s="844">
        <f>+[2]Boulogne!$H142</f>
        <v>4283.8742324867144</v>
      </c>
      <c r="E142" s="843">
        <f>IF(ISNA(VLOOKUP("BOU645200000",Balanceanp!C:G,5,FALSE))=TRUE,0,VLOOKUP("BOU645200000",Balanceanp!C:G,5,FALSE))</f>
        <v>3838.03</v>
      </c>
      <c r="F142" s="845">
        <f>+C142+C142/9*(12-Clients!$I$14)</f>
        <v>4278.9333333333334</v>
      </c>
      <c r="G142" s="903">
        <f t="shared" si="15"/>
        <v>4744.5985960789631</v>
      </c>
      <c r="H142" s="904"/>
      <c r="I142" s="848">
        <f t="shared" si="13"/>
        <v>0.11487751094528525</v>
      </c>
      <c r="J142" s="849">
        <f t="shared" si="13"/>
        <v>0.10882741713175316</v>
      </c>
      <c r="L142" s="17">
        <f t="shared" si="14"/>
        <v>1</v>
      </c>
    </row>
    <row r="143" spans="1:12">
      <c r="A143" s="954" t="s">
        <v>157</v>
      </c>
      <c r="B143" s="92"/>
      <c r="C143" s="843">
        <f>IF(ISNA(VLOOKUP("BOU645300000",Balance!C:G,5,FALSE))=TRUE,0,VLOOKUP("BOU645300000",Balance!C:G,5,FALSE))</f>
        <v>6878.08</v>
      </c>
      <c r="D143" s="844">
        <f>+[2]Boulogne!$H143</f>
        <v>9573.5145353922926</v>
      </c>
      <c r="E143" s="843">
        <f>IF(ISNA(VLOOKUP("BOU645300000",Balanceanp!C:G,5,FALSE))=TRUE,0,VLOOKUP("BOU645300000",Balanceanp!C:G,5,FALSE))</f>
        <v>8744.1</v>
      </c>
      <c r="F143" s="845">
        <f>+C143+C143/9*(12-Clients!$I$14)</f>
        <v>9170.7733333333326</v>
      </c>
      <c r="G143" s="903">
        <f t="shared" si="15"/>
        <v>10168.804908300759</v>
      </c>
      <c r="H143" s="904"/>
      <c r="I143" s="848">
        <f t="shared" si="13"/>
        <v>4.8795568821643424E-2</v>
      </c>
      <c r="J143" s="849">
        <f t="shared" si="13"/>
        <v>0.10882741713175333</v>
      </c>
      <c r="L143" s="17">
        <f t="shared" si="14"/>
        <v>1</v>
      </c>
    </row>
    <row r="144" spans="1:12" hidden="1">
      <c r="A144" s="5" t="s">
        <v>326</v>
      </c>
      <c r="B144" s="92"/>
      <c r="C144" s="160">
        <f>IF(ISNA(VLOOKUP("BOU645310000",Balance!C:G,5,FALSE))=TRUE,0,VLOOKUP("BOU645310000",Balance!C:G,5,FALSE))</f>
        <v>0</v>
      </c>
      <c r="D144" s="117">
        <f>+[2]Boulogne!$H144</f>
        <v>0</v>
      </c>
      <c r="E144" s="160">
        <f>IF(ISNA(VLOOKUP("BOU645310000",Balanceanp!C:G,5,FALSE))=TRUE,0,VLOOKUP("BOU645310000",Balanceanp!C:G,5,FALSE))</f>
        <v>0</v>
      </c>
      <c r="F144" s="368">
        <f>+C144+C144/9*(12-Clients!$I$14)</f>
        <v>0</v>
      </c>
      <c r="G144" s="396">
        <f t="shared" si="15"/>
        <v>0</v>
      </c>
      <c r="H144" s="409"/>
      <c r="I144" s="149">
        <f t="shared" si="13"/>
        <v>0</v>
      </c>
      <c r="J144" s="271">
        <f t="shared" si="13"/>
        <v>0</v>
      </c>
      <c r="L144" s="17">
        <f t="shared" si="14"/>
        <v>0</v>
      </c>
    </row>
    <row r="145" spans="1:12">
      <c r="A145" s="954" t="s">
        <v>158</v>
      </c>
      <c r="B145" s="92"/>
      <c r="C145" s="843">
        <f>IF(ISNA(VLOOKUP("BOU645400000",Balance!C:G,5,FALSE))=TRUE,0,VLOOKUP("BOU645400000",Balance!C:G,5,FALSE))</f>
        <v>4882.7700000000004</v>
      </c>
      <c r="D145" s="844">
        <f>+[2]Boulogne!$H145</f>
        <v>6621.8857273198755</v>
      </c>
      <c r="E145" s="843">
        <f>IF(ISNA(VLOOKUP("BOU645400000",Balanceanp!C:G,5,FALSE))=TRUE,0,VLOOKUP("BOU645400000",Balanceanp!C:G,5,FALSE))</f>
        <v>6080.57</v>
      </c>
      <c r="F145" s="845">
        <f>+C145+C145/9*(12-Clients!$I$14)</f>
        <v>6510.3600000000006</v>
      </c>
      <c r="G145" s="903">
        <f t="shared" si="15"/>
        <v>7218.8656633978817</v>
      </c>
      <c r="H145" s="904"/>
      <c r="I145" s="848">
        <f t="shared" si="13"/>
        <v>7.0682518250756249E-2</v>
      </c>
      <c r="J145" s="849">
        <f t="shared" si="13"/>
        <v>0.10882741713175324</v>
      </c>
      <c r="L145" s="17">
        <f t="shared" si="14"/>
        <v>1</v>
      </c>
    </row>
    <row r="146" spans="1:12" hidden="1">
      <c r="A146" s="5" t="s">
        <v>159</v>
      </c>
      <c r="B146" s="92"/>
      <c r="C146" s="160">
        <f>IF(ISNA(VLOOKUP("BOU645800000",Balance!C:G,5,FALSE))=TRUE,0,VLOOKUP("BOU645800000",Balance!C:G,5,FALSE))</f>
        <v>0</v>
      </c>
      <c r="D146" s="117">
        <f>+[2]Boulogne!$H146</f>
        <v>0</v>
      </c>
      <c r="E146" s="160">
        <f>IF(ISNA(VLOOKUP("BOU645800000",Balanceanp!C:G,5,FALSE))=TRUE,0,VLOOKUP("BOU645800000",Balanceanp!C:G,5,FALSE))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4"/>
        <v>0</v>
      </c>
    </row>
    <row r="147" spans="1:12">
      <c r="A147" s="954" t="s">
        <v>160</v>
      </c>
      <c r="B147" s="92"/>
      <c r="C147" s="843">
        <f>IF(ISNA(VLOOKUP("BOU645900000",Balance!C:G,5,FALSE))=TRUE,0,VLOOKUP("BOU645900000",Balance!C:G,5,FALSE))</f>
        <v>482.14</v>
      </c>
      <c r="D147" s="844">
        <f>+[2]Boulogne!$H147</f>
        <v>169.38269215812502</v>
      </c>
      <c r="E147" s="843">
        <f>IF(ISNA(VLOOKUP("BOU645900000",Balanceanp!C:G,5,FALSE))=TRUE,0,VLOOKUP("BOU645900000",Balanceanp!C:G,5,FALSE))</f>
        <v>96.23</v>
      </c>
      <c r="F147" s="845">
        <f>+C147+C147/9*(12-Clients!$I$14)</f>
        <v>642.85333333333324</v>
      </c>
      <c r="G147" s="903">
        <f>+F147*1.03</f>
        <v>662.13893333333328</v>
      </c>
      <c r="H147" s="904"/>
      <c r="I147" s="848">
        <f t="shared" ref="I147:J152" si="16">+IF((E147)=0,,(F147-E147)/E147)</f>
        <v>5.6803838026949309</v>
      </c>
      <c r="J147" s="849">
        <f t="shared" si="16"/>
        <v>3.0000000000000075E-2</v>
      </c>
      <c r="L147" s="17">
        <f t="shared" si="14"/>
        <v>1</v>
      </c>
    </row>
    <row r="148" spans="1:12">
      <c r="A148" s="954" t="s">
        <v>161</v>
      </c>
      <c r="B148" s="92"/>
      <c r="C148" s="843">
        <f>IF(ISNA(VLOOKUP("BOU647100000",Balance!C:G,5,FALSE))=TRUE,0,VLOOKUP("BOU647100000",Balance!C:G,5,FALSE))</f>
        <v>0</v>
      </c>
      <c r="D148" s="844">
        <f>+[2]Boulogne!$H148</f>
        <v>62.619622499999998</v>
      </c>
      <c r="E148" s="843">
        <f>IF(ISNA(VLOOKUP("BOU647100000",Balanceanp!C:G,5,FALSE))=TRUE,0,VLOOKUP("BOU647100000",Balanceanp!C:G,5,FALSE))</f>
        <v>92.46</v>
      </c>
      <c r="F148" s="845">
        <f>+C148+C148/9*(12-Clients!$I$14)</f>
        <v>0</v>
      </c>
      <c r="G148" s="903">
        <f>+F148*1.03</f>
        <v>0</v>
      </c>
      <c r="H148" s="904"/>
      <c r="I148" s="848">
        <f t="shared" si="16"/>
        <v>-1</v>
      </c>
      <c r="J148" s="849">
        <f t="shared" si="16"/>
        <v>0</v>
      </c>
      <c r="L148" s="17">
        <f t="shared" si="14"/>
        <v>1</v>
      </c>
    </row>
    <row r="149" spans="1:12">
      <c r="A149" s="954" t="s">
        <v>162</v>
      </c>
      <c r="B149" s="92"/>
      <c r="C149" s="843">
        <f>IF(ISNA(VLOOKUP("BOU647400000",Balance!C:G,5,FALSE))=TRUE,0,VLOOKUP("BOU647400000",Balance!C:G,5,FALSE))</f>
        <v>94.9</v>
      </c>
      <c r="D149" s="844">
        <f>+[2]Boulogne!$H149</f>
        <v>82.68150672500002</v>
      </c>
      <c r="E149" s="843">
        <f>IF(ISNA(VLOOKUP("BOU647400000",Balanceanp!C:G,5,FALSE))=TRUE,0,VLOOKUP("BOU647400000",Balanceanp!C:G,5,FALSE))</f>
        <v>0</v>
      </c>
      <c r="F149" s="845">
        <f>+C149+C149/9*(12-Clients!$I$14)</f>
        <v>126.53333333333333</v>
      </c>
      <c r="G149" s="903">
        <f>+F149*1.03</f>
        <v>130.32933333333332</v>
      </c>
      <c r="H149" s="904"/>
      <c r="I149" s="848">
        <f t="shared" si="16"/>
        <v>0</v>
      </c>
      <c r="J149" s="849">
        <f t="shared" si="16"/>
        <v>2.999999999999994E-2</v>
      </c>
      <c r="L149" s="17">
        <f t="shared" si="14"/>
        <v>1</v>
      </c>
    </row>
    <row r="150" spans="1:12">
      <c r="A150" s="954" t="s">
        <v>163</v>
      </c>
      <c r="B150" s="92"/>
      <c r="C150" s="843">
        <f>IF(ISNA(VLOOKUP("BOU647500000",Balance!C:G,5,FALSE))=TRUE,0,VLOOKUP("BOU647500000",Balance!C:G,5,FALSE))</f>
        <v>533.08000000000004</v>
      </c>
      <c r="D150" s="844">
        <f>+[2]Boulogne!$H150</f>
        <v>615.3732036070212</v>
      </c>
      <c r="E150" s="843">
        <f>IF(ISNA(VLOOKUP("BOU647500000",Balanceanp!C:G,5,FALSE))=TRUE,0,VLOOKUP("BOU647500000",Balanceanp!C:G,5,FALSE))</f>
        <v>491.16</v>
      </c>
      <c r="F150" s="845">
        <f>+C150+C150/9*(12-Clients!$I$14)</f>
        <v>710.77333333333343</v>
      </c>
      <c r="G150" s="903">
        <f>+F150*1.03</f>
        <v>732.09653333333347</v>
      </c>
      <c r="H150" s="904"/>
      <c r="I150" s="848">
        <f t="shared" si="16"/>
        <v>0.44713195971441766</v>
      </c>
      <c r="J150" s="849">
        <f t="shared" si="16"/>
        <v>3.0000000000000054E-2</v>
      </c>
      <c r="L150" s="17">
        <f t="shared" si="14"/>
        <v>1</v>
      </c>
    </row>
    <row r="151" spans="1:12" hidden="1">
      <c r="A151" s="5" t="s">
        <v>570</v>
      </c>
      <c r="B151" s="92"/>
      <c r="C151" s="160"/>
      <c r="D151" s="117">
        <f>+[2]Boulogne!$H151</f>
        <v>0</v>
      </c>
      <c r="E151" s="160"/>
      <c r="F151" s="368"/>
      <c r="G151" s="395"/>
      <c r="H151" s="409"/>
      <c r="I151" s="149"/>
      <c r="J151" s="271"/>
      <c r="L151" s="17">
        <f t="shared" si="14"/>
        <v>0</v>
      </c>
    </row>
    <row r="152" spans="1:12">
      <c r="A152" s="954" t="s">
        <v>58</v>
      </c>
      <c r="B152" s="92"/>
      <c r="C152" s="843">
        <f>IF(ISNA(VLOOKUP("BOU648000000",Balance!C:G,5,FALSE))=TRUE,0,VLOOKUP("BOU648000000",Balance!C:G,5,FALSE))</f>
        <v>0</v>
      </c>
      <c r="D152" s="844">
        <f>+[2]Boulogne!$H152</f>
        <v>0</v>
      </c>
      <c r="E152" s="843">
        <f>IF(ISNA(VLOOKUP("BOU648000000",Balanceanp!C:G,5,FALSE))=TRUE,0,VLOOKUP("BOU648000000",Balanceanp!C:G,5,FALSE))</f>
        <v>10084.448639999999</v>
      </c>
      <c r="F152" s="845">
        <f>+C152+C152/9*(12-Clients!$I$14)</f>
        <v>0</v>
      </c>
      <c r="G152" s="903">
        <f>+F152*1.03</f>
        <v>0</v>
      </c>
      <c r="H152" s="904">
        <f>SUM(G141:G152)</f>
        <v>53639.231639708982</v>
      </c>
      <c r="I152" s="848">
        <f t="shared" si="16"/>
        <v>-1</v>
      </c>
      <c r="J152" s="849">
        <f t="shared" si="16"/>
        <v>0</v>
      </c>
      <c r="L152" s="17">
        <f t="shared" si="14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695" t="s">
        <v>164</v>
      </c>
      <c r="B154" s="93">
        <f>+C154/$C$21</f>
        <v>7.6587850898538978E-2</v>
      </c>
      <c r="C154" s="850">
        <f>SUM(C130:C153)</f>
        <v>133691.09999999998</v>
      </c>
      <c r="D154" s="851">
        <f>SUM(D130:D153)</f>
        <v>180448.69323946509</v>
      </c>
      <c r="E154" s="850">
        <f>SUM(E130:E153)</f>
        <v>178892.70864</v>
      </c>
      <c r="F154" s="852">
        <f>SUM(F130:F153)</f>
        <v>178254.80000000002</v>
      </c>
      <c r="G154" s="852">
        <f>SUM(G130:G153)</f>
        <v>193571.23163970895</v>
      </c>
      <c r="H154" s="908">
        <f>+G154/$G$21</f>
        <v>8.5776463995432678E-2</v>
      </c>
      <c r="I154" s="853">
        <f>+IF((E154)=0,,(F154-E154)/E154)</f>
        <v>-3.5658727784355585E-3</v>
      </c>
      <c r="J154" s="854">
        <f>+IF((F154)=0,,(G154-F154)/F154)</f>
        <v>8.5924371403793484E-2</v>
      </c>
      <c r="K154" s="136">
        <f>(C154+(C154/3))</f>
        <v>178254.79999999996</v>
      </c>
      <c r="L154" s="17">
        <f t="shared" si="14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954" t="s">
        <v>545</v>
      </c>
      <c r="B156" s="92">
        <v>0.82250000000000001</v>
      </c>
      <c r="C156" s="843">
        <f>IF(ISNA(VLOOKUP("BOU681740000",Balance!C:G,5,FALSE))=TRUE,0,VLOOKUP("BOU681740000",Balance!C:G,5,FALSE))</f>
        <v>13973.63</v>
      </c>
      <c r="D156" s="844">
        <f>+[2]Boulogne!$H156</f>
        <v>30767.4926146</v>
      </c>
      <c r="E156" s="843">
        <f>IF(ISNA(VLOOKUP("BOU681740000",Balanceanp!C:G,5,FALSE))=TRUE,0,VLOOKUP("BOU681740000",Balanceanp!C:G,5,FALSE))</f>
        <v>13377.14</v>
      </c>
      <c r="F156" s="845">
        <f>+C156+C156/9*(12-Clients!$I$14)</f>
        <v>18631.506666666664</v>
      </c>
      <c r="G156" s="911">
        <f>+G21*B156*1.62%</f>
        <v>30069.319203000003</v>
      </c>
      <c r="H156" s="912"/>
      <c r="I156" s="848">
        <f t="shared" ref="I156:J166" si="17">+IF((E156)=0,,(F156-E156)/E156)</f>
        <v>0.39278699831702929</v>
      </c>
      <c r="J156" s="849">
        <f t="shared" si="17"/>
        <v>0.6138962747868667</v>
      </c>
      <c r="L156" s="17">
        <f t="shared" si="14"/>
        <v>1</v>
      </c>
    </row>
    <row r="157" spans="1:12">
      <c r="A157" s="954" t="s">
        <v>165</v>
      </c>
      <c r="B157" s="92"/>
      <c r="C157" s="843">
        <f>IF(ISNA(VLOOKUP("BOU781740000",Balance!C:G,5,FALSE))=TRUE,0,VLOOKUP("BOU781740000",Balance!C:G,5,FALSE))</f>
        <v>-2664.33</v>
      </c>
      <c r="D157" s="844">
        <f>+[2]Boulogne!$H157</f>
        <v>0</v>
      </c>
      <c r="E157" s="843">
        <f>IF(ISNA(VLOOKUP("BOU781740000",Balanceanp!C:G,5,FALSE))=TRUE,0,VLOOKUP("BOU781740000",Balanceanp!C:G,5,FALSE))</f>
        <v>-15708.21</v>
      </c>
      <c r="F157" s="845">
        <f>+C157+C157/9*(12-Clients!$I$14)</f>
        <v>-3552.4399999999996</v>
      </c>
      <c r="G157" s="903">
        <v>0</v>
      </c>
      <c r="H157" s="904"/>
      <c r="I157" s="848">
        <f t="shared" si="17"/>
        <v>-0.77384819785322456</v>
      </c>
      <c r="J157" s="849">
        <f t="shared" si="17"/>
        <v>-1</v>
      </c>
      <c r="L157" s="17">
        <f t="shared" si="14"/>
        <v>1</v>
      </c>
    </row>
    <row r="158" spans="1:12">
      <c r="A158" s="954" t="s">
        <v>166</v>
      </c>
      <c r="B158" s="92"/>
      <c r="C158" s="843">
        <f>IF(ISNA(VLOOKUP("BOU654400000",Balance!C:G,5,FALSE))=TRUE,0,VLOOKUP("BOU654400000",Balance!C:G,5,FALSE))</f>
        <v>8734.5400000000009</v>
      </c>
      <c r="D158" s="844">
        <f>+[2]Boulogne!$H158</f>
        <v>0</v>
      </c>
      <c r="E158" s="843">
        <f>IF(ISNA(VLOOKUP("BOU654400000",Balanceanp!C:G,5,FALSE))=TRUE,0,VLOOKUP("BOU654400000",Balanceanp!C:G,5,FALSE))</f>
        <v>14156.08</v>
      </c>
      <c r="F158" s="845">
        <f>+C158+C158/9*(12-Clients!$I$14)</f>
        <v>11646.053333333333</v>
      </c>
      <c r="G158" s="903">
        <v>0</v>
      </c>
      <c r="H158" s="904"/>
      <c r="I158" s="848">
        <f t="shared" si="17"/>
        <v>-0.17731085630108523</v>
      </c>
      <c r="J158" s="849">
        <f t="shared" si="17"/>
        <v>-1</v>
      </c>
      <c r="L158" s="17">
        <f t="shared" si="14"/>
        <v>1</v>
      </c>
    </row>
    <row r="159" spans="1:12">
      <c r="A159" s="954" t="s">
        <v>60</v>
      </c>
      <c r="B159" s="92"/>
      <c r="C159" s="843">
        <f>IF(ISNA(VLOOKUP("BOU791100000",Balance!C:G,5,FALSE))=TRUE,0,VLOOKUP("BOU791100000",Balance!C:G,5,FALSE))</f>
        <v>0.01</v>
      </c>
      <c r="D159" s="844">
        <f>+[2]Boulogne!$H159</f>
        <v>0</v>
      </c>
      <c r="E159" s="843">
        <f>IF(ISNA(VLOOKUP("BOU791100000",Balanceanp!C:G,5,FALSE))=TRUE,0,VLOOKUP("BOU791100000",Balanceanp!C:G,5,FALSE))</f>
        <v>-787.93</v>
      </c>
      <c r="F159" s="845">
        <f>+C159+C159/9*(12-Clients!$I$14)</f>
        <v>1.3333333333333332E-2</v>
      </c>
      <c r="G159" s="903">
        <v>0</v>
      </c>
      <c r="H159" s="904"/>
      <c r="I159" s="848">
        <f t="shared" si="17"/>
        <v>-1.0000169219769945</v>
      </c>
      <c r="J159" s="849">
        <f t="shared" si="17"/>
        <v>-1</v>
      </c>
      <c r="L159" s="17">
        <f t="shared" si="14"/>
        <v>1</v>
      </c>
    </row>
    <row r="160" spans="1:12">
      <c r="A160" s="954" t="s">
        <v>199</v>
      </c>
      <c r="B160" s="92"/>
      <c r="C160" s="843">
        <f>IF(ISNA(VLOOKUP("BOU654100000",Balance!C:G,5,FALSE))=TRUE,0,VLOOKUP("BOU654100000",Balance!C:G,5,FALSE))</f>
        <v>3.9900000000000011</v>
      </c>
      <c r="D160" s="844">
        <f>+[2]Boulogne!$H160</f>
        <v>0</v>
      </c>
      <c r="E160" s="843">
        <f>IF(ISNA(VLOOKUP("BOU654100000",Balanceanp!C:G,5,FALSE))=TRUE,0,VLOOKUP("BOU654100000",Balanceanp!C:G,5,FALSE))</f>
        <v>-13.610000000000001</v>
      </c>
      <c r="F160" s="845">
        <f>+C160+C160/9*(12-Clients!$I$14)</f>
        <v>5.3200000000000021</v>
      </c>
      <c r="G160" s="903">
        <v>0</v>
      </c>
      <c r="H160" s="904"/>
      <c r="I160" s="848">
        <f t="shared" si="17"/>
        <v>-1.3908890521675239</v>
      </c>
      <c r="J160" s="849">
        <f t="shared" si="17"/>
        <v>-1</v>
      </c>
      <c r="L160" s="17">
        <f t="shared" si="14"/>
        <v>1</v>
      </c>
    </row>
    <row r="161" spans="1:12">
      <c r="A161" s="954" t="s">
        <v>41</v>
      </c>
      <c r="B161" s="92"/>
      <c r="C161" s="843">
        <f>IF(ISNA(VLOOKUP("BOU622700000",Balance!C:G,5,FALSE))=TRUE,0,VLOOKUP("BOU622700000",Balance!C:G,5,FALSE))</f>
        <v>668.03</v>
      </c>
      <c r="D161" s="844">
        <f>+[2]Boulogne!$H161</f>
        <v>190.56965266594028</v>
      </c>
      <c r="E161" s="843">
        <f>IF(ISNA(VLOOKUP("BOU622700000",Balanceanp!C:G,5,FALSE))=TRUE,0,VLOOKUP("BOU622700000",Balanceanp!C:G,5,FALSE))</f>
        <v>318.16000000000003</v>
      </c>
      <c r="F161" s="845">
        <f>+C161+C161/9*(12-Clients!$I$14)</f>
        <v>890.70666666666671</v>
      </c>
      <c r="G161" s="903">
        <f t="shared" ref="G161:G166" si="18">+F161*1.03</f>
        <v>917.42786666666677</v>
      </c>
      <c r="H161" s="904"/>
      <c r="I161" s="848">
        <f t="shared" si="17"/>
        <v>1.7995557790629451</v>
      </c>
      <c r="J161" s="849">
        <f t="shared" si="17"/>
        <v>3.0000000000000075E-2</v>
      </c>
      <c r="L161" s="17">
        <f t="shared" si="14"/>
        <v>1</v>
      </c>
    </row>
    <row r="162" spans="1:12">
      <c r="A162" s="954" t="s">
        <v>355</v>
      </c>
      <c r="B162" s="92"/>
      <c r="C162" s="843">
        <f>IF(ISNA(VLOOKUP("BOU654200000",Balance!C:G,5,FALSE))=TRUE,0,VLOOKUP("BOU654200000",Balance!C:G,5,FALSE))</f>
        <v>25.13</v>
      </c>
      <c r="D162" s="844">
        <f>+[2]Boulogne!$H162</f>
        <v>15.748031900299306</v>
      </c>
      <c r="E162" s="843">
        <f>IF(ISNA(VLOOKUP("BOU654200000",Balanceanp!C:G,5,FALSE))=TRUE,0,VLOOKUP("BOU654200000",Balanceanp!C:G,5,FALSE))</f>
        <v>6.59</v>
      </c>
      <c r="F162" s="845">
        <f>+C162+C162/9*(12-Clients!$I$14)</f>
        <v>33.506666666666668</v>
      </c>
      <c r="G162" s="903">
        <f t="shared" si="18"/>
        <v>34.51186666666667</v>
      </c>
      <c r="H162" s="904"/>
      <c r="I162" s="848">
        <f t="shared" si="17"/>
        <v>4.0844714213454729</v>
      </c>
      <c r="J162" s="849">
        <f t="shared" si="17"/>
        <v>3.0000000000000061E-2</v>
      </c>
      <c r="L162" s="17">
        <f t="shared" si="14"/>
        <v>1</v>
      </c>
    </row>
    <row r="163" spans="1:12">
      <c r="A163" s="954" t="s">
        <v>200</v>
      </c>
      <c r="B163" s="92"/>
      <c r="C163" s="843">
        <f>IF(ISNA(VLOOKUP("BOU665000000",Balance!C:G,5,FALSE))=TRUE,0,VLOOKUP("BOU665000000",Balance!C:G,5,FALSE))+IF(ISNA(VLOOKUP("BOU665100000",Balance!C:G,5,FALSE))=TRUE,0,VLOOKUP("BOU665100000",Balance!C:G,5,FALSE))</f>
        <v>323.77</v>
      </c>
      <c r="D163" s="844">
        <f>+[2]Boulogne!$H163</f>
        <v>492.62517042655975</v>
      </c>
      <c r="E163" s="843">
        <f>IF(ISNA(VLOOKUP("BOU665000000",Balanceanp!C:G,5,FALSE))=TRUE,0,VLOOKUP("BOU665000000",Balanceanp!C:G,5,FALSE))+IF(ISNA(VLOOKUP("BOU665100000",Balanceanp!C:G,5,FALSE))=TRUE,0,VLOOKUP("BOU665100000",Balanceanp!C:G,5,FALSE))</f>
        <v>339.98</v>
      </c>
      <c r="F163" s="845">
        <f>+C163+C163/9*(12-Clients!$I$14)</f>
        <v>431.69333333333333</v>
      </c>
      <c r="G163" s="903">
        <f t="shared" si="18"/>
        <v>444.64413333333334</v>
      </c>
      <c r="H163" s="904"/>
      <c r="I163" s="848">
        <f t="shared" si="17"/>
        <v>0.26976096633135271</v>
      </c>
      <c r="J163" s="849">
        <f t="shared" si="17"/>
        <v>3.0000000000000037E-2</v>
      </c>
      <c r="L163" s="17">
        <f t="shared" si="14"/>
        <v>1</v>
      </c>
    </row>
    <row r="164" spans="1:12">
      <c r="A164" s="954" t="s">
        <v>271</v>
      </c>
      <c r="B164" s="92"/>
      <c r="C164" s="843">
        <f>IF(ISNA(VLOOKUP("BOU763000000",Balance!C:G,5,FALSE))=TRUE,0,VLOOKUP("BOU763000000",Balance!C:G,5,FALSE))</f>
        <v>-106.53</v>
      </c>
      <c r="D164" s="844">
        <f>+[2]Boulogne!$H164</f>
        <v>-185.37324723062503</v>
      </c>
      <c r="E164" s="843">
        <f>IF(ISNA(VLOOKUP("BOU763000000",Balanceanp!C:G,5,FALSE))=TRUE,0,VLOOKUP("BOU763000000",Balanceanp!C:G,5,FALSE))</f>
        <v>-304.89999999999998</v>
      </c>
      <c r="F164" s="845">
        <f>+C164+C164/9*(12-Clients!$I$14)</f>
        <v>-142.04</v>
      </c>
      <c r="G164" s="903">
        <f t="shared" si="18"/>
        <v>-146.30119999999999</v>
      </c>
      <c r="H164" s="904"/>
      <c r="I164" s="848">
        <f t="shared" si="17"/>
        <v>-0.53414234175139386</v>
      </c>
      <c r="J164" s="849">
        <f t="shared" si="17"/>
        <v>3.000000000000002E-2</v>
      </c>
      <c r="L164" s="17">
        <f t="shared" si="14"/>
        <v>1</v>
      </c>
    </row>
    <row r="165" spans="1:12">
      <c r="A165" s="954" t="s">
        <v>242</v>
      </c>
      <c r="B165" s="92"/>
      <c r="C165" s="843">
        <f>IF(ISNA(VLOOKUP("BOU627520000",Balance!C:G,5,FALSE))=TRUE,0,VLOOKUP("BOU627520000",Balance!C:G,5,FALSE))</f>
        <v>429</v>
      </c>
      <c r="D165" s="844">
        <f>+[2]Boulogne!$H165</f>
        <v>814.59695148276057</v>
      </c>
      <c r="E165" s="843">
        <f>IF(ISNA(VLOOKUP("BOU627520000",Balanceanp!C:G,5,FALSE))=TRUE,0,VLOOKUP("BOU627520000",Balanceanp!C:G,5,FALSE))</f>
        <v>947.4</v>
      </c>
      <c r="F165" s="845">
        <f>+C165+C165/9*(12-Clients!$I$14)</f>
        <v>572</v>
      </c>
      <c r="G165" s="903">
        <f t="shared" si="18"/>
        <v>589.16</v>
      </c>
      <c r="H165" s="904"/>
      <c r="I165" s="848">
        <f t="shared" si="17"/>
        <v>-0.3962423474773063</v>
      </c>
      <c r="J165" s="849">
        <f t="shared" si="17"/>
        <v>2.9999999999999943E-2</v>
      </c>
      <c r="L165" s="17">
        <f t="shared" si="14"/>
        <v>1</v>
      </c>
    </row>
    <row r="166" spans="1:12" hidden="1">
      <c r="A166" s="5" t="s">
        <v>201</v>
      </c>
      <c r="B166" s="92"/>
      <c r="C166" s="160">
        <f>IF(ISNA(VLOOKUP("BOU763100000",Balance!C:G,5,FALSE))=TRUE,0,VLOOKUP("BOU763100000",Balance!C:G,5,FALSE))</f>
        <v>0</v>
      </c>
      <c r="D166" s="117">
        <f>+[2]Boulogne!$H166</f>
        <v>0</v>
      </c>
      <c r="E166" s="160">
        <f>IF(ISNA(VLOOKUP("BOU763100000",Balanceanp!C:G,5,FALSE))=TRUE,0,VLOOKUP("BOU763100000",Balanceanp!C:G,5,FALSE))</f>
        <v>0</v>
      </c>
      <c r="F166" s="368">
        <f>+C166+C166/9*(12-Clients!$I$14)</f>
        <v>0</v>
      </c>
      <c r="G166" s="396">
        <f t="shared" si="18"/>
        <v>0</v>
      </c>
      <c r="H166" s="409"/>
      <c r="I166" s="149">
        <f t="shared" si="17"/>
        <v>0</v>
      </c>
      <c r="J166" s="271">
        <f t="shared" si="17"/>
        <v>0</v>
      </c>
      <c r="L166" s="17">
        <f t="shared" si="14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695" t="s">
        <v>74</v>
      </c>
      <c r="B168" s="93">
        <f>+C168/$C$21</f>
        <v>1.2252145043696022E-2</v>
      </c>
      <c r="C168" s="850">
        <f>SUM(C155:C167)</f>
        <v>21387.24</v>
      </c>
      <c r="D168" s="851">
        <f>SUM(D155:D167)</f>
        <v>32095.659173844935</v>
      </c>
      <c r="E168" s="850">
        <f>SUM(E155:E167)</f>
        <v>12330.699999999999</v>
      </c>
      <c r="F168" s="852">
        <f>SUM(F155:F167)</f>
        <v>28516.319999999996</v>
      </c>
      <c r="G168" s="852">
        <f>SUM(G155:G167)</f>
        <v>31908.761869666669</v>
      </c>
      <c r="H168" s="908">
        <f>+G168/$G$21</f>
        <v>1.4139605045995013E-2</v>
      </c>
      <c r="I168" s="853">
        <f>+IF((E168)=0,,(F168-E168)/E168)</f>
        <v>1.3126278313477742</v>
      </c>
      <c r="J168" s="854">
        <f>+IF((F168)=0,,(G168-F168)/F168)</f>
        <v>0.11896492498564587</v>
      </c>
      <c r="K168" s="136">
        <f>(C168+(C168/3))</f>
        <v>28516.320000000003</v>
      </c>
      <c r="L168" s="17">
        <f t="shared" si="14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 hidden="1">
      <c r="A170" s="5" t="s">
        <v>167</v>
      </c>
      <c r="B170" s="92"/>
      <c r="C170" s="160">
        <f>IF(ISNA(VLOOKUP("BOU651100000",Balance!C:G,5,FALSE))=TRUE,0,VLOOKUP("BOU651100000",Balance!C:G,5,FALSE))</f>
        <v>0</v>
      </c>
      <c r="D170" s="117">
        <f>+[2]Boulogne!$H170</f>
        <v>0</v>
      </c>
      <c r="E170" s="160">
        <f>IF(ISNA(VLOOKUP("BOU651100000",Balanceanp!C:G,5,FALSE))=TRUE,0,VLOOKUP("BOU651100000",Balanceanp!C:G,5,FALSE))</f>
        <v>0</v>
      </c>
      <c r="F170" s="368">
        <f>+C170+C170/9*(12-Clients!$I$14)</f>
        <v>0</v>
      </c>
      <c r="G170" s="396">
        <f t="shared" ref="G170:G183" si="19">+F170*1.03</f>
        <v>0</v>
      </c>
      <c r="H170" s="409"/>
      <c r="I170" s="149">
        <f t="shared" ref="I170:J183" si="20">+IF((E170)=0,,(F170-E170)/E170)</f>
        <v>0</v>
      </c>
      <c r="J170" s="271">
        <f t="shared" si="20"/>
        <v>0</v>
      </c>
      <c r="L170" s="17">
        <f t="shared" si="14"/>
        <v>0</v>
      </c>
    </row>
    <row r="171" spans="1:12" hidden="1">
      <c r="A171" s="5" t="s">
        <v>168</v>
      </c>
      <c r="B171" s="92"/>
      <c r="C171" s="160">
        <f>IF(ISNA(VLOOKUP("BOU651600000",Balance!C:G,5,FALSE))=TRUE,0,VLOOKUP("BOU651600000",Balance!C:G,5,FALSE))</f>
        <v>0</v>
      </c>
      <c r="D171" s="117">
        <f>+[2]Boulogne!$H171</f>
        <v>0</v>
      </c>
      <c r="E171" s="160">
        <f>IF(ISNA(VLOOKUP("BOU651600000",Balanceanp!C:G,5,FALSE))=TRUE,0,VLOOKUP("BOU651600000",Balanceanp!C:G,5,FALSE))</f>
        <v>0</v>
      </c>
      <c r="F171" s="368">
        <f>+C171+C171/9*(12-Clients!$I$14)</f>
        <v>0</v>
      </c>
      <c r="G171" s="396">
        <f t="shared" si="19"/>
        <v>0</v>
      </c>
      <c r="H171" s="409"/>
      <c r="I171" s="149">
        <f t="shared" si="20"/>
        <v>0</v>
      </c>
      <c r="J171" s="271">
        <f t="shared" si="20"/>
        <v>0</v>
      </c>
      <c r="L171" s="17">
        <f t="shared" si="14"/>
        <v>0</v>
      </c>
    </row>
    <row r="172" spans="1:12" hidden="1">
      <c r="A172" s="5" t="s">
        <v>169</v>
      </c>
      <c r="B172" s="92"/>
      <c r="C172" s="160">
        <f>IF(ISNA(VLOOKUP("BOU671200000",Balance!C:G,5,FALSE))=TRUE,0,VLOOKUP("BOU671200000",Balance!C:G,5,FALSE))</f>
        <v>0</v>
      </c>
      <c r="D172" s="117">
        <f>+[2]Boulogne!$H172</f>
        <v>0</v>
      </c>
      <c r="E172" s="160">
        <f>IF(ISNA(VLOOKUP("BOU671200000",Balanceanp!C:G,5,FALSE))=TRUE,0,VLOOKUP("BOU671200000",Balanceanp!C:G,5,FALSE))</f>
        <v>0</v>
      </c>
      <c r="F172" s="368">
        <f>+C172+C172/9*(12-Clients!$I$14)</f>
        <v>0</v>
      </c>
      <c r="G172" s="396">
        <f t="shared" si="19"/>
        <v>0</v>
      </c>
      <c r="H172" s="409"/>
      <c r="I172" s="149">
        <f t="shared" si="20"/>
        <v>0</v>
      </c>
      <c r="J172" s="271">
        <f t="shared" si="20"/>
        <v>0</v>
      </c>
      <c r="L172" s="17">
        <f t="shared" si="14"/>
        <v>0</v>
      </c>
    </row>
    <row r="173" spans="1:12">
      <c r="A173" s="954" t="s">
        <v>170</v>
      </c>
      <c r="B173" s="92"/>
      <c r="C173" s="843">
        <f>IF(ISNA(VLOOKUP("BOU671800000",Balance!C:G,5,FALSE))=TRUE,0,VLOOKUP("BOU671800000",Balance!C:G,5,FALSE))</f>
        <v>7.5</v>
      </c>
      <c r="D173" s="844">
        <f>+[2]Boulogne!$H173</f>
        <v>495.19052499999998</v>
      </c>
      <c r="E173" s="843">
        <f>IF(ISNA(VLOOKUP("BOU671800000",Balanceanp!C:G,5,FALSE))=TRUE,0,VLOOKUP("BOU671800000",Balanceanp!C:G,5,FALSE))</f>
        <v>0</v>
      </c>
      <c r="F173" s="845">
        <f>+C173+C173/9*(12-Clients!$I$14)</f>
        <v>10</v>
      </c>
      <c r="G173" s="903">
        <f t="shared" si="19"/>
        <v>10.3</v>
      </c>
      <c r="H173" s="904"/>
      <c r="I173" s="848">
        <f t="shared" si="20"/>
        <v>0</v>
      </c>
      <c r="J173" s="849">
        <f t="shared" si="20"/>
        <v>3.0000000000000072E-2</v>
      </c>
      <c r="L173" s="17">
        <f t="shared" si="14"/>
        <v>1</v>
      </c>
    </row>
    <row r="174" spans="1:12" hidden="1">
      <c r="A174" s="5" t="s">
        <v>171</v>
      </c>
      <c r="B174" s="92"/>
      <c r="C174" s="160">
        <f>IF(ISNA(VLOOKUP("BOU672000000",Balance!C:G,5,FALSE))=TRUE,0,VLOOKUP("BOU672000000",Balance!C:G,5,FALSE))</f>
        <v>0</v>
      </c>
      <c r="D174" s="117">
        <f>+[2]Boulogne!$H174</f>
        <v>0</v>
      </c>
      <c r="E174" s="160">
        <f>IF(ISNA(VLOOKUP("BOU672000000",Balanceanp!C:G,5,FALSE))=TRUE,0,VLOOKUP("BOU672000000",Balanceanp!C:G,5,FALSE))</f>
        <v>0</v>
      </c>
      <c r="F174" s="368">
        <f>+C174+C174/9*(12-Clients!$I$14)</f>
        <v>0</v>
      </c>
      <c r="G174" s="396">
        <f t="shared" si="19"/>
        <v>0</v>
      </c>
      <c r="H174" s="409"/>
      <c r="I174" s="149">
        <f t="shared" si="20"/>
        <v>0</v>
      </c>
      <c r="J174" s="271">
        <f t="shared" si="20"/>
        <v>0</v>
      </c>
      <c r="L174" s="17">
        <f t="shared" si="14"/>
        <v>0</v>
      </c>
    </row>
    <row r="175" spans="1:12" hidden="1">
      <c r="A175" s="5" t="s">
        <v>308</v>
      </c>
      <c r="B175" s="92"/>
      <c r="C175" s="160">
        <f>IF(ISNA(VLOOKUP("BOU691100000",Balance!C:G,5,FALSE))=TRUE,0,VLOOKUP("BOU691100000",Balance!C:G,5,FALSE))</f>
        <v>0</v>
      </c>
      <c r="D175" s="117">
        <f>+[2]Boulogne!$H175</f>
        <v>0</v>
      </c>
      <c r="E175" s="160">
        <f>IF(ISNA(VLOOKUP("BOU691100000",Balanceanp!C:G,5,FALSE))=TRUE,0,VLOOKUP("BOU691100000",Balanceanp!C:G,5,FALSE))</f>
        <v>0</v>
      </c>
      <c r="F175" s="368">
        <f>+C175+C175/9*(12-Clients!$I$14)</f>
        <v>0</v>
      </c>
      <c r="G175" s="396">
        <f t="shared" si="19"/>
        <v>0</v>
      </c>
      <c r="H175" s="409"/>
      <c r="I175" s="149">
        <f t="shared" si="20"/>
        <v>0</v>
      </c>
      <c r="J175" s="271">
        <f t="shared" si="20"/>
        <v>0</v>
      </c>
      <c r="L175" s="17">
        <f t="shared" si="14"/>
        <v>0</v>
      </c>
    </row>
    <row r="176" spans="1:12" hidden="1">
      <c r="A176" s="5" t="s">
        <v>172</v>
      </c>
      <c r="B176" s="92"/>
      <c r="C176" s="160">
        <f>IF(ISNA(VLOOKUP("BOU675100000",Balance!C:G,5,FALSE))=TRUE,0,VLOOKUP("BOU675100000",Balance!C:G,5,FALSE))</f>
        <v>0</v>
      </c>
      <c r="D176" s="117">
        <f>+[2]Boulogne!$H176</f>
        <v>0</v>
      </c>
      <c r="E176" s="160">
        <f>IF(ISNA(VLOOKUP("BOU675100000",Balanceanp!C:G,5,FALSE))=TRUE,0,VLOOKUP("BOU675100000",Balanceanp!C:G,5,FALSE))</f>
        <v>0</v>
      </c>
      <c r="F176" s="368">
        <f>+C176+C176/9*(12-Clients!$I$14)</f>
        <v>0</v>
      </c>
      <c r="G176" s="396">
        <f t="shared" si="19"/>
        <v>0</v>
      </c>
      <c r="H176" s="409"/>
      <c r="I176" s="149">
        <f t="shared" si="20"/>
        <v>0</v>
      </c>
      <c r="J176" s="271">
        <f t="shared" si="20"/>
        <v>0</v>
      </c>
      <c r="L176" s="17">
        <f t="shared" si="14"/>
        <v>0</v>
      </c>
    </row>
    <row r="177" spans="1:12">
      <c r="A177" s="954" t="s">
        <v>173</v>
      </c>
      <c r="B177" s="92"/>
      <c r="C177" s="843">
        <f>IF(ISNA(VLOOKUP("BOU675200000",Balance!C:G,5,FALSE))=TRUE,0,VLOOKUP("BOU675200000",Balance!C:G,5,FALSE))</f>
        <v>0</v>
      </c>
      <c r="D177" s="844">
        <f>+[2]Boulogne!$H177</f>
        <v>0</v>
      </c>
      <c r="E177" s="843">
        <f>IF(ISNA(VLOOKUP("BOU675200000",Balanceanp!C:G,5,FALSE))=TRUE,0,VLOOKUP("BOU675200000",Balanceanp!C:G,5,FALSE))</f>
        <v>-296.29000000000002</v>
      </c>
      <c r="F177" s="845">
        <f>+C177+C177/9*(12-Clients!$I$14)</f>
        <v>0</v>
      </c>
      <c r="G177" s="903">
        <f t="shared" si="19"/>
        <v>0</v>
      </c>
      <c r="H177" s="904"/>
      <c r="I177" s="848">
        <f t="shared" si="20"/>
        <v>-1</v>
      </c>
      <c r="J177" s="849">
        <f t="shared" si="20"/>
        <v>0</v>
      </c>
      <c r="L177" s="17">
        <f t="shared" si="14"/>
        <v>1</v>
      </c>
    </row>
    <row r="178" spans="1:12" hidden="1">
      <c r="A178" s="5" t="s">
        <v>174</v>
      </c>
      <c r="B178" s="92"/>
      <c r="C178" s="160">
        <f>IF(ISNA(VLOOKUP("BOU681110000",Balance!C:G,5,FALSE))=TRUE,0,VLOOKUP("BOU681110000",Balance!C:G,5,FALSE))</f>
        <v>0</v>
      </c>
      <c r="D178" s="117">
        <f>+[2]Boulogne!$H178</f>
        <v>0</v>
      </c>
      <c r="E178" s="160">
        <f>IF(ISNA(VLOOKUP("BOU681110000",Balanceanp!C:G,5,FALSE))=TRUE,0,VLOOKUP("BOU681110000",Balanceanp!C:G,5,FALSE))</f>
        <v>0</v>
      </c>
      <c r="F178" s="368">
        <f>+C178+C178/9*(12-Clients!$I$14)</f>
        <v>0</v>
      </c>
      <c r="G178" s="396">
        <f t="shared" si="19"/>
        <v>0</v>
      </c>
      <c r="H178" s="409"/>
      <c r="I178" s="149">
        <f t="shared" si="20"/>
        <v>0</v>
      </c>
      <c r="J178" s="271">
        <f t="shared" si="20"/>
        <v>0</v>
      </c>
      <c r="L178" s="17">
        <f t="shared" si="14"/>
        <v>0</v>
      </c>
    </row>
    <row r="179" spans="1:12">
      <c r="A179" s="954" t="s">
        <v>175</v>
      </c>
      <c r="B179" s="92"/>
      <c r="C179" s="843">
        <f>IF(ISNA(VLOOKUP("BOU681120000",Balance!C:G,5,FALSE))=TRUE,0,VLOOKUP("BOU681120000",Balance!C:G,5,FALSE))</f>
        <v>10950.03</v>
      </c>
      <c r="D179" s="844">
        <f>+[2]Boulogne!$H179</f>
        <v>14600</v>
      </c>
      <c r="E179" s="843">
        <f>IF(ISNA(VLOOKUP("BOU681120000",Balanceanp!C:G,5,FALSE))=TRUE,0,VLOOKUP("BOU681120000",Balanceanp!C:G,5,FALSE))</f>
        <v>14039.49</v>
      </c>
      <c r="F179" s="885">
        <v>13601.53</v>
      </c>
      <c r="G179" s="911">
        <f>12492.13+500+G255/10</f>
        <v>14380.13</v>
      </c>
      <c r="H179" s="905"/>
      <c r="I179" s="848">
        <f t="shared" si="20"/>
        <v>-3.1194865340550059E-2</v>
      </c>
      <c r="J179" s="849">
        <f t="shared" si="20"/>
        <v>5.7243560099488701E-2</v>
      </c>
      <c r="L179" s="17">
        <f t="shared" si="14"/>
        <v>1</v>
      </c>
    </row>
    <row r="180" spans="1:12">
      <c r="A180" s="954" t="s">
        <v>78</v>
      </c>
      <c r="B180" s="92"/>
      <c r="C180" s="843">
        <f>IF(ISNA(VLOOKUP("BOU687250000",Balance!C:G,5,FALSE))=TRUE,0,+VLOOKUP("BOU687250000",Balance!C:G,5,FALSE))</f>
        <v>0</v>
      </c>
      <c r="D180" s="844">
        <f>+[2]Boulogne!$H180</f>
        <v>0</v>
      </c>
      <c r="E180" s="843">
        <f>IF(ISNA(VLOOKUP("BOU687250000",Balanceanp!C:G,5,FALSE))=TRUE,0,+VLOOKUP("BOU687250000",Balanceanp!C:G,5,FALSE))</f>
        <v>3199.38</v>
      </c>
      <c r="F180" s="845">
        <f>+C180+C180/9*(12-Clients!$I$14)</f>
        <v>0</v>
      </c>
      <c r="G180" s="903">
        <f t="shared" si="19"/>
        <v>0</v>
      </c>
      <c r="H180" s="904"/>
      <c r="I180" s="848">
        <f t="shared" si="20"/>
        <v>-1</v>
      </c>
      <c r="J180" s="849">
        <f t="shared" si="20"/>
        <v>0</v>
      </c>
      <c r="L180" s="17">
        <f t="shared" si="14"/>
        <v>1</v>
      </c>
    </row>
    <row r="181" spans="1:12" hidden="1">
      <c r="A181" s="5" t="s">
        <v>327</v>
      </c>
      <c r="B181" s="92"/>
      <c r="C181" s="160">
        <f>IF(ISNA(VLOOKUP("BOU661880000",Balance!C:G,5,FALSE))=TRUE,0,+VLOOKUP("BOU661880000",Balance!C:G,5,FALSE))</f>
        <v>0</v>
      </c>
      <c r="D181" s="117">
        <f>+[2]Boulogne!$H181</f>
        <v>0</v>
      </c>
      <c r="E181" s="160">
        <f>IF(ISNA(VLOOKUP("BOU661880000",Balanceanp!C:G,5,FALSE))=TRUE,0,+VLOOKUP("BOU661880000",Balanceanp!C:G,5,FALSE))</f>
        <v>0</v>
      </c>
      <c r="F181" s="368">
        <f>+C181+C181/9*(12-Clients!$I$14)</f>
        <v>0</v>
      </c>
      <c r="G181" s="396">
        <f t="shared" si="19"/>
        <v>0</v>
      </c>
      <c r="H181" s="409"/>
      <c r="I181" s="149">
        <f t="shared" si="20"/>
        <v>0</v>
      </c>
      <c r="J181" s="271">
        <f t="shared" si="20"/>
        <v>0</v>
      </c>
      <c r="L181" s="17">
        <f t="shared" si="14"/>
        <v>0</v>
      </c>
    </row>
    <row r="182" spans="1:12" hidden="1">
      <c r="A182" s="5" t="s">
        <v>82</v>
      </c>
      <c r="B182" s="92"/>
      <c r="C182" s="160">
        <f>IF(ISNA(VLOOKUP("BOU661610000",Balance!C:G,5,FALSE))=TRUE,0,+VLOOKUP("BOU661610000",Balance!C:G,5,FALSE))</f>
        <v>0</v>
      </c>
      <c r="D182" s="117">
        <f>+[2]Boulogne!$H182</f>
        <v>0</v>
      </c>
      <c r="E182" s="160">
        <f>IF(ISNA(VLOOKUP("BOU661610000",Balanceanp!C:G,5,FALSE))=TRUE,0,+VLOOKUP("BOU661610000",Balanceanp!C:G,5,FALSE))</f>
        <v>0</v>
      </c>
      <c r="F182" s="368">
        <f>+C182+C182/9*(12-Clients!$I$14)</f>
        <v>0</v>
      </c>
      <c r="G182" s="396">
        <f t="shared" si="19"/>
        <v>0</v>
      </c>
      <c r="H182" s="409"/>
      <c r="I182" s="149">
        <f t="shared" si="20"/>
        <v>0</v>
      </c>
      <c r="J182" s="271">
        <f t="shared" si="20"/>
        <v>0</v>
      </c>
      <c r="L182" s="17">
        <f t="shared" si="14"/>
        <v>0</v>
      </c>
    </row>
    <row r="183" spans="1:12" hidden="1">
      <c r="A183" s="5" t="s">
        <v>331</v>
      </c>
      <c r="B183" s="92"/>
      <c r="C183" s="160">
        <f>IF(ISNA(VLOOKUP("bou681500000",Balance!C:G,5,FALSE))=TRUE,0,VLOOKUP("bou681500000",Balance!C:G,5,FALSE))</f>
        <v>0</v>
      </c>
      <c r="D183" s="117">
        <f>+[2]Boulogne!$H183</f>
        <v>0</v>
      </c>
      <c r="E183" s="160">
        <f>IF(ISNA(VLOOKUP("bou681500000",Balanceanp!C:G,5,FALSE))=TRUE,0,VLOOKUP("bou681500000",Balanceanp!C:G,5,FALSE))</f>
        <v>0</v>
      </c>
      <c r="F183" s="368">
        <f>+C183+C183/9*(12-Clients!$I$14)</f>
        <v>0</v>
      </c>
      <c r="G183" s="396">
        <f t="shared" si="19"/>
        <v>0</v>
      </c>
      <c r="H183" s="409"/>
      <c r="I183" s="149">
        <f t="shared" si="20"/>
        <v>0</v>
      </c>
      <c r="J183" s="271">
        <f t="shared" si="20"/>
        <v>0</v>
      </c>
      <c r="L183" s="17">
        <f t="shared" si="14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695" t="s">
        <v>178</v>
      </c>
      <c r="B185" s="93"/>
      <c r="C185" s="850">
        <f>SUM(C169:C184)</f>
        <v>10957.53</v>
      </c>
      <c r="D185" s="851">
        <f>SUM(D169:D184)</f>
        <v>15095.190525</v>
      </c>
      <c r="E185" s="913">
        <f>SUM(E169:E184)</f>
        <v>16942.579999999998</v>
      </c>
      <c r="F185" s="852">
        <f>SUM(F169:F184)</f>
        <v>13611.53</v>
      </c>
      <c r="G185" s="852">
        <f>SUM(G169:G184)</f>
        <v>14390.429999999998</v>
      </c>
      <c r="H185" s="908"/>
      <c r="I185" s="853">
        <f>+IF((E185)=0,,(F185-E185)/E185)</f>
        <v>-0.19660819072419891</v>
      </c>
      <c r="J185" s="854">
        <f>+IF((F185)=0,,(G185-F185)/F185)</f>
        <v>5.7223545038654566E-2</v>
      </c>
      <c r="K185" s="136">
        <f>(C185+(C185/3))</f>
        <v>14610.04</v>
      </c>
      <c r="L185" s="17">
        <f t="shared" si="14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 hidden="1">
      <c r="A187" s="5" t="s">
        <v>179</v>
      </c>
      <c r="B187" s="92"/>
      <c r="C187" s="160">
        <f>IF(ISNA(VLOOKUP("BOU740000000",Balance!C:G,5,FALSE))=TRUE,0,-VLOOKUP("BOU740000000",Balance!C:G,5,FALSE))</f>
        <v>0</v>
      </c>
      <c r="D187" s="117">
        <f>+[2]Boulogne!$H187</f>
        <v>0</v>
      </c>
      <c r="E187" s="160">
        <f>IF(ISNA(VLOOKUP("BOU740000000",Balanceanp!C:G,5,FALSE))=TRUE,0,-VLOOKUP("BOU740000000",Balanceanp!C:G,5,FALSE))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1">+IF((E187)=0,,(F187-E187)/E187)</f>
        <v>0</v>
      </c>
      <c r="J187" s="271">
        <f t="shared" si="21"/>
        <v>0</v>
      </c>
      <c r="L187" s="17">
        <f t="shared" si="14"/>
        <v>0</v>
      </c>
    </row>
    <row r="188" spans="1:12" hidden="1">
      <c r="A188" s="5" t="s">
        <v>167</v>
      </c>
      <c r="B188" s="92"/>
      <c r="C188" s="160">
        <f>IF(ISNA(VLOOKUP("BOU751100000",Balance!C:G,5,FALSE))=TRUE,0,-VLOOKUP("BOU751100000",Balance!C:G,5,FALSE))</f>
        <v>0</v>
      </c>
      <c r="D188" s="117">
        <f>+[2]Boulogne!$H188</f>
        <v>0</v>
      </c>
      <c r="E188" s="160">
        <f>IF(ISNA(VLOOKUP("BOU751100000",Balanceanp!C:G,5,FALSE))=TRUE,0,-VLOOKUP("BOU751100000",Balanceanp!C:G,5,FALSE))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1"/>
        <v>0</v>
      </c>
      <c r="J188" s="271">
        <f t="shared" si="21"/>
        <v>0</v>
      </c>
      <c r="L188" s="17">
        <f t="shared" si="14"/>
        <v>0</v>
      </c>
    </row>
    <row r="189" spans="1:12" hidden="1">
      <c r="A189" s="5" t="s">
        <v>180</v>
      </c>
      <c r="B189" s="92"/>
      <c r="C189" s="160">
        <f>IF(ISNA(VLOOKUP("BOU758100000",Balance!C:G,5,FALSE))=TRUE,0,-VLOOKUP("BOU758100000",Balance!C:G,5,FALSE))</f>
        <v>412</v>
      </c>
      <c r="D189" s="117">
        <f>+[2]Boulogne!$H189</f>
        <v>0</v>
      </c>
      <c r="E189" s="160">
        <f>IF(ISNA(VLOOKUP("BOU758100000",Balanceanp!C:G,5,FALSE))=TRUE,0,-VLOOKUP("BOU758100000",Balanceanp!C:G,5,FALSE))</f>
        <v>145.33000000000001</v>
      </c>
      <c r="F189" s="368">
        <f>+C189+C189/9*(12-Clients!$I$14)</f>
        <v>549.33333333333337</v>
      </c>
      <c r="G189" s="368">
        <v>0</v>
      </c>
      <c r="H189" s="410"/>
      <c r="I189" s="149">
        <f t="shared" si="21"/>
        <v>2.7799032087891922</v>
      </c>
      <c r="J189" s="271">
        <f t="shared" si="21"/>
        <v>-1</v>
      </c>
      <c r="L189" s="17">
        <v>0</v>
      </c>
    </row>
    <row r="190" spans="1:12" hidden="1">
      <c r="A190" s="5" t="s">
        <v>181</v>
      </c>
      <c r="B190" s="92"/>
      <c r="C190" s="160">
        <f>IF(ISNA(VLOOKUP("BOU763800000",Balance!C:G,5,FALSE))=TRUE,0,-VLOOKUP("BOU763800000",Balance!C:G,5,FALSE))</f>
        <v>0</v>
      </c>
      <c r="D190" s="117">
        <f>+[2]Boulogne!$H190</f>
        <v>0</v>
      </c>
      <c r="E190" s="160">
        <f>IF(ISNA(VLOOKUP("BOU763800000",Balanceanp!C:G,5,FALSE))=TRUE,0,-VLOOKUP("BOU763800000",Balanceanp!C:G,5,FALSE))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1"/>
        <v>0</v>
      </c>
      <c r="J190" s="271">
        <f t="shared" si="21"/>
        <v>0</v>
      </c>
      <c r="L190" s="17">
        <f t="shared" si="14"/>
        <v>0</v>
      </c>
    </row>
    <row r="191" spans="1:12" hidden="1">
      <c r="A191" s="5" t="s">
        <v>182</v>
      </c>
      <c r="B191" s="92"/>
      <c r="C191" s="160">
        <f>IF(ISNA(VLOOKUP("BOU765000000",Balance!C:G,5,FALSE))=TRUE,0,-VLOOKUP("BOU765000000",Balance!C:G,5,FALSE))</f>
        <v>0</v>
      </c>
      <c r="D191" s="117">
        <f>+[2]Boulogne!$H191</f>
        <v>0</v>
      </c>
      <c r="E191" s="160">
        <f>IF(ISNA(VLOOKUP("BOU765000000",Balanceanp!C:G,5,FALSE))=TRUE,0,-VLOOKUP("BOU765000000",Balanceanp!C:G,5,FALSE))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1"/>
        <v>0</v>
      </c>
      <c r="J191" s="271">
        <f t="shared" si="21"/>
        <v>0</v>
      </c>
      <c r="L191" s="17">
        <f t="shared" si="14"/>
        <v>0</v>
      </c>
    </row>
    <row r="192" spans="1:12" hidden="1">
      <c r="A192" s="5" t="s">
        <v>183</v>
      </c>
      <c r="B192" s="92"/>
      <c r="C192" s="160">
        <f>IF(ISNA(VLOOKUP("BOU771400000",Balance!C:G,5,FALSE))=TRUE,0,-VLOOKUP("BOU771400000",Balance!C:G,5,FALSE))</f>
        <v>0</v>
      </c>
      <c r="D192" s="117">
        <f>+[2]Boulogne!$H192</f>
        <v>0</v>
      </c>
      <c r="E192" s="160">
        <f>IF(ISNA(VLOOKUP("BOU771400000",Balanceanp!C:G,5,FALSE))=TRUE,0,-VLOOKUP("BOU771400000",Balanceanp!C:G,5,FALSE))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1"/>
        <v>0</v>
      </c>
      <c r="J192" s="271">
        <f t="shared" si="21"/>
        <v>0</v>
      </c>
      <c r="L192" s="17">
        <f t="shared" si="14"/>
        <v>0</v>
      </c>
    </row>
    <row r="193" spans="1:12" hidden="1">
      <c r="A193" s="5" t="s">
        <v>184</v>
      </c>
      <c r="B193" s="92"/>
      <c r="C193" s="160">
        <f>IF(ISNA(VLOOKUP("BOU771800000",Balance!C:G,5,FALSE))=TRUE,0,-VLOOKUP("BOU771800000",Balance!C:G,5,FALSE))</f>
        <v>129.5</v>
      </c>
      <c r="D193" s="117">
        <f>+[2]Boulogne!$H193</f>
        <v>0</v>
      </c>
      <c r="E193" s="160">
        <f>IF(ISNA(VLOOKUP("BOU771800000",Balanceanp!C:G,5,FALSE))=TRUE,0,-VLOOKUP("BOU771800000",Balanceanp!C:G,5,FALSE))</f>
        <v>12354.82</v>
      </c>
      <c r="F193" s="368">
        <f>+C193+C193/9*(12-Clients!$I$14)</f>
        <v>172.66666666666669</v>
      </c>
      <c r="G193" s="368">
        <v>0</v>
      </c>
      <c r="H193" s="410"/>
      <c r="I193" s="149">
        <f t="shared" si="21"/>
        <v>-0.98602434785236315</v>
      </c>
      <c r="J193" s="271">
        <f t="shared" si="21"/>
        <v>-1</v>
      </c>
      <c r="L193" s="17">
        <v>0</v>
      </c>
    </row>
    <row r="194" spans="1:12" hidden="1">
      <c r="A194" s="5" t="s">
        <v>185</v>
      </c>
      <c r="B194" s="92"/>
      <c r="C194" s="160">
        <f>IF(ISNA(VLOOKUP("BOU758000000",Balance!C:G,5,FALSE))=TRUE,0,-VLOOKUP("BOU758000000",Balance!C:G,5,FALSE))</f>
        <v>0</v>
      </c>
      <c r="D194" s="117">
        <f>+[2]Boulogne!$H194</f>
        <v>0</v>
      </c>
      <c r="E194" s="160">
        <f>IF(ISNA(VLOOKUP("BOU758000000",Balanceanp!C:G,5,FALSE))=TRUE,0,-VLOOKUP("BOU758000000",Balanceanp!C:G,5,FALSE))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1"/>
        <v>0</v>
      </c>
      <c r="J194" s="271">
        <f t="shared" si="21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IF(ISNA(VLOOKUP("BOU775100000",Balance!C:G,5,FALSE))=TRUE,0,-VLOOKUP("BOU775100000",Balance!C:G,5,FALSE))</f>
        <v>0</v>
      </c>
      <c r="D195" s="117">
        <f>+[2]Boulogne!$H195</f>
        <v>0</v>
      </c>
      <c r="E195" s="160">
        <f>IF(ISNA(VLOOKUP("BOU775100000",Balanceanp!C:G,5,FALSE))=TRUE,0,-VLOOKUP("BOU775100000",Balanceanp!C:G,5,FALSE))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1"/>
        <v>0</v>
      </c>
      <c r="J195" s="271">
        <f t="shared" si="21"/>
        <v>0</v>
      </c>
      <c r="L195" s="17">
        <f t="shared" si="14"/>
        <v>0</v>
      </c>
    </row>
    <row r="196" spans="1:12" hidden="1">
      <c r="A196" s="5" t="s">
        <v>187</v>
      </c>
      <c r="B196" s="92"/>
      <c r="C196" s="160">
        <f>IF(ISNA(VLOOKUP("BOU775200000",Balance!C:G,5,FALSE))=TRUE,0,-VLOOKUP("BOU775200000",Balance!C:G,5,FALSE))</f>
        <v>0</v>
      </c>
      <c r="D196" s="117">
        <f>+[2]Boulogne!$H196</f>
        <v>0</v>
      </c>
      <c r="E196" s="160">
        <f>IF(ISNA(VLOOKUP("BOU775200000",Balanceanp!C:G,5,FALSE))=TRUE,0,-VLOOKUP("BOU775200000",Balanceanp!C:G,5,FALSE))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1"/>
        <v>0</v>
      </c>
      <c r="J196" s="271">
        <f t="shared" si="21"/>
        <v>0</v>
      </c>
      <c r="L196" s="17">
        <f t="shared" si="14"/>
        <v>0</v>
      </c>
    </row>
    <row r="197" spans="1:12" hidden="1">
      <c r="A197" s="5" t="s">
        <v>328</v>
      </c>
      <c r="B197" s="92"/>
      <c r="C197" s="160">
        <f>IF(ISNA(VLOOKUP("BOU791000000",Balance!C:G,5,FALSE))=TRUE,0,-VLOOKUP("BOU791000000",Balance!C:G,5,FALSE))</f>
        <v>0</v>
      </c>
      <c r="D197" s="117">
        <f>+[2]Boulogne!$H197</f>
        <v>0</v>
      </c>
      <c r="E197" s="160">
        <f>IF(ISNA(VLOOKUP("BOU791000000",Balanceanp!C:G,5,FALSE))=TRUE,0,-VLOOKUP("BOU791000000",Balanceanp!C:G,5,FALSE))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1"/>
        <v>0</v>
      </c>
      <c r="J197" s="271">
        <f t="shared" si="21"/>
        <v>0</v>
      </c>
      <c r="L197" s="17">
        <f t="shared" si="14"/>
        <v>0</v>
      </c>
    </row>
    <row r="198" spans="1:12" hidden="1">
      <c r="A198" s="5" t="s">
        <v>344</v>
      </c>
      <c r="B198" s="92"/>
      <c r="C198" s="160">
        <f>IF(ISNA(VLOOKUP("bou781500000",Balance!C:G,5,FALSE))=TRUE,0,-VLOOKUP("bou781500000",Balance!C:G,5,FALSE))</f>
        <v>0</v>
      </c>
      <c r="D198" s="117">
        <f>+[2]Boulogne!$H198</f>
        <v>0</v>
      </c>
      <c r="E198" s="160">
        <f>IF(ISNA(VLOOKUP("bou781500000",Balanceanp!C:G,5,FALSE))=TRUE,0,-VLOOKUP("bou781500000",Balanceanp!C:G,5,FALSE))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1"/>
        <v>0</v>
      </c>
      <c r="J198" s="271">
        <f t="shared" si="21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IF(ISNA(VLOOKUP("BOU787250000",Balance!C:G,5,FALSE))=TRUE,0,-VLOOKUP("BOU787250000",Balance!C:G,5,FALSE))</f>
        <v>0</v>
      </c>
      <c r="D199" s="117">
        <f>+[2]Boulogne!$H199</f>
        <v>0</v>
      </c>
      <c r="E199" s="160">
        <f>IF(ISNA(VLOOKUP("BOU787250000",Balanceanp!C:G,5,FALSE))=TRUE,0,-VLOOKUP("BOU787250000",Balanceanp!C:G,5,FALSE))</f>
        <v>711.42</v>
      </c>
      <c r="F199" s="368">
        <f>+C199+C199/9*(12-Clients!$I$14)</f>
        <v>0</v>
      </c>
      <c r="G199" s="368">
        <v>0</v>
      </c>
      <c r="H199" s="410"/>
      <c r="I199" s="149">
        <f t="shared" si="21"/>
        <v>-1</v>
      </c>
      <c r="J199" s="271">
        <f t="shared" si="21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2">IF(SUM(C200:J200)&lt;&gt;0,1,0)</f>
        <v>0</v>
      </c>
    </row>
    <row r="201" spans="1:12" s="33" customFormat="1" ht="15" customHeight="1">
      <c r="A201" s="695" t="s">
        <v>188</v>
      </c>
      <c r="B201" s="93"/>
      <c r="C201" s="850">
        <f>SUM(C186:C200)</f>
        <v>541.5</v>
      </c>
      <c r="D201" s="851">
        <f>SUM(D186:D200)</f>
        <v>0</v>
      </c>
      <c r="E201" s="850">
        <f>SUM(E186:E200)</f>
        <v>13211.57</v>
      </c>
      <c r="F201" s="852">
        <f>SUM(F186:F200)</f>
        <v>722</v>
      </c>
      <c r="G201" s="852">
        <f>SUM(G186:G200)</f>
        <v>0</v>
      </c>
      <c r="H201" s="908"/>
      <c r="I201" s="853">
        <f>+IF((E201)=0,,(F201-E201)/E201)</f>
        <v>-0.94535093103998991</v>
      </c>
      <c r="J201" s="854">
        <f>+IF((F201)=0,,(G201-F201)/F201)</f>
        <v>-1</v>
      </c>
      <c r="K201" s="136">
        <f>(C201+(C201/3))</f>
        <v>722</v>
      </c>
      <c r="L201" s="17">
        <f t="shared" si="22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2"/>
        <v>0</v>
      </c>
    </row>
    <row r="203" spans="1:12" s="33" customFormat="1" ht="15" customHeight="1">
      <c r="A203" s="713" t="s">
        <v>189</v>
      </c>
      <c r="B203" s="99">
        <f>+C203/$C$21</f>
        <v>0.18351631161719464</v>
      </c>
      <c r="C203" s="914">
        <f>+C103+C116+C129+C154+C168+C185-C201</f>
        <v>320344.51</v>
      </c>
      <c r="D203" s="915">
        <f>+D103+D116+D129+D154+D168+D185-D201</f>
        <v>444756.98298720061</v>
      </c>
      <c r="E203" s="914">
        <f>+E103+E116+E129+E154+E168+E185-E201</f>
        <v>414097.59864000004</v>
      </c>
      <c r="F203" s="916">
        <f>+F103+F116+F129+F154+F168+F185-F201</f>
        <v>421700.37166666664</v>
      </c>
      <c r="G203" s="916">
        <f>+G103+G116+G129+G154+G168+G185-G201</f>
        <v>415435.40979443968</v>
      </c>
      <c r="H203" s="917">
        <f>+G203/$G$21</f>
        <v>0.18409027089824304</v>
      </c>
      <c r="I203" s="918">
        <f>+IF((E203)=0,,(F203-E203)/E203)</f>
        <v>1.8359857800760038E-2</v>
      </c>
      <c r="J203" s="919">
        <f>+IF((F203)=0,,(G203-F203)/F203)</f>
        <v>-1.4856429572177636E-2</v>
      </c>
      <c r="K203" s="145">
        <f>+K103+K116+K129+K154+K168+K185-K201</f>
        <v>427126.01333333325</v>
      </c>
      <c r="L203" s="17">
        <f t="shared" si="22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2"/>
        <v>0</v>
      </c>
    </row>
    <row r="205" spans="1:12" s="33" customFormat="1" ht="15" customHeight="1">
      <c r="A205" s="673" t="s">
        <v>228</v>
      </c>
      <c r="B205" s="100">
        <f>+C205/$C$21</f>
        <v>0.11229404831879679</v>
      </c>
      <c r="C205" s="920">
        <f>+C62-C203</f>
        <v>196019.53399999999</v>
      </c>
      <c r="D205" s="921">
        <f>+D62-D203</f>
        <v>269139.01701279939</v>
      </c>
      <c r="E205" s="920">
        <f>+E53-E203</f>
        <v>236822.34536000009</v>
      </c>
      <c r="F205" s="922">
        <f>+F62-F203</f>
        <v>247615.1572491668</v>
      </c>
      <c r="G205" s="922">
        <f>+G62-G203</f>
        <v>238421.09301913378</v>
      </c>
      <c r="H205" s="766">
        <f>+G205/$G$21</f>
        <v>0.10565060793316851</v>
      </c>
      <c r="I205" s="923">
        <f>+IF((E205)=0,,(F205-E205)/E205)</f>
        <v>4.5573452423842281E-2</v>
      </c>
      <c r="J205" s="924">
        <f>+IF((F205)=0,,(G205-F205)/F205)</f>
        <v>-3.7130458135813324E-2</v>
      </c>
      <c r="L205" s="17">
        <f t="shared" si="22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2"/>
        <v>0</v>
      </c>
    </row>
    <row r="207" spans="1:12" ht="15" customHeight="1">
      <c r="A207" s="718" t="s">
        <v>251</v>
      </c>
      <c r="B207" s="101">
        <f>+C207/$C$21</f>
        <v>2.6974623092439966E-3</v>
      </c>
      <c r="C207" s="925">
        <f>+[2]Boulogne!$C207</f>
        <v>4708.6672246374455</v>
      </c>
      <c r="D207" s="926">
        <f>+[2]Boulogne!$H207</f>
        <v>12920.884922598143</v>
      </c>
      <c r="E207" s="927">
        <f>+[1]Boulogne!$G$207</f>
        <v>4676.4484551072819</v>
      </c>
      <c r="F207" s="928">
        <f>+Repart!K30</f>
        <v>6147.4143891320646</v>
      </c>
      <c r="G207" s="928">
        <f>+Repart!Q30</f>
        <v>8542.0441900018141</v>
      </c>
      <c r="H207" s="929">
        <f>+G207/$G$21</f>
        <v>3.7852026858766915E-3</v>
      </c>
      <c r="I207" s="918">
        <f>+IF((E207)=0,,(F207-E207)/E207)</f>
        <v>0.31454766328458067</v>
      </c>
      <c r="J207" s="919">
        <f>+IF((F207)=0,,(G207-F207)/F207)</f>
        <v>0.38953446917507056</v>
      </c>
      <c r="L207" s="17">
        <f t="shared" si="22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2"/>
        <v>0</v>
      </c>
    </row>
    <row r="209" spans="1:12" s="33" customFormat="1" ht="15" customHeight="1">
      <c r="A209" s="673" t="s">
        <v>190</v>
      </c>
      <c r="B209" s="100">
        <f>+C209/$C$21</f>
        <v>0.10959658600955278</v>
      </c>
      <c r="C209" s="920">
        <f>+C205-C207</f>
        <v>191310.86677536255</v>
      </c>
      <c r="D209" s="921">
        <f>+D205-D207</f>
        <v>256218.13209020125</v>
      </c>
      <c r="E209" s="920">
        <f>+E205-E207</f>
        <v>232145.89690489281</v>
      </c>
      <c r="F209" s="922">
        <f>+F205-F207</f>
        <v>241467.74286003475</v>
      </c>
      <c r="G209" s="922">
        <f>+G205-G207</f>
        <v>229879.04882913196</v>
      </c>
      <c r="H209" s="766">
        <f>+G209/$G$21</f>
        <v>0.10186540524729182</v>
      </c>
      <c r="I209" s="923">
        <f>+IF((E209)=0,,(F209-E209)/E209)</f>
        <v>4.0155118308901137E-2</v>
      </c>
      <c r="J209" s="924">
        <f>+IF((F209)=0,,(G209-F209)/F209)</f>
        <v>-4.7992721071733788E-2</v>
      </c>
      <c r="L209" s="17">
        <f t="shared" si="22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2"/>
        <v>0</v>
      </c>
    </row>
    <row r="211" spans="1:12">
      <c r="A211" s="954" t="s">
        <v>191</v>
      </c>
      <c r="B211" s="92">
        <f>+C211/$C$21</f>
        <v>3.7437524725744188E-3</v>
      </c>
      <c r="C211" s="843">
        <f>+[2]Boulogne!$C211</f>
        <v>6535.0624193548392</v>
      </c>
      <c r="D211" s="844">
        <f>+[2]Boulogne!$H211</f>
        <v>9026.0372215405096</v>
      </c>
      <c r="E211" s="843">
        <f>+[1]Boulogne!$G211</f>
        <v>8095.0860719999991</v>
      </c>
      <c r="F211" s="845">
        <f>+Repart!I30</f>
        <v>8997.9607634408567</v>
      </c>
      <c r="G211" s="845">
        <f>+Repart!O30</f>
        <v>9644.6846793104778</v>
      </c>
      <c r="H211" s="894"/>
      <c r="I211" s="848">
        <f t="shared" ref="I211:J213" si="23">+IF((E211)=0,,(F211-E211)/E211)</f>
        <v>0.11153367405984731</v>
      </c>
      <c r="J211" s="849">
        <f t="shared" si="23"/>
        <v>7.1874498330476308E-2</v>
      </c>
      <c r="L211" s="17">
        <f t="shared" si="22"/>
        <v>1</v>
      </c>
    </row>
    <row r="212" spans="1:12">
      <c r="A212" s="954" t="s">
        <v>192</v>
      </c>
      <c r="B212" s="92">
        <f>+C212/$C$21</f>
        <v>3.8711311832151679E-2</v>
      </c>
      <c r="C212" s="843">
        <f>+[2]Boulogne!$C212</f>
        <v>67574.13611382716</v>
      </c>
      <c r="D212" s="844">
        <f>+[2]Boulogne!$H212</f>
        <v>81841.67596253501</v>
      </c>
      <c r="E212" s="843">
        <f>+[1]Boulogne!$G212</f>
        <v>71771.746203871473</v>
      </c>
      <c r="F212" s="845">
        <f>+Repart!J30</f>
        <v>91707.688719444253</v>
      </c>
      <c r="G212" s="845">
        <f>+Repart!P30</f>
        <v>92034.054220122911</v>
      </c>
      <c r="H212" s="894"/>
      <c r="I212" s="848">
        <f t="shared" si="23"/>
        <v>0.27776867040330427</v>
      </c>
      <c r="J212" s="849">
        <f t="shared" si="23"/>
        <v>3.5587583248018347E-3</v>
      </c>
      <c r="L212" s="17">
        <f t="shared" si="22"/>
        <v>1</v>
      </c>
    </row>
    <row r="213" spans="1:12">
      <c r="A213" s="954" t="s">
        <v>193</v>
      </c>
      <c r="B213" s="92"/>
      <c r="C213" s="843">
        <f>+[2]Boulogne!$C213</f>
        <v>-23349.32</v>
      </c>
      <c r="D213" s="844">
        <f>+[2]Boulogne!$H213</f>
        <v>-23402.959999999999</v>
      </c>
      <c r="E213" s="843">
        <f>+[1]Boulogne!$G213</f>
        <v>-24329.22</v>
      </c>
      <c r="F213" s="845">
        <f>+C213+C213/9*(12-Clients!$I$14)</f>
        <v>-31132.426666666666</v>
      </c>
      <c r="G213" s="845">
        <f>+G253*-4%</f>
        <v>-25100.756023200007</v>
      </c>
      <c r="H213" s="894"/>
      <c r="I213" s="848">
        <f t="shared" si="23"/>
        <v>0.27963110476483277</v>
      </c>
      <c r="J213" s="849">
        <f t="shared" si="23"/>
        <v>-0.19374238661340007</v>
      </c>
      <c r="L213" s="17">
        <f t="shared" si="22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2"/>
        <v>0</v>
      </c>
    </row>
    <row r="215" spans="1:12" s="33" customFormat="1" ht="15" customHeight="1">
      <c r="A215" s="721" t="s">
        <v>194</v>
      </c>
      <c r="B215" s="103">
        <f>+C215/$C$21</f>
        <v>2.907889910941935E-2</v>
      </c>
      <c r="C215" s="930">
        <f>SUM(C210:C213)</f>
        <v>50759.878533182004</v>
      </c>
      <c r="D215" s="931">
        <f>SUM(D210:D213)</f>
        <v>67464.753184075525</v>
      </c>
      <c r="E215" s="930">
        <f>SUM(E210:E213)</f>
        <v>55537.612275871477</v>
      </c>
      <c r="F215" s="932">
        <f>SUM(F210:F213)</f>
        <v>69573.222816218447</v>
      </c>
      <c r="G215" s="932">
        <f>SUM(G210:G213)</f>
        <v>76577.982876233378</v>
      </c>
      <c r="H215" s="933">
        <f>+G215/$G$21</f>
        <v>3.3933702520693269E-2</v>
      </c>
      <c r="I215" s="918">
        <f>+IF((E215)=0,,(F215-E215)/E215)</f>
        <v>0.25272261383201006</v>
      </c>
      <c r="J215" s="919">
        <f>+IF((F215)=0,,(G215-F215)/F215)</f>
        <v>0.10068183959967465</v>
      </c>
      <c r="L215" s="17">
        <f t="shared" si="22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2"/>
        <v>0</v>
      </c>
    </row>
    <row r="217" spans="1:12" s="33" customFormat="1" ht="20.100000000000001" customHeight="1">
      <c r="A217" s="673" t="s">
        <v>86</v>
      </c>
      <c r="B217" s="100">
        <f>+C217/$C$21</f>
        <v>8.0517686900133445E-2</v>
      </c>
      <c r="C217" s="920">
        <f>+C209-C215</f>
        <v>140550.98824218055</v>
      </c>
      <c r="D217" s="921">
        <f>+D209-D215</f>
        <v>188753.37890612573</v>
      </c>
      <c r="E217" s="920">
        <f>+E209-E215</f>
        <v>176608.28462902133</v>
      </c>
      <c r="F217" s="922">
        <f>+F209-F215</f>
        <v>171894.5200438163</v>
      </c>
      <c r="G217" s="922">
        <f>+G209-G215</f>
        <v>153301.06595289859</v>
      </c>
      <c r="H217" s="766">
        <f>+G217/$G$21</f>
        <v>6.7931702726598542E-2</v>
      </c>
      <c r="I217" s="923">
        <f>+IF((E217)=0,,(F217-E217)/E217)</f>
        <v>-2.6690506592636026E-2</v>
      </c>
      <c r="J217" s="924">
        <f>+IF((F217)=0,,(G217-F217)/F217)</f>
        <v>-0.10816781178468168</v>
      </c>
      <c r="L217" s="17">
        <f t="shared" si="22"/>
        <v>1</v>
      </c>
    </row>
    <row r="218" spans="1:12" hidden="1">
      <c r="A218" s="2" t="s">
        <v>43</v>
      </c>
      <c r="C218" s="17">
        <f>+C225-C226-C215-C207-C53+C62-C38+C213</f>
        <v>140550.98824218052</v>
      </c>
      <c r="D218" s="117">
        <f>+[2]Boulogne!$H$217</f>
        <v>188753.37890612573</v>
      </c>
      <c r="E218" s="17">
        <f>+[1]Boulogne!$G$217</f>
        <v>176608.28462902133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66.064682997237441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+B220/(C21*1.196)*Clients!K21</f>
        <v>80.49295668995434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A221" s="2"/>
      <c r="C221" s="17"/>
      <c r="D221" s="2"/>
      <c r="E221" s="2"/>
      <c r="F221" s="58"/>
      <c r="G221" s="58"/>
      <c r="H221" s="58"/>
      <c r="I221" s="66"/>
      <c r="J221" s="66"/>
      <c r="L221" s="17">
        <f t="shared" si="22"/>
        <v>0</v>
      </c>
    </row>
    <row r="222" spans="1:12">
      <c r="A222" s="727" t="s">
        <v>67</v>
      </c>
      <c r="B222" s="265"/>
      <c r="C222" s="934">
        <f>+(C215+C207+C203)/C60/Clients!$I$13*12</f>
        <v>1670280.247812531</v>
      </c>
      <c r="D222" s="934">
        <f>+(D215+D207+D203)/D60</f>
        <v>1570093.2847321245</v>
      </c>
      <c r="E222" s="934">
        <f>+(E215+E207+E203)/E60/Clients!$I$13*12</f>
        <v>1922102.9722989989</v>
      </c>
      <c r="F222" s="934">
        <f>+(F215+F207+F203)/F60</f>
        <v>1658070.0295733905</v>
      </c>
      <c r="G222" s="934">
        <f>+(G215+G207+G203)/G60</f>
        <v>1701017.2132220513</v>
      </c>
      <c r="H222" s="934"/>
      <c r="I222" s="934"/>
      <c r="J222" s="934"/>
      <c r="L222" s="17">
        <f t="shared" si="22"/>
        <v>1</v>
      </c>
    </row>
    <row r="223" spans="1:12">
      <c r="A223" s="727" t="s">
        <v>66</v>
      </c>
      <c r="B223" s="265"/>
      <c r="C223" s="934">
        <f>+(C215+C207+C203)/C60/Clients!$I$13</f>
        <v>139190.02065104424</v>
      </c>
      <c r="D223" s="934">
        <f>+(D215+D207+D203)/D60/12</f>
        <v>130841.10706101038</v>
      </c>
      <c r="E223" s="934">
        <f>+(E215+E207+E203)/E60/Clients!$I$13</f>
        <v>160175.24769158324</v>
      </c>
      <c r="F223" s="934">
        <f>+(F215+F207+F203)/F60/9</f>
        <v>184230.00328593227</v>
      </c>
      <c r="G223" s="934">
        <f>+(G215+G207+G203)/G60/12</f>
        <v>141751.43443517093</v>
      </c>
      <c r="H223" s="934"/>
      <c r="I223" s="934"/>
      <c r="J223" s="934"/>
      <c r="L223" s="17">
        <f t="shared" si="22"/>
        <v>1</v>
      </c>
    </row>
    <row r="224" spans="1:12" hidden="1">
      <c r="A224" s="2"/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2"/>
        <v>0</v>
      </c>
    </row>
    <row r="225" spans="1:12" hidden="1">
      <c r="A225" s="2" t="s">
        <v>215</v>
      </c>
      <c r="C225" s="17">
        <f>+C51-C40-C157-C166+C201-C164-C159-C137</f>
        <v>1728637.86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1601801.4100000001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t="10.5" hidden="1" customHeight="1">
      <c r="A227" s="2"/>
      <c r="C227" s="17"/>
      <c r="D227" s="2"/>
      <c r="E227" s="2"/>
      <c r="F227" s="58"/>
      <c r="G227" s="58"/>
      <c r="H227" s="58"/>
      <c r="I227" s="66"/>
      <c r="J227" s="66"/>
      <c r="L227" s="17">
        <f t="shared" si="22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2"/>
        <v>0</v>
      </c>
    </row>
    <row r="229" spans="1:12" ht="20.25" hidden="1" customHeight="1">
      <c r="A229" s="7" t="str">
        <f>+A4</f>
        <v>BOULOGNE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2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2"/>
        <v>0</v>
      </c>
    </row>
    <row r="231" spans="1:12">
      <c r="A231" s="935"/>
      <c r="B231" s="91"/>
      <c r="C231" s="837">
        <v>2009</v>
      </c>
      <c r="D231" s="838">
        <v>2009</v>
      </c>
      <c r="E231" s="837">
        <v>2008</v>
      </c>
      <c r="F231" s="839">
        <v>2009</v>
      </c>
      <c r="G231" s="839">
        <v>2010</v>
      </c>
      <c r="H231" s="935"/>
      <c r="I231" s="841" t="s">
        <v>196</v>
      </c>
      <c r="J231" s="842" t="s">
        <v>57</v>
      </c>
      <c r="L231" s="17">
        <f t="shared" si="22"/>
        <v>1</v>
      </c>
    </row>
    <row r="232" spans="1:12" ht="11.25" hidden="1" customHeight="1">
      <c r="A232" s="2"/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2"/>
        <v>0</v>
      </c>
    </row>
    <row r="233" spans="1:12" s="33" customFormat="1" ht="15" customHeight="1">
      <c r="A233" s="956" t="s">
        <v>223</v>
      </c>
      <c r="B233" s="363"/>
      <c r="C233" s="914">
        <f t="shared" ref="C233:J233" si="24">+C51</f>
        <v>1721213.48</v>
      </c>
      <c r="D233" s="936">
        <f t="shared" si="24"/>
        <v>2134436</v>
      </c>
      <c r="E233" s="914">
        <f t="shared" si="24"/>
        <v>1978343.46</v>
      </c>
      <c r="F233" s="937">
        <f t="shared" si="24"/>
        <v>2231051.7630527783</v>
      </c>
      <c r="G233" s="937">
        <f t="shared" si="24"/>
        <v>2221974</v>
      </c>
      <c r="H233" s="773"/>
      <c r="I233" s="918">
        <f>+I51</f>
        <v>0.12773732577900218</v>
      </c>
      <c r="J233" s="938">
        <f t="shared" si="24"/>
        <v>-4.068826731459199E-3</v>
      </c>
      <c r="K233" s="58"/>
      <c r="L233" s="17">
        <f t="shared" si="22"/>
        <v>1</v>
      </c>
    </row>
    <row r="234" spans="1:12" ht="11.25" hidden="1" customHeight="1">
      <c r="A234" s="2"/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2"/>
        <v>0</v>
      </c>
    </row>
    <row r="235" spans="1:12" s="33" customFormat="1" ht="15" customHeight="1">
      <c r="A235" s="957" t="s">
        <v>295</v>
      </c>
      <c r="B235" s="364"/>
      <c r="C235" s="887">
        <f>+C60</f>
        <v>0.3</v>
      </c>
      <c r="D235" s="939">
        <f>+D60</f>
        <v>0.33446587295191799</v>
      </c>
      <c r="E235" s="887">
        <f>+E60</f>
        <v>0.32902271883568696</v>
      </c>
      <c r="F235" s="890">
        <f>+F60</f>
        <v>0.3</v>
      </c>
      <c r="G235" s="890">
        <f>+G60</f>
        <v>0.29426829603477517</v>
      </c>
      <c r="H235" s="765"/>
      <c r="I235" s="890"/>
      <c r="J235" s="939"/>
      <c r="L235" s="17">
        <f t="shared" si="22"/>
        <v>1</v>
      </c>
    </row>
    <row r="236" spans="1:12" s="33" customFormat="1" ht="15" customHeight="1">
      <c r="A236" s="957" t="s">
        <v>296</v>
      </c>
      <c r="B236" s="364"/>
      <c r="C236" s="891">
        <f>+C62</f>
        <v>516364.04399999999</v>
      </c>
      <c r="D236" s="940">
        <f>+D62</f>
        <v>713896</v>
      </c>
      <c r="E236" s="891">
        <f>+E62</f>
        <v>650919.94400000013</v>
      </c>
      <c r="F236" s="941">
        <f>+F62</f>
        <v>669315.52891583345</v>
      </c>
      <c r="G236" s="941">
        <f>+G62</f>
        <v>653856.50281357346</v>
      </c>
      <c r="H236" s="767"/>
      <c r="I236" s="923">
        <f>+IF((E236)=0,,(F236-E236)/E236)</f>
        <v>2.82609022590239E-2</v>
      </c>
      <c r="J236" s="924">
        <f>+IF((F236)=0,,(G236-F236)/F236)</f>
        <v>-2.3096768914506932E-2</v>
      </c>
      <c r="L236" s="17">
        <f t="shared" si="22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2"/>
        <v>0</v>
      </c>
    </row>
    <row r="238" spans="1:12" s="298" customFormat="1" ht="15" customHeight="1">
      <c r="A238" s="735" t="s">
        <v>122</v>
      </c>
      <c r="B238" s="365"/>
      <c r="C238" s="795">
        <f>+C103</f>
        <v>87564.849999999991</v>
      </c>
      <c r="D238" s="797">
        <f>+D103</f>
        <v>116633.8881488906</v>
      </c>
      <c r="E238" s="795">
        <f>+E103</f>
        <v>117023.84000000001</v>
      </c>
      <c r="F238" s="796">
        <f>+F103</f>
        <v>116003.17333333331</v>
      </c>
      <c r="G238" s="796">
        <f>+G103</f>
        <v>116546.95373506403</v>
      </c>
      <c r="H238" s="942"/>
      <c r="I238" s="943">
        <f t="shared" ref="I238:J243" si="25">+IF((E238)=0,,(F238-E238)/E238)</f>
        <v>-8.7218695495439261E-3</v>
      </c>
      <c r="J238" s="798">
        <f t="shared" si="25"/>
        <v>4.6876338474653298E-3</v>
      </c>
      <c r="L238" s="17">
        <f t="shared" si="22"/>
        <v>1</v>
      </c>
    </row>
    <row r="239" spans="1:12" s="298" customFormat="1" ht="15" customHeight="1">
      <c r="A239" s="735" t="s">
        <v>133</v>
      </c>
      <c r="B239" s="365"/>
      <c r="C239" s="795">
        <f>+C116</f>
        <v>55047.009999999995</v>
      </c>
      <c r="D239" s="797">
        <f>+D116</f>
        <v>85465.630300000004</v>
      </c>
      <c r="E239" s="795">
        <f>+E116</f>
        <v>87413.11</v>
      </c>
      <c r="F239" s="796">
        <f>+F116</f>
        <v>73562.906666666662</v>
      </c>
      <c r="G239" s="796">
        <f>+G116</f>
        <v>47472.3128</v>
      </c>
      <c r="H239" s="942"/>
      <c r="I239" s="943">
        <f t="shared" si="25"/>
        <v>-0.15844537888348029</v>
      </c>
      <c r="J239" s="798">
        <f t="shared" si="25"/>
        <v>-0.35467051329130006</v>
      </c>
      <c r="L239" s="17">
        <f t="shared" si="22"/>
        <v>1</v>
      </c>
    </row>
    <row r="240" spans="1:12" s="298" customFormat="1" ht="15" customHeight="1">
      <c r="A240" s="735" t="s">
        <v>147</v>
      </c>
      <c r="B240" s="365"/>
      <c r="C240" s="795">
        <f>+C129</f>
        <v>12238.28</v>
      </c>
      <c r="D240" s="797">
        <f>+D129</f>
        <v>15017.921600000001</v>
      </c>
      <c r="E240" s="795">
        <f>+E129</f>
        <v>14706.23</v>
      </c>
      <c r="F240" s="796">
        <f>+F129</f>
        <v>12473.641666666666</v>
      </c>
      <c r="G240" s="796">
        <f>+G129</f>
        <v>11545.71975</v>
      </c>
      <c r="H240" s="942"/>
      <c r="I240" s="943">
        <f t="shared" si="25"/>
        <v>-0.15181241782110938</v>
      </c>
      <c r="J240" s="798">
        <f t="shared" si="25"/>
        <v>-7.4390618350561849E-2</v>
      </c>
      <c r="L240" s="17">
        <f t="shared" si="22"/>
        <v>1</v>
      </c>
    </row>
    <row r="241" spans="1:12" s="298" customFormat="1" ht="15" customHeight="1">
      <c r="A241" s="735" t="s">
        <v>164</v>
      </c>
      <c r="B241" s="365"/>
      <c r="C241" s="795">
        <f>+C154</f>
        <v>133691.09999999998</v>
      </c>
      <c r="D241" s="797">
        <f>+D154</f>
        <v>180448.69323946509</v>
      </c>
      <c r="E241" s="795">
        <f>+E154</f>
        <v>178892.70864</v>
      </c>
      <c r="F241" s="796">
        <f>+F154</f>
        <v>178254.80000000002</v>
      </c>
      <c r="G241" s="796">
        <f>+G154</f>
        <v>193571.23163970895</v>
      </c>
      <c r="H241" s="942"/>
      <c r="I241" s="943">
        <f t="shared" si="25"/>
        <v>-3.5658727784355585E-3</v>
      </c>
      <c r="J241" s="798">
        <f t="shared" si="25"/>
        <v>8.5924371403793484E-2</v>
      </c>
      <c r="L241" s="17">
        <f t="shared" si="22"/>
        <v>1</v>
      </c>
    </row>
    <row r="242" spans="1:12" s="298" customFormat="1" ht="15" customHeight="1">
      <c r="A242" s="735" t="s">
        <v>74</v>
      </c>
      <c r="B242" s="365"/>
      <c r="C242" s="795">
        <f>+C168</f>
        <v>21387.24</v>
      </c>
      <c r="D242" s="797">
        <f>+D168</f>
        <v>32095.659173844935</v>
      </c>
      <c r="E242" s="795">
        <f>+E168</f>
        <v>12330.699999999999</v>
      </c>
      <c r="F242" s="796">
        <f>+F168</f>
        <v>28516.319999999996</v>
      </c>
      <c r="G242" s="796">
        <f>+G168</f>
        <v>31908.761869666669</v>
      </c>
      <c r="H242" s="942"/>
      <c r="I242" s="943">
        <f t="shared" si="25"/>
        <v>1.3126278313477742</v>
      </c>
      <c r="J242" s="798">
        <f t="shared" si="25"/>
        <v>0.11896492498564587</v>
      </c>
      <c r="L242" s="17">
        <f t="shared" si="22"/>
        <v>1</v>
      </c>
    </row>
    <row r="243" spans="1:12" s="298" customFormat="1" ht="15" customHeight="1">
      <c r="A243" s="735" t="s">
        <v>369</v>
      </c>
      <c r="B243" s="365"/>
      <c r="C243" s="795">
        <f>+C185-C201</f>
        <v>10416.030000000001</v>
      </c>
      <c r="D243" s="797">
        <f>+D185-D201</f>
        <v>15095.190525</v>
      </c>
      <c r="E243" s="795">
        <f>+E185-E201</f>
        <v>3731.0099999999984</v>
      </c>
      <c r="F243" s="796">
        <f>+F185-F201</f>
        <v>12889.53</v>
      </c>
      <c r="G243" s="796">
        <f>+G185-G201</f>
        <v>14390.429999999998</v>
      </c>
      <c r="H243" s="942"/>
      <c r="I243" s="943">
        <f t="shared" si="25"/>
        <v>2.4547026140374877</v>
      </c>
      <c r="J243" s="798">
        <f t="shared" si="25"/>
        <v>0.1164433458783988</v>
      </c>
      <c r="L243" s="17">
        <f t="shared" si="22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2"/>
        <v>0</v>
      </c>
    </row>
    <row r="245" spans="1:12" s="33" customFormat="1" ht="15" customHeight="1">
      <c r="A245" s="956" t="s">
        <v>189</v>
      </c>
      <c r="B245" s="363"/>
      <c r="C245" s="914">
        <f>+C203</f>
        <v>320344.51</v>
      </c>
      <c r="D245" s="936">
        <f>+D203</f>
        <v>444756.98298720061</v>
      </c>
      <c r="E245" s="914">
        <f>+E203</f>
        <v>414097.59864000004</v>
      </c>
      <c r="F245" s="937">
        <f>+F203</f>
        <v>421700.37166666664</v>
      </c>
      <c r="G245" s="937">
        <f>+G203</f>
        <v>415435.40979443968</v>
      </c>
      <c r="H245" s="773"/>
      <c r="I245" s="918">
        <f>+I63</f>
        <v>0</v>
      </c>
      <c r="J245" s="938">
        <f>+J63</f>
        <v>0</v>
      </c>
      <c r="K245" s="58"/>
      <c r="L245" s="17">
        <f t="shared" si="22"/>
        <v>1</v>
      </c>
    </row>
    <row r="246" spans="1:12" hidden="1">
      <c r="A246" s="2"/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2"/>
        <v>0</v>
      </c>
    </row>
    <row r="247" spans="1:12" s="33" customFormat="1" ht="15" customHeight="1">
      <c r="A247" s="957" t="s">
        <v>228</v>
      </c>
      <c r="B247" s="366"/>
      <c r="C247" s="920">
        <f>+C205</f>
        <v>196019.53399999999</v>
      </c>
      <c r="D247" s="944">
        <f>+D205</f>
        <v>269139.01701279939</v>
      </c>
      <c r="E247" s="920">
        <f>+E205</f>
        <v>236822.34536000009</v>
      </c>
      <c r="F247" s="945">
        <f>+F205</f>
        <v>247615.1572491668</v>
      </c>
      <c r="G247" s="945">
        <f>+G205</f>
        <v>238421.09301913378</v>
      </c>
      <c r="H247" s="777"/>
      <c r="I247" s="923">
        <f>+IF((E247)=0,,(F247-E247)/E247)</f>
        <v>4.5573452423842281E-2</v>
      </c>
      <c r="J247" s="924">
        <f>+IF((F247)=0,,(G247-F247)/F247)</f>
        <v>-3.7130458135813324E-2</v>
      </c>
      <c r="L247" s="17">
        <f t="shared" si="22"/>
        <v>1</v>
      </c>
    </row>
    <row r="248" spans="1:12" hidden="1">
      <c r="A248" s="2"/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2"/>
        <v>0</v>
      </c>
    </row>
    <row r="249" spans="1:12" s="33" customFormat="1" ht="15" customHeight="1">
      <c r="A249" s="958" t="s">
        <v>370</v>
      </c>
      <c r="B249" s="367"/>
      <c r="C249" s="930">
        <f>+C207+C215</f>
        <v>55468.545757819447</v>
      </c>
      <c r="D249" s="946">
        <f>+D207+D215</f>
        <v>80385.638106673665</v>
      </c>
      <c r="E249" s="930">
        <f>+E207+E215</f>
        <v>60214.060730978759</v>
      </c>
      <c r="F249" s="947">
        <f>+F207+F215</f>
        <v>75720.637205350518</v>
      </c>
      <c r="G249" s="947">
        <f>+G207+G215</f>
        <v>85120.027066235198</v>
      </c>
      <c r="H249" s="785"/>
      <c r="I249" s="918">
        <f>+I67</f>
        <v>-0.37385733701015644</v>
      </c>
      <c r="J249" s="938">
        <f>+J67</f>
        <v>3.0000000000000041E-2</v>
      </c>
      <c r="L249" s="17">
        <f t="shared" si="22"/>
        <v>1</v>
      </c>
    </row>
    <row r="250" spans="1:12" hidden="1">
      <c r="A250" s="2"/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2"/>
        <v>0</v>
      </c>
    </row>
    <row r="251" spans="1:12" s="33" customFormat="1" ht="20.100000000000001" customHeight="1">
      <c r="A251" s="957" t="s">
        <v>86</v>
      </c>
      <c r="B251" s="366"/>
      <c r="C251" s="920">
        <f>+C217</f>
        <v>140550.98824218055</v>
      </c>
      <c r="D251" s="944">
        <f>+D217</f>
        <v>188753.37890612573</v>
      </c>
      <c r="E251" s="920">
        <f>+E217</f>
        <v>176608.28462902133</v>
      </c>
      <c r="F251" s="945">
        <f>+F217</f>
        <v>171894.5200438163</v>
      </c>
      <c r="G251" s="945">
        <f>+G217</f>
        <v>153301.06595289859</v>
      </c>
      <c r="H251" s="777"/>
      <c r="I251" s="923">
        <f>+IF((E251)=0,,(F251-E251)/E251)</f>
        <v>-2.6690506592636026E-2</v>
      </c>
      <c r="J251" s="924">
        <f>+IF((F251)=0,,(G251-F251)/F251)</f>
        <v>-0.10816781178468168</v>
      </c>
      <c r="L251" s="17">
        <f t="shared" si="22"/>
        <v>1</v>
      </c>
    </row>
    <row r="252" spans="1:12" hidden="1">
      <c r="A252" s="2"/>
      <c r="C252" s="17"/>
      <c r="D252" s="2"/>
      <c r="E252" s="2"/>
      <c r="F252" s="2"/>
      <c r="G252" s="2"/>
      <c r="H252" s="5"/>
      <c r="I252" s="24"/>
      <c r="J252" s="66"/>
      <c r="L252" s="17">
        <f t="shared" si="22"/>
        <v>0</v>
      </c>
    </row>
    <row r="253" spans="1:12" s="298" customFormat="1" ht="15" customHeight="1">
      <c r="A253" s="735" t="s">
        <v>95</v>
      </c>
      <c r="B253" s="365"/>
      <c r="C253" s="795">
        <f>+C28</f>
        <v>583889.34</v>
      </c>
      <c r="D253" s="797">
        <v>590314</v>
      </c>
      <c r="E253" s="795">
        <f>+E28</f>
        <v>612906.68000000005</v>
      </c>
      <c r="F253" s="796"/>
      <c r="G253" s="948">
        <f>+G28</f>
        <v>627518.90058000013</v>
      </c>
      <c r="H253" s="949"/>
      <c r="I253" s="943"/>
      <c r="J253" s="798"/>
      <c r="L253" s="17">
        <v>1</v>
      </c>
    </row>
    <row r="254" spans="1:12" s="298" customFormat="1" ht="15" customHeight="1">
      <c r="A254" s="735" t="s">
        <v>371</v>
      </c>
      <c r="B254" s="365"/>
      <c r="C254" s="795">
        <f>+C222</f>
        <v>1670280.247812531</v>
      </c>
      <c r="D254" s="797">
        <f>+D222</f>
        <v>1570093.2847321245</v>
      </c>
      <c r="E254" s="795">
        <f>+E222</f>
        <v>1922102.9722989989</v>
      </c>
      <c r="F254" s="796">
        <f>+F222</f>
        <v>1658070.0295733905</v>
      </c>
      <c r="G254" s="796">
        <f>+G222</f>
        <v>1701017.2132220513</v>
      </c>
      <c r="H254" s="942"/>
      <c r="I254" s="943"/>
      <c r="J254" s="798"/>
      <c r="L254" s="17">
        <v>1</v>
      </c>
    </row>
    <row r="255" spans="1:12" s="298" customFormat="1" ht="15" customHeight="1">
      <c r="A255" s="735" t="s">
        <v>372</v>
      </c>
      <c r="B255" s="365"/>
      <c r="C255" s="795"/>
      <c r="D255" s="797">
        <v>19500</v>
      </c>
      <c r="E255" s="795"/>
      <c r="F255" s="796"/>
      <c r="G255" s="948">
        <f>2000+9000+880+2000</f>
        <v>13880</v>
      </c>
      <c r="H255" s="949"/>
      <c r="I255" s="943"/>
      <c r="J255" s="798"/>
      <c r="L255" s="17">
        <v>1</v>
      </c>
    </row>
    <row r="256" spans="1:12" hidden="1">
      <c r="A256" s="2"/>
      <c r="C256" s="17"/>
      <c r="D256" s="2"/>
      <c r="E256" s="2"/>
      <c r="F256" s="2"/>
      <c r="G256" s="2"/>
      <c r="H256" s="2"/>
      <c r="I256" s="24"/>
      <c r="J256" s="66"/>
      <c r="L256" s="17">
        <f t="shared" si="22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1.22" right="0.39370078740157483" top="0.39" bottom="0.21" header="0.11" footer="0"/>
  <pageSetup paperSize="9" scale="68" fitToHeight="2" orientation="landscape" horizontalDpi="4294967293" verticalDpi="36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  <pageSetUpPr fitToPage="1"/>
  </sheetPr>
  <dimension ref="A1:L256"/>
  <sheetViews>
    <sheetView workbookViewId="0">
      <pane xSplit="2" ySplit="7" topLeftCell="C91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8.7109375" style="24" bestFit="1" customWidth="1"/>
    <col min="3" max="3" width="13.7109375" style="950" customWidth="1"/>
    <col min="4" max="4" width="10.85546875" style="818" customWidth="1"/>
    <col min="5" max="5" width="11" style="818" customWidth="1"/>
    <col min="6" max="7" width="13.7109375" style="819" customWidth="1"/>
    <col min="8" max="8" width="8.42578125" style="819" customWidth="1"/>
    <col min="9" max="9" width="9.5703125" style="751" customWidth="1"/>
    <col min="10" max="10" width="10.42578125" style="751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752" t="s">
        <v>299</v>
      </c>
    </row>
    <row r="2" spans="1:12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820" t="s">
        <v>195</v>
      </c>
      <c r="D3" s="821" t="s">
        <v>196</v>
      </c>
      <c r="E3" s="822" t="s">
        <v>54</v>
      </c>
      <c r="F3" s="823" t="s">
        <v>364</v>
      </c>
      <c r="G3" s="823" t="s">
        <v>196</v>
      </c>
      <c r="H3" s="824" t="s">
        <v>198</v>
      </c>
      <c r="I3" s="825" t="s">
        <v>225</v>
      </c>
      <c r="J3" s="826" t="s">
        <v>225</v>
      </c>
      <c r="L3" s="2">
        <v>1</v>
      </c>
    </row>
    <row r="4" spans="1:12" ht="20.25" customHeight="1">
      <c r="A4" s="7" t="s">
        <v>424</v>
      </c>
      <c r="B4" s="90" t="s">
        <v>226</v>
      </c>
      <c r="C4" s="827" t="str">
        <f>+Clients!E13</f>
        <v>Septembre</v>
      </c>
      <c r="D4" s="828" t="s">
        <v>197</v>
      </c>
      <c r="E4" s="829" t="s">
        <v>390</v>
      </c>
      <c r="F4" s="830" t="s">
        <v>366</v>
      </c>
      <c r="G4" s="830" t="s">
        <v>197</v>
      </c>
      <c r="H4" s="831" t="s">
        <v>226</v>
      </c>
      <c r="I4" s="832"/>
      <c r="J4" s="833"/>
      <c r="L4" s="2">
        <v>1</v>
      </c>
    </row>
    <row r="5" spans="1:12">
      <c r="A5" s="3"/>
      <c r="B5" s="90"/>
      <c r="C5" s="834"/>
      <c r="D5" s="835"/>
      <c r="E5" s="834">
        <f>E217</f>
        <v>-63805.381955122881</v>
      </c>
      <c r="F5" s="836">
        <f>F217</f>
        <v>-112657.98221040296</v>
      </c>
      <c r="G5" s="836">
        <f>G217</f>
        <v>-428.22719973005587</v>
      </c>
      <c r="H5" s="831"/>
      <c r="I5" s="832"/>
      <c r="J5" s="833"/>
      <c r="L5" s="2">
        <v>1</v>
      </c>
    </row>
    <row r="6" spans="1:12">
      <c r="A6" s="4"/>
      <c r="B6" s="91"/>
      <c r="C6" s="837">
        <f>+Clients!E14</f>
        <v>2010</v>
      </c>
      <c r="D6" s="838">
        <f>+Clients!E14</f>
        <v>2010</v>
      </c>
      <c r="E6" s="837">
        <f>+C6-1</f>
        <v>2009</v>
      </c>
      <c r="F6" s="839">
        <f>+Conso!G6</f>
        <v>2010</v>
      </c>
      <c r="G6" s="839">
        <f>+Conso!I6</f>
        <v>2011</v>
      </c>
      <c r="H6" s="840"/>
      <c r="I6" s="841" t="s">
        <v>367</v>
      </c>
      <c r="J6" s="842" t="s">
        <v>368</v>
      </c>
      <c r="L6" s="2">
        <v>1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753">
        <f>-IF(ISNA(VLOOKUP("SOM707130000",Balance!C:G,5,FALSE))=TRUE,0,VLOOKUP("SOM707130000",Balance!C:G,5,FALSE))</f>
        <v>486734.11000000004</v>
      </c>
      <c r="D8" s="754">
        <f>+[2]StOmer!$H8</f>
        <v>831981</v>
      </c>
      <c r="E8" s="753">
        <f>-IF(ISNA(VLOOKUP("som707130000",Balanceanp!C:G,5,FALSE))=TRUE,0,VLOOKUP("som707130000",Balanceanp!C:G,5,FALSE))</f>
        <v>80058.36</v>
      </c>
      <c r="F8" s="979">
        <f>+CA!G120</f>
        <v>637579.94331125182</v>
      </c>
      <c r="G8" s="980">
        <v>812475</v>
      </c>
      <c r="H8" s="980"/>
      <c r="I8" s="756">
        <f>+IF((E8)=0,,(F8-E8)/E8)</f>
        <v>6.9639395974543046</v>
      </c>
      <c r="J8" s="757">
        <f>+IF((F8)=0,,(G8-F8)/F8)</f>
        <v>0.27431078804084724</v>
      </c>
      <c r="K8" s="2">
        <f>G8/12</f>
        <v>67706.25</v>
      </c>
      <c r="L8" s="17">
        <f t="shared" ref="L8:L71" si="0">IF(SUM(C8:J8)&lt;&gt;0,1,0)</f>
        <v>1</v>
      </c>
    </row>
    <row r="9" spans="1:12">
      <c r="A9" s="5" t="s">
        <v>422</v>
      </c>
      <c r="B9" s="92"/>
      <c r="C9" s="160">
        <f>-IF(ISNA(VLOOKUP("SOM707131000",Balance!C:G,5,FALSE))=TRUE,0,VLOOKUP("SOM707131000",Balance!C:G,5,FALSE))</f>
        <v>0</v>
      </c>
      <c r="D9" s="117">
        <f>+[2]StOmer!$H9</f>
        <v>0</v>
      </c>
      <c r="E9" s="160">
        <f>-IF(ISNA(VLOOKUP("som707131000",Balanceanp!C:G,5,FALSE))=TRUE,0,VLOOKUP("som707131000",Balanceanp!C:G,5,FALSE))</f>
        <v>596684.06000000006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>
      <c r="A10" s="5" t="s">
        <v>84</v>
      </c>
      <c r="B10" s="92"/>
      <c r="C10" s="160">
        <f>-IF(ISNA(VLOOKUP("SOM707300000",Balance!C:G,5,FALSE))=TRUE,0,VLOOKUP("SOM707300000",Balance!C:G,5,FALSE))</f>
        <v>0</v>
      </c>
      <c r="D10" s="117">
        <f>+[2]StOmer!$H10</f>
        <v>0</v>
      </c>
      <c r="E10" s="160">
        <f>-IF(ISNA(VLOOKUP("som707300000",Balanceanp!C:G,5,FALSE))=TRUE,0,VLOOKUP("som707300000",Balanceanp!C:G,5,FALSE))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>
      <c r="A11" s="5" t="s">
        <v>267</v>
      </c>
      <c r="B11" s="92"/>
      <c r="C11" s="160">
        <f>-IF(ISNA(VLOOKUP("SOM707110000",Balance!C:G,5,FALSE))=TRUE,0,VLOOKUP("SOM707110000",Balance!C:G,5,FALSE))</f>
        <v>0</v>
      </c>
      <c r="D11" s="117">
        <f>+[2]StOmer!$H11</f>
        <v>0</v>
      </c>
      <c r="E11" s="160">
        <f>-IF(ISNA(VLOOKUP("som707110000",Balanceanp!C:G,5,FALSE))=TRUE,0,VLOOKUP("som707110000",Balanceanp!C:G,5,FALSE))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>
      <c r="A12" s="5" t="s">
        <v>46</v>
      </c>
      <c r="B12" s="92"/>
      <c r="C12" s="160">
        <f>-IF(ISNA(VLOOKUP("SOM707120000",Balance!C:G,5,FALSE))=TRUE,0,VLOOKUP("SOM707120000",Balance!C:G,5,FALSE))</f>
        <v>0</v>
      </c>
      <c r="D12" s="117">
        <f>+[2]StOmer!$H12</f>
        <v>0</v>
      </c>
      <c r="E12" s="160">
        <f>-IF(ISNA(VLOOKUP("som707120000",Balanceanp!C:G,5,FALSE))=TRUE,0,VLOOKUP("som707120000",Balanceanp!C:G,5,FALSE))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>
      <c r="A13" s="5" t="s">
        <v>268</v>
      </c>
      <c r="B13" s="92"/>
      <c r="C13" s="160">
        <f>-IF(ISNA(VLOOKUP("SOM707230000",Balance!C:G,5,FALSE))=TRUE,0,VLOOKUP("SOM707230000",Balance!C:G,5,FALSE))</f>
        <v>18912.650000000001</v>
      </c>
      <c r="D13" s="117">
        <f>+[2]StOmer!$H13</f>
        <v>0</v>
      </c>
      <c r="E13" s="160">
        <f>-IF(ISNA(VLOOKUP("som707230000",Balanceanp!C:G,5,FALSE))=TRUE,0,VLOOKUP("som707230000",Balanceanp!C:G,5,FALSE))</f>
        <v>52690.560000000005</v>
      </c>
      <c r="F13" s="368">
        <f t="shared" si="3"/>
        <v>18912.650000000001</v>
      </c>
      <c r="G13" s="395">
        <v>0</v>
      </c>
      <c r="H13" s="401"/>
      <c r="I13" s="149">
        <f t="shared" si="2"/>
        <v>-0.64106189040313866</v>
      </c>
      <c r="J13" s="271">
        <f t="shared" si="2"/>
        <v>-1</v>
      </c>
      <c r="L13" s="17">
        <v>0</v>
      </c>
    </row>
    <row r="14" spans="1:12">
      <c r="A14" s="5" t="s">
        <v>269</v>
      </c>
      <c r="B14" s="92"/>
      <c r="C14" s="160">
        <f>-IF(ISNA(VLOOKUP("SOM708820000",Balance!C:G,5,FALSE))=TRUE,0,VLOOKUP("SOM708820000",Balance!C:G,5,FALSE))</f>
        <v>0</v>
      </c>
      <c r="D14" s="117">
        <f>+[2]StOmer!$H14</f>
        <v>0</v>
      </c>
      <c r="E14" s="160">
        <f>-IF(ISNA(VLOOKUP("som708820000",Balanceanp!C:G,5,FALSE))=TRUE,0,VLOOKUP("som708820000",Balanceanp!C:G,5,FALSE))</f>
        <v>0</v>
      </c>
      <c r="F14" s="368">
        <f t="shared" si="3"/>
        <v>0</v>
      </c>
      <c r="G14" s="395">
        <f t="shared" si="1"/>
        <v>0</v>
      </c>
      <c r="H14" s="401"/>
      <c r="I14" s="149">
        <f t="shared" si="2"/>
        <v>0</v>
      </c>
      <c r="J14" s="271">
        <f t="shared" si="2"/>
        <v>0</v>
      </c>
      <c r="L14" s="17">
        <v>0</v>
      </c>
    </row>
    <row r="15" spans="1:12">
      <c r="A15" s="5" t="s">
        <v>270</v>
      </c>
      <c r="B15" s="92"/>
      <c r="C15" s="160">
        <f>-IF(ISNA(VLOOKUP("SOM708500000",Balance!C:G,5,FALSE))=TRUE,0,VLOOKUP("SOM708500000",Balance!C:G,5,FALSE))</f>
        <v>261</v>
      </c>
      <c r="D15" s="117">
        <f>+[2]StOmer!$H15</f>
        <v>0</v>
      </c>
      <c r="E15" s="160">
        <f>-IF(ISNA(VLOOKUP("som708500000",Balanceanp!C:G,5,FALSE))=TRUE,0,VLOOKUP("som708500000",Balanceanp!C:G,5,FALSE))</f>
        <v>126</v>
      </c>
      <c r="F15" s="368">
        <f t="shared" si="3"/>
        <v>261</v>
      </c>
      <c r="G15" s="395">
        <v>0</v>
      </c>
      <c r="H15" s="401"/>
      <c r="I15" s="149">
        <f t="shared" si="2"/>
        <v>1.0714285714285714</v>
      </c>
      <c r="J15" s="271">
        <f t="shared" si="2"/>
        <v>-1</v>
      </c>
      <c r="L15" s="17">
        <v>0</v>
      </c>
    </row>
    <row r="16" spans="1:12">
      <c r="A16" s="5" t="s">
        <v>85</v>
      </c>
      <c r="B16" s="92"/>
      <c r="C16" s="160">
        <f>IF(ISNA(VLOOKUP("SOM706000000",Balance!C:G,5,FALSE))=TRUE,0,-VLOOKUP("SOM706000000",Balance!C:G,5,FALSE))+IF(ISNA(VLOOKUP("SOM706010000",Balance!C:G,5,FALSE))=TRUE,0,-VLOOKUP("SOM706010000",Balance!C:G,5,FALSE))</f>
        <v>0</v>
      </c>
      <c r="D16" s="117">
        <f>+[2]StOmer!$H16</f>
        <v>0</v>
      </c>
      <c r="E16" s="160">
        <f>IF(ISNA(VLOOKUP("som706000000",Balanceanp!C:G,5,FALSE))=TRUE,0,-VLOOKUP("som706000000",Balanceanp!C:G,5,FALSE))+IF(ISNA(VLOOKUP("som706010000",Balanceanp!C:G,5,FALSE))=TRUE,0,-VLOOKUP("som706010000",Balanceanp!C:G,5,FALSE))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>
      <c r="A17" s="5" t="s">
        <v>88</v>
      </c>
      <c r="B17" s="92"/>
      <c r="C17" s="160">
        <f>IF(ISNA(VLOOKUP("SOM707500000",Balance!C:G,5,FALSE))=TRUE,0,-VLOOKUP("SOM707500000",Balance!C:G,5,FALSE))</f>
        <v>0</v>
      </c>
      <c r="D17" s="117">
        <f>+[2]StOmer!$H17</f>
        <v>0</v>
      </c>
      <c r="E17" s="160">
        <f>IF(ISNA(VLOOKUP("som707500000",Balanceanp!C:G,5,FALSE))=TRUE,0,-VLOOKUP("som707500000",Balanceanp!C:G,5,FALSE))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>
      <c r="A18" s="5" t="s">
        <v>89</v>
      </c>
      <c r="B18" s="92"/>
      <c r="C18" s="160">
        <f>IF(ISNA(VLOOKUP("SOM707510000",Balance!C:G,5,FALSE))=TRUE,0,-VLOOKUP("SOM707510000",Balance!C:G,5,FALSE))</f>
        <v>0</v>
      </c>
      <c r="D18" s="117">
        <f>+[2]StOmer!$H18</f>
        <v>0</v>
      </c>
      <c r="E18" s="160">
        <f>IF(ISNA(VLOOKUP("som707510000",Balanceanp!C:G,5,FALSE))=TRUE,0,-VLOOKUP("som707510000",Balanceanp!C:G,5,FALSE))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>
      <c r="A19" s="5" t="s">
        <v>90</v>
      </c>
      <c r="B19" s="92"/>
      <c r="C19" s="160">
        <f>IF(ISNA(VLOOKUP("SOM708300000",Balance!C:G,5,FALSE))=TRUE,0,-VLOOKUP("SOM708300000",Balance!C:G,5,FALSE))</f>
        <v>0</v>
      </c>
      <c r="D19" s="117">
        <f>+[2]StOmer!$H19</f>
        <v>0</v>
      </c>
      <c r="E19" s="160">
        <f>IF(ISNA(VLOOKUP("som708300000",Balanceanp!C:G,5,FALSE))=TRUE,0,-VLOOKUP("som708300000",Balanceanp!C:G,5,FALSE))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758">
        <f>SUM(C7:C20)</f>
        <v>505907.76000000007</v>
      </c>
      <c r="D21" s="764">
        <f>SUM(D7:D20)</f>
        <v>831981</v>
      </c>
      <c r="E21" s="758">
        <f>SUM(E7:E20)</f>
        <v>729558.9800000001</v>
      </c>
      <c r="F21" s="764">
        <f>SUM(F7:F20)</f>
        <v>656753.59331125184</v>
      </c>
      <c r="G21" s="764">
        <f>SUM(G7:G20)</f>
        <v>812475</v>
      </c>
      <c r="H21" s="764"/>
      <c r="I21" s="759">
        <f>+IF((E21)=0,,(F21-E21)/E21)</f>
        <v>-9.979369548538522E-2</v>
      </c>
      <c r="J21" s="760">
        <f>+IF((F21)=0,,(G21-F21)/F21)</f>
        <v>0.23710781071425052</v>
      </c>
      <c r="L21" s="17">
        <f t="shared" si="0"/>
        <v>1</v>
      </c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" t="s">
        <v>92</v>
      </c>
      <c r="B23" s="92"/>
      <c r="C23" s="160">
        <f>IF(ISNA(VLOOKUP("SOM602650000",Balance!C:G,5,FALSE))=TRUE,0,VLOOKUP("SOM602650000",Balance!C:G,5,FALSE))</f>
        <v>0</v>
      </c>
      <c r="D23" s="115"/>
      <c r="E23" s="160">
        <f>IF(ISNA(VLOOKUP("som602650000",Balanceanp!C:G,5,FALSE))=TRUE,0,VLOOKUP("som602650000",Balanceanp!C:G,5,FALSE))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753">
        <f>IF(ISNA(VLOOKUP("SOM607100000",Balance!C:G,5,FALSE))=TRUE,0,VLOOKUP("SOM607100000",Balance!C:G,5,FALSE))</f>
        <v>140983.69</v>
      </c>
      <c r="D24" s="981"/>
      <c r="E24" s="753">
        <f>IF(ISNA(VLOOKUP("som607100000",Balanceanp!C:G,5,FALSE))=TRUE,0,VLOOKUP("som607100000",Balanceanp!C:G,5,FALSE))</f>
        <v>300215.95</v>
      </c>
      <c r="F24" s="981"/>
      <c r="G24" s="982">
        <f>H24*G30</f>
        <v>232013.6109</v>
      </c>
      <c r="H24" s="983">
        <f>1-H28</f>
        <v>0.53</v>
      </c>
      <c r="I24" s="756"/>
      <c r="J24" s="757"/>
      <c r="L24" s="17">
        <f t="shared" si="0"/>
        <v>1</v>
      </c>
    </row>
    <row r="25" spans="1:12">
      <c r="A25" s="5" t="s">
        <v>94</v>
      </c>
      <c r="B25" s="92"/>
      <c r="C25" s="160">
        <f>IF(ISNA(VLOOKUP("SOM607110000",Balance!C:G,5,FALSE))=TRUE,0,VLOOKUP("SOM607110000",Balance!C:G,5,FALSE))+IF(ISNA(VLOOKUP("SOM607120000",Balance!C:G,5,FALSE))=TRUE,0,VLOOKUP("SOM607120000",Balance!C:G,5,FALSE))</f>
        <v>4355.71</v>
      </c>
      <c r="D25" s="115"/>
      <c r="E25" s="160">
        <f>IF(ISNA(VLOOKUP("som607110000",Balanceanp!C:G,5,FALSE))=TRUE,0,VLOOKUP("som607110000",Balanceanp!C:G,5,FALSE))+IF(ISNA(VLOOKUP("som607120000",Balanceanp!C:G,5,FALSE))=TRUE,0,VLOOKUP("som607120000",Balanceanp!C:G,5,FALSE))</f>
        <v>10941.17</v>
      </c>
      <c r="F25" s="134"/>
      <c r="G25" s="134"/>
      <c r="H25" s="400"/>
      <c r="I25" s="149"/>
      <c r="J25" s="271"/>
      <c r="L25" s="17">
        <v>0</v>
      </c>
    </row>
    <row r="26" spans="1:12">
      <c r="A26" s="5" t="s">
        <v>288</v>
      </c>
      <c r="B26" s="92"/>
      <c r="C26" s="160">
        <f>IF(ISNA(VLOOKUP("SOM607130000",Balance!C:G,5,FALSE))=TRUE,0,VLOOKUP("SOM607130000",Balance!C:G,5,FALSE))</f>
        <v>25645.59</v>
      </c>
      <c r="D26" s="115"/>
      <c r="E26" s="160">
        <f>IF(ISNA(VLOOKUP("som607130000",Balanceanp!C:G,5,FALSE))=TRUE,0,VLOOKUP("som607130000",Balanceanp!C:G,5,FALSE))</f>
        <v>25888</v>
      </c>
      <c r="F26" s="134"/>
      <c r="G26" s="134"/>
      <c r="H26" s="400"/>
      <c r="I26" s="149"/>
      <c r="J26" s="271"/>
      <c r="L26" s="17">
        <v>0</v>
      </c>
    </row>
    <row r="27" spans="1:12">
      <c r="A27" s="5" t="s">
        <v>289</v>
      </c>
      <c r="B27" s="92"/>
      <c r="C27" s="160">
        <f>IF(ISNA(VLOOKUP("SOM607140000",Balance!C:G,5,FALSE))=TRUE,0,VLOOKUP("SOM607140000",Balance!C:G,5,FALSE))</f>
        <v>-34266.28</v>
      </c>
      <c r="D27" s="115"/>
      <c r="E27" s="160">
        <f>IF(ISNA(VLOOKUP("som607140000",Balanceanp!C:G,5,FALSE))=TRUE,0,VLOOKUP("som607140000",Balanceanp!C:G,5,FALSE))</f>
        <v>-45241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753">
        <f>IF(ISNA(VLOOKUP("SOM607200000",Balance!C:G,5,FALSE))=TRUE,0,VLOOKUP("SOM607200000",Balance!C:G,5,FALSE))</f>
        <v>147013.82</v>
      </c>
      <c r="D28" s="984">
        <f>C28/C30</f>
        <v>0.51814227998460383</v>
      </c>
      <c r="E28" s="753">
        <f>IF(ISNA(VLOOKUP("som607200000",Balanceanp!C:G,5,FALSE))=TRUE,0,VLOOKUP("som607200000",Balanceanp!C:G,5,FALSE))</f>
        <v>201159.3</v>
      </c>
      <c r="F28" s="984">
        <f>E28/E30</f>
        <v>0.40707954178986749</v>
      </c>
      <c r="G28" s="982">
        <f>H28*G30</f>
        <v>205747.91909999997</v>
      </c>
      <c r="H28" s="985">
        <v>0.47</v>
      </c>
      <c r="I28" s="756"/>
      <c r="J28" s="757"/>
      <c r="L28" s="17">
        <f t="shared" si="0"/>
        <v>1</v>
      </c>
    </row>
    <row r="29" spans="1:12">
      <c r="A29" s="5" t="s">
        <v>293</v>
      </c>
      <c r="B29" s="92"/>
      <c r="C29" s="160">
        <f>IF(ISNA(VLOOKUP("SOM607150000",Balance!C:G,5,FALSE))=TRUE,0,VLOOKUP("SOM607150000",Balance!C:G,5,FALSE))</f>
        <v>0</v>
      </c>
      <c r="D29" s="115"/>
      <c r="E29" s="357">
        <f>IF(ISNA(VLOOKUP("som607150000",Balanceanp!C:G,5,FALSE))=TRUE,0,VLOOKUP("som607150000",Balanceanp!C:G,5,FALSE))</f>
        <v>1188.9000000000001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761">
        <f>SUM(C23:C29)</f>
        <v>283732.53000000003</v>
      </c>
      <c r="D30" s="986"/>
      <c r="E30" s="761">
        <f>SUM(E23:E29)</f>
        <v>494152.32</v>
      </c>
      <c r="F30" s="987">
        <f>1-(E30/E21)</f>
        <v>0.32266981348101564</v>
      </c>
      <c r="G30" s="986">
        <f>G21*(1-H30)</f>
        <v>437761.52999999997</v>
      </c>
      <c r="H30" s="865">
        <v>0.4612</v>
      </c>
      <c r="I30" s="762"/>
      <c r="J30" s="763"/>
      <c r="L30" s="17">
        <f t="shared" si="0"/>
        <v>1</v>
      </c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988">
        <f>+C21-C30-C38</f>
        <v>238860.66000000003</v>
      </c>
      <c r="D32" s="871"/>
      <c r="E32" s="988">
        <f>+E21-E30-E38</f>
        <v>375490.32270000014</v>
      </c>
      <c r="F32" s="871"/>
      <c r="G32" s="871"/>
      <c r="H32" s="871"/>
      <c r="I32" s="762"/>
      <c r="J32" s="865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989">
        <f>+C32/C21</f>
        <v>0.47214270838620859</v>
      </c>
      <c r="D33" s="871"/>
      <c r="E33" s="989">
        <f>+E32/E21</f>
        <v>0.51468124304357143</v>
      </c>
      <c r="F33" s="871"/>
      <c r="G33" s="871"/>
      <c r="H33" s="871"/>
      <c r="I33" s="762"/>
      <c r="J33" s="865"/>
      <c r="L33" s="17">
        <f t="shared" si="0"/>
        <v>1</v>
      </c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753">
        <f>IF(ISNA(VLOOKUP("SOM607400000",Balance!C:G,5,FALSE))=TRUE,0,VLOOKUP("SOM607400000",Balance!C:G,5,FALSE))</f>
        <v>3214.48</v>
      </c>
      <c r="D35" s="981"/>
      <c r="E35" s="753">
        <f>IF(ISNA(VLOOKUP("som607400000",Balanceanp!C:G,5,FALSE))=TRUE,0,VLOOKUP("som607400000",Balanceanp!C:G,5,FALSE))</f>
        <v>2839.43</v>
      </c>
      <c r="F35" s="990">
        <f>E35/E30</f>
        <v>5.7460622667925548E-3</v>
      </c>
      <c r="G35" s="991">
        <f>F35*G30</f>
        <v>2515.4050093863766</v>
      </c>
      <c r="H35" s="981"/>
      <c r="I35" s="756" t="str">
        <f t="shared" si="4"/>
        <v/>
      </c>
      <c r="J35" s="757"/>
      <c r="L35" s="17">
        <f t="shared" si="0"/>
        <v>1</v>
      </c>
    </row>
    <row r="36" spans="1:12">
      <c r="A36" s="590" t="s">
        <v>97</v>
      </c>
      <c r="B36" s="591"/>
      <c r="C36" s="753">
        <f>IF(ISNA(VLOOKUP("SOM608000000",Balance!C:G,5,FALSE))=TRUE,0,VLOOKUP("SOM608000000",Balance!C:G,5,FALSE))</f>
        <v>1010.59</v>
      </c>
      <c r="D36" s="981"/>
      <c r="E36" s="753">
        <f>IF(ISNA(VLOOKUP("som608000000",Balanceanp!C:G,5,FALSE))=TRUE,0,VLOOKUP("som608000000",Balanceanp!C:G,5,FALSE))</f>
        <v>402.31</v>
      </c>
      <c r="F36" s="990">
        <f>E36/E30</f>
        <v>8.1414168003906163E-4</v>
      </c>
      <c r="G36" s="991">
        <f>F36*G30</f>
        <v>356.39990749067005</v>
      </c>
      <c r="H36" s="981"/>
      <c r="I36" s="756" t="str">
        <f t="shared" si="4"/>
        <v/>
      </c>
      <c r="J36" s="757"/>
      <c r="L36" s="17">
        <f t="shared" si="0"/>
        <v>1</v>
      </c>
    </row>
    <row r="37" spans="1:12">
      <c r="A37" s="5" t="s">
        <v>98</v>
      </c>
      <c r="B37" s="92"/>
      <c r="C37" s="160">
        <f>IF(ISNA(VLOOKUP("SOM608100000",Balance!C:G,5,FALSE))=TRUE,0,VLOOKUP("SOM608100000",Balance!C:G,5,FALSE))</f>
        <v>0</v>
      </c>
      <c r="D37" s="115"/>
      <c r="E37" s="160">
        <f>IF(ISNA(VLOOKUP("som608100000",Balanceanp!C:G,5,FALSE))=TRUE,0,VLOOKUP("som608100000",Balanceanp!C:G,5,FALSE))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>
      <c r="A38" s="5" t="s">
        <v>99</v>
      </c>
      <c r="B38" s="92"/>
      <c r="C38" s="160">
        <f>+C56-C57</f>
        <v>-16685.429999999993</v>
      </c>
      <c r="D38" s="115"/>
      <c r="E38" s="160">
        <f>+E56-E57</f>
        <v>-140083.66270000002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>
      <c r="A39" s="5" t="s">
        <v>177</v>
      </c>
      <c r="B39" s="92"/>
      <c r="C39" s="160">
        <f>IF(ISNA(VLOOKUP("SOM681730000",Balance!C:G,5,FALSE))=TRUE,0,VLOOKUP("SOM681730000",Balance!C:G,5,FALSE))</f>
        <v>0</v>
      </c>
      <c r="D39" s="115"/>
      <c r="E39" s="160">
        <f>IF(ISNA(VLOOKUP("som681730000",Balanceanp!C:G,5,FALSE))=TRUE,0,VLOOKUP("som681730000",Balanceanp!C:G,5,FALSE))</f>
        <v>4235.76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>
      <c r="A40" s="5" t="s">
        <v>176</v>
      </c>
      <c r="B40" s="92"/>
      <c r="C40" s="160">
        <f>IF(ISNA(VLOOKUP("SOM781730000",Balance!C:G,5,FALSE))=TRUE,0,VLOOKUP("SOM781730000",Balance!C:G,5,FALSE))</f>
        <v>-4235.76</v>
      </c>
      <c r="D40" s="115"/>
      <c r="E40" s="160">
        <f>IF(ISNA(VLOOKUP("som781730000",Balanceanp!C:G,5,FALSE))=TRUE,0,VLOOKUP("som781730000",Balanceanp!C:G,5,FALSE))</f>
        <v>0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753">
        <f>IF(ISNA(VLOOKUP("SOM609110000",Balance!C:G,5,FALSE))=TRUE,0,VLOOKUP("SOM609110000",Balance!C:G,5,FALSE))</f>
        <v>-605.05999999999995</v>
      </c>
      <c r="D41" s="981"/>
      <c r="E41" s="753">
        <f>IF(ISNA(VLOOKUP("som609110000",Balanceanp!C:G,5,FALSE))=TRUE,0,VLOOKUP("som609110000",Balanceanp!C:G,5,FALSE))</f>
        <v>-3700.76</v>
      </c>
      <c r="F41" s="992">
        <f>E41/SUM(E24:E25)</f>
        <v>-1.1893541115176796E-2</v>
      </c>
      <c r="G41" s="993">
        <f>H41*(G24)</f>
        <v>-4640.2722180000001</v>
      </c>
      <c r="H41" s="994">
        <v>-0.02</v>
      </c>
      <c r="I41" s="756" t="str">
        <f t="shared" si="4"/>
        <v/>
      </c>
      <c r="J41" s="757"/>
      <c r="L41" s="17">
        <f t="shared" si="0"/>
        <v>1</v>
      </c>
    </row>
    <row r="42" spans="1:12">
      <c r="A42" s="590" t="s">
        <v>318</v>
      </c>
      <c r="B42" s="591"/>
      <c r="C42" s="753">
        <f>IF(ISNA(VLOOKUP("SOM609120000",Balance!C:G,5,FALSE))=TRUE,0,VLOOKUP("SOM609120000",Balance!C:G,5,FALSE))</f>
        <v>-10412.08</v>
      </c>
      <c r="D42" s="981"/>
      <c r="E42" s="753">
        <f>IF(ISNA(VLOOKUP("som609120000",Balanceanp!C:G,5,FALSE))=TRUE,0,VLOOKUP("som609120000",Balanceanp!C:G,5,FALSE))</f>
        <v>-13910.22</v>
      </c>
      <c r="F42" s="992">
        <f>E42/E28</f>
        <v>-6.9150270457294299E-2</v>
      </c>
      <c r="G42" s="993">
        <f>H42*G28</f>
        <v>-14402.354336999999</v>
      </c>
      <c r="H42" s="994">
        <v>-7.0000000000000007E-2</v>
      </c>
      <c r="I42" s="756" t="str">
        <f t="shared" si="4"/>
        <v/>
      </c>
      <c r="J42" s="757"/>
      <c r="L42" s="17">
        <f t="shared" si="0"/>
        <v>1</v>
      </c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758">
        <f>+C30+SUM(C34:C43)</f>
        <v>256019.27000000002</v>
      </c>
      <c r="D44" s="883"/>
      <c r="E44" s="758">
        <f>+E30+SUM(E34:E43)</f>
        <v>343935.17729999998</v>
      </c>
      <c r="F44" s="883"/>
      <c r="G44" s="995">
        <f>SUM(G35:G43)+G30</f>
        <v>421590.70836187701</v>
      </c>
      <c r="H44" s="883"/>
      <c r="I44" s="759"/>
      <c r="J44" s="760"/>
      <c r="L44" s="17">
        <f t="shared" si="0"/>
        <v>1</v>
      </c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customHeight="1">
      <c r="A46" s="56" t="s">
        <v>339</v>
      </c>
      <c r="B46" s="95"/>
      <c r="C46" s="166">
        <f>+C21-C44</f>
        <v>249888.49000000005</v>
      </c>
      <c r="D46" s="120"/>
      <c r="E46" s="166">
        <f>+E21-E44</f>
        <v>385623.80270000012</v>
      </c>
      <c r="F46" s="138"/>
      <c r="G46" s="138"/>
      <c r="H46" s="403"/>
      <c r="I46" s="273"/>
      <c r="J46" s="274"/>
      <c r="L46" s="17">
        <v>0</v>
      </c>
    </row>
    <row r="47" spans="1:12" s="33" customFormat="1" ht="15" customHeight="1">
      <c r="A47" s="56" t="s">
        <v>340</v>
      </c>
      <c r="B47" s="95"/>
      <c r="C47" s="196">
        <f>+C46/C21</f>
        <v>0.49394081245166116</v>
      </c>
      <c r="D47" s="120"/>
      <c r="E47" s="196">
        <f>+E46/E21</f>
        <v>0.52857111388033362</v>
      </c>
      <c r="F47" s="138"/>
      <c r="G47" s="138"/>
      <c r="H47" s="403"/>
      <c r="I47" s="273"/>
      <c r="J47" s="274"/>
      <c r="L47" s="17">
        <v>0</v>
      </c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6.1671321270106621E-3</v>
      </c>
      <c r="C49" s="753">
        <f>IF(ISNA(VLOOKUP("SOM709700000",Balance!C:G,5,FALSE))=TRUE,0,VLOOKUP("SOM709700000",Balance!C:G,5,FALSE))</f>
        <v>3120</v>
      </c>
      <c r="D49" s="754">
        <f>+[2]StOmer!$H49</f>
        <v>4160</v>
      </c>
      <c r="E49" s="753">
        <f>IF(ISNA(VLOOKUP("som709700000",Balanceanp!C:G,5,FALSE))=TRUE,0,VLOOKUP("som709700000",Balanceanp!C:G,5,FALSE))</f>
        <v>0</v>
      </c>
      <c r="F49" s="754">
        <f>+C49+C49/9*(12-Clients!$I$14)</f>
        <v>4160</v>
      </c>
      <c r="G49" s="996">
        <v>1912</v>
      </c>
      <c r="H49" s="990">
        <f>G49/G21</f>
        <v>2.3533031785593402E-3</v>
      </c>
      <c r="I49" s="756">
        <f>+IF((E49)=0,,(F49-E49)/E49)</f>
        <v>0</v>
      </c>
      <c r="J49" s="757">
        <f>+IF((F49)=0,,(G49-F49)/F49)</f>
        <v>-0.54038461538461535</v>
      </c>
      <c r="L49" s="17">
        <f t="shared" si="0"/>
        <v>1</v>
      </c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758">
        <f>+C21-C49</f>
        <v>502787.76000000007</v>
      </c>
      <c r="D51" s="764">
        <f>+D21-D49</f>
        <v>827821</v>
      </c>
      <c r="E51" s="758">
        <f>+E21-E49</f>
        <v>729558.9800000001</v>
      </c>
      <c r="F51" s="764">
        <f>+F21-F49</f>
        <v>652593.59331125184</v>
      </c>
      <c r="G51" s="764">
        <f>+G21-G49</f>
        <v>810563</v>
      </c>
      <c r="H51" s="764"/>
      <c r="I51" s="759">
        <f>+IF((E51)=0,,(F51-E51)/E51)</f>
        <v>-0.1054957704567604</v>
      </c>
      <c r="J51" s="760">
        <f>+IF((F51)=0,,(G51-F51)/F51)</f>
        <v>0.24206398638885396</v>
      </c>
      <c r="L51" s="17">
        <f t="shared" si="0"/>
        <v>1</v>
      </c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customHeight="1">
      <c r="A53" s="16" t="s">
        <v>3</v>
      </c>
      <c r="B53" s="96"/>
      <c r="C53" s="169">
        <f>+C51-C44</f>
        <v>246768.49000000005</v>
      </c>
      <c r="D53" s="122"/>
      <c r="E53" s="169">
        <f>+E51-E44</f>
        <v>385623.80270000012</v>
      </c>
      <c r="F53" s="140"/>
      <c r="G53" s="140"/>
      <c r="H53" s="405"/>
      <c r="I53" s="224"/>
      <c r="J53" s="123"/>
      <c r="K53" s="2"/>
      <c r="L53" s="17">
        <v>0</v>
      </c>
    </row>
    <row r="54" spans="1:12" s="33" customFormat="1" ht="15" customHeight="1">
      <c r="A54" s="16" t="s">
        <v>4</v>
      </c>
      <c r="B54" s="96"/>
      <c r="C54" s="197">
        <f>+C53/C51</f>
        <v>0.49080051192972562</v>
      </c>
      <c r="D54" s="123"/>
      <c r="E54" s="197">
        <f>+E53/E51</f>
        <v>0.52857111388033362</v>
      </c>
      <c r="F54" s="141"/>
      <c r="G54" s="141"/>
      <c r="H54" s="406"/>
      <c r="I54" s="224"/>
      <c r="J54" s="123"/>
      <c r="K54" s="2"/>
      <c r="L54" s="17">
        <v>0</v>
      </c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>
      <c r="A56" s="5" t="s">
        <v>290</v>
      </c>
      <c r="B56" s="92"/>
      <c r="C56" s="160">
        <f>+[2]StOmer!$C56</f>
        <v>142651.57</v>
      </c>
      <c r="D56" s="115"/>
      <c r="E56" s="160">
        <f>+[1]StOmer!$G56</f>
        <v>0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>
      <c r="A57" s="5" t="s">
        <v>100</v>
      </c>
      <c r="B57" s="92"/>
      <c r="C57" s="160">
        <f>+[2]StOmer!$C57</f>
        <v>159337</v>
      </c>
      <c r="D57" s="115"/>
      <c r="E57" s="160">
        <f>+[1]StOmer!$G57</f>
        <v>140083.66270000002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765">
        <f>+[2]StOmer!$C60</f>
        <v>0.46500000000000002</v>
      </c>
      <c r="D60" s="766">
        <f>+[2]StOmer!$H60</f>
        <v>0.51198387090929076</v>
      </c>
      <c r="E60" s="765">
        <f>+[1]StOmer!$G$54</f>
        <v>0.52857111388033362</v>
      </c>
      <c r="F60" s="766">
        <f>+C60</f>
        <v>0.46500000000000002</v>
      </c>
      <c r="G60" s="766">
        <f>G62/G51</f>
        <v>0.47987916008764647</v>
      </c>
      <c r="H60" s="766"/>
      <c r="I60" s="765"/>
      <c r="J60" s="766"/>
      <c r="L60" s="17">
        <f t="shared" si="0"/>
        <v>1</v>
      </c>
    </row>
    <row r="61" spans="1:12">
      <c r="A61" s="5" t="s">
        <v>65</v>
      </c>
      <c r="B61" s="92"/>
      <c r="C61" s="92">
        <f>+[2]StOmer!$C61</f>
        <v>0.47599999999999998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767">
        <f>+C51*C60</f>
        <v>233796.30840000004</v>
      </c>
      <c r="D62" s="768">
        <f>D51*D60</f>
        <v>423831</v>
      </c>
      <c r="E62" s="767">
        <f>+E51*E60</f>
        <v>385623.80270000012</v>
      </c>
      <c r="F62" s="768">
        <f>+F51*F60</f>
        <v>303456.02088973211</v>
      </c>
      <c r="G62" s="768">
        <f>G51-G44</f>
        <v>388972.29163812299</v>
      </c>
      <c r="H62" s="768"/>
      <c r="I62" s="765">
        <f>+IF((E62)=0,,(F62-E62)/E62)</f>
        <v>-0.21307756739848149</v>
      </c>
      <c r="J62" s="766">
        <f>+IF((F62)=0,,(G62-F62)/F62)</f>
        <v>0.28180779045891868</v>
      </c>
      <c r="L62" s="17">
        <f t="shared" si="0"/>
        <v>1</v>
      </c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753">
        <f>IF(ISNA(VLOOKUP("SOM613520000",Balance!C:G,5,FALSE))=TRUE,0,VLOOKUP("SOM613520000",Balance!C:G,5,FALSE))</f>
        <v>2811.06</v>
      </c>
      <c r="D64" s="754">
        <f>+[2]StOmer!$H64</f>
        <v>3825.5436</v>
      </c>
      <c r="E64" s="753">
        <f>IF(ISNA(VLOOKUP("som613520000",Balanceanp!C:G,5,FALSE))=TRUE,0,VLOOKUP("som613520000",Balanceanp!C:G,5,FALSE))</f>
        <v>3435.74</v>
      </c>
      <c r="F64" s="979">
        <f>+C64+C64/9*(12-Clients!$I$14)</f>
        <v>3748.08</v>
      </c>
      <c r="G64" s="980">
        <f>+F64*1.03</f>
        <v>3860.5223999999998</v>
      </c>
      <c r="H64" s="980"/>
      <c r="I64" s="756">
        <f t="shared" ref="I64:J68" si="5">+IF((E64)=0,,(F64-E64)/E64)</f>
        <v>9.0909090909090953E-2</v>
      </c>
      <c r="J64" s="757">
        <f t="shared" si="5"/>
        <v>2.9999999999999975E-2</v>
      </c>
      <c r="L64" s="17">
        <f t="shared" si="0"/>
        <v>1</v>
      </c>
    </row>
    <row r="65" spans="1:12">
      <c r="A65" s="5" t="s">
        <v>314</v>
      </c>
      <c r="B65" s="92"/>
      <c r="C65" s="160"/>
      <c r="D65" s="117">
        <f>+[2]StOmer!$H65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753">
        <f>IF(ISNA(VLOOKUP("SOM616120000",Balance!C:G,5,FALSE))=TRUE,0,VLOOKUP("SOM616120000",Balance!C:G,5,FALSE))</f>
        <v>1391.73</v>
      </c>
      <c r="D66" s="754">
        <f>+[2]StOmer!$H66</f>
        <v>586.44080000000008</v>
      </c>
      <c r="E66" s="753">
        <f>IF(ISNA(VLOOKUP("som616120000",Balanceanp!C:G,5,FALSE))=TRUE,0,VLOOKUP("som616120000",Balanceanp!C:G,5,FALSE))</f>
        <v>2084.11</v>
      </c>
      <c r="F66" s="979">
        <f>+C66+C66/9*(12-Clients!$I$14)</f>
        <v>1855.6399999999999</v>
      </c>
      <c r="G66" s="980">
        <f>+F66*1.03</f>
        <v>1911.3091999999999</v>
      </c>
      <c r="H66" s="980"/>
      <c r="I66" s="756">
        <f t="shared" si="5"/>
        <v>-0.10962473189994781</v>
      </c>
      <c r="J66" s="757">
        <f t="shared" si="5"/>
        <v>3.0000000000000027E-2</v>
      </c>
      <c r="L66" s="17">
        <f t="shared" si="0"/>
        <v>1</v>
      </c>
    </row>
    <row r="67" spans="1:12">
      <c r="A67" s="590" t="s">
        <v>107</v>
      </c>
      <c r="B67" s="591"/>
      <c r="C67" s="753">
        <f>IF(ISNA(VLOOKUP("SOM615520000",Balance!C:G,5,FALSE))=TRUE,0,VLOOKUP("SOM615520000",Balance!C:G,5,FALSE))</f>
        <v>1620.98</v>
      </c>
      <c r="D67" s="754">
        <f>+[2]StOmer!$H67</f>
        <v>2057.6516000000001</v>
      </c>
      <c r="E67" s="753">
        <f>IF(ISNA(VLOOKUP("som615520000",Balanceanp!C:G,5,FALSE))=TRUE,0,VLOOKUP("som615520000",Balanceanp!C:G,5,FALSE))</f>
        <v>2024.23</v>
      </c>
      <c r="F67" s="979">
        <f>+C67+C67/9*(12-Clients!$I$14)</f>
        <v>2161.3066666666664</v>
      </c>
      <c r="G67" s="980">
        <f>+F67*1.03</f>
        <v>2226.1458666666663</v>
      </c>
      <c r="H67" s="980"/>
      <c r="I67" s="756">
        <f t="shared" si="5"/>
        <v>6.7717930604064933E-2</v>
      </c>
      <c r="J67" s="757">
        <f t="shared" si="5"/>
        <v>2.9999999999999954E-2</v>
      </c>
      <c r="L67" s="17">
        <f t="shared" si="0"/>
        <v>1</v>
      </c>
    </row>
    <row r="68" spans="1:12">
      <c r="A68" s="590" t="s">
        <v>125</v>
      </c>
      <c r="B68" s="591"/>
      <c r="C68" s="753">
        <f>IF(ISNA(VLOOKUP("SOM606130000",Balance!C:G,5,FALSE))=TRUE,0,VLOOKUP("SOM606130000",Balance!C:G,5,FALSE))</f>
        <v>1238.56</v>
      </c>
      <c r="D68" s="754">
        <f>+[2]StOmer!$H68</f>
        <v>2725.0297999999998</v>
      </c>
      <c r="E68" s="753">
        <f>IF(ISNA(VLOOKUP("som606130000",Balanceanp!C:G,5,FALSE))=TRUE,0,VLOOKUP("som606130000",Balanceanp!C:G,5,FALSE))</f>
        <v>2564.1799999999998</v>
      </c>
      <c r="F68" s="979">
        <f>+C68+C68/9*(12-Clients!$I$14)</f>
        <v>1651.4133333333334</v>
      </c>
      <c r="G68" s="979">
        <f>+F68*1.03</f>
        <v>1700.9557333333335</v>
      </c>
      <c r="H68" s="979"/>
      <c r="I68" s="756">
        <f t="shared" si="5"/>
        <v>-0.35596824975885721</v>
      </c>
      <c r="J68" s="757">
        <f t="shared" si="5"/>
        <v>3.0000000000000023E-2</v>
      </c>
      <c r="L68" s="17">
        <f t="shared" si="0"/>
        <v>1</v>
      </c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769">
        <f>SUM(C64:C69)</f>
        <v>7062.33</v>
      </c>
      <c r="D70" s="770">
        <f>SUM(D64:D69)</f>
        <v>9194.6658000000007</v>
      </c>
      <c r="E70" s="753">
        <f>SUM(E64:E69)</f>
        <v>10108.26</v>
      </c>
      <c r="F70" s="997">
        <f>SUM(F64:F69)</f>
        <v>9416.4399999999987</v>
      </c>
      <c r="G70" s="900">
        <f>SUM(G64:G69)</f>
        <v>9698.9331999999995</v>
      </c>
      <c r="H70" s="900"/>
      <c r="I70" s="756">
        <f>+IF((E70)=0,,(F70-E70)/E70)</f>
        <v>-6.8441057115665949E-2</v>
      </c>
      <c r="J70" s="757">
        <f>+IF((F70)=0,,(G70-F70)/F70)</f>
        <v>3.0000000000000089E-2</v>
      </c>
      <c r="L70" s="17">
        <f t="shared" si="0"/>
        <v>1</v>
      </c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753">
        <f>IF(ISNA(VLOOKUP("SOM602220000",Balance!C:G,5,FALSE))=TRUE,0,VLOOKUP("SOM602220000",Balance!C:G,5,FALSE))</f>
        <v>44.83</v>
      </c>
      <c r="D72" s="754">
        <f>+[2]StOmer!$H72</f>
        <v>13.2149</v>
      </c>
      <c r="E72" s="753">
        <f>IF(ISNA(VLOOKUP("som602220000",Balanceanp!C:G,5,FALSE))=TRUE,0,VLOOKUP("som602220000",Balanceanp!C:G,5,FALSE))</f>
        <v>12.83</v>
      </c>
      <c r="F72" s="979">
        <f>+C72+C72/9*(12-Clients!$I$14)</f>
        <v>59.773333333333326</v>
      </c>
      <c r="G72" s="998">
        <f>+F72*1.03</f>
        <v>61.566533333333325</v>
      </c>
      <c r="H72" s="998"/>
      <c r="I72" s="756">
        <f t="shared" ref="I72:J87" si="6">+IF((E72)=0,,(F72-E72)/E72)</f>
        <v>3.6588724343985448</v>
      </c>
      <c r="J72" s="757">
        <f t="shared" si="6"/>
        <v>2.9999999999999985E-2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753">
        <f>IF(ISNA(VLOOKUP("SOM606100000",Balance!C:G,5,FALSE))=TRUE,0,VLOOKUP("SOM606100000",Balance!C:G,5,FALSE))</f>
        <v>3687.45</v>
      </c>
      <c r="D73" s="754">
        <f>+[2]StOmer!$H73</f>
        <v>5617.1668</v>
      </c>
      <c r="E73" s="753">
        <f>IF(ISNA(VLOOKUP("som606100000",Balanceanp!C:G,5,FALSE))=TRUE,0,VLOOKUP("som606100000",Balanceanp!C:G,5,FALSE))</f>
        <v>5273.15</v>
      </c>
      <c r="F73" s="979">
        <f>+C73+C73/9*(12-Clients!$I$14)</f>
        <v>4916.5999999999995</v>
      </c>
      <c r="G73" s="998">
        <f t="shared" ref="G73:G101" si="8">+F73*1.03</f>
        <v>5064.098</v>
      </c>
      <c r="H73" s="998"/>
      <c r="I73" s="756">
        <f t="shared" si="6"/>
        <v>-6.761613077572233E-2</v>
      </c>
      <c r="J73" s="757">
        <f t="shared" si="6"/>
        <v>3.0000000000000106E-2</v>
      </c>
      <c r="L73" s="17">
        <f t="shared" si="7"/>
        <v>1</v>
      </c>
    </row>
    <row r="74" spans="1:12">
      <c r="A74" s="590" t="s">
        <v>124</v>
      </c>
      <c r="B74" s="591"/>
      <c r="C74" s="753">
        <f>IF(ISNA(VLOOKUP("SOM606110000",Balance!C:G,5,FALSE))=TRUE,0,VLOOKUP("SOM606110000",Balance!C:G,5,FALSE))</f>
        <v>3590.09</v>
      </c>
      <c r="D74" s="754">
        <f>+[2]StOmer!$H74</f>
        <v>1954.0439000000001</v>
      </c>
      <c r="E74" s="753">
        <f>IF(ISNA(VLOOKUP("som606110000",Balanceanp!C:G,5,FALSE))=TRUE,0,VLOOKUP("som606110000",Balanceanp!C:G,5,FALSE))</f>
        <v>3227.4</v>
      </c>
      <c r="F74" s="979">
        <f>+C74+C74/9*(12-Clients!$I$14)</f>
        <v>4786.7866666666669</v>
      </c>
      <c r="G74" s="998">
        <f t="shared" si="8"/>
        <v>4930.3902666666672</v>
      </c>
      <c r="H74" s="998"/>
      <c r="I74" s="756">
        <f t="shared" si="6"/>
        <v>0.48317118010369547</v>
      </c>
      <c r="J74" s="757">
        <f t="shared" si="6"/>
        <v>3.0000000000000075E-2</v>
      </c>
      <c r="L74" s="17">
        <f t="shared" si="7"/>
        <v>1</v>
      </c>
    </row>
    <row r="75" spans="1:12">
      <c r="A75" s="5" t="s">
        <v>360</v>
      </c>
      <c r="B75" s="92"/>
      <c r="C75" s="160">
        <f>IF(ISNA(VLOOKUP("SOM606140000",Balance!C:G,5,FALSE))=TRUE,0,VLOOKUP("SOM606140000",Balance!C:G,5,FALSE))</f>
        <v>0</v>
      </c>
      <c r="D75" s="117">
        <f>+[2]StOmer!$H75</f>
        <v>0</v>
      </c>
      <c r="E75" s="160">
        <f>IF(ISNA(VLOOKUP("som606140000",Balanceanp!C:G,5,FALSE))=TRUE,0,VLOOKUP("som606140000",Balanceanp!C:G,5,FALSE))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753">
        <f>IF(ISNA(VLOOKUP("SOM606310000",Balance!C:G,5,FALSE))=TRUE,0,VLOOKUP("SOM606310000",Balance!C:G,5,FALSE))</f>
        <v>115.93</v>
      </c>
      <c r="D76" s="754">
        <f>+[2]StOmer!$H76</f>
        <v>1278.5287000000001</v>
      </c>
      <c r="E76" s="753">
        <f>IF(ISNA(VLOOKUP("som606310000",Balanceanp!C:G,5,FALSE))=TRUE,0,VLOOKUP("som606310000",Balanceanp!C:G,5,FALSE))</f>
        <v>177.49</v>
      </c>
      <c r="F76" s="979">
        <f>+C76+C76/9*(12-Clients!$I$14)</f>
        <v>154.57333333333335</v>
      </c>
      <c r="G76" s="998">
        <f t="shared" si="8"/>
        <v>159.21053333333336</v>
      </c>
      <c r="H76" s="998"/>
      <c r="I76" s="756">
        <f t="shared" si="6"/>
        <v>-0.12911525531954846</v>
      </c>
      <c r="J76" s="757">
        <f t="shared" si="6"/>
        <v>3.0000000000000044E-2</v>
      </c>
      <c r="L76" s="17">
        <f t="shared" si="7"/>
        <v>1</v>
      </c>
    </row>
    <row r="77" spans="1:12">
      <c r="A77" s="590" t="s">
        <v>127</v>
      </c>
      <c r="B77" s="591"/>
      <c r="C77" s="753">
        <f>IF(ISNA(VLOOKUP("SOM606410000",Balance!C:G,5,FALSE))=TRUE,0,VLOOKUP("SOM606410000",Balance!C:G,5,FALSE))</f>
        <v>1336.58</v>
      </c>
      <c r="D77" s="754">
        <f>+[2]StOmer!$H77</f>
        <v>5654.2777000000006</v>
      </c>
      <c r="E77" s="753">
        <f>IF(ISNA(VLOOKUP("som606410000",Balanceanp!C:G,5,FALSE))=TRUE,0,VLOOKUP("som606410000",Balanceanp!C:G,5,FALSE))</f>
        <v>5947.77</v>
      </c>
      <c r="F77" s="979">
        <f>+C77+C77/9*(12-Clients!$I$14)</f>
        <v>1782.1066666666666</v>
      </c>
      <c r="G77" s="998">
        <f t="shared" si="8"/>
        <v>1835.5698666666667</v>
      </c>
      <c r="H77" s="998"/>
      <c r="I77" s="756">
        <f t="shared" si="6"/>
        <v>-0.70037397769808407</v>
      </c>
      <c r="J77" s="757">
        <f t="shared" si="6"/>
        <v>3.0000000000000082E-2</v>
      </c>
      <c r="L77" s="17">
        <f t="shared" si="7"/>
        <v>1</v>
      </c>
    </row>
    <row r="78" spans="1:12">
      <c r="A78" s="590" t="s">
        <v>101</v>
      </c>
      <c r="B78" s="591"/>
      <c r="C78" s="753">
        <f>IF(ISNA(VLOOKUP("SOM611000000",Balance!C:G,5,FALSE))=TRUE,0,VLOOKUP("SOM611000000",Balance!C:G,5,FALSE))</f>
        <v>0</v>
      </c>
      <c r="D78" s="754">
        <f>+[2]StOmer!$H78</f>
        <v>290.20249999999999</v>
      </c>
      <c r="E78" s="753">
        <f>IF(ISNA(VLOOKUP("som611000000",Balanceanp!C:G,5,FALSE))=TRUE,0,VLOOKUP("som611000000",Balanceanp!C:G,5,FALSE))</f>
        <v>0</v>
      </c>
      <c r="F78" s="979">
        <f>+C78+C78/9*(12-Clients!$I$14)</f>
        <v>0</v>
      </c>
      <c r="G78" s="979">
        <f t="shared" si="8"/>
        <v>0</v>
      </c>
      <c r="H78" s="979"/>
      <c r="I78" s="756">
        <f t="shared" si="6"/>
        <v>0</v>
      </c>
      <c r="J78" s="757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753">
        <f>IF(ISNA(VLOOKUP("SOM613200000",Balance!C:G,5,FALSE))=TRUE,0,VLOOKUP("SOM613200000",Balance!C:G,5,FALSE))</f>
        <v>38625.03</v>
      </c>
      <c r="D79" s="754">
        <f>+[2]StOmer!$H79</f>
        <v>51500.030899999998</v>
      </c>
      <c r="E79" s="753">
        <f>IF(ISNA(VLOOKUP("som613200000",Balanceanp!C:G,5,FALSE))=TRUE,0,VLOOKUP("som613200000",Balanceanp!C:G,5,FALSE))</f>
        <v>50000.03</v>
      </c>
      <c r="F79" s="996">
        <f>12797.02*4</f>
        <v>51188.08</v>
      </c>
      <c r="G79" s="996">
        <f>+F79*1508.05/1529.5</f>
        <v>50470.208593658055</v>
      </c>
      <c r="H79" s="1152">
        <f>G79/G21</f>
        <v>6.2119091164230353E-2</v>
      </c>
      <c r="I79" s="756">
        <f t="shared" si="6"/>
        <v>2.3760985743408614E-2</v>
      </c>
      <c r="J79" s="757">
        <f t="shared" si="6"/>
        <v>-1.4024190912062858E-2</v>
      </c>
      <c r="L79" s="17">
        <f t="shared" si="7"/>
        <v>1</v>
      </c>
    </row>
    <row r="80" spans="1:12">
      <c r="A80" s="5" t="s">
        <v>325</v>
      </c>
      <c r="B80" s="92"/>
      <c r="C80" s="160">
        <f>IF(ISNA(VLOOKUP("SOM614000000",Balance!C:G,5,FALSE))=TRUE,0,VLOOKUP("SOM614000000",Balance!C:G,5,FALSE))</f>
        <v>0</v>
      </c>
      <c r="D80" s="117">
        <f>+[2]StOmer!$H80</f>
        <v>0</v>
      </c>
      <c r="E80" s="160">
        <f>IF(ISNA(VLOOKUP("som614000000",Balanceanp!C:G,5,FALSE))=TRUE,0,VLOOKUP("som614000000",Balanceanp!C:G,5,FALSE))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>
      <c r="A81" s="5" t="s">
        <v>103</v>
      </c>
      <c r="B81" s="92"/>
      <c r="C81" s="160">
        <f>IF(ISNA(VLOOKUP("SOM613510000",Balance!C:G,5,FALSE))=TRUE,0,VLOOKUP("SOM613510000",Balance!C:G,5,FALSE))</f>
        <v>0</v>
      </c>
      <c r="D81" s="117">
        <f>+[2]StOmer!$H81</f>
        <v>0</v>
      </c>
      <c r="E81" s="160">
        <f>IF(ISNA(VLOOKUP("som613510000",Balanceanp!C:G,5,FALSE))=TRUE,0,VLOOKUP("som613510000",Balanceanp!C:G,5,FALSE))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753">
        <f>IF(ISNA(VLOOKUP("SOM613530000",Balance!C:G,5,FALSE))=TRUE,0,VLOOKUP("SOM613530000",Balance!C:G,5,FALSE))</f>
        <v>153</v>
      </c>
      <c r="D82" s="754">
        <f>+[2]StOmer!$H82</f>
        <v>274.1345</v>
      </c>
      <c r="E82" s="753">
        <f>IF(ISNA(VLOOKUP("som613530000",Balanceanp!C:G,5,FALSE))=TRUE,0,VLOOKUP("som613530000",Balanceanp!C:G,5,FALSE))</f>
        <v>317.14999999999998</v>
      </c>
      <c r="F82" s="979">
        <f>+C82+C82/9*(12-Clients!$I$14)</f>
        <v>204</v>
      </c>
      <c r="G82" s="998">
        <f t="shared" si="8"/>
        <v>210.12</v>
      </c>
      <c r="H82" s="998"/>
      <c r="I82" s="756">
        <f t="shared" si="6"/>
        <v>-0.35677124389090331</v>
      </c>
      <c r="J82" s="757">
        <f t="shared" si="6"/>
        <v>3.0000000000000023E-2</v>
      </c>
      <c r="L82" s="17">
        <f t="shared" si="7"/>
        <v>1</v>
      </c>
    </row>
    <row r="83" spans="1:12">
      <c r="A83" s="590" t="s">
        <v>287</v>
      </c>
      <c r="B83" s="591"/>
      <c r="C83" s="753">
        <f>IF(ISNA(VLOOKUP("SOM613540000",Balance!C:G,5,FALSE))=TRUE,0,VLOOKUP("SOM613540000",Balance!C:G,5,FALSE))</f>
        <v>182.19</v>
      </c>
      <c r="D83" s="754">
        <f>+[2]StOmer!$H83</f>
        <v>0</v>
      </c>
      <c r="E83" s="753">
        <f>IF(ISNA(VLOOKUP("som613540000",Balanceanp!C:G,5,FALSE))=TRUE,0,VLOOKUP("som613540000",Balanceanp!C:G,5,FALSE))</f>
        <v>15.34</v>
      </c>
      <c r="F83" s="979">
        <f>+C83+C83/9*(12-Clients!$I$14)</f>
        <v>242.92</v>
      </c>
      <c r="G83" s="998">
        <f t="shared" si="8"/>
        <v>250.20759999999999</v>
      </c>
      <c r="H83" s="998"/>
      <c r="I83" s="756">
        <f t="shared" si="6"/>
        <v>14.835723598435463</v>
      </c>
      <c r="J83" s="757">
        <f t="shared" si="6"/>
        <v>2.9999999999999992E-2</v>
      </c>
      <c r="L83" s="17">
        <f t="shared" si="7"/>
        <v>1</v>
      </c>
    </row>
    <row r="84" spans="1:12">
      <c r="A84" s="590" t="s">
        <v>108</v>
      </c>
      <c r="B84" s="591"/>
      <c r="C84" s="753">
        <f>IF(ISNA(VLOOKUP("SOM615200000",Balance!C:G,5,FALSE))=TRUE,0,VLOOKUP("SOM615200000",Balance!C:G,5,FALSE))</f>
        <v>659.33</v>
      </c>
      <c r="D84" s="754">
        <f>+[2]StOmer!$H84</f>
        <v>1073.1776000000002</v>
      </c>
      <c r="E84" s="753">
        <f>IF(ISNA(VLOOKUP("som615200000",Balanceanp!C:G,5,FALSE))=TRUE,0,VLOOKUP("som615200000",Balanceanp!C:G,5,FALSE))</f>
        <v>1725.4</v>
      </c>
      <c r="F84" s="979">
        <f>+C84+C84/9*(12-Clients!$I$14)</f>
        <v>879.10666666666668</v>
      </c>
      <c r="G84" s="998">
        <f t="shared" si="8"/>
        <v>905.47986666666668</v>
      </c>
      <c r="H84" s="998"/>
      <c r="I84" s="756">
        <f t="shared" si="6"/>
        <v>-0.49049109385263323</v>
      </c>
      <c r="J84" s="757">
        <f t="shared" si="6"/>
        <v>2.9999999999999995E-2</v>
      </c>
      <c r="L84" s="17">
        <f t="shared" si="7"/>
        <v>1</v>
      </c>
    </row>
    <row r="85" spans="1:12">
      <c r="A85" s="590" t="s">
        <v>109</v>
      </c>
      <c r="B85" s="591"/>
      <c r="C85" s="753">
        <f>IF(ISNA(VLOOKUP("SOM615500000",Balance!C:G,5,FALSE))=TRUE,0,VLOOKUP("SOM615500000",Balance!C:G,5,FALSE))</f>
        <v>934</v>
      </c>
      <c r="D85" s="754">
        <f>+[2]StOmer!$H85</f>
        <v>1016.61</v>
      </c>
      <c r="E85" s="753">
        <f>IF(ISNA(VLOOKUP("som615500000",Balanceanp!C:G,5,FALSE))=TRUE,0,VLOOKUP("som615500000",Balanceanp!C:G,5,FALSE))</f>
        <v>1005.76</v>
      </c>
      <c r="F85" s="979">
        <f>+C85+C85/9*(12-Clients!$I$14)</f>
        <v>1245.3333333333333</v>
      </c>
      <c r="G85" s="998">
        <f t="shared" si="8"/>
        <v>1282.6933333333334</v>
      </c>
      <c r="H85" s="998"/>
      <c r="I85" s="756">
        <f t="shared" si="6"/>
        <v>0.23820129388058112</v>
      </c>
      <c r="J85" s="757">
        <f t="shared" si="6"/>
        <v>3.0000000000000103E-2</v>
      </c>
      <c r="L85" s="17">
        <f t="shared" si="7"/>
        <v>1</v>
      </c>
    </row>
    <row r="86" spans="1:12">
      <c r="A86" s="590" t="s">
        <v>106</v>
      </c>
      <c r="B86" s="591"/>
      <c r="C86" s="753">
        <f>IF(ISNA(VLOOKUP("SOM615510000",Balance!C:G,5,FALSE))=TRUE,0,VLOOKUP("SOM615510000",Balance!C:G,5,FALSE))</f>
        <v>1336.68</v>
      </c>
      <c r="D86" s="754">
        <f>+[2]StOmer!$H86</f>
        <v>1068.6661999999999</v>
      </c>
      <c r="E86" s="753">
        <f>IF(ISNA(VLOOKUP("som615510000",Balanceanp!C:G,5,FALSE))=TRUE,0,VLOOKUP("som615510000",Balanceanp!C:G,5,FALSE))</f>
        <v>1014.54</v>
      </c>
      <c r="F86" s="979">
        <f>+C86+C86/9*(12-Clients!$I$14)</f>
        <v>1782.2400000000002</v>
      </c>
      <c r="G86" s="998">
        <f t="shared" si="8"/>
        <v>1835.7072000000003</v>
      </c>
      <c r="H86" s="998"/>
      <c r="I86" s="756">
        <f t="shared" si="6"/>
        <v>0.75669761665385327</v>
      </c>
      <c r="J86" s="757">
        <f t="shared" si="6"/>
        <v>3.0000000000000023E-2</v>
      </c>
      <c r="L86" s="17">
        <f t="shared" si="7"/>
        <v>1</v>
      </c>
    </row>
    <row r="87" spans="1:12">
      <c r="A87" s="590" t="s">
        <v>363</v>
      </c>
      <c r="B87" s="591"/>
      <c r="C87" s="753">
        <f>IF(ISNA(VLOOKUP("SOM615530000",Balance!C:G,5,FALSE))=TRUE,0,VLOOKUP("SOM615530000",Balance!C:G,5,FALSE))</f>
        <v>0</v>
      </c>
      <c r="D87" s="754">
        <f>+[2]StOmer!$H87</f>
        <v>86.262500000000003</v>
      </c>
      <c r="E87" s="753">
        <f>IF(ISNA(VLOOKUP("som615530000",Balanceanp!C:G,5,FALSE))=TRUE,0,VLOOKUP("som615530000",Balanceanp!C:G,5,FALSE))</f>
        <v>0</v>
      </c>
      <c r="F87" s="979">
        <f>+C87+C87/9*(12-Clients!$I$14)</f>
        <v>0</v>
      </c>
      <c r="G87" s="998">
        <f t="shared" si="8"/>
        <v>0</v>
      </c>
      <c r="H87" s="998"/>
      <c r="I87" s="756">
        <f t="shared" si="6"/>
        <v>0</v>
      </c>
      <c r="J87" s="757">
        <f t="shared" si="6"/>
        <v>0</v>
      </c>
      <c r="L87" s="17">
        <f t="shared" si="7"/>
        <v>1</v>
      </c>
    </row>
    <row r="88" spans="1:12">
      <c r="A88" s="590" t="s">
        <v>111</v>
      </c>
      <c r="B88" s="591"/>
      <c r="C88" s="753">
        <f>IF(ISNA(VLOOKUP("SOM616130000",Balance!C:G,5,FALSE))=TRUE,0,VLOOKUP("SOM616130000",Balance!C:G,5,FALSE))</f>
        <v>2250</v>
      </c>
      <c r="D88" s="754">
        <f>+[2]StOmer!$H88</f>
        <v>3000</v>
      </c>
      <c r="E88" s="753">
        <f>IF(ISNA(VLOOKUP("som616130000",Balanceanp!C:G,5,FALSE))=TRUE,0,VLOOKUP("som616130000",Balanceanp!C:G,5,FALSE))</f>
        <v>3222.89</v>
      </c>
      <c r="F88" s="979">
        <f>+C88+C88/9*(12-Clients!$I$14)</f>
        <v>3000</v>
      </c>
      <c r="G88" s="999">
        <v>3000</v>
      </c>
      <c r="H88" s="999"/>
      <c r="I88" s="756">
        <f t="shared" ref="I88:I101" si="9">+IF((E88)=0,,(F88-E88)/E88)</f>
        <v>-6.9158426133066872E-2</v>
      </c>
      <c r="J88" s="757">
        <f t="shared" ref="J88:J101" si="10">+IF((F88)=0,,(G88-F88)/F88)</f>
        <v>0</v>
      </c>
      <c r="L88" s="17">
        <f t="shared" si="7"/>
        <v>1</v>
      </c>
    </row>
    <row r="89" spans="1:12">
      <c r="A89" s="5" t="s">
        <v>315</v>
      </c>
      <c r="B89" s="92"/>
      <c r="C89" s="160"/>
      <c r="D89" s="117">
        <f>+[2]StOmer!$H89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753">
        <f>IF(ISNA(VLOOKUP("SOM618100000",Balance!C:G,5,FALSE))=TRUE,0,VLOOKUP("SOM618100000",Balance!C:G,5,FALSE))</f>
        <v>0</v>
      </c>
      <c r="D90" s="754">
        <f>+[2]StOmer!$H90</f>
        <v>68.16390650000001</v>
      </c>
      <c r="E90" s="753">
        <f>IF(ISNA(VLOOKUP("som618100000",Balanceanp!C:G,5,FALSE))=TRUE,0,VLOOKUP("som618100000",Balanceanp!C:G,5,FALSE))</f>
        <v>56.1</v>
      </c>
      <c r="F90" s="979">
        <f>+C90+C90/9*(12-Clients!$I$14)</f>
        <v>0</v>
      </c>
      <c r="G90" s="998">
        <f t="shared" si="8"/>
        <v>0</v>
      </c>
      <c r="H90" s="998"/>
      <c r="I90" s="756">
        <f t="shared" si="9"/>
        <v>-1</v>
      </c>
      <c r="J90" s="757">
        <f t="shared" si="10"/>
        <v>0</v>
      </c>
      <c r="L90" s="17">
        <f t="shared" si="7"/>
        <v>1</v>
      </c>
    </row>
    <row r="91" spans="1:12">
      <c r="A91" s="590" t="s">
        <v>113</v>
      </c>
      <c r="B91" s="591"/>
      <c r="C91" s="753">
        <f>IF(ISNA(VLOOKUP("SOM618500000",Balance!C:G,5,FALSE))=TRUE,0,VLOOKUP("SOM618500000",Balance!C:G,5,FALSE))</f>
        <v>134.86000000000001</v>
      </c>
      <c r="D91" s="754">
        <f>+[2]StOmer!$H91</f>
        <v>22.3613</v>
      </c>
      <c r="E91" s="753">
        <f>IF(ISNA(VLOOKUP("som618500000",Balanceanp!C:G,5,FALSE))=TRUE,0,VLOOKUP("som618500000",Balanceanp!C:G,5,FALSE))</f>
        <v>21.71</v>
      </c>
      <c r="F91" s="979">
        <f>+C91+C91/9*(12-Clients!$I$14)</f>
        <v>179.81333333333333</v>
      </c>
      <c r="G91" s="998">
        <f t="shared" si="8"/>
        <v>185.20773333333335</v>
      </c>
      <c r="H91" s="998"/>
      <c r="I91" s="756">
        <f t="shared" si="9"/>
        <v>7.282511899278366</v>
      </c>
      <c r="J91" s="757">
        <f t="shared" si="10"/>
        <v>3.0000000000000103E-2</v>
      </c>
      <c r="L91" s="17">
        <f t="shared" si="7"/>
        <v>1</v>
      </c>
    </row>
    <row r="92" spans="1:12">
      <c r="A92" s="5" t="s">
        <v>309</v>
      </c>
      <c r="B92" s="92"/>
      <c r="C92" s="160">
        <f>IF(ISNA(VLOOKUP("SOM622200000",Balance!C:G,5,FALSE))=TRUE,0,VLOOKUP("SOM622200000",Balance!C:G,5,FALSE))</f>
        <v>0</v>
      </c>
      <c r="D92" s="117">
        <f>+[2]StOmer!$H92</f>
        <v>0</v>
      </c>
      <c r="E92" s="160">
        <f>IF(ISNA(VLOOKUP("som622200000",Balanceanp!C:G,5,FALSE))=TRUE,0,VLOOKUP("som622200000",Balanceanp!C:G,5,FALSE))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753">
        <f>IF(ISNA(VLOOKUP("SOM622600000",Balance!C:G,5,FALSE))=TRUE,0,VLOOKUP("SOM622600000",Balance!C:G,5,FALSE))</f>
        <v>0</v>
      </c>
      <c r="D93" s="754">
        <f>+[2]StOmer!$H93</f>
        <v>772.5</v>
      </c>
      <c r="E93" s="753">
        <f>IF(ISNA(VLOOKUP("som622600000",Balanceanp!C:G,5,FALSE))=TRUE,0,VLOOKUP("som622600000",Balanceanp!C:G,5,FALSE))</f>
        <v>0</v>
      </c>
      <c r="F93" s="979">
        <f>+C93+C93/9*(12-Clients!$I$14)</f>
        <v>0</v>
      </c>
      <c r="G93" s="998">
        <f t="shared" si="8"/>
        <v>0</v>
      </c>
      <c r="H93" s="998"/>
      <c r="I93" s="756">
        <f t="shared" si="9"/>
        <v>0</v>
      </c>
      <c r="J93" s="757">
        <f t="shared" si="10"/>
        <v>0</v>
      </c>
      <c r="L93" s="17">
        <f t="shared" si="7"/>
        <v>1</v>
      </c>
    </row>
    <row r="94" spans="1:12">
      <c r="A94" s="590" t="s">
        <v>42</v>
      </c>
      <c r="B94" s="591"/>
      <c r="C94" s="753">
        <f>IF(ISNA(VLOOKUP("SOM622710000",Balance!C:G,5,FALSE))=TRUE,0,VLOOKUP("SOM622710000",Balance!C:G,5,FALSE))</f>
        <v>0</v>
      </c>
      <c r="D94" s="754">
        <f>+[2]StOmer!$H94</f>
        <v>-169.31150300000002</v>
      </c>
      <c r="E94" s="753">
        <f>IF(ISNA(VLOOKUP("som622710000",Balanceanp!C:G,5,FALSE))=TRUE,0,VLOOKUP("som622710000",Balanceanp!C:G,5,FALSE))</f>
        <v>-176.05</v>
      </c>
      <c r="F94" s="979">
        <f>+C94+C94/9*(12-Clients!$I$14)</f>
        <v>0</v>
      </c>
      <c r="G94" s="998">
        <f t="shared" si="8"/>
        <v>0</v>
      </c>
      <c r="H94" s="998"/>
      <c r="I94" s="756">
        <f t="shared" si="9"/>
        <v>-1</v>
      </c>
      <c r="J94" s="757">
        <f t="shared" si="10"/>
        <v>0</v>
      </c>
      <c r="L94" s="17">
        <f t="shared" si="7"/>
        <v>1</v>
      </c>
    </row>
    <row r="95" spans="1:12">
      <c r="A95" s="590" t="s">
        <v>117</v>
      </c>
      <c r="B95" s="591">
        <f>+C95/$C$21</f>
        <v>3.3646054371650673E-3</v>
      </c>
      <c r="C95" s="753">
        <f>IF(ISNA(VLOOKUP("SOM624200000",Balance!C:G,5,FALSE))=TRUE,0,VLOOKUP("SOM624200000",Balance!C:G,5,FALSE))</f>
        <v>1702.18</v>
      </c>
      <c r="D95" s="754">
        <f>+[2]StOmer!$H95</f>
        <v>784.07720000000006</v>
      </c>
      <c r="E95" s="753">
        <f>IF(ISNA(VLOOKUP("som624200000",Balanceanp!C:G,5,FALSE))=TRUE,0,VLOOKUP("som624200000",Balanceanp!C:G,5,FALSE))</f>
        <v>1276.31</v>
      </c>
      <c r="F95" s="979">
        <f>+C95+C95/9*(12-Clients!$I$14)</f>
        <v>2269.5733333333337</v>
      </c>
      <c r="G95" s="998">
        <f>B95*G21</f>
        <v>2733.6578025606882</v>
      </c>
      <c r="H95" s="1000">
        <f>+G95/$G$21</f>
        <v>3.3646054371650673E-3</v>
      </c>
      <c r="I95" s="756">
        <f t="shared" si="9"/>
        <v>0.77823047169836002</v>
      </c>
      <c r="J95" s="757">
        <f t="shared" si="10"/>
        <v>0.20448093146466048</v>
      </c>
      <c r="L95" s="17">
        <f t="shared" si="7"/>
        <v>1</v>
      </c>
    </row>
    <row r="96" spans="1:12">
      <c r="A96" s="590" t="s">
        <v>118</v>
      </c>
      <c r="B96" s="591"/>
      <c r="C96" s="753">
        <f>IF(ISNA(VLOOKUP("SOM625100000",Balance!C:G,5,FALSE))=TRUE,0,VLOOKUP("SOM625100000",Balance!C:G,5,FALSE))</f>
        <v>2134.31</v>
      </c>
      <c r="D96" s="754">
        <f>+[2]StOmer!$H96</f>
        <v>3814.2058749999997</v>
      </c>
      <c r="E96" s="753">
        <f>IF(ISNA(VLOOKUP("som625100000",Balanceanp!C:G,5,FALSE))=TRUE,0,VLOOKUP("som625100000",Balanceanp!C:G,5,FALSE))</f>
        <v>2848.69</v>
      </c>
      <c r="F96" s="979">
        <f>+C96+C96/9*(12-Clients!$I$14)</f>
        <v>2845.7466666666664</v>
      </c>
      <c r="G96" s="980">
        <f t="shared" si="8"/>
        <v>2931.1190666666666</v>
      </c>
      <c r="H96" s="980"/>
      <c r="I96" s="756">
        <f t="shared" si="9"/>
        <v>-1.0332234582680502E-3</v>
      </c>
      <c r="J96" s="757">
        <f t="shared" si="10"/>
        <v>3.0000000000000072E-2</v>
      </c>
      <c r="L96" s="17">
        <f t="shared" si="7"/>
        <v>1</v>
      </c>
    </row>
    <row r="97" spans="1:12">
      <c r="A97" s="590" t="s">
        <v>7</v>
      </c>
      <c r="B97" s="591"/>
      <c r="C97" s="753">
        <f>IF(ISNA(VLOOKUP("SOM625200000",Balance!C:G,5,FALSE))=TRUE,0,VLOOKUP("SOM625200000",Balance!C:G,5,FALSE))</f>
        <v>0</v>
      </c>
      <c r="D97" s="754">
        <f>+[2]StOmer!$H97</f>
        <v>9.9909999999999997</v>
      </c>
      <c r="E97" s="753">
        <f>IF(ISNA(VLOOKUP("som625200000",Balanceanp!C:G,5,FALSE))=TRUE,0,VLOOKUP("som625200000",Balanceanp!C:G,5,FALSE))</f>
        <v>9.6999999999999993</v>
      </c>
      <c r="F97" s="979">
        <f>+C97+C97/9*(12-Clients!$I$14)</f>
        <v>0</v>
      </c>
      <c r="G97" s="980">
        <f t="shared" si="8"/>
        <v>0</v>
      </c>
      <c r="H97" s="980"/>
      <c r="I97" s="756">
        <f t="shared" si="9"/>
        <v>-1</v>
      </c>
      <c r="J97" s="757">
        <f t="shared" si="10"/>
        <v>0</v>
      </c>
      <c r="L97" s="17">
        <f t="shared" si="7"/>
        <v>1</v>
      </c>
    </row>
    <row r="98" spans="1:12">
      <c r="A98" s="5" t="s">
        <v>307</v>
      </c>
      <c r="B98" s="92"/>
      <c r="C98" s="160">
        <f>IF(ISNA(VLOOKUP("SOM625510000",Balance!C:G,5,FALSE))=TRUE,0,VLOOKUP("SOM625510000",Balance!C:G,5,FALSE))</f>
        <v>0</v>
      </c>
      <c r="D98" s="117">
        <f>+[2]StOmer!$H98</f>
        <v>0</v>
      </c>
      <c r="E98" s="160">
        <f>IF(ISNA(VLOOKUP("som625510000",Balanceanp!C:G,5,FALSE))=TRUE,0,VLOOKUP("som625510000",Balanceanp!C:G,5,FALSE))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753">
        <f>IF(ISNA(VLOOKUP("SOM626000000",Balance!C:G,5,FALSE))=TRUE,0,VLOOKUP("SOM626000000",Balance!C:G,5,FALSE))</f>
        <v>2899.04</v>
      </c>
      <c r="D99" s="754">
        <f>+[2]StOmer!$H99</f>
        <v>3245.9832000000001</v>
      </c>
      <c r="E99" s="753">
        <f>IF(ISNA(VLOOKUP("som626000000",Balanceanp!C:G,5,FALSE))=TRUE,0,VLOOKUP("som626000000",Balanceanp!C:G,5,FALSE))</f>
        <v>3139.88</v>
      </c>
      <c r="F99" s="979">
        <f>+C99+C99/9*(12-Clients!$I$14)</f>
        <v>3865.3866666666663</v>
      </c>
      <c r="G99" s="998">
        <f>+F99</f>
        <v>3865.3866666666663</v>
      </c>
      <c r="H99" s="998"/>
      <c r="I99" s="756">
        <f t="shared" si="9"/>
        <v>0.23106190894768786</v>
      </c>
      <c r="J99" s="757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753">
        <f>IF(ISNA(VLOOKUP("SOM626100000",Balance!C:G,5,FALSE))=TRUE,0,VLOOKUP("SOM626100000",Balance!C:G,5,FALSE))</f>
        <v>3364.08</v>
      </c>
      <c r="D100" s="754">
        <f>+[2]StOmer!$H100</f>
        <v>907.25489999999991</v>
      </c>
      <c r="E100" s="753">
        <f>IF(ISNA(VLOOKUP("som626100000",Balanceanp!C:G,5,FALSE))=TRUE,0,VLOOKUP("som626100000",Balanceanp!C:G,5,FALSE))</f>
        <v>485.67</v>
      </c>
      <c r="F100" s="979">
        <f>+C100+C100/9*(12-Clients!$I$14)</f>
        <v>4485.4399999999996</v>
      </c>
      <c r="G100" s="998">
        <f t="shared" si="8"/>
        <v>4620.0032000000001</v>
      </c>
      <c r="H100" s="998"/>
      <c r="I100" s="756">
        <f t="shared" si="9"/>
        <v>8.2355714785759861</v>
      </c>
      <c r="J100" s="757">
        <f t="shared" si="10"/>
        <v>3.0000000000000117E-2</v>
      </c>
      <c r="L100" s="17">
        <f t="shared" si="7"/>
        <v>1</v>
      </c>
    </row>
    <row r="101" spans="1:12">
      <c r="A101" s="5" t="s">
        <v>121</v>
      </c>
      <c r="B101" s="92"/>
      <c r="C101" s="160">
        <f>IF(ISNA(VLOOKUP("SOM628400000",Balance!C:G,5,FALSE))=TRUE,0,VLOOKUP("SOM628400000",Balance!C:G,5,FALSE))</f>
        <v>0</v>
      </c>
      <c r="D101" s="117">
        <f>+[2]StOmer!$H101</f>
        <v>0</v>
      </c>
      <c r="E101" s="160">
        <f>IF(ISNA(VLOOKUP("som628400000",Balanceanp!C:G,5,FALSE))=TRUE,0,VLOOKUP("som628400000",Balanceanp!C:G,5,FALSE))</f>
        <v>0</v>
      </c>
      <c r="F101" s="368">
        <f>+C101+C101/9*(12-Clients!$I$14)</f>
        <v>0</v>
      </c>
      <c r="G101" s="396">
        <f t="shared" si="8"/>
        <v>0</v>
      </c>
      <c r="H101" s="409"/>
      <c r="I101" s="149">
        <f t="shared" si="9"/>
        <v>0</v>
      </c>
      <c r="J101" s="271">
        <f t="shared" si="10"/>
        <v>0</v>
      </c>
      <c r="L101" s="17">
        <f t="shared" si="7"/>
        <v>0</v>
      </c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0.13878401469864782</v>
      </c>
      <c r="C103" s="758">
        <f>SUM(C70:C102)</f>
        <v>70211.91</v>
      </c>
      <c r="D103" s="764">
        <f>SUM(D70:D102)</f>
        <v>91476.207878500005</v>
      </c>
      <c r="E103" s="758">
        <f>SUM(E70:E102)</f>
        <v>89710.019999999975</v>
      </c>
      <c r="F103" s="764">
        <f>SUM(F70:F102)</f>
        <v>93303.920000000027</v>
      </c>
      <c r="G103" s="764">
        <f>SUM(G70:G102)</f>
        <v>94039.559462885401</v>
      </c>
      <c r="H103" s="908">
        <f>+G103/$G$21</f>
        <v>0.1157445576330169</v>
      </c>
      <c r="I103" s="759">
        <f>+IF((E103)=0,,(F103-E103)/E103)</f>
        <v>4.0061299729952725E-2</v>
      </c>
      <c r="J103" s="760">
        <f>+IF((F103)=0,,(G103-F103)/F103)</f>
        <v>7.8843360802565831E-3</v>
      </c>
      <c r="K103" s="136">
        <f>(C103+(C103/3))</f>
        <v>93615.88</v>
      </c>
      <c r="L103" s="17">
        <f t="shared" si="7"/>
        <v>1</v>
      </c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753">
        <f>IF(ISNA(VLOOKUP("SOM623100000",Balance!C:G,5,FALSE))=TRUE,0,VLOOKUP("SOM623100000",Balance!C:G,5,FALSE))</f>
        <v>597.38</v>
      </c>
      <c r="D105" s="754">
        <f>+[2]StOmer!$H105</f>
        <v>0</v>
      </c>
      <c r="E105" s="753">
        <f>IF(ISNA(VLOOKUP("som623100000",Balanceanp!C:G,5,FALSE))=TRUE,0,VLOOKUP("som623100000",Balanceanp!C:G,5,FALSE))</f>
        <v>0</v>
      </c>
      <c r="F105" s="979">
        <f>+C105+C105/9*(12-Clients!$I$14)</f>
        <v>796.50666666666666</v>
      </c>
      <c r="G105" s="980">
        <f t="shared" ref="G105:G114" si="11">+F105*1.03</f>
        <v>820.40186666666671</v>
      </c>
      <c r="H105" s="980"/>
      <c r="I105" s="756">
        <f t="shared" ref="I105:J114" si="12">+IF((E105)=0,,(F105-E105)/E105)</f>
        <v>0</v>
      </c>
      <c r="J105" s="757">
        <f t="shared" si="12"/>
        <v>3.0000000000000058E-2</v>
      </c>
      <c r="L105" s="17">
        <f t="shared" si="7"/>
        <v>1</v>
      </c>
    </row>
    <row r="106" spans="1:12">
      <c r="A106" s="590" t="s">
        <v>130</v>
      </c>
      <c r="B106" s="591"/>
      <c r="C106" s="753">
        <f>IF(ISNA(VLOOKUP("SOM623200000",Balance!C:G,5,FALSE))=TRUE,0,VLOOKUP("SOM623200000",Balance!C:G,5,FALSE))</f>
        <v>6603.38</v>
      </c>
      <c r="D106" s="754">
        <f>+[2]StOmer!$H106</f>
        <v>3768.5125000000003</v>
      </c>
      <c r="E106" s="753">
        <f>IF(ISNA(VLOOKUP("som623200000",Balanceanp!C:G,5,FALSE))=TRUE,0,VLOOKUP("som623200000",Balanceanp!C:G,5,FALSE))</f>
        <v>5944.06</v>
      </c>
      <c r="F106" s="979">
        <f>+C106+C106/9*(12-Clients!$I$14)</f>
        <v>8804.5066666666662</v>
      </c>
      <c r="G106" s="980">
        <v>6000</v>
      </c>
      <c r="H106" s="980"/>
      <c r="I106" s="756">
        <f t="shared" si="12"/>
        <v>0.48122775790733363</v>
      </c>
      <c r="J106" s="757">
        <f t="shared" si="12"/>
        <v>-0.31853081300788383</v>
      </c>
      <c r="L106" s="17">
        <f t="shared" si="7"/>
        <v>1</v>
      </c>
    </row>
    <row r="107" spans="1:12">
      <c r="A107" s="5" t="s">
        <v>131</v>
      </c>
      <c r="B107" s="92"/>
      <c r="C107" s="160">
        <f>IF(ISNA(VLOOKUP("SOM629000000",Balance!C:G,5,FALSE))=TRUE,0,VLOOKUP("SOM629000000",Balance!C:G,5,FALSE))</f>
        <v>0</v>
      </c>
      <c r="D107" s="117">
        <f>+[2]StOmer!$H107</f>
        <v>0</v>
      </c>
      <c r="E107" s="160">
        <f>IF(ISNA(VLOOKUP("som629000000",Balanceanp!C:G,5,FALSE))=TRUE,0,VLOOKUP("som629000000",Balanceanp!C:G,5,FALSE))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753">
        <f>IF(ISNA(VLOOKUP("SOM623300000",Balance!C:G,5,FALSE))=TRUE,0,VLOOKUP("SOM623300000",Balance!C:G,5,FALSE))</f>
        <v>238.18</v>
      </c>
      <c r="D108" s="754">
        <f>+[2]StOmer!$H108</f>
        <v>450</v>
      </c>
      <c r="E108" s="753">
        <f>IF(ISNA(VLOOKUP("som623300000",Balanceanp!C:G,5,FALSE))=TRUE,0,VLOOKUP("som623300000",Balanceanp!C:G,5,FALSE))</f>
        <v>0</v>
      </c>
      <c r="F108" s="979">
        <f>+C108+C108/9*(12-Clients!$I$14)</f>
        <v>317.57333333333338</v>
      </c>
      <c r="G108" s="980">
        <v>450</v>
      </c>
      <c r="H108" s="980"/>
      <c r="I108" s="756">
        <f t="shared" si="12"/>
        <v>0</v>
      </c>
      <c r="J108" s="757">
        <f t="shared" si="12"/>
        <v>0.41699554958434776</v>
      </c>
      <c r="L108" s="17">
        <f t="shared" si="7"/>
        <v>1</v>
      </c>
    </row>
    <row r="109" spans="1:12">
      <c r="A109" s="590" t="s">
        <v>133</v>
      </c>
      <c r="B109" s="591"/>
      <c r="C109" s="753">
        <f>IF(ISNA(VLOOKUP("SOM623700000",Balance!C:G,5,FALSE))=TRUE,0,VLOOKUP("SOM623700000",Balance!C:G,5,FALSE))</f>
        <v>2877.89</v>
      </c>
      <c r="D109" s="754">
        <f>+[2]StOmer!$H109</f>
        <v>10743.5798</v>
      </c>
      <c r="E109" s="753">
        <f>IF(ISNA(VLOOKUP("som623700000",Balanceanp!C:G,5,FALSE))=TRUE,0,VLOOKUP("som623700000",Balanceanp!C:G,5,FALSE))</f>
        <v>7074.0199999999995</v>
      </c>
      <c r="F109" s="979">
        <f>+C109+C109/9*(12-Clients!$I$14)</f>
        <v>3837.1866666666665</v>
      </c>
      <c r="G109" s="980">
        <f t="shared" si="11"/>
        <v>3952.3022666666666</v>
      </c>
      <c r="H109" s="980"/>
      <c r="I109" s="756">
        <f t="shared" si="12"/>
        <v>-0.45756632485253551</v>
      </c>
      <c r="J109" s="757">
        <f t="shared" si="12"/>
        <v>3.0000000000000023E-2</v>
      </c>
      <c r="L109" s="17">
        <f t="shared" si="7"/>
        <v>1</v>
      </c>
    </row>
    <row r="110" spans="1:12">
      <c r="A110" s="590" t="s">
        <v>134</v>
      </c>
      <c r="B110" s="591"/>
      <c r="C110" s="753">
        <f>IF(ISNA(VLOOKUP("SOM623410000",Balance!C:G,5,FALSE))=TRUE,0,VLOOKUP("SOM623410000",Balance!C:G,5,FALSE))+IF(ISNA(VLOOKUP("SOM623420000",Balance!C:G,5,FALSE))=TRUE,0,VLOOKUP("SOM623420000",Balance!C:G,5,FALSE))</f>
        <v>2393.25</v>
      </c>
      <c r="D110" s="754">
        <f>+[2]StOmer!$H110</f>
        <v>3190.94</v>
      </c>
      <c r="E110" s="753">
        <f>IF(ISNA(VLOOKUP("som623410000",Balanceanp!C:G,5,FALSE))=TRUE,0,VLOOKUP("som623410000",Balanceanp!C:G,5,FALSE))+IF(ISNA(VLOOKUP("som623420000",Balanceanp!C:G,5,FALSE))=TRUE,0,VLOOKUP("som623420000",Balanceanp!C:G,5,FALSE))</f>
        <v>209.1</v>
      </c>
      <c r="F110" s="979">
        <f>+C110+C110/9*(12-Clients!$I$14)</f>
        <v>3191</v>
      </c>
      <c r="G110" s="980">
        <f t="shared" si="11"/>
        <v>3286.73</v>
      </c>
      <c r="H110" s="980"/>
      <c r="I110" s="756">
        <f t="shared" si="12"/>
        <v>14.260640841702536</v>
      </c>
      <c r="J110" s="757">
        <f t="shared" si="12"/>
        <v>3.0000000000000006E-2</v>
      </c>
      <c r="L110" s="17">
        <f t="shared" si="7"/>
        <v>1</v>
      </c>
    </row>
    <row r="111" spans="1:12">
      <c r="A111" s="590" t="s">
        <v>135</v>
      </c>
      <c r="B111" s="591"/>
      <c r="C111" s="753">
        <f>IF(ISNA(VLOOKUP("SOM623800000",Balance!C:G,5,FALSE))=TRUE,0,VLOOKUP("SOM623800000",Balance!C:G,5,FALSE))+IF(ISNA(VLOOKUP("SOM623820000",Balance!C:G,5,FALSE))=TRUE,0,VLOOKUP("SOM623820000",Balance!C:G,5,FALSE))</f>
        <v>30</v>
      </c>
      <c r="D111" s="754">
        <f>+[2]StOmer!$H111</f>
        <v>0</v>
      </c>
      <c r="E111" s="753">
        <f>IF(ISNA(VLOOKUP("som623800000",Balanceanp!C:G,5,FALSE))=TRUE,0,VLOOKUP("som623800000",Balanceanp!C:G,5,FALSE))</f>
        <v>30</v>
      </c>
      <c r="F111" s="979">
        <f>+C111+C111/9*(12-Clients!$I$14)</f>
        <v>40</v>
      </c>
      <c r="G111" s="980">
        <f t="shared" si="11"/>
        <v>41.2</v>
      </c>
      <c r="H111" s="980"/>
      <c r="I111" s="756">
        <f t="shared" si="12"/>
        <v>0.33333333333333331</v>
      </c>
      <c r="J111" s="757">
        <f t="shared" si="12"/>
        <v>3.0000000000000072E-2</v>
      </c>
      <c r="L111" s="17">
        <f t="shared" si="7"/>
        <v>1</v>
      </c>
    </row>
    <row r="112" spans="1:12">
      <c r="A112" s="590" t="s">
        <v>136</v>
      </c>
      <c r="B112" s="591"/>
      <c r="C112" s="753">
        <f>IF(ISNA(VLOOKUP("SOM625600000",Balance!C:G,5,FALSE))=TRUE,0,VLOOKUP("SOM625600000",Balance!C:G,5,FALSE))</f>
        <v>19.5</v>
      </c>
      <c r="D112" s="754">
        <f>+[2]StOmer!$H112</f>
        <v>25.986900000000002</v>
      </c>
      <c r="E112" s="753">
        <f>IF(ISNA(VLOOKUP("som625600000",Balanceanp!C:G,5,FALSE))=TRUE,0,VLOOKUP("som625600000",Balanceanp!C:G,5,FALSE))</f>
        <v>25.23</v>
      </c>
      <c r="F112" s="979">
        <f>+C112+C112/9*(12-Clients!$I$14)</f>
        <v>26</v>
      </c>
      <c r="G112" s="980">
        <f t="shared" si="11"/>
        <v>26.78</v>
      </c>
      <c r="H112" s="980"/>
      <c r="I112" s="756">
        <f t="shared" si="12"/>
        <v>3.051922314704715E-2</v>
      </c>
      <c r="J112" s="757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1001">
        <f>IF(ISNA(VLOOKUP("SOM625700000",Balance!C:G,5,FALSE))=TRUE,0,VLOOKUP("SOM625700000",Balance!C:G,5,FALSE))+IF(ISNA(VLOOKUP("SOM625710000",Balance!C:G,5,FALSE))=TRUE,0,VLOOKUP("SOM625710000",Balance!C:G,5,FALSE))</f>
        <v>1781.34</v>
      </c>
      <c r="D113" s="754">
        <f>+[2]StOmer!$H113</f>
        <v>1748.2776000000001</v>
      </c>
      <c r="E113" s="753">
        <f>IF(ISNA(VLOOKUP("som625700000",Balanceanp!C:G,5,FALSE))=TRUE,0,VLOOKUP("som625700000",Balanceanp!C:G,5,FALSE))+IF(ISNA(VLOOKUP("som625710000",Balanceanp!C:G,5,FALSE))=TRUE,0,VLOOKUP("som625710000",Balanceanp!C:G,5,FALSE))</f>
        <v>1569.16</v>
      </c>
      <c r="F113" s="979">
        <v>761.67</v>
      </c>
      <c r="G113" s="980">
        <v>2000</v>
      </c>
      <c r="H113" s="980"/>
      <c r="I113" s="756">
        <f t="shared" si="12"/>
        <v>-0.51460016824288157</v>
      </c>
      <c r="J113" s="757">
        <f t="shared" si="12"/>
        <v>1.6258090774219807</v>
      </c>
      <c r="L113" s="17">
        <f t="shared" si="7"/>
        <v>1</v>
      </c>
    </row>
    <row r="114" spans="1:12">
      <c r="A114" s="590" t="s">
        <v>138</v>
      </c>
      <c r="B114" s="591"/>
      <c r="C114" s="753">
        <f>IF(ISNA(VLOOKUP("SOM623810000",Balance!C:G,5,FALSE))=TRUE,0,VLOOKUP("SOM623810000",Balance!C:G,5,FALSE))</f>
        <v>-2317.5</v>
      </c>
      <c r="D114" s="754">
        <f>+[2]StOmer!$H114</f>
        <v>-3090</v>
      </c>
      <c r="E114" s="753">
        <f>IF(ISNA(VLOOKUP("som623810000",Balanceanp!C:G,5,FALSE))=TRUE,0,VLOOKUP("som623810000",Balanceanp!C:G,5,FALSE))</f>
        <v>-1900</v>
      </c>
      <c r="F114" s="979">
        <f>+C114+C114/9*(12-Clients!$I$14)</f>
        <v>-3090</v>
      </c>
      <c r="G114" s="980">
        <f t="shared" si="11"/>
        <v>-3182.7000000000003</v>
      </c>
      <c r="H114" s="980"/>
      <c r="I114" s="756">
        <f t="shared" si="12"/>
        <v>0.62631578947368416</v>
      </c>
      <c r="J114" s="757">
        <f t="shared" si="12"/>
        <v>3.0000000000000089E-2</v>
      </c>
      <c r="L114" s="17">
        <f t="shared" si="7"/>
        <v>1</v>
      </c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2.4161360956392521E-2</v>
      </c>
      <c r="C116" s="758">
        <f>SUM(C104:C115)</f>
        <v>12223.42</v>
      </c>
      <c r="D116" s="764">
        <f>SUM(D104:D115)</f>
        <v>16837.2968</v>
      </c>
      <c r="E116" s="758">
        <f>SUM(E104:E115)</f>
        <v>12951.57</v>
      </c>
      <c r="F116" s="764">
        <f>SUM(F104:F115)</f>
        <v>14684.443333333329</v>
      </c>
      <c r="G116" s="764">
        <f>SUM(G104:G115)</f>
        <v>13394.714133333331</v>
      </c>
      <c r="H116" s="908">
        <f>+G116/$G$21</f>
        <v>1.6486309281311218E-2</v>
      </c>
      <c r="I116" s="759">
        <f>+IF((E116)=0,,(F116-E116)/E116)</f>
        <v>0.13379639173732061</v>
      </c>
      <c r="J116" s="760">
        <f>+IF((F116)=0,,(G116-F116)/F116)</f>
        <v>-8.782962831640638E-2</v>
      </c>
      <c r="K116" s="136">
        <f>(C116+(C116/3))</f>
        <v>16297.893333333333</v>
      </c>
      <c r="L116" s="17">
        <f t="shared" si="7"/>
        <v>1</v>
      </c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753">
        <f>IF(ISNA(VLOOKUP("SOM633300000",Balance!C:G,5,FALSE))=TRUE,0,VLOOKUP("SOM633300000",Balance!C:G,5,FALSE))</f>
        <v>2154.3200000000002</v>
      </c>
      <c r="D118" s="754">
        <f>+[2]StOmer!$H118</f>
        <v>1119.9999999999998</v>
      </c>
      <c r="E118" s="753">
        <f>IF(ISNA(VLOOKUP("som633300000",Balanceanp!C:G,5,FALSE))=TRUE,0,VLOOKUP("som633300000",Balanceanp!C:G,5,FALSE))</f>
        <v>1483.5</v>
      </c>
      <c r="F118" s="979">
        <f>+C118+C118/9*(12-Clients!$I$14)</f>
        <v>2872.4266666666667</v>
      </c>
      <c r="G118" s="998">
        <f>G131*(0.2+0.5)%</f>
        <v>1002.3719999999998</v>
      </c>
      <c r="H118" s="998"/>
      <c r="I118" s="756">
        <f t="shared" ref="I118:J127" si="13">+IF((E118)=0,,(F118-E118)/E118)</f>
        <v>0.93624985956634088</v>
      </c>
      <c r="J118" s="757">
        <f t="shared" si="13"/>
        <v>-0.6510365219651677</v>
      </c>
      <c r="L118" s="17">
        <f t="shared" si="7"/>
        <v>1</v>
      </c>
    </row>
    <row r="119" spans="1:12">
      <c r="A119" s="590" t="s">
        <v>140</v>
      </c>
      <c r="B119" s="591"/>
      <c r="C119" s="753">
        <f>IF(ISNA(VLOOKUP("SOM633400000",Balance!C:G,5,FALSE))=TRUE,0,VLOOKUP("SOM633400000",Balance!C:G,5,FALSE))</f>
        <v>0</v>
      </c>
      <c r="D119" s="754">
        <f>+[2]StOmer!$H119</f>
        <v>720.00000000000011</v>
      </c>
      <c r="E119" s="753">
        <f>IF(ISNA(VLOOKUP("som633400000",Balanceanp!C:G,5,FALSE))=TRUE,0,VLOOKUP("som633400000",Balanceanp!C:G,5,FALSE))</f>
        <v>776</v>
      </c>
      <c r="F119" s="979">
        <f>+C119+C119/9*(12-Clients!$I$14)</f>
        <v>0</v>
      </c>
      <c r="G119" s="998">
        <f>+G131*0.45%</f>
        <v>644.38200000000006</v>
      </c>
      <c r="H119" s="998"/>
      <c r="I119" s="756">
        <f t="shared" si="13"/>
        <v>-1</v>
      </c>
      <c r="J119" s="757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753">
        <f>IF(ISNA(VLOOKUP("SOM633500000",Balance!C:G,5,FALSE))=TRUE,0,VLOOKUP("SOM633500000",Balance!C:G,5,FALSE))</f>
        <v>0</v>
      </c>
      <c r="D120" s="754">
        <f>+[2]StOmer!$H120</f>
        <v>1248</v>
      </c>
      <c r="E120" s="753">
        <f>IF(ISNA(VLOOKUP("som633500000",Balanceanp!C:G,5,FALSE))=TRUE,0,VLOOKUP("som633500000",Balanceanp!C:G,5,FALSE))</f>
        <v>1173</v>
      </c>
      <c r="F120" s="979">
        <f>+C120+C120/9*(12-Clients!$I$14)</f>
        <v>0</v>
      </c>
      <c r="G120" s="998">
        <f>+G131*(0.6+0.18)%</f>
        <v>1116.9288000000001</v>
      </c>
      <c r="H120" s="998"/>
      <c r="I120" s="756">
        <f t="shared" si="13"/>
        <v>-1</v>
      </c>
      <c r="J120" s="757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753">
        <f>IF(ISNA(VLOOKUP("SOM635110000",Balance!C:G,5,FALSE))=TRUE,0,VLOOKUP("SOM635110000",Balance!C:G,5,FALSE))</f>
        <v>6226.02</v>
      </c>
      <c r="D121" s="754">
        <f>+[2]StOmer!$H121</f>
        <v>8301.3000000000011</v>
      </c>
      <c r="E121" s="753">
        <f>IF(ISNA(VLOOKUP("som635110000",Balanceanp!C:G,5,FALSE))=TRUE,0,VLOOKUP("som635110000",Balanceanp!C:G,5,FALSE))</f>
        <v>0</v>
      </c>
      <c r="F121" s="1002">
        <v>4915</v>
      </c>
      <c r="G121" s="1002">
        <f>+F121*1.05</f>
        <v>5160.75</v>
      </c>
      <c r="H121" s="999"/>
      <c r="I121" s="756">
        <f t="shared" si="13"/>
        <v>0</v>
      </c>
      <c r="J121" s="757">
        <f t="shared" si="13"/>
        <v>0.05</v>
      </c>
      <c r="L121" s="17">
        <f t="shared" si="7"/>
        <v>1</v>
      </c>
    </row>
    <row r="122" spans="1:12">
      <c r="A122" s="590" t="s">
        <v>143</v>
      </c>
      <c r="B122" s="591"/>
      <c r="C122" s="753">
        <f>IF(ISNA(VLOOKUP("SOM635120000",Balance!C:G,5,FALSE))=TRUE,0,VLOOKUP("SOM635120000",Balance!C:G,5,FALSE))</f>
        <v>3882.42</v>
      </c>
      <c r="D122" s="754">
        <f>+[2]StOmer!$H122</f>
        <v>5176.5</v>
      </c>
      <c r="E122" s="753">
        <f>IF(ISNA(VLOOKUP("som635120000",Balanceanp!C:G,5,FALSE))=TRUE,0,VLOOKUP("som635120000",Balanceanp!C:G,5,FALSE))</f>
        <v>4930</v>
      </c>
      <c r="F122" s="996">
        <v>5085</v>
      </c>
      <c r="G122" s="996">
        <f>+F122*1.05</f>
        <v>5339.25</v>
      </c>
      <c r="H122" s="999"/>
      <c r="I122" s="756">
        <f t="shared" si="13"/>
        <v>3.1440162271805273E-2</v>
      </c>
      <c r="J122" s="757">
        <f t="shared" si="13"/>
        <v>0.05</v>
      </c>
      <c r="L122" s="17">
        <f t="shared" si="7"/>
        <v>1</v>
      </c>
    </row>
    <row r="123" spans="1:12">
      <c r="A123" s="590" t="s">
        <v>144</v>
      </c>
      <c r="B123" s="591"/>
      <c r="C123" s="753">
        <f>IF(ISNA(VLOOKUP("SOM635130000",Balance!C:G,5,FALSE))=TRUE,0,VLOOKUP("SOM635130000",Balance!C:G,5,FALSE))</f>
        <v>0</v>
      </c>
      <c r="D123" s="754">
        <f>+[2]StOmer!$H123</f>
        <v>59.245600000000003</v>
      </c>
      <c r="E123" s="753">
        <f>IF(ISNA(VLOOKUP("som635130000",Balanceanp!C:G,5,FALSE))=TRUE,0,VLOOKUP("som635130000",Balanceanp!C:G,5,FALSE))</f>
        <v>57.52</v>
      </c>
      <c r="F123" s="996">
        <f>+E123*1.05</f>
        <v>60.396000000000008</v>
      </c>
      <c r="G123" s="996">
        <f>+F123*1.05</f>
        <v>63.415800000000011</v>
      </c>
      <c r="H123" s="999"/>
      <c r="I123" s="756">
        <f t="shared" si="13"/>
        <v>5.0000000000000079E-2</v>
      </c>
      <c r="J123" s="757">
        <f t="shared" si="13"/>
        <v>5.0000000000000051E-2</v>
      </c>
      <c r="L123" s="17">
        <f t="shared" si="7"/>
        <v>1</v>
      </c>
    </row>
    <row r="124" spans="1:12">
      <c r="A124" s="590" t="s">
        <v>145</v>
      </c>
      <c r="B124" s="591"/>
      <c r="C124" s="753">
        <f>IF(ISNA(VLOOKUP("SOM635140000",Balance!C:G,5,FALSE))=TRUE,0,VLOOKUP("SOM635140000",Balance!C:G,5,FALSE))</f>
        <v>0</v>
      </c>
      <c r="D124" s="754">
        <f>+[2]StOmer!$H124</f>
        <v>0</v>
      </c>
      <c r="E124" s="753">
        <f>IF(ISNA(VLOOKUP("som635140000",Balanceanp!C:G,5,FALSE))=TRUE,0,VLOOKUP("som635140000",Balanceanp!C:G,5,FALSE))</f>
        <v>620</v>
      </c>
      <c r="F124" s="979">
        <f>+C124+C124/9*(12-Clients!$I$14)</f>
        <v>0</v>
      </c>
      <c r="G124" s="999">
        <v>0</v>
      </c>
      <c r="H124" s="999"/>
      <c r="I124" s="756">
        <f t="shared" si="13"/>
        <v>-1</v>
      </c>
      <c r="J124" s="757">
        <f t="shared" si="13"/>
        <v>0</v>
      </c>
      <c r="L124" s="17">
        <f t="shared" si="7"/>
        <v>1</v>
      </c>
    </row>
    <row r="125" spans="1:12">
      <c r="A125" s="5" t="s">
        <v>286</v>
      </c>
      <c r="B125" s="92"/>
      <c r="C125" s="160">
        <f>IF(ISNA(VLOOKUP("SOM635300000",Balance!C:G,5,FALSE))=TRUE,0,VLOOKUP("SOM635300000",Balance!C:G,5,FALSE))</f>
        <v>0</v>
      </c>
      <c r="D125" s="117">
        <f>+[2]StOmer!$H125</f>
        <v>0</v>
      </c>
      <c r="E125" s="160">
        <f>IF(ISNA(VLOOKUP("som635300000",Balanceanp!C:G,5,FALSE))=TRUE,0,VLOOKUP("som635300000",Balanceanp!C:G,5,FALSE))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>
      <c r="A126" s="5" t="s">
        <v>361</v>
      </c>
      <c r="B126" s="92"/>
      <c r="C126" s="160">
        <f>IF(ISNA(VLOOKUP("SOM635400000",Balance!C:G,5,FALSE))=TRUE,0,VLOOKUP("SOM635400000",Balance!C:G,5,FALSE))</f>
        <v>0</v>
      </c>
      <c r="D126" s="117">
        <f>+[2]StOmer!$H126</f>
        <v>0</v>
      </c>
      <c r="E126" s="160">
        <f>IF(ISNA(VLOOKUP("som635400000",Balanceanp!C:G,5,FALSE))=TRUE,0,VLOOKUP("som635400000",Balanceanp!C:G,5,FALSE))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753">
        <f>IF(ISNA(VLOOKUP("SOM637100000",Balance!C:G,5,FALSE))=TRUE,0,VLOOKUP("SOM637100000",Balance!C:G,5,FALSE))</f>
        <v>3055.44</v>
      </c>
      <c r="D127" s="754">
        <f>+[2]StOmer!$H127</f>
        <v>1324.5136</v>
      </c>
      <c r="E127" s="753">
        <f>IF(ISNA(VLOOKUP("som637100000",Balanceanp!C:G,5,FALSE))=TRUE,0,VLOOKUP("som637100000",Balanceanp!C:G,5,FALSE))</f>
        <v>4037.29</v>
      </c>
      <c r="F127" s="979">
        <f>+C127+C127/9*(12-Clients!$I$14)</f>
        <v>4073.92</v>
      </c>
      <c r="G127" s="998">
        <f>+G51*0.16%</f>
        <v>1296.9008000000001</v>
      </c>
      <c r="H127" s="998"/>
      <c r="I127" s="756">
        <f t="shared" si="13"/>
        <v>9.072917724513253E-3</v>
      </c>
      <c r="J127" s="757">
        <f t="shared" si="13"/>
        <v>-0.68165776451182147</v>
      </c>
      <c r="L127" s="17">
        <f t="shared" si="7"/>
        <v>1</v>
      </c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3.0278642098709851E-2</v>
      </c>
      <c r="C129" s="758">
        <f>SUM(C117:C128)</f>
        <v>15318.2</v>
      </c>
      <c r="D129" s="764">
        <f>SUM(D117:D128)</f>
        <v>17949.5592</v>
      </c>
      <c r="E129" s="758">
        <f>SUM(E117:E128)</f>
        <v>13077.310000000001</v>
      </c>
      <c r="F129" s="764">
        <f>SUM(F117:F128)</f>
        <v>17006.742666666665</v>
      </c>
      <c r="G129" s="764">
        <f>SUM(G117:G128)</f>
        <v>14623.999400000001</v>
      </c>
      <c r="H129" s="908">
        <f>+G129/$G$21</f>
        <v>1.7999322317609773E-2</v>
      </c>
      <c r="I129" s="759">
        <f>+IF((E129)=0,,(F129-E129)/E129)</f>
        <v>0.30047713686275412</v>
      </c>
      <c r="J129" s="760">
        <f>+IF((F129)=0,,(G129-F129)/F129)</f>
        <v>-0.14010579882159668</v>
      </c>
      <c r="K129" s="136">
        <f>(C129+(C129/3))</f>
        <v>20424.266666666666</v>
      </c>
      <c r="L129" s="17">
        <f t="shared" si="7"/>
        <v>1</v>
      </c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753">
        <f>IF(ISNA(VLOOKUP("SOM641100000",Balance!C:G,5,FALSE))=TRUE,0,VLOOKUP("SOM641100000",Balance!C:G,5,FALSE))</f>
        <v>109069.86</v>
      </c>
      <c r="D131" s="754">
        <f>+[2]StOmer!$H131</f>
        <v>160000</v>
      </c>
      <c r="E131" s="753">
        <f>IF(ISNA(VLOOKUP("som641100000",Balanceanp!C:G,5,FALSE))=TRUE,0,VLOOKUP("som641100000",Balanceanp!C:G,5,FALSE))+IF(ISNA(VLOOKUP("som641112000",Balanceanp!C:G,5,FALSE))=TRUE,0,VLOOKUP("som641112000",Balanceanp!C:G,5,FALSE))</f>
        <v>183578.44</v>
      </c>
      <c r="F131" s="979">
        <f>+C131+C131/9*(12-Clients!$I$14)</f>
        <v>145426.47999999998</v>
      </c>
      <c r="G131" s="980">
        <v>143196</v>
      </c>
      <c r="H131" s="980"/>
      <c r="I131" s="756">
        <f t="shared" ref="I131:J146" si="14">+IF((E131)=0,,(F131-E131)/E131)</f>
        <v>-0.20782375098077976</v>
      </c>
      <c r="J131" s="757">
        <f t="shared" si="14"/>
        <v>-1.5337509372433285E-2</v>
      </c>
      <c r="L131" s="17">
        <v>1</v>
      </c>
    </row>
    <row r="132" spans="1:12">
      <c r="A132" s="5" t="s">
        <v>149</v>
      </c>
      <c r="B132" s="92"/>
      <c r="C132" s="160">
        <f>+IF(ISNA(VLOOKUP("SOM641112000",Balance!C:G,5,FALSE))=TRUE,0,VLOOKUP("SOM641112000",Balance!C:G,5,FALSE))</f>
        <v>877.09</v>
      </c>
      <c r="D132" s="117">
        <f>+[2]StOmer!$H132</f>
        <v>0</v>
      </c>
      <c r="E132" s="160">
        <f>IF(ISNA(VLOOKUP("som641110000",Balanceanp!C:G,5,FALSE))=TRUE,0,VLOOKUP("som641110000",Balanceanp!C:G,5,FALSE))+IF(ISNA(VLOOKUP("som641112000",Balanceanp!C:G,5,FALSE))=TRUE,0,VLOOKUP("som641112000",Balanceanp!C:G,5,FALSE))</f>
        <v>0</v>
      </c>
      <c r="F132" s="368">
        <f>+C132+C132/9*(12-Clients!$I$14)</f>
        <v>1169.4533333333334</v>
      </c>
      <c r="G132" s="395"/>
      <c r="H132" s="401"/>
      <c r="I132" s="149">
        <f t="shared" si="14"/>
        <v>0</v>
      </c>
      <c r="J132" s="271">
        <f t="shared" si="14"/>
        <v>-1</v>
      </c>
      <c r="L132" s="17">
        <v>0</v>
      </c>
    </row>
    <row r="133" spans="1:12">
      <c r="A133" s="590" t="s">
        <v>150</v>
      </c>
      <c r="B133" s="591"/>
      <c r="C133" s="753">
        <f>IF(ISNA(VLOOKUP("SOM641111000",Balance!C:G,5,FALSE))=TRUE,0,VLOOKUP("SOM641111000",Balance!C:G,5,FALSE))</f>
        <v>10048.73</v>
      </c>
      <c r="D133" s="754">
        <f>+[2]StOmer!$H133</f>
        <v>0</v>
      </c>
      <c r="E133" s="753">
        <f>IF(ISNA(VLOOKUP("som641111000",Balanceanp!C:G,5,FALSE))=TRUE,0,VLOOKUP("som641111000",Balanceanp!C:G,5,FALSE))</f>
        <v>0</v>
      </c>
      <c r="F133" s="979">
        <f>+C133+C133/9*(12-Clients!$I$14)</f>
        <v>13398.306666666665</v>
      </c>
      <c r="G133" s="980"/>
      <c r="H133" s="980"/>
      <c r="I133" s="756">
        <f t="shared" si="14"/>
        <v>0</v>
      </c>
      <c r="J133" s="757">
        <f t="shared" si="14"/>
        <v>-1</v>
      </c>
      <c r="L133" s="17">
        <f t="shared" si="7"/>
        <v>1</v>
      </c>
    </row>
    <row r="134" spans="1:12">
      <c r="A134" s="5" t="s">
        <v>151</v>
      </c>
      <c r="B134" s="92"/>
      <c r="C134" s="160">
        <f>IF(ISNA(VLOOKUP("SOM641200000",Balance!C:G,5,FALSE))=TRUE,0,VLOOKUP("SOM641200000",Balance!C:G,5,FALSE))</f>
        <v>0</v>
      </c>
      <c r="D134" s="117">
        <f>+[2]StOmer!$H134</f>
        <v>0</v>
      </c>
      <c r="E134" s="160">
        <f>IF(ISNA(VLOOKUP("som641200000",Balanceanp!C:G,5,FALSE))=TRUE,0,VLOOKUP("som641200000",Balanceanp!C:G,5,FALSE))</f>
        <v>5795.2000000000007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>
      <c r="A135" s="5" t="s">
        <v>114</v>
      </c>
      <c r="B135" s="92"/>
      <c r="C135" s="160">
        <f>IF(ISNA(VLOOKUP("SOM621100000",Balance!C:G,5,FALSE))=TRUE,0,VLOOKUP("SOM621100000",Balance!C:G,5,FALSE))</f>
        <v>15437.18</v>
      </c>
      <c r="D135" s="117">
        <f>+[2]StOmer!$H135</f>
        <v>0</v>
      </c>
      <c r="E135" s="160">
        <f>IF(ISNA(VLOOKUP("som621100000",Balanceanp!C:G,5,FALSE))=TRUE,0,VLOOKUP("som621100000",Balanceanp!C:G,5,FALSE))</f>
        <v>0</v>
      </c>
      <c r="F135" s="368">
        <f>+C135+C135/9*(12-Clients!$I$14)</f>
        <v>20582.906666666666</v>
      </c>
      <c r="G135" s="395"/>
      <c r="H135" s="401"/>
      <c r="I135" s="149">
        <f t="shared" si="14"/>
        <v>0</v>
      </c>
      <c r="J135" s="271">
        <f t="shared" si="14"/>
        <v>-1</v>
      </c>
      <c r="L135" s="17">
        <v>0</v>
      </c>
    </row>
    <row r="136" spans="1:12">
      <c r="A136" s="5" t="s">
        <v>338</v>
      </c>
      <c r="B136" s="92"/>
      <c r="C136" s="160">
        <f>IF(ISNA(VLOOKUP("SOM621200000",Balance!C:G,5,FALSE))=TRUE,0,VLOOKUP("SOM621200000",Balance!C:G,5,FALSE))</f>
        <v>0</v>
      </c>
      <c r="D136" s="117">
        <f>+[2]StOmer!$H136</f>
        <v>0</v>
      </c>
      <c r="E136" s="160">
        <f>IF(ISNA(VLOOKUP("som621200000",Balanceanp!C:G,5,FALSE))=TRUE,0,VLOOKUP("som621200000",Balanceanp!C:G,5,FALSE))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>
      <c r="A137" s="5" t="s">
        <v>87</v>
      </c>
      <c r="B137" s="92"/>
      <c r="C137" s="160">
        <f>IF(ISNA(VLOOKUP("SOM706100000",Balance!C:G,5,FALSE))=TRUE,0,-VLOOKUP("SOM706100000",Balance!C:G,5,FALSE))</f>
        <v>0</v>
      </c>
      <c r="D137" s="117">
        <f>+[2]StOmer!$H137</f>
        <v>0</v>
      </c>
      <c r="E137" s="160">
        <f>IF(ISNA(VLOOKUP("som706100000",Balanceanp!C:G,5,FALSE))=TRUE,0,-VLOOKUP("som706100000",Balanceanp!C:G,5,FALSE))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>
      <c r="A138" s="5" t="s">
        <v>152</v>
      </c>
      <c r="B138" s="92"/>
      <c r="C138" s="160">
        <f>IF(ISNA(VLOOKUP("SOM641210000",Balance!C:G,5,FALSE))=TRUE,0,VLOOKUP("SOM641210000",Balance!C:G,5,FALSE))</f>
        <v>0</v>
      </c>
      <c r="D138" s="117">
        <f>+[2]StOmer!$H138</f>
        <v>0</v>
      </c>
      <c r="E138" s="160">
        <f>IF(ISNA(VLOOKUP("som641210000",Balanceanp!C:G,5,FALSE))=TRUE,0,VLOOKUP("som641210000",Balanceanp!C:G,5,FALSE))</f>
        <v>1782.4799999999996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>
      <c r="A139" s="5" t="s">
        <v>153</v>
      </c>
      <c r="B139" s="92"/>
      <c r="C139" s="160">
        <f>IF(ISNA(VLOOKUP("SOM641400000",Balance!C:G,5,FALSE))=TRUE,0,VLOOKUP("SOM641400000",Balance!C:G,5,FALSE))</f>
        <v>0</v>
      </c>
      <c r="D139" s="117">
        <f>+[2]StOmer!$H139</f>
        <v>0</v>
      </c>
      <c r="E139" s="160">
        <f>IF(ISNA(VLOOKUP("som641400000",Balanceanp!C:G,5,FALSE))=TRUE,0,VLOOKUP("som641400000",Balanceanp!C:G,5,FALSE))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>
      <c r="A140" s="590" t="s">
        <v>154</v>
      </c>
      <c r="B140" s="591"/>
      <c r="C140" s="753">
        <f>IF(ISNA(VLOOKUP("SOM641600000",Balance!C:G,5,FALSE))=TRUE,0,VLOOKUP("SOM641600000",Balance!C:G,5,FALSE))</f>
        <v>0</v>
      </c>
      <c r="D140" s="754">
        <f>+[2]StOmer!$H140</f>
        <v>0</v>
      </c>
      <c r="E140" s="753">
        <f>IF(ISNA(VLOOKUP("som641600000",Balanceanp!C:G,5,FALSE))=TRUE,0,VLOOKUP("som641600000",Balanceanp!C:G,5,FALSE))</f>
        <v>7753.65</v>
      </c>
      <c r="F140" s="979">
        <f>+C140+C140/9*(12-Clients!$I$14)</f>
        <v>0</v>
      </c>
      <c r="G140" s="980"/>
      <c r="H140" s="980"/>
      <c r="I140" s="756">
        <f t="shared" si="14"/>
        <v>-1</v>
      </c>
      <c r="J140" s="757">
        <f t="shared" si="14"/>
        <v>0</v>
      </c>
      <c r="L140" s="17">
        <f t="shared" si="15"/>
        <v>1</v>
      </c>
    </row>
    <row r="141" spans="1:12">
      <c r="A141" s="590" t="s">
        <v>155</v>
      </c>
      <c r="B141" s="591"/>
      <c r="C141" s="753">
        <f>IF(ISNA(VLOOKUP("SOM645100000",Balance!C:G,5,FALSE))=TRUE,0,VLOOKUP("SOM645100000",Balance!C:G,5,FALSE))</f>
        <v>25275.81</v>
      </c>
      <c r="D141" s="754">
        <f>+[2]StOmer!$H141</f>
        <v>40326.027498515919</v>
      </c>
      <c r="E141" s="753">
        <f>IF(ISNA(VLOOKUP("som645100000",Balanceanp!C:G,5,FALSE))=TRUE,0,VLOOKUP("som645100000",Balanceanp!C:G,5,FALSE))</f>
        <v>45196.72</v>
      </c>
      <c r="F141" s="979">
        <f>+C141+C141/9*(12-Clients!$I$14)</f>
        <v>33701.08</v>
      </c>
      <c r="G141" s="998">
        <f t="shared" ref="G141:G146" si="16">+($G$131/$C$131*C141)*1.01</f>
        <v>33516.031263335259</v>
      </c>
      <c r="H141" s="998"/>
      <c r="I141" s="756">
        <f t="shared" si="14"/>
        <v>-0.25434677560672542</v>
      </c>
      <c r="J141" s="757">
        <f t="shared" si="14"/>
        <v>-5.4908844661578516E-3</v>
      </c>
      <c r="L141" s="17">
        <f t="shared" si="15"/>
        <v>1</v>
      </c>
    </row>
    <row r="142" spans="1:12">
      <c r="A142" s="590" t="s">
        <v>156</v>
      </c>
      <c r="B142" s="591"/>
      <c r="C142" s="753">
        <f>IF(ISNA(VLOOKUP("SOM645200000",Balance!C:G,5,FALSE))=TRUE,0,VLOOKUP("SOM645200000",Balance!C:G,5,FALSE))</f>
        <v>4098.8500000000004</v>
      </c>
      <c r="D142" s="754">
        <f>+[2]StOmer!$H142</f>
        <v>5221.4738794166487</v>
      </c>
      <c r="E142" s="753">
        <f>IF(ISNA(VLOOKUP("som645200000",Balanceanp!C:G,5,FALSE))=TRUE,0,VLOOKUP("som645200000",Balanceanp!C:G,5,FALSE))</f>
        <v>6043.14</v>
      </c>
      <c r="F142" s="979">
        <f>+C142+C142/9*(12-Clients!$I$14)</f>
        <v>5465.1333333333332</v>
      </c>
      <c r="G142" s="998">
        <f t="shared" si="16"/>
        <v>5435.1249176078527</v>
      </c>
      <c r="H142" s="998"/>
      <c r="I142" s="756">
        <f t="shared" si="14"/>
        <v>-9.5646744352549676E-2</v>
      </c>
      <c r="J142" s="757">
        <f t="shared" si="14"/>
        <v>-5.4908844661576755E-3</v>
      </c>
      <c r="L142" s="17">
        <f t="shared" si="15"/>
        <v>1</v>
      </c>
    </row>
    <row r="143" spans="1:12">
      <c r="A143" s="590" t="s">
        <v>157</v>
      </c>
      <c r="B143" s="591"/>
      <c r="C143" s="753">
        <f>IF(ISNA(VLOOKUP("SOM645300000",Balance!C:G,5,FALSE))=TRUE,0,VLOOKUP("SOM645300000",Balance!C:G,5,FALSE))</f>
        <v>7659.68</v>
      </c>
      <c r="D143" s="754">
        <f>+[2]StOmer!$H143</f>
        <v>11382.997742341258</v>
      </c>
      <c r="E143" s="753">
        <f>IF(ISNA(VLOOKUP("som645300000",Balanceanp!C:G,5,FALSE))=TRUE,0,VLOOKUP("som645300000",Balanceanp!C:G,5,FALSE))</f>
        <v>12814.25</v>
      </c>
      <c r="F143" s="979">
        <f>+C143+C143/9*(12-Clients!$I$14)</f>
        <v>10212.906666666668</v>
      </c>
      <c r="G143" s="998">
        <f t="shared" si="16"/>
        <v>10156.828776096347</v>
      </c>
      <c r="H143" s="998"/>
      <c r="I143" s="756">
        <f t="shared" si="14"/>
        <v>-0.20300394742831865</v>
      </c>
      <c r="J143" s="757">
        <f t="shared" si="14"/>
        <v>-5.4908844661579487E-3</v>
      </c>
      <c r="L143" s="17">
        <f t="shared" si="15"/>
        <v>1</v>
      </c>
    </row>
    <row r="144" spans="1:12">
      <c r="A144" s="5" t="s">
        <v>326</v>
      </c>
      <c r="B144" s="92"/>
      <c r="C144" s="160">
        <f>IF(ISNA(VLOOKUP("SOM645310000",Balance!C:G,5,FALSE))=TRUE,0,VLOOKUP("SOM645310000",Balance!C:G,5,FALSE))</f>
        <v>0</v>
      </c>
      <c r="D144" s="117">
        <f>+[2]StOmer!$H144</f>
        <v>0</v>
      </c>
      <c r="E144" s="160">
        <f>IF(ISNA(VLOOKUP("som645310000",Balanceanp!C:G,5,FALSE))=TRUE,0,VLOOKUP("som645310000",Balanceanp!C:G,5,FALSE))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753">
        <f>IF(ISNA(VLOOKUP("SOM645400000",Balance!C:G,5,FALSE))=TRUE,0,VLOOKUP("SOM645400000",Balance!C:G,5,FALSE))</f>
        <v>4399.25</v>
      </c>
      <c r="D145" s="754">
        <f>+[2]StOmer!$H145</f>
        <v>6419.6445055760751</v>
      </c>
      <c r="E145" s="753">
        <f>IF(ISNA(VLOOKUP("som645400000",Balanceanp!C:G,5,FALSE))=TRUE,0,VLOOKUP("som645400000",Balanceanp!C:G,5,FALSE))</f>
        <v>7306.4500000000007</v>
      </c>
      <c r="F145" s="979">
        <f>+C145+C145/9*(12-Clients!$I$14)</f>
        <v>5865.6666666666661</v>
      </c>
      <c r="G145" s="998">
        <f t="shared" si="16"/>
        <v>5833.4589686830068</v>
      </c>
      <c r="H145" s="998"/>
      <c r="I145" s="756">
        <f t="shared" si="14"/>
        <v>-0.19719334743046685</v>
      </c>
      <c r="J145" s="757">
        <f t="shared" si="14"/>
        <v>-5.490884466157744E-3</v>
      </c>
      <c r="L145" s="17">
        <f t="shared" si="15"/>
        <v>1</v>
      </c>
    </row>
    <row r="146" spans="1:12">
      <c r="A146" s="5" t="s">
        <v>159</v>
      </c>
      <c r="B146" s="92"/>
      <c r="C146" s="160">
        <f>IF(ISNA(VLOOKUP("SOM645800000",Balance!C:G,5,FALSE))=TRUE,0,VLOOKUP("SOM645800000",Balance!C:G,5,FALSE))</f>
        <v>0</v>
      </c>
      <c r="D146" s="117">
        <f>+[2]StOmer!$H146</f>
        <v>0</v>
      </c>
      <c r="E146" s="160">
        <f>IF(ISNA(VLOOKUP("som645800000",Balanceanp!C:G,5,FALSE))=TRUE,0,VLOOKUP("som645800000",Balanceanp!C:G,5,FALSE))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753">
        <f>IF(ISNA(VLOOKUP("SOM645900000",Balance!C:G,5,FALSE))=TRUE,0,VLOOKUP("SOM645900000",Balance!C:G,5,FALSE))</f>
        <v>599.46</v>
      </c>
      <c r="D147" s="754">
        <f>+[2]StOmer!$H147</f>
        <v>0</v>
      </c>
      <c r="E147" s="753">
        <f>IF(ISNA(VLOOKUP("som645900000",Balanceanp!C:G,5,FALSE))=TRUE,0,VLOOKUP("som645900000",Balanceanp!C:G,5,FALSE))</f>
        <v>0</v>
      </c>
      <c r="F147" s="979">
        <f>+C147+C147/9*(12-Clients!$I$14)</f>
        <v>799.28</v>
      </c>
      <c r="G147" s="998">
        <f>+F147*1.03</f>
        <v>823.25839999999994</v>
      </c>
      <c r="H147" s="998"/>
      <c r="I147" s="756">
        <f t="shared" ref="I147:J152" si="17">+IF((E147)=0,,(F147-E147)/E147)</f>
        <v>0</v>
      </c>
      <c r="J147" s="757">
        <f t="shared" si="17"/>
        <v>2.9999999999999957E-2</v>
      </c>
      <c r="L147" s="17">
        <f t="shared" si="15"/>
        <v>1</v>
      </c>
    </row>
    <row r="148" spans="1:12">
      <c r="A148" s="590" t="s">
        <v>161</v>
      </c>
      <c r="B148" s="591"/>
      <c r="C148" s="753">
        <f>IF(ISNA(VLOOKUP("SOM647100000",Balance!C:G,5,FALSE))=TRUE,0,VLOOKUP("SOM647100000",Balance!C:G,5,FALSE))</f>
        <v>0</v>
      </c>
      <c r="D148" s="754">
        <f>+[2]StOmer!$H148</f>
        <v>0</v>
      </c>
      <c r="E148" s="753">
        <f>IF(ISNA(VLOOKUP("som647100000",Balanceanp!C:G,5,FALSE))=TRUE,0,VLOOKUP("som647100000",Balanceanp!C:G,5,FALSE))</f>
        <v>39.6</v>
      </c>
      <c r="F148" s="979">
        <f>+C148+C148/9*(12-Clients!$I$14)</f>
        <v>0</v>
      </c>
      <c r="G148" s="998">
        <f>+F148*1.03</f>
        <v>0</v>
      </c>
      <c r="H148" s="998"/>
      <c r="I148" s="756">
        <f t="shared" si="17"/>
        <v>-1</v>
      </c>
      <c r="J148" s="757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753">
        <f>IF(ISNA(VLOOKUP("SOM647400000",Balance!C:G,5,FALSE))=TRUE,0,VLOOKUP("SOM647400000",Balance!C:G,5,FALSE))</f>
        <v>0</v>
      </c>
      <c r="D149" s="754">
        <f>+[2]StOmer!$H149</f>
        <v>0</v>
      </c>
      <c r="E149" s="753">
        <f>IF(ISNA(VLOOKUP("som647400000",Balanceanp!C:G,5,FALSE))=TRUE,0,VLOOKUP("som647400000",Balanceanp!C:G,5,FALSE))</f>
        <v>61.61</v>
      </c>
      <c r="F149" s="979">
        <f>+C149+C149/9*(12-Clients!$I$14)</f>
        <v>0</v>
      </c>
      <c r="G149" s="998">
        <f>+F149*1.03</f>
        <v>0</v>
      </c>
      <c r="H149" s="998"/>
      <c r="I149" s="756">
        <f t="shared" si="17"/>
        <v>-1</v>
      </c>
      <c r="J149" s="757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753">
        <f>IF(ISNA(VLOOKUP("SOM647500000",Balance!C:G,5,FALSE))=TRUE,0,VLOOKUP("SOM647500000",Balance!C:G,5,FALSE))</f>
        <v>560.17999999999995</v>
      </c>
      <c r="D150" s="754">
        <f>+[2]StOmer!$H150</f>
        <v>662.0222</v>
      </c>
      <c r="E150" s="753">
        <f>IF(ISNA(VLOOKUP("som647500000",Balanceanp!C:G,5,FALSE))=TRUE,0,VLOOKUP("som647500000",Balanceanp!C:G,5,FALSE))</f>
        <v>642.74</v>
      </c>
      <c r="F150" s="979">
        <f>+C150+C150/9*(12-Clients!$I$14)</f>
        <v>746.90666666666664</v>
      </c>
      <c r="G150" s="998">
        <f>+F150*1.03</f>
        <v>769.31386666666663</v>
      </c>
      <c r="H150" s="998"/>
      <c r="I150" s="756">
        <f t="shared" si="17"/>
        <v>0.1620665691674186</v>
      </c>
      <c r="J150" s="757">
        <f t="shared" si="17"/>
        <v>2.9999999999999985E-2</v>
      </c>
      <c r="L150" s="17">
        <f t="shared" si="15"/>
        <v>1</v>
      </c>
    </row>
    <row r="151" spans="1:12">
      <c r="A151" s="5" t="s">
        <v>570</v>
      </c>
      <c r="B151" s="92"/>
      <c r="C151" s="160"/>
      <c r="D151" s="117">
        <f>+[2]StOmer!$H151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753">
        <f>IF(ISNA(VLOOKUP("SOM648000000",Balance!C:G,5,FALSE))=TRUE,0,VLOOKUP("SOM648000000",Balance!C:G,5,FALSE))</f>
        <v>0</v>
      </c>
      <c r="D152" s="754">
        <f>+[2]StOmer!$H152</f>
        <v>0</v>
      </c>
      <c r="E152" s="753">
        <f>IF(ISNA(VLOOKUP("som648000000",Balanceanp!C:G,5,FALSE))=TRUE,0,VLOOKUP("som648000000",Balanceanp!C:G,5,FALSE))</f>
        <v>2463.0395200000003</v>
      </c>
      <c r="F152" s="979">
        <f>+C152+C152/9*(12-Clients!$I$14)</f>
        <v>0</v>
      </c>
      <c r="G152" s="998">
        <f>+F152*1.03</f>
        <v>0</v>
      </c>
      <c r="H152" s="998">
        <f>SUM(G141:G152)</f>
        <v>56534.016192389128</v>
      </c>
      <c r="I152" s="756">
        <f t="shared" si="17"/>
        <v>-1</v>
      </c>
      <c r="J152" s="757">
        <f t="shared" si="17"/>
        <v>0</v>
      </c>
      <c r="L152" s="17">
        <f t="shared" si="15"/>
        <v>1</v>
      </c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0.35189436509137545</v>
      </c>
      <c r="C154" s="758">
        <f>SUM(C130:C153)</f>
        <v>178026.08999999997</v>
      </c>
      <c r="D154" s="764">
        <f>SUM(D130:D153)</f>
        <v>224012.16582584989</v>
      </c>
      <c r="E154" s="758">
        <f>SUM(E130:E153)</f>
        <v>273477.31951999996</v>
      </c>
      <c r="F154" s="764">
        <f>SUM(F130:F153)</f>
        <v>237368.12000000002</v>
      </c>
      <c r="G154" s="764">
        <f>SUM(G130:G153)</f>
        <v>199730.0161923891</v>
      </c>
      <c r="H154" s="908">
        <f>+G154/$G$21</f>
        <v>0.24582912236362855</v>
      </c>
      <c r="I154" s="759">
        <f>+IF((E154)=0,,(F154-E154)/E154)</f>
        <v>-0.13203727308494112</v>
      </c>
      <c r="J154" s="760">
        <f>+IF((F154)=0,,(G154-F154)/F154)</f>
        <v>-0.15856427479650984</v>
      </c>
      <c r="K154" s="136">
        <f>(C154+(C154/3))</f>
        <v>237368.11999999997</v>
      </c>
      <c r="L154" s="17">
        <f t="shared" si="15"/>
        <v>1</v>
      </c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0.25819999999999999</v>
      </c>
      <c r="C156" s="753">
        <f>IF(ISNA(VLOOKUP("SOM681740000",Balance!C:G,5,FALSE))=TRUE,0,VLOOKUP("SOM681740000",Balance!C:G,5,FALSE))</f>
        <v>634.25</v>
      </c>
      <c r="D156" s="754">
        <f>+[2]StOmer!$H156</f>
        <v>2536.9929425400001</v>
      </c>
      <c r="E156" s="753">
        <f>IF(ISNA(VLOOKUP("som681740000",Balanceanp!C:G,5,FALSE))=TRUE,0,VLOOKUP("som681740000",Balanceanp!C:G,5,FALSE))</f>
        <v>65.989999999999995</v>
      </c>
      <c r="F156" s="979">
        <f>+C156+C156/9*(12-Clients!$I$14)</f>
        <v>845.66666666666674</v>
      </c>
      <c r="G156" s="1002">
        <f>+G21*B156*1.62%</f>
        <v>3398.4529290000005</v>
      </c>
      <c r="H156" s="1003"/>
      <c r="I156" s="756">
        <f t="shared" ref="I156:J166" si="18">+IF((E156)=0,,(F156-E156)/E156)</f>
        <v>11.815072990857203</v>
      </c>
      <c r="J156" s="757">
        <f t="shared" si="18"/>
        <v>3.018667239653134</v>
      </c>
      <c r="L156" s="17">
        <f t="shared" si="15"/>
        <v>1</v>
      </c>
    </row>
    <row r="157" spans="1:12">
      <c r="A157" s="5" t="s">
        <v>165</v>
      </c>
      <c r="B157" s="92"/>
      <c r="C157" s="160">
        <f>IF(ISNA(VLOOKUP("SOM781740000",Balance!C:G,5,FALSE))=TRUE,0,VLOOKUP("SOM781740000",Balance!C:G,5,FALSE))</f>
        <v>0</v>
      </c>
      <c r="D157" s="117">
        <f>+[2]StOmer!$H157</f>
        <v>0</v>
      </c>
      <c r="E157" s="160">
        <f>IF(ISNA(VLOOKUP("som781740000",Balanceanp!C:G,5,FALSE))=TRUE,0,VLOOKUP("som781740000",Balanceanp!C:G,5,FALSE))</f>
        <v>0</v>
      </c>
      <c r="F157" s="368">
        <f>+C157+C157/9*(12-Clients!$I$14)</f>
        <v>0</v>
      </c>
      <c r="G157" s="396">
        <v>0</v>
      </c>
      <c r="H157" s="409"/>
      <c r="I157" s="149">
        <f t="shared" si="18"/>
        <v>0</v>
      </c>
      <c r="J157" s="271">
        <f t="shared" si="18"/>
        <v>0</v>
      </c>
      <c r="L157" s="17">
        <f t="shared" si="15"/>
        <v>0</v>
      </c>
    </row>
    <row r="158" spans="1:12">
      <c r="A158" s="5" t="s">
        <v>166</v>
      </c>
      <c r="B158" s="92"/>
      <c r="C158" s="160">
        <f>IF(ISNA(VLOOKUP("SOM654400000",Balance!C:G,5,FALSE))=TRUE,0,VLOOKUP("SOM654400000",Balance!C:G,5,FALSE))</f>
        <v>0</v>
      </c>
      <c r="D158" s="117">
        <f>+[2]StOmer!$H158</f>
        <v>0</v>
      </c>
      <c r="E158" s="160">
        <f>IF(ISNA(VLOOKUP("som654400000",Balanceanp!C:G,5,FALSE))=TRUE,0,VLOOKUP("som654400000",Balanceanp!C:G,5,FALSE))</f>
        <v>0</v>
      </c>
      <c r="F158" s="368">
        <f>+C158+C158/9*(12-Clients!$I$14)</f>
        <v>0</v>
      </c>
      <c r="G158" s="396">
        <v>0</v>
      </c>
      <c r="H158" s="409"/>
      <c r="I158" s="149">
        <f t="shared" si="18"/>
        <v>0</v>
      </c>
      <c r="J158" s="271">
        <f t="shared" si="18"/>
        <v>0</v>
      </c>
      <c r="L158" s="17">
        <f t="shared" si="15"/>
        <v>0</v>
      </c>
    </row>
    <row r="159" spans="1:12">
      <c r="A159" s="5" t="s">
        <v>60</v>
      </c>
      <c r="B159" s="92"/>
      <c r="C159" s="160">
        <f>IF(ISNA(VLOOKUP("SOM791100000",Balance!C:G,5,FALSE))=TRUE,0,VLOOKUP("SOM791100000",Balance!C:G,5,FALSE))</f>
        <v>0</v>
      </c>
      <c r="D159" s="117">
        <f>+[2]StOmer!$H159</f>
        <v>0</v>
      </c>
      <c r="E159" s="160">
        <f>IF(ISNA(VLOOKUP("som791100000",Balanceanp!C:G,5,FALSE))=TRUE,0,VLOOKUP("som791100000",Balanceanp!C:G,5,FALSE))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8"/>
        <v>0</v>
      </c>
      <c r="J159" s="271">
        <f t="shared" si="18"/>
        <v>0</v>
      </c>
      <c r="L159" s="17">
        <f t="shared" si="15"/>
        <v>0</v>
      </c>
    </row>
    <row r="160" spans="1:12">
      <c r="A160" s="590" t="s">
        <v>199</v>
      </c>
      <c r="B160" s="591"/>
      <c r="C160" s="753">
        <f>IF(ISNA(VLOOKUP("SOM654100000",Balance!C:G,5,FALSE))=TRUE,0,VLOOKUP("SOM654100000",Balance!C:G,5,FALSE))</f>
        <v>-0.55999999999999872</v>
      </c>
      <c r="D160" s="754">
        <f>+[2]StOmer!$H160</f>
        <v>0</v>
      </c>
      <c r="E160" s="753">
        <f>IF(ISNA(VLOOKUP("som654100000",Balanceanp!C:G,5,FALSE))=TRUE,0,VLOOKUP("som654100000",Balanceanp!C:G,5,FALSE))</f>
        <v>16.149999999999999</v>
      </c>
      <c r="F160" s="979">
        <f>+C160+C160/9*(12-Clients!$I$14)</f>
        <v>-0.74666666666666504</v>
      </c>
      <c r="G160" s="998">
        <v>0</v>
      </c>
      <c r="H160" s="998"/>
      <c r="I160" s="756">
        <f t="shared" si="18"/>
        <v>-1.0462332301341588</v>
      </c>
      <c r="J160" s="757">
        <f t="shared" si="18"/>
        <v>-1</v>
      </c>
      <c r="L160" s="17">
        <f t="shared" si="15"/>
        <v>1</v>
      </c>
    </row>
    <row r="161" spans="1:12">
      <c r="A161" s="5" t="s">
        <v>41</v>
      </c>
      <c r="B161" s="92"/>
      <c r="C161" s="160">
        <f>IF(ISNA(VLOOKUP("SOM622700000",Balance!C:G,5,FALSE))=TRUE,0,VLOOKUP("SOM622700000",Balance!C:G,5,FALSE))</f>
        <v>0</v>
      </c>
      <c r="D161" s="117">
        <f>+[2]StOmer!$H161</f>
        <v>0</v>
      </c>
      <c r="E161" s="160">
        <f>IF(ISNA(VLOOKUP("som622700000",Balanceanp!C:G,5,FALSE))=TRUE,0,VLOOKUP("som622700000",Balanceanp!C:G,5,FALSE))</f>
        <v>0</v>
      </c>
      <c r="F161" s="368">
        <f>+C161+C161/9*(12-Clients!$I$14)</f>
        <v>0</v>
      </c>
      <c r="G161" s="396">
        <f t="shared" ref="G161:G166" si="19">+F161*1.03</f>
        <v>0</v>
      </c>
      <c r="H161" s="409"/>
      <c r="I161" s="149">
        <f t="shared" si="18"/>
        <v>0</v>
      </c>
      <c r="J161" s="271">
        <f t="shared" si="18"/>
        <v>0</v>
      </c>
      <c r="L161" s="17">
        <f t="shared" si="15"/>
        <v>0</v>
      </c>
    </row>
    <row r="162" spans="1:12">
      <c r="A162" s="590" t="s">
        <v>355</v>
      </c>
      <c r="B162" s="591"/>
      <c r="C162" s="753">
        <f>IF(ISNA(VLOOKUP("SOM654200000",Balance!C:G,5,FALSE))=TRUE,0,VLOOKUP("SOM654200000",Balance!C:G,5,FALSE))</f>
        <v>3.59</v>
      </c>
      <c r="D162" s="754">
        <f>+[2]StOmer!$H162</f>
        <v>-9.2700000000000005E-2</v>
      </c>
      <c r="E162" s="753">
        <f>IF(ISNA(VLOOKUP("som654200000",Balanceanp!C:G,5,FALSE))=TRUE,0,VLOOKUP("som654200000",Balanceanp!C:G,5,FALSE))</f>
        <v>-0.09</v>
      </c>
      <c r="F162" s="979">
        <f>+C162+C162/9*(12-Clients!$I$14)</f>
        <v>4.7866666666666662</v>
      </c>
      <c r="G162" s="998">
        <f t="shared" si="19"/>
        <v>4.9302666666666664</v>
      </c>
      <c r="H162" s="998"/>
      <c r="I162" s="756">
        <f t="shared" si="18"/>
        <v>-54.185185185185183</v>
      </c>
      <c r="J162" s="757">
        <f t="shared" si="18"/>
        <v>3.0000000000000041E-2</v>
      </c>
      <c r="L162" s="17">
        <f t="shared" si="15"/>
        <v>1</v>
      </c>
    </row>
    <row r="163" spans="1:12">
      <c r="A163" s="590" t="s">
        <v>200</v>
      </c>
      <c r="B163" s="591"/>
      <c r="C163" s="753">
        <f>IF(ISNA(VLOOKUP("SOM665000000",Balance!C:G,5,FALSE))=TRUE,0,VLOOKUP("SOM665000000",Balance!C:G,5,FALSE))+IF(ISNA(VLOOKUP("SOM665100000",Balance!C:G,5,FALSE))=TRUE,0,VLOOKUP("SOM665100000",Balance!C:G,5,FALSE))</f>
        <v>22.17</v>
      </c>
      <c r="D163" s="754">
        <f>+[2]StOmer!$H163</f>
        <v>0</v>
      </c>
      <c r="E163" s="753">
        <f>IF(ISNA(VLOOKUP("som665000000",Balanceanp!C:G,5,FALSE))=TRUE,0,VLOOKUP("som665000000",Balanceanp!C:G,5,FALSE))+IF(ISNA(VLOOKUP("som665100000",Balanceanp!C:G,5,FALSE))=TRUE,0,VLOOKUP("som665100000",Balanceanp!C:G,5,FALSE))</f>
        <v>0</v>
      </c>
      <c r="F163" s="979">
        <f>+C163+C163/9*(12-Clients!$I$14)</f>
        <v>29.560000000000002</v>
      </c>
      <c r="G163" s="998">
        <f t="shared" si="19"/>
        <v>30.446800000000003</v>
      </c>
      <c r="H163" s="998"/>
      <c r="I163" s="756">
        <f t="shared" si="18"/>
        <v>0</v>
      </c>
      <c r="J163" s="757">
        <f t="shared" si="18"/>
        <v>3.000000000000003E-2</v>
      </c>
      <c r="L163" s="17">
        <f t="shared" si="15"/>
        <v>1</v>
      </c>
    </row>
    <row r="164" spans="1:12">
      <c r="A164" s="5" t="s">
        <v>271</v>
      </c>
      <c r="B164" s="92"/>
      <c r="C164" s="160">
        <f>IF(ISNA(VLOOKUP("SOM763000000",Balance!C:G,5,FALSE))=TRUE,0,VLOOKUP("SOM763000000",Balance!C:G,5,FALSE))</f>
        <v>0</v>
      </c>
      <c r="D164" s="117">
        <f>+[2]StOmer!$H164</f>
        <v>0</v>
      </c>
      <c r="E164" s="160">
        <f>IF(ISNA(VLOOKUP("som763000000",Balanceanp!C:G,5,FALSE))=TRUE,0,VLOOKUP("som763000000",Balanceanp!C:G,5,FALSE))</f>
        <v>0</v>
      </c>
      <c r="F164" s="368">
        <f>+C164+C164/9*(12-Clients!$I$14)</f>
        <v>0</v>
      </c>
      <c r="G164" s="396">
        <f t="shared" si="19"/>
        <v>0</v>
      </c>
      <c r="H164" s="409"/>
      <c r="I164" s="149">
        <f t="shared" si="18"/>
        <v>0</v>
      </c>
      <c r="J164" s="271">
        <f t="shared" si="18"/>
        <v>0</v>
      </c>
      <c r="L164" s="17">
        <f t="shared" si="15"/>
        <v>0</v>
      </c>
    </row>
    <row r="165" spans="1:12">
      <c r="A165" s="590" t="s">
        <v>242</v>
      </c>
      <c r="B165" s="591"/>
      <c r="C165" s="753">
        <f>IF(ISNA(VLOOKUP("SOM627520000",Balance!C:G,5,FALSE))=TRUE,0,VLOOKUP("SOM627520000",Balance!C:G,5,FALSE))</f>
        <v>45</v>
      </c>
      <c r="D165" s="754">
        <f>+[2]StOmer!$H165</f>
        <v>0</v>
      </c>
      <c r="E165" s="753">
        <f>IF(ISNA(VLOOKUP("som627520000",Balanceanp!C:G,5,FALSE))=TRUE,0,VLOOKUP("som627520000",Balanceanp!C:G,5,FALSE))</f>
        <v>0</v>
      </c>
      <c r="F165" s="979">
        <f>+C165+C165/9*(12-Clients!$I$14)</f>
        <v>60</v>
      </c>
      <c r="G165" s="998">
        <f t="shared" si="19"/>
        <v>61.800000000000004</v>
      </c>
      <c r="H165" s="998"/>
      <c r="I165" s="756">
        <f t="shared" si="18"/>
        <v>0</v>
      </c>
      <c r="J165" s="757">
        <f t="shared" si="18"/>
        <v>3.0000000000000072E-2</v>
      </c>
      <c r="L165" s="17">
        <f t="shared" si="15"/>
        <v>1</v>
      </c>
    </row>
    <row r="166" spans="1:12">
      <c r="A166" s="5" t="s">
        <v>201</v>
      </c>
      <c r="B166" s="92"/>
      <c r="C166" s="160">
        <f>IF(ISNA(VLOOKUP("SOM763100000",Balance!C:G,5,FALSE))=TRUE,0,VLOOKUP("SOM763100000",Balance!C:G,5,FALSE))</f>
        <v>0</v>
      </c>
      <c r="D166" s="117">
        <f>+[2]StOmer!$H166</f>
        <v>0</v>
      </c>
      <c r="E166" s="160">
        <f>IF(ISNA(VLOOKUP("som763100000",Balanceanp!C:G,5,FALSE))=TRUE,0,VLOOKUP("som763100000",Balanceanp!C:G,5,FALSE))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1.3924475086130325E-3</v>
      </c>
      <c r="C168" s="758">
        <f>SUM(C155:C167)</f>
        <v>704.45</v>
      </c>
      <c r="D168" s="764">
        <f>SUM(D155:D167)</f>
        <v>2536.9002425399999</v>
      </c>
      <c r="E168" s="758">
        <f>SUM(E155:E167)</f>
        <v>82.049999999999983</v>
      </c>
      <c r="F168" s="764">
        <f>SUM(F155:F167)</f>
        <v>939.26666666666665</v>
      </c>
      <c r="G168" s="764">
        <f>SUM(G155:G167)</f>
        <v>3495.6299956666676</v>
      </c>
      <c r="H168" s="908">
        <f>+G168/$G$21</f>
        <v>4.3024462237812458E-3</v>
      </c>
      <c r="I168" s="759">
        <f>+IF((E168)=0,,(F168-E168)/E168)</f>
        <v>10.447491367052613</v>
      </c>
      <c r="J168" s="760">
        <f>+IF((F168)=0,,(G168-F168)/F168)</f>
        <v>2.7216587362481377</v>
      </c>
      <c r="K168" s="136">
        <f>(C168+(C168/3))</f>
        <v>939.26666666666677</v>
      </c>
      <c r="L168" s="17">
        <f t="shared" si="15"/>
        <v>1</v>
      </c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>
      <c r="A170" s="5" t="s">
        <v>167</v>
      </c>
      <c r="B170" s="92"/>
      <c r="C170" s="160">
        <f>IF(ISNA(VLOOKUP("SOM651100000",Balance!C:G,5,FALSE))=TRUE,0,VLOOKUP("SOM651100000",Balance!C:G,5,FALSE))</f>
        <v>0</v>
      </c>
      <c r="D170" s="117">
        <f>+[2]StOmer!$H170</f>
        <v>0</v>
      </c>
      <c r="E170" s="160">
        <f>IF(ISNA(VLOOKUP("som651100000",Balanceanp!C:G,5,FALSE))=TRUE,0,VLOOKUP("som651100000",Balanceanp!C:G,5,FALSE))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>
      <c r="A171" s="5" t="s">
        <v>168</v>
      </c>
      <c r="B171" s="92"/>
      <c r="C171" s="160">
        <f>IF(ISNA(VLOOKUP("SOM651600000",Balance!C:G,5,FALSE))=TRUE,0,VLOOKUP("SOM651600000",Balance!C:G,5,FALSE))</f>
        <v>0</v>
      </c>
      <c r="D171" s="117">
        <f>+[2]StOmer!$H171</f>
        <v>0</v>
      </c>
      <c r="E171" s="160">
        <f>IF(ISNA(VLOOKUP("som651600000",Balanceanp!C:G,5,FALSE))=TRUE,0,VLOOKUP("som651600000",Balanceanp!C:G,5,FALSE))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>
      <c r="A172" s="5" t="s">
        <v>169</v>
      </c>
      <c r="B172" s="92"/>
      <c r="C172" s="160">
        <f>IF(ISNA(VLOOKUP("SOM671200000",Balance!C:G,5,FALSE))=TRUE,0,VLOOKUP("SOM671200000",Balance!C:G,5,FALSE))</f>
        <v>0</v>
      </c>
      <c r="D172" s="117">
        <f>+[2]StOmer!$H172</f>
        <v>0</v>
      </c>
      <c r="E172" s="160">
        <f>IF(ISNA(VLOOKUP("som671200000",Balanceanp!C:G,5,FALSE))=TRUE,0,VLOOKUP("som671200000",Balanceanp!C:G,5,FALSE))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753">
        <f>IF(ISNA(VLOOKUP("SOM671800000",Balance!C:G,5,FALSE))=TRUE,0,VLOOKUP("SOM671800000",Balance!C:G,5,FALSE))</f>
        <v>1731.89</v>
      </c>
      <c r="D173" s="754">
        <f>+[2]StOmer!$H173</f>
        <v>495.19052499999998</v>
      </c>
      <c r="E173" s="753">
        <f>IF(ISNA(VLOOKUP("som671800000",Balanceanp!C:G,5,FALSE))=TRUE,0,VLOOKUP("som671800000",Balanceanp!C:G,5,FALSE))+IF(ISNA(VLOOKUP("som658000000",Balanceanp!C:G,5,FALSE))=TRUE,0,VLOOKUP("som658000000",Balanceanp!C:G,5,FALSE))</f>
        <v>92.8</v>
      </c>
      <c r="F173" s="979">
        <f>+C173+C173/9*(12-Clients!$I$14)</f>
        <v>2309.186666666667</v>
      </c>
      <c r="G173" s="998">
        <f t="shared" si="20"/>
        <v>2378.4622666666669</v>
      </c>
      <c r="H173" s="998"/>
      <c r="I173" s="756">
        <f t="shared" si="21"/>
        <v>23.883477011494254</v>
      </c>
      <c r="J173" s="757">
        <f t="shared" si="21"/>
        <v>2.9999999999999971E-2</v>
      </c>
      <c r="L173" s="17">
        <f t="shared" si="15"/>
        <v>1</v>
      </c>
    </row>
    <row r="174" spans="1:12">
      <c r="A174" s="5" t="s">
        <v>171</v>
      </c>
      <c r="B174" s="92"/>
      <c r="C174" s="160">
        <f>IF(ISNA(VLOOKUP("SOM672000000",Balance!C:G,5,FALSE))=TRUE,0,VLOOKUP("SOM672000000",Balance!C:G,5,FALSE))</f>
        <v>0</v>
      </c>
      <c r="D174" s="117">
        <f>+[2]StOmer!$H174</f>
        <v>0</v>
      </c>
      <c r="E174" s="160">
        <f>IF(ISNA(VLOOKUP("som672000000",Balanceanp!C:G,5,FALSE))=TRUE,0,VLOOKUP("som672000000",Balanceanp!C:G,5,FALSE))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>
      <c r="A175" s="5" t="s">
        <v>308</v>
      </c>
      <c r="B175" s="92"/>
      <c r="C175" s="160">
        <f>IF(ISNA(VLOOKUP("SOM691100000",Balance!C:G,5,FALSE))=TRUE,0,VLOOKUP("SOM691100000",Balance!C:G,5,FALSE))</f>
        <v>0</v>
      </c>
      <c r="D175" s="117">
        <f>+[2]StOmer!$H175</f>
        <v>0</v>
      </c>
      <c r="E175" s="160">
        <f>IF(ISNA(VLOOKUP("som691100000",Balanceanp!C:G,5,FALSE))=TRUE,0,VLOOKUP("som691100000",Balanceanp!C:G,5,FALSE))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>
      <c r="A176" s="5" t="s">
        <v>172</v>
      </c>
      <c r="B176" s="92"/>
      <c r="C176" s="160">
        <f>IF(ISNA(VLOOKUP("SOM675100000",Balance!C:G,5,FALSE))=TRUE,0,VLOOKUP("SOM675100000",Balance!C:G,5,FALSE))</f>
        <v>0</v>
      </c>
      <c r="D176" s="117">
        <f>+[2]StOmer!$H176</f>
        <v>0</v>
      </c>
      <c r="E176" s="160">
        <f>IF(ISNA(VLOOKUP("som675100000",Balanceanp!C:G,5,FALSE))=TRUE,0,VLOOKUP("som675100000",Balanceanp!C:G,5,FALSE))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>
      <c r="A177" s="5" t="s">
        <v>173</v>
      </c>
      <c r="B177" s="92"/>
      <c r="C177" s="160">
        <f>IF(ISNA(VLOOKUP("SOM675200000",Balance!C:G,5,FALSE))=TRUE,0,VLOOKUP("SOM675200000",Balance!C:G,5,FALSE))</f>
        <v>0</v>
      </c>
      <c r="D177" s="117">
        <f>+[2]StOmer!$H177</f>
        <v>0</v>
      </c>
      <c r="E177" s="160">
        <f>IF(ISNA(VLOOKUP("som675200000",Balanceanp!C:G,5,FALSE))=TRUE,0,VLOOKUP("som675200000",Balanceanp!C:G,5,FALSE))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>
      <c r="A178" s="5" t="s">
        <v>174</v>
      </c>
      <c r="B178" s="92"/>
      <c r="C178" s="160">
        <f>IF(ISNA(VLOOKUP("SOM681110000",Balance!C:G,5,FALSE))=TRUE,0,VLOOKUP("SOM681110000",Balance!C:G,5,FALSE))</f>
        <v>0</v>
      </c>
      <c r="D178" s="117">
        <f>+[2]StOmer!$H178</f>
        <v>0</v>
      </c>
      <c r="E178" s="160">
        <f>IF(ISNA(VLOOKUP("som681110000",Balanceanp!C:G,5,FALSE))=TRUE,0,VLOOKUP("som681110000",Balanceanp!C:G,5,FALSE))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753">
        <f>IF(ISNA(VLOOKUP("SOM681120000",Balance!C:G,5,FALSE))=TRUE,0,VLOOKUP("SOM681120000",Balance!C:G,5,FALSE))</f>
        <v>16875</v>
      </c>
      <c r="D179" s="754">
        <f>+[2]StOmer!$H179</f>
        <v>22500</v>
      </c>
      <c r="E179" s="753">
        <f>IF(ISNA(VLOOKUP("som681120000",Balanceanp!C:G,5,FALSE))=TRUE,0,VLOOKUP("som681120000",Balanceanp!C:G,5,FALSE))</f>
        <v>20207.22</v>
      </c>
      <c r="F179" s="996">
        <v>24028.57</v>
      </c>
      <c r="G179" s="1002">
        <f>22113.07+500+G255/10</f>
        <v>24113.07</v>
      </c>
      <c r="H179" s="999"/>
      <c r="I179" s="756">
        <f t="shared" si="21"/>
        <v>0.18910815045315477</v>
      </c>
      <c r="J179" s="757">
        <f t="shared" si="21"/>
        <v>3.516647058064629E-3</v>
      </c>
      <c r="L179" s="17">
        <f t="shared" si="15"/>
        <v>1</v>
      </c>
    </row>
    <row r="180" spans="1:12">
      <c r="A180" s="590" t="s">
        <v>78</v>
      </c>
      <c r="B180" s="591"/>
      <c r="C180" s="753">
        <f>IF(ISNA(VLOOKUP("SOM687250000",Balance!C:G,5,FALSE))=TRUE,0,+VLOOKUP("SOM687250000",Balance!C:G,5,FALSE))</f>
        <v>0</v>
      </c>
      <c r="D180" s="754">
        <f>+[2]StOmer!$H180</f>
        <v>0</v>
      </c>
      <c r="E180" s="753">
        <f>IF(ISNA(VLOOKUP("som687250000",Balanceanp!C:G,5,FALSE))=TRUE,0,+VLOOKUP("som687250000",Balanceanp!C:G,5,FALSE))</f>
        <v>2018.18</v>
      </c>
      <c r="F180" s="979">
        <f>+C180+C180/9*(12-Clients!$I$14)</f>
        <v>0</v>
      </c>
      <c r="G180" s="998">
        <f t="shared" si="20"/>
        <v>0</v>
      </c>
      <c r="H180" s="998"/>
      <c r="I180" s="756">
        <f t="shared" si="21"/>
        <v>-1</v>
      </c>
      <c r="J180" s="757">
        <f t="shared" si="21"/>
        <v>0</v>
      </c>
      <c r="L180" s="17">
        <f t="shared" si="15"/>
        <v>1</v>
      </c>
    </row>
    <row r="181" spans="1:12">
      <c r="A181" s="5" t="s">
        <v>327</v>
      </c>
      <c r="B181" s="92"/>
      <c r="C181" s="160">
        <f>IF(ISNA(VLOOKUP("SOM661880000",Balance!C:G,5,FALSE))=TRUE,0,+VLOOKUP("SOM661880000",Balance!C:G,5,FALSE))</f>
        <v>0</v>
      </c>
      <c r="D181" s="117">
        <f>+[2]StOmer!$H181</f>
        <v>0</v>
      </c>
      <c r="E181" s="160">
        <f>IF(ISNA(VLOOKUP("som661880000",Balanceanp!C:G,5,FALSE))=TRUE,0,+VLOOKUP("som661880000",Balanceanp!C:G,5,FALSE))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>
      <c r="A182" s="5" t="s">
        <v>82</v>
      </c>
      <c r="B182" s="92"/>
      <c r="C182" s="160"/>
      <c r="D182" s="117">
        <f>+[2]StOmer!$H182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>
      <c r="A183" s="590" t="s">
        <v>331</v>
      </c>
      <c r="B183" s="591"/>
      <c r="C183" s="753">
        <f>IF(ISNA(VLOOKUP("SOM681500000",Balance!C:G,5,FALSE))=TRUE,0,VLOOKUP("SOM681500000",Balance!C:G,5,FALSE))</f>
        <v>0</v>
      </c>
      <c r="D183" s="754">
        <f>+[2]StOmer!$H183</f>
        <v>0</v>
      </c>
      <c r="E183" s="753">
        <f>IF(ISNA(VLOOKUP("som681500000",Balanceanp!C:G,5,FALSE))=TRUE,0,VLOOKUP("som681500000",Balanceanp!C:G,5,FALSE))</f>
        <v>10330</v>
      </c>
      <c r="F183" s="979">
        <f>+C183+C183/9*(12-Clients!$I$14)</f>
        <v>0</v>
      </c>
      <c r="G183" s="998">
        <f t="shared" si="20"/>
        <v>0</v>
      </c>
      <c r="H183" s="998"/>
      <c r="I183" s="756">
        <f t="shared" si="21"/>
        <v>-1</v>
      </c>
      <c r="J183" s="757">
        <f t="shared" si="21"/>
        <v>0</v>
      </c>
      <c r="L183" s="17">
        <f t="shared" si="15"/>
        <v>1</v>
      </c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758">
        <f>SUM(C169:C184)</f>
        <v>18606.89</v>
      </c>
      <c r="D185" s="764">
        <f>SUM(D169:D184)</f>
        <v>22995.190524999998</v>
      </c>
      <c r="E185" s="764">
        <f>SUM(E169:E184)</f>
        <v>32648.2</v>
      </c>
      <c r="F185" s="764">
        <f>SUM(F169:F184)</f>
        <v>26337.756666666668</v>
      </c>
      <c r="G185" s="764">
        <f>SUM(G169:G184)</f>
        <v>26491.532266666665</v>
      </c>
      <c r="H185" s="908"/>
      <c r="I185" s="759">
        <f>+IF((E185)=0,,(F185-E185)/E185)</f>
        <v>-0.19328610255185072</v>
      </c>
      <c r="J185" s="760">
        <f>+IF((F185)=0,,(G185-F185)/F185)</f>
        <v>5.8385990100142879E-3</v>
      </c>
      <c r="K185" s="136">
        <f>(C185+(C185/3))</f>
        <v>24809.186666666665</v>
      </c>
      <c r="L185" s="17">
        <f t="shared" si="15"/>
        <v>1</v>
      </c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5" t="s">
        <v>179</v>
      </c>
      <c r="B187" s="92"/>
      <c r="C187" s="160">
        <f>IF(ISNA(VLOOKUP("SOM740000000",Balance!C:G,5,FALSE))=TRUE,0,-VLOOKUP("SOM740000000",Balance!C:G,5,FALSE))</f>
        <v>0</v>
      </c>
      <c r="D187" s="117">
        <f>+[2]StOmer!$H187</f>
        <v>0</v>
      </c>
      <c r="E187" s="160">
        <f>IF(ISNA(VLOOKUP("som740000000",Balanceanp!C:G,5,FALSE))=TRUE,0,-VLOOKUP("som740000000",Balanceanp!C:G,5,FALSE))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2">+IF((E187)=0,,(F187-E187)/E187)</f>
        <v>0</v>
      </c>
      <c r="J187" s="271">
        <f t="shared" si="22"/>
        <v>0</v>
      </c>
      <c r="L187" s="17">
        <f t="shared" si="15"/>
        <v>0</v>
      </c>
    </row>
    <row r="188" spans="1:12">
      <c r="A188" s="5" t="s">
        <v>167</v>
      </c>
      <c r="B188" s="92"/>
      <c r="C188" s="160">
        <f>IF(ISNA(VLOOKUP("SOM751100000",Balance!C:G,5,FALSE))=TRUE,0,-VLOOKUP("SOM751100000",Balance!C:G,5,FALSE))</f>
        <v>0</v>
      </c>
      <c r="D188" s="117">
        <f>+[2]StOmer!$H188</f>
        <v>0</v>
      </c>
      <c r="E188" s="160">
        <f>IF(ISNA(VLOOKUP("som751100000",Balanceanp!C:G,5,FALSE))=TRUE,0,-VLOOKUP("som751100000",Balanceanp!C:G,5,FALSE))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>
      <c r="A189" s="5" t="s">
        <v>180</v>
      </c>
      <c r="B189" s="92"/>
      <c r="C189" s="160">
        <f>IF(ISNA(VLOOKUP("SOM758100000",Balance!C:G,5,FALSE))=TRUE,0,-VLOOKUP("SOM758100000",Balance!C:G,5,FALSE))</f>
        <v>0</v>
      </c>
      <c r="D189" s="117">
        <f>+[2]StOmer!$H189</f>
        <v>0</v>
      </c>
      <c r="E189" s="160">
        <f>IF(ISNA(VLOOKUP("som758100000",Balanceanp!C:G,5,FALSE))=TRUE,0,-VLOOKUP("som758100000",Balanceanp!C:G,5,FALSE))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22"/>
        <v>0</v>
      </c>
      <c r="J189" s="271">
        <f t="shared" si="22"/>
        <v>0</v>
      </c>
      <c r="L189" s="17">
        <v>0</v>
      </c>
    </row>
    <row r="190" spans="1:12">
      <c r="A190" s="5" t="s">
        <v>181</v>
      </c>
      <c r="B190" s="92"/>
      <c r="C190" s="160">
        <f>IF(ISNA(VLOOKUP("SOM763800000",Balance!C:G,5,FALSE))=TRUE,0,-VLOOKUP("SOM763800000",Balance!C:G,5,FALSE))</f>
        <v>0</v>
      </c>
      <c r="D190" s="117">
        <f>+[2]StOmer!$H190</f>
        <v>0</v>
      </c>
      <c r="E190" s="160">
        <f>IF(ISNA(VLOOKUP("som763800000",Balanceanp!C:G,5,FALSE))=TRUE,0,-VLOOKUP("som763800000",Balanceanp!C:G,5,FALSE))+IF(ISNA(VLOOKUP("som763110000",Balanceanp!C:G,5,FALSE))=TRUE,0,-VLOOKUP("som763110000",Balanceanp!C:G,5,FALSE))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>
      <c r="A191" s="5" t="s">
        <v>182</v>
      </c>
      <c r="B191" s="92"/>
      <c r="C191" s="160">
        <f>IF(ISNA(VLOOKUP("SOM765000000",Balance!C:G,5,FALSE))=TRUE,0,-VLOOKUP("SOM765000000",Balance!C:G,5,FALSE))</f>
        <v>0</v>
      </c>
      <c r="D191" s="117">
        <f>+[2]StOmer!$H191</f>
        <v>0</v>
      </c>
      <c r="E191" s="160">
        <f>IF(ISNA(VLOOKUP("som765000000",Balanceanp!C:G,5,FALSE))=TRUE,0,-VLOOKUP("som765000000",Balanceanp!C:G,5,FALSE))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>
      <c r="A192" s="5" t="s">
        <v>183</v>
      </c>
      <c r="B192" s="92"/>
      <c r="C192" s="160">
        <f>IF(ISNA(VLOOKUP("SOM771400000",Balance!C:G,5,FALSE))=TRUE,0,-VLOOKUP("SOM771400000",Balance!C:G,5,FALSE))</f>
        <v>0</v>
      </c>
      <c r="D192" s="117">
        <f>+[2]StOmer!$H192</f>
        <v>0</v>
      </c>
      <c r="E192" s="160">
        <f>IF(ISNA(VLOOKUP("som771400000",Balanceanp!C:G,5,FALSE))=TRUE,0,-VLOOKUP("som771400000",Balanceanp!C:G,5,FALSE))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>
      <c r="A193" s="5" t="s">
        <v>184</v>
      </c>
      <c r="B193" s="92"/>
      <c r="C193" s="160">
        <f>IF(ISNA(VLOOKUP("SOM771800000",Balance!C:G,5,FALSE))=TRUE,0,-VLOOKUP("SOM771800000",Balance!C:G,5,FALSE))</f>
        <v>0</v>
      </c>
      <c r="D193" s="117">
        <f>+[2]StOmer!$H193</f>
        <v>0</v>
      </c>
      <c r="E193" s="160">
        <f>IF(ISNA(VLOOKUP("som771800000",Balanceanp!C:G,5,FALSE))=TRUE,0,-VLOOKUP("som771800000",Balanceanp!C:G,5,FALSE))</f>
        <v>533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>
      <c r="A194" s="5" t="s">
        <v>185</v>
      </c>
      <c r="B194" s="92"/>
      <c r="C194" s="160">
        <f>IF(ISNA(VLOOKUP("SOM758000000",Balance!C:G,5,FALSE))=TRUE,0,-VLOOKUP("SOM758000000",Balance!C:G,5,FALSE))</f>
        <v>0</v>
      </c>
      <c r="D194" s="117">
        <f>+[2]StOmer!$H194</f>
        <v>0</v>
      </c>
      <c r="E194" s="160">
        <f>IF(ISNA(VLOOKUP("som772000000",Balanceanp!C:G,5,FALSE))=TRUE,0,-VLOOKUP("som772000000",Balanceanp!C:G,5,FALSE))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>
      <c r="A195" s="5" t="s">
        <v>186</v>
      </c>
      <c r="B195" s="92"/>
      <c r="C195" s="160">
        <f>IF(ISNA(VLOOKUP("SOM775100000",Balance!C:G,5,FALSE))=TRUE,0,-VLOOKUP("SOM775100000",Balance!C:G,5,FALSE))</f>
        <v>0</v>
      </c>
      <c r="D195" s="117">
        <f>+[2]StOmer!$H195</f>
        <v>0</v>
      </c>
      <c r="E195" s="160">
        <f>IF(ISNA(VLOOKUP("som775100000",Balanceanp!C:G,5,FALSE))=TRUE,0,-VLOOKUP("som775100000",Balanceanp!C:G,5,FALSE))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>
      <c r="A196" s="5" t="s">
        <v>187</v>
      </c>
      <c r="B196" s="92"/>
      <c r="C196" s="160">
        <f>IF(ISNA(VLOOKUP("SOM775200000",Balance!C:G,5,FALSE))=TRUE,0,-VLOOKUP("SOM775200000",Balance!C:G,5,FALSE))</f>
        <v>0</v>
      </c>
      <c r="D196" s="117">
        <f>+[2]StOmer!$H196</f>
        <v>0</v>
      </c>
      <c r="E196" s="160">
        <f>IF(ISNA(VLOOKUP("som775200000",Balanceanp!C:G,5,FALSE))=TRUE,0,-VLOOKUP("som775200000",Balanceanp!C:G,5,FALSE))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>
      <c r="A197" s="590" t="s">
        <v>328</v>
      </c>
      <c r="B197" s="591"/>
      <c r="C197" s="753">
        <f>IF(ISNA(VLOOKUP("SOM791000000",Balance!C:G,5,FALSE))=TRUE,0,-VLOOKUP("SOM791000000",Balance!C:G,5,FALSE))</f>
        <v>2192.7199999999998</v>
      </c>
      <c r="D197" s="754">
        <f>+[2]StOmer!$H197</f>
        <v>0</v>
      </c>
      <c r="E197" s="753">
        <f>IF(ISNA(VLOOKUP("som791000000",Balanceanp!C:G,5,FALSE))=TRUE,0,-VLOOKUP("som791000000",Balanceanp!C:G,5,FALSE))</f>
        <v>0</v>
      </c>
      <c r="F197" s="979">
        <f>+C197+C197/9*(12-Clients!$I$14)</f>
        <v>2923.6266666666661</v>
      </c>
      <c r="G197" s="979">
        <v>0</v>
      </c>
      <c r="H197" s="979"/>
      <c r="I197" s="756">
        <f t="shared" si="22"/>
        <v>0</v>
      </c>
      <c r="J197" s="757">
        <f t="shared" si="22"/>
        <v>-1</v>
      </c>
      <c r="L197" s="17">
        <f t="shared" si="15"/>
        <v>1</v>
      </c>
    </row>
    <row r="198" spans="1:12">
      <c r="A198" s="5" t="s">
        <v>344</v>
      </c>
      <c r="B198" s="92"/>
      <c r="C198" s="160">
        <f>IF(ISNA(VLOOKUP("SOM781500000",Balance!C:G,5,FALSE))=TRUE,0,-VLOOKUP("SOM781500000",Balance!C:G,5,FALSE))</f>
        <v>0</v>
      </c>
      <c r="D198" s="117">
        <f>+[2]StOmer!$H198</f>
        <v>0</v>
      </c>
      <c r="E198" s="160">
        <f>IF(ISNA(VLOOKUP("som781500000",Balanceanp!C:G,5,FALSE))=TRUE,0,-VLOOKUP("som781500000",Balanceanp!C:G,5,FALSE))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>
      <c r="A199" s="5" t="s">
        <v>77</v>
      </c>
      <c r="B199" s="92"/>
      <c r="C199" s="160">
        <f>IF(ISNA(VLOOKUP("SOM787250000",Balance!C:G,5,FALSE))=TRUE,0,-VLOOKUP("SOM787250000",Balance!C:G,5,FALSE))</f>
        <v>0</v>
      </c>
      <c r="D199" s="117">
        <f>+[2]StOmer!$H199</f>
        <v>0</v>
      </c>
      <c r="E199" s="160">
        <f>IF(ISNA(VLOOKUP("som787250000",Balanceanp!C:G,5,FALSE))=TRUE,0,-VLOOKUP("som787250000",Balanceanp!C:G,5,FALSE))</f>
        <v>0</v>
      </c>
      <c r="F199" s="368">
        <f>+C199+C199/9*(12-Clients!$I$14)</f>
        <v>0</v>
      </c>
      <c r="G199" s="368">
        <v>0</v>
      </c>
      <c r="H199" s="410"/>
      <c r="I199" s="149">
        <f t="shared" si="22"/>
        <v>0</v>
      </c>
      <c r="J199" s="271">
        <f t="shared" si="22"/>
        <v>0</v>
      </c>
      <c r="L199" s="17">
        <v>0</v>
      </c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758">
        <f>SUM(C186:C200)</f>
        <v>2192.7199999999998</v>
      </c>
      <c r="D201" s="764">
        <f>SUM(D186:D200)</f>
        <v>0</v>
      </c>
      <c r="E201" s="758">
        <f>SUM(E186:E200)</f>
        <v>533</v>
      </c>
      <c r="F201" s="764">
        <f>SUM(F186:F200)</f>
        <v>2923.6266666666661</v>
      </c>
      <c r="G201" s="764">
        <f>SUM(G186:G200)</f>
        <v>0</v>
      </c>
      <c r="H201" s="908"/>
      <c r="I201" s="759">
        <f>+IF((E201)=0,,(F201-E201)/E201)</f>
        <v>4.4852282676672912</v>
      </c>
      <c r="J201" s="760">
        <f>+IF((F201)=0,,(G201-F201)/F201)</f>
        <v>-1</v>
      </c>
      <c r="K201" s="136">
        <f>(C201+(C201/3))</f>
        <v>2923.6266666666666</v>
      </c>
      <c r="L201" s="17">
        <f t="shared" si="23"/>
        <v>1</v>
      </c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0.57895581597720502</v>
      </c>
      <c r="C203" s="773">
        <f>+C103+C116+C129+C154+C168+C185-C201</f>
        <v>292898.24000000005</v>
      </c>
      <c r="D203" s="774">
        <f>+D103+D116+D129+D154+D168+D185-D201</f>
        <v>375807.32047188986</v>
      </c>
      <c r="E203" s="773">
        <f>+E103+E116+E129+E154+E168+E185-E201</f>
        <v>421413.46951999993</v>
      </c>
      <c r="F203" s="774">
        <f>+F103+F116+F129+F154+F168+F185-F201</f>
        <v>386716.62266666669</v>
      </c>
      <c r="G203" s="774">
        <f>+G103+G116+G129+G154+G168+G185-G201</f>
        <v>351775.45145094115</v>
      </c>
      <c r="H203" s="917">
        <f>+G203/$G$21</f>
        <v>0.4329677238695851</v>
      </c>
      <c r="I203" s="775">
        <f>+IF((E203)=0,,(F203-E203)/E203)</f>
        <v>-8.2334451466047773E-2</v>
      </c>
      <c r="J203" s="776">
        <f>+IF((F203)=0,,(G203-F203)/F203)</f>
        <v>-9.0353424620806505E-2</v>
      </c>
      <c r="K203" s="145">
        <f>+K103+K116+K129+K154+K168+K185-K201</f>
        <v>390530.98666666663</v>
      </c>
      <c r="L203" s="17">
        <f t="shared" si="23"/>
        <v>1</v>
      </c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-0.11682353241626497</v>
      </c>
      <c r="C205" s="777">
        <f>+C62-C203</f>
        <v>-59101.931600000011</v>
      </c>
      <c r="D205" s="778">
        <f>+D62-D203</f>
        <v>48023.679528110137</v>
      </c>
      <c r="E205" s="777">
        <f>+E53-E203</f>
        <v>-35789.666819999809</v>
      </c>
      <c r="F205" s="778">
        <f>+F62-F203</f>
        <v>-83260.601776934578</v>
      </c>
      <c r="G205" s="778">
        <f>+G62-G203</f>
        <v>37196.840187181835</v>
      </c>
      <c r="H205" s="766">
        <f>+G205/$G$21</f>
        <v>4.578213506530273E-2</v>
      </c>
      <c r="I205" s="779">
        <f>+IF((E205)=0,,(F205-E205)/E205)</f>
        <v>1.3263866130882025</v>
      </c>
      <c r="J205" s="780">
        <f>+IF((F205)=0,,(G205-F205)/F205)</f>
        <v>-1.4467519978637287</v>
      </c>
      <c r="L205" s="17">
        <f t="shared" si="23"/>
        <v>1</v>
      </c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2.6845229902269781E-3</v>
      </c>
      <c r="C207" s="1004">
        <f>+[2]StOmer!$C207</f>
        <v>1358.1210126542326</v>
      </c>
      <c r="D207" s="782">
        <f>+[2]StOmer!$H207</f>
        <v>4960.8806698792432</v>
      </c>
      <c r="E207" s="782">
        <f>+[1]StOmer!$G$207</f>
        <v>1704.807829975503</v>
      </c>
      <c r="F207" s="782">
        <f>+Repart!K42</f>
        <v>1777.1248359936831</v>
      </c>
      <c r="G207" s="782">
        <f>+Repart!Q42</f>
        <v>3075.3825522076645</v>
      </c>
      <c r="H207" s="929">
        <f>+G207/$G$21</f>
        <v>3.785202685876691E-3</v>
      </c>
      <c r="I207" s="775">
        <f>+IF((E207)=0,,(F207-E207)/E207)</f>
        <v>4.2419447369161402E-2</v>
      </c>
      <c r="J207" s="776">
        <f>+IF((F207)=0,,(G207-F207)/F207)</f>
        <v>0.73053827728880838</v>
      </c>
      <c r="L207" s="17">
        <f t="shared" si="23"/>
        <v>1</v>
      </c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-0.11950805540649197</v>
      </c>
      <c r="C209" s="777">
        <f>+C205-C207</f>
        <v>-60460.052612654246</v>
      </c>
      <c r="D209" s="778">
        <f>+D205-D207</f>
        <v>43062.79885823089</v>
      </c>
      <c r="E209" s="777">
        <f>+E205-E207</f>
        <v>-37494.474649975309</v>
      </c>
      <c r="F209" s="778">
        <f>+F205-F207</f>
        <v>-85037.726612928265</v>
      </c>
      <c r="G209" s="778">
        <f>+G205-G207</f>
        <v>34121.457634974169</v>
      </c>
      <c r="H209" s="766">
        <f>+G209/$G$21</f>
        <v>4.199693237942604E-2</v>
      </c>
      <c r="I209" s="779">
        <f>+IF((E209)=0,,(F209-E209)/E209)</f>
        <v>1.268006883861867</v>
      </c>
      <c r="J209" s="780">
        <f>+IF((F209)=0,,(G209-F209)/F209)</f>
        <v>-1.4012508211830148</v>
      </c>
      <c r="L209" s="17">
        <f t="shared" si="23"/>
        <v>1</v>
      </c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1.2917497884110018E-2</v>
      </c>
      <c r="C211" s="753">
        <f>+[2]StOmer!$C211</f>
        <v>6535.0624193548392</v>
      </c>
      <c r="D211" s="754">
        <f>+[2]StOmer!$H211</f>
        <v>9026.0372215405096</v>
      </c>
      <c r="E211" s="753">
        <f>+[1]StOmer!$G211</f>
        <v>8095.0860719999991</v>
      </c>
      <c r="F211" s="979">
        <f>+Repart!I42</f>
        <v>8997.9607634408567</v>
      </c>
      <c r="G211" s="979">
        <f>+Repart!O42</f>
        <v>9644.6846793104778</v>
      </c>
      <c r="H211" s="979"/>
      <c r="I211" s="756">
        <f t="shared" ref="I211:J213" si="24">+IF((E211)=0,,(F211-E211)/E211)</f>
        <v>0.11153367405984731</v>
      </c>
      <c r="J211" s="757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3.8597818308659777E-2</v>
      </c>
      <c r="C212" s="753">
        <f>+[2]StOmer!$C212</f>
        <v>19526.935801421059</v>
      </c>
      <c r="D212" s="754">
        <f>+[2]StOmer!$H212</f>
        <v>31422.521809088317</v>
      </c>
      <c r="E212" s="753">
        <f>+[1]StOmer!$G212</f>
        <v>26164.521233147574</v>
      </c>
      <c r="F212" s="979">
        <f>+Repart!J42</f>
        <v>26555.308167367177</v>
      </c>
      <c r="G212" s="979">
        <f>+Repart!P42</f>
        <v>33134.916919393749</v>
      </c>
      <c r="H212" s="979"/>
      <c r="I212" s="756">
        <f t="shared" si="24"/>
        <v>1.4935757116951125E-2</v>
      </c>
      <c r="J212" s="757">
        <f t="shared" si="24"/>
        <v>0.24777000178487879</v>
      </c>
      <c r="L212" s="17">
        <f t="shared" si="23"/>
        <v>1</v>
      </c>
    </row>
    <row r="213" spans="1:12">
      <c r="A213" s="590" t="s">
        <v>193</v>
      </c>
      <c r="B213" s="591"/>
      <c r="C213" s="753">
        <f>+[2]StOmer!$C213</f>
        <v>-5949.76</v>
      </c>
      <c r="D213" s="754">
        <f>+[2]StOmer!$H213</f>
        <v>-6155.4000000000005</v>
      </c>
      <c r="E213" s="753">
        <f>+[1]StOmer!$G213</f>
        <v>-7948.7</v>
      </c>
      <c r="F213" s="979">
        <f>+C213+C213/9*(12-Clients!$I$14)</f>
        <v>-7933.0133333333333</v>
      </c>
      <c r="G213" s="979">
        <f>+G253*-4%</f>
        <v>-8229.9167639999996</v>
      </c>
      <c r="H213" s="979"/>
      <c r="I213" s="756">
        <f t="shared" si="24"/>
        <v>-1.9734883272316851E-3</v>
      </c>
      <c r="J213" s="757">
        <f t="shared" si="24"/>
        <v>3.7426311817619483E-2</v>
      </c>
      <c r="L213" s="17">
        <f t="shared" si="23"/>
        <v>1</v>
      </c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3.9754753358153462E-2</v>
      </c>
      <c r="C215" s="785">
        <f>SUM(C210:C213)</f>
        <v>20112.2382207759</v>
      </c>
      <c r="D215" s="786">
        <f>SUM(D210:D213)</f>
        <v>34293.159030628827</v>
      </c>
      <c r="E215" s="785">
        <f>SUM(E210:E213)</f>
        <v>26310.907305147575</v>
      </c>
      <c r="F215" s="786">
        <f>SUM(F210:F213)</f>
        <v>27620.255597474697</v>
      </c>
      <c r="G215" s="786">
        <f>SUM(G210:G213)</f>
        <v>34549.684834704225</v>
      </c>
      <c r="H215" s="933">
        <f>+G215/$G$21</f>
        <v>4.252399745801929E-2</v>
      </c>
      <c r="I215" s="775">
        <f>+IF((E215)=0,,(F215-E215)/E215)</f>
        <v>4.9764467532100495E-2</v>
      </c>
      <c r="J215" s="776">
        <f>+IF((F215)=0,,(G215-F215)/F215)</f>
        <v>0.25088215468444403</v>
      </c>
      <c r="L215" s="17">
        <f t="shared" si="23"/>
        <v>1</v>
      </c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729" customFormat="1" ht="20.100000000000001" customHeight="1">
      <c r="A217" s="673" t="s">
        <v>86</v>
      </c>
      <c r="B217" s="1005">
        <f>+C217/$C$21</f>
        <v>-0.15926280876464544</v>
      </c>
      <c r="C217" s="1006">
        <f>+C209-C215</f>
        <v>-80572.290833430146</v>
      </c>
      <c r="D217" s="1007">
        <f>+D209-D215</f>
        <v>8769.6398276020627</v>
      </c>
      <c r="E217" s="1006">
        <f>+E209-E215</f>
        <v>-63805.381955122881</v>
      </c>
      <c r="F217" s="1007">
        <f>+F209-F215</f>
        <v>-112657.98221040296</v>
      </c>
      <c r="G217" s="1007">
        <f>+G209-G215</f>
        <v>-428.22719973005587</v>
      </c>
      <c r="H217" s="967">
        <f>+G217/$G$21</f>
        <v>-5.2706507859325621E-4</v>
      </c>
      <c r="I217" s="1005">
        <f>+IF((E217)=0,,(F217-E217)/E217)</f>
        <v>0.76565014985162616</v>
      </c>
      <c r="J217" s="1008">
        <f>+IF((F217)=0,,(G217-F217)/F217)</f>
        <v>-0.99619887387180173</v>
      </c>
      <c r="L217" s="736">
        <f t="shared" si="23"/>
        <v>1</v>
      </c>
    </row>
    <row r="218" spans="1:12">
      <c r="A218" s="2" t="s">
        <v>43</v>
      </c>
      <c r="C218" s="17">
        <f>+C225-C226-C215-C207-C53+C62-C38+C213</f>
        <v>-80572.290833430001</v>
      </c>
      <c r="D218" s="117">
        <f>+[2]StOmer!$H$217</f>
        <v>8769.6398276020627</v>
      </c>
      <c r="E218" s="17">
        <f>+[1]StOmer!$G$217</f>
        <v>-63805.381955122881</v>
      </c>
      <c r="F218" s="87"/>
      <c r="G218" s="398"/>
      <c r="H218" s="414"/>
      <c r="I218" s="66"/>
      <c r="J218" s="66"/>
      <c r="L218" s="17">
        <v>0</v>
      </c>
    </row>
    <row r="219" spans="1:12">
      <c r="A219" s="2" t="s">
        <v>346</v>
      </c>
      <c r="B219" s="58">
        <f>+Clients!K13</f>
        <v>270</v>
      </c>
      <c r="C219" s="17">
        <f>+B219/C44*C57</f>
        <v>168.03809338258014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>
      <c r="A220" s="2" t="s">
        <v>354</v>
      </c>
      <c r="B220" s="58">
        <f>+Clients!K13</f>
        <v>270</v>
      </c>
      <c r="C220" s="17">
        <f>+B220/(C21*1.196)*Clients!K45</f>
        <v>20.076078155229304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>
      <c r="C221" s="17"/>
      <c r="D221" s="2"/>
      <c r="E221" s="2"/>
      <c r="F221" s="58"/>
      <c r="G221" s="58"/>
      <c r="H221" s="58"/>
      <c r="I221" s="66"/>
      <c r="J221" s="66"/>
      <c r="L221" s="17">
        <f t="shared" si="23"/>
        <v>0</v>
      </c>
    </row>
    <row r="222" spans="1:12">
      <c r="A222" s="654" t="s">
        <v>67</v>
      </c>
      <c r="B222" s="655"/>
      <c r="C222" s="790">
        <f>+(C215+C207+C203)/C60/Clients!$I$13*12</f>
        <v>901415.33830374223</v>
      </c>
      <c r="D222" s="790">
        <f>+(D215+D207+D203)/D60</f>
        <v>810692.25761984056</v>
      </c>
      <c r="E222" s="790">
        <f>+(E215+E207+E203)/E60/Clients!$I$13*12</f>
        <v>1133695.9155304171</v>
      </c>
      <c r="F222" s="790">
        <f>+(F215+F207+F203)/F60</f>
        <v>894868.82387125818</v>
      </c>
      <c r="G222" s="790">
        <f>+(G215+G207+G203)/G60</f>
        <v>811455.3646520758</v>
      </c>
      <c r="H222" s="790"/>
      <c r="I222" s="790"/>
      <c r="J222" s="790"/>
      <c r="L222" s="17">
        <f t="shared" si="23"/>
        <v>1</v>
      </c>
    </row>
    <row r="223" spans="1:12">
      <c r="A223" s="654" t="s">
        <v>66</v>
      </c>
      <c r="B223" s="655"/>
      <c r="C223" s="790">
        <f>+(C215+C207+C203)/C60/Clients!$I$13</f>
        <v>75117.944858645191</v>
      </c>
      <c r="D223" s="790">
        <f>+(D215+D207+D203)/D60/12</f>
        <v>67557.688134986718</v>
      </c>
      <c r="E223" s="790">
        <f>+(E215+E207+E203)/E60/Clients!$I$13</f>
        <v>94474.659627534769</v>
      </c>
      <c r="F223" s="790">
        <f>+(F215+F207+F203)/F60/9</f>
        <v>99429.869319028687</v>
      </c>
      <c r="G223" s="790">
        <f>+(G215+G207+G203)/G60/12</f>
        <v>67621.280387672989</v>
      </c>
      <c r="H223" s="790"/>
      <c r="I223" s="790"/>
      <c r="J223" s="790"/>
      <c r="L223" s="17">
        <f t="shared" si="23"/>
        <v>1</v>
      </c>
    </row>
    <row r="224" spans="1:12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>
      <c r="A225" s="2" t="s">
        <v>215</v>
      </c>
      <c r="C225" s="17">
        <f>+C51-C40-C157-C166+C201-C164-C159-C137</f>
        <v>509216.24000000005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>
      <c r="A226" s="2" t="s">
        <v>216</v>
      </c>
      <c r="C226" s="17">
        <f>+C44-C38-C40+C103+C116+C129+C154+C156+C158+C160+C161+C162+C163+C165+C185+C213</f>
        <v>566081.65999999992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t="10.5" customHeight="1">
      <c r="C227" s="17"/>
      <c r="D227" s="2"/>
      <c r="E227" s="2"/>
      <c r="F227" s="58"/>
      <c r="G227" s="58"/>
      <c r="H227" s="58"/>
      <c r="I227" s="66"/>
      <c r="J227" s="66"/>
      <c r="L227" s="17">
        <f t="shared" si="23"/>
        <v>0</v>
      </c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customHeight="1">
      <c r="A229" s="7" t="str">
        <f>+A4</f>
        <v>ST OMER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687">
        <v>2009</v>
      </c>
      <c r="D231" s="688">
        <v>2009</v>
      </c>
      <c r="E231" s="687">
        <v>2008</v>
      </c>
      <c r="F231" s="688">
        <v>2009</v>
      </c>
      <c r="G231" s="688">
        <v>2010</v>
      </c>
      <c r="H231" s="688"/>
      <c r="I231" s="689" t="s">
        <v>196</v>
      </c>
      <c r="J231" s="689" t="s">
        <v>57</v>
      </c>
      <c r="L231" s="17">
        <f t="shared" si="23"/>
        <v>1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773">
        <f t="shared" ref="C233:J233" si="25">+C51</f>
        <v>502787.76000000007</v>
      </c>
      <c r="D233" s="773">
        <f t="shared" si="25"/>
        <v>827821</v>
      </c>
      <c r="E233" s="773">
        <f t="shared" si="25"/>
        <v>729558.9800000001</v>
      </c>
      <c r="F233" s="773">
        <f t="shared" si="25"/>
        <v>652593.59331125184</v>
      </c>
      <c r="G233" s="773">
        <f t="shared" si="25"/>
        <v>810563</v>
      </c>
      <c r="H233" s="773"/>
      <c r="I233" s="775">
        <f>+I51</f>
        <v>-0.1054957704567604</v>
      </c>
      <c r="J233" s="775">
        <f t="shared" si="25"/>
        <v>0.24206398638885396</v>
      </c>
      <c r="K233" s="58"/>
      <c r="L233" s="17">
        <f t="shared" si="23"/>
        <v>1</v>
      </c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765">
        <f>+C60</f>
        <v>0.46500000000000002</v>
      </c>
      <c r="D235" s="765">
        <f>+D60</f>
        <v>0.51198387090929076</v>
      </c>
      <c r="E235" s="765">
        <f>+E60</f>
        <v>0.52857111388033362</v>
      </c>
      <c r="F235" s="765">
        <f>+F60</f>
        <v>0.46500000000000002</v>
      </c>
      <c r="G235" s="765">
        <f>+G60</f>
        <v>0.47987916008764647</v>
      </c>
      <c r="H235" s="765"/>
      <c r="I235" s="765"/>
      <c r="J235" s="76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767">
        <f>+C62</f>
        <v>233796.30840000004</v>
      </c>
      <c r="D236" s="767">
        <f>+D62</f>
        <v>423831</v>
      </c>
      <c r="E236" s="767">
        <f>+E62</f>
        <v>385623.80270000012</v>
      </c>
      <c r="F236" s="767">
        <f>+F62</f>
        <v>303456.02088973211</v>
      </c>
      <c r="G236" s="767">
        <f>+G62</f>
        <v>388972.29163812299</v>
      </c>
      <c r="H236" s="767"/>
      <c r="I236" s="779">
        <f>+IF((E236)=0,,(F236-E236)/E236)</f>
        <v>-0.21307756739848149</v>
      </c>
      <c r="J236" s="780">
        <f>+IF((F236)=0,,(G236-F236)/F236)</f>
        <v>0.28180779045891868</v>
      </c>
      <c r="L236" s="17">
        <f t="shared" si="23"/>
        <v>1</v>
      </c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792">
        <f>+C103</f>
        <v>70211.91</v>
      </c>
      <c r="D238" s="792">
        <f>+D103</f>
        <v>91476.207878500005</v>
      </c>
      <c r="E238" s="792">
        <f>+E103</f>
        <v>89710.019999999975</v>
      </c>
      <c r="F238" s="792">
        <f>+F103</f>
        <v>93303.920000000027</v>
      </c>
      <c r="G238" s="792">
        <f>+G103</f>
        <v>94039.559462885401</v>
      </c>
      <c r="H238" s="792"/>
      <c r="I238" s="793">
        <f t="shared" ref="I238:J243" si="26">+IF((E238)=0,,(F238-E238)/E238)</f>
        <v>4.0061299729952725E-2</v>
      </c>
      <c r="J238" s="793">
        <f t="shared" si="26"/>
        <v>7.8843360802565831E-3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792">
        <f>+C116</f>
        <v>12223.42</v>
      </c>
      <c r="D239" s="792">
        <f>+D116</f>
        <v>16837.2968</v>
      </c>
      <c r="E239" s="792">
        <f>+E116</f>
        <v>12951.57</v>
      </c>
      <c r="F239" s="792">
        <f>+F116</f>
        <v>14684.443333333329</v>
      </c>
      <c r="G239" s="792">
        <f>+G116</f>
        <v>13394.714133333331</v>
      </c>
      <c r="H239" s="792"/>
      <c r="I239" s="793">
        <f t="shared" si="26"/>
        <v>0.13379639173732061</v>
      </c>
      <c r="J239" s="793">
        <f t="shared" si="26"/>
        <v>-8.782962831640638E-2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792">
        <f>+C129</f>
        <v>15318.2</v>
      </c>
      <c r="D240" s="792">
        <f>+D129</f>
        <v>17949.5592</v>
      </c>
      <c r="E240" s="792">
        <f>+E129</f>
        <v>13077.310000000001</v>
      </c>
      <c r="F240" s="792">
        <f>+F129</f>
        <v>17006.742666666665</v>
      </c>
      <c r="G240" s="792">
        <f>+G129</f>
        <v>14623.999400000001</v>
      </c>
      <c r="H240" s="792"/>
      <c r="I240" s="793">
        <f t="shared" si="26"/>
        <v>0.30047713686275412</v>
      </c>
      <c r="J240" s="793">
        <f t="shared" si="26"/>
        <v>-0.14010579882159668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792">
        <f>+C154</f>
        <v>178026.08999999997</v>
      </c>
      <c r="D241" s="792">
        <f>+D154</f>
        <v>224012.16582584989</v>
      </c>
      <c r="E241" s="792">
        <f>+E154</f>
        <v>273477.31951999996</v>
      </c>
      <c r="F241" s="792">
        <f>+F154</f>
        <v>237368.12000000002</v>
      </c>
      <c r="G241" s="792">
        <f>+G154</f>
        <v>199730.0161923891</v>
      </c>
      <c r="H241" s="792"/>
      <c r="I241" s="793">
        <f t="shared" si="26"/>
        <v>-0.13203727308494112</v>
      </c>
      <c r="J241" s="793">
        <f t="shared" si="26"/>
        <v>-0.15856427479650984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792">
        <f>+C168</f>
        <v>704.45</v>
      </c>
      <c r="D242" s="792">
        <f>+D168</f>
        <v>2536.9002425399999</v>
      </c>
      <c r="E242" s="792">
        <f>+E168</f>
        <v>82.049999999999983</v>
      </c>
      <c r="F242" s="792">
        <f>+F168</f>
        <v>939.26666666666665</v>
      </c>
      <c r="G242" s="792">
        <f>+G168</f>
        <v>3495.6299956666676</v>
      </c>
      <c r="H242" s="792"/>
      <c r="I242" s="793">
        <f t="shared" si="26"/>
        <v>10.447491367052613</v>
      </c>
      <c r="J242" s="793">
        <f t="shared" si="26"/>
        <v>2.7216587362481377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792">
        <f>+C185-C201</f>
        <v>16414.169999999998</v>
      </c>
      <c r="D243" s="792">
        <f>+D185-D201</f>
        <v>22995.190524999998</v>
      </c>
      <c r="E243" s="792">
        <f>+E185-E201</f>
        <v>32115.200000000001</v>
      </c>
      <c r="F243" s="792">
        <f>+F185-F201</f>
        <v>23414.13</v>
      </c>
      <c r="G243" s="792">
        <f>+G185-G201</f>
        <v>26491.532266666665</v>
      </c>
      <c r="H243" s="792"/>
      <c r="I243" s="793">
        <f t="shared" si="26"/>
        <v>-0.27093307841769626</v>
      </c>
      <c r="J243" s="793">
        <f t="shared" si="26"/>
        <v>0.13143355173421623</v>
      </c>
      <c r="L243" s="17">
        <f t="shared" si="23"/>
        <v>1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773">
        <f>+C203</f>
        <v>292898.24000000005</v>
      </c>
      <c r="D245" s="773">
        <f>+D203</f>
        <v>375807.32047188986</v>
      </c>
      <c r="E245" s="773">
        <f>+E203</f>
        <v>421413.46951999993</v>
      </c>
      <c r="F245" s="773">
        <f>+F203</f>
        <v>386716.62266666669</v>
      </c>
      <c r="G245" s="773">
        <f>+G203</f>
        <v>351775.45145094115</v>
      </c>
      <c r="H245" s="773"/>
      <c r="I245" s="775">
        <f>+I63</f>
        <v>0</v>
      </c>
      <c r="J245" s="775">
        <f>+J63</f>
        <v>0</v>
      </c>
      <c r="K245" s="58"/>
      <c r="L245" s="17">
        <f t="shared" si="23"/>
        <v>1</v>
      </c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777">
        <f>+C205</f>
        <v>-59101.931600000011</v>
      </c>
      <c r="D247" s="777">
        <f>+D205</f>
        <v>48023.679528110137</v>
      </c>
      <c r="E247" s="777">
        <f>+E205</f>
        <v>-35789.666819999809</v>
      </c>
      <c r="F247" s="777">
        <f>+F205</f>
        <v>-83260.601776934578</v>
      </c>
      <c r="G247" s="777">
        <f>+G205</f>
        <v>37196.840187181835</v>
      </c>
      <c r="H247" s="777"/>
      <c r="I247" s="779">
        <f>+IF((E247)=0,,(F247-E247)/E247)</f>
        <v>1.3263866130882025</v>
      </c>
      <c r="J247" s="780">
        <f>+IF((F247)=0,,(G247-F247)/F247)</f>
        <v>-1.4467519978637287</v>
      </c>
      <c r="L247" s="17">
        <f t="shared" si="23"/>
        <v>1</v>
      </c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785">
        <f>+C207+C215</f>
        <v>21470.359233430132</v>
      </c>
      <c r="D249" s="785">
        <f>+D207+D215</f>
        <v>39254.039700508074</v>
      </c>
      <c r="E249" s="785">
        <f>+E207+E215</f>
        <v>28015.715135123079</v>
      </c>
      <c r="F249" s="785">
        <f>+F207+F215</f>
        <v>29397.380433468381</v>
      </c>
      <c r="G249" s="785">
        <f>+G207+G215</f>
        <v>37625.067386911891</v>
      </c>
      <c r="H249" s="785"/>
      <c r="I249" s="775">
        <f>+I67</f>
        <v>6.7717930604064933E-2</v>
      </c>
      <c r="J249" s="775">
        <f>+J67</f>
        <v>2.9999999999999954E-2</v>
      </c>
      <c r="L249" s="17">
        <f t="shared" si="23"/>
        <v>1</v>
      </c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777">
        <f>+C217</f>
        <v>-80572.290833430146</v>
      </c>
      <c r="D251" s="777">
        <f>+D217</f>
        <v>8769.6398276020627</v>
      </c>
      <c r="E251" s="777">
        <f>+E217</f>
        <v>-63805.381955122881</v>
      </c>
      <c r="F251" s="777">
        <f>+F217</f>
        <v>-112657.98221040296</v>
      </c>
      <c r="G251" s="777">
        <f>+G217</f>
        <v>-428.22719973005587</v>
      </c>
      <c r="H251" s="777"/>
      <c r="I251" s="779">
        <f>+IF((E251)=0,,(F251-E251)/E251)</f>
        <v>0.76565014985162616</v>
      </c>
      <c r="J251" s="780">
        <f>+IF((F251)=0,,(G251-F251)/F251)</f>
        <v>-0.99619887387180173</v>
      </c>
      <c r="L251" s="17">
        <f t="shared" si="23"/>
        <v>1</v>
      </c>
    </row>
    <row r="252" spans="1:12">
      <c r="C252" s="17"/>
      <c r="D252" s="2"/>
      <c r="E252" s="2"/>
      <c r="F252" s="2"/>
      <c r="G252" s="2"/>
      <c r="H252" s="5"/>
      <c r="I252" s="24"/>
      <c r="J252" s="66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792">
        <f>+C28</f>
        <v>147013.82</v>
      </c>
      <c r="D253" s="792">
        <v>200000</v>
      </c>
      <c r="E253" s="792">
        <f>+E28</f>
        <v>201159.3</v>
      </c>
      <c r="F253" s="792"/>
      <c r="G253" s="1009">
        <f>+G28</f>
        <v>205747.91909999997</v>
      </c>
      <c r="H253" s="1009"/>
      <c r="I253" s="793"/>
      <c r="J253" s="793"/>
      <c r="L253" s="17">
        <v>1</v>
      </c>
    </row>
    <row r="254" spans="1:12" s="298" customFormat="1" ht="15" customHeight="1">
      <c r="A254" s="662" t="s">
        <v>371</v>
      </c>
      <c r="B254" s="663"/>
      <c r="C254" s="792">
        <f>+C222</f>
        <v>901415.33830374223</v>
      </c>
      <c r="D254" s="792">
        <f>+D222</f>
        <v>810692.25761984056</v>
      </c>
      <c r="E254" s="792">
        <f>+E222</f>
        <v>1133695.9155304171</v>
      </c>
      <c r="F254" s="792">
        <f>+F222</f>
        <v>894868.82387125818</v>
      </c>
      <c r="G254" s="792">
        <f>+G222</f>
        <v>811455.3646520758</v>
      </c>
      <c r="H254" s="792"/>
      <c r="I254" s="793"/>
      <c r="J254" s="793"/>
      <c r="L254" s="17">
        <v>1</v>
      </c>
    </row>
    <row r="255" spans="1:12" s="298" customFormat="1" ht="15" customHeight="1">
      <c r="A255" s="662" t="s">
        <v>372</v>
      </c>
      <c r="B255" s="663"/>
      <c r="C255" s="792"/>
      <c r="D255" s="792">
        <v>0</v>
      </c>
      <c r="E255" s="792"/>
      <c r="F255" s="792"/>
      <c r="G255" s="1010">
        <f>8000+5000+2000</f>
        <v>15000</v>
      </c>
      <c r="H255" s="1009"/>
      <c r="I255" s="793"/>
      <c r="J255" s="793"/>
      <c r="L255" s="17">
        <v>1</v>
      </c>
    </row>
    <row r="256" spans="1:12">
      <c r="C256" s="17"/>
      <c r="D256" s="2"/>
      <c r="E256" s="2"/>
      <c r="F256" s="2"/>
      <c r="G256" s="2"/>
      <c r="H256" s="2"/>
      <c r="I256" s="24"/>
      <c r="J256" s="66"/>
      <c r="L256" s="17">
        <f t="shared" si="23"/>
        <v>0</v>
      </c>
    </row>
  </sheetData>
  <autoFilter ref="L1:L256"/>
  <phoneticPr fontId="33" type="noConversion"/>
  <hyperlinks>
    <hyperlink ref="C1" location="Sommaire!A1" display="Retour au sommaire"/>
  </hyperlinks>
  <pageMargins left="0.78740157480314965" right="0.78740157480314965" top="0.43307086614173229" bottom="0.19" header="0.15748031496062992" footer="0"/>
  <pageSetup paperSize="9" scale="68" fitToHeight="2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 enableFormatConditionsCalculation="0">
    <tabColor rgb="FFC00000"/>
    <pageSetUpPr fitToPage="1"/>
  </sheetPr>
  <dimension ref="A1:L256"/>
  <sheetViews>
    <sheetView workbookViewId="0">
      <pane xSplit="2" ySplit="6" topLeftCell="C79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7.57031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7.140625" style="58" bestFit="1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-23667.139346328637</v>
      </c>
      <c r="F5" s="215">
        <f>F217</f>
        <v>-43814.684896254679</v>
      </c>
      <c r="G5" s="215">
        <f>G217</f>
        <v>-13182.951743091862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-IF(ISNA(VLOOKUP("BET707130000",Balance!C:G,5,FALSE))=TRUE,0,VLOOKUP("BET707130000",Balance!C:G,5,FALSE))</f>
        <v>269724.87</v>
      </c>
      <c r="D8" s="592">
        <f>+[2]Béthune!$H8</f>
        <v>365914</v>
      </c>
      <c r="E8" s="311">
        <f>-IF(ISNA(VLOOKUP("BET707130000",Balanceanp!C:G,5,FALSE))=TRUE,0,VLOOKUP("BET707130000",Balanceanp!C:G,5,FALSE))</f>
        <v>237620.29</v>
      </c>
      <c r="F8" s="625">
        <f>+CA!G111</f>
        <v>359447.69734879053</v>
      </c>
      <c r="G8" s="594">
        <v>400349</v>
      </c>
      <c r="H8" s="594"/>
      <c r="I8" s="591">
        <f>+IF((E8)=0,,(F8-E8)/E8)</f>
        <v>0.51269783127017698</v>
      </c>
      <c r="J8" s="595">
        <f>+IF((F8)=0,,(G8-F8)/F8)</f>
        <v>0.11378930217911741</v>
      </c>
      <c r="L8" s="17">
        <f t="shared" ref="L8:L71" si="0">IF(SUM(C8:J8)&lt;&gt;0,1,0)</f>
        <v>1</v>
      </c>
    </row>
    <row r="9" spans="1:12">
      <c r="A9" s="5" t="s">
        <v>422</v>
      </c>
      <c r="B9" s="92"/>
      <c r="C9" s="160">
        <f>-IF(ISNA(VLOOKUP("BET707131000",Balance!C:G,5,FALSE))=TRUE,0,VLOOKUP("BET707131000",Balance!C:G,5,FALSE))</f>
        <v>0</v>
      </c>
      <c r="D9" s="117">
        <f>+[2]Béthune!$H9</f>
        <v>0</v>
      </c>
      <c r="E9" s="160">
        <f>-IF(ISNA(VLOOKUP("BET707131000",Balanceanp!C:G,5,FALSE))=TRUE,0,VLOOKUP("BET707131000",Balanceanp!C:G,5,FALSE))</f>
        <v>68375.98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>
      <c r="A10" s="5" t="s">
        <v>84</v>
      </c>
      <c r="B10" s="92"/>
      <c r="C10" s="160">
        <f>-IF(ISNA(VLOOKUP("BET707300000",Balance!C:G,5,FALSE))=TRUE,0,VLOOKUP("BET707300000",Balance!C:G,5,FALSE))</f>
        <v>0</v>
      </c>
      <c r="D10" s="117">
        <f>+[2]Béthune!$H10</f>
        <v>0</v>
      </c>
      <c r="E10" s="160">
        <f>-IF(ISNA(VLOOKUP("BET707300000",Balanceanp!C:G,5,FALSE))=TRUE,0,VLOOKUP("BET707300000",Balanceanp!C:G,5,FALSE))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>
      <c r="A11" s="5" t="s">
        <v>267</v>
      </c>
      <c r="B11" s="92"/>
      <c r="C11" s="160">
        <f>-IF(ISNA(VLOOKUP("BET707110000",Balance!C:G,5,FALSE))=TRUE,0,VLOOKUP("BET707110000",Balance!C:G,5,FALSE))</f>
        <v>0</v>
      </c>
      <c r="D11" s="117">
        <f>+[2]Béthune!$H11</f>
        <v>0</v>
      </c>
      <c r="E11" s="160">
        <f>-IF(ISNA(VLOOKUP("BET707110000",Balanceanp!C:G,5,FALSE))=TRUE,0,VLOOKUP("BET707110000",Balanceanp!C:G,5,FALSE))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>
      <c r="A12" s="5" t="s">
        <v>46</v>
      </c>
      <c r="B12" s="92"/>
      <c r="C12" s="160">
        <f>-IF(ISNA(VLOOKUP("BET707120000",Balance!C:G,5,FALSE))=TRUE,0,VLOOKUP("BET707120000",Balance!C:G,5,FALSE))</f>
        <v>0</v>
      </c>
      <c r="D12" s="117">
        <f>+[2]Béthune!$H12</f>
        <v>0</v>
      </c>
      <c r="E12" s="160">
        <f>-IF(ISNA(VLOOKUP("BET707120000",Balanceanp!C:G,5,FALSE))=TRUE,0,VLOOKUP("BET707120000",Balanceanp!C:G,5,FALSE))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>
      <c r="A13" s="5" t="s">
        <v>268</v>
      </c>
      <c r="B13" s="92"/>
      <c r="C13" s="160">
        <f>-IF(ISNA(VLOOKUP("BET707230000",Balance!C:G,5,FALSE))=TRUE,0,VLOOKUP("BET707230000",Balance!C:G,5,FALSE))</f>
        <v>0</v>
      </c>
      <c r="D13" s="117">
        <f>+[2]Béthune!$H13</f>
        <v>0</v>
      </c>
      <c r="E13" s="160">
        <f>-IF(ISNA(VLOOKUP("BET707230000",Balanceanp!C:G,5,FALSE))=TRUE,0,VLOOKUP("BET707230000",Balanceanp!C:G,5,FALSE))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>
      <c r="A14" s="5" t="s">
        <v>269</v>
      </c>
      <c r="B14" s="92"/>
      <c r="C14" s="160">
        <f>-IF(ISNA(VLOOKUP("BET708820000",Balance!C:G,5,FALSE))=TRUE,0,VLOOKUP("BET708820000",Balance!C:G,5,FALSE))</f>
        <v>0</v>
      </c>
      <c r="D14" s="117">
        <f>+[2]Béthune!$H14</f>
        <v>0</v>
      </c>
      <c r="E14" s="160">
        <f>-IF(ISNA(VLOOKUP("BET708820000",Balanceanp!C:G,5,FALSE))=TRUE,0,VLOOKUP("BET708820000",Balanceanp!C:G,5,FALSE))</f>
        <v>0</v>
      </c>
      <c r="F14" s="368">
        <f t="shared" si="3"/>
        <v>0</v>
      </c>
      <c r="G14" s="395">
        <f t="shared" si="1"/>
        <v>0</v>
      </c>
      <c r="H14" s="401"/>
      <c r="I14" s="149">
        <f t="shared" si="2"/>
        <v>0</v>
      </c>
      <c r="J14" s="271">
        <f t="shared" si="2"/>
        <v>0</v>
      </c>
      <c r="L14" s="17">
        <v>0</v>
      </c>
    </row>
    <row r="15" spans="1:12">
      <c r="A15" s="5" t="s">
        <v>270</v>
      </c>
      <c r="B15" s="92"/>
      <c r="C15" s="160">
        <f>-IF(ISNA(VLOOKUP("BET708500000",Balance!C:G,5,FALSE))=TRUE,0,VLOOKUP("BET708500000",Balance!C:G,5,FALSE))</f>
        <v>690</v>
      </c>
      <c r="D15" s="117">
        <f>+[2]Béthune!$H15</f>
        <v>0</v>
      </c>
      <c r="E15" s="160">
        <f>-IF(ISNA(VLOOKUP("BET708500000",Balanceanp!C:G,5,FALSE))=TRUE,0,VLOOKUP("BET708500000",Balanceanp!C:G,5,FALSE))</f>
        <v>870</v>
      </c>
      <c r="F15" s="368">
        <f t="shared" si="3"/>
        <v>690</v>
      </c>
      <c r="G15" s="395">
        <v>0</v>
      </c>
      <c r="H15" s="401"/>
      <c r="I15" s="149">
        <f t="shared" si="2"/>
        <v>-0.20689655172413793</v>
      </c>
      <c r="J15" s="271">
        <f t="shared" si="2"/>
        <v>-1</v>
      </c>
      <c r="L15" s="17">
        <v>0</v>
      </c>
    </row>
    <row r="16" spans="1:12">
      <c r="A16" s="5" t="s">
        <v>85</v>
      </c>
      <c r="B16" s="92"/>
      <c r="C16" s="160">
        <f>IF(ISNA(VLOOKUP("BET706000000",Balance!C:G,5,FALSE))=TRUE,0,-VLOOKUP("BET706000000",Balance!C:G,5,FALSE))+IF(ISNA(VLOOKUP("BET706010000",Balance!C:G,5,FALSE))=TRUE,0,-VLOOKUP("BET706010000",Balance!C:G,5,FALSE))</f>
        <v>0</v>
      </c>
      <c r="D16" s="117">
        <f>+[2]Béthune!$H16</f>
        <v>0</v>
      </c>
      <c r="E16" s="160">
        <f>IF(ISNA(VLOOKUP("BET706000000",Balanceanp!C:G,5,FALSE))=TRUE,0,-VLOOKUP("BET706000000",Balanceanp!C:G,5,FALSE))+IF(ISNA(VLOOKUP("BET706010000",Balanceanp!C:G,5,FALSE))=TRUE,0,-VLOOKUP("BET706010000",Balanceanp!C:G,5,FALSE))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>
      <c r="A17" s="5" t="s">
        <v>88</v>
      </c>
      <c r="B17" s="92"/>
      <c r="C17" s="160">
        <f>IF(ISNA(VLOOKUP("BET707500000",Balance!C:G,5,FALSE))=TRUE,0,-VLOOKUP("BET707500000",Balance!C:G,5,FALSE))</f>
        <v>0</v>
      </c>
      <c r="D17" s="117">
        <f>+[2]Béthune!$H17</f>
        <v>0</v>
      </c>
      <c r="E17" s="160">
        <f>IF(ISNA(VLOOKUP("BET707500000",Balanceanp!C:G,5,FALSE))=TRUE,0,-VLOOKUP("BET707500000",Balanceanp!C:G,5,FALSE))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>
      <c r="A18" s="5" t="s">
        <v>89</v>
      </c>
      <c r="B18" s="92"/>
      <c r="C18" s="160">
        <f>IF(ISNA(VLOOKUP("BET707510000",Balance!C:G,5,FALSE))=TRUE,0,-VLOOKUP("BET707510000",Balance!C:G,5,FALSE))</f>
        <v>0</v>
      </c>
      <c r="D18" s="117">
        <f>+[2]Béthune!$H18</f>
        <v>0</v>
      </c>
      <c r="E18" s="160">
        <f>IF(ISNA(VLOOKUP("BET707510000",Balanceanp!C:G,5,FALSE))=TRUE,0,-VLOOKUP("BET707510000",Balanceanp!C:G,5,FALSE))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>
      <c r="A19" s="5" t="s">
        <v>90</v>
      </c>
      <c r="B19" s="92"/>
      <c r="C19" s="160">
        <f>IF(ISNA(VLOOKUP("BET708300000",Balance!C:G,5,FALSE))=TRUE,0,-VLOOKUP("BET708300000",Balance!C:G,5,FALSE))</f>
        <v>0</v>
      </c>
      <c r="D19" s="117">
        <f>+[2]Béthune!$H19</f>
        <v>0</v>
      </c>
      <c r="E19" s="160">
        <f>IF(ISNA(VLOOKUP("BET708300000",Balanceanp!C:G,5,FALSE))=TRUE,0,-VLOOKUP("BET708300000",Balanceanp!C:G,5,FALSE))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270414.87</v>
      </c>
      <c r="D21" s="312">
        <f>SUM(D7:D20)</f>
        <v>365914</v>
      </c>
      <c r="E21" s="305">
        <f>SUM(E7:E20)</f>
        <v>306866.27</v>
      </c>
      <c r="F21" s="312">
        <f>SUM(F7:F20)</f>
        <v>360137.69734879053</v>
      </c>
      <c r="G21" s="312">
        <f>SUM(G7:G20)</f>
        <v>400349</v>
      </c>
      <c r="H21" s="312"/>
      <c r="I21" s="598">
        <f>+IF((E21)=0,,(F21-E21)/E21)</f>
        <v>0.17359818447557143</v>
      </c>
      <c r="J21" s="599">
        <f>+IF((F21)=0,,(G21-F21)/F21)</f>
        <v>0.11165535556880382</v>
      </c>
      <c r="L21" s="17">
        <f t="shared" si="0"/>
        <v>1</v>
      </c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" t="s">
        <v>92</v>
      </c>
      <c r="B23" s="92"/>
      <c r="C23" s="160">
        <f>IF(ISNA(VLOOKUP("BET602650000",Balance!C:G,5,FALSE))=TRUE,0,VLOOKUP("BET602650000",Balance!C:G,5,FALSE))</f>
        <v>0</v>
      </c>
      <c r="D23" s="115"/>
      <c r="E23" s="160">
        <f>IF(ISNA(VLOOKUP("BET602650000",Balanceanp!C:G,5,FALSE))=TRUE,0,VLOOKUP("BET602650000",Balanceanp!C:G,5,FALSE))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IF(ISNA(VLOOKUP("bet607100000",Balance!C:G,5,FALSE))=TRUE,0,VLOOKUP("bet607100000",Balance!C:G,5,FALSE))</f>
        <v>41034.47</v>
      </c>
      <c r="D24" s="600"/>
      <c r="E24" s="311">
        <f>IF(ISNA(VLOOKUP("bet607100000",Balanceanp!C:G,5,FALSE))=TRUE,0,VLOOKUP("bet607100000",Balanceanp!C:G,5,FALSE))</f>
        <v>45408.67</v>
      </c>
      <c r="F24" s="600"/>
      <c r="G24" s="602">
        <f>H24*G30</f>
        <v>111697.37099999998</v>
      </c>
      <c r="H24" s="603">
        <f>1-H28</f>
        <v>0.44999999999999996</v>
      </c>
      <c r="I24" s="591"/>
      <c r="J24" s="595"/>
      <c r="L24" s="17">
        <f t="shared" si="0"/>
        <v>1</v>
      </c>
    </row>
    <row r="25" spans="1:12">
      <c r="A25" s="5" t="s">
        <v>94</v>
      </c>
      <c r="B25" s="92"/>
      <c r="C25" s="160">
        <f>IF(ISNA(VLOOKUP("bet607110000",Balance!C:G,5,FALSE))=TRUE,0,VLOOKUP("bet607110000",Balance!C:G,5,FALSE))+IF(ISNA(VLOOKUP("bet607120000",Balance!C:G,5,FALSE))=TRUE,0,VLOOKUP("bet607120000",Balance!C:G,5,FALSE))</f>
        <v>2305.6999999999998</v>
      </c>
      <c r="D25" s="115"/>
      <c r="E25" s="160">
        <f>IF(ISNA(VLOOKUP("bet607110000",Balanceanp!C:G,5,FALSE))=TRUE,0,VLOOKUP("bet607110000",Balanceanp!C:G,5,FALSE))+IF(ISNA(VLOOKUP("bet607120000",Balanceanp!C:G,5,FALSE))=TRUE,0,VLOOKUP("bet607120000",Balanceanp!C:G,5,FALSE))</f>
        <v>997.39</v>
      </c>
      <c r="F25" s="134"/>
      <c r="G25" s="134"/>
      <c r="H25" s="400"/>
      <c r="I25" s="149"/>
      <c r="J25" s="271"/>
      <c r="L25" s="17">
        <v>0</v>
      </c>
    </row>
    <row r="26" spans="1:12">
      <c r="A26" s="5" t="s">
        <v>288</v>
      </c>
      <c r="B26" s="92"/>
      <c r="C26" s="160">
        <f>IF(ISNA(VLOOKUP("BET607130000",Balance!C:G,5,FALSE))=TRUE,0,VLOOKUP("BET607130000",Balance!C:G,5,FALSE))</f>
        <v>53478.89</v>
      </c>
      <c r="D26" s="115"/>
      <c r="E26" s="160">
        <f>IF(ISNA(VLOOKUP("BET607130000",Balanceanp!C:G,5,FALSE))=TRUE,0,VLOOKUP("BET607130000",Balanceanp!C:G,5,FALSE))</f>
        <v>45692</v>
      </c>
      <c r="F26" s="134"/>
      <c r="G26" s="134"/>
      <c r="H26" s="400"/>
      <c r="I26" s="149"/>
      <c r="J26" s="271"/>
      <c r="L26" s="17">
        <v>0</v>
      </c>
    </row>
    <row r="27" spans="1:12">
      <c r="A27" s="5" t="s">
        <v>289</v>
      </c>
      <c r="B27" s="92"/>
      <c r="C27" s="160">
        <f>IF(ISNA(VLOOKUP("BET607140000",Balance!C:G,5,FALSE))=TRUE,0,VLOOKUP("BET607140000",Balance!C:G,5,FALSE))</f>
        <v>-19803.59</v>
      </c>
      <c r="D27" s="115"/>
      <c r="E27" s="160">
        <f>IF(ISNA(VLOOKUP("BET607140000",Balanceanp!C:G,5,FALSE))=TRUE,0,VLOOKUP("BET607140000",Balanceanp!C:G,5,FALSE))</f>
        <v>-21002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IF(ISNA(VLOOKUP("BET607200000",Balance!C:G,5,FALSE))=TRUE,0,VLOOKUP("BET607200000",Balance!C:G,5,FALSE))</f>
        <v>97305.91</v>
      </c>
      <c r="D28" s="971">
        <f>C28/C30</f>
        <v>0.55819836901245279</v>
      </c>
      <c r="E28" s="311">
        <f>IF(ISNA(VLOOKUP("BET607200000",Balanceanp!C:G,5,FALSE))=TRUE,0,VLOOKUP("BET607200000",Balanceanp!C:G,5,FALSE))</f>
        <v>118173.25</v>
      </c>
      <c r="F28" s="971">
        <f>E28/E30</f>
        <v>0.62436561955025882</v>
      </c>
      <c r="G28" s="602">
        <f>H28*G30</f>
        <v>136519.00900000002</v>
      </c>
      <c r="H28" s="604">
        <v>0.55000000000000004</v>
      </c>
      <c r="I28" s="591"/>
      <c r="J28" s="595"/>
      <c r="L28" s="17">
        <f t="shared" si="0"/>
        <v>1</v>
      </c>
    </row>
    <row r="29" spans="1:12">
      <c r="A29" s="5" t="s">
        <v>293</v>
      </c>
      <c r="B29" s="92"/>
      <c r="C29" s="160">
        <f>IF(ISNA(VLOOKUP("BET607150000",Balance!C:G,5,FALSE))=TRUE,0,VLOOKUP("BET607150000",Balance!C:G,5,FALSE))</f>
        <v>0</v>
      </c>
      <c r="D29" s="115"/>
      <c r="E29" s="357">
        <f>IF(ISNA(VLOOKUP("BET607150000",Balanceanp!C:G,5,FALSE))=TRUE,0,VLOOKUP("BET607150000",Balanceanp!C:G,5,FALSE))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174321.38</v>
      </c>
      <c r="D30" s="402"/>
      <c r="E30" s="306">
        <f>SUM(E23:E29)</f>
        <v>189269.31</v>
      </c>
      <c r="F30" s="607">
        <f>1-(E30/E21)</f>
        <v>0.38321891813003761</v>
      </c>
      <c r="G30" s="402">
        <f>G21*(1-H30)</f>
        <v>248216.38</v>
      </c>
      <c r="H30" s="577">
        <v>0.38</v>
      </c>
      <c r="I30" s="608"/>
      <c r="J30" s="609"/>
      <c r="L30" s="17">
        <f t="shared" si="0"/>
        <v>1</v>
      </c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93047.87</v>
      </c>
      <c r="D32" s="403"/>
      <c r="E32" s="307">
        <f>+E21-E30-E38</f>
        <v>115588.83620000002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0.34409302269509068</v>
      </c>
      <c r="D33" s="403"/>
      <c r="E33" s="308">
        <f>+E32/E21</f>
        <v>0.37667494768975429</v>
      </c>
      <c r="F33" s="403"/>
      <c r="G33" s="403"/>
      <c r="H33" s="403"/>
      <c r="I33" s="608"/>
      <c r="J33" s="577"/>
      <c r="L33" s="17">
        <f t="shared" si="0"/>
        <v>1</v>
      </c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IF(ISNA(VLOOKUP("BET607400000",Balance!C:G,5,FALSE))=TRUE,0,VLOOKUP("BET607400000",Balance!C:G,5,FALSE))</f>
        <v>2078.59</v>
      </c>
      <c r="D35" s="600"/>
      <c r="E35" s="311">
        <f>IF(ISNA(VLOOKUP("BET607400000",Balanceanp!C:G,5,FALSE))=TRUE,0,VLOOKUP("BET607400000",Balanceanp!C:G,5,FALSE))</f>
        <v>2692.39</v>
      </c>
      <c r="F35" s="972">
        <f>E35/E30</f>
        <v>1.4225179982956561E-2</v>
      </c>
      <c r="G35" s="613">
        <f>F35*G30</f>
        <v>3530.9226802179392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IF(ISNA(VLOOKUP("BET608000000",Balance!C:G,5,FALSE))=TRUE,0,VLOOKUP("BET608000000",Balance!C:G,5,FALSE))</f>
        <v>1383.54</v>
      </c>
      <c r="D36" s="600"/>
      <c r="E36" s="311">
        <f>IF(ISNA(VLOOKUP("BET608000000",Balanceanp!C:G,5,FALSE))=TRUE,0,VLOOKUP("BET608000000",Balanceanp!C:G,5,FALSE))</f>
        <v>953.84</v>
      </c>
      <c r="F36" s="972">
        <f>E36/E30</f>
        <v>5.0395914688968861E-3</v>
      </c>
      <c r="G36" s="613">
        <f>F36*G30</f>
        <v>1250.9091510884678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>
      <c r="A37" s="5" t="s">
        <v>98</v>
      </c>
      <c r="B37" s="92"/>
      <c r="C37" s="160">
        <f>IF(ISNA(VLOOKUP("BET608100000",Balance!C:G,5,FALSE))=TRUE,0,VLOOKUP("BET608100000",Balance!C:G,5,FALSE))</f>
        <v>0</v>
      </c>
      <c r="D37" s="115"/>
      <c r="E37" s="160">
        <f>IF(ISNA(VLOOKUP("BET608100000",Balanceanp!C:G,5,FALSE))=TRUE,0,VLOOKUP("BET608100000",Balanceanp!C:G,5,FALSE))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>
      <c r="A38" s="5" t="s">
        <v>99</v>
      </c>
      <c r="B38" s="92"/>
      <c r="C38" s="160">
        <f>+C56-C57</f>
        <v>3045.6199999999953</v>
      </c>
      <c r="D38" s="115"/>
      <c r="E38" s="160">
        <f>+E56-E57</f>
        <v>2008.1238000000012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>
      <c r="A39" s="5" t="s">
        <v>177</v>
      </c>
      <c r="B39" s="92"/>
      <c r="C39" s="160">
        <f>IF(ISNA(VLOOKUP("BET681730000",Balance!C:G,5,FALSE))=TRUE,0,VLOOKUP("BET681730000",Balance!C:G,5,FALSE))</f>
        <v>0</v>
      </c>
      <c r="D39" s="115"/>
      <c r="E39" s="160">
        <f>IF(ISNA(VLOOKUP("BET681730000",Balanceanp!C:G,5,FALSE))=TRUE,0,VLOOKUP("BET681730000",Balanceanp!C:G,5,FALSE))</f>
        <v>5680.21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>
      <c r="A40" s="5" t="s">
        <v>176</v>
      </c>
      <c r="B40" s="92"/>
      <c r="C40" s="160">
        <f>IF(ISNA(VLOOKUP("BET781730000",Balance!C:G,5,FALSE))=TRUE,0,VLOOKUP("BET781730000",Balance!C:G,5,FALSE))</f>
        <v>-3794.71</v>
      </c>
      <c r="D40" s="115"/>
      <c r="E40" s="160">
        <f>IF(ISNA(VLOOKUP("BET781730000",Balanceanp!C:G,5,FALSE))=TRUE,0,VLOOKUP("BET781730000",Balanceanp!C:G,5,FALSE))</f>
        <v>-4608.42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IF(ISNA(VLOOKUP("BET609110000",Balance!C:G,5,FALSE))=TRUE,0,VLOOKUP("BET609110000",Balance!C:G,5,FALSE))</f>
        <v>-93.76</v>
      </c>
      <c r="D41" s="600"/>
      <c r="E41" s="311">
        <f>IF(ISNA(VLOOKUP("BET609110000",Balanceanp!C:G,5,FALSE))=TRUE,0,VLOOKUP("BET609110000",Balanceanp!C:G,5,FALSE))</f>
        <v>-2723.86</v>
      </c>
      <c r="F41" s="614">
        <f>E41/SUM(E24:E25)</f>
        <v>-5.8696213382476346E-2</v>
      </c>
      <c r="G41" s="615">
        <f>H41*(G24)</f>
        <v>-2233.94742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IF(ISNA(VLOOKUP("BET609120000",Balance!C:G,5,FALSE))=TRUE,0,VLOOKUP("BET609120000",Balance!C:G,5,FALSE))</f>
        <v>-6492.22</v>
      </c>
      <c r="D42" s="600"/>
      <c r="E42" s="311">
        <f>IF(ISNA(VLOOKUP("BET609120000",Balanceanp!C:G,5,FALSE))=TRUE,0,VLOOKUP("BET609120000",Balanceanp!C:G,5,FALSE))</f>
        <v>-8128.66</v>
      </c>
      <c r="F42" s="614">
        <f>E42/E28</f>
        <v>-6.8785956212594646E-2</v>
      </c>
      <c r="G42" s="615">
        <f>H42*G28</f>
        <v>-9556.3306300000022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170448.44</v>
      </c>
      <c r="D44" s="404"/>
      <c r="E44" s="305">
        <f>+E30+SUM(E34:E43)</f>
        <v>185142.9338</v>
      </c>
      <c r="F44" s="404"/>
      <c r="G44" s="618">
        <f>SUM(G35:G43)+G30</f>
        <v>241207.9337813064</v>
      </c>
      <c r="H44" s="404"/>
      <c r="I44" s="598"/>
      <c r="J44" s="599"/>
      <c r="L44" s="17">
        <f t="shared" si="0"/>
        <v>1</v>
      </c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customHeight="1">
      <c r="A46" s="56" t="s">
        <v>339</v>
      </c>
      <c r="B46" s="95"/>
      <c r="C46" s="166">
        <f>+C21-C44</f>
        <v>99966.43</v>
      </c>
      <c r="D46" s="120"/>
      <c r="E46" s="166">
        <f>+E21-E44</f>
        <v>121723.33620000002</v>
      </c>
      <c r="F46" s="138"/>
      <c r="G46" s="138"/>
      <c r="H46" s="403"/>
      <c r="I46" s="273"/>
      <c r="J46" s="274"/>
      <c r="L46" s="17">
        <v>0</v>
      </c>
    </row>
    <row r="47" spans="1:12" s="33" customFormat="1" ht="15" customHeight="1">
      <c r="A47" s="56" t="s">
        <v>340</v>
      </c>
      <c r="B47" s="95"/>
      <c r="C47" s="196">
        <f>+C46/C21</f>
        <v>0.36967800624277797</v>
      </c>
      <c r="D47" s="120"/>
      <c r="E47" s="196">
        <f>+E46/E21</f>
        <v>0.39666574042171532</v>
      </c>
      <c r="F47" s="138"/>
      <c r="G47" s="138"/>
      <c r="H47" s="403"/>
      <c r="I47" s="273"/>
      <c r="J47" s="274"/>
      <c r="L47" s="17">
        <v>0</v>
      </c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4.0604275940890385E-3</v>
      </c>
      <c r="C49" s="311">
        <f>IF(ISNA(VLOOKUP("BET709700000",Balance!C:G,5,FALSE))=TRUE,0,VLOOKUP("BET709700000",Balance!C:G,5,FALSE))</f>
        <v>1098</v>
      </c>
      <c r="D49" s="592">
        <f>+[2]Béthune!$H49</f>
        <v>1464</v>
      </c>
      <c r="E49" s="311">
        <f>IF(ISNA(VLOOKUP("BET709700000",Balanceanp!C:G,5,FALSE))=TRUE,0,VLOOKUP("BET709700000",Balanceanp!C:G,5,FALSE))</f>
        <v>167.22</v>
      </c>
      <c r="F49" s="592">
        <f>+C49+C49/9*(12-Clients!$I$14)</f>
        <v>1464</v>
      </c>
      <c r="G49" s="620">
        <v>1803</v>
      </c>
      <c r="H49" s="621">
        <f>G49/G21</f>
        <v>4.5035706346212932E-3</v>
      </c>
      <c r="I49" s="591">
        <f>+IF((E49)=0,,(F49-E49)/E49)</f>
        <v>7.7549336203803367</v>
      </c>
      <c r="J49" s="595">
        <f>+IF((F49)=0,,(G49-F49)/F49)</f>
        <v>0.23155737704918034</v>
      </c>
      <c r="L49" s="17">
        <f t="shared" si="0"/>
        <v>1</v>
      </c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269316.87</v>
      </c>
      <c r="D51" s="312">
        <f>+D21-D49</f>
        <v>364450</v>
      </c>
      <c r="E51" s="305">
        <f>+E21-E49</f>
        <v>306699.05000000005</v>
      </c>
      <c r="F51" s="312">
        <f>+F21-F49</f>
        <v>358673.69734879053</v>
      </c>
      <c r="G51" s="312">
        <f>+G21-G49</f>
        <v>398546</v>
      </c>
      <c r="H51" s="312"/>
      <c r="I51" s="598">
        <f>+IF((E51)=0,,(F51-E51)/E51)</f>
        <v>0.16946465060387531</v>
      </c>
      <c r="J51" s="599">
        <f>+IF((F51)=0,,(G51-F51)/F51)</f>
        <v>0.11116595096304437</v>
      </c>
      <c r="L51" s="17">
        <f t="shared" si="0"/>
        <v>1</v>
      </c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customHeight="1">
      <c r="A53" s="16" t="s">
        <v>3</v>
      </c>
      <c r="B53" s="96"/>
      <c r="C53" s="169">
        <f>+C51-C44</f>
        <v>98868.43</v>
      </c>
      <c r="D53" s="122"/>
      <c r="E53" s="169">
        <f>+E51-E44</f>
        <v>121556.11620000005</v>
      </c>
      <c r="F53" s="140"/>
      <c r="G53" s="140">
        <f>+G51-G44</f>
        <v>157338.0662186936</v>
      </c>
      <c r="H53" s="405"/>
      <c r="I53" s="224"/>
      <c r="J53" s="123"/>
      <c r="K53" s="2"/>
      <c r="L53" s="17">
        <v>0</v>
      </c>
    </row>
    <row r="54" spans="1:12" s="33" customFormat="1" ht="15" customHeight="1">
      <c r="A54" s="16" t="s">
        <v>4</v>
      </c>
      <c r="B54" s="96"/>
      <c r="C54" s="197">
        <f>+C53/C51</f>
        <v>0.3671081948932497</v>
      </c>
      <c r="D54" s="123"/>
      <c r="E54" s="197">
        <f>+E53/E51</f>
        <v>0.39633678747945267</v>
      </c>
      <c r="F54" s="141"/>
      <c r="G54" s="141"/>
      <c r="H54" s="406"/>
      <c r="I54" s="224"/>
      <c r="J54" s="123"/>
      <c r="K54" s="2"/>
      <c r="L54" s="17">
        <v>0</v>
      </c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>
      <c r="A56" s="5" t="s">
        <v>290</v>
      </c>
      <c r="B56" s="92"/>
      <c r="C56" s="160">
        <f>+[2]Béthune!$C56</f>
        <v>65794.62</v>
      </c>
      <c r="D56" s="115"/>
      <c r="E56" s="160">
        <f>+[1]Béthune!$G56</f>
        <v>65158.966999999997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>
      <c r="A57" s="5" t="s">
        <v>100</v>
      </c>
      <c r="B57" s="92"/>
      <c r="C57" s="160">
        <f>+[2]Béthune!$C57</f>
        <v>62749</v>
      </c>
      <c r="D57" s="115"/>
      <c r="E57" s="160">
        <f>+[1]Béthune!$G57</f>
        <v>63150.843199999996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15">
        <f>+[2]Béthune!$C60</f>
        <v>0.39</v>
      </c>
      <c r="D60" s="406">
        <f>+[2]Béthune!$H60</f>
        <v>0.38995747016051585</v>
      </c>
      <c r="E60" s="15">
        <f>+[1]Béthune!$G$54</f>
        <v>0.39633678747945267</v>
      </c>
      <c r="F60" s="406">
        <f>+C60</f>
        <v>0.39</v>
      </c>
      <c r="G60" s="406">
        <f>G62/G51</f>
        <v>0.39478019154299276</v>
      </c>
      <c r="H60" s="406"/>
      <c r="I60" s="15"/>
      <c r="J60" s="406"/>
      <c r="L60" s="17">
        <f t="shared" si="0"/>
        <v>1</v>
      </c>
    </row>
    <row r="61" spans="1:12">
      <c r="A61" s="5" t="s">
        <v>65</v>
      </c>
      <c r="B61" s="92"/>
      <c r="C61" s="92">
        <f>+[2]Béthune!$C61</f>
        <v>0.372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105033.5793</v>
      </c>
      <c r="D62" s="405">
        <f>D51*D60</f>
        <v>142120</v>
      </c>
      <c r="E62" s="309">
        <f>+E51*E60</f>
        <v>121556.11620000005</v>
      </c>
      <c r="F62" s="405">
        <f>+F51*F60</f>
        <v>139882.74196602832</v>
      </c>
      <c r="G62" s="405">
        <f>G51-G44</f>
        <v>157338.0662186936</v>
      </c>
      <c r="H62" s="405"/>
      <c r="I62" s="15">
        <f>+IF((E62)=0,,(F62-E62)/E62)</f>
        <v>0.15076679264640955</v>
      </c>
      <c r="J62" s="406">
        <f>+IF((F62)=0,,(G62-F62)/F62)</f>
        <v>0.12478540245446751</v>
      </c>
      <c r="L62" s="17">
        <f t="shared" si="0"/>
        <v>1</v>
      </c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IF(ISNA(VLOOKUP("BET613520000",Balance!C:G,5,FALSE))=TRUE,0,VLOOKUP("BET613520000",Balance!C:G,5,FALSE))</f>
        <v>0</v>
      </c>
      <c r="D64" s="592">
        <f>+[2]Béthune!$H64</f>
        <v>856.21067500000004</v>
      </c>
      <c r="E64" s="311">
        <f>IF(ISNA(VLOOKUP("BET613520000",Balanceanp!C:G,5,FALSE))=TRUE,0,VLOOKUP("BET613520000",Balanceanp!C:G,5,FALSE))</f>
        <v>247.51</v>
      </c>
      <c r="F64" s="625">
        <f>+C64+C64/9*(12-Clients!$I$14)</f>
        <v>0</v>
      </c>
      <c r="G64" s="594">
        <f>+F64*1.03</f>
        <v>0</v>
      </c>
      <c r="H64" s="594"/>
      <c r="I64" s="591">
        <f t="shared" ref="I64:J68" si="5">+IF((E64)=0,,(F64-E64)/E64)</f>
        <v>-1</v>
      </c>
      <c r="J64" s="595">
        <f t="shared" si="5"/>
        <v>0</v>
      </c>
      <c r="L64" s="17">
        <f t="shared" si="0"/>
        <v>1</v>
      </c>
    </row>
    <row r="65" spans="1:12">
      <c r="A65" s="5" t="s">
        <v>314</v>
      </c>
      <c r="B65" s="92"/>
      <c r="C65" s="160"/>
      <c r="D65" s="117">
        <f>+[2]Béthune!$H65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IF(ISNA(VLOOKUP("BET616120000",Balance!C:G,5,FALSE))=TRUE,0,VLOOKUP("BET616120000",Balance!C:G,5,FALSE))</f>
        <v>643.95000000000005</v>
      </c>
      <c r="D66" s="592">
        <f>+[2]Béthune!$H66</f>
        <v>858.64404999999999</v>
      </c>
      <c r="E66" s="311">
        <f>IF(ISNA(VLOOKUP("BET616120000",Balanceanp!C:G,5,FALSE))=TRUE,0,VLOOKUP("BET616120000",Balanceanp!C:G,5,FALSE))</f>
        <v>525.82000000000005</v>
      </c>
      <c r="F66" s="625">
        <f>+C66+C66/9*(12-Clients!$I$14)</f>
        <v>858.60000000000014</v>
      </c>
      <c r="G66" s="594">
        <f>+F66*1.03</f>
        <v>884.35800000000017</v>
      </c>
      <c r="H66" s="594"/>
      <c r="I66" s="591">
        <f t="shared" si="5"/>
        <v>0.63287817123730561</v>
      </c>
      <c r="J66" s="595">
        <f t="shared" si="5"/>
        <v>3.0000000000000041E-2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IF(ISNA(VLOOKUP("BET615520000",Balance!C:G,5,FALSE))=TRUE,0,VLOOKUP("BET615520000",Balance!C:G,5,FALSE))</f>
        <v>757.15</v>
      </c>
      <c r="D67" s="592">
        <f>+[2]Béthune!$H67</f>
        <v>385.78650000000005</v>
      </c>
      <c r="E67" s="311">
        <f>IF(ISNA(VLOOKUP("BET615520000",Balanceanp!C:G,5,FALSE))=TRUE,0,VLOOKUP("BET615520000",Balanceanp!C:G,5,FALSE))</f>
        <v>57.63</v>
      </c>
      <c r="F67" s="625">
        <f>+C67+C67/9*(12-Clients!$I$14)</f>
        <v>1009.5333333333333</v>
      </c>
      <c r="G67" s="594">
        <f>+F67*1.03</f>
        <v>1039.8193333333334</v>
      </c>
      <c r="H67" s="594"/>
      <c r="I67" s="591">
        <f t="shared" si="5"/>
        <v>16.517496674185896</v>
      </c>
      <c r="J67" s="595">
        <f t="shared" si="5"/>
        <v>3.0000000000000058E-2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IF(ISNA(VLOOKUP("BET606130000",Balance!C:G,5,FALSE))=TRUE,0,VLOOKUP("BET606130000",Balance!C:G,5,FALSE))</f>
        <v>714.76</v>
      </c>
      <c r="D68" s="592">
        <f>+[2]Béthune!$H68</f>
        <v>1260.3285999999998</v>
      </c>
      <c r="E68" s="311">
        <f>IF(ISNA(VLOOKUP("BET606130000",Balanceanp!C:G,5,FALSE))=TRUE,0,VLOOKUP("BET606130000",Balanceanp!C:G,5,FALSE))</f>
        <v>359.04</v>
      </c>
      <c r="F68" s="625">
        <f>+C68+C68/9*(12-Clients!$I$14)</f>
        <v>953.01333333333332</v>
      </c>
      <c r="G68" s="625">
        <f>+F68*1.03</f>
        <v>981.60373333333337</v>
      </c>
      <c r="H68" s="625"/>
      <c r="I68" s="591">
        <f t="shared" si="5"/>
        <v>1.6543374925727867</v>
      </c>
      <c r="J68" s="595">
        <f t="shared" si="5"/>
        <v>3.0000000000000047E-2</v>
      </c>
      <c r="L68" s="17">
        <f t="shared" si="0"/>
        <v>1</v>
      </c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2115.8599999999997</v>
      </c>
      <c r="D70" s="628">
        <f>SUM(D64:D69)</f>
        <v>3360.9698250000001</v>
      </c>
      <c r="E70" s="311">
        <f>SUM(E64:E69)</f>
        <v>1190</v>
      </c>
      <c r="F70" s="973">
        <f>SUM(F64:F69)</f>
        <v>2821.1466666666665</v>
      </c>
      <c r="G70" s="412">
        <f>SUM(G64:G69)</f>
        <v>2905.7810666666669</v>
      </c>
      <c r="H70" s="412"/>
      <c r="I70" s="591">
        <f>+IF((E70)=0,,(F70-E70)/E70)</f>
        <v>1.3707114845938375</v>
      </c>
      <c r="J70" s="595">
        <f>+IF((F70)=0,,(G70-F70)/F70)</f>
        <v>3.0000000000000131E-2</v>
      </c>
      <c r="L70" s="17">
        <f t="shared" si="0"/>
        <v>1</v>
      </c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IF(ISNA(VLOOKUP("BET602220000",Balance!C:G,5,FALSE))=TRUE,0,VLOOKUP("BET602220000",Balance!C:G,5,FALSE))</f>
        <v>18.13</v>
      </c>
      <c r="D72" s="592">
        <f>+[2]Béthune!$H72</f>
        <v>8.4004027704572923</v>
      </c>
      <c r="E72" s="311">
        <f>IF(ISNA(VLOOKUP("BET602220000",Balanceanp!C:G,5,FALSE))=TRUE,0,VLOOKUP("BET602220000",Balanceanp!C:G,5,FALSE))</f>
        <v>4.1500000000000004</v>
      </c>
      <c r="F72" s="625">
        <f>+C72+C72/9*(12-Clients!$I$14)</f>
        <v>24.173333333333332</v>
      </c>
      <c r="G72" s="630">
        <f>+F72*1.03</f>
        <v>24.898533333333333</v>
      </c>
      <c r="H72" s="630"/>
      <c r="I72" s="591">
        <f t="shared" ref="I72:J87" si="6">+IF((E72)=0,,(F72-E72)/E72)</f>
        <v>4.8248995983935741</v>
      </c>
      <c r="J72" s="595">
        <f t="shared" si="6"/>
        <v>3.0000000000000041E-2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IF(ISNA(VLOOKUP("BET606100000",Balance!C:G,5,FALSE))=TRUE,0,VLOOKUP("BET606100000",Balance!C:G,5,FALSE))</f>
        <v>701.1</v>
      </c>
      <c r="D73" s="592">
        <f>+[2]Béthune!$H73</f>
        <v>949.29251068458132</v>
      </c>
      <c r="E73" s="311">
        <f>IF(ISNA(VLOOKUP("BET606100000",Balanceanp!C:G,5,FALSE))=TRUE,0,VLOOKUP("BET606100000",Balanceanp!C:G,5,FALSE))</f>
        <v>1051.33</v>
      </c>
      <c r="F73" s="625">
        <f>+C73+C73/9*(12-Clients!$I$14)</f>
        <v>934.80000000000007</v>
      </c>
      <c r="G73" s="630">
        <f t="shared" ref="G73:G101" si="8">+F73*1.03</f>
        <v>962.84400000000005</v>
      </c>
      <c r="H73" s="630"/>
      <c r="I73" s="591">
        <f t="shared" si="6"/>
        <v>-0.11084055434544803</v>
      </c>
      <c r="J73" s="595">
        <f t="shared" si="6"/>
        <v>2.9999999999999978E-2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IF(ISNA(VLOOKUP("BET606110000",Balance!C:G,5,FALSE))=TRUE,0,VLOOKUP("BET606110000",Balance!C:G,5,FALSE))</f>
        <v>327.06</v>
      </c>
      <c r="D74" s="592">
        <f>+[2]Béthune!$H74</f>
        <v>630.55159128157561</v>
      </c>
      <c r="E74" s="311">
        <f>IF(ISNA(VLOOKUP("BET606110000",Balanceanp!C:G,5,FALSE))=TRUE,0,VLOOKUP("BET606110000",Balanceanp!C:G,5,FALSE))</f>
        <v>723.53</v>
      </c>
      <c r="F74" s="625">
        <f>+C74+C74/9*(12-Clients!$I$14)</f>
        <v>436.08000000000004</v>
      </c>
      <c r="G74" s="630">
        <f t="shared" si="8"/>
        <v>449.16240000000005</v>
      </c>
      <c r="H74" s="630"/>
      <c r="I74" s="591">
        <f t="shared" si="6"/>
        <v>-0.39728829488756506</v>
      </c>
      <c r="J74" s="595">
        <f t="shared" si="6"/>
        <v>3.0000000000000013E-2</v>
      </c>
      <c r="L74" s="17">
        <f t="shared" si="7"/>
        <v>1</v>
      </c>
    </row>
    <row r="75" spans="1:12">
      <c r="A75" s="5" t="s">
        <v>360</v>
      </c>
      <c r="B75" s="92"/>
      <c r="C75" s="160">
        <f>IF(ISNA(VLOOKUP("BET606140000",Balance!C:G,5,FALSE))=TRUE,0,VLOOKUP("BET606140000",Balance!C:G,5,FALSE))</f>
        <v>0</v>
      </c>
      <c r="D75" s="117">
        <f>+[2]Béthune!$H75</f>
        <v>0</v>
      </c>
      <c r="E75" s="160">
        <f>IF(ISNA(VLOOKUP("BET606140000",Balanceanp!C:G,5,FALSE))=TRUE,0,VLOOKUP("BET606140000",Balanceanp!C:G,5,FALSE))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IF(ISNA(VLOOKUP("BET606310000",Balance!C:G,5,FALSE))=TRUE,0,VLOOKUP("BET606310000",Balance!C:G,5,FALSE))</f>
        <v>105.36</v>
      </c>
      <c r="D76" s="592">
        <f>+[2]Béthune!$H76</f>
        <v>7.0842538643545145</v>
      </c>
      <c r="E76" s="311">
        <f>IF(ISNA(VLOOKUP("BET606310000",Balanceanp!C:G,5,FALSE))=TRUE,0,VLOOKUP("BET606310000",Balanceanp!C:G,5,FALSE))</f>
        <v>0</v>
      </c>
      <c r="F76" s="625">
        <f>+C76+C76/9*(12-Clients!$I$14)</f>
        <v>140.48000000000002</v>
      </c>
      <c r="G76" s="630">
        <f t="shared" si="8"/>
        <v>144.69440000000003</v>
      </c>
      <c r="H76" s="630"/>
      <c r="I76" s="591">
        <f t="shared" si="6"/>
        <v>0</v>
      </c>
      <c r="J76" s="595">
        <f t="shared" si="6"/>
        <v>3.0000000000000082E-2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IF(ISNA(VLOOKUP("BET606410000",Balance!C:G,5,FALSE))=TRUE,0,VLOOKUP("BET606410000",Balance!C:G,5,FALSE))</f>
        <v>573.37</v>
      </c>
      <c r="D77" s="592">
        <f>+[2]Béthune!$H77</f>
        <v>770.49700304777127</v>
      </c>
      <c r="E77" s="311">
        <f>IF(ISNA(VLOOKUP("BET606410000",Balanceanp!C:G,5,FALSE))=TRUE,0,VLOOKUP("BET606410000",Balanceanp!C:G,5,FALSE))</f>
        <v>1139.18</v>
      </c>
      <c r="F77" s="625">
        <f>+C77+C77/9*(12-Clients!$I$14)</f>
        <v>764.49333333333334</v>
      </c>
      <c r="G77" s="630">
        <f t="shared" si="8"/>
        <v>787.42813333333334</v>
      </c>
      <c r="H77" s="630"/>
      <c r="I77" s="591">
        <f t="shared" si="6"/>
        <v>-0.32890909835729798</v>
      </c>
      <c r="J77" s="595">
        <f t="shared" si="6"/>
        <v>2.9999999999999995E-2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IF(ISNA(VLOOKUP("BET611000000",Balance!C:G,5,FALSE))=TRUE,0,VLOOKUP("BET611000000",Balance!C:G,5,FALSE))</f>
        <v>0</v>
      </c>
      <c r="D78" s="592">
        <f>+[2]Béthune!$H78</f>
        <v>0.81482148223958328</v>
      </c>
      <c r="E78" s="311">
        <f>IF(ISNA(VLOOKUP("BET611000000",Balanceanp!C:G,5,FALSE))=TRUE,0,VLOOKUP("BET611000000",Balanceanp!C:G,5,FALSE))</f>
        <v>0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0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IF(ISNA(VLOOKUP("BET613200000",Balance!C:G,5,FALSE))=TRUE,0,VLOOKUP("BET613200000",Balance!C:G,5,FALSE))</f>
        <v>17348.939999999999</v>
      </c>
      <c r="D79" s="592">
        <f>+[2]Béthune!$H79</f>
        <v>23131.954417413574</v>
      </c>
      <c r="E79" s="311">
        <f>IF(ISNA(VLOOKUP("BET613200000",Balanceanp!C:G,5,FALSE))=TRUE,0,VLOOKUP("BET613200000",Balanceanp!C:G,5,FALSE))</f>
        <v>22655.7</v>
      </c>
      <c r="F79" s="620">
        <f>1887.35*6+1967.98*6</f>
        <v>23131.98</v>
      </c>
      <c r="G79" s="620">
        <f>1887.35*6+(1887.35*1517/1498)*6</f>
        <v>22791.830106809077</v>
      </c>
      <c r="H79" s="974">
        <f>G79/G21</f>
        <v>5.6929903925847389E-2</v>
      </c>
      <c r="I79" s="591">
        <f t="shared" si="6"/>
        <v>2.1022524132999591E-2</v>
      </c>
      <c r="J79" s="595">
        <f t="shared" si="6"/>
        <v>-1.4704746121642969E-2</v>
      </c>
      <c r="L79" s="17">
        <f t="shared" si="7"/>
        <v>1</v>
      </c>
    </row>
    <row r="80" spans="1:12">
      <c r="A80" s="5" t="s">
        <v>325</v>
      </c>
      <c r="B80" s="92"/>
      <c r="C80" s="160">
        <f>IF(ISNA(VLOOKUP("BET614000000",Balance!C:G,5,FALSE))=TRUE,0,VLOOKUP("BET614000000",Balance!C:G,5,FALSE))</f>
        <v>0</v>
      </c>
      <c r="D80" s="117">
        <f>+[2]Béthune!$H80</f>
        <v>0</v>
      </c>
      <c r="E80" s="160">
        <f>IF(ISNA(VLOOKUP("BET614000000",Balanceanp!C:G,5,FALSE))=TRUE,0,VLOOKUP("BET614000000",Balanceanp!C:G,5,FALSE))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>
      <c r="A81" s="5" t="s">
        <v>103</v>
      </c>
      <c r="B81" s="92"/>
      <c r="C81" s="160">
        <f>IF(ISNA(VLOOKUP("BET613510000",Balance!C:G,5,FALSE))=TRUE,0,VLOOKUP("BET613510000",Balance!C:G,5,FALSE))</f>
        <v>0</v>
      </c>
      <c r="D81" s="117">
        <f>+[2]Béthune!$H81</f>
        <v>0</v>
      </c>
      <c r="E81" s="160">
        <f>IF(ISNA(VLOOKUP("BET613510000",Balanceanp!C:G,5,FALSE))=TRUE,0,VLOOKUP("BET613510000",Balanceanp!C:G,5,FALSE))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IF(ISNA(VLOOKUP("BET613530000",Balance!C:G,5,FALSE))=TRUE,0,VLOOKUP("BET613530000",Balance!C:G,5,FALSE))</f>
        <v>135</v>
      </c>
      <c r="D82" s="592">
        <f>+[2]Béthune!$H82</f>
        <v>189.61060427187499</v>
      </c>
      <c r="E82" s="311">
        <f>IF(ISNA(VLOOKUP("BET613530000",Balanceanp!C:G,5,FALSE))=TRUE,0,VLOOKUP("BET613530000",Balanceanp!C:G,5,FALSE))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IF(ISNA(VLOOKUP("BET613540000",Balance!C:G,5,FALSE))=TRUE,0,VLOOKUP("BET613540000",Balance!C:G,5,FALSE))</f>
        <v>0</v>
      </c>
      <c r="D83" s="592">
        <f>+[2]Béthune!$H83</f>
        <v>0.39080167013888889</v>
      </c>
      <c r="E83" s="311">
        <f>IF(ISNA(VLOOKUP("BET613540000",Balanceanp!C:G,5,FALSE))=TRUE,0,VLOOKUP("BET613540000",Balanceanp!C:G,5,FALSE))</f>
        <v>0</v>
      </c>
      <c r="F83" s="625">
        <f>+C83+C83/9*(12-Clients!$I$14)</f>
        <v>0</v>
      </c>
      <c r="G83" s="630">
        <f t="shared" si="8"/>
        <v>0</v>
      </c>
      <c r="H83" s="630"/>
      <c r="I83" s="591">
        <f t="shared" si="6"/>
        <v>0</v>
      </c>
      <c r="J83" s="595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IF(ISNA(VLOOKUP("BET615200000",Balance!C:G,5,FALSE))=TRUE,0,VLOOKUP("BET615200000",Balance!C:G,5,FALSE))</f>
        <v>270.81</v>
      </c>
      <c r="D84" s="592">
        <f>+[2]Béthune!$H84</f>
        <v>267.62436456451388</v>
      </c>
      <c r="E84" s="311">
        <f>IF(ISNA(VLOOKUP("BET615200000",Balanceanp!C:G,5,FALSE))=TRUE,0,VLOOKUP("BET615200000",Balanceanp!C:G,5,FALSE))</f>
        <v>190</v>
      </c>
      <c r="F84" s="625">
        <f>+C84+C84/9*(12-Clients!$I$14)</f>
        <v>361.08</v>
      </c>
      <c r="G84" s="630">
        <f t="shared" si="8"/>
        <v>371.91239999999999</v>
      </c>
      <c r="H84" s="630"/>
      <c r="I84" s="591">
        <f t="shared" si="6"/>
        <v>0.9004210526315789</v>
      </c>
      <c r="J84" s="595">
        <f t="shared" si="6"/>
        <v>3.000000000000002E-2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IF(ISNA(VLOOKUP("BET615500000",Balance!C:G,5,FALSE))=TRUE,0,VLOOKUP("BET615500000",Balance!C:G,5,FALSE))</f>
        <v>736.8</v>
      </c>
      <c r="D85" s="592">
        <f>+[2]Béthune!$H85</f>
        <v>1086.2117725520834</v>
      </c>
      <c r="E85" s="311">
        <f>IF(ISNA(VLOOKUP("BET615500000",Balanceanp!C:G,5,FALSE))=TRUE,0,VLOOKUP("BET615500000",Balanceanp!C:G,5,FALSE))</f>
        <v>744.75</v>
      </c>
      <c r="F85" s="625">
        <f>+C85+C85/9*(12-Clients!$I$14)</f>
        <v>982.39999999999986</v>
      </c>
      <c r="G85" s="630">
        <f t="shared" si="8"/>
        <v>1011.8719999999998</v>
      </c>
      <c r="H85" s="630"/>
      <c r="I85" s="591">
        <f t="shared" si="6"/>
        <v>0.31910036925142649</v>
      </c>
      <c r="J85" s="595">
        <f t="shared" si="6"/>
        <v>2.9999999999999985E-2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IF(ISNA(VLOOKUP("BET615510000",Balance!C:G,5,FALSE))=TRUE,0,VLOOKUP("BET615510000",Balance!C:G,5,FALSE))</f>
        <v>213.59</v>
      </c>
      <c r="D86" s="592">
        <f>+[2]Béthune!$H86</f>
        <v>422.08635150432298</v>
      </c>
      <c r="E86" s="311">
        <f>IF(ISNA(VLOOKUP("BET615510000",Balanceanp!C:G,5,FALSE))=TRUE,0,VLOOKUP("BET615510000",Balanceanp!C:G,5,FALSE))</f>
        <v>308.83999999999997</v>
      </c>
      <c r="F86" s="625">
        <f>+C86+C86/9*(12-Clients!$I$14)</f>
        <v>284.78666666666669</v>
      </c>
      <c r="G86" s="630">
        <f t="shared" si="8"/>
        <v>293.33026666666672</v>
      </c>
      <c r="H86" s="630"/>
      <c r="I86" s="591">
        <f t="shared" si="6"/>
        <v>-7.7882830376030582E-2</v>
      </c>
      <c r="J86" s="595">
        <f t="shared" si="6"/>
        <v>3.0000000000000089E-2</v>
      </c>
      <c r="L86" s="17">
        <f t="shared" si="7"/>
        <v>1</v>
      </c>
    </row>
    <row r="87" spans="1:12">
      <c r="A87" s="5" t="s">
        <v>363</v>
      </c>
      <c r="B87" s="92"/>
      <c r="C87" s="160">
        <f>IF(ISNA(VLOOKUP("BET615530000",Balance!C:G,5,FALSE))=TRUE,0,VLOOKUP("BET615530000",Balance!C:G,5,FALSE))</f>
        <v>0</v>
      </c>
      <c r="D87" s="117">
        <f>+[2]Béthune!$H87</f>
        <v>0</v>
      </c>
      <c r="E87" s="160">
        <f>IF(ISNA(VLOOKUP("BET615530000",Balanceanp!C:G,5,FALSE))=TRUE,0,VLOOKUP("BET615530000",Balanceanp!C:G,5,FALSE))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IF(ISNA(VLOOKUP("BET616130000",Balance!C:G,5,FALSE))=TRUE,0,VLOOKUP("BET616130000",Balance!C:G,5,FALSE))</f>
        <v>1784.88</v>
      </c>
      <c r="D88" s="592">
        <f>+[2]Béthune!$H88</f>
        <v>2379.8123999999998</v>
      </c>
      <c r="E88" s="311">
        <f>IF(ISNA(VLOOKUP("BET616130000",Balanceanp!C:G,5,FALSE))=TRUE,0,VLOOKUP("BET616130000",Balanceanp!C:G,5,FALSE))</f>
        <v>2296.0300000000002</v>
      </c>
      <c r="F88" s="625">
        <f>+C88+C88/9*(12-Clients!$I$14)</f>
        <v>2379.84</v>
      </c>
      <c r="G88" s="632">
        <f>+E88*1.05*1.05</f>
        <v>2531.3730750000004</v>
      </c>
      <c r="H88" s="632"/>
      <c r="I88" s="591">
        <f t="shared" ref="I88:I101" si="9">+IF((E88)=0,,(F88-E88)/E88)</f>
        <v>3.6502136296128508E-2</v>
      </c>
      <c r="J88" s="595">
        <f t="shared" ref="J88:J101" si="10">+IF((F88)=0,,(G88-F88)/F88)</f>
        <v>6.3673639824526132E-2</v>
      </c>
      <c r="L88" s="17">
        <f t="shared" si="7"/>
        <v>1</v>
      </c>
    </row>
    <row r="89" spans="1:12">
      <c r="A89" s="5" t="s">
        <v>315</v>
      </c>
      <c r="B89" s="92"/>
      <c r="C89" s="160"/>
      <c r="D89" s="117">
        <f>+[2]Béthune!$H89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IF(ISNA(VLOOKUP("BET618100000",Balance!C:G,5,FALSE))=TRUE,0,VLOOKUP("BET618100000",Balance!C:G,5,FALSE))</f>
        <v>114.65</v>
      </c>
      <c r="D90" s="592">
        <f>+[2]Béthune!$H90</f>
        <v>210.48021988649307</v>
      </c>
      <c r="E90" s="311">
        <f>IF(ISNA(VLOOKUP("BET618100000",Balanceanp!C:G,5,FALSE))=TRUE,0,VLOOKUP("BET618100000",Balanceanp!C:G,5,FALSE))</f>
        <v>204.8</v>
      </c>
      <c r="F90" s="625">
        <f>+C90+C90/9*(12-Clients!$I$14)</f>
        <v>152.86666666666667</v>
      </c>
      <c r="G90" s="630">
        <f t="shared" si="8"/>
        <v>157.45266666666669</v>
      </c>
      <c r="H90" s="630"/>
      <c r="I90" s="591">
        <f t="shared" si="9"/>
        <v>-0.25358072916666669</v>
      </c>
      <c r="J90" s="595">
        <f t="shared" si="10"/>
        <v>3.0000000000000082E-2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IF(ISNA(VLOOKUP("BET618500000",Balance!C:G,5,FALSE))=TRUE,0,VLOOKUP("BET618500000",Balance!C:G,5,FALSE))</f>
        <v>49.85</v>
      </c>
      <c r="D91" s="592">
        <f>+[2]Béthune!$H91</f>
        <v>110.75090289885071</v>
      </c>
      <c r="E91" s="311">
        <f>IF(ISNA(VLOOKUP("BET618500000",Balanceanp!C:G,5,FALSE))=TRUE,0,VLOOKUP("BET618500000",Balanceanp!C:G,5,FALSE))</f>
        <v>21.7</v>
      </c>
      <c r="F91" s="625">
        <f>+C91+C91/9*(12-Clients!$I$14)</f>
        <v>66.466666666666669</v>
      </c>
      <c r="G91" s="630">
        <f t="shared" si="8"/>
        <v>68.460666666666668</v>
      </c>
      <c r="H91" s="630"/>
      <c r="I91" s="591">
        <f t="shared" si="9"/>
        <v>2.0629800307219663</v>
      </c>
      <c r="J91" s="595">
        <f t="shared" si="10"/>
        <v>2.9999999999999995E-2</v>
      </c>
      <c r="L91" s="17">
        <f t="shared" si="7"/>
        <v>1</v>
      </c>
    </row>
    <row r="92" spans="1:12">
      <c r="A92" s="5" t="s">
        <v>309</v>
      </c>
      <c r="B92" s="92"/>
      <c r="C92" s="160">
        <f>IF(ISNA(VLOOKUP("BET622200000",Balance!C:G,5,FALSE))=TRUE,0,VLOOKUP("BET622200000",Balance!C:G,5,FALSE))</f>
        <v>0</v>
      </c>
      <c r="D92" s="117">
        <f>+[2]Béthune!$H92</f>
        <v>0</v>
      </c>
      <c r="E92" s="160">
        <f>IF(ISNA(VLOOKUP("BET622200000",Balanceanp!C:G,5,FALSE))=TRUE,0,VLOOKUP("BET622200000",Balanceanp!C:G,5,FALSE))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IF(ISNA(VLOOKUP("BET622600000",Balance!C:G,5,FALSE))=TRUE,0,VLOOKUP("BET622600000",Balance!C:G,5,FALSE))</f>
        <v>0</v>
      </c>
      <c r="D93" s="592">
        <f>+[2]Béthune!$H93</f>
        <v>0.5862025052083335</v>
      </c>
      <c r="E93" s="311">
        <f>IF(ISNA(VLOOKUP("BET622600000",Balanceanp!C:G,5,FALSE))=TRUE,0,VLOOKUP("BET622600000",Balanceanp!C:G,5,FALSE))</f>
        <v>0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0</v>
      </c>
      <c r="J93" s="595">
        <f t="shared" si="10"/>
        <v>0</v>
      </c>
      <c r="L93" s="17">
        <f t="shared" si="7"/>
        <v>1</v>
      </c>
    </row>
    <row r="94" spans="1:12">
      <c r="A94" s="590" t="s">
        <v>42</v>
      </c>
      <c r="B94" s="591"/>
      <c r="C94" s="311">
        <f>IF(ISNA(VLOOKUP("BET622710000",Balance!C:G,5,FALSE))=TRUE,0,VLOOKUP("BET622710000",Balance!C:G,5,FALSE))</f>
        <v>0</v>
      </c>
      <c r="D94" s="592">
        <f>+[2]Béthune!$H94</f>
        <v>2.3705346356249999</v>
      </c>
      <c r="E94" s="311">
        <f>IF(ISNA(VLOOKUP("BET622710000",Balanceanp!C:G,5,FALSE))=TRUE,0,VLOOKUP("BET622710000",Balanceanp!C:G,5,FALSE))</f>
        <v>0</v>
      </c>
      <c r="F94" s="625">
        <f>+C94+C94/9*(12-Clients!$I$14)</f>
        <v>0</v>
      </c>
      <c r="G94" s="630">
        <f t="shared" si="8"/>
        <v>0</v>
      </c>
      <c r="H94" s="630"/>
      <c r="I94" s="591">
        <f t="shared" si="9"/>
        <v>0</v>
      </c>
      <c r="J94" s="595">
        <f t="shared" si="10"/>
        <v>0</v>
      </c>
      <c r="L94" s="17">
        <f t="shared" si="7"/>
        <v>1</v>
      </c>
    </row>
    <row r="95" spans="1:12">
      <c r="A95" s="590" t="s">
        <v>117</v>
      </c>
      <c r="B95" s="591">
        <f>+C95/$C$21</f>
        <v>4.4136626066458547E-3</v>
      </c>
      <c r="C95" s="311">
        <f>IF(ISNA(VLOOKUP("BET624200000",Balance!C:G,5,FALSE))=TRUE,0,VLOOKUP("BET624200000",Balance!C:G,5,FALSE))</f>
        <v>1193.52</v>
      </c>
      <c r="D95" s="592">
        <f>+[2]Béthune!$H95</f>
        <v>3343.6354725230181</v>
      </c>
      <c r="E95" s="311">
        <f>IF(ISNA(VLOOKUP("BET624200000",Balanceanp!C:G,5,FALSE))=TRUE,0,VLOOKUP("BET624200000",Balanceanp!C:G,5,FALSE))</f>
        <v>1660.95</v>
      </c>
      <c r="F95" s="625">
        <f>+C95+C95/9*(12-Clients!$I$14)</f>
        <v>1591.3600000000001</v>
      </c>
      <c r="G95" s="630">
        <f>B95*G21</f>
        <v>1767.0054109080613</v>
      </c>
      <c r="H95" s="633">
        <f>+G95/$G$21</f>
        <v>4.4136626066458547E-3</v>
      </c>
      <c r="I95" s="591">
        <f t="shared" si="9"/>
        <v>-4.1897709142358242E-2</v>
      </c>
      <c r="J95" s="595">
        <f t="shared" si="10"/>
        <v>0.11037440359696184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IF(ISNA(VLOOKUP("BET625100000",Balance!C:G,5,FALSE))=TRUE,0,VLOOKUP("BET625100000",Balance!C:G,5,FALSE))</f>
        <v>4359.5</v>
      </c>
      <c r="D96" s="592">
        <f>+[2]Béthune!$H96</f>
        <v>5542.6694750000006</v>
      </c>
      <c r="E96" s="311">
        <f>IF(ISNA(VLOOKUP("BET625100000",Balanceanp!C:G,5,FALSE))=TRUE,0,VLOOKUP("BET625100000",Balanceanp!C:G,5,FALSE))</f>
        <v>5605.98</v>
      </c>
      <c r="F96" s="625">
        <f>+C96+C96/9*(12-Clients!$I$14)</f>
        <v>5812.666666666667</v>
      </c>
      <c r="G96" s="594">
        <f t="shared" si="8"/>
        <v>5987.0466666666671</v>
      </c>
      <c r="H96" s="594"/>
      <c r="I96" s="591">
        <f t="shared" si="9"/>
        <v>3.6868962548326507E-2</v>
      </c>
      <c r="J96" s="595">
        <f t="shared" si="10"/>
        <v>3.0000000000000016E-2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IF(ISNA(VLOOKUP("BET625200000",Balance!C:G,5,FALSE))=TRUE,0,VLOOKUP("BET625200000",Balance!C:G,5,FALSE))</f>
        <v>0</v>
      </c>
      <c r="D97" s="592">
        <f>+[2]Béthune!$H97</f>
        <v>18.152221302754167</v>
      </c>
      <c r="E97" s="311">
        <f>IF(ISNA(VLOOKUP("BET625200000",Balanceanp!C:G,5,FALSE))=TRUE,0,VLOOKUP("BET625200000",Balanceanp!C:G,5,FALSE))</f>
        <v>116.47</v>
      </c>
      <c r="F97" s="625">
        <f>+C97+C97/9*(12-Clients!$I$14)</f>
        <v>0</v>
      </c>
      <c r="G97" s="594">
        <f t="shared" si="8"/>
        <v>0</v>
      </c>
      <c r="H97" s="594"/>
      <c r="I97" s="591">
        <f t="shared" si="9"/>
        <v>-1</v>
      </c>
      <c r="J97" s="595">
        <f t="shared" si="10"/>
        <v>0</v>
      </c>
      <c r="L97" s="17">
        <f t="shared" si="7"/>
        <v>1</v>
      </c>
    </row>
    <row r="98" spans="1:12">
      <c r="A98" s="5" t="s">
        <v>307</v>
      </c>
      <c r="B98" s="92"/>
      <c r="C98" s="160">
        <f>IF(ISNA(VLOOKUP("BET625510000",Balance!C:G,5,FALSE))=TRUE,0,VLOOKUP("BET625510000",Balance!C:G,5,FALSE))</f>
        <v>0</v>
      </c>
      <c r="D98" s="117">
        <f>+[2]Béthune!$H98</f>
        <v>0</v>
      </c>
      <c r="E98" s="160">
        <f>IF(ISNA(VLOOKUP("BET625510000",Balanceanp!C:G,5,FALSE))=TRUE,0,VLOOKUP("BET625510000",Balanceanp!C:G,5,FALSE))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IF(ISNA(VLOOKUP("BET626000000",Balance!C:G,5,FALSE))=TRUE,0,VLOOKUP("BET626000000",Balance!C:G,5,FALSE))</f>
        <v>3661.89</v>
      </c>
      <c r="D99" s="592">
        <f>+[2]Béthune!$H99</f>
        <v>5398.7787838588392</v>
      </c>
      <c r="E99" s="311">
        <f>IF(ISNA(VLOOKUP("BET626000000",Balanceanp!C:G,5,FALSE))=TRUE,0,VLOOKUP("BET626000000",Balanceanp!C:G,5,FALSE))</f>
        <v>5100.32</v>
      </c>
      <c r="F99" s="625">
        <f>+C99+C99/9*(12-Clients!$I$14)</f>
        <v>4882.5200000000004</v>
      </c>
      <c r="G99" s="630">
        <f>+F99</f>
        <v>4882.5200000000004</v>
      </c>
      <c r="H99" s="630"/>
      <c r="I99" s="591">
        <f t="shared" si="9"/>
        <v>-4.2703202936286211E-2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IF(ISNA(VLOOKUP("BET626100000",Balance!C:G,5,FALSE))=TRUE,0,VLOOKUP("BET626100000",Balance!C:G,5,FALSE))</f>
        <v>347.49</v>
      </c>
      <c r="D100" s="592">
        <f>+[2]Béthune!$H100</f>
        <v>584.6827127994253</v>
      </c>
      <c r="E100" s="311">
        <f>IF(ISNA(VLOOKUP("BET626100000",Balanceanp!C:G,5,FALSE))=TRUE,0,VLOOKUP("BET626100000",Balanceanp!C:G,5,FALSE))</f>
        <v>509.2</v>
      </c>
      <c r="F100" s="625">
        <f>+C100+C100/9*(12-Clients!$I$14)</f>
        <v>463.32</v>
      </c>
      <c r="G100" s="630">
        <f t="shared" si="8"/>
        <v>477.21960000000001</v>
      </c>
      <c r="H100" s="630"/>
      <c r="I100" s="591">
        <f t="shared" si="9"/>
        <v>-9.010212097407698E-2</v>
      </c>
      <c r="J100" s="595">
        <f t="shared" si="10"/>
        <v>3.0000000000000044E-2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IF(ISNA(VLOOKUP("BET628400000",Balance!C:G,5,FALSE))=TRUE,0,VLOOKUP("BET628400000",Balance!C:G,5,FALSE))</f>
        <v>0</v>
      </c>
      <c r="D101" s="592">
        <f>+[2]Béthune!$H101</f>
        <v>3.8625000000000003</v>
      </c>
      <c r="E101" s="311">
        <f>IF(ISNA(VLOOKUP("BET628400000",Balanceanp!C:G,5,FALSE))=TRUE,0,VLOOKUP("BET628400000",Balanceanp!C:G,5,FALSE))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0.12594647624222738</v>
      </c>
      <c r="C103" s="305">
        <f>SUM(C70:C102)</f>
        <v>34057.800000000003</v>
      </c>
      <c r="D103" s="312">
        <f>SUM(D70:D102)</f>
        <v>48421.270145517708</v>
      </c>
      <c r="E103" s="305">
        <f>SUM(E70:E102)</f>
        <v>43702.93</v>
      </c>
      <c r="F103" s="312">
        <f>SUM(F70:F102)</f>
        <v>45410.46</v>
      </c>
      <c r="G103" s="312">
        <f>SUM(G70:G102)</f>
        <v>45800.231392717134</v>
      </c>
      <c r="H103" s="421">
        <f>+G103/$G$21</f>
        <v>0.11440076381536393</v>
      </c>
      <c r="I103" s="598">
        <f>+IF((E103)=0,,(F103-E103)/E103)</f>
        <v>3.9071293389253282E-2</v>
      </c>
      <c r="J103" s="599">
        <f>+IF((F103)=0,,(G103-F103)/F103)</f>
        <v>8.5832954063256636E-3</v>
      </c>
      <c r="K103" s="136">
        <f>(C103+(C103/3))</f>
        <v>45410.400000000001</v>
      </c>
      <c r="L103" s="17">
        <f t="shared" si="7"/>
        <v>1</v>
      </c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IF(ISNA(VLOOKUP("BET623100000",Balance!C:G,5,FALSE))=TRUE,0,VLOOKUP("BET623100000",Balance!C:G,5,FALSE))</f>
        <v>0</v>
      </c>
      <c r="D105" s="592">
        <f>+[2]Béthune!$H105</f>
        <v>928.59649999999999</v>
      </c>
      <c r="E105" s="311">
        <f>IF(ISNA(VLOOKUP("BET623100000",Balanceanp!C:G,5,FALSE))=TRUE,0,VLOOKUP("BET623100000",Balanceanp!C:G,5,FALSE))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IF(ISNA(VLOOKUP("BET623200000",Balance!C:G,5,FALSE))=TRUE,0,VLOOKUP("BET623200000",Balance!C:G,5,FALSE))</f>
        <v>2100.79</v>
      </c>
      <c r="D106" s="592">
        <f>+[2]Béthune!$H106</f>
        <v>3604.8867</v>
      </c>
      <c r="E106" s="311">
        <f>IF(ISNA(VLOOKUP("BET623200000",Balanceanp!C:G,5,FALSE))=TRUE,0,VLOOKUP("BET623200000",Balanceanp!C:G,5,FALSE))</f>
        <v>3820.4</v>
      </c>
      <c r="F106" s="625">
        <f>+C106+C106/9*(12-Clients!$I$14)</f>
        <v>2801.0533333333333</v>
      </c>
      <c r="G106" s="594">
        <f t="shared" si="11"/>
        <v>2885.0849333333335</v>
      </c>
      <c r="H106" s="594"/>
      <c r="I106" s="591">
        <f t="shared" si="12"/>
        <v>-0.26681673821240359</v>
      </c>
      <c r="J106" s="595">
        <f t="shared" si="12"/>
        <v>3.0000000000000093E-2</v>
      </c>
      <c r="L106" s="17">
        <f t="shared" si="7"/>
        <v>1</v>
      </c>
    </row>
    <row r="107" spans="1:12">
      <c r="A107" s="5" t="s">
        <v>131</v>
      </c>
      <c r="B107" s="92"/>
      <c r="C107" s="160">
        <f>IF(ISNA(VLOOKUP("BET629000000",Balance!C:G,5,FALSE))=TRUE,0,VLOOKUP("BET629000000",Balance!C:G,5,FALSE))</f>
        <v>0</v>
      </c>
      <c r="D107" s="117">
        <f>+[2]Béthune!$H107</f>
        <v>0</v>
      </c>
      <c r="E107" s="160">
        <f>IF(ISNA(VLOOKUP("BET629000000",Balanceanp!C:G,5,FALSE))=TRUE,0,VLOOKUP("BET629000000",Balanceanp!C:G,5,FALSE))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IF(ISNA(VLOOKUP("BET623300000",Balance!C:G,5,FALSE))=TRUE,0,VLOOKUP("BET623300000",Balance!C:G,5,FALSE))</f>
        <v>1498.7699999999998</v>
      </c>
      <c r="D108" s="592">
        <f>+[2]Béthune!$H108</f>
        <v>450</v>
      </c>
      <c r="E108" s="311">
        <f>IF(ISNA(VLOOKUP("BET623300000",Balanceanp!C:G,5,FALSE))=TRUE,0,VLOOKUP("BET623300000",Balanceanp!C:G,5,FALSE))</f>
        <v>130.91999999999999</v>
      </c>
      <c r="F108" s="625">
        <f>+C108+C108/9*(12-Clients!$I$14)</f>
        <v>1998.3599999999997</v>
      </c>
      <c r="G108" s="594">
        <v>450</v>
      </c>
      <c r="H108" s="594"/>
      <c r="I108" s="591">
        <f t="shared" si="12"/>
        <v>14.263978001833179</v>
      </c>
      <c r="J108" s="595">
        <f t="shared" si="12"/>
        <v>-0.77481534858584034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IF(ISNA(VLOOKUP("BET623700000",Balance!C:G,5,FALSE))=TRUE,0,VLOOKUP("BET623700000",Balance!C:G,5,FALSE))</f>
        <v>1334.3</v>
      </c>
      <c r="D109" s="592">
        <f>+[2]Béthune!$H109</f>
        <v>2230.4341000000004</v>
      </c>
      <c r="E109" s="311">
        <f>IF(ISNA(VLOOKUP("BET623700000",Balanceanp!C:G,5,FALSE))=TRUE,0,VLOOKUP("BET623700000",Balanceanp!C:G,5,FALSE))</f>
        <v>736.09</v>
      </c>
      <c r="F109" s="625">
        <f>+C109+C109/9*(12-Clients!$I$14)</f>
        <v>1779.0666666666666</v>
      </c>
      <c r="G109" s="594">
        <f t="shared" si="11"/>
        <v>1832.4386666666667</v>
      </c>
      <c r="H109" s="594"/>
      <c r="I109" s="591">
        <f t="shared" si="12"/>
        <v>1.4169145983054605</v>
      </c>
      <c r="J109" s="595">
        <f t="shared" si="12"/>
        <v>3.0000000000000041E-2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IF(ISNA(VLOOKUP("BET623410000",Balance!C:G,5,FALSE))=TRUE,0,VLOOKUP("BET623410000",Balance!C:G,5,FALSE))+IF(ISNA(VLOOKUP("BET623420000",Balance!C:G,5,FALSE))=TRUE,0,VLOOKUP("BET623420000",Balance!C:G,5,FALSE))</f>
        <v>2714.5</v>
      </c>
      <c r="D110" s="592">
        <f>+[2]Béthune!$H110</f>
        <v>3625.6</v>
      </c>
      <c r="E110" s="311">
        <f>IF(ISNA(VLOOKUP("BET623410000",Balanceanp!C:G,5,FALSE))=TRUE,0,VLOOKUP("BET623410000",Balanceanp!C:G,5,FALSE))+IF(ISNA(VLOOKUP("BET623420000",Balanceanp!C:G,5,FALSE))=TRUE,0,VLOOKUP("BET623420000",Balanceanp!C:G,5,FALSE))</f>
        <v>788.57999999999993</v>
      </c>
      <c r="F110" s="625">
        <f>+C110+C110/9*(12-Clients!$I$14)</f>
        <v>3619.333333333333</v>
      </c>
      <c r="G110" s="594">
        <f t="shared" si="11"/>
        <v>3727.913333333333</v>
      </c>
      <c r="H110" s="594"/>
      <c r="I110" s="591">
        <f t="shared" si="12"/>
        <v>3.5896844116428688</v>
      </c>
      <c r="J110" s="595">
        <f t="shared" si="12"/>
        <v>2.9999999999999982E-2</v>
      </c>
      <c r="L110" s="17">
        <f t="shared" si="7"/>
        <v>1</v>
      </c>
    </row>
    <row r="111" spans="1:12">
      <c r="A111" s="590" t="s">
        <v>135</v>
      </c>
      <c r="B111" s="591"/>
      <c r="C111" s="311">
        <f>IF(ISNA(VLOOKUP("Bet623800000",Balance!C:G,5,FALSE))=TRUE,0,VLOOKUP("Bet623800000",Balance!C:G,5,FALSE))+IF(ISNA(VLOOKUP("Bet623820000",Balance!C:G,5,FALSE))=TRUE,0,VLOOKUP("Bet623820000",Balance!C:G,5,FALSE))</f>
        <v>0</v>
      </c>
      <c r="D111" s="592">
        <f>+[2]Béthune!$H111</f>
        <v>0</v>
      </c>
      <c r="E111" s="311">
        <f>IF(ISNA(VLOOKUP("BET623800000",Balanceanp!C:G,5,FALSE))=TRUE,0,VLOOKUP("BET623800000",Balanceanp!C:G,5,FALSE))</f>
        <v>20</v>
      </c>
      <c r="F111" s="625">
        <f>+C111+C111/9*(12-Clients!$I$14)</f>
        <v>0</v>
      </c>
      <c r="G111" s="594">
        <f t="shared" si="11"/>
        <v>0</v>
      </c>
      <c r="H111" s="594"/>
      <c r="I111" s="591">
        <f t="shared" si="12"/>
        <v>-1</v>
      </c>
      <c r="J111" s="595">
        <f t="shared" si="12"/>
        <v>0</v>
      </c>
      <c r="L111" s="17">
        <f t="shared" si="7"/>
        <v>1</v>
      </c>
    </row>
    <row r="112" spans="1:12">
      <c r="A112" s="590" t="s">
        <v>136</v>
      </c>
      <c r="B112" s="591"/>
      <c r="C112" s="311">
        <f>IF(ISNA(VLOOKUP("BET625600000",Balance!C:G,5,FALSE))=TRUE,0,VLOOKUP("BET625600000",Balance!C:G,5,FALSE))</f>
        <v>19.5</v>
      </c>
      <c r="D112" s="592">
        <f>+[2]Béthune!$H112</f>
        <v>25.997199999999999</v>
      </c>
      <c r="E112" s="311">
        <f>IF(ISNA(VLOOKUP("BET625600000",Balanceanp!C:G,5,FALSE))=TRUE,0,VLOOKUP("BET625600000",Balanceanp!C:G,5,FALSE))</f>
        <v>25.24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3.0110935023771854E-2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IF(ISNA(VLOOKUP("bet625700000",Balance!C:G,5,FALSE))=TRUE,0,VLOOKUP("bet625700000",Balance!C:G,5,FALSE))+IF(ISNA(VLOOKUP("bet625710000",Balance!C:G,5,FALSE))=TRUE,0,VLOOKUP("bet625710000",Balance!C:G,5,FALSE))</f>
        <v>2772.8399999999997</v>
      </c>
      <c r="D113" s="592">
        <f>+[2]Béthune!$H113</f>
        <v>2224.2200000000003</v>
      </c>
      <c r="E113" s="311">
        <f>IF(ISNA(VLOOKUP("bet625700000",Balanceanp!C:G,5,FALSE))=TRUE,0,VLOOKUP("bet625700000",Balanceanp!C:G,5,FALSE))+IF(ISNA(VLOOKUP("bet625710000",Balanceanp!C:G,5,FALSE))=TRUE,0,VLOOKUP("bet625710000",Balanceanp!C:G,5,FALSE))</f>
        <v>421.91999999999996</v>
      </c>
      <c r="F113" s="625">
        <v>804.97</v>
      </c>
      <c r="G113" s="594">
        <v>2000</v>
      </c>
      <c r="H113" s="594"/>
      <c r="I113" s="591">
        <f t="shared" si="12"/>
        <v>0.90787353052711439</v>
      </c>
      <c r="J113" s="595">
        <f t="shared" si="12"/>
        <v>1.4845646421605774</v>
      </c>
      <c r="L113" s="17">
        <f t="shared" si="7"/>
        <v>1</v>
      </c>
    </row>
    <row r="114" spans="1:12">
      <c r="A114" s="5" t="s">
        <v>138</v>
      </c>
      <c r="B114" s="92"/>
      <c r="C114" s="160">
        <f>IF(ISNA(VLOOKUP("BET623810000",Balance!C:G,5,FALSE))=TRUE,0,VLOOKUP("BET623810000",Balance!C:G,5,FALSE))</f>
        <v>0</v>
      </c>
      <c r="D114" s="117">
        <f>+[2]Béthune!$H114</f>
        <v>0</v>
      </c>
      <c r="E114" s="160">
        <f>IF(ISNA(VLOOKUP("BET623810000",Balanceanp!C:G,5,FALSE))=TRUE,0,VLOOKUP("BET623810000",Balanceanp!C:G,5,FALSE))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3.8609932952281802E-2</v>
      </c>
      <c r="C116" s="305">
        <f>SUM(C104:C115)</f>
        <v>10440.699999999999</v>
      </c>
      <c r="D116" s="312">
        <f>SUM(D104:D115)</f>
        <v>13089.734499999999</v>
      </c>
      <c r="E116" s="305">
        <f>SUM(E104:E115)</f>
        <v>6717.45</v>
      </c>
      <c r="F116" s="312">
        <f>SUM(F104:F115)</f>
        <v>11028.783333333331</v>
      </c>
      <c r="G116" s="312">
        <f>SUM(G104:G115)</f>
        <v>10922.216933333335</v>
      </c>
      <c r="H116" s="421">
        <f>+G116/$G$21</f>
        <v>2.7281739016041841E-2</v>
      </c>
      <c r="I116" s="598">
        <f>+IF((E116)=0,,(F116-E116)/E116)</f>
        <v>0.64181100467191143</v>
      </c>
      <c r="J116" s="599">
        <f>+IF((F116)=0,,(G116-F116)/F116)</f>
        <v>-9.6625708184791687E-3</v>
      </c>
      <c r="K116" s="136">
        <f>(C116+(C116/3))</f>
        <v>13920.933333333332</v>
      </c>
      <c r="L116" s="17">
        <f t="shared" si="7"/>
        <v>1</v>
      </c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IF(ISNA(VLOOKUP("BET633300000",Balance!C:G,5,FALSE))=TRUE,0,VLOOKUP("BET633300000",Balance!C:G,5,FALSE))</f>
        <v>780.36</v>
      </c>
      <c r="D118" s="592">
        <f>+[2]Béthune!$H118</f>
        <v>319.2</v>
      </c>
      <c r="E118" s="311">
        <f>IF(ISNA(VLOOKUP("BET633300000",Balanceanp!C:G,5,FALSE))=TRUE,0,VLOOKUP("BET633300000",Balanceanp!C:G,5,FALSE))</f>
        <v>200</v>
      </c>
      <c r="F118" s="625">
        <f>+C118+C118/9*(12-Clients!$I$14)</f>
        <v>1040.48</v>
      </c>
      <c r="G118" s="630">
        <f>G131*(0.2+0.5)%</f>
        <v>381.54899999999998</v>
      </c>
      <c r="H118" s="630"/>
      <c r="I118" s="591">
        <f t="shared" ref="I118:J127" si="13">+IF((E118)=0,,(F118-E118)/E118)</f>
        <v>4.2023999999999999</v>
      </c>
      <c r="J118" s="595">
        <f t="shared" si="13"/>
        <v>-0.63329520990312171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IF(ISNA(VLOOKUP("BET633400000",Balance!C:G,5,FALSE))=TRUE,0,VLOOKUP("BET633400000",Balance!C:G,5,FALSE))</f>
        <v>0</v>
      </c>
      <c r="D119" s="592">
        <f>+[2]Béthune!$H119</f>
        <v>205.20000000000002</v>
      </c>
      <c r="E119" s="311">
        <f>IF(ISNA(VLOOKUP("BET633400000",Balanceanp!C:G,5,FALSE))=TRUE,0,VLOOKUP("BET633400000",Balanceanp!C:G,5,FALSE))</f>
        <v>110</v>
      </c>
      <c r="F119" s="625">
        <f>+C119+C119/9*(12-Clients!$I$14)</f>
        <v>0</v>
      </c>
      <c r="G119" s="630">
        <f>+G131*0.45%</f>
        <v>245.28150000000002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IF(ISNA(VLOOKUP("BET633500000",Balance!C:G,5,FALSE))=TRUE,0,VLOOKUP("BET633500000",Balance!C:G,5,FALSE))</f>
        <v>0</v>
      </c>
      <c r="D120" s="592">
        <f>+[2]Béthune!$H120</f>
        <v>355.68</v>
      </c>
      <c r="E120" s="311">
        <f>IF(ISNA(VLOOKUP("BET633500000",Balanceanp!C:G,5,FALSE))=TRUE,0,VLOOKUP("BET633500000",Balanceanp!C:G,5,FALSE))</f>
        <v>166</v>
      </c>
      <c r="F120" s="625">
        <f>+C120+C120/9*(12-Clients!$I$14)</f>
        <v>0</v>
      </c>
      <c r="G120" s="630">
        <f>+G131*(0.6+0.18)%</f>
        <v>425.15460000000002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IF(ISNA(VLOOKUP("BET635110000",Balance!C:G,5,FALSE))=TRUE,0,VLOOKUP("BET635110000",Balance!C:G,5,FALSE))</f>
        <v>2977.56</v>
      </c>
      <c r="D121" s="592">
        <f>+[2]Béthune!$H121</f>
        <v>3970.05</v>
      </c>
      <c r="E121" s="311">
        <f>IF(ISNA(VLOOKUP("BET635110000",Balanceanp!C:G,5,FALSE))=TRUE,0,VLOOKUP("BET635110000",Balanceanp!C:G,5,FALSE))</f>
        <v>3781</v>
      </c>
      <c r="F121" s="637">
        <v>1538</v>
      </c>
      <c r="G121" s="637">
        <f>+F121*1.05</f>
        <v>1614.9</v>
      </c>
      <c r="H121" s="632"/>
      <c r="I121" s="591">
        <f t="shared" si="13"/>
        <v>-0.59322930441682098</v>
      </c>
      <c r="J121" s="595">
        <f t="shared" si="13"/>
        <v>5.0000000000000058E-2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IF(ISNA(VLOOKUP("BET635120000",Balance!C:G,5,FALSE))=TRUE,0,VLOOKUP("BET635120000",Balance!C:G,5,FALSE))</f>
        <v>1285.56</v>
      </c>
      <c r="D122" s="592">
        <f>+[2]Béthune!$H122</f>
        <v>1714.0620000000001</v>
      </c>
      <c r="E122" s="311">
        <f>IF(ISNA(VLOOKUP("BET635120000",Balanceanp!C:G,5,FALSE))=TRUE,0,VLOOKUP("BET635120000",Balanceanp!C:G,5,FALSE))</f>
        <v>1364.92</v>
      </c>
      <c r="F122" s="620">
        <v>1517.98</v>
      </c>
      <c r="G122" s="620">
        <f>+F122*1.05</f>
        <v>1593.8790000000001</v>
      </c>
      <c r="H122" s="632"/>
      <c r="I122" s="591">
        <f t="shared" si="13"/>
        <v>0.11213844034815222</v>
      </c>
      <c r="J122" s="595">
        <f t="shared" si="13"/>
        <v>5.0000000000000072E-2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IF(ISNA(VLOOKUP("BET635130000",Balance!C:G,5,FALSE))=TRUE,0,VLOOKUP("BET635130000",Balance!C:G,5,FALSE))</f>
        <v>0</v>
      </c>
      <c r="D123" s="592">
        <f>+[2]Béthune!$H123</f>
        <v>50</v>
      </c>
      <c r="E123" s="311">
        <f>IF(ISNA(VLOOKUP("BET635130000",Balanceanp!C:G,5,FALSE))=TRUE,0,VLOOKUP("BET635130000",Balanceanp!C:G,5,FALSE))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>
      <c r="A124" s="5" t="s">
        <v>145</v>
      </c>
      <c r="B124" s="92"/>
      <c r="C124" s="160">
        <f>IF(ISNA(VLOOKUP("BET635140000",Balance!C:G,5,FALSE))=TRUE,0,VLOOKUP("BET635140000",Balance!C:G,5,FALSE))</f>
        <v>0</v>
      </c>
      <c r="D124" s="117">
        <f>+[2]Béthune!$H124</f>
        <v>0</v>
      </c>
      <c r="E124" s="160">
        <f>IF(ISNA(VLOOKUP("BET635140000",Balanceanp!C:G,5,FALSE))=TRUE,0,VLOOKUP("BET635140000",Balanceanp!C:G,5,FALSE))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>
      <c r="A125" s="5" t="s">
        <v>286</v>
      </c>
      <c r="B125" s="92"/>
      <c r="C125" s="160">
        <f>IF(ISNA(VLOOKUP("BET635300000",Balance!C:G,5,FALSE))=TRUE,0,VLOOKUP("BET635300000",Balance!C:G,5,FALSE))</f>
        <v>0</v>
      </c>
      <c r="D125" s="117">
        <f>+[2]Béthune!$H125</f>
        <v>0</v>
      </c>
      <c r="E125" s="160">
        <f>IF(ISNA(VLOOKUP("BET635300000",Balanceanp!C:G,5,FALSE))=TRUE,0,VLOOKUP("BET635300000",Balanceanp!C:G,5,FALSE))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>
      <c r="A126" s="5" t="s">
        <v>361</v>
      </c>
      <c r="B126" s="92"/>
      <c r="C126" s="160">
        <f>IF(ISNA(VLOOKUP("BET635400000",Balance!C:G,5,FALSE))=TRUE,0,VLOOKUP("BET635400000",Balance!C:G,5,FALSE))</f>
        <v>0</v>
      </c>
      <c r="D126" s="117">
        <f>+[2]Béthune!$H126</f>
        <v>0</v>
      </c>
      <c r="E126" s="160">
        <f>IF(ISNA(VLOOKUP("BET635400000",Balanceanp!C:G,5,FALSE))=TRUE,0,VLOOKUP("BET635400000",Balanceanp!C:G,5,FALSE))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IF(ISNA(VLOOKUP("BET637100000",Balance!C:G,5,FALSE))=TRUE,0,VLOOKUP("BET637100000",Balance!C:G,5,FALSE))</f>
        <v>472.12</v>
      </c>
      <c r="D127" s="592">
        <f>+[2]Béthune!$H127</f>
        <v>583.12</v>
      </c>
      <c r="E127" s="311">
        <f>IF(ISNA(VLOOKUP("BET637100000",Balanceanp!C:G,5,FALSE))=TRUE,0,VLOOKUP("BET637100000",Balanceanp!C:G,5,FALSE))</f>
        <v>490.72</v>
      </c>
      <c r="F127" s="625">
        <f>+C127+C127/9*(12-Clients!$I$14)</f>
        <v>629.49333333333334</v>
      </c>
      <c r="G127" s="630">
        <f>+G51*0.16%</f>
        <v>637.67360000000008</v>
      </c>
      <c r="H127" s="630"/>
      <c r="I127" s="591">
        <f t="shared" si="13"/>
        <v>0.282795348331703</v>
      </c>
      <c r="J127" s="595">
        <f t="shared" si="13"/>
        <v>1.2995001270863456E-2</v>
      </c>
      <c r="L127" s="17">
        <f t="shared" si="7"/>
        <v>1</v>
      </c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2.0396807320544167E-2</v>
      </c>
      <c r="C129" s="305">
        <f>SUM(C117:C128)</f>
        <v>5515.5999999999995</v>
      </c>
      <c r="D129" s="312">
        <f>SUM(D117:D128)</f>
        <v>7197.3119999999999</v>
      </c>
      <c r="E129" s="305">
        <f>SUM(E117:E128)</f>
        <v>6112.64</v>
      </c>
      <c r="F129" s="312">
        <f>SUM(F117:F128)</f>
        <v>4725.9533333333329</v>
      </c>
      <c r="G129" s="312">
        <f>SUM(G117:G128)</f>
        <v>4948.4377000000004</v>
      </c>
      <c r="H129" s="421">
        <f>+G129/$G$21</f>
        <v>1.2360309879630023E-2</v>
      </c>
      <c r="I129" s="598">
        <f>+IF((E129)=0,,(F129-E129)/E129)</f>
        <v>-0.22685560848776753</v>
      </c>
      <c r="J129" s="599">
        <f>+IF((F129)=0,,(G129-F129)/F129)</f>
        <v>4.707713999150806E-2</v>
      </c>
      <c r="K129" s="136">
        <f>(C129+(C129/3))</f>
        <v>7354.1333333333323</v>
      </c>
      <c r="L129" s="17">
        <f t="shared" si="7"/>
        <v>1</v>
      </c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IF(ISNA(VLOOKUP("BET641100000",Balance!C:G,5,FALSE))=TRUE,0,VLOOKUP("BET641100000",Balance!C:G,5,FALSE))</f>
        <v>55322.25</v>
      </c>
      <c r="D131" s="592">
        <f>+[2]Béthune!$H131</f>
        <v>45600</v>
      </c>
      <c r="E131" s="311">
        <f>IF(ISNA(VLOOKUP("BET641100000",Balanceanp!C:G,5,FALSE))=TRUE,0,VLOOKUP("BET641100000",Balanceanp!C:G,5,FALSE))+IF(ISNA(VLOOKUP("BET641112000",Balanceanp!C:G,5,FALSE))=TRUE,0,VLOOKUP("BET641112000",Balanceanp!C:G,5,FALSE))</f>
        <v>47963.41</v>
      </c>
      <c r="F131" s="625">
        <f>+C131+C131/9*(12-Clients!$I$14)</f>
        <v>73763</v>
      </c>
      <c r="G131" s="594">
        <v>54507</v>
      </c>
      <c r="H131" s="594"/>
      <c r="I131" s="591">
        <f t="shared" ref="I131:J146" si="14">+IF((E131)=0,,(F131-E131)/E131)</f>
        <v>0.53790149616134453</v>
      </c>
      <c r="J131" s="595">
        <f t="shared" si="14"/>
        <v>-0.26105228908802514</v>
      </c>
      <c r="L131" s="17">
        <v>1</v>
      </c>
    </row>
    <row r="132" spans="1:12">
      <c r="A132" s="5" t="s">
        <v>149</v>
      </c>
      <c r="B132" s="92"/>
      <c r="C132" s="160">
        <f>+IF(ISNA(VLOOKUP("BET641112000",Balance!C:G,5,FALSE))=TRUE,0,VLOOKUP("BET641112000",Balance!C:G,5,FALSE))</f>
        <v>1620.86</v>
      </c>
      <c r="D132" s="117">
        <f>+[2]Béthune!$H132</f>
        <v>0</v>
      </c>
      <c r="E132" s="160">
        <f>IF(ISNA(VLOOKUP("BET641110000",Balanceanp!C:G,5,FALSE))=TRUE,0,VLOOKUP("BET641110000",Balanceanp!C:G,5,FALSE))+IF(ISNA(VLOOKUP("BET641112000",Balanceanp!C:G,5,FALSE))=TRUE,0,VLOOKUP("BET641112000",Balanceanp!C:G,5,FALSE))</f>
        <v>0</v>
      </c>
      <c r="F132" s="368">
        <f>+C132+C132/9*(12-Clients!$I$14)</f>
        <v>2161.1466666666665</v>
      </c>
      <c r="G132" s="395"/>
      <c r="H132" s="401"/>
      <c r="I132" s="149">
        <f t="shared" si="14"/>
        <v>0</v>
      </c>
      <c r="J132" s="271">
        <f t="shared" si="14"/>
        <v>-1</v>
      </c>
      <c r="L132" s="17">
        <v>0</v>
      </c>
    </row>
    <row r="133" spans="1:12">
      <c r="A133" s="5" t="s">
        <v>150</v>
      </c>
      <c r="B133" s="92"/>
      <c r="C133" s="160">
        <f>IF(ISNA(VLOOKUP("BET641111000",Balance!C:G,5,FALSE))=TRUE,0,VLOOKUP("BET641111000",Balance!C:G,5,FALSE))</f>
        <v>0</v>
      </c>
      <c r="D133" s="117">
        <f>+[2]Béthune!$H133</f>
        <v>0</v>
      </c>
      <c r="E133" s="160">
        <f>IF(ISNA(VLOOKUP("BET641111000",Balanceanp!C:G,5,FALSE))=TRUE,0,VLOOKUP("BET641111000",Balanceanp!C:G,5,FALSE))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>
      <c r="A134" s="5" t="s">
        <v>151</v>
      </c>
      <c r="B134" s="92"/>
      <c r="C134" s="160">
        <f>IF(ISNA(VLOOKUP("BET641200000",Balance!C:G,5,FALSE))=TRUE,0,VLOOKUP("BET641200000",Balance!C:G,5,FALSE))</f>
        <v>0</v>
      </c>
      <c r="D134" s="117">
        <f>+[2]Béthune!$H134</f>
        <v>0</v>
      </c>
      <c r="E134" s="160">
        <f>IF(ISNA(VLOOKUP("BET641200000",Balanceanp!C:G,5,FALSE))=TRUE,0,VLOOKUP("BET641200000",Balanceanp!C:G,5,FALSE))</f>
        <v>72.539999999999964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>
      <c r="A135" s="5" t="s">
        <v>114</v>
      </c>
      <c r="B135" s="92"/>
      <c r="C135" s="160">
        <f>IF(ISNA(VLOOKUP("BET621100000",Balance!C:G,5,FALSE))=TRUE,0,VLOOKUP("BET621100000",Balance!C:G,5,FALSE))</f>
        <v>0</v>
      </c>
      <c r="D135" s="117">
        <f>+[2]Béthune!$H135</f>
        <v>0</v>
      </c>
      <c r="E135" s="160">
        <f>IF(ISNA(VLOOKUP("BET621100000",Balanceanp!C:G,5,FALSE))=TRUE,0,VLOOKUP("BET621100000",Balanceanp!C:G,5,FALSE))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>
      <c r="A136" s="5" t="s">
        <v>338</v>
      </c>
      <c r="B136" s="92"/>
      <c r="C136" s="160">
        <f>IF(ISNA(VLOOKUP("BET621200000",Balance!C:G,5,FALSE))=TRUE,0,VLOOKUP("BET621200000",Balance!C:G,5,FALSE))</f>
        <v>0</v>
      </c>
      <c r="D136" s="117">
        <f>+[2]Béthune!$H136</f>
        <v>0</v>
      </c>
      <c r="E136" s="160">
        <f>IF(ISNA(VLOOKUP("BET621200000",Balanceanp!C:G,5,FALSE))=TRUE,0,VLOOKUP("BET621200000",Balanceanp!C:G,5,FALSE))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>
      <c r="A137" s="5" t="s">
        <v>87</v>
      </c>
      <c r="B137" s="92"/>
      <c r="C137" s="160">
        <f>IF(ISNA(VLOOKUP("BET706100000",Balance!C:G,5,FALSE))=TRUE,0,-VLOOKUP("BET706100000",Balance!C:G,5,FALSE))</f>
        <v>0</v>
      </c>
      <c r="D137" s="117">
        <f>+[2]Béthune!$H137</f>
        <v>0</v>
      </c>
      <c r="E137" s="160">
        <f>IF(ISNA(VLOOKUP("BET706100000",Balanceanp!C:G,5,FALSE))=TRUE,0,-VLOOKUP("BET706100000",Balanceanp!C:G,5,FALSE))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>
      <c r="A138" s="5" t="s">
        <v>152</v>
      </c>
      <c r="B138" s="92"/>
      <c r="C138" s="160">
        <f>IF(ISNA(VLOOKUP("BET641210000",Balance!C:G,5,FALSE))=TRUE,0,VLOOKUP("BET641210000",Balance!C:G,5,FALSE))</f>
        <v>0</v>
      </c>
      <c r="D138" s="117">
        <f>+[2]Béthune!$H138</f>
        <v>0</v>
      </c>
      <c r="E138" s="160">
        <f>IF(ISNA(VLOOKUP("BET641210000",Balanceanp!C:G,5,FALSE))=TRUE,0,VLOOKUP("BET641210000",Balanceanp!C:G,5,FALSE))</f>
        <v>190.14000000000033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>
      <c r="A139" s="5" t="s">
        <v>153</v>
      </c>
      <c r="B139" s="92"/>
      <c r="C139" s="160">
        <f>IF(ISNA(VLOOKUP("BET641400000",Balance!C:G,5,FALSE))=TRUE,0,VLOOKUP("BET641400000",Balance!C:G,5,FALSE))</f>
        <v>0</v>
      </c>
      <c r="D139" s="117">
        <f>+[2]Béthune!$H139</f>
        <v>0</v>
      </c>
      <c r="E139" s="160">
        <f>IF(ISNA(VLOOKUP("BET641400000",Balanceanp!C:G,5,FALSE))=TRUE,0,VLOOKUP("BET641400000",Balanceanp!C:G,5,FALSE))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>
      <c r="A140" s="5" t="s">
        <v>154</v>
      </c>
      <c r="B140" s="92"/>
      <c r="C140" s="160">
        <f>IF(ISNA(VLOOKUP("BET641600000",Balance!C:G,5,FALSE))=TRUE,0,VLOOKUP("BET641600000",Balance!C:G,5,FALSE))</f>
        <v>0</v>
      </c>
      <c r="D140" s="117">
        <f>+[2]Béthune!$H140</f>
        <v>0</v>
      </c>
      <c r="E140" s="160">
        <f>IF(ISNA(VLOOKUP("BET641600000",Balanceanp!C:G,5,FALSE))=TRUE,0,VLOOKUP("BET641600000",Balanceanp!C:G,5,FALSE))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IF(ISNA(VLOOKUP("BET645100000",Balance!C:G,5,FALSE))=TRUE,0,VLOOKUP("BET645100000",Balance!C:G,5,FALSE))</f>
        <v>18458.98</v>
      </c>
      <c r="D141" s="592">
        <f>+[2]Béthune!$H141</f>
        <v>17011.84857121055</v>
      </c>
      <c r="E141" s="311">
        <f>IF(ISNA(VLOOKUP("BET645100000",Balanceanp!C:G,5,FALSE))=TRUE,0,VLOOKUP("BET645100000",Balanceanp!C:G,5,FALSE))</f>
        <v>16627.689999999999</v>
      </c>
      <c r="F141" s="625">
        <f>+C141+C141/9*(12-Clients!$I$14)</f>
        <v>24611.973333333332</v>
      </c>
      <c r="G141" s="630">
        <f t="shared" ref="G141:G146" si="16">+($G$131/$C$131*C141)*1.01</f>
        <v>18368.830969250168</v>
      </c>
      <c r="H141" s="630"/>
      <c r="I141" s="591">
        <f t="shared" si="14"/>
        <v>0.48017994882832993</v>
      </c>
      <c r="J141" s="595">
        <f t="shared" si="14"/>
        <v>-0.25366281197890528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IF(ISNA(VLOOKUP("BET645200000",Balance!C:G,5,FALSE))=TRUE,0,VLOOKUP("BET645200000",Balance!C:G,5,FALSE))</f>
        <v>1094.5</v>
      </c>
      <c r="D142" s="592">
        <f>+[2]Béthune!$H142</f>
        <v>925.79334685689241</v>
      </c>
      <c r="E142" s="311">
        <f>IF(ISNA(VLOOKUP("BET645200000",Balanceanp!C:G,5,FALSE))=TRUE,0,VLOOKUP("BET645200000",Balanceanp!C:G,5,FALSE))</f>
        <v>1029.1199999999999</v>
      </c>
      <c r="F142" s="625">
        <f>+C142+C142/9*(12-Clients!$I$14)</f>
        <v>1459.3333333333335</v>
      </c>
      <c r="G142" s="630">
        <f t="shared" si="16"/>
        <v>1089.1547363854506</v>
      </c>
      <c r="H142" s="630"/>
      <c r="I142" s="591">
        <f t="shared" si="14"/>
        <v>0.41804000829187427</v>
      </c>
      <c r="J142" s="595">
        <f t="shared" si="14"/>
        <v>-0.25366281197890556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IF(ISNA(VLOOKUP("BET645300000",Balance!C:G,5,FALSE))=TRUE,0,VLOOKUP("BET645300000",Balance!C:G,5,FALSE))</f>
        <v>2770.86</v>
      </c>
      <c r="D143" s="592">
        <f>+[2]Béthune!$H143</f>
        <v>1683.0022009423085</v>
      </c>
      <c r="E143" s="311">
        <f>IF(ISNA(VLOOKUP("BET645300000",Balanceanp!C:G,5,FALSE))=TRUE,0,VLOOKUP("BET645300000",Balanceanp!C:G,5,FALSE))</f>
        <v>1866.72</v>
      </c>
      <c r="F143" s="625">
        <f>+C143+C143/9*(12-Clients!$I$14)</f>
        <v>3694.48</v>
      </c>
      <c r="G143" s="630">
        <f t="shared" si="16"/>
        <v>2757.3278144001738</v>
      </c>
      <c r="H143" s="630"/>
      <c r="I143" s="591">
        <f t="shared" si="14"/>
        <v>0.97912916773806458</v>
      </c>
      <c r="J143" s="595">
        <f t="shared" si="14"/>
        <v>-0.25366281197890533</v>
      </c>
      <c r="L143" s="17">
        <f t="shared" si="15"/>
        <v>1</v>
      </c>
    </row>
    <row r="144" spans="1:12">
      <c r="A144" s="5" t="s">
        <v>326</v>
      </c>
      <c r="B144" s="92"/>
      <c r="C144" s="160">
        <f>IF(ISNA(VLOOKUP("BET645310000",Balance!C:G,5,FALSE))=TRUE,0,VLOOKUP("BET645310000",Balance!C:G,5,FALSE))</f>
        <v>0</v>
      </c>
      <c r="D144" s="117">
        <f>+[2]Béthune!$H144</f>
        <v>0</v>
      </c>
      <c r="E144" s="160">
        <f>IF(ISNA(VLOOKUP("BET645310000",Balanceanp!C:G,5,FALSE))=TRUE,0,VLOOKUP("BET645310000",Balanceanp!C:G,5,FALSE))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IF(ISNA(VLOOKUP("BET645400000",Balance!C:G,5,FALSE))=TRUE,0,VLOOKUP("BET645400000",Balance!C:G,5,FALSE))</f>
        <v>1855.99</v>
      </c>
      <c r="D145" s="592">
        <f>+[2]Béthune!$H145</f>
        <v>923.13053950041649</v>
      </c>
      <c r="E145" s="311">
        <f>IF(ISNA(VLOOKUP("BET645400000",Balanceanp!C:G,5,FALSE))=TRUE,0,VLOOKUP("BET645400000",Balanceanp!C:G,5,FALSE))</f>
        <v>1038.3599999999999</v>
      </c>
      <c r="F145" s="625">
        <f>+C145+C145/9*(12-Clients!$I$14)</f>
        <v>2474.6533333333332</v>
      </c>
      <c r="G145" s="630">
        <f t="shared" si="16"/>
        <v>1846.9258101270284</v>
      </c>
      <c r="H145" s="630"/>
      <c r="I145" s="591">
        <f t="shared" si="14"/>
        <v>1.3832325333538786</v>
      </c>
      <c r="J145" s="595">
        <f t="shared" si="14"/>
        <v>-0.25366281197890539</v>
      </c>
      <c r="L145" s="17">
        <f t="shared" si="15"/>
        <v>1</v>
      </c>
    </row>
    <row r="146" spans="1:12">
      <c r="A146" s="5" t="s">
        <v>159</v>
      </c>
      <c r="B146" s="92"/>
      <c r="C146" s="160">
        <f>IF(ISNA(VLOOKUP("BET645800000",Balance!C:G,5,FALSE))=TRUE,0,VLOOKUP("BET645800000",Balance!C:G,5,FALSE))</f>
        <v>0</v>
      </c>
      <c r="D146" s="117">
        <f>+[2]Béthune!$H146</f>
        <v>0</v>
      </c>
      <c r="E146" s="160">
        <f>IF(ISNA(VLOOKUP("BET645800000",Balanceanp!C:G,5,FALSE))=TRUE,0,VLOOKUP("BET645800000",Balanceanp!C:G,5,FALSE))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" t="s">
        <v>160</v>
      </c>
      <c r="B147" s="92"/>
      <c r="C147" s="160">
        <f>IF(ISNA(VLOOKUP("BET645900000",Balance!C:G,5,FALSE))=TRUE,0,VLOOKUP("BET645900000",Balance!C:G,5,FALSE))</f>
        <v>0</v>
      </c>
      <c r="D147" s="117">
        <f>+[2]Béthune!$H147</f>
        <v>0</v>
      </c>
      <c r="E147" s="160">
        <f>IF(ISNA(VLOOKUP("BET645900000",Balanceanp!C:G,5,FALSE))=TRUE,0,VLOOKUP("BET645900000",Balanceanp!C:G,5,FALSE))</f>
        <v>0</v>
      </c>
      <c r="F147" s="368">
        <f>+C147+C147/9*(12-Clients!$I$14)</f>
        <v>0</v>
      </c>
      <c r="G147" s="396">
        <f>+F147*1.03</f>
        <v>0</v>
      </c>
      <c r="H147" s="409"/>
      <c r="I147" s="149">
        <f t="shared" ref="I147:J152" si="17">+IF((E147)=0,,(F147-E147)/E147)</f>
        <v>0</v>
      </c>
      <c r="J147" s="271">
        <f t="shared" si="17"/>
        <v>0</v>
      </c>
      <c r="L147" s="17">
        <f t="shared" si="15"/>
        <v>0</v>
      </c>
    </row>
    <row r="148" spans="1:12">
      <c r="A148" s="590" t="s">
        <v>161</v>
      </c>
      <c r="B148" s="591"/>
      <c r="C148" s="311">
        <f>IF(ISNA(VLOOKUP("BET647100000",Balance!C:G,5,FALSE))=TRUE,0,VLOOKUP("BET647100000",Balance!C:G,5,FALSE))</f>
        <v>0</v>
      </c>
      <c r="D148" s="592">
        <f>+[2]Béthune!$H148</f>
        <v>21.971239000000004</v>
      </c>
      <c r="E148" s="311">
        <f>IF(ISNA(VLOOKUP("BET647100000",Balanceanp!C:G,5,FALSE))=TRUE,0,VLOOKUP("BET647100000",Balanceanp!C:G,5,FALSE))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" t="s">
        <v>162</v>
      </c>
      <c r="B149" s="92"/>
      <c r="C149" s="160">
        <f>IF(ISNA(VLOOKUP("BET647400000",Balance!C:G,5,FALSE))=TRUE,0,VLOOKUP("BET647400000",Balance!C:G,5,FALSE))</f>
        <v>0</v>
      </c>
      <c r="D149" s="117">
        <f>+[2]Béthune!$H149</f>
        <v>0</v>
      </c>
      <c r="E149" s="160">
        <f>IF(ISNA(VLOOKUP("BET647400000",Balanceanp!C:G,5,FALSE))=TRUE,0,VLOOKUP("BET647400000",Balanceanp!C:G,5,FALSE))</f>
        <v>0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7"/>
        <v>0</v>
      </c>
      <c r="J149" s="271">
        <f t="shared" si="17"/>
        <v>0</v>
      </c>
      <c r="L149" s="17">
        <f t="shared" si="15"/>
        <v>0</v>
      </c>
    </row>
    <row r="150" spans="1:12">
      <c r="A150" s="590" t="s">
        <v>163</v>
      </c>
      <c r="B150" s="591"/>
      <c r="C150" s="311">
        <f>IF(ISNA(VLOOKUP("BET647500000",Balance!C:G,5,FALSE))=TRUE,0,VLOOKUP("BET647500000",Balance!C:G,5,FALSE))</f>
        <v>128</v>
      </c>
      <c r="D150" s="592">
        <f>+[2]Béthune!$H150</f>
        <v>184.30712245702395</v>
      </c>
      <c r="E150" s="311">
        <f>IF(ISNA(VLOOKUP("BET647500000",Balanceanp!C:G,5,FALSE))=TRUE,0,VLOOKUP("BET647500000",Balanceanp!C:G,5,FALSE))</f>
        <v>125.32</v>
      </c>
      <c r="F150" s="625">
        <f>+C150+C150/9*(12-Clients!$I$14)</f>
        <v>170.66666666666666</v>
      </c>
      <c r="G150" s="630">
        <f>+F150*1.03</f>
        <v>175.78666666666666</v>
      </c>
      <c r="H150" s="630"/>
      <c r="I150" s="591">
        <f t="shared" si="17"/>
        <v>0.36184700500053196</v>
      </c>
      <c r="J150" s="595">
        <f t="shared" si="17"/>
        <v>3.0000000000000027E-2</v>
      </c>
      <c r="L150" s="17">
        <f t="shared" si="15"/>
        <v>1</v>
      </c>
    </row>
    <row r="151" spans="1:12">
      <c r="A151" s="5" t="s">
        <v>570</v>
      </c>
      <c r="B151" s="92"/>
      <c r="C151" s="160"/>
      <c r="D151" s="117">
        <f>+[2]Béthune!$H151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IF(ISNA(VLOOKUP("BET648000000",Balance!C:G,5,FALSE))=TRUE,0,VLOOKUP("BET648000000",Balance!C:G,5,FALSE))</f>
        <v>0</v>
      </c>
      <c r="D152" s="592">
        <f>+[2]Béthune!$H152</f>
        <v>0</v>
      </c>
      <c r="E152" s="311">
        <f>IF(ISNA(VLOOKUP("BET648000000",Balanceanp!C:G,5,FALSE))=TRUE,0,VLOOKUP("BET648000000",Balanceanp!C:G,5,FALSE))</f>
        <v>527.04392000000007</v>
      </c>
      <c r="F152" s="625">
        <f>+C152+C152/9*(12-Clients!$I$14)</f>
        <v>0</v>
      </c>
      <c r="G152" s="630">
        <f>+F152*1.03</f>
        <v>0</v>
      </c>
      <c r="H152" s="630">
        <f>SUM(G141:G152)</f>
        <v>24238.025996829489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0.30046957107055544</v>
      </c>
      <c r="C154" s="305">
        <f>SUM(C130:C153)</f>
        <v>81251.44</v>
      </c>
      <c r="D154" s="312">
        <f>SUM(D130:D153)</f>
        <v>66350.053019967207</v>
      </c>
      <c r="E154" s="305">
        <f>SUM(E130:E153)</f>
        <v>69479.943920000005</v>
      </c>
      <c r="F154" s="312">
        <f>SUM(F130:F153)</f>
        <v>108335.25333333333</v>
      </c>
      <c r="G154" s="312">
        <f>SUM(G130:G153)</f>
        <v>78745.02599682947</v>
      </c>
      <c r="H154" s="421">
        <f>+G154/$G$21</f>
        <v>0.19669095213633472</v>
      </c>
      <c r="I154" s="598">
        <f>+IF((E154)=0,,(F154-E154)/E154)</f>
        <v>0.55923058110224966</v>
      </c>
      <c r="J154" s="599">
        <f>+IF((F154)=0,,(G154-F154)/F154)</f>
        <v>-0.27313571922390412</v>
      </c>
      <c r="K154" s="136">
        <f>(C154+(C154/3))</f>
        <v>108335.25333333334</v>
      </c>
      <c r="L154" s="17">
        <f t="shared" si="15"/>
        <v>1</v>
      </c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0.76739999999999997</v>
      </c>
      <c r="C156" s="311">
        <f>IF(ISNA(VLOOKUP("BET681740000",Balance!C:G,5,FALSE))=TRUE,0,VLOOKUP("BET681740000",Balance!C:G,5,FALSE))</f>
        <v>1405</v>
      </c>
      <c r="D156" s="592">
        <f>+[2]Béthune!$H156</f>
        <v>4594.5588904599999</v>
      </c>
      <c r="E156" s="311">
        <f>IF(ISNA(VLOOKUP("BET681740000",Balanceanp!C:G,5,FALSE))=TRUE,0,VLOOKUP("BET681740000",Balanceanp!C:G,5,FALSE))</f>
        <v>2202.3000000000002</v>
      </c>
      <c r="F156" s="625">
        <f>+C156+C156/9*(12-Clients!$I$14)</f>
        <v>1873.3333333333335</v>
      </c>
      <c r="G156" s="637">
        <f>+G21*B156*1.62%</f>
        <v>4977.0907261200009</v>
      </c>
      <c r="H156" s="639"/>
      <c r="I156" s="591">
        <f t="shared" ref="I156:J166" si="18">+IF((E156)=0,,(F156-E156)/E156)</f>
        <v>-0.14937413915754741</v>
      </c>
      <c r="J156" s="595">
        <f t="shared" si="18"/>
        <v>1.6568099961494664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IF(ISNA(VLOOKUP("BET781740000",Balance!C:G,5,FALSE))=TRUE,0,VLOOKUP("BET781740000",Balance!C:G,5,FALSE))</f>
        <v>-1826.37</v>
      </c>
      <c r="D157" s="592">
        <f>+[2]Béthune!$H157</f>
        <v>0</v>
      </c>
      <c r="E157" s="311">
        <f>IF(ISNA(VLOOKUP("BET781740000",Balanceanp!C:G,5,FALSE))=TRUE,0,VLOOKUP("BET781740000",Balanceanp!C:G,5,FALSE))</f>
        <v>-503.37</v>
      </c>
      <c r="F157" s="625">
        <f>+C157+C157/9*(12-Clients!$I$14)</f>
        <v>-2435.16</v>
      </c>
      <c r="G157" s="630">
        <v>0</v>
      </c>
      <c r="H157" s="630"/>
      <c r="I157" s="591">
        <f t="shared" si="18"/>
        <v>3.8377138089278264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IF(ISNA(VLOOKUP("BET654400000",Balance!C:G,5,FALSE))=TRUE,0,VLOOKUP("BET654400000",Balance!C:G,5,FALSE))</f>
        <v>1826.37</v>
      </c>
      <c r="D158" s="592">
        <f>+[2]Béthune!$H158</f>
        <v>0</v>
      </c>
      <c r="E158" s="311">
        <f>IF(ISNA(VLOOKUP("BET654400000",Balanceanp!C:G,5,FALSE))=TRUE,0,VLOOKUP("BET654400000",Balanceanp!C:G,5,FALSE))</f>
        <v>0</v>
      </c>
      <c r="F158" s="625">
        <f>+C158+C158/9*(12-Clients!$I$14)</f>
        <v>2435.16</v>
      </c>
      <c r="G158" s="630">
        <v>0</v>
      </c>
      <c r="H158" s="630"/>
      <c r="I158" s="591">
        <f t="shared" si="18"/>
        <v>0</v>
      </c>
      <c r="J158" s="595">
        <f t="shared" si="18"/>
        <v>-1</v>
      </c>
      <c r="L158" s="17">
        <f t="shared" si="15"/>
        <v>1</v>
      </c>
    </row>
    <row r="159" spans="1:12">
      <c r="A159" s="5" t="s">
        <v>60</v>
      </c>
      <c r="B159" s="92"/>
      <c r="C159" s="160">
        <f>IF(ISNA(VLOOKUP("BET791100000",Balance!C:G,5,FALSE))=TRUE,0,VLOOKUP("BET791100000",Balance!C:G,5,FALSE))</f>
        <v>0</v>
      </c>
      <c r="D159" s="117">
        <f>+[2]Béthune!$H159</f>
        <v>0</v>
      </c>
      <c r="E159" s="160">
        <f>IF(ISNA(VLOOKUP("BET791100000",Balanceanp!C:G,5,FALSE))=TRUE,0,VLOOKUP("BET791100000",Balanceanp!C:G,5,FALSE))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8"/>
        <v>0</v>
      </c>
      <c r="J159" s="271">
        <f t="shared" si="18"/>
        <v>0</v>
      </c>
      <c r="L159" s="17">
        <f t="shared" si="15"/>
        <v>0</v>
      </c>
    </row>
    <row r="160" spans="1:12">
      <c r="A160" s="590" t="s">
        <v>199</v>
      </c>
      <c r="B160" s="591"/>
      <c r="C160" s="311">
        <f>IF(ISNA(VLOOKUP("BET654100000",Balance!C:G,5,FALSE))=TRUE,0,VLOOKUP("BET654100000",Balance!C:G,5,FALSE))</f>
        <v>0.33</v>
      </c>
      <c r="D160" s="592">
        <f>+[2]Béthune!$H160</f>
        <v>0</v>
      </c>
      <c r="E160" s="311">
        <f>IF(ISNA(VLOOKUP("BET654100000",Balanceanp!C:G,5,FALSE))=TRUE,0,VLOOKUP("BET654100000",Balanceanp!C:G,5,FALSE))</f>
        <v>0.64</v>
      </c>
      <c r="F160" s="625">
        <f>+C160+C160/9*(12-Clients!$I$14)</f>
        <v>0.44</v>
      </c>
      <c r="G160" s="630">
        <v>0</v>
      </c>
      <c r="H160" s="630"/>
      <c r="I160" s="591">
        <f t="shared" si="18"/>
        <v>-0.3125</v>
      </c>
      <c r="J160" s="595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IF(ISNA(VLOOKUP("BET622700000",Balance!C:G,5,FALSE))=TRUE,0,VLOOKUP("BET622700000",Balance!C:G,5,FALSE))</f>
        <v>0</v>
      </c>
      <c r="D161" s="592">
        <f>+[2]Béthune!$H161</f>
        <v>110.06594888149306</v>
      </c>
      <c r="E161" s="311">
        <f>IF(ISNA(VLOOKUP("BET622700000",Balanceanp!C:G,5,FALSE))=TRUE,0,VLOOKUP("BET622700000",Balanceanp!C:G,5,FALSE))</f>
        <v>274.98</v>
      </c>
      <c r="F161" s="625">
        <f>+C161+C161/9*(12-Clients!$I$14)</f>
        <v>0</v>
      </c>
      <c r="G161" s="630">
        <f t="shared" ref="G161:G166" si="19">+F161*1.03</f>
        <v>0</v>
      </c>
      <c r="H161" s="630"/>
      <c r="I161" s="591">
        <f t="shared" si="18"/>
        <v>-1</v>
      </c>
      <c r="J161" s="595">
        <f t="shared" si="18"/>
        <v>0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IF(ISNA(VLOOKUP("BET654200000",Balance!C:G,5,FALSE))=TRUE,0,VLOOKUP("BET654200000",Balance!C:G,5,FALSE))</f>
        <v>7.19</v>
      </c>
      <c r="D162" s="592">
        <f>+[2]Béthune!$H162</f>
        <v>0.68144831325590283</v>
      </c>
      <c r="E162" s="311">
        <f>IF(ISNA(VLOOKUP("BET654200000",Balanceanp!C:G,5,FALSE))=TRUE,0,VLOOKUP("BET654200000",Balanceanp!C:G,5,FALSE))</f>
        <v>0</v>
      </c>
      <c r="F162" s="625">
        <f>+C162+C162/9*(12-Clients!$I$14)</f>
        <v>9.5866666666666678</v>
      </c>
      <c r="G162" s="630">
        <f t="shared" si="19"/>
        <v>9.8742666666666672</v>
      </c>
      <c r="H162" s="630"/>
      <c r="I162" s="591">
        <f t="shared" si="18"/>
        <v>0</v>
      </c>
      <c r="J162" s="595">
        <f t="shared" si="18"/>
        <v>2.9999999999999936E-2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IF(ISNA(VLOOKUP("BET665000000",Balance!C:G,5,FALSE))=TRUE,0,VLOOKUP("BET665000000",Balance!C:G,5,FALSE))+IF(ISNA(VLOOKUP("BET665100000",Balance!C:G,5,FALSE))=TRUE,0,VLOOKUP("BET665100000",Balance!C:G,5,FALSE))</f>
        <v>63.79</v>
      </c>
      <c r="D163" s="592">
        <f>+[2]Béthune!$H163</f>
        <v>24.791696333629861</v>
      </c>
      <c r="E163" s="311">
        <f>IF(ISNA(VLOOKUP("BET665000000",Balanceanp!C:G,5,FALSE))=TRUE,0,VLOOKUP("BET665000000",Balanceanp!C:G,5,FALSE))+IF(ISNA(VLOOKUP("BET665100000",Balanceanp!C:G,5,FALSE))=TRUE,0,VLOOKUP("BET665100000",Balanceanp!C:G,5,FALSE))</f>
        <v>18.18</v>
      </c>
      <c r="F163" s="625">
        <f>+C163+C163/9*(12-Clients!$I$14)</f>
        <v>85.053333333333327</v>
      </c>
      <c r="G163" s="630">
        <f t="shared" si="19"/>
        <v>87.604933333333335</v>
      </c>
      <c r="H163" s="630"/>
      <c r="I163" s="591">
        <f t="shared" si="18"/>
        <v>3.6784011734506787</v>
      </c>
      <c r="J163" s="595">
        <f t="shared" si="18"/>
        <v>3.0000000000000093E-2</v>
      </c>
      <c r="L163" s="17">
        <f t="shared" si="15"/>
        <v>1</v>
      </c>
    </row>
    <row r="164" spans="1:12">
      <c r="A164" s="590" t="s">
        <v>271</v>
      </c>
      <c r="B164" s="591"/>
      <c r="C164" s="311">
        <f>IF(ISNA(VLOOKUP("BET763000000",Balance!C:G,5,FALSE))=TRUE,0,VLOOKUP("BET763000000",Balance!C:G,5,FALSE))</f>
        <v>-45</v>
      </c>
      <c r="D164" s="592">
        <f>+[2]Béthune!$H164</f>
        <v>-23.082196919531253</v>
      </c>
      <c r="E164" s="311">
        <f>IF(ISNA(VLOOKUP("BET763000000",Balanceanp!C:G,5,FALSE))=TRUE,0,VLOOKUP("BET763000000",Balanceanp!C:G,5,FALSE))</f>
        <v>-24.6</v>
      </c>
      <c r="F164" s="625">
        <f>+C164+C164/9*(12-Clients!$I$14)</f>
        <v>-60</v>
      </c>
      <c r="G164" s="630">
        <f t="shared" si="19"/>
        <v>-61.800000000000004</v>
      </c>
      <c r="H164" s="630"/>
      <c r="I164" s="591">
        <f t="shared" si="18"/>
        <v>1.4390243902439024</v>
      </c>
      <c r="J164" s="595">
        <f t="shared" si="18"/>
        <v>3.0000000000000072E-2</v>
      </c>
      <c r="L164" s="17">
        <f t="shared" si="15"/>
        <v>1</v>
      </c>
    </row>
    <row r="165" spans="1:12">
      <c r="A165" s="590" t="s">
        <v>242</v>
      </c>
      <c r="B165" s="591"/>
      <c r="C165" s="311">
        <f>IF(ISNA(VLOOKUP("BET627520000",Balance!C:G,5,FALSE))=TRUE,0,VLOOKUP("BET627520000",Balance!C:G,5,FALSE))</f>
        <v>99</v>
      </c>
      <c r="D165" s="592">
        <f>+[2]Béthune!$H165</f>
        <v>50.66347568817708</v>
      </c>
      <c r="E165" s="311">
        <f>IF(ISNA(VLOOKUP("BET627520000",Balanceanp!C:G,5,FALSE))=TRUE,0,VLOOKUP("BET627520000",Balanceanp!C:G,5,FALSE))</f>
        <v>33.6</v>
      </c>
      <c r="F165" s="625">
        <f>+C165+C165/9*(12-Clients!$I$14)</f>
        <v>132</v>
      </c>
      <c r="G165" s="630">
        <f t="shared" si="19"/>
        <v>135.96</v>
      </c>
      <c r="H165" s="630"/>
      <c r="I165" s="591">
        <f t="shared" si="18"/>
        <v>2.9285714285714288</v>
      </c>
      <c r="J165" s="595">
        <f t="shared" si="18"/>
        <v>3.0000000000000061E-2</v>
      </c>
      <c r="L165" s="17">
        <f t="shared" si="15"/>
        <v>1</v>
      </c>
    </row>
    <row r="166" spans="1:12">
      <c r="A166" s="5" t="s">
        <v>201</v>
      </c>
      <c r="B166" s="92"/>
      <c r="C166" s="160">
        <f>IF(ISNA(VLOOKUP("BET763100000",Balance!C:G,5,FALSE))=TRUE,0,VLOOKUP("BET763100000",Balance!C:G,5,FALSE))</f>
        <v>0</v>
      </c>
      <c r="D166" s="117">
        <f>+[2]Béthune!$H166</f>
        <v>0</v>
      </c>
      <c r="E166" s="160">
        <f>IF(ISNA(VLOOKUP("BET763100000",Balanceanp!C:G,5,FALSE))=TRUE,0,VLOOKUP("BET763100000",Balanceanp!C:G,5,FALSE))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5.6591192636706701E-3</v>
      </c>
      <c r="C168" s="305">
        <f>SUM(C155:C167)</f>
        <v>1530.31</v>
      </c>
      <c r="D168" s="312">
        <f>SUM(D155:D167)</f>
        <v>4757.6792627570239</v>
      </c>
      <c r="E168" s="305">
        <f>SUM(E155:E167)</f>
        <v>2001.7300000000005</v>
      </c>
      <c r="F168" s="312">
        <f>SUM(F155:F167)</f>
        <v>2040.4133333333334</v>
      </c>
      <c r="G168" s="312">
        <f>SUM(G155:G167)</f>
        <v>5148.7299261200005</v>
      </c>
      <c r="H168" s="421">
        <f>+G168/$G$21</f>
        <v>1.2860603938363779E-2</v>
      </c>
      <c r="I168" s="598">
        <f>+IF((E168)=0,,(F168-E168)/E168)</f>
        <v>1.9324950584410951E-2</v>
      </c>
      <c r="J168" s="599">
        <f>+IF((F168)=0,,(G168-F168)/F168)</f>
        <v>1.5233759464356897</v>
      </c>
      <c r="K168" s="136">
        <f>(C168+(C168/3))</f>
        <v>2040.4133333333332</v>
      </c>
      <c r="L168" s="17">
        <f t="shared" si="15"/>
        <v>1</v>
      </c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>
      <c r="A170" s="5" t="s">
        <v>167</v>
      </c>
      <c r="B170" s="92"/>
      <c r="C170" s="160">
        <f>IF(ISNA(VLOOKUP("BET651100000",Balance!C:G,5,FALSE))=TRUE,0,VLOOKUP("BET651100000",Balance!C:G,5,FALSE))</f>
        <v>0</v>
      </c>
      <c r="D170" s="117">
        <f>+[2]Béthune!$H170</f>
        <v>0</v>
      </c>
      <c r="E170" s="160">
        <f>IF(ISNA(VLOOKUP("BET651100000",Balanceanp!C:G,5,FALSE))=TRUE,0,VLOOKUP("BET651100000",Balanceanp!C:G,5,FALSE))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>
      <c r="A171" s="5" t="s">
        <v>168</v>
      </c>
      <c r="B171" s="92"/>
      <c r="C171" s="160">
        <f>IF(ISNA(VLOOKUP("BET651600000",Balance!C:G,5,FALSE))=TRUE,0,VLOOKUP("BET651600000",Balance!C:G,5,FALSE))</f>
        <v>0</v>
      </c>
      <c r="D171" s="117">
        <f>+[2]Béthune!$H171</f>
        <v>0</v>
      </c>
      <c r="E171" s="160">
        <f>IF(ISNA(VLOOKUP("BET651600000",Balanceanp!C:G,5,FALSE))=TRUE,0,VLOOKUP("BET651600000",Balanceanp!C:G,5,FALSE))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>
      <c r="A172" s="5" t="s">
        <v>169</v>
      </c>
      <c r="B172" s="92"/>
      <c r="C172" s="160">
        <f>IF(ISNA(VLOOKUP("BET671200000",Balance!C:G,5,FALSE))=TRUE,0,VLOOKUP("BET671200000",Balance!C:G,5,FALSE))</f>
        <v>0</v>
      </c>
      <c r="D172" s="117">
        <f>+[2]Béthune!$H172</f>
        <v>0</v>
      </c>
      <c r="E172" s="160">
        <f>IF(ISNA(VLOOKUP("BET671200000",Balanceanp!C:G,5,FALSE))=TRUE,0,VLOOKUP("BET671200000",Balanceanp!C:G,5,FALSE))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IF(ISNA(VLOOKUP("BET671800000",Balance!C:G,5,FALSE))=TRUE,0,VLOOKUP("BET671800000",Balance!C:G,5,FALSE))</f>
        <v>0</v>
      </c>
      <c r="D173" s="592">
        <f>+[2]Béthune!$H173</f>
        <v>982.64832499999989</v>
      </c>
      <c r="E173" s="311">
        <f>IF(ISNA(VLOOKUP("BET671800000",Balanceanp!C:G,5,FALSE))=TRUE,0,VLOOKUP("BET671800000",Balanceanp!C:G,5,FALSE))+IF(ISNA(VLOOKUP("BET658000000",Balanceanp!C:G,5,FALSE))=TRUE,0,VLOOKUP("BET658000000",Balanceanp!C:G,5,FALSE))</f>
        <v>6207.26</v>
      </c>
      <c r="F173" s="625">
        <f>+C173+C173/9*(12-Clients!$I$14)</f>
        <v>0</v>
      </c>
      <c r="G173" s="630">
        <f t="shared" si="20"/>
        <v>0</v>
      </c>
      <c r="H173" s="630"/>
      <c r="I173" s="591">
        <f t="shared" si="21"/>
        <v>-1</v>
      </c>
      <c r="J173" s="595">
        <f t="shared" si="21"/>
        <v>0</v>
      </c>
      <c r="L173" s="17">
        <f t="shared" si="15"/>
        <v>1</v>
      </c>
    </row>
    <row r="174" spans="1:12">
      <c r="A174" s="5" t="s">
        <v>171</v>
      </c>
      <c r="B174" s="92"/>
      <c r="C174" s="160">
        <f>IF(ISNA(VLOOKUP("BET672000000",Balance!C:G,5,FALSE))=TRUE,0,VLOOKUP("BET672000000",Balance!C:G,5,FALSE))</f>
        <v>0</v>
      </c>
      <c r="D174" s="117">
        <f>+[2]Béthune!$H174</f>
        <v>0</v>
      </c>
      <c r="E174" s="160">
        <f>IF(ISNA(VLOOKUP("BET672000000",Balanceanp!C:G,5,FALSE))=TRUE,0,VLOOKUP("BET672000000",Balanceanp!C:G,5,FALSE))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>
      <c r="A175" s="5" t="s">
        <v>308</v>
      </c>
      <c r="B175" s="92"/>
      <c r="C175" s="160">
        <f>IF(ISNA(VLOOKUP("BET691100000",Balance!C:G,5,FALSE))=TRUE,0,VLOOKUP("BET691100000",Balance!C:G,5,FALSE))</f>
        <v>0</v>
      </c>
      <c r="D175" s="117">
        <f>+[2]Béthune!$H175</f>
        <v>0</v>
      </c>
      <c r="E175" s="160">
        <f>IF(ISNA(VLOOKUP("BET691100000",Balanceanp!C:G,5,FALSE))=TRUE,0,VLOOKUP("BET691100000",Balanceanp!C:G,5,FALSE))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>
      <c r="A176" s="5" t="s">
        <v>172</v>
      </c>
      <c r="B176" s="92"/>
      <c r="C176" s="160">
        <f>IF(ISNA(VLOOKUP("BET675100000",Balance!C:G,5,FALSE))=TRUE,0,VLOOKUP("BET675100000",Balance!C:G,5,FALSE))</f>
        <v>0</v>
      </c>
      <c r="D176" s="117">
        <f>+[2]Béthune!$H176</f>
        <v>0</v>
      </c>
      <c r="E176" s="160">
        <f>IF(ISNA(VLOOKUP("BET675100000",Balanceanp!C:G,5,FALSE))=TRUE,0,VLOOKUP("BET675100000",Balanceanp!C:G,5,FALSE))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>
      <c r="A177" s="590" t="s">
        <v>173</v>
      </c>
      <c r="B177" s="591"/>
      <c r="C177" s="311">
        <f>IF(ISNA(VLOOKUP("BET675200000",Balance!C:G,5,FALSE))=TRUE,0,VLOOKUP("BET675200000",Balance!C:G,5,FALSE))</f>
        <v>0</v>
      </c>
      <c r="D177" s="592">
        <f>+[2]Béthune!$H177</f>
        <v>0</v>
      </c>
      <c r="E177" s="311">
        <f>IF(ISNA(VLOOKUP("BET675200000",Balanceanp!C:G,5,FALSE))=TRUE,0,VLOOKUP("BET675200000",Balanceanp!C:G,5,FALSE))</f>
        <v>308.54000000000002</v>
      </c>
      <c r="F177" s="625">
        <f>+C177+C177/9*(12-Clients!$I$14)</f>
        <v>0</v>
      </c>
      <c r="G177" s="630">
        <f t="shared" si="20"/>
        <v>0</v>
      </c>
      <c r="H177" s="630"/>
      <c r="I177" s="591">
        <f t="shared" si="21"/>
        <v>-1</v>
      </c>
      <c r="J177" s="595">
        <f t="shared" si="21"/>
        <v>0</v>
      </c>
      <c r="L177" s="17">
        <f t="shared" si="15"/>
        <v>1</v>
      </c>
    </row>
    <row r="178" spans="1:12">
      <c r="A178" s="5" t="s">
        <v>174</v>
      </c>
      <c r="B178" s="92"/>
      <c r="C178" s="160">
        <f>IF(ISNA(VLOOKUP("BET681110000",Balance!C:G,5,FALSE))=TRUE,0,VLOOKUP("BET681110000",Balance!C:G,5,FALSE))</f>
        <v>0</v>
      </c>
      <c r="D178" s="117">
        <f>+[2]Béthune!$H178</f>
        <v>0</v>
      </c>
      <c r="E178" s="160">
        <f>IF(ISNA(VLOOKUP("BET681110000",Balanceanp!C:G,5,FALSE))=TRUE,0,VLOOKUP("BET681110000",Balanceanp!C:G,5,FALSE))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IF(ISNA(VLOOKUP("BET681120000",Balance!C:G,5,FALSE))=TRUE,0,VLOOKUP("BET681120000",Balance!C:G,5,FALSE))</f>
        <v>2625.03</v>
      </c>
      <c r="D179" s="592">
        <f>+[2]Béthune!$H179</f>
        <v>3500</v>
      </c>
      <c r="E179" s="311">
        <f>IF(ISNA(VLOOKUP("BET681120000",Balanceanp!C:G,5,FALSE))=TRUE,0,VLOOKUP("BET681120000",Balanceanp!C:G,5,FALSE))</f>
        <v>5714.44</v>
      </c>
      <c r="F179" s="620">
        <v>2654.08</v>
      </c>
      <c r="G179" s="637">
        <f>2149.74+500+G255/10</f>
        <v>2929.74</v>
      </c>
      <c r="H179" s="632"/>
      <c r="I179" s="591">
        <f t="shared" si="21"/>
        <v>-0.53554854018941489</v>
      </c>
      <c r="J179" s="595">
        <f t="shared" si="21"/>
        <v>0.10386273209549067</v>
      </c>
      <c r="L179" s="17">
        <f t="shared" si="15"/>
        <v>1</v>
      </c>
    </row>
    <row r="180" spans="1:12">
      <c r="A180" s="590" t="s">
        <v>78</v>
      </c>
      <c r="B180" s="591"/>
      <c r="C180" s="311">
        <f>IF(ISNA(VLOOKUP("BET687250000",Balance!C:G,5,FALSE))=TRUE,0,+VLOOKUP("BET687250000",Balance!C:G,5,FALSE))</f>
        <v>0</v>
      </c>
      <c r="D180" s="592">
        <f>+[2]Béthune!$H180</f>
        <v>0</v>
      </c>
      <c r="E180" s="311">
        <f>IF(ISNA(VLOOKUP("BET687250000",Balanceanp!C:G,5,FALSE))=TRUE,0,+VLOOKUP("BET687250000",Balanceanp!C:G,5,FALSE))</f>
        <v>66.760000000000005</v>
      </c>
      <c r="F180" s="625">
        <f>+C180+C180/9*(12-Clients!$I$14)</f>
        <v>0</v>
      </c>
      <c r="G180" s="630">
        <f t="shared" si="20"/>
        <v>0</v>
      </c>
      <c r="H180" s="630"/>
      <c r="I180" s="591">
        <f t="shared" si="21"/>
        <v>-1</v>
      </c>
      <c r="J180" s="595">
        <f t="shared" si="21"/>
        <v>0</v>
      </c>
      <c r="L180" s="17">
        <f t="shared" si="15"/>
        <v>1</v>
      </c>
    </row>
    <row r="181" spans="1:12">
      <c r="A181" s="5" t="s">
        <v>327</v>
      </c>
      <c r="B181" s="92"/>
      <c r="C181" s="160">
        <f>IF(ISNA(VLOOKUP("BET661880000",Balance!C:G,5,FALSE))=TRUE,0,+VLOOKUP("BET661880000",Balance!C:G,5,FALSE))</f>
        <v>0</v>
      </c>
      <c r="D181" s="117">
        <f>+[2]Béthune!$H181</f>
        <v>0</v>
      </c>
      <c r="E181" s="160">
        <f>IF(ISNA(VLOOKUP("BET661880000",Balanceanp!C:G,5,FALSE))=TRUE,0,+VLOOKUP("BET661880000",Balanceanp!C:G,5,FALSE))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>
      <c r="A182" s="5" t="s">
        <v>82</v>
      </c>
      <c r="B182" s="92"/>
      <c r="C182" s="160"/>
      <c r="D182" s="117">
        <f>+[2]Béthune!$H182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>
      <c r="A183" s="5" t="s">
        <v>331</v>
      </c>
      <c r="B183" s="92"/>
      <c r="C183" s="160">
        <f>IF(ISNA(VLOOKUP("BET681500000",Balance!C:G,5,FALSE))=TRUE,0,VLOOKUP("BET681500000",Balance!C:G,5,FALSE))</f>
        <v>0</v>
      </c>
      <c r="D183" s="117">
        <f>+[2]Béthune!$H183</f>
        <v>0</v>
      </c>
      <c r="E183" s="160">
        <f>IF(ISNA(VLOOKUP("BET681500000",Balanceanp!C:G,5,FALSE))=TRUE,0,VLOOKUP("BET681500000",Balanceanp!C:G,5,FALSE))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2625.03</v>
      </c>
      <c r="D185" s="312">
        <f>SUM(D169:D184)</f>
        <v>4482.6483250000001</v>
      </c>
      <c r="E185" s="312">
        <f>SUM(E169:E184)</f>
        <v>12297</v>
      </c>
      <c r="F185" s="312">
        <f>SUM(F169:F184)</f>
        <v>2654.08</v>
      </c>
      <c r="G185" s="312">
        <f>SUM(G169:G184)</f>
        <v>2929.74</v>
      </c>
      <c r="H185" s="421"/>
      <c r="I185" s="598">
        <f>+IF((E185)=0,,(F185-E185)/E185)</f>
        <v>-0.78416849638123121</v>
      </c>
      <c r="J185" s="599">
        <f>+IF((F185)=0,,(G185-F185)/F185)</f>
        <v>0.10386273209549067</v>
      </c>
      <c r="K185" s="136">
        <f>(C185+(C185/3))</f>
        <v>3500.0400000000004</v>
      </c>
      <c r="L185" s="17">
        <f t="shared" si="15"/>
        <v>1</v>
      </c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590" t="s">
        <v>179</v>
      </c>
      <c r="B187" s="591"/>
      <c r="C187" s="311">
        <f>IF(ISNA(VLOOKUP("BET740000000",Balance!C:G,5,FALSE))=TRUE,0,-VLOOKUP("BET740000000",Balance!C:G,5,FALSE))</f>
        <v>-1857.1</v>
      </c>
      <c r="D187" s="592">
        <f>+[2]Béthune!$H187</f>
        <v>0</v>
      </c>
      <c r="E187" s="311">
        <f>IF(ISNA(VLOOKUP("BET740000000",Balanceanp!C:G,5,FALSE))=TRUE,0,-VLOOKUP("BET740000000",Balanceanp!C:G,5,FALSE))</f>
        <v>0</v>
      </c>
      <c r="F187" s="625">
        <f>+C187+C187/9*(12-Clients!$I$14)</f>
        <v>-2476.1333333333332</v>
      </c>
      <c r="G187" s="625">
        <v>0</v>
      </c>
      <c r="H187" s="625"/>
      <c r="I187" s="591">
        <f t="shared" ref="I187:J199" si="22">+IF((E187)=0,,(F187-E187)/E187)</f>
        <v>0</v>
      </c>
      <c r="J187" s="595">
        <f t="shared" si="22"/>
        <v>-1</v>
      </c>
      <c r="L187" s="17">
        <f t="shared" si="15"/>
        <v>1</v>
      </c>
    </row>
    <row r="188" spans="1:12">
      <c r="A188" s="5" t="s">
        <v>167</v>
      </c>
      <c r="B188" s="92"/>
      <c r="C188" s="160">
        <f>IF(ISNA(VLOOKUP("BET751100000",Balance!C:G,5,FALSE))=TRUE,0,-VLOOKUP("BET751100000",Balance!C:G,5,FALSE))</f>
        <v>0</v>
      </c>
      <c r="D188" s="117">
        <f>+[2]Béthune!$H188</f>
        <v>0</v>
      </c>
      <c r="E188" s="160">
        <f>IF(ISNA(VLOOKUP("BET751100000",Balanceanp!C:G,5,FALSE))=TRUE,0,-VLOOKUP("BET751100000",Balanceanp!C:G,5,FALSE))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>
      <c r="A189" s="5" t="s">
        <v>180</v>
      </c>
      <c r="B189" s="92"/>
      <c r="C189" s="160">
        <f>IF(ISNA(VLOOKUP("BET758100000",Balance!C:G,5,FALSE))=TRUE,0,-VLOOKUP("BET758100000",Balance!C:G,5,FALSE))</f>
        <v>0</v>
      </c>
      <c r="D189" s="117">
        <f>+[2]Béthune!$H189</f>
        <v>0</v>
      </c>
      <c r="E189" s="160">
        <f>IF(ISNA(VLOOKUP("BET758100000",Balanceanp!C:G,5,FALSE))=TRUE,0,-VLOOKUP("BET758100000",Balanceanp!C:G,5,FALSE))</f>
        <v>7297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2"/>
        <v>0</v>
      </c>
      <c r="L189" s="17">
        <v>0</v>
      </c>
    </row>
    <row r="190" spans="1:12">
      <c r="A190" s="5" t="s">
        <v>181</v>
      </c>
      <c r="B190" s="92"/>
      <c r="C190" s="160">
        <f>IF(ISNA(VLOOKUP("BET763800000",Balance!C:G,5,FALSE))=TRUE,0,-VLOOKUP("BET763800000",Balance!C:G,5,FALSE))</f>
        <v>0</v>
      </c>
      <c r="D190" s="117">
        <f>+[2]Béthune!$H190</f>
        <v>0</v>
      </c>
      <c r="E190" s="160">
        <f>IF(ISNA(VLOOKUP("BET763800000",Balanceanp!C:G,5,FALSE))=TRUE,0,-VLOOKUP("BET763800000",Balanceanp!C:G,5,FALSE))+IF(ISNA(VLOOKUP("BET763110000",Balanceanp!C:G,5,FALSE))=TRUE,0,-VLOOKUP("BET763110000",Balanceanp!C:G,5,FALSE))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>
      <c r="A191" s="5" t="s">
        <v>182</v>
      </c>
      <c r="B191" s="92"/>
      <c r="C191" s="160">
        <f>IF(ISNA(VLOOKUP("BET765000000",Balance!C:G,5,FALSE))=TRUE,0,-VLOOKUP("BET765000000",Balance!C:G,5,FALSE))</f>
        <v>0</v>
      </c>
      <c r="D191" s="117">
        <f>+[2]Béthune!$H191</f>
        <v>0</v>
      </c>
      <c r="E191" s="160">
        <f>IF(ISNA(VLOOKUP("BET765000000",Balanceanp!C:G,5,FALSE))=TRUE,0,-VLOOKUP("BET765000000",Balanceanp!C:G,5,FALSE))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>
      <c r="A192" s="5" t="s">
        <v>183</v>
      </c>
      <c r="B192" s="92"/>
      <c r="C192" s="160">
        <f>IF(ISNA(VLOOKUP("BET771400000",Balance!C:G,5,FALSE))=TRUE,0,-VLOOKUP("BET771400000",Balance!C:G,5,FALSE))</f>
        <v>0</v>
      </c>
      <c r="D192" s="117">
        <f>+[2]Béthune!$H192</f>
        <v>0</v>
      </c>
      <c r="E192" s="160">
        <f>IF(ISNA(VLOOKUP("BET771400000",Balanceanp!C:G,5,FALSE))=TRUE,0,-VLOOKUP("BET771400000",Balanceanp!C:G,5,FALSE))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>
      <c r="A193" s="5" t="s">
        <v>184</v>
      </c>
      <c r="B193" s="92"/>
      <c r="C193" s="160">
        <f>IF(ISNA(VLOOKUP("BET771800000",Balance!C:G,5,FALSE))=TRUE,0,-VLOOKUP("BET771800000",Balance!C:G,5,FALSE))</f>
        <v>0</v>
      </c>
      <c r="D193" s="117">
        <f>+[2]Béthune!$H193</f>
        <v>0</v>
      </c>
      <c r="E193" s="160">
        <f>IF(ISNA(VLOOKUP("BET771800000",Balanceanp!C:G,5,FALSE))=TRUE,0,-VLOOKUP("BET771800000",Balanceanp!C:G,5,FALSE))</f>
        <v>726.32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>
      <c r="A194" s="5" t="s">
        <v>185</v>
      </c>
      <c r="B194" s="92"/>
      <c r="C194" s="160">
        <f>IF(ISNA(VLOOKUP("BET758000000",Balance!C:G,5,FALSE))=TRUE,0,-VLOOKUP("BET758000000",Balance!C:G,5,FALSE))</f>
        <v>0</v>
      </c>
      <c r="D194" s="117">
        <f>+[2]Béthune!$H194</f>
        <v>0</v>
      </c>
      <c r="E194" s="160">
        <f>IF(ISNA(VLOOKUP("BET772000000",Balanceanp!C:G,5,FALSE))=TRUE,0,-VLOOKUP("BET772000000",Balanceanp!C:G,5,FALSE))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>
      <c r="A195" s="5" t="s">
        <v>186</v>
      </c>
      <c r="B195" s="92"/>
      <c r="C195" s="160">
        <f>IF(ISNA(VLOOKUP("BET775100000",Balance!C:G,5,FALSE))=TRUE,0,-VLOOKUP("BET775100000",Balance!C:G,5,FALSE))</f>
        <v>0</v>
      </c>
      <c r="D195" s="117">
        <f>+[2]Béthune!$H195</f>
        <v>0</v>
      </c>
      <c r="E195" s="160">
        <f>IF(ISNA(VLOOKUP("BET775100000",Balanceanp!C:G,5,FALSE))=TRUE,0,-VLOOKUP("BET775100000",Balanceanp!C:G,5,FALSE))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>
      <c r="A196" s="5" t="s">
        <v>187</v>
      </c>
      <c r="B196" s="92"/>
      <c r="C196" s="160">
        <f>IF(ISNA(VLOOKUP("BET775200000",Balance!C:G,5,FALSE))=TRUE,0,-VLOOKUP("BET775200000",Balance!C:G,5,FALSE))</f>
        <v>0</v>
      </c>
      <c r="D196" s="117">
        <f>+[2]Béthune!$H196</f>
        <v>0</v>
      </c>
      <c r="E196" s="160">
        <f>IF(ISNA(VLOOKUP("BET775200000",Balanceanp!C:G,5,FALSE))=TRUE,0,-VLOOKUP("BET775200000",Balanceanp!C:G,5,FALSE))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>
      <c r="A197" s="590" t="s">
        <v>328</v>
      </c>
      <c r="B197" s="591"/>
      <c r="C197" s="311">
        <f>IF(ISNA(VLOOKUP("BET791000000",Balance!C:G,5,FALSE))=TRUE,0,-VLOOKUP("BET791000000",Balance!C:G,5,FALSE))</f>
        <v>9452.7999999999993</v>
      </c>
      <c r="D197" s="592">
        <f>+[2]Béthune!$H197</f>
        <v>0</v>
      </c>
      <c r="E197" s="311">
        <f>IF(ISNA(VLOOKUP("BET791000000",Balanceanp!C:G,5,FALSE))=TRUE,0,-VLOOKUP("BET791000000",Balanceanp!C:G,5,FALSE))</f>
        <v>0</v>
      </c>
      <c r="F197" s="625">
        <f>+C197+C197/9*(12-Clients!$I$14)</f>
        <v>12603.733333333334</v>
      </c>
      <c r="G197" s="625">
        <v>0</v>
      </c>
      <c r="H197" s="625"/>
      <c r="I197" s="591">
        <f t="shared" si="22"/>
        <v>0</v>
      </c>
      <c r="J197" s="595">
        <f t="shared" si="22"/>
        <v>-1</v>
      </c>
      <c r="L197" s="17">
        <f t="shared" si="15"/>
        <v>1</v>
      </c>
    </row>
    <row r="198" spans="1:12">
      <c r="A198" s="5" t="s">
        <v>344</v>
      </c>
      <c r="B198" s="92"/>
      <c r="C198" s="160">
        <f>IF(ISNA(VLOOKUP("BET781500000",Balance!C:G,5,FALSE))=TRUE,0,-VLOOKUP("BET781500000",Balance!C:G,5,FALSE))</f>
        <v>0</v>
      </c>
      <c r="D198" s="117">
        <f>+[2]Béthune!$H198</f>
        <v>0</v>
      </c>
      <c r="E198" s="160">
        <f>IF(ISNA(VLOOKUP("BET781500000",Balanceanp!C:G,5,FALSE))=TRUE,0,-VLOOKUP("BET781500000",Balanceanp!C:G,5,FALSE))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>
      <c r="A199" s="5" t="s">
        <v>77</v>
      </c>
      <c r="B199" s="92"/>
      <c r="C199" s="160">
        <f>IF(ISNA(VLOOKUP("BET787250000",Balance!C:G,5,FALSE))=TRUE,0,-VLOOKUP("BET787250000",Balance!C:G,5,FALSE))</f>
        <v>0</v>
      </c>
      <c r="D199" s="117">
        <f>+[2]Béthune!$H199</f>
        <v>0</v>
      </c>
      <c r="E199" s="160">
        <f>IF(ISNA(VLOOKUP("BET787250000",Balanceanp!C:G,5,FALSE))=TRUE,0,-VLOOKUP("BET787250000",Balanceanp!C:G,5,FALSE))</f>
        <v>2237.63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7595.6999999999989</v>
      </c>
      <c r="D201" s="312">
        <f>SUM(D186:D200)</f>
        <v>0</v>
      </c>
      <c r="E201" s="305">
        <f>SUM(E186:E200)</f>
        <v>10260.950000000001</v>
      </c>
      <c r="F201" s="312">
        <f>SUM(F186:F200)</f>
        <v>10127.6</v>
      </c>
      <c r="G201" s="312">
        <f>SUM(G186:G200)</f>
        <v>0</v>
      </c>
      <c r="H201" s="421"/>
      <c r="I201" s="598">
        <f>+IF((E201)=0,,(F201-E201)/E201)</f>
        <v>-1.2995872701845381E-2</v>
      </c>
      <c r="J201" s="599">
        <f>+IF((F201)=0,,(G201-F201)/F201)</f>
        <v>-1</v>
      </c>
      <c r="K201" s="136">
        <f>(C201+(C201/3))</f>
        <v>10127.599999999999</v>
      </c>
      <c r="L201" s="17">
        <f t="shared" si="23"/>
        <v>1</v>
      </c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0.47270026237832263</v>
      </c>
      <c r="C203" s="313">
        <f>+C103+C116+C129+C154+C168+C185-C201</f>
        <v>127825.18000000001</v>
      </c>
      <c r="D203" s="641">
        <f>+D103+D116+D129+D154+D168+D185-D201</f>
        <v>144298.69725324193</v>
      </c>
      <c r="E203" s="313">
        <f>+E103+E116+E129+E154+E168+E185-E201</f>
        <v>130050.74391999999</v>
      </c>
      <c r="F203" s="641">
        <f>+F103+F116+F129+F154+F168+F185-F201</f>
        <v>164067.34333333329</v>
      </c>
      <c r="G203" s="641">
        <f>+G103+G116+G129+G154+G168+G185-G201</f>
        <v>148494.38194899992</v>
      </c>
      <c r="H203" s="422">
        <f>+G203/$G$21</f>
        <v>0.37091233386120587</v>
      </c>
      <c r="I203" s="643">
        <f>+IF((E203)=0,,(F203-E203)/E203)</f>
        <v>0.26156405098504032</v>
      </c>
      <c r="J203" s="644">
        <f>+IF((F203)=0,,(G203-F203)/F203)</f>
        <v>-9.4918105382458803E-2</v>
      </c>
      <c r="K203" s="145">
        <f>+K103+K116+K129+K154+K168+K185-K201</f>
        <v>170433.57333333336</v>
      </c>
      <c r="L203" s="17">
        <f t="shared" si="23"/>
        <v>1</v>
      </c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-8.4283829140017377E-2</v>
      </c>
      <c r="C205" s="314">
        <f>+C62-C203</f>
        <v>-22791.60070000001</v>
      </c>
      <c r="D205" s="645">
        <f>+D62-D203</f>
        <v>-2178.6972532419313</v>
      </c>
      <c r="E205" s="314">
        <f>+E53-E203</f>
        <v>-8494.6277199999458</v>
      </c>
      <c r="F205" s="645">
        <f>+F62-F203</f>
        <v>-24184.601367304975</v>
      </c>
      <c r="G205" s="645">
        <f>+G62-G203</f>
        <v>8843.6842696936801</v>
      </c>
      <c r="H205" s="406">
        <f>+G205/$G$21</f>
        <v>2.2089937204023691E-2</v>
      </c>
      <c r="I205" s="647">
        <f>+IF((E205)=0,,(F205-E205)/E205)</f>
        <v>1.847046646948894</v>
      </c>
      <c r="J205" s="648">
        <f>+IF((F205)=0,,(G205-F205)/F205)</f>
        <v>-1.3656741798378123</v>
      </c>
      <c r="L205" s="17">
        <f t="shared" si="23"/>
        <v>1</v>
      </c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2.6685284839438731E-3</v>
      </c>
      <c r="C207" s="650">
        <f>+[2]Béthune!$C207</f>
        <v>721.60978307697951</v>
      </c>
      <c r="D207" s="315">
        <f>+[2]Béthune!$H207</f>
        <v>2181.8475294966993</v>
      </c>
      <c r="E207" s="315">
        <f>+[1]Béthune!$G$207</f>
        <v>717.07433421130213</v>
      </c>
      <c r="F207" s="315">
        <f>+Repart!K41</f>
        <v>970.83249526418081</v>
      </c>
      <c r="G207" s="315">
        <f>+Repart!Q41</f>
        <v>1515.4021100880475</v>
      </c>
      <c r="H207" s="423">
        <f>+G207/$G$21</f>
        <v>3.7852026858766915E-3</v>
      </c>
      <c r="I207" s="643">
        <f>+IF((E207)=0,,(F207-E207)/E207)</f>
        <v>0.35387985449511727</v>
      </c>
      <c r="J207" s="644">
        <f>+IF((F207)=0,,(G207-F207)/F207)</f>
        <v>0.56093055957678839</v>
      </c>
      <c r="L207" s="17">
        <f t="shared" si="23"/>
        <v>1</v>
      </c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-8.6952357623961252E-2</v>
      </c>
      <c r="C209" s="314">
        <f>+C205-C207</f>
        <v>-23513.210483076989</v>
      </c>
      <c r="D209" s="645">
        <f>+D205-D207</f>
        <v>-4360.5447827386306</v>
      </c>
      <c r="E209" s="314">
        <f>+E205-E207</f>
        <v>-9211.7020542112477</v>
      </c>
      <c r="F209" s="645">
        <f>+F205-F207</f>
        <v>-25155.433862569156</v>
      </c>
      <c r="G209" s="645">
        <f>+G205-G207</f>
        <v>7328.2821596056328</v>
      </c>
      <c r="H209" s="406">
        <f>+G209/$G$21</f>
        <v>1.8304734518146997E-2</v>
      </c>
      <c r="I209" s="647">
        <f>+IF((E209)=0,,(F209-E209)/E209)</f>
        <v>1.7308127981700219</v>
      </c>
      <c r="J209" s="648">
        <f>+IF((F209)=0,,(G209-F209)/F209)</f>
        <v>-1.2913200463821055</v>
      </c>
      <c r="L209" s="17">
        <f t="shared" si="23"/>
        <v>1</v>
      </c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2.4166801253772914E-2</v>
      </c>
      <c r="C211" s="311">
        <f>+[2]Béthune!$C211</f>
        <v>6535.0624193548392</v>
      </c>
      <c r="D211" s="592">
        <f>+[2]Béthune!$H211</f>
        <v>9026.0372215405096</v>
      </c>
      <c r="E211" s="311">
        <f>+[1]Béthune!$G211</f>
        <v>8095.0860719999991</v>
      </c>
      <c r="F211" s="625">
        <f>+Repart!I41</f>
        <v>8997.9607634408567</v>
      </c>
      <c r="G211" s="625">
        <f>+Repart!O41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3.8560307356680285E-2</v>
      </c>
      <c r="C212" s="311">
        <f>+[2]Béthune!$C212</f>
        <v>10427.280501016743</v>
      </c>
      <c r="D212" s="592">
        <f>+[2]Béthune!$H212</f>
        <v>13819.955798570812</v>
      </c>
      <c r="E212" s="311">
        <f>+[1]Béthune!$G212</f>
        <v>11005.291220117388</v>
      </c>
      <c r="F212" s="625">
        <f>+Repart!J41</f>
        <v>14607.743603578003</v>
      </c>
      <c r="G212" s="625">
        <f>+Repart!P41</f>
        <v>16327.309583387019</v>
      </c>
      <c r="H212" s="625"/>
      <c r="I212" s="591">
        <f t="shared" si="24"/>
        <v>0.32733821499202359</v>
      </c>
      <c r="J212" s="595">
        <f t="shared" si="24"/>
        <v>0.11771605707727702</v>
      </c>
      <c r="L212" s="17">
        <f t="shared" si="23"/>
        <v>1</v>
      </c>
    </row>
    <row r="213" spans="1:12">
      <c r="A213" s="590" t="s">
        <v>193</v>
      </c>
      <c r="B213" s="591"/>
      <c r="C213" s="311">
        <f>+[2]Béthune!$C213</f>
        <v>-3709.84</v>
      </c>
      <c r="D213" s="592">
        <f>+[2]Béthune!$H213</f>
        <v>-5305.76</v>
      </c>
      <c r="E213" s="311">
        <f>+[1]Béthune!$G213</f>
        <v>-4644.9399999999996</v>
      </c>
      <c r="F213" s="625">
        <f>+C213+C213/9*(12-Clients!$I$14)</f>
        <v>-4946.4533333333329</v>
      </c>
      <c r="G213" s="625">
        <f>+G253*-4%</f>
        <v>-5460.7603600000011</v>
      </c>
      <c r="H213" s="625"/>
      <c r="I213" s="591">
        <f t="shared" si="24"/>
        <v>6.4912212716059486E-2</v>
      </c>
      <c r="J213" s="595">
        <f t="shared" si="24"/>
        <v>0.10397490727362937</v>
      </c>
      <c r="L213" s="17">
        <f t="shared" si="23"/>
        <v>1</v>
      </c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4.9008040572515787E-2</v>
      </c>
      <c r="C215" s="316">
        <f>SUM(C210:C213)</f>
        <v>13252.502920371582</v>
      </c>
      <c r="D215" s="652">
        <f>SUM(D210:D213)</f>
        <v>17540.233020111322</v>
      </c>
      <c r="E215" s="316">
        <f>SUM(E210:E213)</f>
        <v>14455.437292117389</v>
      </c>
      <c r="F215" s="652">
        <f>SUM(F210:F213)</f>
        <v>18659.251033685527</v>
      </c>
      <c r="G215" s="652">
        <f>SUM(G210:G213)</f>
        <v>20511.233902697495</v>
      </c>
      <c r="H215" s="424">
        <f>+G215/$G$21</f>
        <v>5.1233383629526973E-2</v>
      </c>
      <c r="I215" s="643">
        <f>+IF((E215)=0,,(F215-E215)/E215)</f>
        <v>0.2908119385541173</v>
      </c>
      <c r="J215" s="644">
        <f>+IF((F215)=0,,(G215-F215)/F215)</f>
        <v>9.9252797749951785E-2</v>
      </c>
      <c r="L215" s="17">
        <f t="shared" si="23"/>
        <v>1</v>
      </c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968" t="s">
        <v>86</v>
      </c>
      <c r="B217" s="975">
        <f>+C217/$C$21</f>
        <v>-0.13596039819647704</v>
      </c>
      <c r="C217" s="976">
        <f>+C209-C215</f>
        <v>-36765.713403448572</v>
      </c>
      <c r="D217" s="977">
        <f>+D209-D215</f>
        <v>-21900.777802849952</v>
      </c>
      <c r="E217" s="976">
        <f>+E209-E215</f>
        <v>-23667.139346328637</v>
      </c>
      <c r="F217" s="977">
        <f>+F209-F215</f>
        <v>-43814.684896254679</v>
      </c>
      <c r="G217" s="977">
        <f>+G209-G215</f>
        <v>-13182.951743091862</v>
      </c>
      <c r="H217" s="969">
        <f>+G217/$G$21</f>
        <v>-3.2928649111379979E-2</v>
      </c>
      <c r="I217" s="975">
        <f>+IF((E217)=0,,(F217-E217)/E217)</f>
        <v>0.85128773930388124</v>
      </c>
      <c r="J217" s="978">
        <f>+IF((F217)=0,,(G217-F217)/F217)</f>
        <v>-0.69912024303480147</v>
      </c>
      <c r="L217" s="17">
        <f t="shared" si="23"/>
        <v>1</v>
      </c>
    </row>
    <row r="218" spans="1:12">
      <c r="A218" s="2" t="s">
        <v>43</v>
      </c>
      <c r="C218" s="17">
        <f>+C225-C226-C215-C207-C53+C62-C38+C213</f>
        <v>-36765.713403448593</v>
      </c>
      <c r="D218" s="117">
        <f>+[2]Béthune!$H$217</f>
        <v>-21900.777802849952</v>
      </c>
      <c r="E218" s="17">
        <f>+[1]Béthune!$G$217</f>
        <v>-23667.139346328637</v>
      </c>
      <c r="F218" s="87"/>
      <c r="G218" s="398"/>
      <c r="H218" s="414"/>
      <c r="L218" s="17">
        <v>0</v>
      </c>
    </row>
    <row r="219" spans="1:12">
      <c r="A219" s="2" t="s">
        <v>346</v>
      </c>
      <c r="B219" s="58">
        <f>+Clients!K13</f>
        <v>270</v>
      </c>
      <c r="C219" s="17">
        <f>+B219/C44*C57</f>
        <v>99.397976302980538</v>
      </c>
      <c r="L219" s="17">
        <v>0</v>
      </c>
    </row>
    <row r="220" spans="1:12">
      <c r="A220" s="2" t="s">
        <v>354</v>
      </c>
      <c r="B220" s="58">
        <f>+Clients!K13</f>
        <v>270</v>
      </c>
      <c r="C220" s="17">
        <f>+B220/(C21*1.196)*Clients!K40</f>
        <v>80.077466557331334</v>
      </c>
      <c r="L220" s="17">
        <v>0</v>
      </c>
    </row>
    <row r="221" spans="1:12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484783.90667845658</v>
      </c>
      <c r="D222" s="655">
        <f>+(D215+D207+D203)/D60</f>
        <v>420611.96503130213</v>
      </c>
      <c r="E222" s="655">
        <f>+(E215+E207+E203)/E60/Clients!$I$13*12</f>
        <v>488551.69015857083</v>
      </c>
      <c r="F222" s="655">
        <f>+(F215+F207+F203)/F60</f>
        <v>471019.04323662305</v>
      </c>
      <c r="G222" s="655">
        <f>+(G215+G207+G203)/G60</f>
        <v>431939.14389500266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40398.658889871382</v>
      </c>
      <c r="D223" s="655">
        <f>+(D215+D207+D203)/D60/12</f>
        <v>35050.997085941846</v>
      </c>
      <c r="E223" s="655">
        <f>+(E215+E207+E203)/E60/Clients!$I$13</f>
        <v>40712.640846547569</v>
      </c>
      <c r="F223" s="655">
        <f>+(F215+F207+F203)/F60/9</f>
        <v>52335.449248513673</v>
      </c>
      <c r="G223" s="655">
        <f>+(G215+G207+G203)/G60/12</f>
        <v>35994.928657916891</v>
      </c>
      <c r="H223" s="655"/>
      <c r="I223" s="655"/>
      <c r="J223" s="655"/>
      <c r="L223" s="17">
        <f t="shared" si="23"/>
        <v>1</v>
      </c>
    </row>
    <row r="224" spans="1:12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>
      <c r="A225" s="2" t="s">
        <v>215</v>
      </c>
      <c r="C225" s="17">
        <f>+C51-C40-C157-C166+C201-C164-C159-C137</f>
        <v>282578.65000000002</v>
      </c>
      <c r="D225" s="17"/>
      <c r="L225" s="17">
        <v>0</v>
      </c>
    </row>
    <row r="226" spans="1:12">
      <c r="A226" s="2" t="s">
        <v>216</v>
      </c>
      <c r="C226" s="17">
        <f>+C44-C38-C40+C103+C116+C129+C154+C156+C158+C160+C161+C162+C163+C165+C185+C213</f>
        <v>304779.94000000006</v>
      </c>
      <c r="D226" s="17"/>
      <c r="L226" s="17">
        <v>0</v>
      </c>
    </row>
    <row r="227" spans="1:12" ht="10.5" customHeight="1">
      <c r="L227" s="17">
        <f t="shared" si="23"/>
        <v>0</v>
      </c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customHeight="1">
      <c r="A229" s="7" t="str">
        <f>+A4</f>
        <v>BETHUNE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269316.87</v>
      </c>
      <c r="D233" s="313">
        <f t="shared" si="25"/>
        <v>364450</v>
      </c>
      <c r="E233" s="313">
        <f t="shared" si="25"/>
        <v>306699.05000000005</v>
      </c>
      <c r="F233" s="313">
        <f t="shared" si="25"/>
        <v>358673.69734879053</v>
      </c>
      <c r="G233" s="313">
        <f t="shared" si="25"/>
        <v>398546</v>
      </c>
      <c r="H233" s="313"/>
      <c r="I233" s="643">
        <f>+I51</f>
        <v>0.16946465060387531</v>
      </c>
      <c r="J233" s="643">
        <f t="shared" si="25"/>
        <v>0.11116595096304437</v>
      </c>
      <c r="K233" s="58"/>
      <c r="L233" s="17">
        <f t="shared" si="23"/>
        <v>1</v>
      </c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0.39</v>
      </c>
      <c r="D235" s="15">
        <f>+D60</f>
        <v>0.38995747016051585</v>
      </c>
      <c r="E235" s="15">
        <f>+E60</f>
        <v>0.39633678747945267</v>
      </c>
      <c r="F235" s="15">
        <f>+F60</f>
        <v>0.39</v>
      </c>
      <c r="G235" s="15">
        <f>+G60</f>
        <v>0.39478019154299276</v>
      </c>
      <c r="H235" s="15"/>
      <c r="I235" s="15"/>
      <c r="J235" s="1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105033.5793</v>
      </c>
      <c r="D236" s="309">
        <f>+D62</f>
        <v>142120</v>
      </c>
      <c r="E236" s="309">
        <f>+E62</f>
        <v>121556.11620000005</v>
      </c>
      <c r="F236" s="309">
        <f>+F62</f>
        <v>139882.74196602832</v>
      </c>
      <c r="G236" s="309">
        <f>+G62</f>
        <v>157338.0662186936</v>
      </c>
      <c r="H236" s="309"/>
      <c r="I236" s="647">
        <f>+IF((E236)=0,,(F236-E236)/E236)</f>
        <v>0.15076679264640955</v>
      </c>
      <c r="J236" s="648">
        <f>+IF((F236)=0,,(G236-F236)/F236)</f>
        <v>0.12478540245446751</v>
      </c>
      <c r="L236" s="17">
        <f t="shared" si="23"/>
        <v>1</v>
      </c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34057.800000000003</v>
      </c>
      <c r="D238" s="664">
        <f>+D103</f>
        <v>48421.270145517708</v>
      </c>
      <c r="E238" s="664">
        <f>+E103</f>
        <v>43702.93</v>
      </c>
      <c r="F238" s="664">
        <f>+F103</f>
        <v>45410.46</v>
      </c>
      <c r="G238" s="664">
        <f>+G103</f>
        <v>45800.231392717134</v>
      </c>
      <c r="H238" s="664"/>
      <c r="I238" s="666">
        <f t="shared" ref="I238:J243" si="26">+IF((E238)=0,,(F238-E238)/E238)</f>
        <v>3.9071293389253282E-2</v>
      </c>
      <c r="J238" s="666">
        <f t="shared" si="26"/>
        <v>8.5832954063256636E-3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10440.699999999999</v>
      </c>
      <c r="D239" s="664">
        <f>+D116</f>
        <v>13089.734499999999</v>
      </c>
      <c r="E239" s="664">
        <f>+E116</f>
        <v>6717.45</v>
      </c>
      <c r="F239" s="664">
        <f>+F116</f>
        <v>11028.783333333331</v>
      </c>
      <c r="G239" s="664">
        <f>+G116</f>
        <v>10922.216933333335</v>
      </c>
      <c r="H239" s="664"/>
      <c r="I239" s="666">
        <f t="shared" si="26"/>
        <v>0.64181100467191143</v>
      </c>
      <c r="J239" s="666">
        <f t="shared" si="26"/>
        <v>-9.6625708184791687E-3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5515.5999999999995</v>
      </c>
      <c r="D240" s="664">
        <f>+D129</f>
        <v>7197.3119999999999</v>
      </c>
      <c r="E240" s="664">
        <f>+E129</f>
        <v>6112.64</v>
      </c>
      <c r="F240" s="664">
        <f>+F129</f>
        <v>4725.9533333333329</v>
      </c>
      <c r="G240" s="664">
        <f>+G129</f>
        <v>4948.4377000000004</v>
      </c>
      <c r="H240" s="664"/>
      <c r="I240" s="666">
        <f t="shared" si="26"/>
        <v>-0.22685560848776753</v>
      </c>
      <c r="J240" s="666">
        <f t="shared" si="26"/>
        <v>4.707713999150806E-2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81251.44</v>
      </c>
      <c r="D241" s="664">
        <f>+D154</f>
        <v>66350.053019967207</v>
      </c>
      <c r="E241" s="664">
        <f>+E154</f>
        <v>69479.943920000005</v>
      </c>
      <c r="F241" s="664">
        <f>+F154</f>
        <v>108335.25333333333</v>
      </c>
      <c r="G241" s="664">
        <f>+G154</f>
        <v>78745.02599682947</v>
      </c>
      <c r="H241" s="664"/>
      <c r="I241" s="666">
        <f t="shared" si="26"/>
        <v>0.55923058110224966</v>
      </c>
      <c r="J241" s="666">
        <f t="shared" si="26"/>
        <v>-0.27313571922390412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1530.31</v>
      </c>
      <c r="D242" s="664">
        <f>+D168</f>
        <v>4757.6792627570239</v>
      </c>
      <c r="E242" s="664">
        <f>+E168</f>
        <v>2001.7300000000005</v>
      </c>
      <c r="F242" s="664">
        <f>+F168</f>
        <v>2040.4133333333334</v>
      </c>
      <c r="G242" s="664">
        <f>+G168</f>
        <v>5148.7299261200005</v>
      </c>
      <c r="H242" s="664"/>
      <c r="I242" s="666">
        <f t="shared" si="26"/>
        <v>1.9324950584410951E-2</v>
      </c>
      <c r="J242" s="666">
        <f t="shared" si="26"/>
        <v>1.5233759464356897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-4970.6699999999983</v>
      </c>
      <c r="D243" s="664">
        <f>+D185-D201</f>
        <v>4482.6483250000001</v>
      </c>
      <c r="E243" s="664">
        <f>+E185-E201</f>
        <v>2036.0499999999993</v>
      </c>
      <c r="F243" s="664">
        <f>+F185-F201</f>
        <v>-7473.52</v>
      </c>
      <c r="G243" s="664">
        <f>+G185-G201</f>
        <v>2929.74</v>
      </c>
      <c r="H243" s="664"/>
      <c r="I243" s="666">
        <f t="shared" si="26"/>
        <v>-4.6705974804155117</v>
      </c>
      <c r="J243" s="666">
        <f t="shared" si="26"/>
        <v>-1.3920160780997441</v>
      </c>
      <c r="L243" s="17">
        <f t="shared" si="23"/>
        <v>1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127825.18000000001</v>
      </c>
      <c r="D245" s="389">
        <f>+D203</f>
        <v>144298.69725324193</v>
      </c>
      <c r="E245" s="389">
        <f>+E203</f>
        <v>130050.74391999999</v>
      </c>
      <c r="F245" s="389">
        <f>+F203</f>
        <v>164067.34333333329</v>
      </c>
      <c r="G245" s="389">
        <f>+G203</f>
        <v>148494.38194899992</v>
      </c>
      <c r="H245" s="389"/>
      <c r="I245" s="643">
        <f>+I63</f>
        <v>0</v>
      </c>
      <c r="J245" s="643">
        <f>+J63</f>
        <v>0</v>
      </c>
      <c r="K245" s="58"/>
      <c r="L245" s="17">
        <f t="shared" si="23"/>
        <v>1</v>
      </c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-22791.60070000001</v>
      </c>
      <c r="D247" s="314">
        <f>+D205</f>
        <v>-2178.6972532419313</v>
      </c>
      <c r="E247" s="314">
        <f>+E205</f>
        <v>-8494.6277199999458</v>
      </c>
      <c r="F247" s="314">
        <f>+F205</f>
        <v>-24184.601367304975</v>
      </c>
      <c r="G247" s="314">
        <f>+G205</f>
        <v>8843.6842696936801</v>
      </c>
      <c r="H247" s="314"/>
      <c r="I247" s="647">
        <f>+IF((E247)=0,,(F247-E247)/E247)</f>
        <v>1.847046646948894</v>
      </c>
      <c r="J247" s="648">
        <f>+IF((F247)=0,,(G247-F247)/F247)</f>
        <v>-1.3656741798378123</v>
      </c>
      <c r="L247" s="17">
        <f t="shared" si="23"/>
        <v>1</v>
      </c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13974.112703448562</v>
      </c>
      <c r="D249" s="316">
        <f>+D207+D215</f>
        <v>19722.080549608021</v>
      </c>
      <c r="E249" s="316">
        <f>+E207+E215</f>
        <v>15172.511626328691</v>
      </c>
      <c r="F249" s="316">
        <f>+F207+F215</f>
        <v>19630.083528949708</v>
      </c>
      <c r="G249" s="316">
        <f>+G207+G215</f>
        <v>22026.636012785544</v>
      </c>
      <c r="H249" s="316"/>
      <c r="I249" s="643">
        <f>+I67</f>
        <v>16.517496674185896</v>
      </c>
      <c r="J249" s="643">
        <f>+J67</f>
        <v>3.0000000000000058E-2</v>
      </c>
      <c r="L249" s="17">
        <f t="shared" si="23"/>
        <v>1</v>
      </c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-36765.713403448572</v>
      </c>
      <c r="D251" s="314">
        <f>+D217</f>
        <v>-21900.777802849952</v>
      </c>
      <c r="E251" s="314">
        <f>+E217</f>
        <v>-23667.139346328637</v>
      </c>
      <c r="F251" s="314">
        <f>+F217</f>
        <v>-43814.684896254679</v>
      </c>
      <c r="G251" s="314">
        <f>+G217</f>
        <v>-13182.951743091862</v>
      </c>
      <c r="H251" s="314"/>
      <c r="I251" s="647">
        <f>+IF((E251)=0,,(F251-E251)/E251)</f>
        <v>0.85128773930388124</v>
      </c>
      <c r="J251" s="648">
        <f>+IF((F251)=0,,(G251-F251)/F251)</f>
        <v>-0.69912024303480147</v>
      </c>
      <c r="L251" s="17">
        <f t="shared" si="23"/>
        <v>1</v>
      </c>
    </row>
    <row r="252" spans="1:12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97305.91</v>
      </c>
      <c r="D253" s="664">
        <v>147677</v>
      </c>
      <c r="E253" s="664">
        <f>+E28</f>
        <v>118173.25</v>
      </c>
      <c r="F253" s="664"/>
      <c r="G253" s="669">
        <f>+G28</f>
        <v>136519.00900000002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484783.90667845658</v>
      </c>
      <c r="D254" s="664">
        <f>+D222</f>
        <v>420611.96503130213</v>
      </c>
      <c r="E254" s="664">
        <f>+E222</f>
        <v>488551.69015857083</v>
      </c>
      <c r="F254" s="664">
        <f>+F222</f>
        <v>471019.04323662305</v>
      </c>
      <c r="G254" s="664">
        <f>+G222</f>
        <v>431939.14389500266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6644</v>
      </c>
      <c r="E255" s="664"/>
      <c r="F255" s="664"/>
      <c r="G255" s="669">
        <v>2800</v>
      </c>
      <c r="H255" s="669"/>
      <c r="I255" s="666"/>
      <c r="J255" s="666"/>
      <c r="L255" s="17">
        <v>1</v>
      </c>
    </row>
    <row r="256" spans="1:12">
      <c r="F256" s="2"/>
      <c r="G256" s="2"/>
      <c r="H256" s="2"/>
      <c r="I256" s="24"/>
      <c r="L256" s="17">
        <f t="shared" si="23"/>
        <v>0</v>
      </c>
    </row>
  </sheetData>
  <autoFilter ref="L1:L256"/>
  <phoneticPr fontId="0" type="noConversion"/>
  <hyperlinks>
    <hyperlink ref="C1" location="Sommaire!A1" display="Retour au sommaire"/>
  </hyperlinks>
  <pageMargins left="1.17" right="0" top="0.35" bottom="0.45" header="0.04" footer="0.05"/>
  <pageSetup paperSize="9" scale="66" fitToHeight="2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theme="0"/>
    <pageSetUpPr fitToPage="1"/>
  </sheetPr>
  <dimension ref="A2:I33"/>
  <sheetViews>
    <sheetView workbookViewId="0">
      <selection sqref="A1:IV65536"/>
    </sheetView>
  </sheetViews>
  <sheetFormatPr baseColWidth="10" defaultRowHeight="12.75"/>
  <sheetData>
    <row r="2" spans="2:8">
      <c r="C2" s="1423" t="s">
        <v>297</v>
      </c>
      <c r="D2" s="1424"/>
      <c r="E2" s="1425"/>
    </row>
    <row r="6" spans="2:8">
      <c r="B6" s="53" t="s">
        <v>298</v>
      </c>
      <c r="D6" s="52" t="s">
        <v>262</v>
      </c>
      <c r="F6" s="53" t="s">
        <v>278</v>
      </c>
      <c r="H6" s="46" t="s">
        <v>301</v>
      </c>
    </row>
    <row r="7" spans="2:8">
      <c r="D7" s="51"/>
      <c r="F7" s="54"/>
    </row>
    <row r="8" spans="2:8">
      <c r="B8" s="46" t="s">
        <v>259</v>
      </c>
      <c r="D8" s="52" t="s">
        <v>294</v>
      </c>
      <c r="F8" s="53" t="s">
        <v>279</v>
      </c>
      <c r="H8" s="44" t="s">
        <v>302</v>
      </c>
    </row>
    <row r="9" spans="2:8">
      <c r="B9" s="47"/>
      <c r="D9" s="51"/>
      <c r="F9" s="54"/>
    </row>
    <row r="10" spans="2:8">
      <c r="B10" s="46" t="s">
        <v>260</v>
      </c>
      <c r="D10" s="52" t="s">
        <v>276</v>
      </c>
      <c r="F10" s="53" t="s">
        <v>280</v>
      </c>
      <c r="H10" s="44" t="s">
        <v>303</v>
      </c>
    </row>
    <row r="11" spans="2:8">
      <c r="B11" s="47"/>
      <c r="D11" s="51"/>
      <c r="F11" s="54"/>
    </row>
    <row r="12" spans="2:8">
      <c r="B12" s="46" t="s">
        <v>261</v>
      </c>
      <c r="D12" s="52" t="s">
        <v>277</v>
      </c>
      <c r="F12" s="53" t="s">
        <v>49</v>
      </c>
      <c r="H12" s="44" t="s">
        <v>304</v>
      </c>
    </row>
    <row r="13" spans="2:8">
      <c r="D13" s="51"/>
      <c r="F13" s="54"/>
    </row>
    <row r="14" spans="2:8">
      <c r="D14" s="52" t="s">
        <v>311</v>
      </c>
      <c r="F14" s="53" t="s">
        <v>48</v>
      </c>
      <c r="H14" s="44" t="s">
        <v>305</v>
      </c>
    </row>
    <row r="15" spans="2:8">
      <c r="D15" s="51"/>
    </row>
    <row r="16" spans="2:8">
      <c r="B16" s="49" t="s">
        <v>257</v>
      </c>
      <c r="D16" s="52" t="s">
        <v>357</v>
      </c>
      <c r="H16" s="44" t="s">
        <v>306</v>
      </c>
    </row>
    <row r="17" spans="2:9">
      <c r="B17" s="50"/>
      <c r="D17" s="51"/>
      <c r="I17" s="48"/>
    </row>
    <row r="18" spans="2:9">
      <c r="B18" s="49" t="s">
        <v>258</v>
      </c>
      <c r="D18" s="52" t="s">
        <v>5</v>
      </c>
      <c r="H18" s="44" t="s">
        <v>255</v>
      </c>
    </row>
    <row r="19" spans="2:9">
      <c r="B19" s="50"/>
      <c r="D19" s="51"/>
    </row>
    <row r="20" spans="2:9">
      <c r="B20" s="49" t="s">
        <v>263</v>
      </c>
      <c r="D20" s="65" t="s">
        <v>15</v>
      </c>
      <c r="F20" s="44"/>
      <c r="H20" s="44" t="s">
        <v>13</v>
      </c>
    </row>
    <row r="21" spans="2:9">
      <c r="B21" s="50"/>
      <c r="D21" s="51"/>
    </row>
    <row r="22" spans="2:9">
      <c r="B22" s="49" t="s">
        <v>300</v>
      </c>
      <c r="D22" s="52" t="s">
        <v>16</v>
      </c>
      <c r="F22" s="44"/>
    </row>
    <row r="23" spans="2:9">
      <c r="B23" s="50"/>
      <c r="D23" s="51"/>
    </row>
    <row r="24" spans="2:9">
      <c r="B24" s="49" t="s">
        <v>323</v>
      </c>
      <c r="D24" s="52" t="s">
        <v>18</v>
      </c>
    </row>
    <row r="25" spans="2:9">
      <c r="B25" s="49"/>
      <c r="D25" s="51"/>
    </row>
    <row r="26" spans="2:9">
      <c r="B26" s="49" t="s">
        <v>281</v>
      </c>
      <c r="D26" s="52" t="s">
        <v>19</v>
      </c>
      <c r="E26" s="261"/>
    </row>
    <row r="27" spans="2:9">
      <c r="B27" s="255"/>
      <c r="D27" s="51"/>
    </row>
    <row r="28" spans="2:9">
      <c r="B28" s="49" t="s">
        <v>80</v>
      </c>
      <c r="D28" s="52" t="s">
        <v>21</v>
      </c>
    </row>
    <row r="29" spans="2:9">
      <c r="B29" s="255"/>
      <c r="D29" s="51"/>
    </row>
    <row r="30" spans="2:9">
      <c r="B30" s="49" t="s">
        <v>81</v>
      </c>
      <c r="D30" s="52" t="s">
        <v>23</v>
      </c>
    </row>
    <row r="33" spans="1:1">
      <c r="A33" s="256"/>
    </row>
  </sheetData>
  <mergeCells count="1">
    <mergeCell ref="C2:E2"/>
  </mergeCells>
  <phoneticPr fontId="0" type="noConversion"/>
  <hyperlinks>
    <hyperlink ref="B6" location="Balance!A1" display="Balance"/>
    <hyperlink ref="B8" location="Brest!A1" display="Brest"/>
    <hyperlink ref="B10" location="Vannes!A1" display="Vannes"/>
    <hyperlink ref="B12" location="Rennes!A1" display="Rennes"/>
    <hyperlink ref="B16" location="Orléans!A1" display="Orléans"/>
    <hyperlink ref="B18" location="Angers!A1" display="Angers"/>
    <hyperlink ref="B20" location="Thouars!A1" display="Thouars"/>
    <hyperlink ref="B22" location="Château!A1" display="Châteauroux"/>
    <hyperlink ref="D6" location="Boulogne!A1" display="Boulogne"/>
    <hyperlink ref="D8" location="Compiègne!A1" display="Compiègne"/>
    <hyperlink ref="D10" location="Amiens!A1" display="Amiens"/>
    <hyperlink ref="D12" location="Cambrai!A1" display="Cambrai"/>
    <hyperlink ref="F6" location="Roanne!A1" display="Roanne"/>
    <hyperlink ref="F8" location="Montpe!A1" display="Montpellier"/>
    <hyperlink ref="F10" location="Grenoble!A1" display="Grenoble"/>
    <hyperlink ref="H6" location="Lille!A1" display="Lille"/>
    <hyperlink ref="H8" location="Bretagne!A1" display="Région Bretagne"/>
    <hyperlink ref="H10" location="Centre!A1" display="Région Centre"/>
    <hyperlink ref="H12" location="Nord!A1" display="Région Nord"/>
    <hyperlink ref="H14" location="Sud!A1" display="Région Sud"/>
    <hyperlink ref="H16" location="Conso!A1" display="Consolidation"/>
    <hyperlink ref="H18" location="Stock!A1" display="Stocks"/>
    <hyperlink ref="B24" location="Chartres!A1" display="Chartres"/>
    <hyperlink ref="D14" location="Caudry!A1" display="Caudry"/>
    <hyperlink ref="D16" location="Eu!A1" display="Eu"/>
    <hyperlink ref="D18" location="Calais!A1" display="Calais"/>
    <hyperlink ref="H20" location="Projection!A1" display="Projection"/>
    <hyperlink ref="B26" location="Bosc!A1" display="Bosc"/>
    <hyperlink ref="D20" location="Tourcoing!A1" display="Calais"/>
    <hyperlink ref="D22" location="Madeleine!A1" display="La Madeleine"/>
    <hyperlink ref="D24" location="Lens!A1" display="Lens"/>
    <hyperlink ref="D26" location="Bois!A1" display="Bois Grenier"/>
    <hyperlink ref="D28" location="Valenciennes!A1" display="Valenciennes"/>
    <hyperlink ref="D30" location="Béthune!A1" display="Béthune"/>
    <hyperlink ref="F12" location="STMarcelin!A1" display="St Marcelin"/>
    <hyperlink ref="B28" location="Cham!A1" display="Chambray"/>
    <hyperlink ref="B30" location="Tours!A1" display="Tours"/>
    <hyperlink ref="F14" location="Beziers!A1" display="Beziers"/>
  </hyperlinks>
  <pageMargins left="0.78740157499999996" right="0.78740157499999996" top="0.984251969" bottom="0.984251969" header="0.4921259845" footer="0.4921259845"/>
  <pageSetup paperSize="9" scale="69" orientation="portrait" horizontalDpi="300" verticalDpi="300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 filterMode="1" enableFormatConditionsCalculation="0">
    <tabColor rgb="FFC00000"/>
    <pageSetUpPr fitToPage="1"/>
  </sheetPr>
  <dimension ref="A1:L256"/>
  <sheetViews>
    <sheetView workbookViewId="0">
      <pane xSplit="2" ySplit="6" topLeftCell="C97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6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22979.485216727327</v>
      </c>
      <c r="F5" s="215">
        <f>F217</f>
        <v>55508.154338787703</v>
      </c>
      <c r="G5" s="215">
        <f>G217</f>
        <v>50499.714455840141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-IF(ISNA(VLOOKUP("CAL707130000",Balance!C:G,5,FALSE))=TRUE,0,VLOOKUP("CAL707130000",Balance!C:G,5,FALSE))</f>
        <v>850967.77999999991</v>
      </c>
      <c r="D8" s="592">
        <f>+[2]Calais!$H8</f>
        <v>1040723</v>
      </c>
      <c r="E8" s="311">
        <f>-IF(ISNA(VLOOKUP("CAL707130000",Balanceanp!C:G,5,FALSE))=TRUE,0,VLOOKUP("CAL707130000",Balanceanp!C:G,5,FALSE))</f>
        <v>987954.76</v>
      </c>
      <c r="F8" s="625">
        <f>+CA!G90</f>
        <v>1100705.0514613874</v>
      </c>
      <c r="G8" s="594">
        <v>1054403</v>
      </c>
      <c r="H8" s="594"/>
      <c r="I8" s="591">
        <f>+IF((E8)=0,,(F8-E8)/E8)</f>
        <v>0.11412495392135913</v>
      </c>
      <c r="J8" s="595">
        <f>+IF((F8)=0,,(G8-F8)/F8)</f>
        <v>-4.2065811726686435E-2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-IF(ISNA(VLOOKUP("CAL707131000",Balance!C:G,5,FALSE))=TRUE,0,VLOOKUP("CAL707131000",Balance!C:G,5,FALSE))</f>
        <v>0</v>
      </c>
      <c r="D9" s="117">
        <f>+[2]Calais!$H9</f>
        <v>0</v>
      </c>
      <c r="E9" s="160">
        <f>-IF(ISNA(VLOOKUP("CAL707131000",Balanceanp!C:G,5,FALSE))=TRUE,0,VLOOKUP("CAL707131000",Balanceanp!C:G,5,FALSE))</f>
        <v>108082.91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-IF(ISNA(VLOOKUP("CAL707300000",Balance!C:G,5,FALSE))=TRUE,0,VLOOKUP("CAL707300000",Balance!C:G,5,FALSE))</f>
        <v>0</v>
      </c>
      <c r="D10" s="117">
        <f>+[2]Calais!$H10</f>
        <v>0</v>
      </c>
      <c r="E10" s="160">
        <f>-IF(ISNA(VLOOKUP("CAL707300000",Balanceanp!C:G,5,FALSE))=TRUE,0,VLOOKUP("CAL707300000",Balanceanp!C:G,5,FALSE))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-IF(ISNA(VLOOKUP("CAL707110000",Balance!C:G,5,FALSE))=TRUE,0,VLOOKUP("CAL707110000",Balance!C:G,5,FALSE))</f>
        <v>0</v>
      </c>
      <c r="D11" s="117">
        <f>+[2]Calais!$H11</f>
        <v>0</v>
      </c>
      <c r="E11" s="160">
        <f>-IF(ISNA(VLOOKUP("CAL707110000",Balanceanp!C:G,5,FALSE))=TRUE,0,VLOOKUP("CAL707110000",Balanceanp!C:G,5,FALSE))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-IF(ISNA(VLOOKUP("CAL707120000",Balance!C:G,5,FALSE))=TRUE,0,VLOOKUP("CAL707120000",Balance!C:G,5,FALSE))</f>
        <v>0</v>
      </c>
      <c r="D12" s="117">
        <f>+[2]Calais!$H12</f>
        <v>0</v>
      </c>
      <c r="E12" s="160">
        <f>-IF(ISNA(VLOOKUP("CAL707120000",Balanceanp!C:G,5,FALSE))=TRUE,0,VLOOKUP("CAL707120000",Balanceanp!C:G,5,FALSE))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-IF(ISNA(VLOOKUP("CAL707230000",Balance!C:G,5,FALSE))=TRUE,0,VLOOKUP("CAL707230000",Balance!C:G,5,FALSE))</f>
        <v>0</v>
      </c>
      <c r="D13" s="117">
        <f>+[2]Calais!$H13</f>
        <v>0</v>
      </c>
      <c r="E13" s="160">
        <f>-IF(ISNA(VLOOKUP("CAL707230000",Balanceanp!C:G,5,FALSE))=TRUE,0,VLOOKUP("CAL707230000",Balanceanp!C:G,5,FALSE))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-IF(ISNA(VLOOKUP("CAL708820000",Balance!C:G,5,FALSE))=TRUE,0,VLOOKUP("CAL708820000",Balance!C:G,5,FALSE))</f>
        <v>0</v>
      </c>
      <c r="D14" s="117">
        <f>+[2]Calais!$H14</f>
        <v>0</v>
      </c>
      <c r="E14" s="160">
        <f>-IF(ISNA(VLOOKUP("CAL708820000",Balanceanp!C:G,5,FALSE))=TRUE,0,VLOOKUP("CAL708820000",Balanceanp!C:G,5,FALSE))</f>
        <v>0</v>
      </c>
      <c r="F14" s="368">
        <f t="shared" si="3"/>
        <v>0</v>
      </c>
      <c r="G14" s="395">
        <f t="shared" si="1"/>
        <v>0</v>
      </c>
      <c r="H14" s="401"/>
      <c r="I14" s="149">
        <f t="shared" si="2"/>
        <v>0</v>
      </c>
      <c r="J14" s="271">
        <f t="shared" si="2"/>
        <v>0</v>
      </c>
      <c r="L14" s="17">
        <v>0</v>
      </c>
    </row>
    <row r="15" spans="1:12" hidden="1">
      <c r="A15" s="5" t="s">
        <v>270</v>
      </c>
      <c r="B15" s="92"/>
      <c r="C15" s="160">
        <f>-IF(ISNA(VLOOKUP("CAL708500000",Balance!C:G,5,FALSE))=TRUE,0,VLOOKUP("CAL708500000",Balance!C:G,5,FALSE))</f>
        <v>1209</v>
      </c>
      <c r="D15" s="117">
        <f>+[2]Calais!$H15</f>
        <v>0</v>
      </c>
      <c r="E15" s="160">
        <f>-IF(ISNA(VLOOKUP("CAL708500000",Balanceanp!C:G,5,FALSE))=TRUE,0,VLOOKUP("CAL708500000",Balanceanp!C:G,5,FALSE))</f>
        <v>1851</v>
      </c>
      <c r="F15" s="368">
        <f t="shared" si="3"/>
        <v>1209</v>
      </c>
      <c r="G15" s="395">
        <v>0</v>
      </c>
      <c r="H15" s="401"/>
      <c r="I15" s="149">
        <f t="shared" si="2"/>
        <v>-0.34683954619124796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IF(ISNA(VLOOKUP("CAL706000000",Balance!C:G,5,FALSE))=TRUE,0,-VLOOKUP("CAL706000000",Balance!C:G,5,FALSE))+IF(ISNA(VLOOKUP("CAL706010000",Balance!C:G,5,FALSE))=TRUE,0,-VLOOKUP("CAL706010000",Balance!C:G,5,FALSE))</f>
        <v>0</v>
      </c>
      <c r="D16" s="117">
        <f>+[2]Calais!$H16</f>
        <v>0</v>
      </c>
      <c r="E16" s="160">
        <f>IF(ISNA(VLOOKUP("CAL706000000",Balanceanp!C:G,5,FALSE))=TRUE,0,-VLOOKUP("CAL706000000",Balanceanp!C:G,5,FALSE))+IF(ISNA(VLOOKUP("CAL706010000",Balanceanp!C:G,5,FALSE))=TRUE,0,-VLOOKUP("CAL706010000",Balanceanp!C:G,5,FALSE))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IF(ISNA(VLOOKUP("CAL707500000",Balance!C:G,5,FALSE))=TRUE,0,-VLOOKUP("CAL707500000",Balance!C:G,5,FALSE))</f>
        <v>0</v>
      </c>
      <c r="D17" s="117">
        <f>+[2]Calais!$H17</f>
        <v>0</v>
      </c>
      <c r="E17" s="160">
        <f>IF(ISNA(VLOOKUP("CAL707500000",Balanceanp!C:G,5,FALSE))=TRUE,0,-VLOOKUP("CAL707500000",Balanceanp!C:G,5,FALSE))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IF(ISNA(VLOOKUP("CAL707510000",Balance!C:G,5,FALSE))=TRUE,0,-VLOOKUP("CAL707510000",Balance!C:G,5,FALSE))</f>
        <v>0</v>
      </c>
      <c r="D18" s="117">
        <f>+[2]Calais!$H18</f>
        <v>0</v>
      </c>
      <c r="E18" s="160">
        <f>IF(ISNA(VLOOKUP("CAL707510000",Balanceanp!C:G,5,FALSE))=TRUE,0,-VLOOKUP("CAL707510000",Balanceanp!C:G,5,FALSE))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IF(ISNA(VLOOKUP("CAL708300000",Balance!C:G,5,FALSE))=TRUE,0,-VLOOKUP("CAL708300000",Balance!C:G,5,FALSE))</f>
        <v>0</v>
      </c>
      <c r="D19" s="117">
        <f>+[2]Calais!$H19</f>
        <v>0</v>
      </c>
      <c r="E19" s="160">
        <f>IF(ISNA(VLOOKUP("CAL708300000",Balanceanp!C:G,5,FALSE))=TRUE,0,-VLOOKUP("CAL708300000",Balanceanp!C:G,5,FALSE))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852176.77999999991</v>
      </c>
      <c r="D21" s="312">
        <f>SUM(D7:D20)</f>
        <v>1040723</v>
      </c>
      <c r="E21" s="305">
        <f>SUM(E7:E20)</f>
        <v>1097888.67</v>
      </c>
      <c r="F21" s="312">
        <f>SUM(F7:F20)</f>
        <v>1101914.0514613874</v>
      </c>
      <c r="G21" s="312">
        <f>SUM(G7:G20)</f>
        <v>1054403</v>
      </c>
      <c r="H21" s="312"/>
      <c r="I21" s="598">
        <f>+IF((E21)=0,,(F21-E21)/E21)</f>
        <v>3.6664750911287757E-3</v>
      </c>
      <c r="J21" s="599">
        <f>+IF((F21)=0,,(G21-F21)/F21)</f>
        <v>-4.3116839646773736E-2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IF(ISNA(VLOOKUP("CAL602650000",Balance!C:G,5,FALSE))=TRUE,0,VLOOKUP("CAL602650000",Balance!C:G,5,FALSE))</f>
        <v>0</v>
      </c>
      <c r="D23" s="115"/>
      <c r="E23" s="160">
        <f>IF(ISNA(VLOOKUP("CAL602650000",Balanceanp!C:G,5,FALSE))=TRUE,0,VLOOKUP("CAL602650000",Balanceanp!C:G,5,FALSE))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IF(ISNA(VLOOKUP("cal607100000",Balance!C:G,5,FALSE))=TRUE,0,VLOOKUP("cal607100000",Balance!C:G,5,FALSE))</f>
        <v>261044.1</v>
      </c>
      <c r="D24" s="600"/>
      <c r="E24" s="311">
        <f>IF(ISNA(VLOOKUP("cal607100000",Balanceanp!C:G,5,FALSE))=TRUE,0,VLOOKUP("cal607100000",Balanceanp!C:G,5,FALSE))</f>
        <v>322934.76999999996</v>
      </c>
      <c r="F24" s="600"/>
      <c r="G24" s="602">
        <f>H24*G30</f>
        <v>393766.80035000009</v>
      </c>
      <c r="H24" s="603">
        <f>1-H28</f>
        <v>0.55000000000000004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IF(ISNA(VLOOKUP("cal607110000",Balance!C:G,5,FALSE))=TRUE,0,VLOOKUP("cal607110000",Balance!C:G,5,FALSE))+IF(ISNA(VLOOKUP("cal607120000",Balance!C:G,5,FALSE))=TRUE,0,VLOOKUP("cal607120000",Balance!C:G,5,FALSE))</f>
        <v>7883.38</v>
      </c>
      <c r="D25" s="115"/>
      <c r="E25" s="160">
        <f>IF(ISNA(VLOOKUP("cal607110000",Balanceanp!C:G,5,FALSE))=TRUE,0,VLOOKUP("cal607110000",Balanceanp!C:G,5,FALSE))+IF(ISNA(VLOOKUP("cal607120000",Balanceanp!C:G,5,FALSE))=TRUE,0,VLOOKUP("cal607120000",Balanceanp!C:G,5,FALSE))</f>
        <v>40927.050000000003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IF(ISNA(VLOOKUP("CAL607130000",Balance!C:G,5,FALSE))=TRUE,0,VLOOKUP("CAL607130000",Balance!C:G,5,FALSE))</f>
        <v>131284.29999999999</v>
      </c>
      <c r="D26" s="115"/>
      <c r="E26" s="160">
        <f>IF(ISNA(VLOOKUP("CAL607130000",Balanceanp!C:G,5,FALSE))=TRUE,0,VLOOKUP("CAL607130000",Balanceanp!C:G,5,FALSE))</f>
        <v>180633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IF(ISNA(VLOOKUP("CAL607140000",Balance!C:G,5,FALSE))=TRUE,0,VLOOKUP("CAL607140000",Balance!C:G,5,FALSE))</f>
        <v>-16402.330000000002</v>
      </c>
      <c r="D27" s="115"/>
      <c r="E27" s="160">
        <f>IF(ISNA(VLOOKUP("CAL607140000",Balanceanp!C:G,5,FALSE))=TRUE,0,VLOOKUP("CAL607140000",Balanceanp!C:G,5,FALSE))</f>
        <v>-36090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IF(ISNA(VLOOKUP("CAL607200000",Balance!C:G,5,FALSE))=TRUE,0,VLOOKUP("CAL607200000",Balance!C:G,5,FALSE))</f>
        <v>280581.15999999997</v>
      </c>
      <c r="D28" s="600"/>
      <c r="E28" s="311">
        <f>IF(ISNA(VLOOKUP("CAL607200000",Balanceanp!C:G,5,FALSE))=TRUE,0,VLOOKUP("CAL607200000",Balanceanp!C:G,5,FALSE))</f>
        <v>287066.45</v>
      </c>
      <c r="F28" s="600"/>
      <c r="G28" s="602">
        <f>H28*G30</f>
        <v>322172.83665000007</v>
      </c>
      <c r="H28" s="604">
        <v>0.45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IF(ISNA(VLOOKUP("CAL607150000",Balance!C:G,5,FALSE))=TRUE,0,VLOOKUP("CAL607150000",Balance!C:G,5,FALSE))</f>
        <v>0</v>
      </c>
      <c r="D29" s="115"/>
      <c r="E29" s="357">
        <f>IF(ISNA(VLOOKUP("CAL607150000",Balanceanp!C:G,5,FALSE))=TRUE,0,VLOOKUP("CAL607150000",Balanceanp!C:G,5,FALSE))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664390.60999999987</v>
      </c>
      <c r="D30" s="402"/>
      <c r="E30" s="306">
        <f>SUM(E23:E29)</f>
        <v>795471.27</v>
      </c>
      <c r="F30" s="607">
        <f>1-(E30/E21)</f>
        <v>0.2754536122501382</v>
      </c>
      <c r="G30" s="402">
        <f>G21*(1-H30)</f>
        <v>715939.6370000001</v>
      </c>
      <c r="H30" s="577">
        <v>0.32100000000000001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221855.29000000004</v>
      </c>
      <c r="D32" s="403"/>
      <c r="E32" s="307">
        <f>+E21-E30-E38</f>
        <v>288576.04129999992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0.26033951547001793</v>
      </c>
      <c r="D33" s="403"/>
      <c r="E33" s="308">
        <f>+E32/E21</f>
        <v>0.26284636064237726</v>
      </c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IF(ISNA(VLOOKUP("CAL607400000",Balance!C:G,5,FALSE))=TRUE,0,VLOOKUP("CAL607400000",Balance!C:G,5,FALSE))</f>
        <v>7398.28</v>
      </c>
      <c r="D35" s="600"/>
      <c r="E35" s="311">
        <f>IF(ISNA(VLOOKUP("CAL607400000",Balanceanp!C:G,5,FALSE))=TRUE,0,VLOOKUP("CAL607400000",Balanceanp!C:G,5,FALSE))</f>
        <v>10588.480000000001</v>
      </c>
      <c r="F35" s="972">
        <f>E35/E30</f>
        <v>1.3310952135329792E-2</v>
      </c>
      <c r="G35" s="613">
        <f>F35*G30</f>
        <v>9529.8382398923877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IF(ISNA(VLOOKUP("CAL608000000",Balance!C:G,5,FALSE))=TRUE,0,VLOOKUP("CAL608000000",Balance!C:G,5,FALSE))</f>
        <v>2171.8200000000002</v>
      </c>
      <c r="D36" s="600"/>
      <c r="E36" s="311">
        <f>IF(ISNA(VLOOKUP("CAL608000000",Balanceanp!C:G,5,FALSE))=TRUE,0,VLOOKUP("CAL608000000",Balanceanp!C:G,5,FALSE))</f>
        <v>1844.27</v>
      </c>
      <c r="F36" s="972">
        <f>E36/E30</f>
        <v>2.3184621111457613E-3</v>
      </c>
      <c r="G36" s="613">
        <f>F36*G30</f>
        <v>1659.8789222519501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IF(ISNA(VLOOKUP("CAL608100000",Balance!C:G,5,FALSE))=TRUE,0,VLOOKUP("CAL608100000",Balance!C:G,5,FALSE))</f>
        <v>0</v>
      </c>
      <c r="D37" s="115"/>
      <c r="E37" s="160">
        <f>IF(ISNA(VLOOKUP("CAL608100000",Balanceanp!C:G,5,FALSE))=TRUE,0,VLOOKUP("CAL608100000",Balanceanp!C:G,5,FALSE))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-34069.119999999995</v>
      </c>
      <c r="D38" s="115"/>
      <c r="E38" s="160">
        <f>+E56-E57</f>
        <v>13841.358699999997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IF(ISNA(VLOOKUP("CAL681730000",Balance!C:G,5,FALSE))=TRUE,0,VLOOKUP("CAL681730000",Balance!C:G,5,FALSE))</f>
        <v>0</v>
      </c>
      <c r="D39" s="115"/>
      <c r="E39" s="160">
        <f>IF(ISNA(VLOOKUP("CAL681730000",Balanceanp!C:G,5,FALSE))=TRUE,0,VLOOKUP("CAL681730000",Balanceanp!C:G,5,FALSE))</f>
        <v>3086.5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IF(ISNA(VLOOKUP("CAL781730000",Balance!C:G,5,FALSE))=TRUE,0,VLOOKUP("CAL781730000",Balance!C:G,5,FALSE))</f>
        <v>-2375.9299999999998</v>
      </c>
      <c r="D40" s="115"/>
      <c r="E40" s="160">
        <f>IF(ISNA(VLOOKUP("CAL781730000",Balanceanp!C:G,5,FALSE))=TRUE,0,VLOOKUP("CAL781730000",Balanceanp!C:G,5,FALSE))</f>
        <v>-3229.97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IF(ISNA(VLOOKUP("CAL609110000",Balance!C:G,5,FALSE))=TRUE,0,VLOOKUP("CAL609110000",Balance!C:G,5,FALSE))</f>
        <v>-726</v>
      </c>
      <c r="D41" s="600"/>
      <c r="E41" s="311">
        <f>IF(ISNA(VLOOKUP("CAL609110000",Balanceanp!C:G,5,FALSE))=TRUE,0,VLOOKUP("CAL609110000",Balanceanp!C:G,5,FALSE))</f>
        <v>-9881.5400000000009</v>
      </c>
      <c r="F41" s="614">
        <f>E41/SUM(E24:E25)</f>
        <v>-2.7157397277900723E-2</v>
      </c>
      <c r="G41" s="615">
        <f>H41*(G24)</f>
        <v>-7875.3360070000017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IF(ISNA(VLOOKUP("CAL609120000",Balance!C:G,5,FALSE))=TRUE,0,VLOOKUP("CAL609120000",Balance!C:G,5,FALSE))</f>
        <v>-19107.060000000001</v>
      </c>
      <c r="D42" s="600"/>
      <c r="E42" s="311">
        <f>IF(ISNA(VLOOKUP("CAL609120000",Balanceanp!C:G,5,FALSE))=TRUE,0,VLOOKUP("CAL609120000",Balanceanp!C:G,5,FALSE))</f>
        <v>-20595.330000000002</v>
      </c>
      <c r="F42" s="614">
        <f>E42/E28</f>
        <v>-7.1744120568600064E-2</v>
      </c>
      <c r="G42" s="615">
        <f>H42*G28</f>
        <v>-22552.098565500008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617682.59999999986</v>
      </c>
      <c r="D44" s="404"/>
      <c r="E44" s="305">
        <f>+E30+SUM(E34:E43)</f>
        <v>791125.03870000003</v>
      </c>
      <c r="F44" s="404"/>
      <c r="G44" s="618">
        <f>SUM(G35:G43)+G30</f>
        <v>696701.91958964441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234494.18000000005</v>
      </c>
      <c r="D46" s="120"/>
      <c r="E46" s="166">
        <f>+E21-E44</f>
        <v>306763.63129999989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0.27517081608348926</v>
      </c>
      <c r="D47" s="120"/>
      <c r="E47" s="196">
        <f>+E46/E21</f>
        <v>0.27941232994052112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9.1591911246396568E-3</v>
      </c>
      <c r="C49" s="311">
        <f>IF(ISNA(VLOOKUP("CAL709700000",Balance!C:G,5,FALSE))=TRUE,0,VLOOKUP("CAL709700000",Balance!C:G,5,FALSE))</f>
        <v>7805.25</v>
      </c>
      <c r="D49" s="592">
        <f>+[2]Calais!$H49</f>
        <v>10407</v>
      </c>
      <c r="E49" s="311">
        <f>IF(ISNA(VLOOKUP("CAL709700000",Balanceanp!C:G,5,FALSE))=TRUE,0,VLOOKUP("CAL709700000",Balanceanp!C:G,5,FALSE))</f>
        <v>7256.67</v>
      </c>
      <c r="F49" s="592">
        <f>+C49+C49/9*(12-Clients!$I$14)</f>
        <v>10407</v>
      </c>
      <c r="G49" s="620">
        <v>10387</v>
      </c>
      <c r="H49" s="621">
        <f>G49/G21</f>
        <v>9.8510721232773421E-3</v>
      </c>
      <c r="I49" s="591">
        <f>+IF((E49)=0,,(F49-E49)/E49)</f>
        <v>0.43412887729495758</v>
      </c>
      <c r="J49" s="595">
        <f>+IF((F49)=0,,(G49-F49)/F49)</f>
        <v>-1.9217834150091284E-3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844371.52999999991</v>
      </c>
      <c r="D51" s="312">
        <f>+D21-D49</f>
        <v>1030316</v>
      </c>
      <c r="E51" s="305">
        <f>+E21-E49</f>
        <v>1090632</v>
      </c>
      <c r="F51" s="312">
        <f>+F21-F49</f>
        <v>1091507.0514613874</v>
      </c>
      <c r="G51" s="312">
        <f>+G21-G49</f>
        <v>1044016</v>
      </c>
      <c r="H51" s="312"/>
      <c r="I51" s="598">
        <f>+IF((E51)=0,,(F51-E51)/E51)</f>
        <v>8.0233429918379951E-4</v>
      </c>
      <c r="J51" s="599">
        <f>+IF((F51)=0,,(G51-F51)/F51)</f>
        <v>-4.3509614892366495E-2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226688.93000000005</v>
      </c>
      <c r="D53" s="122"/>
      <c r="E53" s="169">
        <f>+E51-E44</f>
        <v>299506.96129999997</v>
      </c>
      <c r="F53" s="140"/>
      <c r="G53" s="140">
        <f>+G51-G44</f>
        <v>347314.08041035559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0.2684705984816898</v>
      </c>
      <c r="D54" s="123"/>
      <c r="E54" s="197">
        <f>+E53/E51</f>
        <v>0.27461780077973136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+[2]Calais!$C56</f>
        <v>88313.88</v>
      </c>
      <c r="D56" s="115"/>
      <c r="E56" s="160">
        <f>+[1]Calais!$G56</f>
        <v>99198.304300000003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+[2]Calais!$C57</f>
        <v>122383</v>
      </c>
      <c r="D57" s="115"/>
      <c r="E57" s="160">
        <f>+[1]Calais!$G57</f>
        <v>85356.945600000006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15">
        <f>+[2]Calais!$C60</f>
        <v>0.33</v>
      </c>
      <c r="D60" s="406">
        <f>+[2]Calais!$H60</f>
        <v>0.32981531879539872</v>
      </c>
      <c r="E60" s="15">
        <f>+[1]Calais!$G$54</f>
        <v>0.27461780077973136</v>
      </c>
      <c r="F60" s="406">
        <f>+C60</f>
        <v>0.33</v>
      </c>
      <c r="G60" s="406">
        <f>G62/G51</f>
        <v>0.33267122382258085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+[2]Calais!$C61</f>
        <v>0.32700000000000001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278642.60489999998</v>
      </c>
      <c r="D62" s="405">
        <f>D51*D60</f>
        <v>339814</v>
      </c>
      <c r="E62" s="309">
        <f>+E51*E60</f>
        <v>299506.96129999997</v>
      </c>
      <c r="F62" s="405">
        <f>+F51*F60</f>
        <v>360197.32698225789</v>
      </c>
      <c r="G62" s="405">
        <f>G51-G44</f>
        <v>347314.08041035559</v>
      </c>
      <c r="H62" s="405"/>
      <c r="I62" s="15">
        <f>+IF((E62)=0,,(F62-E62)/E62)</f>
        <v>0.20263424068286565</v>
      </c>
      <c r="J62" s="406">
        <f>+IF((F62)=0,,(G62-F62)/F62)</f>
        <v>-3.576719094458157E-2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IF(ISNA(VLOOKUP("CAL613520000",Balance!C:G,5,FALSE))=TRUE,0,VLOOKUP("CAL613520000",Balance!C:G,5,FALSE))</f>
        <v>2139.6799999999998</v>
      </c>
      <c r="D64" s="592">
        <f>+[2]Calais!$H64</f>
        <v>2971.1482999999998</v>
      </c>
      <c r="E64" s="311">
        <f>IF(ISNA(VLOOKUP("CAL613520000",Balanceanp!C:G,5,FALSE))=TRUE,0,VLOOKUP("CAL613520000",Balanceanp!C:G,5,FALSE))</f>
        <v>2347.71</v>
      </c>
      <c r="F64" s="625">
        <f>+C64+C64/9*(12-Clients!$I$14)</f>
        <v>2852.9066666666668</v>
      </c>
      <c r="G64" s="594">
        <f>+F64*1.03</f>
        <v>2938.4938666666667</v>
      </c>
      <c r="H64" s="594"/>
      <c r="I64" s="591">
        <f t="shared" ref="I64:J68" si="5">+IF((E64)=0,,(F64-E64)/E64)</f>
        <v>0.21518699782625056</v>
      </c>
      <c r="J64" s="595">
        <f t="shared" si="5"/>
        <v>2.9999999999999978E-2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+[2]Calais!$H65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IF(ISNA(VLOOKUP("CAL616120000",Balance!C:G,5,FALSE))=TRUE,0,VLOOKUP("CAL616120000",Balance!C:G,5,FALSE))</f>
        <v>919.18</v>
      </c>
      <c r="D66" s="592">
        <f>+[2]Calais!$H66</f>
        <v>1149.5521000000001</v>
      </c>
      <c r="E66" s="311">
        <f>IF(ISNA(VLOOKUP("CAL616120000",Balanceanp!C:G,5,FALSE))=TRUE,0,VLOOKUP("CAL616120000",Balanceanp!C:G,5,FALSE))</f>
        <v>1042.8800000000001</v>
      </c>
      <c r="F66" s="625">
        <f>+C66+C66/9*(12-Clients!$I$14)</f>
        <v>1225.5733333333333</v>
      </c>
      <c r="G66" s="594">
        <f>+F66*1.03</f>
        <v>1262.3405333333333</v>
      </c>
      <c r="H66" s="594"/>
      <c r="I66" s="591">
        <f t="shared" si="5"/>
        <v>0.17518154853226942</v>
      </c>
      <c r="J66" s="595">
        <f t="shared" si="5"/>
        <v>3.0000000000000002E-2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IF(ISNA(VLOOKUP("CAL615520000",Balance!C:G,5,FALSE))=TRUE,0,VLOOKUP("CAL615520000",Balance!C:G,5,FALSE))</f>
        <v>2602.83</v>
      </c>
      <c r="D67" s="592">
        <f>+[2]Calais!$H67</f>
        <v>6157.5356999999995</v>
      </c>
      <c r="E67" s="311">
        <f>IF(ISNA(VLOOKUP("CAL615520000",Balanceanp!C:G,5,FALSE))=TRUE,0,VLOOKUP("CAL615520000",Balanceanp!C:G,5,FALSE))</f>
        <v>6488.14</v>
      </c>
      <c r="F67" s="625">
        <f>+C67+C67/9*(12-Clients!$I$14)</f>
        <v>3470.4399999999996</v>
      </c>
      <c r="G67" s="594">
        <f>+F67*1.03</f>
        <v>3574.5531999999998</v>
      </c>
      <c r="H67" s="594"/>
      <c r="I67" s="591">
        <f t="shared" si="5"/>
        <v>-0.46511018566183848</v>
      </c>
      <c r="J67" s="595">
        <f t="shared" si="5"/>
        <v>3.0000000000000072E-2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IF(ISNA(VLOOKUP("CAL606130000",Balance!C:G,5,FALSE))=TRUE,0,VLOOKUP("CAL606130000",Balance!C:G,5,FALSE))</f>
        <v>3107.25</v>
      </c>
      <c r="D68" s="592">
        <f>+[2]Calais!$H68</f>
        <v>3940.6255000000001</v>
      </c>
      <c r="E68" s="311">
        <f>IF(ISNA(VLOOKUP("CAL606130000",Balanceanp!C:G,5,FALSE))=TRUE,0,VLOOKUP("CAL606130000",Balanceanp!C:G,5,FALSE))</f>
        <v>3066.63</v>
      </c>
      <c r="F68" s="625">
        <f>+C68+C68/9*(12-Clients!$I$14)</f>
        <v>4143</v>
      </c>
      <c r="G68" s="625">
        <f>+F68*1.03</f>
        <v>4267.29</v>
      </c>
      <c r="H68" s="625"/>
      <c r="I68" s="591">
        <f t="shared" si="5"/>
        <v>0.35099441406364634</v>
      </c>
      <c r="J68" s="595">
        <f t="shared" si="5"/>
        <v>2.9999999999999992E-2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8768.9399999999987</v>
      </c>
      <c r="D70" s="628">
        <f>SUM(D64:D69)</f>
        <v>14218.861599999998</v>
      </c>
      <c r="E70" s="311">
        <f>SUM(E64:E69)</f>
        <v>12945.36</v>
      </c>
      <c r="F70" s="973">
        <f>SUM(F64:F69)</f>
        <v>11691.92</v>
      </c>
      <c r="G70" s="412">
        <f>SUM(G64:G69)</f>
        <v>12042.677599999999</v>
      </c>
      <c r="H70" s="412"/>
      <c r="I70" s="591">
        <f>+IF((E70)=0,,(F70-E70)/E70)</f>
        <v>-9.682542625311312E-2</v>
      </c>
      <c r="J70" s="595">
        <f>+IF((F70)=0,,(G70-F70)/F70)</f>
        <v>2.9999999999999916E-2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IF(ISNA(VLOOKUP("CAL602220000",Balance!C:G,5,FALSE))=TRUE,0,VLOOKUP("CAL602220000",Balance!C:G,5,FALSE))</f>
        <v>0</v>
      </c>
      <c r="D72" s="592">
        <f>+[2]Calais!$H72</f>
        <v>3.4955721518510416</v>
      </c>
      <c r="E72" s="311">
        <f>IF(ISNA(VLOOKUP("CAL602220000",Balanceanp!C:G,5,FALSE))=TRUE,0,VLOOKUP("CAL602220000",Balanceanp!C:G,5,FALSE))</f>
        <v>0</v>
      </c>
      <c r="F72" s="625">
        <f>+C72+C72/9*(12-Clients!$I$14)</f>
        <v>0</v>
      </c>
      <c r="G72" s="630">
        <f>+F72*1.03</f>
        <v>0</v>
      </c>
      <c r="H72" s="630"/>
      <c r="I72" s="591">
        <f t="shared" ref="I72:J87" si="6">+IF((E72)=0,,(F72-E72)/E72)</f>
        <v>0</v>
      </c>
      <c r="J72" s="595">
        <f t="shared" si="6"/>
        <v>0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IF(ISNA(VLOOKUP("CAL606100000",Balance!C:G,5,FALSE))=TRUE,0,VLOOKUP("CAL606100000",Balance!C:G,5,FALSE))</f>
        <v>1413.01</v>
      </c>
      <c r="D73" s="592">
        <f>+[2]Calais!$H73</f>
        <v>2219.9237254956547</v>
      </c>
      <c r="E73" s="311">
        <f>IF(ISNA(VLOOKUP("CAL606100000",Balanceanp!C:G,5,FALSE))=TRUE,0,VLOOKUP("CAL606100000",Balanceanp!C:G,5,FALSE))</f>
        <v>2710.75</v>
      </c>
      <c r="F73" s="625">
        <f>+C73+C73/9*(12-Clients!$I$14)</f>
        <v>1884.0133333333333</v>
      </c>
      <c r="G73" s="630">
        <f t="shared" ref="G73:G101" si="8">+F73*1.03</f>
        <v>1940.5337333333334</v>
      </c>
      <c r="H73" s="630"/>
      <c r="I73" s="591">
        <f t="shared" si="6"/>
        <v>-0.30498447539118939</v>
      </c>
      <c r="J73" s="595">
        <f t="shared" si="6"/>
        <v>3.0000000000000058E-2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IF(ISNA(VLOOKUP("CAL606110000",Balance!C:G,5,FALSE))=TRUE,0,VLOOKUP("CAL606110000",Balance!C:G,5,FALSE))</f>
        <v>2341.13</v>
      </c>
      <c r="D74" s="592">
        <f>+[2]Calais!$H74</f>
        <v>3200.5458369601806</v>
      </c>
      <c r="E74" s="311">
        <f>IF(ISNA(VLOOKUP("CAL606110000",Balanceanp!C:G,5,FALSE))=TRUE,0,VLOOKUP("CAL606110000",Balanceanp!C:G,5,FALSE))</f>
        <v>3954.25</v>
      </c>
      <c r="F74" s="625">
        <f>+C74+C74/9*(12-Clients!$I$14)</f>
        <v>3121.5066666666671</v>
      </c>
      <c r="G74" s="630">
        <f t="shared" si="8"/>
        <v>3215.151866666667</v>
      </c>
      <c r="H74" s="630"/>
      <c r="I74" s="591">
        <f t="shared" si="6"/>
        <v>-0.21059450801879823</v>
      </c>
      <c r="J74" s="595">
        <f t="shared" si="6"/>
        <v>2.9999999999999975E-2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IF(ISNA(VLOOKUP("CAL606140000",Balance!C:G,5,FALSE))=TRUE,0,VLOOKUP("CAL606140000",Balance!C:G,5,FALSE))</f>
        <v>0</v>
      </c>
      <c r="D75" s="117">
        <f>+[2]Calais!$H75</f>
        <v>0</v>
      </c>
      <c r="E75" s="160">
        <f>IF(ISNA(VLOOKUP("CAL606140000",Balanceanp!C:G,5,FALSE))=TRUE,0,VLOOKUP("CAL606140000",Balanceanp!C:G,5,FALSE))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IF(ISNA(VLOOKUP("CAL606310000",Balance!C:G,5,FALSE))=TRUE,0,VLOOKUP("CAL606310000",Balance!C:G,5,FALSE))</f>
        <v>91.83</v>
      </c>
      <c r="D76" s="592">
        <f>+[2]Calais!$H76</f>
        <v>1.1219134346347222</v>
      </c>
      <c r="E76" s="311">
        <f>IF(ISNA(VLOOKUP("CAL606310000",Balanceanp!C:G,5,FALSE))=TRUE,0,VLOOKUP("CAL606310000",Balanceanp!C:G,5,FALSE))</f>
        <v>0</v>
      </c>
      <c r="F76" s="625">
        <f>+C76+C76/9*(12-Clients!$I$14)</f>
        <v>122.44</v>
      </c>
      <c r="G76" s="630">
        <f t="shared" si="8"/>
        <v>126.11320000000001</v>
      </c>
      <c r="H76" s="630"/>
      <c r="I76" s="591">
        <f t="shared" si="6"/>
        <v>0</v>
      </c>
      <c r="J76" s="595">
        <f t="shared" si="6"/>
        <v>3.0000000000000068E-2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IF(ISNA(VLOOKUP("CAL606410000",Balance!C:G,5,FALSE))=TRUE,0,VLOOKUP("CAL606410000",Balance!C:G,5,FALSE))</f>
        <v>944.1</v>
      </c>
      <c r="D77" s="592">
        <f>+[2]Calais!$H77</f>
        <v>2377.1570706896168</v>
      </c>
      <c r="E77" s="311">
        <f>IF(ISNA(VLOOKUP("CAL606410000",Balanceanp!C:G,5,FALSE))=TRUE,0,VLOOKUP("CAL606410000",Balanceanp!C:G,5,FALSE))</f>
        <v>2212.0100000000002</v>
      </c>
      <c r="F77" s="625">
        <f>+C77+C77/9*(12-Clients!$I$14)</f>
        <v>1258.8000000000002</v>
      </c>
      <c r="G77" s="630">
        <f t="shared" si="8"/>
        <v>1296.5640000000003</v>
      </c>
      <c r="H77" s="630"/>
      <c r="I77" s="591">
        <f t="shared" si="6"/>
        <v>-0.43092481498727397</v>
      </c>
      <c r="J77" s="595">
        <f t="shared" si="6"/>
        <v>3.0000000000000093E-2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IF(ISNA(VLOOKUP("CAL611000000",Balance!C:G,5,FALSE))=TRUE,0,VLOOKUP("CAL611000000",Balance!C:G,5,FALSE))</f>
        <v>0</v>
      </c>
      <c r="D78" s="592">
        <f>+[2]Calais!$H78</f>
        <v>8.5400559632416666</v>
      </c>
      <c r="E78" s="311">
        <f>IF(ISNA(VLOOKUP("CAL611000000",Balanceanp!C:G,5,FALSE))=TRUE,0,VLOOKUP("CAL611000000",Balanceanp!C:G,5,FALSE))</f>
        <v>7.5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-1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IF(ISNA(VLOOKUP("CAL613200000",Balance!C:G,5,FALSE))=TRUE,0,VLOOKUP("CAL613200000",Balance!C:G,5,FALSE))</f>
        <v>8461.44</v>
      </c>
      <c r="D79" s="592">
        <f>+[2]Calais!$H79</f>
        <v>11281.955800256081</v>
      </c>
      <c r="E79" s="311">
        <f>IF(ISNA(VLOOKUP("CAL613200000",Balanceanp!C:G,5,FALSE))=TRUE,0,VLOOKUP("CAL613200000",Balanceanp!C:G,5,FALSE))</f>
        <v>11481.92</v>
      </c>
      <c r="F79" s="620">
        <f>2790.69*3-39.74+2909.91</f>
        <v>11242.24</v>
      </c>
      <c r="G79" s="620">
        <f>2790.69/3*2+(2790.69/3*10)/1498*1517</f>
        <v>11280.746448598129</v>
      </c>
      <c r="H79" s="974">
        <f>G79/G21</f>
        <v>1.0698704810777405E-2</v>
      </c>
      <c r="I79" s="591">
        <f t="shared" si="6"/>
        <v>-2.0874557565285275E-2</v>
      </c>
      <c r="J79" s="595">
        <f t="shared" si="6"/>
        <v>3.4251580288384952E-3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IF(ISNA(VLOOKUP("CAL614000000",Balance!C:G,5,FALSE))=TRUE,0,VLOOKUP("CAL614000000",Balance!C:G,5,FALSE))</f>
        <v>0</v>
      </c>
      <c r="D80" s="117">
        <f>+[2]Calais!$H80</f>
        <v>0</v>
      </c>
      <c r="E80" s="160">
        <f>IF(ISNA(VLOOKUP("CAL614000000",Balanceanp!C:G,5,FALSE))=TRUE,0,VLOOKUP("CAL614000000",Balanceanp!C:G,5,FALSE))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IF(ISNA(VLOOKUP("CAL613510000",Balance!C:G,5,FALSE))=TRUE,0,VLOOKUP("CAL613510000",Balance!C:G,5,FALSE))</f>
        <v>0</v>
      </c>
      <c r="D81" s="117">
        <f>+[2]Calais!$H81</f>
        <v>0</v>
      </c>
      <c r="E81" s="160">
        <f>IF(ISNA(VLOOKUP("CAL613510000",Balanceanp!C:G,5,FALSE))=TRUE,0,VLOOKUP("CAL613510000",Balanceanp!C:G,5,FALSE))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IF(ISNA(VLOOKUP("CAL613530000",Balance!C:G,5,FALSE))=TRUE,0,VLOOKUP("CAL613530000",Balance!C:G,5,FALSE))</f>
        <v>135</v>
      </c>
      <c r="D82" s="592">
        <f>+[2]Calais!$H82</f>
        <v>189.61060427187499</v>
      </c>
      <c r="E82" s="311">
        <f>IF(ISNA(VLOOKUP("CAL613530000",Balanceanp!C:G,5,FALSE))=TRUE,0,VLOOKUP("CAL613530000",Balanceanp!C:G,5,FALSE))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IF(ISNA(VLOOKUP("CAL613540000",Balance!C:G,5,FALSE))=TRUE,0,VLOOKUP("CAL613540000",Balance!C:G,5,FALSE))</f>
        <v>214.49</v>
      </c>
      <c r="D83" s="592">
        <f>+[2]Calais!$H83</f>
        <v>0.39080167013888889</v>
      </c>
      <c r="E83" s="311">
        <f>IF(ISNA(VLOOKUP("CAL613540000",Balanceanp!C:G,5,FALSE))=TRUE,0,VLOOKUP("CAL613540000",Balanceanp!C:G,5,FALSE))</f>
        <v>0</v>
      </c>
      <c r="F83" s="625">
        <f>+C83+C83/9*(12-Clients!$I$14)</f>
        <v>285.98666666666668</v>
      </c>
      <c r="G83" s="630">
        <f t="shared" si="8"/>
        <v>294.56626666666671</v>
      </c>
      <c r="H83" s="630"/>
      <c r="I83" s="591">
        <f t="shared" si="6"/>
        <v>0</v>
      </c>
      <c r="J83" s="595">
        <f t="shared" si="6"/>
        <v>3.0000000000000096E-2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IF(ISNA(VLOOKUP("CAL615200000",Balance!C:G,5,FALSE))=TRUE,0,VLOOKUP("CAL615200000",Balance!C:G,5,FALSE))</f>
        <v>411.2</v>
      </c>
      <c r="D84" s="592">
        <f>+[2]Calais!$H84</f>
        <v>689.24607195964302</v>
      </c>
      <c r="E84" s="311">
        <f>IF(ISNA(VLOOKUP("CAL615200000",Balanceanp!C:G,5,FALSE))=TRUE,0,VLOOKUP("CAL615200000",Balanceanp!C:G,5,FALSE))</f>
        <v>983.03</v>
      </c>
      <c r="F84" s="625">
        <f>+C84+C84/9*(12-Clients!$I$14)</f>
        <v>548.26666666666665</v>
      </c>
      <c r="G84" s="630">
        <f t="shared" si="8"/>
        <v>564.71466666666663</v>
      </c>
      <c r="H84" s="630"/>
      <c r="I84" s="591">
        <f t="shared" si="6"/>
        <v>-0.44226863201869049</v>
      </c>
      <c r="J84" s="595">
        <f t="shared" si="6"/>
        <v>2.9999999999999964E-2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IF(ISNA(VLOOKUP("CAL615500000",Balance!C:G,5,FALSE))=TRUE,0,VLOOKUP("CAL615500000",Balance!C:G,5,FALSE))</f>
        <v>934</v>
      </c>
      <c r="D85" s="592">
        <f>+[2]Calais!$H85</f>
        <v>1300.2779265770832</v>
      </c>
      <c r="E85" s="311">
        <f>IF(ISNA(VLOOKUP("CAL615500000",Balanceanp!C:G,5,FALSE))=TRUE,0,VLOOKUP("CAL615500000",Balanceanp!C:G,5,FALSE))</f>
        <v>920</v>
      </c>
      <c r="F85" s="625">
        <f>+C85+C85/9*(12-Clients!$I$14)</f>
        <v>1245.3333333333333</v>
      </c>
      <c r="G85" s="630">
        <f t="shared" si="8"/>
        <v>1282.6933333333334</v>
      </c>
      <c r="H85" s="630"/>
      <c r="I85" s="591">
        <f t="shared" si="6"/>
        <v>0.35362318840579704</v>
      </c>
      <c r="J85" s="595">
        <f t="shared" si="6"/>
        <v>3.0000000000000103E-2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IF(ISNA(VLOOKUP("CAL615510000",Balance!C:G,5,FALSE))=TRUE,0,VLOOKUP("CAL615510000",Balance!C:G,5,FALSE))</f>
        <v>773</v>
      </c>
      <c r="D86" s="592">
        <f>+[2]Calais!$H86</f>
        <v>1067.5515498323159</v>
      </c>
      <c r="E86" s="311">
        <f>IF(ISNA(VLOOKUP("CAL615510000",Balanceanp!C:G,5,FALSE))=TRUE,0,VLOOKUP("CAL615510000",Balanceanp!C:G,5,FALSE))</f>
        <v>736.04</v>
      </c>
      <c r="F86" s="625">
        <f>+C86+C86/9*(12-Clients!$I$14)</f>
        <v>1030.6666666666665</v>
      </c>
      <c r="G86" s="630">
        <f t="shared" si="8"/>
        <v>1061.5866666666666</v>
      </c>
      <c r="H86" s="630"/>
      <c r="I86" s="591">
        <f t="shared" si="6"/>
        <v>0.40028621632882255</v>
      </c>
      <c r="J86" s="595">
        <f t="shared" si="6"/>
        <v>3.0000000000000075E-2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IF(ISNA(VLOOKUP("CAL615530000",Balance!C:G,5,FALSE))=TRUE,0,VLOOKUP("CAL615530000",Balance!C:G,5,FALSE))</f>
        <v>0</v>
      </c>
      <c r="D87" s="117">
        <f>+[2]Calais!$H87</f>
        <v>0</v>
      </c>
      <c r="E87" s="160">
        <f>IF(ISNA(VLOOKUP("CAL615530000",Balanceanp!C:G,5,FALSE))=TRUE,0,VLOOKUP("CAL615530000",Balanceanp!C:G,5,FALSE))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IF(ISNA(VLOOKUP("CAL616130000",Balance!C:G,5,FALSE))=TRUE,0,VLOOKUP("CAL616130000",Balance!C:G,5,FALSE))</f>
        <v>1853.73</v>
      </c>
      <c r="D88" s="592">
        <f>+[2]Calais!$H88</f>
        <v>2471.6396250000003</v>
      </c>
      <c r="E88" s="311">
        <f>IF(ISNA(VLOOKUP("CAL616130000",Balanceanp!C:G,5,FALSE))=TRUE,0,VLOOKUP("CAL616130000",Balanceanp!C:G,5,FALSE))</f>
        <v>2428.37</v>
      </c>
      <c r="F88" s="625">
        <f>+C88+C88/9*(12-Clients!$I$14)</f>
        <v>2471.64</v>
      </c>
      <c r="G88" s="632">
        <f>+E88*1.05*1.05</f>
        <v>2677.2779250000003</v>
      </c>
      <c r="H88" s="632"/>
      <c r="I88" s="591">
        <f t="shared" ref="I88:I101" si="9">+IF((E88)=0,,(F88-E88)/E88)</f>
        <v>1.7818536713927441E-2</v>
      </c>
      <c r="J88" s="595">
        <f t="shared" ref="J88:J101" si="10">+IF((F88)=0,,(G88-F88)/F88)</f>
        <v>8.3198979220274985E-2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+[2]Calais!$H89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IF(ISNA(VLOOKUP("CAL618100000",Balance!C:G,5,FALSE))=TRUE,0,VLOOKUP("CAL618100000",Balance!C:G,5,FALSE))</f>
        <v>0</v>
      </c>
      <c r="D90" s="592">
        <f>+[2]Calais!$H90</f>
        <v>286.41333231631944</v>
      </c>
      <c r="E90" s="311">
        <f>IF(ISNA(VLOOKUP("CAL618100000",Balanceanp!C:G,5,FALSE))=TRUE,0,VLOOKUP("CAL618100000",Balanceanp!C:G,5,FALSE))</f>
        <v>112.2</v>
      </c>
      <c r="F90" s="625">
        <f>+C90+C90/9*(12-Clients!$I$14)</f>
        <v>0</v>
      </c>
      <c r="G90" s="630">
        <f t="shared" si="8"/>
        <v>0</v>
      </c>
      <c r="H90" s="630"/>
      <c r="I90" s="591">
        <f t="shared" si="9"/>
        <v>-1</v>
      </c>
      <c r="J90" s="595">
        <f t="shared" si="10"/>
        <v>0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IF(ISNA(VLOOKUP("CAL618500000",Balance!C:G,5,FALSE))=TRUE,0,VLOOKUP("CAL618500000",Balance!C:G,5,FALSE))</f>
        <v>308.49</v>
      </c>
      <c r="D91" s="592">
        <f>+[2]Calais!$H91</f>
        <v>548.975439027834</v>
      </c>
      <c r="E91" s="311">
        <f>IF(ISNA(VLOOKUP("CAL618500000",Balanceanp!C:G,5,FALSE))=TRUE,0,VLOOKUP("CAL618500000",Balanceanp!C:G,5,FALSE))</f>
        <v>442.39</v>
      </c>
      <c r="F91" s="625">
        <f>+C91+C91/9*(12-Clients!$I$14)</f>
        <v>411.32000000000005</v>
      </c>
      <c r="G91" s="630">
        <f t="shared" si="8"/>
        <v>423.65960000000007</v>
      </c>
      <c r="H91" s="630"/>
      <c r="I91" s="591">
        <f t="shared" si="9"/>
        <v>-7.0232148104613437E-2</v>
      </c>
      <c r="J91" s="595">
        <f t="shared" si="10"/>
        <v>3.0000000000000041E-2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IF(ISNA(VLOOKUP("CAL622200000",Balance!C:G,5,FALSE))=TRUE,0,VLOOKUP("CAL622200000",Balance!C:G,5,FALSE))</f>
        <v>0</v>
      </c>
      <c r="D92" s="117">
        <f>+[2]Calais!$H92</f>
        <v>0</v>
      </c>
      <c r="E92" s="160">
        <f>IF(ISNA(VLOOKUP("CAL622200000",Balanceanp!C:G,5,FALSE))=TRUE,0,VLOOKUP("CAL622200000",Balanceanp!C:G,5,FALSE))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IF(ISNA(VLOOKUP("CAL622600000",Balance!C:G,5,FALSE))=TRUE,0,VLOOKUP("CAL622600000",Balance!C:G,5,FALSE))</f>
        <v>0</v>
      </c>
      <c r="D93" s="592">
        <f>+[2]Calais!$H93</f>
        <v>0.5862025052083335</v>
      </c>
      <c r="E93" s="311">
        <f>IF(ISNA(VLOOKUP("CAL622600000",Balanceanp!C:G,5,FALSE))=TRUE,0,VLOOKUP("CAL622600000",Balanceanp!C:G,5,FALSE))</f>
        <v>0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0</v>
      </c>
      <c r="J93" s="595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IF(ISNA(VLOOKUP("CAL622710000",Balance!C:G,5,FALSE))=TRUE,0,VLOOKUP("CAL622710000",Balance!C:G,5,FALSE))</f>
        <v>0</v>
      </c>
      <c r="D94" s="117">
        <f>+[2]Calais!$H94</f>
        <v>0</v>
      </c>
      <c r="E94" s="160">
        <f>IF(ISNA(VLOOKUP("CAL622710000",Balanceanp!C:G,5,FALSE))=TRUE,0,VLOOKUP("CAL622710000",Balanceanp!C:G,5,FALSE))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2.4684197567551653E-2</v>
      </c>
      <c r="C95" s="311">
        <f>IF(ISNA(VLOOKUP("CAL624200000",Balance!C:G,5,FALSE))=TRUE,0,VLOOKUP("CAL624200000",Balance!C:G,5,FALSE))</f>
        <v>21035.3</v>
      </c>
      <c r="D95" s="592">
        <f>+[2]Calais!$H95</f>
        <v>25878.603542749443</v>
      </c>
      <c r="E95" s="311">
        <f>IF(ISNA(VLOOKUP("CAL624200000",Balanceanp!C:G,5,FALSE))=TRUE,0,VLOOKUP("CAL624200000",Balanceanp!C:G,5,FALSE))</f>
        <v>28301.35</v>
      </c>
      <c r="F95" s="625">
        <f>+C95+C95/9*(12-Clients!$I$14)</f>
        <v>28047.066666666666</v>
      </c>
      <c r="G95" s="630">
        <f>B95*G21</f>
        <v>26027.091967819164</v>
      </c>
      <c r="H95" s="633">
        <f>+G95/$G$21</f>
        <v>2.4684197567551653E-2</v>
      </c>
      <c r="I95" s="591">
        <f t="shared" si="9"/>
        <v>-8.9848481903984385E-3</v>
      </c>
      <c r="J95" s="595">
        <f t="shared" si="10"/>
        <v>-7.2020889844006328E-2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IF(ISNA(VLOOKUP("CAL625100000",Balance!C:G,5,FALSE))=TRUE,0,VLOOKUP("CAL625100000",Balance!C:G,5,FALSE))</f>
        <v>2677.47</v>
      </c>
      <c r="D96" s="592">
        <f>+[2]Calais!$H96</f>
        <v>3239.8856000000001</v>
      </c>
      <c r="E96" s="311">
        <f>IF(ISNA(VLOOKUP("CAL625100000",Balanceanp!C:G,5,FALSE))=TRUE,0,VLOOKUP("CAL625100000",Balanceanp!C:G,5,FALSE))</f>
        <v>3664.35</v>
      </c>
      <c r="F96" s="625">
        <f>+C96+C96/9*(12-Clients!$I$14)</f>
        <v>3569.96</v>
      </c>
      <c r="G96" s="594">
        <f t="shared" si="8"/>
        <v>3677.0588000000002</v>
      </c>
      <c r="H96" s="594"/>
      <c r="I96" s="591">
        <f t="shared" si="9"/>
        <v>-2.5759002278712424E-2</v>
      </c>
      <c r="J96" s="595">
        <f t="shared" si="10"/>
        <v>3.0000000000000058E-2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IF(ISNA(VLOOKUP("CAL625200000",Balance!C:G,5,FALSE))=TRUE,0,VLOOKUP("CAL625200000",Balance!C:G,5,FALSE))</f>
        <v>0</v>
      </c>
      <c r="D97" s="592">
        <f>+[2]Calais!$H97</f>
        <v>113.39548099999999</v>
      </c>
      <c r="E97" s="311">
        <f>IF(ISNA(VLOOKUP("CAL625200000",Balanceanp!C:G,5,FALSE))=TRUE,0,VLOOKUP("CAL625200000",Balanceanp!C:G,5,FALSE))</f>
        <v>107.94</v>
      </c>
      <c r="F97" s="625">
        <f>+C97+C97/9*(12-Clients!$I$14)</f>
        <v>0</v>
      </c>
      <c r="G97" s="594">
        <f t="shared" si="8"/>
        <v>0</v>
      </c>
      <c r="H97" s="594"/>
      <c r="I97" s="591">
        <f t="shared" si="9"/>
        <v>-1</v>
      </c>
      <c r="J97" s="595">
        <f t="shared" si="10"/>
        <v>0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IF(ISNA(VLOOKUP("CAL625510000",Balance!C:G,5,FALSE))=TRUE,0,VLOOKUP("CAL625510000",Balance!C:G,5,FALSE))</f>
        <v>0</v>
      </c>
      <c r="D98" s="117">
        <f>+[2]Calais!$H98</f>
        <v>0</v>
      </c>
      <c r="E98" s="160">
        <f>IF(ISNA(VLOOKUP("CAL625510000",Balanceanp!C:G,5,FALSE))=TRUE,0,VLOOKUP("CAL625510000",Balanceanp!C:G,5,FALSE))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IF(ISNA(VLOOKUP("CAL626000000",Balance!C:G,5,FALSE))=TRUE,0,VLOOKUP("CAL626000000",Balance!C:G,5,FALSE))</f>
        <v>2776.11</v>
      </c>
      <c r="D99" s="592">
        <f>+[2]Calais!$H99</f>
        <v>4266.4267115443836</v>
      </c>
      <c r="E99" s="311">
        <f>IF(ISNA(VLOOKUP("CAL626000000",Balanceanp!C:G,5,FALSE))=TRUE,0,VLOOKUP("CAL626000000",Balanceanp!C:G,5,FALSE))</f>
        <v>3839.91</v>
      </c>
      <c r="F99" s="625">
        <f>+C99+C99/9*(12-Clients!$I$14)</f>
        <v>3701.4800000000005</v>
      </c>
      <c r="G99" s="630">
        <f>+F99</f>
        <v>3701.4800000000005</v>
      </c>
      <c r="H99" s="630"/>
      <c r="I99" s="591">
        <f t="shared" si="9"/>
        <v>-3.6050324096137509E-2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IF(ISNA(VLOOKUP("CAL626100000",Balance!C:G,5,FALSE))=TRUE,0,VLOOKUP("CAL626100000",Balance!C:G,5,FALSE))</f>
        <v>764.28</v>
      </c>
      <c r="D100" s="592">
        <f>+[2]Calais!$H100</f>
        <v>837.20066889792292</v>
      </c>
      <c r="E100" s="311">
        <f>IF(ISNA(VLOOKUP("CAL626100000",Balanceanp!C:G,5,FALSE))=TRUE,0,VLOOKUP("CAL626100000",Balanceanp!C:G,5,FALSE))</f>
        <v>644.73</v>
      </c>
      <c r="F100" s="625">
        <f>+C100+C100/9*(12-Clients!$I$14)</f>
        <v>1019.04</v>
      </c>
      <c r="G100" s="630">
        <f t="shared" si="8"/>
        <v>1049.6112000000001</v>
      </c>
      <c r="H100" s="630"/>
      <c r="I100" s="591">
        <f t="shared" si="9"/>
        <v>0.58056861011586236</v>
      </c>
      <c r="J100" s="595">
        <f t="shared" si="10"/>
        <v>3.0000000000000089E-2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IF(ISNA(VLOOKUP("CAL628400000",Balance!C:G,5,FALSE))=TRUE,0,VLOOKUP("CAL628400000",Balance!C:G,5,FALSE))</f>
        <v>0</v>
      </c>
      <c r="D101" s="592">
        <f>+[2]Calais!$H101</f>
        <v>3.9861770354166675</v>
      </c>
      <c r="E101" s="311">
        <f>IF(ISNA(VLOOKUP("CAL628400000",Balanceanp!C:G,5,FALSE))=TRUE,0,VLOOKUP("CAL628400000",Balanceanp!C:G,5,FALSE))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6.325391780799286E-2</v>
      </c>
      <c r="C103" s="305">
        <f>SUM(C70:C102)</f>
        <v>53903.520000000004</v>
      </c>
      <c r="D103" s="312">
        <f>SUM(D70:D102)</f>
        <v>74205.79130933882</v>
      </c>
      <c r="E103" s="305">
        <f>SUM(E70:E102)</f>
        <v>75672.100000000006</v>
      </c>
      <c r="F103" s="312">
        <f>SUM(F70:F102)</f>
        <v>71831.679999999993</v>
      </c>
      <c r="G103" s="312">
        <f>SUM(G70:G102)</f>
        <v>70846.927274750618</v>
      </c>
      <c r="H103" s="421">
        <f>+G103/$G$21</f>
        <v>6.7191507682309914E-2</v>
      </c>
      <c r="I103" s="598">
        <f>+IF((E103)=0,,(F103-E103)/E103)</f>
        <v>-5.0750805118399155E-2</v>
      </c>
      <c r="J103" s="599">
        <f>+IF((F103)=0,,(G103-F103)/F103)</f>
        <v>-1.370917017741162E-2</v>
      </c>
      <c r="K103" s="136">
        <f>(C103+(C103/3))</f>
        <v>71871.360000000001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IF(ISNA(VLOOKUP("CAL623100000",Balance!C:G,5,FALSE))=TRUE,0,VLOOKUP("CAL623100000",Balance!C:G,5,FALSE))</f>
        <v>0</v>
      </c>
      <c r="D105" s="592">
        <f>+[2]Calais!$H105</f>
        <v>1023.614</v>
      </c>
      <c r="E105" s="311">
        <f>IF(ISNA(VLOOKUP("CAL623100000",Balanceanp!C:G,5,FALSE))=TRUE,0,VLOOKUP("CAL623100000",Balanceanp!C:G,5,FALSE))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IF(ISNA(VLOOKUP("CAL623200000",Balance!C:G,5,FALSE))=TRUE,0,VLOOKUP("CAL623200000",Balance!C:G,5,FALSE))</f>
        <v>3951.49</v>
      </c>
      <c r="D106" s="592">
        <f>+[2]Calais!$H106</f>
        <v>6955.4561000000003</v>
      </c>
      <c r="E106" s="311">
        <f>IF(ISNA(VLOOKUP("CAL623200000",Balanceanp!C:G,5,FALSE))=TRUE,0,VLOOKUP("CAL623200000",Balanceanp!C:G,5,FALSE))</f>
        <v>9056.89</v>
      </c>
      <c r="F106" s="625">
        <f>+C106+C106/9*(12-Clients!$I$14)</f>
        <v>5268.6533333333327</v>
      </c>
      <c r="G106" s="594">
        <f t="shared" si="11"/>
        <v>5426.7129333333332</v>
      </c>
      <c r="H106" s="594"/>
      <c r="I106" s="591">
        <f t="shared" si="12"/>
        <v>-0.41827124616360217</v>
      </c>
      <c r="J106" s="595">
        <f t="shared" si="12"/>
        <v>3.00000000000001E-2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IF(ISNA(VLOOKUP("CAL629000000",Balance!C:G,5,FALSE))=TRUE,0,VLOOKUP("CAL629000000",Balance!C:G,5,FALSE))</f>
        <v>0</v>
      </c>
      <c r="D107" s="117">
        <f>+[2]Calais!$H107</f>
        <v>0</v>
      </c>
      <c r="E107" s="160">
        <f>IF(ISNA(VLOOKUP("CAL629000000",Balanceanp!C:G,5,FALSE))=TRUE,0,VLOOKUP("CAL629000000",Balanceanp!C:G,5,FALSE))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IF(ISNA(VLOOKUP("CAL623300000",Balance!C:G,5,FALSE))=TRUE,0,VLOOKUP("CAL623300000",Balance!C:G,5,FALSE))</f>
        <v>1660.2900000000002</v>
      </c>
      <c r="D108" s="592">
        <f>+[2]Calais!$H108</f>
        <v>450</v>
      </c>
      <c r="E108" s="311">
        <f>IF(ISNA(VLOOKUP("CAL623300000",Balanceanp!C:G,5,FALSE))=TRUE,0,VLOOKUP("CAL623300000",Balanceanp!C:G,5,FALSE))</f>
        <v>130.91999999999999</v>
      </c>
      <c r="F108" s="625">
        <f>+C108+C108/9*(12-Clients!$I$14)</f>
        <v>2213.7200000000003</v>
      </c>
      <c r="G108" s="594">
        <v>450</v>
      </c>
      <c r="H108" s="594"/>
      <c r="I108" s="591">
        <f t="shared" si="12"/>
        <v>15.908952031775133</v>
      </c>
      <c r="J108" s="595">
        <f t="shared" si="12"/>
        <v>-0.79672225936432794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IF(ISNA(VLOOKUP("CAL623700000",Balance!C:G,5,FALSE))=TRUE,0,VLOOKUP("CAL623700000",Balance!C:G,5,FALSE))</f>
        <v>3290.3</v>
      </c>
      <c r="D109" s="592">
        <f>+[2]Calais!$H109</f>
        <v>6383.4765000000007</v>
      </c>
      <c r="E109" s="311">
        <f>IF(ISNA(VLOOKUP("CAL623700000",Balanceanp!C:G,5,FALSE))=TRUE,0,VLOOKUP("CAL623700000",Balanceanp!C:G,5,FALSE))</f>
        <v>1510.7</v>
      </c>
      <c r="F109" s="625">
        <f>+C109+C109/9*(12-Clients!$I$14)</f>
        <v>4387.0666666666666</v>
      </c>
      <c r="G109" s="594">
        <f t="shared" si="11"/>
        <v>4518.6786666666667</v>
      </c>
      <c r="H109" s="594"/>
      <c r="I109" s="591">
        <f t="shared" si="12"/>
        <v>1.9039959400719313</v>
      </c>
      <c r="J109" s="595">
        <f t="shared" si="12"/>
        <v>3.000000000000002E-2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IF(ISNA(VLOOKUP("CAL623410000",Balance!C:G,5,FALSE))=TRUE,0,VLOOKUP("CAL623410000",Balance!C:G,5,FALSE))+IF(ISNA(VLOOKUP("CAL623420000",Balance!C:G,5,FALSE))=TRUE,0,VLOOKUP("CAL623420000",Balance!C:G,5,FALSE))</f>
        <v>18869.46</v>
      </c>
      <c r="D110" s="592">
        <f>+[2]Calais!$H110</f>
        <v>25571.7173</v>
      </c>
      <c r="E110" s="311">
        <f>IF(ISNA(VLOOKUP("cal623410000",Balanceanp!C:G,5,FALSE))=TRUE,0,VLOOKUP("cal623410000",Balanceanp!C:G,5,FALSE))+IF(ISNA(VLOOKUP("cal623420000",Balanceanp!C:G,5,FALSE))=TRUE,0,VLOOKUP("cal623420000",Balanceanp!C:G,5,FALSE))</f>
        <v>15266.41</v>
      </c>
      <c r="F110" s="625">
        <f>+C110+C110/9*(12-Clients!$I$14)</f>
        <v>25159.279999999999</v>
      </c>
      <c r="G110" s="594">
        <v>15000</v>
      </c>
      <c r="H110" s="594"/>
      <c r="I110" s="591">
        <f t="shared" si="12"/>
        <v>0.6480154797362313</v>
      </c>
      <c r="J110" s="595">
        <f t="shared" si="12"/>
        <v>-0.40379851887653379</v>
      </c>
      <c r="L110" s="17">
        <f t="shared" si="7"/>
        <v>1</v>
      </c>
    </row>
    <row r="111" spans="1:12" hidden="1">
      <c r="A111" s="5" t="s">
        <v>135</v>
      </c>
      <c r="B111" s="92"/>
      <c r="C111" s="160">
        <f>IF(ISNA(VLOOKUP("CAL623800000",Balance!C:G,5,FALSE))=TRUE,0,VLOOKUP("CAL623800000",Balance!C:G,5,FALSE))+IF(ISNA(VLOOKUP("CAL623820000",Balance!C:G,5,FALSE))=TRUE,0,VLOOKUP("CAL623820000",Balance!C:G,5,FALSE))</f>
        <v>0</v>
      </c>
      <c r="D111" s="117">
        <f>+[2]Calais!$H111</f>
        <v>0</v>
      </c>
      <c r="E111" s="160">
        <f>IF(ISNA(VLOOKUP("CAL623800000",Balanceanp!C:G,5,FALSE))=TRUE,0,VLOOKUP("CAL623800000",Balanceanp!C:G,5,FALSE))</f>
        <v>0</v>
      </c>
      <c r="F111" s="368">
        <f>+C111+C111/9*(12-Clients!$I$14)</f>
        <v>0</v>
      </c>
      <c r="G111" s="395">
        <f t="shared" si="11"/>
        <v>0</v>
      </c>
      <c r="H111" s="401"/>
      <c r="I111" s="149">
        <f t="shared" si="12"/>
        <v>0</v>
      </c>
      <c r="J111" s="271">
        <f t="shared" si="12"/>
        <v>0</v>
      </c>
      <c r="L111" s="17">
        <f t="shared" si="7"/>
        <v>0</v>
      </c>
    </row>
    <row r="112" spans="1:12">
      <c r="A112" s="590" t="s">
        <v>136</v>
      </c>
      <c r="B112" s="591"/>
      <c r="C112" s="311">
        <f>IF(ISNA(VLOOKUP("CAL625600000",Balance!C:G,5,FALSE))=TRUE,0,VLOOKUP("CAL625600000",Balance!C:G,5,FALSE))</f>
        <v>19.5</v>
      </c>
      <c r="D112" s="592">
        <f>+[2]Calais!$H112</f>
        <v>25.986900000000002</v>
      </c>
      <c r="E112" s="311">
        <f>IF(ISNA(VLOOKUP("CAL625600000",Balanceanp!C:G,5,FALSE))=TRUE,0,VLOOKUP("CAL625600000",Balanceanp!C:G,5,FALSE))</f>
        <v>25.23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3.051922314704715E-2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IF(ISNA(VLOOKUP("cal625700000",Balance!C:G,5,FALSE))=TRUE,0,VLOOKUP("cal625700000",Balance!C:G,5,FALSE))+IF(ISNA(VLOOKUP("cal625710000",Balance!C:G,5,FALSE))=TRUE,0,VLOOKUP("cal625710000",Balance!C:G,5,FALSE))</f>
        <v>7116.52</v>
      </c>
      <c r="D113" s="592">
        <f>+[2]Calais!$H113</f>
        <v>8740</v>
      </c>
      <c r="E113" s="311">
        <f>IF(ISNA(VLOOKUP("cal625700000",Balanceanp!C:G,5,FALSE))=TRUE,0,VLOOKUP("cal625700000",Balanceanp!C:G,5,FALSE))+IF(ISNA(VLOOKUP("cal625710000",Balanceanp!C:G,5,FALSE))=TRUE,0,VLOOKUP("cal625710000",Balanceanp!C:G,5,FALSE))</f>
        <v>7021.27</v>
      </c>
      <c r="F113" s="625">
        <v>5858.35</v>
      </c>
      <c r="G113" s="594">
        <v>2000</v>
      </c>
      <c r="H113" s="594"/>
      <c r="I113" s="591">
        <f t="shared" si="12"/>
        <v>-0.16562815559008556</v>
      </c>
      <c r="J113" s="595">
        <f t="shared" si="12"/>
        <v>-0.65860694564169098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IF(ISNA(VLOOKUP("CAL623810000",Balance!C:G,5,FALSE))=TRUE,0,VLOOKUP("CAL623810000",Balance!C:G,5,FALSE))</f>
        <v>0</v>
      </c>
      <c r="D114" s="117">
        <f>+[2]Calais!$H114</f>
        <v>0</v>
      </c>
      <c r="E114" s="160">
        <f>IF(ISNA(VLOOKUP("CAL623810000",Balanceanp!C:G,5,FALSE))=TRUE,0,VLOOKUP("CAL623810000",Balanceanp!C:G,5,FALSE))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4.0962815250610324E-2</v>
      </c>
      <c r="C116" s="305">
        <f>SUM(C104:C115)</f>
        <v>34907.56</v>
      </c>
      <c r="D116" s="312">
        <f>SUM(D104:D115)</f>
        <v>49150.250800000009</v>
      </c>
      <c r="E116" s="305">
        <f>SUM(E104:E115)</f>
        <v>33785.72</v>
      </c>
      <c r="F116" s="312">
        <f>SUM(F104:F115)</f>
        <v>42913.07</v>
      </c>
      <c r="G116" s="312">
        <f>SUM(G104:G115)</f>
        <v>27422.171599999998</v>
      </c>
      <c r="H116" s="421">
        <f>+G116/$G$21</f>
        <v>2.6007296640847947E-2</v>
      </c>
      <c r="I116" s="598">
        <f>+IF((E116)=0,,(F116-E116)/E116)</f>
        <v>0.27015407692954296</v>
      </c>
      <c r="J116" s="599">
        <f>+IF((F116)=0,,(G116-F116)/F116)</f>
        <v>-0.36098322492424806</v>
      </c>
      <c r="K116" s="136">
        <f>(C116+(C116/3))</f>
        <v>46543.41333333333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IF(ISNA(VLOOKUP("CAL633300000",Balance!C:G,5,FALSE))=TRUE,0,VLOOKUP("CAL633300000",Balance!C:G,5,FALSE))</f>
        <v>1001.31</v>
      </c>
      <c r="D118" s="592">
        <f>+[2]Calais!$H118</f>
        <v>553.51099999999997</v>
      </c>
      <c r="E118" s="311">
        <f>IF(ISNA(VLOOKUP("CAL633300000",Balanceanp!C:G,5,FALSE))=TRUE,0,VLOOKUP("CAL633300000",Balanceanp!C:G,5,FALSE))</f>
        <v>544</v>
      </c>
      <c r="F118" s="625">
        <f>+C118+C118/9*(12-Clients!$I$14)</f>
        <v>1335.08</v>
      </c>
      <c r="G118" s="630">
        <f>G131*(0.2+0.5)%</f>
        <v>639.16999999999996</v>
      </c>
      <c r="H118" s="630"/>
      <c r="I118" s="591">
        <f t="shared" ref="I118:J127" si="13">+IF((E118)=0,,(F118-E118)/E118)</f>
        <v>1.4541911764705882</v>
      </c>
      <c r="J118" s="595">
        <f t="shared" si="13"/>
        <v>-0.52124966294154662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IF(ISNA(VLOOKUP("CAL633400000",Balance!C:G,5,FALSE))=TRUE,0,VLOOKUP("CAL633400000",Balance!C:G,5,FALSE))</f>
        <v>0</v>
      </c>
      <c r="D119" s="592">
        <f>+[2]Calais!$H119</f>
        <v>355.82850000000002</v>
      </c>
      <c r="E119" s="311">
        <f>IF(ISNA(VLOOKUP("CAL633400000",Balanceanp!C:G,5,FALSE))=TRUE,0,VLOOKUP("CAL633400000",Balanceanp!C:G,5,FALSE))</f>
        <v>300</v>
      </c>
      <c r="F119" s="625">
        <f>+C119+C119/9*(12-Clients!$I$14)</f>
        <v>0</v>
      </c>
      <c r="G119" s="630">
        <f>+G131*0.45%</f>
        <v>410.89500000000004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IF(ISNA(VLOOKUP("CAL633500000",Balance!C:G,5,FALSE))=TRUE,0,VLOOKUP("CAL633500000",Balance!C:G,5,FALSE))</f>
        <v>0</v>
      </c>
      <c r="D120" s="592">
        <f>+[2]Calais!$H120</f>
        <v>616.76940000000002</v>
      </c>
      <c r="E120" s="311">
        <f>IF(ISNA(VLOOKUP("CAL633500000",Balanceanp!C:G,5,FALSE))=TRUE,0,VLOOKUP("CAL633500000",Balanceanp!C:G,5,FALSE))</f>
        <v>453</v>
      </c>
      <c r="F120" s="625">
        <f>+C120+C120/9*(12-Clients!$I$14)</f>
        <v>0</v>
      </c>
      <c r="G120" s="630">
        <f>+G131*(0.6+0.18)%</f>
        <v>712.21800000000007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IF(ISNA(VLOOKUP("CAL635110000",Balance!C:G,5,FALSE))=TRUE,0,VLOOKUP("CAL635110000",Balance!C:G,5,FALSE))</f>
        <v>2894.04</v>
      </c>
      <c r="D121" s="592">
        <f>+[2]Calais!$H121</f>
        <v>3858.75</v>
      </c>
      <c r="E121" s="311">
        <f>IF(ISNA(VLOOKUP("CAL635110000",Balanceanp!C:G,5,FALSE))=TRUE,0,VLOOKUP("CAL635110000",Balanceanp!C:G,5,FALSE))</f>
        <v>3675</v>
      </c>
      <c r="F121" s="1011">
        <v>1538</v>
      </c>
      <c r="G121" s="1011">
        <f>+F121*1.05</f>
        <v>1614.9</v>
      </c>
      <c r="H121" s="632"/>
      <c r="I121" s="591">
        <f t="shared" si="13"/>
        <v>-0.5814965986394558</v>
      </c>
      <c r="J121" s="595">
        <f t="shared" si="13"/>
        <v>5.0000000000000058E-2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IF(ISNA(VLOOKUP("CAL635120000",Balance!C:G,5,FALSE))=TRUE,0,VLOOKUP("CAL635120000",Balance!C:G,5,FALSE))</f>
        <v>953.46</v>
      </c>
      <c r="D122" s="592">
        <f>+[2]Calais!$H122</f>
        <v>1271.2494374999999</v>
      </c>
      <c r="E122" s="311">
        <f>IF(ISNA(VLOOKUP("CAL635120000",Balanceanp!C:G,5,FALSE))=TRUE,0,VLOOKUP("CAL635120000",Balanceanp!C:G,5,FALSE))</f>
        <v>1237</v>
      </c>
      <c r="F122" s="632">
        <f>+C122+C122/9*(12-Clients!$I$14)</f>
        <v>1271.28</v>
      </c>
      <c r="G122" s="632">
        <f>+F122*1.05</f>
        <v>1334.8440000000001</v>
      </c>
      <c r="H122" s="632"/>
      <c r="I122" s="591">
        <f t="shared" si="13"/>
        <v>2.771220695230394E-2</v>
      </c>
      <c r="J122" s="595">
        <f t="shared" si="13"/>
        <v>5.0000000000000065E-2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IF(ISNA(VLOOKUP("CAL635130000",Balance!C:G,5,FALSE))=TRUE,0,VLOOKUP("CAL635130000",Balance!C:G,5,FALSE))</f>
        <v>0</v>
      </c>
      <c r="D123" s="592">
        <f>+[2]Calais!$H123</f>
        <v>50</v>
      </c>
      <c r="E123" s="311">
        <f>IF(ISNA(VLOOKUP("CAL635130000",Balanceanp!C:G,5,FALSE))=TRUE,0,VLOOKUP("CAL635130000",Balanceanp!C:G,5,FALSE))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IF(ISNA(VLOOKUP("CAL635140000",Balance!C:G,5,FALSE))=TRUE,0,VLOOKUP("CAL635140000",Balance!C:G,5,FALSE))</f>
        <v>0</v>
      </c>
      <c r="D124" s="117">
        <f>+[2]Calais!$H124</f>
        <v>0</v>
      </c>
      <c r="E124" s="160">
        <f>IF(ISNA(VLOOKUP("CAL635140000",Balanceanp!C:G,5,FALSE))=TRUE,0,VLOOKUP("CAL635140000",Balanceanp!C:G,5,FALSE))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IF(ISNA(VLOOKUP("CAL635300000",Balance!C:G,5,FALSE))=TRUE,0,VLOOKUP("CAL635300000",Balance!C:G,5,FALSE))</f>
        <v>0</v>
      </c>
      <c r="D125" s="117">
        <f>+[2]Calais!$H125</f>
        <v>0</v>
      </c>
      <c r="E125" s="160">
        <f>IF(ISNA(VLOOKUP("CAL635300000",Balanceanp!C:G,5,FALSE))=TRUE,0,VLOOKUP("CAL635300000",Balanceanp!C:G,5,FALSE))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IF(ISNA(VLOOKUP("CAL635400000",Balance!C:G,5,FALSE))=TRUE,0,VLOOKUP("CAL635400000",Balance!C:G,5,FALSE))</f>
        <v>0</v>
      </c>
      <c r="D126" s="117">
        <f>+[2]Calais!$H126</f>
        <v>0</v>
      </c>
      <c r="E126" s="160">
        <f>IF(ISNA(VLOOKUP("CAL635400000",Balanceanp!C:G,5,FALSE))=TRUE,0,VLOOKUP("CAL635400000",Balanceanp!C:G,5,FALSE))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IF(ISNA(VLOOKUP("CAL637100000",Balance!C:G,5,FALSE))=TRUE,0,VLOOKUP("CAL637100000",Balance!C:G,5,FALSE))</f>
        <v>1537.18</v>
      </c>
      <c r="D127" s="592">
        <f>+[2]Calais!$H127</f>
        <v>1648.5056000000002</v>
      </c>
      <c r="E127" s="311">
        <f>IF(ISNA(VLOOKUP("CAL637100000",Balanceanp!C:G,5,FALSE))=TRUE,0,VLOOKUP("CAL637100000",Balanceanp!C:G,5,FALSE))</f>
        <v>1745.01</v>
      </c>
      <c r="F127" s="625">
        <f>+C127+C127/9*(12-Clients!$I$14)</f>
        <v>2049.5733333333333</v>
      </c>
      <c r="G127" s="630">
        <f>+G51*0.16%</f>
        <v>1670.4256</v>
      </c>
      <c r="H127" s="630"/>
      <c r="I127" s="591">
        <f t="shared" si="13"/>
        <v>0.17453386131502585</v>
      </c>
      <c r="J127" s="595">
        <f t="shared" si="13"/>
        <v>-0.18498861551672538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7.4937385644326055E-3</v>
      </c>
      <c r="C129" s="305">
        <f>SUM(C117:C128)</f>
        <v>6385.99</v>
      </c>
      <c r="D129" s="312">
        <f>SUM(D117:D128)</f>
        <v>8354.6139375000002</v>
      </c>
      <c r="E129" s="305">
        <f>SUM(E117:E128)</f>
        <v>7954.01</v>
      </c>
      <c r="F129" s="312">
        <f>SUM(F117:F128)</f>
        <v>6193.9333333333325</v>
      </c>
      <c r="G129" s="312">
        <f>SUM(G117:G128)</f>
        <v>6432.4526000000005</v>
      </c>
      <c r="H129" s="421">
        <f>+G129/$G$21</f>
        <v>6.1005636364843425E-3</v>
      </c>
      <c r="I129" s="598">
        <f>+IF((E129)=0,,(F129-E129)/E129)</f>
        <v>-0.22128167637036761</v>
      </c>
      <c r="J129" s="599">
        <f>+IF((F129)=0,,(G129-F129)/F129)</f>
        <v>3.8508529851790686E-2</v>
      </c>
      <c r="K129" s="136">
        <f>(C129+(C129/3))</f>
        <v>8514.6533333333336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IF(ISNA(VLOOKUP("CAL641100000",Balance!C:G,5,FALSE))=TRUE,0,VLOOKUP("CAL641100000",Balance!C:G,5,FALSE))+IF(ISNA(VLOOKUP("CAL641100110",Balance!C:G,5,FALSE))=TRUE,0,VLOOKUP("CAL641100110",Balance!C:G,5,FALSE))</f>
        <v>63559.88</v>
      </c>
      <c r="D131" s="592">
        <f>+[2]Calais!$H131</f>
        <v>79073</v>
      </c>
      <c r="E131" s="311">
        <f>IF(ISNA(VLOOKUP("CAL641100000",Balanceanp!C:G,5,FALSE))=TRUE,0,VLOOKUP("CAL641100000",Balanceanp!C:G,5,FALSE))+IF(ISNA(VLOOKUP("CAL641100110",Balanceanp!C:G,5,FALSE))=TRUE,0,VLOOKUP("CAL641100110",Balanceanp!C:G,5,FALSE))</f>
        <v>75537.909999999989</v>
      </c>
      <c r="F131" s="625">
        <f>+C131+C131/9*(12-Clients!$I$14)</f>
        <v>84746.506666666653</v>
      </c>
      <c r="G131" s="594">
        <v>91310</v>
      </c>
      <c r="H131" s="594"/>
      <c r="I131" s="591">
        <f t="shared" ref="I131:J146" si="14">+IF((E131)=0,,(F131-E131)/E131)</f>
        <v>0.12190695594657922</v>
      </c>
      <c r="J131" s="595">
        <f t="shared" si="14"/>
        <v>7.7448541438404392E-2</v>
      </c>
      <c r="L131" s="17">
        <v>1</v>
      </c>
    </row>
    <row r="132" spans="1:12" hidden="1">
      <c r="A132" s="5" t="s">
        <v>149</v>
      </c>
      <c r="B132" s="92"/>
      <c r="C132" s="160">
        <f>IF(ISNA(VLOOKUP("CAL641110000",Balance!C:G,5,FALSE))=TRUE,0,VLOOKUP("CAL641110000",Balance!C:G,5,FALSE))</f>
        <v>-200</v>
      </c>
      <c r="D132" s="117">
        <f>+[2]Calais!$H132</f>
        <v>0</v>
      </c>
      <c r="E132" s="160">
        <f>IF(ISNA(VLOOKUP("CAL641110000",Balanceanp!C:G,5,FALSE))=TRUE,0,VLOOKUP("CAL641110000",Balanceanp!C:G,5,FALSE))</f>
        <v>-200</v>
      </c>
      <c r="F132" s="368">
        <f>+C132+C132/9*(12-Clients!$I$14)</f>
        <v>-266.66666666666663</v>
      </c>
      <c r="G132" s="395"/>
      <c r="H132" s="401"/>
      <c r="I132" s="149">
        <f t="shared" si="14"/>
        <v>0.33333333333333315</v>
      </c>
      <c r="J132" s="271">
        <f t="shared" si="14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IF(ISNA(VLOOKUP("CAL641111000",Balance!C:G,5,FALSE))=TRUE,0,VLOOKUP("CAL641111000",Balance!C:G,5,FALSE))</f>
        <v>0</v>
      </c>
      <c r="D133" s="117">
        <f>+[2]Calais!$H133</f>
        <v>0</v>
      </c>
      <c r="E133" s="160">
        <f>IF(ISNA(VLOOKUP("CAL641111000",Balanceanp!C:G,5,FALSE))=TRUE,0,VLOOKUP("CAL641111000",Balanceanp!C:G,5,FALSE))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IF(ISNA(VLOOKUP("CAL641200000",Balance!C:G,5,FALSE))=TRUE,0,VLOOKUP("CAL641200000",Balance!C:G,5,FALSE))</f>
        <v>0</v>
      </c>
      <c r="D134" s="117">
        <f>+[2]Calais!$H134</f>
        <v>0</v>
      </c>
      <c r="E134" s="160">
        <f>IF(ISNA(VLOOKUP("CAL641200000",Balanceanp!C:G,5,FALSE))=TRUE,0,VLOOKUP("CAL641200000",Balanceanp!C:G,5,FALSE))</f>
        <v>866.00999999999931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IF(ISNA(VLOOKUP("CAL621100000",Balance!C:G,5,FALSE))=TRUE,0,VLOOKUP("CAL621100000",Balance!C:G,5,FALSE))</f>
        <v>0</v>
      </c>
      <c r="D135" s="117">
        <f>+[2]Calais!$H135</f>
        <v>200.24642</v>
      </c>
      <c r="E135" s="160">
        <f>IF(ISNA(VLOOKUP("CAL621100000",Balanceanp!C:G,5,FALSE))=TRUE,0,VLOOKUP("CAL621100000",Balanceanp!C:G,5,FALSE))</f>
        <v>128.69999999999999</v>
      </c>
      <c r="F135" s="368">
        <f>+C135+C135/9*(12-Clients!$I$14)</f>
        <v>0</v>
      </c>
      <c r="G135" s="395"/>
      <c r="H135" s="401"/>
      <c r="I135" s="149">
        <f t="shared" si="14"/>
        <v>-1</v>
      </c>
      <c r="J135" s="271">
        <f t="shared" si="14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IF(ISNA(VLOOKUP("CAL621200000",Balance!C:G,5,FALSE))=TRUE,0,VLOOKUP("CAL621200000",Balance!C:G,5,FALSE))</f>
        <v>0</v>
      </c>
      <c r="D136" s="117">
        <f>+[2]Calais!$H136</f>
        <v>0</v>
      </c>
      <c r="E136" s="160">
        <f>IF(ISNA(VLOOKUP("CAL621200000",Balanceanp!C:G,5,FALSE))=TRUE,0,VLOOKUP("CAL621200000",Balanceanp!C:G,5,FALSE))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IF(ISNA(VLOOKUP("CAL706100000",Balance!C:G,5,FALSE))=TRUE,0,-VLOOKUP("CAL706100000",Balance!C:G,5,FALSE))</f>
        <v>0</v>
      </c>
      <c r="D137" s="117">
        <f>+[2]Calais!$H137</f>
        <v>0</v>
      </c>
      <c r="E137" s="160">
        <f>IF(ISNA(VLOOKUP("CAL706100000",Balanceanp!C:G,5,FALSE))=TRUE,0,-VLOOKUP("CAL706100000",Balanceanp!C:G,5,FALSE))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IF(ISNA(VLOOKUP("CAL641210000",Balance!C:G,5,FALSE))=TRUE,0,VLOOKUP("CAL641210000",Balance!C:G,5,FALSE))</f>
        <v>0</v>
      </c>
      <c r="D138" s="117">
        <f>+[2]Calais!$H138</f>
        <v>0</v>
      </c>
      <c r="E138" s="160">
        <f>IF(ISNA(VLOOKUP("CAL641210000",Balanceanp!C:G,5,FALSE))=TRUE,0,VLOOKUP("CAL641210000",Balanceanp!C:G,5,FALSE))</f>
        <v>353.24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IF(ISNA(VLOOKUP("CAL641400000",Balance!C:G,5,FALSE))=TRUE,0,VLOOKUP("CAL641400000",Balance!C:G,5,FALSE))</f>
        <v>0</v>
      </c>
      <c r="D139" s="117">
        <f>+[2]Calais!$H139</f>
        <v>0</v>
      </c>
      <c r="E139" s="160">
        <f>IF(ISNA(VLOOKUP("CAL641400000",Balanceanp!C:G,5,FALSE))=TRUE,0,VLOOKUP("CAL641400000",Balanceanp!C:G,5,FALSE))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IF(ISNA(VLOOKUP("CAL641600000",Balance!C:G,5,FALSE))=TRUE,0,VLOOKUP("CAL641600000",Balance!C:G,5,FALSE))+IF(ISNA(VLOOKUP("CAL641100110",Balance!C:G,5,FALSE))=TRUE,0,VLOOKUP("CAL641100110",Balance!C:G,5,FALSE))</f>
        <v>0</v>
      </c>
      <c r="D140" s="117">
        <f>+[2]Calais!$H140</f>
        <v>0</v>
      </c>
      <c r="E140" s="160">
        <f>IF(ISNA(VLOOKUP("CAL641600000",Balanceanp!C:G,5,FALSE))=TRUE,0,VLOOKUP("CAL641600000",Balanceanp!C:G,5,FALSE))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IF(ISNA(VLOOKUP("CAL645100000",Balance!C:G,5,FALSE))=TRUE,0,VLOOKUP("CAL645100000",Balance!C:G,5,FALSE))</f>
        <v>18470.010000000002</v>
      </c>
      <c r="D141" s="592">
        <f>+[2]Calais!$H141</f>
        <v>23575.25725732456</v>
      </c>
      <c r="E141" s="311">
        <f>IF(ISNA(VLOOKUP("CAL645100000",Balanceanp!C:G,5,FALSE))=TRUE,0,VLOOKUP("CAL645100000",Balanceanp!C:G,5,FALSE))</f>
        <v>21909.949999999997</v>
      </c>
      <c r="F141" s="625">
        <f>+C141+C141/9*(12-Clients!$I$14)</f>
        <v>24626.68</v>
      </c>
      <c r="G141" s="630">
        <f t="shared" ref="G141:G146" si="16">+($G$131/$C$131*C141)*1.01</f>
        <v>26799.320250935027</v>
      </c>
      <c r="H141" s="630"/>
      <c r="I141" s="591">
        <f t="shared" si="14"/>
        <v>0.123995262426432</v>
      </c>
      <c r="J141" s="595">
        <f t="shared" si="14"/>
        <v>8.8223026852788378E-2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IF(ISNA(VLOOKUP("CAL645200000",Balance!C:G,5,FALSE))=TRUE,0,VLOOKUP("CAL645200000",Balance!C:G,5,FALSE))</f>
        <v>1288.97</v>
      </c>
      <c r="D142" s="592">
        <f>+[2]Calais!$H142</f>
        <v>1662.6689483073646</v>
      </c>
      <c r="E142" s="311">
        <f>IF(ISNA(VLOOKUP("CAL645200000",Balanceanp!C:G,5,FALSE))=TRUE,0,VLOOKUP("CAL645200000",Balanceanp!C:G,5,FALSE))</f>
        <v>1543.68</v>
      </c>
      <c r="F142" s="625">
        <f>+C142+C142/9*(12-Clients!$I$14)</f>
        <v>1718.6266666666668</v>
      </c>
      <c r="G142" s="630">
        <f t="shared" si="16"/>
        <v>1870.2491132299181</v>
      </c>
      <c r="H142" s="630"/>
      <c r="I142" s="591">
        <f t="shared" si="14"/>
        <v>0.113330914870094</v>
      </c>
      <c r="J142" s="595">
        <f t="shared" si="14"/>
        <v>8.8223026852788239E-2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IF(ISNA(VLOOKUP("CAL645300000",Balance!C:G,5,FALSE))=TRUE,0,VLOOKUP("CAL645300000",Balance!C:G,5,FALSE))</f>
        <v>3097.16</v>
      </c>
      <c r="D143" s="592">
        <f>+[2]Calais!$H143</f>
        <v>3984.7127419417775</v>
      </c>
      <c r="E143" s="311">
        <f>IF(ISNA(VLOOKUP("CAL645300000",Balanceanp!C:G,5,FALSE))=TRUE,0,VLOOKUP("CAL645300000",Balanceanp!C:G,5,FALSE))</f>
        <v>3796.97</v>
      </c>
      <c r="F143" s="625">
        <f>+C143+C143/9*(12-Clients!$I$14)</f>
        <v>4129.5466666666662</v>
      </c>
      <c r="G143" s="630">
        <f t="shared" si="16"/>
        <v>4493.8677731298421</v>
      </c>
      <c r="H143" s="630"/>
      <c r="I143" s="591">
        <f t="shared" si="14"/>
        <v>8.7590016952113492E-2</v>
      </c>
      <c r="J143" s="595">
        <f t="shared" si="14"/>
        <v>8.8223026852788364E-2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IF(ISNA(VLOOKUP("CAL645310000",Balance!C:G,5,FALSE))=TRUE,0,VLOOKUP("CAL645310000",Balance!C:G,5,FALSE))</f>
        <v>0</v>
      </c>
      <c r="D144" s="117">
        <f>+[2]Calais!$H144</f>
        <v>0</v>
      </c>
      <c r="E144" s="160">
        <f>IF(ISNA(VLOOKUP("CAL645310000",Balanceanp!C:G,5,FALSE))=TRUE,0,VLOOKUP("CAL645310000",Balanceanp!C:G,5,FALSE))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IF(ISNA(VLOOKUP("CAL645400000",Balance!C:G,5,FALSE))=TRUE,0,VLOOKUP("CAL645400000",Balance!C:G,5,FALSE))</f>
        <v>2285.44</v>
      </c>
      <c r="D145" s="592">
        <f>+[2]Calais!$H145</f>
        <v>2940.029992704709</v>
      </c>
      <c r="E145" s="311">
        <f>IF(ISNA(VLOOKUP("CAL645400000",Balanceanp!C:G,5,FALSE))=TRUE,0,VLOOKUP("CAL645400000",Balanceanp!C:G,5,FALSE))</f>
        <v>2836.36</v>
      </c>
      <c r="F145" s="625">
        <f>+C145+C145/9*(12-Clients!$I$14)</f>
        <v>3047.2533333333336</v>
      </c>
      <c r="G145" s="630">
        <f t="shared" si="16"/>
        <v>3316.0912459872488</v>
      </c>
      <c r="H145" s="630"/>
      <c r="I145" s="591">
        <f t="shared" si="14"/>
        <v>7.4353514128436951E-2</v>
      </c>
      <c r="J145" s="595">
        <f t="shared" si="14"/>
        <v>8.822302685278828E-2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IF(ISNA(VLOOKUP("CAL645800000",Balance!C:G,5,FALSE))=TRUE,0,VLOOKUP("CAL645800000",Balance!C:G,5,FALSE))</f>
        <v>0</v>
      </c>
      <c r="D146" s="117">
        <f>+[2]Calais!$H146</f>
        <v>0</v>
      </c>
      <c r="E146" s="160">
        <f>IF(ISNA(VLOOKUP("CAL645800000",Balanceanp!C:G,5,FALSE))=TRUE,0,VLOOKUP("CAL645800000",Balanceanp!C:G,5,FALSE))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311">
        <f>IF(ISNA(VLOOKUP("CAL645900000",Balance!C:G,5,FALSE))=TRUE,0,VLOOKUP("CAL645900000",Balance!C:G,5,FALSE))</f>
        <v>493.1</v>
      </c>
      <c r="D147" s="592">
        <f>+[2]Calais!$H147</f>
        <v>564.51292483687507</v>
      </c>
      <c r="E147" s="311">
        <f>IF(ISNA(VLOOKUP("CAL645900000",Balanceanp!C:G,5,FALSE))=TRUE,0,VLOOKUP("CAL645900000",Balanceanp!C:G,5,FALSE))</f>
        <v>-76.86</v>
      </c>
      <c r="F147" s="625">
        <f>+C147+C147/9*(12-Clients!$I$14)</f>
        <v>657.4666666666667</v>
      </c>
      <c r="G147" s="630">
        <f>+F147*1.03</f>
        <v>677.19066666666674</v>
      </c>
      <c r="H147" s="630"/>
      <c r="I147" s="591">
        <f t="shared" ref="I147:J152" si="17">+IF((E147)=0,,(F147-E147)/E147)</f>
        <v>-9.5540810130974076</v>
      </c>
      <c r="J147" s="595">
        <f t="shared" si="17"/>
        <v>3.0000000000000068E-2</v>
      </c>
      <c r="L147" s="17">
        <f t="shared" si="15"/>
        <v>1</v>
      </c>
    </row>
    <row r="148" spans="1:12">
      <c r="A148" s="590" t="s">
        <v>161</v>
      </c>
      <c r="B148" s="591"/>
      <c r="C148" s="311">
        <f>IF(ISNA(VLOOKUP("CAL647100000",Balance!C:G,5,FALSE))=TRUE,0,VLOOKUP("CAL647100000",Balance!C:G,5,FALSE))</f>
        <v>0</v>
      </c>
      <c r="D148" s="592">
        <f>+[2]Calais!$H148</f>
        <v>40.648383500000001</v>
      </c>
      <c r="E148" s="311">
        <f>IF(ISNA(VLOOKUP("CAL647100000",Balanceanp!C:G,5,FALSE))=TRUE,0,VLOOKUP("CAL647100000",Balanceanp!C:G,5,FALSE))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311">
        <f>IF(ISNA(VLOOKUP("CAL647400000",Balance!C:G,5,FALSE))=TRUE,0,VLOOKUP("CAL647400000",Balance!C:G,5,FALSE))</f>
        <v>0</v>
      </c>
      <c r="D149" s="592">
        <f>+[2]Calais!$H149</f>
        <v>26.039790500000006</v>
      </c>
      <c r="E149" s="311">
        <f>IF(ISNA(VLOOKUP("CAL647400000",Balanceanp!C:G,5,FALSE))=TRUE,0,VLOOKUP("CAL647400000",Balanceanp!C:G,5,FALSE))</f>
        <v>0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7"/>
        <v>0</v>
      </c>
      <c r="J149" s="595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311">
        <f>IF(ISNA(VLOOKUP("CAL647500000",Balance!C:G,5,FALSE))=TRUE,0,VLOOKUP("CAL647500000",Balance!C:G,5,FALSE))</f>
        <v>266.54000000000002</v>
      </c>
      <c r="D150" s="592">
        <f>+[2]Calais!$H150</f>
        <v>304.47652397468369</v>
      </c>
      <c r="E150" s="311">
        <f>IF(ISNA(VLOOKUP("CAL647500000",Balanceanp!C:G,5,FALSE))=TRUE,0,VLOOKUP("CAL647500000",Balanceanp!C:G,5,FALSE))</f>
        <v>249.53</v>
      </c>
      <c r="F150" s="625">
        <f>+C150+C150/9*(12-Clients!$I$14)</f>
        <v>355.38666666666671</v>
      </c>
      <c r="G150" s="630">
        <f>+F150*1.03</f>
        <v>366.04826666666673</v>
      </c>
      <c r="H150" s="630"/>
      <c r="I150" s="591">
        <f t="shared" si="17"/>
        <v>0.42422420817804157</v>
      </c>
      <c r="J150" s="595">
        <f t="shared" si="17"/>
        <v>3.0000000000000054E-2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+[2]Calais!$H151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IF(ISNA(VLOOKUP("CAL648000000",Balance!C:G,5,FALSE))=TRUE,0,VLOOKUP("CAL648000000",Balance!C:G,5,FALSE))</f>
        <v>0</v>
      </c>
      <c r="D152" s="592">
        <f>+[2]Calais!$H152</f>
        <v>0</v>
      </c>
      <c r="E152" s="311">
        <f>IF(ISNA(VLOOKUP("CAL648000000",Balanceanp!C:G,5,FALSE))=TRUE,0,VLOOKUP("CAL648000000",Balanceanp!C:G,5,FALSE))</f>
        <v>1683.3379199999999</v>
      </c>
      <c r="F152" s="625">
        <f>+C152+C152/9*(12-Clients!$I$14)</f>
        <v>0</v>
      </c>
      <c r="G152" s="630">
        <f>+F152*1.03</f>
        <v>0</v>
      </c>
      <c r="H152" s="630">
        <f>SUM(G141:G152)</f>
        <v>37522.767316615369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0.10474481597585893</v>
      </c>
      <c r="C154" s="305">
        <f>SUM(C130:C153)</f>
        <v>89261.1</v>
      </c>
      <c r="D154" s="312">
        <f>SUM(D130:D153)</f>
        <v>112371.59298308997</v>
      </c>
      <c r="E154" s="305">
        <f>SUM(E130:E153)</f>
        <v>108668.42791999999</v>
      </c>
      <c r="F154" s="312">
        <f>SUM(F130:F153)</f>
        <v>119014.79999999997</v>
      </c>
      <c r="G154" s="312">
        <f>SUM(G130:G153)</f>
        <v>128832.76731661535</v>
      </c>
      <c r="H154" s="421">
        <f>+G154/$G$21</f>
        <v>0.12218550906685144</v>
      </c>
      <c r="I154" s="598">
        <f>+IF((E154)=0,,(F154-E154)/E154)</f>
        <v>9.5210469848858267E-2</v>
      </c>
      <c r="J154" s="599">
        <f>+IF((F154)=0,,(G154-F154)/F154)</f>
        <v>8.2493667313774277E-2</v>
      </c>
      <c r="K154" s="136">
        <f>(C154+(C154/3))</f>
        <v>119014.8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0.89859999999999995</v>
      </c>
      <c r="C156" s="311">
        <f>IF(ISNA(VLOOKUP("CAL681740000",Balance!C:G,5,FALSE))=TRUE,0,VLOOKUP("CAL681740000",Balance!C:G,5,FALSE))</f>
        <v>6136.36</v>
      </c>
      <c r="D156" s="592">
        <f>+[2]Calais!$H156</f>
        <v>14981.217992229998</v>
      </c>
      <c r="E156" s="311">
        <f>IF(ISNA(VLOOKUP("CAL681740000",Balanceanp!C:G,5,FALSE))=TRUE,0,VLOOKUP("CAL681740000",Balanceanp!C:G,5,FALSE))</f>
        <v>30545.33</v>
      </c>
      <c r="F156" s="625">
        <f>+C156+C156/9*(12-Clients!$I$14)</f>
        <v>8181.8133333333335</v>
      </c>
      <c r="G156" s="637">
        <f>+G21*B156*1.62%</f>
        <v>15349.281879960001</v>
      </c>
      <c r="H156" s="639"/>
      <c r="I156" s="591">
        <f t="shared" ref="I156:J166" si="18">+IF((E156)=0,,(F156-E156)/E156)</f>
        <v>-0.73214192371359776</v>
      </c>
      <c r="J156" s="595">
        <f t="shared" si="18"/>
        <v>0.87602445260219419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IF(ISNA(VLOOKUP("CAL781740000",Balance!C:G,5,FALSE))=TRUE,0,VLOOKUP("CAL781740000",Balance!C:G,5,FALSE))</f>
        <v>-211.27</v>
      </c>
      <c r="D157" s="592">
        <f>+[2]Calais!$H157</f>
        <v>0</v>
      </c>
      <c r="E157" s="311">
        <f>IF(ISNA(VLOOKUP("CAL781740000",Balanceanp!C:G,5,FALSE))=TRUE,0,VLOOKUP("CAL781740000",Balanceanp!C:G,5,FALSE))</f>
        <v>-3326.61</v>
      </c>
      <c r="F157" s="625">
        <f>+C157+C157/9*(12-Clients!$I$14)</f>
        <v>-281.69333333333333</v>
      </c>
      <c r="G157" s="630">
        <v>0</v>
      </c>
      <c r="H157" s="630"/>
      <c r="I157" s="591">
        <f t="shared" si="18"/>
        <v>-0.91532120286618113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IF(ISNA(VLOOKUP("CAL654400000",Balance!C:G,5,FALSE))=TRUE,0,VLOOKUP("CAL654400000",Balance!C:G,5,FALSE))</f>
        <v>951.29</v>
      </c>
      <c r="D158" s="592">
        <f>+[2]Calais!$H158</f>
        <v>0</v>
      </c>
      <c r="E158" s="311">
        <f>IF(ISNA(VLOOKUP("CAL654400000",Balanceanp!C:G,5,FALSE))=TRUE,0,VLOOKUP("CAL654400000",Balanceanp!C:G,5,FALSE))</f>
        <v>2352.27</v>
      </c>
      <c r="F158" s="625">
        <f>+C158+C158/9*(12-Clients!$I$14)</f>
        <v>1268.3866666666668</v>
      </c>
      <c r="G158" s="630">
        <v>0</v>
      </c>
      <c r="H158" s="630"/>
      <c r="I158" s="591">
        <f t="shared" si="18"/>
        <v>-0.46078185469071714</v>
      </c>
      <c r="J158" s="595">
        <f t="shared" si="18"/>
        <v>-1</v>
      </c>
      <c r="L158" s="17">
        <f t="shared" si="15"/>
        <v>1</v>
      </c>
    </row>
    <row r="159" spans="1:12">
      <c r="A159" s="590" t="s">
        <v>60</v>
      </c>
      <c r="B159" s="591"/>
      <c r="C159" s="311">
        <f>IF(ISNA(VLOOKUP("CAL791100000",Balance!C:G,5,FALSE))=TRUE,0,VLOOKUP("CAL791100000",Balance!C:G,5,FALSE))</f>
        <v>7392.51</v>
      </c>
      <c r="D159" s="592">
        <f>+[2]Calais!$H159</f>
        <v>0</v>
      </c>
      <c r="E159" s="311">
        <f>IF(ISNA(VLOOKUP("CAL791100000",Balanceanp!C:G,5,FALSE))=TRUE,0,VLOOKUP("CAL791100000",Balanceanp!C:G,5,FALSE))</f>
        <v>-16392.509999999998</v>
      </c>
      <c r="F159" s="625">
        <f>+C159+C159/9*(12-Clients!$I$14)</f>
        <v>9856.68</v>
      </c>
      <c r="G159" s="630">
        <v>0</v>
      </c>
      <c r="H159" s="630"/>
      <c r="I159" s="591">
        <f t="shared" si="18"/>
        <v>-1.601291687484101</v>
      </c>
      <c r="J159" s="595">
        <f t="shared" si="18"/>
        <v>-1</v>
      </c>
      <c r="L159" s="17">
        <f t="shared" si="15"/>
        <v>1</v>
      </c>
    </row>
    <row r="160" spans="1:12">
      <c r="A160" s="590" t="s">
        <v>199</v>
      </c>
      <c r="B160" s="591"/>
      <c r="C160" s="311">
        <f>IF(ISNA(VLOOKUP("CAL654100000",Balance!C:G,5,FALSE))=TRUE,0,VLOOKUP("CAL654100000",Balance!C:G,5,FALSE))</f>
        <v>-6.8000000000000007</v>
      </c>
      <c r="D160" s="592">
        <f>+[2]Calais!$H160</f>
        <v>0</v>
      </c>
      <c r="E160" s="311">
        <f>IF(ISNA(VLOOKUP("CAL654100000",Balanceanp!C:G,5,FALSE))=TRUE,0,VLOOKUP("CAL654100000",Balanceanp!C:G,5,FALSE))</f>
        <v>10.87</v>
      </c>
      <c r="F160" s="625">
        <f>+C160+C160/9*(12-Clients!$I$14)</f>
        <v>-9.0666666666666682</v>
      </c>
      <c r="G160" s="630">
        <v>0</v>
      </c>
      <c r="H160" s="630"/>
      <c r="I160" s="591">
        <f t="shared" si="18"/>
        <v>-1.8340999693345601</v>
      </c>
      <c r="J160" s="595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IF(ISNA(VLOOKUP("CAL622700000",Balance!C:G,5,FALSE))=TRUE,0,VLOOKUP("CAL622700000",Balance!C:G,5,FALSE))</f>
        <v>237.23</v>
      </c>
      <c r="D161" s="592">
        <f>+[2]Calais!$H161</f>
        <v>334.54628766576388</v>
      </c>
      <c r="E161" s="311">
        <f>IF(ISNA(VLOOKUP("CAL622700000",Balanceanp!C:G,5,FALSE))=TRUE,0,VLOOKUP("CAL622700000",Balanceanp!C:G,5,FALSE))</f>
        <v>565.44000000000005</v>
      </c>
      <c r="F161" s="625">
        <f>+C161+C161/9*(12-Clients!$I$14)</f>
        <v>316.30666666666667</v>
      </c>
      <c r="G161" s="630">
        <f t="shared" ref="G161:G166" si="19">+F161*1.03</f>
        <v>325.79586666666665</v>
      </c>
      <c r="H161" s="630"/>
      <c r="I161" s="591">
        <f t="shared" si="18"/>
        <v>-0.44060083003206946</v>
      </c>
      <c r="J161" s="595">
        <f t="shared" si="18"/>
        <v>2.9999999999999943E-2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IF(ISNA(VLOOKUP("CAL654200000",Balance!C:G,5,FALSE))=TRUE,0,VLOOKUP("CAL654200000",Balance!C:G,5,FALSE))</f>
        <v>28.72</v>
      </c>
      <c r="D162" s="592">
        <f>+[2]Calais!$H162</f>
        <v>27.388799541987847</v>
      </c>
      <c r="E162" s="311">
        <f>IF(ISNA(VLOOKUP("CAL654200000",Balanceanp!C:G,5,FALSE))=TRUE,0,VLOOKUP("CAL654200000",Balanceanp!C:G,5,FALSE))</f>
        <v>28.13</v>
      </c>
      <c r="F162" s="625">
        <f>+C162+C162/9*(12-Clients!$I$14)</f>
        <v>38.293333333333329</v>
      </c>
      <c r="G162" s="630">
        <f t="shared" si="19"/>
        <v>39.442133333333331</v>
      </c>
      <c r="H162" s="630"/>
      <c r="I162" s="591">
        <f t="shared" si="18"/>
        <v>0.36129873207726027</v>
      </c>
      <c r="J162" s="595">
        <f t="shared" si="18"/>
        <v>3.0000000000000041E-2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IF(ISNA(VLOOKUP("CAL665000000",Balance!C:G,5,FALSE))=TRUE,0,VLOOKUP("CAL665000000",Balance!C:G,5,FALSE))+IF(ISNA(VLOOKUP("CAL665100000",Balance!C:G,5,FALSE))=TRUE,0,VLOOKUP("CAL665100000",Balance!C:G,5,FALSE))</f>
        <v>25.93</v>
      </c>
      <c r="D163" s="592">
        <f>+[2]Calais!$H163</f>
        <v>165.57284925315105</v>
      </c>
      <c r="E163" s="311">
        <f>IF(ISNA(VLOOKUP("CAL665000000",Balanceanp!C:G,5,FALSE))=TRUE,0,VLOOKUP("CAL665000000",Balanceanp!C:G,5,FALSE))+IF(ISNA(VLOOKUP("CAL665100000",Balanceanp!C:G,5,FALSE))=TRUE,0,VLOOKUP("CAL665100000",Balanceanp!C:G,5,FALSE))</f>
        <v>129.84</v>
      </c>
      <c r="F163" s="625">
        <f>+C163+C163/9*(12-Clients!$I$14)</f>
        <v>34.573333333333338</v>
      </c>
      <c r="G163" s="630">
        <f t="shared" si="19"/>
        <v>35.610533333333336</v>
      </c>
      <c r="H163" s="630"/>
      <c r="I163" s="591">
        <f t="shared" si="18"/>
        <v>-0.73372355719860338</v>
      </c>
      <c r="J163" s="595">
        <f t="shared" si="18"/>
        <v>2.9999999999999954E-2</v>
      </c>
      <c r="L163" s="17">
        <f t="shared" si="15"/>
        <v>1</v>
      </c>
    </row>
    <row r="164" spans="1:12">
      <c r="A164" s="590" t="s">
        <v>271</v>
      </c>
      <c r="B164" s="591"/>
      <c r="C164" s="311">
        <f>IF(ISNA(VLOOKUP("CAL763000000",Balance!C:G,5,FALSE))=TRUE,0,VLOOKUP("CAL763000000",Balance!C:G,5,FALSE))</f>
        <v>-7.0100000000000051</v>
      </c>
      <c r="D164" s="592">
        <f>+[2]Calais!$H164</f>
        <v>-222.93407475754165</v>
      </c>
      <c r="E164" s="311">
        <f>IF(ISNA(VLOOKUP("CAL763000000",Balanceanp!C:G,5,FALSE))=TRUE,0,VLOOKUP("CAL763000000",Balanceanp!C:G,5,FALSE))</f>
        <v>-229.20000000000002</v>
      </c>
      <c r="F164" s="625">
        <f>+C164+C164/9*(12-Clients!$I$14)</f>
        <v>-9.3466666666666729</v>
      </c>
      <c r="G164" s="630">
        <f t="shared" si="19"/>
        <v>-9.6270666666666731</v>
      </c>
      <c r="H164" s="630"/>
      <c r="I164" s="591">
        <f t="shared" si="18"/>
        <v>-0.95922047702152413</v>
      </c>
      <c r="J164" s="595">
        <f t="shared" si="18"/>
        <v>3.0000000000000002E-2</v>
      </c>
      <c r="L164" s="17">
        <f t="shared" si="15"/>
        <v>1</v>
      </c>
    </row>
    <row r="165" spans="1:12">
      <c r="A165" s="590" t="s">
        <v>242</v>
      </c>
      <c r="B165" s="591"/>
      <c r="C165" s="311">
        <f>IF(ISNA(VLOOKUP("CAL627520000",Balance!C:G,5,FALSE))=TRUE,0,VLOOKUP("CAL627520000",Balance!C:G,5,FALSE))</f>
        <v>308.3</v>
      </c>
      <c r="D165" s="592">
        <f>+[2]Calais!$H165</f>
        <v>609.59424437565622</v>
      </c>
      <c r="E165" s="311">
        <f>IF(ISNA(VLOOKUP("CAL627520000",Balanceanp!C:G,5,FALSE))=TRUE,0,VLOOKUP("CAL627520000",Balanceanp!C:G,5,FALSE))</f>
        <v>625.20000000000005</v>
      </c>
      <c r="F165" s="625">
        <f>+C165+C165/9*(12-Clients!$I$14)</f>
        <v>411.06666666666672</v>
      </c>
      <c r="G165" s="630">
        <f t="shared" si="19"/>
        <v>423.39866666666671</v>
      </c>
      <c r="H165" s="630"/>
      <c r="I165" s="591">
        <f t="shared" si="18"/>
        <v>-0.34250373213904878</v>
      </c>
      <c r="J165" s="595">
        <f t="shared" si="18"/>
        <v>2.9999999999999982E-2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IF(ISNA(VLOOKUP("CAL763100000",Balance!C:G,5,FALSE))=TRUE,0,VLOOKUP("CAL763100000",Balance!C:G,5,FALSE))</f>
        <v>0</v>
      </c>
      <c r="D166" s="117">
        <f>+[2]Calais!$H166</f>
        <v>0</v>
      </c>
      <c r="E166" s="160">
        <f>IF(ISNA(VLOOKUP("CAL763100000",Balanceanp!C:G,5,FALSE))=TRUE,0,VLOOKUP("CAL763100000",Balanceanp!C:G,5,FALSE))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1.7432134210462764E-2</v>
      </c>
      <c r="C168" s="305">
        <f>SUM(C155:C167)</f>
        <v>14855.259999999998</v>
      </c>
      <c r="D168" s="312">
        <f>SUM(D155:D167)</f>
        <v>15895.386098309014</v>
      </c>
      <c r="E168" s="305">
        <f>SUM(E155:E167)</f>
        <v>14308.760000000004</v>
      </c>
      <c r="F168" s="312">
        <f>SUM(F155:F167)</f>
        <v>19807.013333333336</v>
      </c>
      <c r="G168" s="312">
        <f>SUM(G155:G167)</f>
        <v>16163.902013293335</v>
      </c>
      <c r="H168" s="421">
        <f>+G168/$G$21</f>
        <v>1.5329908975309569E-2</v>
      </c>
      <c r="I168" s="598">
        <f>+IF((E168)=0,,(F168-E168)/E168)</f>
        <v>0.38425784857201678</v>
      </c>
      <c r="J168" s="599">
        <f>+IF((F168)=0,,(G168-F168)/F168)</f>
        <v>-0.1839303714664032</v>
      </c>
      <c r="K168" s="136">
        <f>(C168+(C168/3))</f>
        <v>19807.013333333332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IF(ISNA(VLOOKUP("CAL651100000",Balance!C:G,5,FALSE))=TRUE,0,VLOOKUP("CAL651100000",Balance!C:G,5,FALSE))</f>
        <v>0</v>
      </c>
      <c r="D170" s="117">
        <f>+[2]Calais!$H170</f>
        <v>0</v>
      </c>
      <c r="E170" s="160">
        <f>IF(ISNA(VLOOKUP("CAL651100000",Balanceanp!C:G,5,FALSE))=TRUE,0,VLOOKUP("CAL651100000",Balanceanp!C:G,5,FALSE))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 hidden="1">
      <c r="A171" s="5" t="s">
        <v>168</v>
      </c>
      <c r="B171" s="92"/>
      <c r="C171" s="160">
        <f>IF(ISNA(VLOOKUP("CAL651600000",Balance!C:G,5,FALSE))=TRUE,0,VLOOKUP("CAL651600000",Balance!C:G,5,FALSE))</f>
        <v>0</v>
      </c>
      <c r="D171" s="117">
        <f>+[2]Calais!$H171</f>
        <v>0</v>
      </c>
      <c r="E171" s="160">
        <f>IF(ISNA(VLOOKUP("CAL651600000",Balanceanp!C:G,5,FALSE))=TRUE,0,VLOOKUP("CAL651600000",Balanceanp!C:G,5,FALSE))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 hidden="1">
      <c r="A172" s="5" t="s">
        <v>169</v>
      </c>
      <c r="B172" s="92"/>
      <c r="C172" s="160">
        <f>IF(ISNA(VLOOKUP("CAL671200000",Balance!C:G,5,FALSE))=TRUE,0,VLOOKUP("CAL671200000",Balance!C:G,5,FALSE))</f>
        <v>0</v>
      </c>
      <c r="D172" s="117">
        <f>+[2]Calais!$H172</f>
        <v>0</v>
      </c>
      <c r="E172" s="160">
        <f>IF(ISNA(VLOOKUP("CAL671200000",Balanceanp!C:G,5,FALSE))=TRUE,0,VLOOKUP("CAL671200000",Balanceanp!C:G,5,FALSE))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IF(ISNA(VLOOKUP("CAL671800000",Balance!C:G,5,FALSE))=TRUE,0,VLOOKUP("CAL671800000",Balance!C:G,5,FALSE))</f>
        <v>223.16</v>
      </c>
      <c r="D173" s="592">
        <f>+[2]Calais!$H173</f>
        <v>3496.0543250000001</v>
      </c>
      <c r="E173" s="311">
        <f>IF(ISNA(VLOOKUP("CAL671800000",Balanceanp!C:G,5,FALSE))=TRUE,0,VLOOKUP("CAL671800000",Balanceanp!C:G,5,FALSE))+IF(ISNA(VLOOKUP("CAL658000000",Balanceanp!C:G,5,FALSE))=TRUE,0,VLOOKUP("CAL658000000",Balanceanp!C:G,5,FALSE))</f>
        <v>2921.33</v>
      </c>
      <c r="F173" s="625">
        <f>+C173+C173/9*(12-Clients!$I$14)</f>
        <v>297.54666666666668</v>
      </c>
      <c r="G173" s="630">
        <f t="shared" si="20"/>
        <v>306.47306666666668</v>
      </c>
      <c r="H173" s="630"/>
      <c r="I173" s="591">
        <f t="shared" si="21"/>
        <v>-0.89814684863857674</v>
      </c>
      <c r="J173" s="595">
        <f t="shared" si="21"/>
        <v>3.0000000000000002E-2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IF(ISNA(VLOOKUP("CAL672000000",Balance!C:G,5,FALSE))=TRUE,0,VLOOKUP("CAL672000000",Balance!C:G,5,FALSE))</f>
        <v>0</v>
      </c>
      <c r="D174" s="117">
        <f>+[2]Calais!$H174</f>
        <v>0</v>
      </c>
      <c r="E174" s="160">
        <f>IF(ISNA(VLOOKUP("CAL672000000",Balanceanp!C:G,5,FALSE))=TRUE,0,VLOOKUP("CAL672000000",Balanceanp!C:G,5,FALSE))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IF(ISNA(VLOOKUP("CAL691100000",Balance!C:G,5,FALSE))=TRUE,0,VLOOKUP("CAL691100000",Balance!C:G,5,FALSE))</f>
        <v>0</v>
      </c>
      <c r="D175" s="117">
        <f>+[2]Calais!$H175</f>
        <v>0</v>
      </c>
      <c r="E175" s="160">
        <f>IF(ISNA(VLOOKUP("CAL691100000",Balanceanp!C:G,5,FALSE))=TRUE,0,VLOOKUP("CAL691100000",Balanceanp!C:G,5,FALSE))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IF(ISNA(VLOOKUP("CAL675100000",Balance!C:G,5,FALSE))=TRUE,0,VLOOKUP("CAL675100000",Balance!C:G,5,FALSE))</f>
        <v>0</v>
      </c>
      <c r="D176" s="117">
        <f>+[2]Calais!$H176</f>
        <v>0</v>
      </c>
      <c r="E176" s="160">
        <f>IF(ISNA(VLOOKUP("CAL675100000",Balanceanp!C:G,5,FALSE))=TRUE,0,VLOOKUP("CAL675100000",Balanceanp!C:G,5,FALSE))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IF(ISNA(VLOOKUP("CAL675200000",Balance!C:G,5,FALSE))=TRUE,0,VLOOKUP("CAL675200000",Balance!C:G,5,FALSE))</f>
        <v>0</v>
      </c>
      <c r="D177" s="117">
        <f>+[2]Calais!$H177</f>
        <v>0</v>
      </c>
      <c r="E177" s="160">
        <f>IF(ISNA(VLOOKUP("CAL675200000",Balanceanp!C:G,5,FALSE))=TRUE,0,VLOOKUP("CAL675200000",Balanceanp!C:G,5,FALSE))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IF(ISNA(VLOOKUP("CAL681110000",Balance!C:G,5,FALSE))=TRUE,0,VLOOKUP("CAL681110000",Balance!C:G,5,FALSE))</f>
        <v>0</v>
      </c>
      <c r="D178" s="117">
        <f>+[2]Calais!$H178</f>
        <v>0</v>
      </c>
      <c r="E178" s="160">
        <f>IF(ISNA(VLOOKUP("CAL681110000",Balanceanp!C:G,5,FALSE))=TRUE,0,VLOOKUP("CAL681110000",Balanceanp!C:G,5,FALSE))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IF(ISNA(VLOOKUP("CAL681120000",Balance!C:G,5,FALSE))=TRUE,0,VLOOKUP("CAL681120000",Balance!C:G,5,FALSE))</f>
        <v>2774.97</v>
      </c>
      <c r="D179" s="592">
        <f>+[2]Calais!$H179</f>
        <v>3700</v>
      </c>
      <c r="E179" s="311">
        <f>IF(ISNA(VLOOKUP("CAL681120000",Balanceanp!C:G,5,FALSE))=TRUE,0,VLOOKUP("CAL681120000",Balanceanp!C:G,5,FALSE))</f>
        <v>4586.2299999999996</v>
      </c>
      <c r="F179" s="620">
        <v>2613.4299999999998</v>
      </c>
      <c r="G179" s="637">
        <f>2159.38+500+G255/10</f>
        <v>3059.38</v>
      </c>
      <c r="H179" s="632"/>
      <c r="I179" s="591">
        <f t="shared" si="21"/>
        <v>-0.4301572315387584</v>
      </c>
      <c r="J179" s="595">
        <f t="shared" si="21"/>
        <v>0.17063782079489417</v>
      </c>
      <c r="L179" s="17">
        <f t="shared" si="15"/>
        <v>1</v>
      </c>
    </row>
    <row r="180" spans="1:12">
      <c r="A180" s="590" t="s">
        <v>78</v>
      </c>
      <c r="B180" s="591"/>
      <c r="C180" s="311">
        <f>IF(ISNA(VLOOKUP("CAL687250000",Balance!C:G,5,FALSE))=TRUE,0,+VLOOKUP("CAL687250000",Balance!C:G,5,FALSE))</f>
        <v>0</v>
      </c>
      <c r="D180" s="592">
        <f>+[2]Calais!$H180</f>
        <v>0</v>
      </c>
      <c r="E180" s="311">
        <f>IF(ISNA(VLOOKUP("CAL687250000",Balanceanp!C:G,5,FALSE))=TRUE,0,+VLOOKUP("CAL687250000",Balanceanp!C:G,5,FALSE))</f>
        <v>224.31</v>
      </c>
      <c r="F180" s="625">
        <f>+C180+C180/9*(12-Clients!$I$14)</f>
        <v>0</v>
      </c>
      <c r="G180" s="630">
        <f t="shared" si="20"/>
        <v>0</v>
      </c>
      <c r="H180" s="630"/>
      <c r="I180" s="591">
        <f t="shared" si="21"/>
        <v>-1</v>
      </c>
      <c r="J180" s="595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IF(ISNA(VLOOKUP("CAL661880000",Balance!C:G,5,FALSE))=TRUE,0,+VLOOKUP("CAL661880000",Balance!C:G,5,FALSE))</f>
        <v>0</v>
      </c>
      <c r="D181" s="117">
        <f>+[2]Calais!$H181</f>
        <v>0</v>
      </c>
      <c r="E181" s="160">
        <f>IF(ISNA(VLOOKUP("CAL661880000",Balanceanp!C:G,5,FALSE))=TRUE,0,+VLOOKUP("CAL661880000",Balanceanp!C:G,5,FALSE))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+[2]Calais!$H182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 hidden="1">
      <c r="A183" s="5" t="s">
        <v>331</v>
      </c>
      <c r="B183" s="92"/>
      <c r="C183" s="160">
        <f>IF(ISNA(VLOOKUP("CAL681500000",Balance!C:G,5,FALSE))=TRUE,0,VLOOKUP("CAL681500000",Balance!C:G,5,FALSE))</f>
        <v>0</v>
      </c>
      <c r="D183" s="117">
        <f>+[2]Calais!$H183</f>
        <v>0</v>
      </c>
      <c r="E183" s="160">
        <f>IF(ISNA(VLOOKUP("CAL681500000",Balanceanp!C:G,5,FALSE))=TRUE,0,VLOOKUP("CAL681500000",Balanceanp!C:G,5,FALSE))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2998.1299999999997</v>
      </c>
      <c r="D185" s="312">
        <f>SUM(D169:D184)</f>
        <v>7196.0543250000001</v>
      </c>
      <c r="E185" s="312">
        <f>SUM(E169:E184)</f>
        <v>7731.87</v>
      </c>
      <c r="F185" s="312">
        <f>SUM(F169:F184)</f>
        <v>2910.9766666666665</v>
      </c>
      <c r="G185" s="312">
        <f>SUM(G169:G184)</f>
        <v>3365.8530666666666</v>
      </c>
      <c r="H185" s="421"/>
      <c r="I185" s="598">
        <f>+IF((E185)=0,,(F185-E185)/E185)</f>
        <v>-0.623509362331924</v>
      </c>
      <c r="J185" s="599">
        <f>+IF((F185)=0,,(G185-F185)/F185)</f>
        <v>0.15626246861019158</v>
      </c>
      <c r="K185" s="136">
        <f>(C185+(C185/3))</f>
        <v>3997.5066666666662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590" t="s">
        <v>179</v>
      </c>
      <c r="B187" s="591"/>
      <c r="C187" s="311">
        <f>IF(ISNA(VLOOKUP("CAL740000000",Balance!C:G,5,FALSE))=TRUE,0,-VLOOKUP("CAL740000000",Balance!C:G,5,FALSE))</f>
        <v>0</v>
      </c>
      <c r="D187" s="592">
        <f>+[2]Calais!$H187</f>
        <v>0</v>
      </c>
      <c r="E187" s="311">
        <f>IF(ISNA(VLOOKUP("CAL740000000",Balanceanp!C:G,5,FALSE))=TRUE,0,-VLOOKUP("CAL740000000",Balanceanp!C:G,5,FALSE))</f>
        <v>1500</v>
      </c>
      <c r="F187" s="625">
        <f>+C187+C187/9*(12-Clients!$I$14)</f>
        <v>0</v>
      </c>
      <c r="G187" s="625">
        <v>0</v>
      </c>
      <c r="H187" s="625"/>
      <c r="I187" s="591">
        <f t="shared" ref="I187:J199" si="22">+IF((E187)=0,,(F187-E187)/E187)</f>
        <v>-1</v>
      </c>
      <c r="J187" s="595">
        <f t="shared" si="22"/>
        <v>0</v>
      </c>
      <c r="L187" s="17">
        <f t="shared" si="15"/>
        <v>1</v>
      </c>
    </row>
    <row r="188" spans="1:12" hidden="1">
      <c r="A188" s="5" t="s">
        <v>167</v>
      </c>
      <c r="B188" s="92"/>
      <c r="C188" s="160">
        <f>IF(ISNA(VLOOKUP("CAL751100000",Balance!C:G,5,FALSE))=TRUE,0,-VLOOKUP("CAL751100000",Balance!C:G,5,FALSE))</f>
        <v>0</v>
      </c>
      <c r="D188" s="117">
        <f>+[2]Calais!$H188</f>
        <v>0</v>
      </c>
      <c r="E188" s="160">
        <f>IF(ISNA(VLOOKUP("CAL751100000",Balanceanp!C:G,5,FALSE))=TRUE,0,-VLOOKUP("CAL751100000",Balanceanp!C:G,5,FALSE))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IF(ISNA(VLOOKUP("CAL758100000",Balance!C:G,5,FALSE))=TRUE,0,-VLOOKUP("CAL758100000",Balance!C:G,5,FALSE))</f>
        <v>0</v>
      </c>
      <c r="D189" s="117">
        <f>+[2]Calais!$H189</f>
        <v>0</v>
      </c>
      <c r="E189" s="160">
        <f>IF(ISNA(VLOOKUP("CAL758100000",Balanceanp!C:G,5,FALSE))=TRUE,0,-VLOOKUP("CAL758100000",Balanceanp!C:G,5,FALSE))</f>
        <v>5031.7299999999996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IF(ISNA(VLOOKUP("CAL763800000",Balance!C:G,5,FALSE))=TRUE,0,-VLOOKUP("CAL763800000",Balance!C:G,5,FALSE))</f>
        <v>0</v>
      </c>
      <c r="D190" s="117">
        <f>+[2]Calais!$H190</f>
        <v>0</v>
      </c>
      <c r="E190" s="160">
        <f>IF(ISNA(VLOOKUP("CAL763800000",Balanceanp!C:G,5,FALSE))=TRUE,0,-VLOOKUP("CAL763800000",Balanceanp!C:G,5,FALSE))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IF(ISNA(VLOOKUP("CAL765000000",Balance!C:G,5,FALSE))=TRUE,0,-VLOOKUP("CAL765000000",Balance!C:G,5,FALSE))</f>
        <v>0</v>
      </c>
      <c r="D191" s="117">
        <f>+[2]Calais!$H191</f>
        <v>0</v>
      </c>
      <c r="E191" s="160">
        <f>IF(ISNA(VLOOKUP("CAL765000000",Balanceanp!C:G,5,FALSE))=TRUE,0,-VLOOKUP("CAL765000000",Balanceanp!C:G,5,FALSE))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IF(ISNA(VLOOKUP("CAL771400000",Balance!C:G,5,FALSE))=TRUE,0,-VLOOKUP("CAL771400000",Balance!C:G,5,FALSE))</f>
        <v>0</v>
      </c>
      <c r="D192" s="117">
        <f>+[2]Calais!$H192</f>
        <v>0</v>
      </c>
      <c r="E192" s="160">
        <f>IF(ISNA(VLOOKUP("CAL771400000",Balanceanp!C:G,5,FALSE))=TRUE,0,-VLOOKUP("CAL771400000",Balanceanp!C:G,5,FALSE))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IF(ISNA(VLOOKUP("CAL771800000",Balance!C:G,5,FALSE))=TRUE,0,-VLOOKUP("CAL771800000",Balance!C:G,5,FALSE))</f>
        <v>79.069999999999993</v>
      </c>
      <c r="D193" s="117">
        <f>+[2]Calais!$H193</f>
        <v>0</v>
      </c>
      <c r="E193" s="160">
        <f>IF(ISNA(VLOOKUP("CAL771800000",Balanceanp!C:G,5,FALSE))=TRUE,0,-VLOOKUP("CAL771800000",Balanceanp!C:G,5,FALSE))</f>
        <v>1921.51</v>
      </c>
      <c r="F193" s="368">
        <f>+C193+C193/9*(12-Clients!$I$14)</f>
        <v>105.42666666666665</v>
      </c>
      <c r="G193" s="368">
        <v>0</v>
      </c>
      <c r="H193" s="410"/>
      <c r="I193" s="149">
        <f t="shared" si="22"/>
        <v>-0.94513342805050882</v>
      </c>
      <c r="J193" s="271">
        <f t="shared" si="22"/>
        <v>-1</v>
      </c>
      <c r="L193" s="17">
        <v>0</v>
      </c>
    </row>
    <row r="194" spans="1:12" hidden="1">
      <c r="A194" s="5" t="s">
        <v>185</v>
      </c>
      <c r="B194" s="92"/>
      <c r="C194" s="160">
        <f>IF(ISNA(VLOOKUP("CAL758000000",Balance!C:G,5,FALSE))=TRUE,0,-VLOOKUP("CAL758000000",Balance!C:G,5,FALSE))</f>
        <v>0</v>
      </c>
      <c r="D194" s="117">
        <f>+[2]Calais!$H194</f>
        <v>0</v>
      </c>
      <c r="E194" s="160">
        <f>IF(ISNA(VLOOKUP("CAL758000000",Balanceanp!C:G,5,FALSE))=TRUE,0,-VLOOKUP("CAL758000000",Balanceanp!C:G,5,FALSE))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IF(ISNA(VLOOKUP("CAL775100000",Balance!C:G,5,FALSE))=TRUE,0,-VLOOKUP("CAL775100000",Balance!C:G,5,FALSE))</f>
        <v>0</v>
      </c>
      <c r="D195" s="117">
        <f>+[2]Calais!$H195</f>
        <v>0</v>
      </c>
      <c r="E195" s="160">
        <f>IF(ISNA(VLOOKUP("CAL775100000",Balanceanp!C:G,5,FALSE))=TRUE,0,-VLOOKUP("CAL775100000",Balanceanp!C:G,5,FALSE))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IF(ISNA(VLOOKUP("CAL775200000",Balance!C:G,5,FALSE))=TRUE,0,-VLOOKUP("CAL775200000",Balance!C:G,5,FALSE))</f>
        <v>0</v>
      </c>
      <c r="D196" s="117">
        <f>+[2]Calais!$H196</f>
        <v>0</v>
      </c>
      <c r="E196" s="160">
        <f>IF(ISNA(VLOOKUP("CAL775200000",Balanceanp!C:G,5,FALSE))=TRUE,0,-VLOOKUP("CAL775200000",Balanceanp!C:G,5,FALSE))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IF(ISNA(VLOOKUP("CAL791000000",Balance!C:G,5,FALSE))=TRUE,0,-VLOOKUP("CAL791000000",Balance!C:G,5,FALSE))+IF(ISNA(VLOOKUP("CAL791600000",Balance!C:G,5,FALSE))=TRUE,0,-VLOOKUP("CAL791600000",Balance!C:G,5,FALSE))</f>
        <v>0</v>
      </c>
      <c r="D197" s="117">
        <f>+[2]Calais!$H197</f>
        <v>0</v>
      </c>
      <c r="E197" s="160">
        <f>IF(ISNA(VLOOKUP("CAL791000000",Balanceanp!C:G,5,FALSE))=TRUE,0,-VLOOKUP("CAL791000000",Balanceanp!C:G,5,FALSE))++IF(ISNA(VLOOKUP("CAL791600000",Balanceanp!C:G,5,FALSE))=TRUE,0,-VLOOKUP("CAL791600000",Balanceanp!C:G,5,FALSE))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IF(ISNA(VLOOKUP("CAL781500000",Balance!C:G,5,FALSE))=TRUE,0,-VLOOKUP("CAL781500000",Balance!C:G,5,FALSE))</f>
        <v>0</v>
      </c>
      <c r="D198" s="117">
        <f>+[2]Calais!$H198</f>
        <v>0</v>
      </c>
      <c r="E198" s="160">
        <f>IF(ISNA(VLOOKUP("CAL781500000",Balanceanp!C:G,5,FALSE))=TRUE,0,-VLOOKUP("CAL781500000",Balanceanp!C:G,5,FALSE))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IF(ISNA(VLOOKUP("CAL787250000",Balance!C:G,5,FALSE))=TRUE,0,-VLOOKUP("CAL787250000",Balance!C:G,5,FALSE))</f>
        <v>0</v>
      </c>
      <c r="D199" s="117">
        <f>+[2]Calais!$H199</f>
        <v>0</v>
      </c>
      <c r="E199" s="160">
        <f>IF(ISNA(VLOOKUP("CAL787250000",Balanceanp!C:G,5,FALSE))=TRUE,0,-VLOOKUP("CAL787250000",Balanceanp!C:G,5,FALSE))</f>
        <v>1406.11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79.069999999999993</v>
      </c>
      <c r="D201" s="312">
        <f>SUM(D186:D200)</f>
        <v>0</v>
      </c>
      <c r="E201" s="305">
        <f>SUM(E186:E200)</f>
        <v>9859.35</v>
      </c>
      <c r="F201" s="312">
        <f>SUM(F186:F200)</f>
        <v>105.42666666666665</v>
      </c>
      <c r="G201" s="312">
        <f>SUM(G186:G200)</f>
        <v>0</v>
      </c>
      <c r="H201" s="421"/>
      <c r="I201" s="598">
        <f>+IF((E201)=0,,(F201-E201)/E201)</f>
        <v>-0.98930693537944525</v>
      </c>
      <c r="J201" s="599">
        <f>+IF((F201)=0,,(G201-F201)/F201)</f>
        <v>-1</v>
      </c>
      <c r="K201" s="136">
        <f>(C201+(C201/3))</f>
        <v>105.42666666666666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0.23731283783629969</v>
      </c>
      <c r="C203" s="313">
        <f>+C103+C116+C129+C154+C168+C185-C201</f>
        <v>202232.49000000002</v>
      </c>
      <c r="D203" s="641">
        <f>+D103+D116+D129+D154+D168+D185-D201</f>
        <v>267173.68945323781</v>
      </c>
      <c r="E203" s="313">
        <f>+E103+E116+E129+E154+E168+E185-E201</f>
        <v>238261.53792</v>
      </c>
      <c r="F203" s="641">
        <f>+F103+F116+F129+F154+F168+F185-F201</f>
        <v>262566.04666666663</v>
      </c>
      <c r="G203" s="641">
        <f>+G103+G116+G129+G154+G168+G185-G201</f>
        <v>253064.07387132596</v>
      </c>
      <c r="H203" s="422">
        <f>+G203/$G$21</f>
        <v>0.24000697444082192</v>
      </c>
      <c r="I203" s="643">
        <f>+IF((E203)=0,,(F203-E203)/E203)</f>
        <v>0.10200768852095315</v>
      </c>
      <c r="J203" s="644">
        <f>+IF((F203)=0,,(G203-F203)/F203)</f>
        <v>-3.6188886247747153E-2</v>
      </c>
      <c r="K203" s="145">
        <f>+K103+K116+K129+K154+K168+K185-K201</f>
        <v>269643.31999999995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8.9664629092569226E-2</v>
      </c>
      <c r="C205" s="314">
        <f>+C62-C203</f>
        <v>76410.114899999957</v>
      </c>
      <c r="D205" s="645">
        <f>+D62-D203</f>
        <v>72640.310546762194</v>
      </c>
      <c r="E205" s="314">
        <f>+E53-E203</f>
        <v>61245.423379999964</v>
      </c>
      <c r="F205" s="645">
        <f>+F62-F203</f>
        <v>97631.280315591255</v>
      </c>
      <c r="G205" s="645">
        <f>+G62-G203</f>
        <v>94250.006539029622</v>
      </c>
      <c r="H205" s="406">
        <f>+G205/$G$21</f>
        <v>8.9387081162543749E-2</v>
      </c>
      <c r="I205" s="647">
        <f>+IF((E205)=0,,(F205-E205)/E205)</f>
        <v>0.5940991983977908</v>
      </c>
      <c r="J205" s="648">
        <f>+IF((F205)=0,,(G205-F205)/F205)</f>
        <v>-3.4633098794072247E-2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2.6475297214142613E-3</v>
      </c>
      <c r="C207" s="650">
        <f>+[2]Calais!$C207</f>
        <v>2256.1633529491019</v>
      </c>
      <c r="D207" s="315">
        <f>+[2]Calais!$H207</f>
        <v>6205.5535083117702</v>
      </c>
      <c r="E207" s="315">
        <f>+[1]Calais!$G$207</f>
        <v>2565.5077277746491</v>
      </c>
      <c r="F207" s="315">
        <f>+Repart!K36</f>
        <v>2949.8574993215116</v>
      </c>
      <c r="G207" s="315">
        <f>+Repart!Q36</f>
        <v>3991.1290675964406</v>
      </c>
      <c r="H207" s="423">
        <f>+G207/$G$21</f>
        <v>3.785202685876691E-3</v>
      </c>
      <c r="I207" s="643">
        <f>+IF((E207)=0,,(F207-E207)/E207)</f>
        <v>0.14981431058882519</v>
      </c>
      <c r="J207" s="644">
        <f>+IF((F207)=0,,(G207-F207)/F207)</f>
        <v>0.35299046429003061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8.7017099371154955E-2</v>
      </c>
      <c r="C209" s="314">
        <f>+C205-C207</f>
        <v>74153.951547050849</v>
      </c>
      <c r="D209" s="645">
        <f>+D205-D207</f>
        <v>66434.757038450422</v>
      </c>
      <c r="E209" s="314">
        <f>+E205-E207</f>
        <v>58679.915652225318</v>
      </c>
      <c r="F209" s="645">
        <f>+F205-F207</f>
        <v>94681.42281626974</v>
      </c>
      <c r="G209" s="645">
        <f>+G205-G207</f>
        <v>90258.877471433181</v>
      </c>
      <c r="H209" s="406">
        <f>+G209/$G$21</f>
        <v>8.5601878476667059E-2</v>
      </c>
      <c r="I209" s="647">
        <f>+IF((E209)=0,,(F209-E209)/E209)</f>
        <v>0.61352349886479662</v>
      </c>
      <c r="J209" s="648">
        <f>+IF((F209)=0,,(G209-F209)/F209)</f>
        <v>-4.6709747417067793E-2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7.668669896585119E-3</v>
      </c>
      <c r="C211" s="311">
        <f>+[2]Calais!$C211</f>
        <v>6535.0624193548392</v>
      </c>
      <c r="D211" s="592">
        <f>+[2]Calais!$H211</f>
        <v>9026.0372215405096</v>
      </c>
      <c r="E211" s="311">
        <f>+[1]Calais!$G211</f>
        <v>8095.0860719999991</v>
      </c>
      <c r="F211" s="625">
        <f>+Repart!I36</f>
        <v>8997.9607634408567</v>
      </c>
      <c r="G211" s="625">
        <f>+Repart!O36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3.8838230731265799E-2</v>
      </c>
      <c r="C212" s="311">
        <f>+[2]Calais!$C212</f>
        <v>33097.03840546713</v>
      </c>
      <c r="D212" s="592">
        <f>+[2]Calais!$H212</f>
        <v>39306.355751777766</v>
      </c>
      <c r="E212" s="311">
        <f>+[1]Calais!$G212</f>
        <v>39374.104363497994</v>
      </c>
      <c r="F212" s="625">
        <f>+Repart!J36</f>
        <v>44733.067714041172</v>
      </c>
      <c r="G212" s="625">
        <f>+Repart!P36</f>
        <v>43001.391802282567</v>
      </c>
      <c r="H212" s="625"/>
      <c r="I212" s="591">
        <f t="shared" si="24"/>
        <v>0.13610375238176178</v>
      </c>
      <c r="J212" s="595">
        <f t="shared" si="24"/>
        <v>-3.8711315817382498E-2</v>
      </c>
      <c r="L212" s="17">
        <f t="shared" si="23"/>
        <v>1</v>
      </c>
    </row>
    <row r="213" spans="1:12">
      <c r="A213" s="590" t="s">
        <v>193</v>
      </c>
      <c r="B213" s="591"/>
      <c r="C213" s="311">
        <f>+[2]Calais!$C213</f>
        <v>-10918.32</v>
      </c>
      <c r="D213" s="592">
        <f>+[2]Calais!$H213</f>
        <v>-10199.08</v>
      </c>
      <c r="E213" s="311">
        <f>+[1]Calais!$G213</f>
        <v>-11768.76</v>
      </c>
      <c r="F213" s="625">
        <f>+C213+C213/9*(12-Clients!$I$14)</f>
        <v>-14557.759999999998</v>
      </c>
      <c r="G213" s="625">
        <f>+G253*-4%</f>
        <v>-12886.913466000004</v>
      </c>
      <c r="H213" s="625"/>
      <c r="I213" s="591">
        <f t="shared" si="24"/>
        <v>0.23698333554257187</v>
      </c>
      <c r="J213" s="595">
        <f t="shared" si="24"/>
        <v>-0.11477360074626831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3.3694629446277539E-2</v>
      </c>
      <c r="C215" s="316">
        <f>SUM(C210:C213)</f>
        <v>28713.780824821974</v>
      </c>
      <c r="D215" s="652">
        <f>SUM(D210:D213)</f>
        <v>38133.312973318272</v>
      </c>
      <c r="E215" s="316">
        <f>SUM(E210:E213)</f>
        <v>35700.43043549799</v>
      </c>
      <c r="F215" s="652">
        <f>SUM(F210:F213)</f>
        <v>39173.268477482037</v>
      </c>
      <c r="G215" s="652">
        <f>SUM(G210:G213)</f>
        <v>39759.16301559304</v>
      </c>
      <c r="H215" s="424">
        <f>+G215/$G$21</f>
        <v>3.7707748380451343E-2</v>
      </c>
      <c r="I215" s="643">
        <f>+IF((E215)=0,,(F215-E215)/E215)</f>
        <v>9.7277203653289901E-2</v>
      </c>
      <c r="J215" s="644">
        <f>+IF((F215)=0,,(G215-F215)/F215)</f>
        <v>1.495648846477521E-2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5.3322469924877415E-2</v>
      </c>
      <c r="C217" s="314">
        <f>+C209-C215</f>
        <v>45440.170722228875</v>
      </c>
      <c r="D217" s="645">
        <f>+D209-D215</f>
        <v>28301.444065132149</v>
      </c>
      <c r="E217" s="314">
        <f>+E209-E215</f>
        <v>22979.485216727327</v>
      </c>
      <c r="F217" s="645">
        <f>+F209-F215</f>
        <v>55508.154338787703</v>
      </c>
      <c r="G217" s="645">
        <f>+G209-G215</f>
        <v>50499.714455840141</v>
      </c>
      <c r="H217" s="406">
        <f>+G217/$G$21</f>
        <v>4.7894130096215716E-2</v>
      </c>
      <c r="I217" s="647">
        <f>+IF((E217)=0,,(F217-E217)/E217)</f>
        <v>1.4155525598276659</v>
      </c>
      <c r="J217" s="648">
        <f>+IF((F217)=0,,(G217-F217)/F217)</f>
        <v>-9.0228903169417563E-2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45440.170722228744</v>
      </c>
      <c r="D218" s="117">
        <f>+[2]Calais!$H$217</f>
        <v>28301.444065132149</v>
      </c>
      <c r="E218" s="17">
        <f>+[1]Calais!$G$217</f>
        <v>22979.485216727327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53.495775985918996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+B220/(C21*1.196)*Clients!K35</f>
        <v>89.058903677105945</v>
      </c>
      <c r="L220" s="17">
        <v>0</v>
      </c>
    </row>
    <row r="221" spans="1:12" hidden="1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942232.0572839235</v>
      </c>
      <c r="D222" s="655">
        <f>+(D215+D207+D203)/D60</f>
        <v>944506.02559220418</v>
      </c>
      <c r="E222" s="655">
        <f>+(E215+E207+E203)/E60/Clients!$I$13*12</f>
        <v>1342605.2513620462</v>
      </c>
      <c r="F222" s="655">
        <f>+(F215+F207+F203)/F60</f>
        <v>923300.52316203073</v>
      </c>
      <c r="G222" s="655">
        <f>+(G215+G207+G203)/G60</f>
        <v>892215.33063169767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78519.338106993629</v>
      </c>
      <c r="D223" s="655">
        <f>+(D215+D207+D203)/D60/12</f>
        <v>78708.835466017015</v>
      </c>
      <c r="E223" s="655">
        <f>+(E215+E207+E203)/E60/Clients!$I$13</f>
        <v>111883.77094683719</v>
      </c>
      <c r="F223" s="655">
        <f>+(F215+F207+F203)/F60/9</f>
        <v>102588.94701800341</v>
      </c>
      <c r="G223" s="655">
        <f>+(G215+G207+G203)/G60/12</f>
        <v>74351.277552641477</v>
      </c>
      <c r="H223" s="655"/>
      <c r="I223" s="655"/>
      <c r="J223" s="655"/>
      <c r="L223" s="17">
        <f t="shared" si="23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839652.29999999993</v>
      </c>
      <c r="D225" s="17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838346.66</v>
      </c>
      <c r="D226" s="17"/>
      <c r="L226" s="17">
        <v>0</v>
      </c>
    </row>
    <row r="227" spans="1:12" ht="10.5" hidden="1" customHeight="1"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CALAIS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844371.52999999991</v>
      </c>
      <c r="D233" s="313">
        <f t="shared" si="25"/>
        <v>1030316</v>
      </c>
      <c r="E233" s="313">
        <f t="shared" si="25"/>
        <v>1090632</v>
      </c>
      <c r="F233" s="313">
        <f t="shared" si="25"/>
        <v>1091507.0514613874</v>
      </c>
      <c r="G233" s="313">
        <f t="shared" si="25"/>
        <v>1044016</v>
      </c>
      <c r="H233" s="313"/>
      <c r="I233" s="643">
        <f>+I51</f>
        <v>8.0233429918379951E-4</v>
      </c>
      <c r="J233" s="643">
        <f t="shared" si="25"/>
        <v>-4.3509614892366495E-2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0.33</v>
      </c>
      <c r="D235" s="15">
        <f>+D60</f>
        <v>0.32981531879539872</v>
      </c>
      <c r="E235" s="15">
        <f>+E60</f>
        <v>0.27461780077973136</v>
      </c>
      <c r="F235" s="15">
        <f>+F60</f>
        <v>0.33</v>
      </c>
      <c r="G235" s="15">
        <f>+G60</f>
        <v>0.33267122382258085</v>
      </c>
      <c r="H235" s="15"/>
      <c r="I235" s="15"/>
      <c r="J235" s="1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278642.60489999998</v>
      </c>
      <c r="D236" s="309">
        <f>+D62</f>
        <v>339814</v>
      </c>
      <c r="E236" s="309">
        <f>+E62</f>
        <v>299506.96129999997</v>
      </c>
      <c r="F236" s="309">
        <f>+F62</f>
        <v>360197.32698225789</v>
      </c>
      <c r="G236" s="309">
        <f>+G62</f>
        <v>347314.08041035559</v>
      </c>
      <c r="H236" s="309"/>
      <c r="I236" s="647">
        <f>+IF((E236)=0,,(F236-E236)/E236)</f>
        <v>0.20263424068286565</v>
      </c>
      <c r="J236" s="648">
        <f>+IF((F236)=0,,(G236-F236)/F236)</f>
        <v>-3.576719094458157E-2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53903.520000000004</v>
      </c>
      <c r="D238" s="664">
        <f>+D103</f>
        <v>74205.79130933882</v>
      </c>
      <c r="E238" s="664">
        <f>+E103</f>
        <v>75672.100000000006</v>
      </c>
      <c r="F238" s="664">
        <f>+F103</f>
        <v>71831.679999999993</v>
      </c>
      <c r="G238" s="664">
        <f>+G103</f>
        <v>70846.927274750618</v>
      </c>
      <c r="H238" s="664"/>
      <c r="I238" s="666">
        <f t="shared" ref="I238:J243" si="26">+IF((E238)=0,,(F238-E238)/E238)</f>
        <v>-5.0750805118399155E-2</v>
      </c>
      <c r="J238" s="666">
        <f t="shared" si="26"/>
        <v>-1.370917017741162E-2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34907.56</v>
      </c>
      <c r="D239" s="664">
        <f>+D116</f>
        <v>49150.250800000009</v>
      </c>
      <c r="E239" s="664">
        <f>+E116</f>
        <v>33785.72</v>
      </c>
      <c r="F239" s="664">
        <f>+F116</f>
        <v>42913.07</v>
      </c>
      <c r="G239" s="664">
        <f>+G116</f>
        <v>27422.171599999998</v>
      </c>
      <c r="H239" s="664"/>
      <c r="I239" s="666">
        <f t="shared" si="26"/>
        <v>0.27015407692954296</v>
      </c>
      <c r="J239" s="666">
        <f t="shared" si="26"/>
        <v>-0.36098322492424806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6385.99</v>
      </c>
      <c r="D240" s="664">
        <f>+D129</f>
        <v>8354.6139375000002</v>
      </c>
      <c r="E240" s="664">
        <f>+E129</f>
        <v>7954.01</v>
      </c>
      <c r="F240" s="664">
        <f>+F129</f>
        <v>6193.9333333333325</v>
      </c>
      <c r="G240" s="664">
        <f>+G129</f>
        <v>6432.4526000000005</v>
      </c>
      <c r="H240" s="664"/>
      <c r="I240" s="666">
        <f t="shared" si="26"/>
        <v>-0.22128167637036761</v>
      </c>
      <c r="J240" s="666">
        <f t="shared" si="26"/>
        <v>3.8508529851790686E-2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89261.1</v>
      </c>
      <c r="D241" s="664">
        <f>+D154</f>
        <v>112371.59298308997</v>
      </c>
      <c r="E241" s="664">
        <f>+E154</f>
        <v>108668.42791999999</v>
      </c>
      <c r="F241" s="664">
        <f>+F154</f>
        <v>119014.79999999997</v>
      </c>
      <c r="G241" s="664">
        <f>+G154</f>
        <v>128832.76731661535</v>
      </c>
      <c r="H241" s="664"/>
      <c r="I241" s="666">
        <f t="shared" si="26"/>
        <v>9.5210469848858267E-2</v>
      </c>
      <c r="J241" s="666">
        <f t="shared" si="26"/>
        <v>8.2493667313774277E-2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14855.259999999998</v>
      </c>
      <c r="D242" s="664">
        <f>+D168</f>
        <v>15895.386098309014</v>
      </c>
      <c r="E242" s="664">
        <f>+E168</f>
        <v>14308.760000000004</v>
      </c>
      <c r="F242" s="664">
        <f>+F168</f>
        <v>19807.013333333336</v>
      </c>
      <c r="G242" s="664">
        <f>+G168</f>
        <v>16163.902013293335</v>
      </c>
      <c r="H242" s="664"/>
      <c r="I242" s="666">
        <f t="shared" si="26"/>
        <v>0.38425784857201678</v>
      </c>
      <c r="J242" s="666">
        <f t="shared" si="26"/>
        <v>-0.1839303714664032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2919.0599999999995</v>
      </c>
      <c r="D243" s="664">
        <f>+D185-D201</f>
        <v>7196.0543250000001</v>
      </c>
      <c r="E243" s="664">
        <f>+E185-E201</f>
        <v>-2127.4800000000005</v>
      </c>
      <c r="F243" s="664">
        <f>+F185-F201</f>
        <v>2805.5499999999997</v>
      </c>
      <c r="G243" s="664">
        <f>+G185-G201</f>
        <v>3365.8530666666666</v>
      </c>
      <c r="H243" s="664"/>
      <c r="I243" s="666">
        <f t="shared" si="26"/>
        <v>-2.3187197999511158</v>
      </c>
      <c r="J243" s="666">
        <f t="shared" si="26"/>
        <v>0.1997123796284746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202232.49000000002</v>
      </c>
      <c r="D245" s="389">
        <f>+D203</f>
        <v>267173.68945323781</v>
      </c>
      <c r="E245" s="389">
        <f>+E203</f>
        <v>238261.53792</v>
      </c>
      <c r="F245" s="389">
        <f>+F203</f>
        <v>262566.04666666663</v>
      </c>
      <c r="G245" s="389">
        <f>+G203</f>
        <v>253064.07387132596</v>
      </c>
      <c r="H245" s="389"/>
      <c r="I245" s="643">
        <f>+I63</f>
        <v>0</v>
      </c>
      <c r="J245" s="643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76410.114899999957</v>
      </c>
      <c r="D247" s="314">
        <f>+D205</f>
        <v>72640.310546762194</v>
      </c>
      <c r="E247" s="314">
        <f>+E205</f>
        <v>61245.423379999964</v>
      </c>
      <c r="F247" s="314">
        <f>+F205</f>
        <v>97631.280315591255</v>
      </c>
      <c r="G247" s="314">
        <f>+G205</f>
        <v>94250.006539029622</v>
      </c>
      <c r="H247" s="314"/>
      <c r="I247" s="647">
        <f>+IF((E247)=0,,(F247-E247)/E247)</f>
        <v>0.5940991983977908</v>
      </c>
      <c r="J247" s="648">
        <f>+IF((F247)=0,,(G247-F247)/F247)</f>
        <v>-3.4633098794072247E-2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30969.944177771074</v>
      </c>
      <c r="D249" s="316">
        <f>+D207+D215</f>
        <v>44338.866481630044</v>
      </c>
      <c r="E249" s="316">
        <f>+E207+E215</f>
        <v>38265.938163272636</v>
      </c>
      <c r="F249" s="316">
        <f>+F207+F215</f>
        <v>42123.125976803552</v>
      </c>
      <c r="G249" s="316">
        <f>+G207+G215</f>
        <v>43750.292083189481</v>
      </c>
      <c r="H249" s="316"/>
      <c r="I249" s="643">
        <f>+I67</f>
        <v>-0.46511018566183848</v>
      </c>
      <c r="J249" s="643">
        <f>+J67</f>
        <v>3.0000000000000072E-2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45440.170722228875</v>
      </c>
      <c r="D251" s="314">
        <f>+D217</f>
        <v>28301.444065132149</v>
      </c>
      <c r="E251" s="314">
        <f>+E217</f>
        <v>22979.485216727327</v>
      </c>
      <c r="F251" s="314">
        <f>+F217</f>
        <v>55508.154338787703</v>
      </c>
      <c r="G251" s="314">
        <f>+G217</f>
        <v>50499.714455840141</v>
      </c>
      <c r="H251" s="314"/>
      <c r="I251" s="647">
        <f>+IF((E251)=0,,(F251-E251)/E251)</f>
        <v>1.4155525598276659</v>
      </c>
      <c r="J251" s="648">
        <f>+IF((F251)=0,,(G251-F251)/F251)</f>
        <v>-9.0228903169417563E-2</v>
      </c>
      <c r="L251" s="17">
        <f t="shared" si="23"/>
        <v>1</v>
      </c>
    </row>
    <row r="252" spans="1:12" hidden="1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280581.15999999997</v>
      </c>
      <c r="D253" s="664">
        <v>286253</v>
      </c>
      <c r="E253" s="664">
        <f>+E28</f>
        <v>287066.45</v>
      </c>
      <c r="F253" s="664"/>
      <c r="G253" s="669">
        <f>+G28</f>
        <v>322172.83665000007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942232.0572839235</v>
      </c>
      <c r="D254" s="664">
        <f>+D222</f>
        <v>944506.02559220418</v>
      </c>
      <c r="E254" s="664">
        <f>+E222</f>
        <v>1342605.2513620462</v>
      </c>
      <c r="F254" s="664">
        <f>+F222</f>
        <v>923300.52316203073</v>
      </c>
      <c r="G254" s="664">
        <f>+G222</f>
        <v>892215.33063169767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2500</v>
      </c>
      <c r="E255" s="664"/>
      <c r="F255" s="664"/>
      <c r="G255" s="669">
        <v>4000</v>
      </c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6" right="0" top="0.27" bottom="0.31" header="0.03" footer="7.0000000000000007E-2"/>
  <pageSetup paperSize="9" scale="71" fitToHeight="2" orientation="landscape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 filterMode="1" enableFormatConditionsCalculation="0">
    <tabColor indexed="47"/>
    <pageSetUpPr fitToPage="1"/>
  </sheetPr>
  <dimension ref="A1:L256"/>
  <sheetViews>
    <sheetView workbookViewId="0">
      <pane xSplit="2" ySplit="7" topLeftCell="C113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7109375" style="24" bestFit="1" customWidth="1"/>
    <col min="3" max="3" width="13.7109375" style="435" customWidth="1"/>
    <col min="4" max="4" width="10.85546875" style="30" customWidth="1"/>
    <col min="5" max="5" width="11" style="30" customWidth="1"/>
    <col min="6" max="7" width="13.7109375" style="581" customWidth="1"/>
    <col min="8" max="8" width="8.42578125" style="581" customWidth="1"/>
    <col min="9" max="9" width="9.5703125" style="801" customWidth="1"/>
    <col min="10" max="10" width="9.140625" style="801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802" t="s">
        <v>299</v>
      </c>
    </row>
    <row r="2" spans="1:12" hidden="1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209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57">
        <f>D217</f>
        <v>-19786.748774925582</v>
      </c>
      <c r="E5" s="157">
        <f>E217</f>
        <v>-39608.700542346356</v>
      </c>
      <c r="F5" s="157">
        <f>F217</f>
        <v>-64026.305001952722</v>
      </c>
      <c r="G5" s="215">
        <f>G217</f>
        <v>-16339.975396222271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807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805">
        <f>-IF(ISNA(VLOOKUP("COM707130000",Balance!C:G,5,FALSE))=TRUE,0,VLOOKUP("COM707130000",Balance!C:G,5,FALSE))</f>
        <v>530554.28999999992</v>
      </c>
      <c r="D8" s="619">
        <f>+[2]Compiègne!$H8</f>
        <v>807391</v>
      </c>
      <c r="E8" s="805">
        <f>-IF(ISNA(VLOOKUP("COM707130000",Balanceanp!C:G,5,FALSE))=TRUE,0,VLOOKUP("COM707130000",Balanceanp!C:G,5,FALSE))</f>
        <v>674644.32</v>
      </c>
      <c r="F8" s="593">
        <f>+CA!G71</f>
        <v>706107.5736540152</v>
      </c>
      <c r="G8" s="1012">
        <v>810810</v>
      </c>
      <c r="H8" s="1012"/>
      <c r="I8" s="1013">
        <f>+IF((E8)=0,,(F8-E8)/E8)</f>
        <v>4.6636802121175873E-2</v>
      </c>
      <c r="J8" s="1014">
        <f>+IF((F8)=0,,(G8-F8)/F8)</f>
        <v>0.14828112635042748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-IF(ISNA(VLOOKUP("COM707131000",Balance!C:G,5,FALSE))=TRUE,0,VLOOKUP("COM707131000",Balance!C:G,5,FALSE))</f>
        <v>0</v>
      </c>
      <c r="D9" s="117">
        <f>+[2]Compiègne!$H9</f>
        <v>0</v>
      </c>
      <c r="E9" s="160">
        <f>-IF(ISNA(VLOOKUP("COM707131000",Balanceanp!C:G,5,FALSE))=TRUE,0,VLOOKUP("COM707131000",Balanceanp!C:G,5,FALSE))</f>
        <v>54033.54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-IF(ISNA(VLOOKUP("COM707300000",Balance!C:G,5,FALSE))=TRUE,0,VLOOKUP("COM707300000",Balance!C:G,5,FALSE))</f>
        <v>0</v>
      </c>
      <c r="D10" s="117">
        <f>+[2]Compiègne!$H10</f>
        <v>0</v>
      </c>
      <c r="E10" s="160">
        <f>-IF(ISNA(VLOOKUP("COM707300000",Balanceanp!C:G,5,FALSE))=TRUE,0,VLOOKUP("COM707300000",Balanceanp!C:G,5,FALSE))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-IF(ISNA(VLOOKUP("COM707110000",Balance!C:G,5,FALSE))=TRUE,0,VLOOKUP("COM707110000",Balance!C:G,5,FALSE))</f>
        <v>0</v>
      </c>
      <c r="D11" s="117">
        <f>+[2]Compiègne!$H11</f>
        <v>0</v>
      </c>
      <c r="E11" s="160">
        <f>-IF(ISNA(VLOOKUP("COM707110000",Balanceanp!C:G,5,FALSE))=TRUE,0,VLOOKUP("COM707110000",Balanceanp!C:G,5,FALSE))</f>
        <v>177.78999999999996</v>
      </c>
      <c r="F11" s="368">
        <f t="shared" si="3"/>
        <v>0</v>
      </c>
      <c r="G11" s="395">
        <v>0</v>
      </c>
      <c r="H11" s="401"/>
      <c r="I11" s="149">
        <f t="shared" si="2"/>
        <v>-1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-IF(ISNA(VLOOKUP("COM707120000",Balance!C:G,5,FALSE))=TRUE,0,VLOOKUP("COM707120000",Balance!C:G,5,FALSE))</f>
        <v>0</v>
      </c>
      <c r="D12" s="117">
        <f>+[2]Compiègne!$H12</f>
        <v>0</v>
      </c>
      <c r="E12" s="160">
        <f>-IF(ISNA(VLOOKUP("COM707120000",Balanceanp!C:G,5,FALSE))=TRUE,0,VLOOKUP("COM707120000",Balanceanp!C:G,5,FALSE))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-IF(ISNA(VLOOKUP("COM707230000",Balance!C:G,5,FALSE))=TRUE,0,VLOOKUP("COM707230000",Balance!C:G,5,FALSE))</f>
        <v>0</v>
      </c>
      <c r="D13" s="117">
        <f>+[2]Compiègne!$H13</f>
        <v>0</v>
      </c>
      <c r="E13" s="160">
        <f>-IF(ISNA(VLOOKUP("COM707230000",Balanceanp!C:G,5,FALSE))=TRUE,0,VLOOKUP("COM707230000",Balanceanp!C:G,5,FALSE))</f>
        <v>4856.49</v>
      </c>
      <c r="F13" s="368">
        <f t="shared" si="3"/>
        <v>0</v>
      </c>
      <c r="G13" s="395">
        <v>0</v>
      </c>
      <c r="H13" s="401"/>
      <c r="I13" s="149">
        <f t="shared" si="2"/>
        <v>-1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-IF(ISNA(VLOOKUP("COM708820000",Balance!C:G,5,FALSE))=TRUE,0,VLOOKUP("COM708820000",Balance!C:G,5,FALSE))</f>
        <v>527</v>
      </c>
      <c r="D14" s="117">
        <f>+[2]Compiègne!$H14</f>
        <v>0</v>
      </c>
      <c r="E14" s="160">
        <f>-IF(ISNA(VLOOKUP("COM708820000",Balanceanp!C:G,5,FALSE))=TRUE,0,VLOOKUP("COM708820000",Balanceanp!C:G,5,FALSE))</f>
        <v>0</v>
      </c>
      <c r="F14" s="368">
        <f t="shared" si="3"/>
        <v>527</v>
      </c>
      <c r="G14" s="395">
        <f t="shared" si="1"/>
        <v>542.81000000000006</v>
      </c>
      <c r="H14" s="401"/>
      <c r="I14" s="149">
        <f t="shared" si="2"/>
        <v>0</v>
      </c>
      <c r="J14" s="271">
        <f t="shared" si="2"/>
        <v>3.0000000000000113E-2</v>
      </c>
      <c r="L14" s="17">
        <v>0</v>
      </c>
    </row>
    <row r="15" spans="1:12" hidden="1">
      <c r="A15" s="5" t="s">
        <v>270</v>
      </c>
      <c r="B15" s="92"/>
      <c r="C15" s="160">
        <f>-IF(ISNA(VLOOKUP("COM708500000",Balance!C:G,5,FALSE))=TRUE,0,VLOOKUP("COM708500000",Balance!C:G,5,FALSE))</f>
        <v>837</v>
      </c>
      <c r="D15" s="117">
        <f>+[2]Compiègne!$H15</f>
        <v>0</v>
      </c>
      <c r="E15" s="160">
        <f>-IF(ISNA(VLOOKUP("COM708500000",Balanceanp!C:G,5,FALSE))=TRUE,0,VLOOKUP("COM708500000",Balanceanp!C:G,5,FALSE))</f>
        <v>1215</v>
      </c>
      <c r="F15" s="368">
        <f t="shared" si="3"/>
        <v>837</v>
      </c>
      <c r="G15" s="395">
        <v>0</v>
      </c>
      <c r="H15" s="401"/>
      <c r="I15" s="149">
        <f t="shared" si="2"/>
        <v>-0.31111111111111112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IF(ISNA(VLOOKUP("COM706000000",Balance!C:G,5,FALSE))=TRUE,0,-VLOOKUP("COM706000000",Balance!C:G,5,FALSE))+IF(ISNA(VLOOKUP("COM706010000",Balance!C:G,5,FALSE))=TRUE,0,-VLOOKUP("COM706010000",Balance!C:G,5,FALSE))</f>
        <v>0</v>
      </c>
      <c r="D16" s="117">
        <f>+[2]Compiègne!$H16</f>
        <v>0</v>
      </c>
      <c r="E16" s="160">
        <f>IF(ISNA(VLOOKUP("COM706000000",Balanceanp!C:G,5,FALSE))=TRUE,0,-VLOOKUP("COM706000000",Balanceanp!C:G,5,FALSE))+IF(ISNA(VLOOKUP("COM706010000",Balanceanp!C:G,5,FALSE))=TRUE,0,-VLOOKUP("COM706010000",Balanceanp!C:G,5,FALSE))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IF(ISNA(VLOOKUP("COM707500000",Balance!C:G,5,FALSE))=TRUE,0,-VLOOKUP("COM707500000",Balance!C:G,5,FALSE))</f>
        <v>0</v>
      </c>
      <c r="D17" s="117">
        <f>+[2]Compiègne!$H17</f>
        <v>0</v>
      </c>
      <c r="E17" s="160">
        <f>IF(ISNA(VLOOKUP("COM707500000",Balanceanp!C:G,5,FALSE))=TRUE,0,-VLOOKUP("COM707500000",Balanceanp!C:G,5,FALSE))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IF(ISNA(VLOOKUP("COM707510000",Balance!C:G,5,FALSE))=TRUE,0,-VLOOKUP("COM707510000",Balance!C:G,5,FALSE))</f>
        <v>0</v>
      </c>
      <c r="D18" s="117">
        <f>+[2]Compiègne!$H18</f>
        <v>0</v>
      </c>
      <c r="E18" s="160">
        <f>IF(ISNA(VLOOKUP("COM707510000",Balanceanp!C:G,5,FALSE))=TRUE,0,-VLOOKUP("COM707510000",Balanceanp!C:G,5,FALSE))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IF(ISNA(VLOOKUP("COM708300000",Balance!C:G,5,FALSE))=TRUE,0,-VLOOKUP("COM708300000",Balance!C:G,5,FALSE))</f>
        <v>0</v>
      </c>
      <c r="D19" s="117">
        <f>+[2]Compiègne!$H19</f>
        <v>0</v>
      </c>
      <c r="E19" s="160">
        <f>IF(ISNA(VLOOKUP("COM708300000",Balanceanp!C:G,5,FALSE))=TRUE,0,-VLOOKUP("COM708300000",Balanceanp!C:G,5,FALSE))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803">
        <f>SUM(C7:C20)</f>
        <v>531918.28999999992</v>
      </c>
      <c r="D21" s="597">
        <f>SUM(D7:D20)</f>
        <v>807391</v>
      </c>
      <c r="E21" s="803">
        <f>SUM(E7:E20)</f>
        <v>734927.14</v>
      </c>
      <c r="F21" s="597">
        <f>SUM(F7:F20)</f>
        <v>707471.5736540152</v>
      </c>
      <c r="G21" s="597">
        <f>SUM(G7:G20)</f>
        <v>811352.81</v>
      </c>
      <c r="H21" s="597"/>
      <c r="I21" s="596">
        <f>+IF((E21)=0,,(F21-E21)/E21)</f>
        <v>-3.7358215327283756E-2</v>
      </c>
      <c r="J21" s="1015">
        <f>+IF((F21)=0,,(G21-F21)/F21)</f>
        <v>0.14683450221109148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IF(ISNA(VLOOKUP("COM602650000",Balance!C:G,5,FALSE))=TRUE,0,VLOOKUP("COM602650000",Balance!C:G,5,FALSE))</f>
        <v>0</v>
      </c>
      <c r="D23" s="115"/>
      <c r="E23" s="160">
        <f>IF(ISNA(VLOOKUP("COM602650000",Balanceanp!C:G,5,FALSE))=TRUE,0,VLOOKUP("COM602650000",Balanceanp!C:G,5,FALSE))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805">
        <f>IF(ISNA(VLOOKUP("com607100000",Balance!C:G,5,FALSE))=TRUE,0,VLOOKUP("com607100000",Balance!C:G,5,FALSE))</f>
        <v>161491.42000000001</v>
      </c>
      <c r="D24" s="601"/>
      <c r="E24" s="805">
        <f>IF(ISNA(VLOOKUP("com607100000",Balanceanp!C:G,5,FALSE))=TRUE,0,VLOOKUP("com607100000",Balanceanp!C:G,5,FALSE))</f>
        <v>266471.64999999997</v>
      </c>
      <c r="F24" s="601"/>
      <c r="G24" s="1016">
        <f>H24*G30</f>
        <v>342796.56222500006</v>
      </c>
      <c r="H24" s="1017">
        <f>1-H28</f>
        <v>0.65</v>
      </c>
      <c r="I24" s="1013"/>
      <c r="J24" s="1014"/>
      <c r="L24" s="17">
        <f t="shared" si="0"/>
        <v>1</v>
      </c>
    </row>
    <row r="25" spans="1:12" hidden="1">
      <c r="A25" s="5" t="s">
        <v>94</v>
      </c>
      <c r="B25" s="92"/>
      <c r="C25" s="160">
        <f>IF(ISNA(VLOOKUP("com607110000",Balance!C:G,5,FALSE))=TRUE,0,VLOOKUP("com607110000",Balance!C:G,5,FALSE))+IF(ISNA(VLOOKUP("com607120000",Balance!C:G,5,FALSE))=TRUE,0,VLOOKUP("com607120000",Balance!C:G,5,FALSE))</f>
        <v>27740.27</v>
      </c>
      <c r="D25" s="115"/>
      <c r="E25" s="160">
        <f>IF(ISNA(VLOOKUP("com607110000",Balanceanp!C:G,5,FALSE))=TRUE,0,VLOOKUP("com607110000",Balanceanp!C:G,5,FALSE))+IF(ISNA(VLOOKUP("com607120000",Balanceanp!C:G,5,FALSE))=TRUE,0,VLOOKUP("com607120000",Balanceanp!C:G,5,FALSE))</f>
        <v>79178.179999999993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IF(ISNA(VLOOKUP("com607130000",Balance!C:G,5,FALSE))=TRUE,0,VLOOKUP("com607130000",Balance!C:G,5,FALSE))</f>
        <v>54016.7</v>
      </c>
      <c r="D26" s="115"/>
      <c r="E26" s="160">
        <f>IF(ISNA(VLOOKUP("com607130000",Balanceanp!C:G,5,FALSE))=TRUE,0,VLOOKUP("com607130000",Balanceanp!C:G,5,FALSE))</f>
        <v>41541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IF(ISNA(VLOOKUP("com607140000",Balance!C:G,5,FALSE))=TRUE,0,VLOOKUP("com607140000",Balance!C:G,5,FALSE))</f>
        <v>-43885.81</v>
      </c>
      <c r="D27" s="115"/>
      <c r="E27" s="160">
        <f>IF(ISNA(VLOOKUP("com607140000",Balanceanp!C:G,5,FALSE))=TRUE,0,VLOOKUP("com607140000",Balanceanp!C:G,5,FALSE))</f>
        <v>-82537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805">
        <f>IF(ISNA(VLOOKUP("COM607200000",Balance!C:G,5,FALSE))=TRUE,0,VLOOKUP("COM607200000",Balance!C:G,5,FALSE))</f>
        <v>146363.79</v>
      </c>
      <c r="D28" s="1018">
        <f>C28/C30</f>
        <v>0.42335153665021275</v>
      </c>
      <c r="E28" s="805">
        <f>IF(ISNA(VLOOKUP("COM607200000",Balanceanp!C:G,5,FALSE))=TRUE,0,VLOOKUP("COM607200000",Balanceanp!C:G,5,FALSE))</f>
        <v>174445.2</v>
      </c>
      <c r="F28" s="1018">
        <f>E28/E30</f>
        <v>0.36411094382720838</v>
      </c>
      <c r="G28" s="1016">
        <f>H28*G30</f>
        <v>184582.76427500002</v>
      </c>
      <c r="H28" s="1019">
        <v>0.35</v>
      </c>
      <c r="I28" s="1013"/>
      <c r="J28" s="1014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IF(ISNA(VLOOKUP("COM607150000",Balance!C:G,5,FALSE))=TRUE,0,VLOOKUP("COM607150000",Balance!C:G,5,FALSE))</f>
        <v>0</v>
      </c>
      <c r="D29" s="115"/>
      <c r="E29" s="357">
        <f>IF(ISNA(VLOOKUP("COM607150000",Balanceanp!C:G,5,FALSE))=TRUE,0,VLOOKUP("COM607150000",Balanceanp!C:G,5,FALSE))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804">
        <f>SUM(C23:C29)</f>
        <v>345726.37</v>
      </c>
      <c r="D30" s="1020"/>
      <c r="E30" s="804">
        <f>SUM(E23:E29)</f>
        <v>479099.02999999997</v>
      </c>
      <c r="F30" s="607">
        <f>1-(E30/E21)</f>
        <v>0.34809996267112964</v>
      </c>
      <c r="G30" s="1020">
        <f>G21*(1-H30)</f>
        <v>527379.32650000008</v>
      </c>
      <c r="H30" s="812">
        <v>0.35</v>
      </c>
      <c r="I30" s="606"/>
      <c r="J30" s="1021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1022">
        <f>+C21-C30-C38</f>
        <v>162386.97999999992</v>
      </c>
      <c r="D32" s="611"/>
      <c r="E32" s="1022">
        <f>+E21-E30-E38</f>
        <v>242788.13800000004</v>
      </c>
      <c r="F32" s="611"/>
      <c r="G32" s="611"/>
      <c r="H32" s="611"/>
      <c r="I32" s="606"/>
      <c r="J32" s="812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1023">
        <f>+C32/C21</f>
        <v>0.30528557309055859</v>
      </c>
      <c r="D33" s="611"/>
      <c r="E33" s="1023">
        <f>+E32/E21</f>
        <v>0.33035674529586706</v>
      </c>
      <c r="F33" s="611"/>
      <c r="G33" s="611"/>
      <c r="H33" s="611"/>
      <c r="I33" s="606"/>
      <c r="J33" s="812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805">
        <f>IF(ISNA(VLOOKUP("COM607400000",Balance!C:G,5,FALSE))=TRUE,0,VLOOKUP("COM607400000",Balance!C:G,5,FALSE))</f>
        <v>5759.1</v>
      </c>
      <c r="D35" s="601"/>
      <c r="E35" s="805">
        <f>IF(ISNA(VLOOKUP("COM607400000",Balanceanp!C:G,5,FALSE))=TRUE,0,VLOOKUP("COM607400000",Balanceanp!C:G,5,FALSE))</f>
        <v>6573.3</v>
      </c>
      <c r="F35" s="612">
        <f>E35/E30</f>
        <v>1.3720127966028235E-2</v>
      </c>
      <c r="G35" s="1024">
        <f>F35*G30</f>
        <v>7235.7118462177868</v>
      </c>
      <c r="H35" s="601"/>
      <c r="I35" s="1013" t="str">
        <f t="shared" si="4"/>
        <v/>
      </c>
      <c r="J35" s="1014"/>
      <c r="L35" s="17">
        <f t="shared" si="0"/>
        <v>1</v>
      </c>
    </row>
    <row r="36" spans="1:12">
      <c r="A36" s="590" t="s">
        <v>97</v>
      </c>
      <c r="B36" s="591"/>
      <c r="C36" s="805">
        <f>IF(ISNA(VLOOKUP("COM608000000",Balance!C:G,5,FALSE))=TRUE,0,VLOOKUP("COM608000000",Balance!C:G,5,FALSE))</f>
        <v>3884.86</v>
      </c>
      <c r="D36" s="601"/>
      <c r="E36" s="805">
        <f>IF(ISNA(VLOOKUP("COM608000000",Balanceanp!C:G,5,FALSE))=TRUE,0,VLOOKUP("COM608000000",Balanceanp!C:G,5,FALSE))</f>
        <v>1576.28</v>
      </c>
      <c r="F36" s="612">
        <f>E36/E30</f>
        <v>3.2900922383416221E-3</v>
      </c>
      <c r="G36" s="1024">
        <f>F36*G30</f>
        <v>1735.1266287794824</v>
      </c>
      <c r="H36" s="601"/>
      <c r="I36" s="1013" t="str">
        <f t="shared" si="4"/>
        <v/>
      </c>
      <c r="J36" s="1014"/>
      <c r="L36" s="17">
        <f t="shared" si="0"/>
        <v>1</v>
      </c>
    </row>
    <row r="37" spans="1:12" hidden="1">
      <c r="A37" s="5" t="s">
        <v>98</v>
      </c>
      <c r="B37" s="92"/>
      <c r="C37" s="160">
        <f>IF(ISNA(VLOOKUP("COM608100000",Balance!C:G,5,FALSE))=TRUE,0,VLOOKUP("COM608100000",Balance!C:G,5,FALSE))</f>
        <v>0</v>
      </c>
      <c r="D37" s="115"/>
      <c r="E37" s="160">
        <f>IF(ISNA(VLOOKUP("COM608100000",Balanceanp!C:G,5,FALSE))=TRUE,0,VLOOKUP("COM608100000",Balanceanp!C:G,5,FALSE))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23804.940000000002</v>
      </c>
      <c r="D38" s="115"/>
      <c r="E38" s="160">
        <f>+E56-E57</f>
        <v>13039.972000000009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IF(ISNA(VLOOKUP("COM681730000",Balance!C:G,5,FALSE))=TRUE,0,VLOOKUP("COM681730000",Balance!C:G,5,FALSE))</f>
        <v>0</v>
      </c>
      <c r="D39" s="115"/>
      <c r="E39" s="160">
        <f>IF(ISNA(VLOOKUP("COM681730000",Balanceanp!C:G,5,FALSE))=TRUE,0,VLOOKUP("COM681730000",Balanceanp!C:G,5,FALSE))</f>
        <v>7367.03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IF(ISNA(VLOOKUP("COM781730000",Balance!C:G,5,FALSE))=TRUE,0,VLOOKUP("COM781730000",Balance!C:G,5,FALSE))</f>
        <v>-3953.31</v>
      </c>
      <c r="D40" s="115"/>
      <c r="E40" s="160">
        <f>IF(ISNA(VLOOKUP("COM781730000",Balanceanp!C:G,5,FALSE))=TRUE,0,VLOOKUP("COM781730000",Balanceanp!C:G,5,FALSE))</f>
        <v>-6156.19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805">
        <f>IF(ISNA(VLOOKUP("com609110000",Balance!C:G,5,FALSE))=TRUE,0,VLOOKUP("com609110000",Balance!C:G,5,FALSE))</f>
        <v>145.79</v>
      </c>
      <c r="D41" s="601"/>
      <c r="E41" s="805">
        <f>IF(ISNA(VLOOKUP("com609110000",Balanceanp!C:G,5,FALSE))=TRUE,0,VLOOKUP("com609110000",Balanceanp!C:G,5,FALSE))</f>
        <v>-5782.83</v>
      </c>
      <c r="F41" s="614">
        <f>E41/SUM(E24:E25)</f>
        <v>-1.6730313450465172E-2</v>
      </c>
      <c r="G41" s="1025">
        <f>H41*(G24)</f>
        <v>-6855.9312445000014</v>
      </c>
      <c r="H41" s="1026">
        <v>-0.02</v>
      </c>
      <c r="I41" s="1013" t="str">
        <f t="shared" si="4"/>
        <v/>
      </c>
      <c r="J41" s="1014"/>
      <c r="L41" s="17">
        <f t="shared" si="0"/>
        <v>1</v>
      </c>
    </row>
    <row r="42" spans="1:12">
      <c r="A42" s="590" t="s">
        <v>318</v>
      </c>
      <c r="B42" s="591"/>
      <c r="C42" s="805">
        <f>IF(ISNA(VLOOKUP("com609120000",Balance!C:G,5,FALSE))=TRUE,0,VLOOKUP("com609120000",Balance!C:G,5,FALSE))</f>
        <v>-9002.2099999999991</v>
      </c>
      <c r="D42" s="601"/>
      <c r="E42" s="805">
        <f>IF(ISNA(VLOOKUP("com609120000",Balanceanp!C:G,5,FALSE))=TRUE,0,VLOOKUP("com609120000",Balanceanp!C:G,5,FALSE))</f>
        <v>-11880.26</v>
      </c>
      <c r="F42" s="614">
        <f>E42/E28</f>
        <v>-6.8103106305017272E-2</v>
      </c>
      <c r="G42" s="1025">
        <f>H42*G28</f>
        <v>-12920.793499250003</v>
      </c>
      <c r="H42" s="1026">
        <v>-7.0000000000000007E-2</v>
      </c>
      <c r="I42" s="1013" t="str">
        <f t="shared" si="4"/>
        <v/>
      </c>
      <c r="J42" s="1014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803">
        <f>+C30+SUM(C34:C43)</f>
        <v>366365.54</v>
      </c>
      <c r="D44" s="617"/>
      <c r="E44" s="803">
        <f>+E30+SUM(E34:E43)</f>
        <v>483836.33199999999</v>
      </c>
      <c r="F44" s="617"/>
      <c r="G44" s="1027">
        <f>SUM(G35:G43)+G30</f>
        <v>516573.44023124734</v>
      </c>
      <c r="H44" s="617"/>
      <c r="I44" s="596"/>
      <c r="J44" s="1015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165552.74999999994</v>
      </c>
      <c r="D46" s="120"/>
      <c r="E46" s="166">
        <f>+E21-E44</f>
        <v>251090.80800000002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0.31123718268834105</v>
      </c>
      <c r="D47" s="120"/>
      <c r="E47" s="196">
        <f>+E46/E21</f>
        <v>0.3416540148456077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2.5371377998677207E-2</v>
      </c>
      <c r="C49" s="805">
        <f>IF(ISNA(VLOOKUP("COM709700000",Balance!C:G,5,FALSE))=TRUE,0,VLOOKUP("COM709700000",Balance!C:G,5,FALSE))</f>
        <v>13495.5</v>
      </c>
      <c r="D49" s="619">
        <f>+[2]Compiègne!$H49</f>
        <v>17994</v>
      </c>
      <c r="E49" s="805">
        <f>IF(ISNA(VLOOKUP("COM709700000",Balanceanp!C:G,5,FALSE))=TRUE,0,VLOOKUP("COM709700000",Balanceanp!C:G,5,FALSE))</f>
        <v>6691.43</v>
      </c>
      <c r="F49" s="619">
        <f>+C49+C49/9*(12-Clients!$I$14)</f>
        <v>17994</v>
      </c>
      <c r="G49" s="631">
        <v>10670</v>
      </c>
      <c r="H49" s="612">
        <f>G49/G21</f>
        <v>1.3150875757736021E-2</v>
      </c>
      <c r="I49" s="1013">
        <f>+IF((E49)=0,,(F49-E49)/E49)</f>
        <v>1.6891112960906711</v>
      </c>
      <c r="J49" s="1014">
        <f>+IF((F49)=0,,(G49-F49)/F49)</f>
        <v>-0.40702456374347007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803">
        <f>+C21-C49</f>
        <v>518422.78999999992</v>
      </c>
      <c r="D51" s="597">
        <f>+D21-D49</f>
        <v>789397</v>
      </c>
      <c r="E51" s="803">
        <f>+E21-E49</f>
        <v>728235.71</v>
      </c>
      <c r="F51" s="597">
        <f>+F21-F49</f>
        <v>689477.5736540152</v>
      </c>
      <c r="G51" s="597">
        <f>+G21-G49</f>
        <v>800682.81</v>
      </c>
      <c r="H51" s="597"/>
      <c r="I51" s="596">
        <f>+IF((E51)=0,,(F51-E51)/E51)</f>
        <v>-5.3221966203751206E-2</v>
      </c>
      <c r="J51" s="1015">
        <f>+IF((F51)=0,,(G51-F51)/F51)</f>
        <v>0.16128912758776465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152057.24999999994</v>
      </c>
      <c r="D53" s="122"/>
      <c r="E53" s="169">
        <f>+E51-E44</f>
        <v>244399.37799999997</v>
      </c>
      <c r="F53" s="140"/>
      <c r="G53" s="140"/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0.2933074180631603</v>
      </c>
      <c r="D54" s="123"/>
      <c r="E54" s="197">
        <f>+E53/E51</f>
        <v>0.33560477005446487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+[2]Compiègne!$C56</f>
        <v>94611.94</v>
      </c>
      <c r="D56" s="115"/>
      <c r="E56" s="160">
        <f>+[1]Compiègne!$G56</f>
        <v>104930.36380000001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+[2]Compiègne!$C57</f>
        <v>70807</v>
      </c>
      <c r="D57" s="115"/>
      <c r="E57" s="160">
        <f>+[1]Compiègne!$G57</f>
        <v>91890.391799999998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660">
        <f>+[2]Compiègne!$C60</f>
        <v>0.33800000000000002</v>
      </c>
      <c r="D60" s="622">
        <f>+[2]Compiègne!$H60</f>
        <v>0.34296684684639034</v>
      </c>
      <c r="E60" s="660">
        <f>+[1]Compiègne!$G$54</f>
        <v>0.33560477005446487</v>
      </c>
      <c r="F60" s="622">
        <f>+C60</f>
        <v>0.33800000000000002</v>
      </c>
      <c r="G60" s="622">
        <f>G62/G51</f>
        <v>0.35483385707850118</v>
      </c>
      <c r="H60" s="622"/>
      <c r="I60" s="660"/>
      <c r="J60" s="622"/>
      <c r="L60" s="17">
        <f t="shared" si="0"/>
        <v>1</v>
      </c>
    </row>
    <row r="61" spans="1:12" hidden="1">
      <c r="A61" s="5" t="s">
        <v>65</v>
      </c>
      <c r="B61" s="92"/>
      <c r="C61" s="92">
        <f>+[2]Compiègne!$C61</f>
        <v>0.316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661">
        <f>+C51*C60</f>
        <v>175226.90302</v>
      </c>
      <c r="D62" s="624">
        <f>D51*D60</f>
        <v>270737</v>
      </c>
      <c r="E62" s="661">
        <f>+E51*E60</f>
        <v>244399.37799999997</v>
      </c>
      <c r="F62" s="624">
        <f>+F51*F60</f>
        <v>233043.41989505716</v>
      </c>
      <c r="G62" s="624">
        <f>G51-G44</f>
        <v>284109.36976875272</v>
      </c>
      <c r="H62" s="624"/>
      <c r="I62" s="660">
        <f>+IF((E62)=0,,(F62-E62)/E62)</f>
        <v>-4.6464758617114035E-2</v>
      </c>
      <c r="J62" s="622">
        <f>+IF((F62)=0,,(G62-F62)/F62)</f>
        <v>0.21912633232335543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805">
        <f>IF(ISNA(VLOOKUP("COM613520000",Balance!C:G,5,FALSE))=TRUE,0,VLOOKUP("COM613520000",Balance!C:G,5,FALSE))</f>
        <v>3619.95</v>
      </c>
      <c r="D64" s="619">
        <f>+[2]Compiègne!$H64</f>
        <v>4881.9270500000002</v>
      </c>
      <c r="E64" s="805">
        <f>IF(ISNA(VLOOKUP("COM613520000",Balanceanp!C:G,5,FALSE))=TRUE,0,VLOOKUP("COM613520000",Balanceanp!C:G,5,FALSE))</f>
        <v>5692.44</v>
      </c>
      <c r="F64" s="593">
        <f>+C64+C64/9*(12-Clients!$I$14)</f>
        <v>4826.5999999999995</v>
      </c>
      <c r="G64" s="1012">
        <f>+F64*1.03</f>
        <v>4971.3979999999992</v>
      </c>
      <c r="H64" s="1012"/>
      <c r="I64" s="1013">
        <f t="shared" ref="I64:J68" si="5">+IF((E64)=0,,(F64-E64)/E64)</f>
        <v>-0.15210349164857254</v>
      </c>
      <c r="J64" s="1014">
        <f t="shared" si="5"/>
        <v>2.9999999999999957E-2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+[2]Compiègne!$H65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805">
        <f>IF(ISNA(VLOOKUP("COM616120000",Balance!C:G,5,FALSE))=TRUE,0,VLOOKUP("COM616120000",Balance!C:G,5,FALSE))</f>
        <v>471.06</v>
      </c>
      <c r="D66" s="619">
        <f>+[2]Compiègne!$H66</f>
        <v>539.66077500000006</v>
      </c>
      <c r="E66" s="805">
        <f>IF(ISNA(VLOOKUP("COM616120000",Balanceanp!C:G,5,FALSE))=TRUE,0,VLOOKUP("COM616120000",Balanceanp!C:G,5,FALSE))</f>
        <v>1219.82</v>
      </c>
      <c r="F66" s="593">
        <f>+C66+C66/9*(12-Clients!$I$14)</f>
        <v>628.08000000000004</v>
      </c>
      <c r="G66" s="1012">
        <f>+F66*1.03</f>
        <v>646.92240000000004</v>
      </c>
      <c r="H66" s="1012"/>
      <c r="I66" s="1013">
        <f t="shared" si="5"/>
        <v>-0.48510435965962184</v>
      </c>
      <c r="J66" s="1014">
        <f t="shared" si="5"/>
        <v>2.9999999999999995E-2</v>
      </c>
      <c r="L66" s="17">
        <f t="shared" si="0"/>
        <v>1</v>
      </c>
    </row>
    <row r="67" spans="1:12">
      <c r="A67" s="590" t="s">
        <v>107</v>
      </c>
      <c r="B67" s="591"/>
      <c r="C67" s="805">
        <f>IF(ISNA(VLOOKUP("COM615520000",Balance!C:G,5,FALSE))=TRUE,0,VLOOKUP("COM615520000",Balance!C:G,5,FALSE))</f>
        <v>661.5</v>
      </c>
      <c r="D67" s="619">
        <f>+[2]Compiègne!$H67</f>
        <v>4238.0277000000006</v>
      </c>
      <c r="E67" s="805">
        <f>IF(ISNA(VLOOKUP("COM615520000",Balanceanp!C:G,5,FALSE))=TRUE,0,VLOOKUP("COM615520000",Balanceanp!C:G,5,FALSE))</f>
        <v>10346.49</v>
      </c>
      <c r="F67" s="593">
        <f>+C67+C67/9*(12-Clients!$I$14)</f>
        <v>882</v>
      </c>
      <c r="G67" s="1012">
        <f>+F67*1.03</f>
        <v>908.46</v>
      </c>
      <c r="H67" s="1012"/>
      <c r="I67" s="1013">
        <f t="shared" si="5"/>
        <v>-0.9147536990805577</v>
      </c>
      <c r="J67" s="1014">
        <f t="shared" si="5"/>
        <v>3.0000000000000041E-2</v>
      </c>
      <c r="L67" s="17">
        <f t="shared" si="0"/>
        <v>1</v>
      </c>
    </row>
    <row r="68" spans="1:12">
      <c r="A68" s="590" t="s">
        <v>125</v>
      </c>
      <c r="B68" s="591"/>
      <c r="C68" s="805">
        <f>IF(ISNA(VLOOKUP("COM606130000",Balance!C:G,5,FALSE))=TRUE,0,VLOOKUP("COM606130000",Balance!C:G,5,FALSE))</f>
        <v>2092.5300000000002</v>
      </c>
      <c r="D68" s="619">
        <f>+[2]Compiègne!$H68</f>
        <v>1931.4559999999999</v>
      </c>
      <c r="E68" s="805">
        <f>IF(ISNA(VLOOKUP("COM606130000",Balanceanp!C:G,5,FALSE))=TRUE,0,VLOOKUP("COM606130000",Balanceanp!C:G,5,FALSE))</f>
        <v>2012.77</v>
      </c>
      <c r="F68" s="593">
        <f>+C68+C68/9*(12-Clients!$I$14)</f>
        <v>2790.0400000000004</v>
      </c>
      <c r="G68" s="593">
        <f>+F68*1.03</f>
        <v>2873.7412000000004</v>
      </c>
      <c r="H68" s="593"/>
      <c r="I68" s="1013">
        <f t="shared" si="5"/>
        <v>0.38616930896227608</v>
      </c>
      <c r="J68" s="1014">
        <f t="shared" si="5"/>
        <v>2.9999999999999985E-2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1028">
        <f>SUM(C64:C69)</f>
        <v>6845.0400000000009</v>
      </c>
      <c r="D70" s="1029">
        <f>SUM(D64:D69)</f>
        <v>11591.071525000001</v>
      </c>
      <c r="E70" s="805">
        <f>SUM(E64:E69)</f>
        <v>19271.52</v>
      </c>
      <c r="F70" s="629">
        <f>SUM(F64:F69)</f>
        <v>9126.7199999999993</v>
      </c>
      <c r="G70" s="813">
        <f>SUM(G64:G69)</f>
        <v>9400.5216</v>
      </c>
      <c r="H70" s="813"/>
      <c r="I70" s="1013">
        <f>+IF((E70)=0,,(F70-E70)/E70)</f>
        <v>-0.5264141074497497</v>
      </c>
      <c r="J70" s="1014">
        <f>+IF((F70)=0,,(G70-F70)/F70)</f>
        <v>3.0000000000000079E-2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805">
        <f>IF(ISNA(VLOOKUP("com602220000",Balance!C:G,5,FALSE))=TRUE,0,VLOOKUP("com602220000",Balance!C:G,5,FALSE))</f>
        <v>8.11</v>
      </c>
      <c r="D72" s="619">
        <f>+[2]Compiègne!$H72</f>
        <v>0</v>
      </c>
      <c r="E72" s="805">
        <f>IF(ISNA(VLOOKUP("com602220000",Balanceanp!C:G,5,FALSE))=TRUE,0,VLOOKUP("com602220000",Balanceanp!C:G,5,FALSE))</f>
        <v>0</v>
      </c>
      <c r="F72" s="593">
        <f>+C72+C72/9*(12-Clients!$I$14)</f>
        <v>10.813333333333333</v>
      </c>
      <c r="G72" s="1030">
        <f>+F72*1.03</f>
        <v>11.137733333333333</v>
      </c>
      <c r="H72" s="1030"/>
      <c r="I72" s="1013">
        <f t="shared" ref="I72:J87" si="6">+IF((E72)=0,,(F72-E72)/E72)</f>
        <v>0</v>
      </c>
      <c r="J72" s="1014">
        <f t="shared" si="6"/>
        <v>3.0000000000000065E-2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805">
        <f>IF(ISNA(VLOOKUP("COM606100000",Balance!C:G,5,FALSE))=TRUE,0,VLOOKUP("COM606100000",Balance!C:G,5,FALSE))</f>
        <v>3752.58</v>
      </c>
      <c r="D73" s="619">
        <f>+[2]Compiègne!$H73</f>
        <v>356.587949443448</v>
      </c>
      <c r="E73" s="805">
        <f>IF(ISNA(VLOOKUP("COM606100000",Balanceanp!C:G,5,FALSE))=TRUE,0,VLOOKUP("COM606100000",Balanceanp!C:G,5,FALSE))</f>
        <v>476.95</v>
      </c>
      <c r="F73" s="593">
        <f>+C73+C73/9*(12-Clients!$I$14)</f>
        <v>5003.4399999999996</v>
      </c>
      <c r="G73" s="1030">
        <f t="shared" ref="G73:G101" si="8">+F73*1.03</f>
        <v>5153.5432000000001</v>
      </c>
      <c r="H73" s="1030"/>
      <c r="I73" s="1013">
        <f t="shared" si="6"/>
        <v>9.4904916657930602</v>
      </c>
      <c r="J73" s="1014">
        <f t="shared" si="6"/>
        <v>3.0000000000000096E-2</v>
      </c>
      <c r="L73" s="17">
        <f t="shared" si="7"/>
        <v>1</v>
      </c>
    </row>
    <row r="74" spans="1:12">
      <c r="A74" s="590" t="s">
        <v>124</v>
      </c>
      <c r="B74" s="591"/>
      <c r="C74" s="805">
        <f>IF(ISNA(VLOOKUP("COM606110000",Balance!C:G,5,FALSE))=TRUE,0,VLOOKUP("COM606110000",Balance!C:G,5,FALSE))</f>
        <v>1161.45</v>
      </c>
      <c r="D74" s="619">
        <f>+[2]Compiègne!$H74</f>
        <v>0</v>
      </c>
      <c r="E74" s="805">
        <f>IF(ISNA(VLOOKUP("COM606110000",Balanceanp!C:G,5,FALSE))=TRUE,0,VLOOKUP("COM606110000",Balanceanp!C:G,5,FALSE))</f>
        <v>0</v>
      </c>
      <c r="F74" s="593">
        <f>+C74+C74/9*(12-Clients!$I$14)</f>
        <v>1548.6000000000001</v>
      </c>
      <c r="G74" s="1030">
        <f t="shared" si="8"/>
        <v>1595.0580000000002</v>
      </c>
      <c r="H74" s="1030"/>
      <c r="I74" s="1013">
        <f t="shared" si="6"/>
        <v>0</v>
      </c>
      <c r="J74" s="1014">
        <f t="shared" si="6"/>
        <v>3.0000000000000051E-2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IF(ISNA(VLOOKUP("com606140000",Balance!C:G,5,FALSE))=TRUE,0,VLOOKUP("com606140000",Balance!C:G,5,FALSE))</f>
        <v>0</v>
      </c>
      <c r="D75" s="117">
        <f>+[2]Compiègne!$H75</f>
        <v>0</v>
      </c>
      <c r="E75" s="160">
        <f>IF(ISNA(VLOOKUP("com606140000",Balanceanp!C:G,5,FALSE))=TRUE,0,VLOOKUP("com606140000",Balanceanp!C:G,5,FALSE))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805">
        <f>IF(ISNA(VLOOKUP("COM606310000",Balance!C:G,5,FALSE))=TRUE,0,VLOOKUP("COM606310000",Balance!C:G,5,FALSE))</f>
        <v>0</v>
      </c>
      <c r="D76" s="619">
        <f>+[2]Compiègne!$H76</f>
        <v>0.39080167013888889</v>
      </c>
      <c r="E76" s="805">
        <f>IF(ISNA(VLOOKUP("COM606310000",Balanceanp!C:G,5,FALSE))=TRUE,0,VLOOKUP("COM606310000",Balanceanp!C:G,5,FALSE))</f>
        <v>0</v>
      </c>
      <c r="F76" s="593">
        <f>+C76+C76/9*(12-Clients!$I$14)</f>
        <v>0</v>
      </c>
      <c r="G76" s="1030">
        <f t="shared" si="8"/>
        <v>0</v>
      </c>
      <c r="H76" s="1030"/>
      <c r="I76" s="1013">
        <f t="shared" si="6"/>
        <v>0</v>
      </c>
      <c r="J76" s="1014">
        <f t="shared" si="6"/>
        <v>0</v>
      </c>
      <c r="L76" s="17">
        <f t="shared" si="7"/>
        <v>1</v>
      </c>
    </row>
    <row r="77" spans="1:12">
      <c r="A77" s="590" t="s">
        <v>127</v>
      </c>
      <c r="B77" s="591"/>
      <c r="C77" s="805">
        <f>IF(ISNA(VLOOKUP("COM606410000",Balance!C:G,5,FALSE))=TRUE,0,VLOOKUP("COM606410000",Balance!C:G,5,FALSE))</f>
        <v>1757.25</v>
      </c>
      <c r="D77" s="619">
        <f>+[2]Compiègne!$H77</f>
        <v>1663.6077799858963</v>
      </c>
      <c r="E77" s="805">
        <f>IF(ISNA(VLOOKUP("COM606410000",Balanceanp!C:G,5,FALSE))=TRUE,0,VLOOKUP("COM606410000",Balanceanp!C:G,5,FALSE))</f>
        <v>1728.49</v>
      </c>
      <c r="F77" s="593">
        <f>+C77+C77/9*(12-Clients!$I$14)</f>
        <v>2343</v>
      </c>
      <c r="G77" s="1030">
        <f t="shared" si="8"/>
        <v>2413.29</v>
      </c>
      <c r="H77" s="1030"/>
      <c r="I77" s="1013">
        <f t="shared" si="6"/>
        <v>0.35551840045357508</v>
      </c>
      <c r="J77" s="1014">
        <f t="shared" si="6"/>
        <v>2.9999999999999985E-2</v>
      </c>
      <c r="L77" s="17">
        <f t="shared" si="7"/>
        <v>1</v>
      </c>
    </row>
    <row r="78" spans="1:12">
      <c r="A78" s="590" t="s">
        <v>101</v>
      </c>
      <c r="B78" s="591"/>
      <c r="C78" s="805">
        <f>IF(ISNA(VLOOKUP("COM611000000",Balance!C:G,5,FALSE))=TRUE,0,VLOOKUP("COM611000000",Balance!C:G,5,FALSE))+IF(ISNA(VLOOKUP("COM606830000",Balance!C:G,5,FALSE))=TRUE,0,VLOOKUP("COM606830000",Balance!C:G,5,FALSE))</f>
        <v>1045.3</v>
      </c>
      <c r="D78" s="619">
        <f>+[2]Compiègne!$H78</f>
        <v>774.92200554570707</v>
      </c>
      <c r="E78" s="805">
        <f>IF(ISNA(VLOOKUP("COM611000000",Balanceanp!C:G,5,FALSE))=TRUE,0,VLOOKUP("COM611000000",Balanceanp!C:G,5,FALSE))</f>
        <v>0</v>
      </c>
      <c r="F78" s="593">
        <f>+C78+C78/9*(12-Clients!$I$14)</f>
        <v>1393.7333333333333</v>
      </c>
      <c r="G78" s="593">
        <f t="shared" si="8"/>
        <v>1435.5453333333335</v>
      </c>
      <c r="H78" s="593"/>
      <c r="I78" s="1013">
        <f t="shared" si="6"/>
        <v>0</v>
      </c>
      <c r="J78" s="1014">
        <f t="shared" si="6"/>
        <v>3.0000000000000089E-2</v>
      </c>
      <c r="L78" s="17">
        <f t="shared" si="7"/>
        <v>1</v>
      </c>
    </row>
    <row r="79" spans="1:12">
      <c r="A79" s="590" t="s">
        <v>102</v>
      </c>
      <c r="B79" s="591"/>
      <c r="C79" s="805">
        <f>IF(ISNA(VLOOKUP("COM613200000",Balance!C:G,5,FALSE))=TRUE,0,VLOOKUP("COM613200000",Balance!C:G,5,FALSE))</f>
        <v>14358.06</v>
      </c>
      <c r="D79" s="619">
        <f>+[2]Compiègne!$H79</f>
        <v>19144.11</v>
      </c>
      <c r="E79" s="805">
        <f>IF(ISNA(VLOOKUP("COM613200000",Balanceanp!C:G,5,FALSE))=TRUE,0,VLOOKUP("COM613200000",Balanceanp!C:G,5,FALSE))</f>
        <v>16576.439999999999</v>
      </c>
      <c r="F79" s="631">
        <f>4500*3+1500+4144.11</f>
        <v>19144.11</v>
      </c>
      <c r="G79" s="631">
        <f>4500/3*2+4500*1.05/3*10</f>
        <v>18750</v>
      </c>
      <c r="H79" s="1149">
        <f>G79/G21</f>
        <v>2.310955205787726E-2</v>
      </c>
      <c r="I79" s="1013">
        <f t="shared" si="6"/>
        <v>0.15489875992673952</v>
      </c>
      <c r="J79" s="1014">
        <f t="shared" si="6"/>
        <v>-2.0586488481313604E-2</v>
      </c>
      <c r="L79" s="17">
        <f t="shared" si="7"/>
        <v>1</v>
      </c>
    </row>
    <row r="80" spans="1:12">
      <c r="A80" s="590" t="s">
        <v>325</v>
      </c>
      <c r="B80" s="591"/>
      <c r="C80" s="805">
        <f>IF(ISNA(VLOOKUP("com614000000",Balance!C:G,5,FALSE))=TRUE,0,VLOOKUP("com614000000",Balance!C:G,5,FALSE))</f>
        <v>0</v>
      </c>
      <c r="D80" s="619">
        <f>+[2]Compiègne!$H80</f>
        <v>2.5961907289260417</v>
      </c>
      <c r="E80" s="805">
        <f>IF(ISNA(VLOOKUP("com614000000",Balanceanp!C:G,5,FALSE))=TRUE,0,VLOOKUP("com614000000",Balanceanp!C:G,5,FALSE))</f>
        <v>0</v>
      </c>
      <c r="F80" s="593">
        <f>+C80+C80/9*(12-Clients!$I$14)</f>
        <v>0</v>
      </c>
      <c r="G80" s="1030">
        <f t="shared" si="8"/>
        <v>0</v>
      </c>
      <c r="H80" s="1030"/>
      <c r="I80" s="1013">
        <f t="shared" si="6"/>
        <v>0</v>
      </c>
      <c r="J80" s="1014">
        <f t="shared" si="6"/>
        <v>0</v>
      </c>
      <c r="L80" s="17">
        <f t="shared" si="7"/>
        <v>1</v>
      </c>
    </row>
    <row r="81" spans="1:12" hidden="1">
      <c r="A81" s="5" t="s">
        <v>103</v>
      </c>
      <c r="B81" s="92"/>
      <c r="C81" s="160">
        <f>IF(ISNA(VLOOKUP("COM613510000",Balance!C:G,5,FALSE))=TRUE,0,VLOOKUP("COM613510000",Balance!C:G,5,FALSE))</f>
        <v>0</v>
      </c>
      <c r="D81" s="117">
        <f>+[2]Compiègne!$H81</f>
        <v>0</v>
      </c>
      <c r="E81" s="160">
        <f>IF(ISNA(VLOOKUP("COM613510000",Balanceanp!C:G,5,FALSE))=TRUE,0,VLOOKUP("COM613510000",Balanceanp!C:G,5,FALSE))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805">
        <f>IF(ISNA(VLOOKUP("COM613530000",Balance!C:G,5,FALSE))=TRUE,0,VLOOKUP("COM613530000",Balance!C:G,5,FALSE))</f>
        <v>45</v>
      </c>
      <c r="D82" s="619">
        <f>+[2]Compiègne!$H82</f>
        <v>85.228669687500016</v>
      </c>
      <c r="E82" s="805">
        <f>IF(ISNA(VLOOKUP("COM613530000",Balanceanp!C:G,5,FALSE))=TRUE,0,VLOOKUP("COM613530000",Balanceanp!C:G,5,FALSE))</f>
        <v>540</v>
      </c>
      <c r="F82" s="593">
        <f>+C82+C82/9*(12-Clients!$I$14)</f>
        <v>60</v>
      </c>
      <c r="G82" s="1030">
        <f t="shared" si="8"/>
        <v>61.800000000000004</v>
      </c>
      <c r="H82" s="1030"/>
      <c r="I82" s="1013">
        <f t="shared" si="6"/>
        <v>-0.88888888888888884</v>
      </c>
      <c r="J82" s="1014">
        <f t="shared" si="6"/>
        <v>3.0000000000000072E-2</v>
      </c>
      <c r="L82" s="17">
        <f t="shared" si="7"/>
        <v>1</v>
      </c>
    </row>
    <row r="83" spans="1:12">
      <c r="A83" s="590" t="s">
        <v>287</v>
      </c>
      <c r="B83" s="591"/>
      <c r="C83" s="805">
        <f>IF(ISNA(VLOOKUP("com613540000",Balance!C:G,5,FALSE))=TRUE,0,VLOOKUP("com613540000",Balance!C:G,5,FALSE))</f>
        <v>152.65</v>
      </c>
      <c r="D83" s="619">
        <f>+[2]Compiègne!$H83</f>
        <v>2.2765145833333338</v>
      </c>
      <c r="E83" s="805">
        <f>IF(ISNA(VLOOKUP("com613540000",Balanceanp!C:G,5,FALSE))=TRUE,0,VLOOKUP("com613540000",Balanceanp!C:G,5,FALSE))</f>
        <v>585</v>
      </c>
      <c r="F83" s="593">
        <f>+C83+C83/9*(12-Clients!$I$14)</f>
        <v>203.53333333333336</v>
      </c>
      <c r="G83" s="1030">
        <f t="shared" si="8"/>
        <v>209.63933333333335</v>
      </c>
      <c r="H83" s="1030"/>
      <c r="I83" s="1013">
        <f t="shared" si="6"/>
        <v>-0.65207977207977208</v>
      </c>
      <c r="J83" s="1014">
        <f t="shared" si="6"/>
        <v>2.9999999999999968E-2</v>
      </c>
      <c r="L83" s="17">
        <f t="shared" si="7"/>
        <v>1</v>
      </c>
    </row>
    <row r="84" spans="1:12">
      <c r="A84" s="590" t="s">
        <v>108</v>
      </c>
      <c r="B84" s="591"/>
      <c r="C84" s="805">
        <f>IF(ISNA(VLOOKUP("COM615200000",Balance!C:G,5,FALSE))=TRUE,0,VLOOKUP("COM615200000",Balance!C:G,5,FALSE))</f>
        <v>6034.24</v>
      </c>
      <c r="D84" s="619">
        <f>+[2]Compiègne!$H84</f>
        <v>3212.3881104823722</v>
      </c>
      <c r="E84" s="805">
        <f>IF(ISNA(VLOOKUP("COM615200000",Balanceanp!C:G,5,FALSE))=TRUE,0,VLOOKUP("COM615200000",Balanceanp!C:G,5,FALSE))</f>
        <v>3059.69</v>
      </c>
      <c r="F84" s="593">
        <f>+C84+C84/9*(12-Clients!$I$14)</f>
        <v>8045.6533333333336</v>
      </c>
      <c r="G84" s="1030">
        <f t="shared" si="8"/>
        <v>8287.0229333333336</v>
      </c>
      <c r="H84" s="1030"/>
      <c r="I84" s="1013">
        <f t="shared" si="6"/>
        <v>1.6295648687721087</v>
      </c>
      <c r="J84" s="1014">
        <f t="shared" si="6"/>
        <v>0.03</v>
      </c>
      <c r="L84" s="17">
        <f t="shared" si="7"/>
        <v>1</v>
      </c>
    </row>
    <row r="85" spans="1:12">
      <c r="A85" s="590" t="s">
        <v>109</v>
      </c>
      <c r="B85" s="591"/>
      <c r="C85" s="805">
        <f>IF(ISNA(VLOOKUP("COM615500000",Balance!C:G,5,FALSE))=TRUE,0,VLOOKUP("COM615500000",Balance!C:G,5,FALSE))</f>
        <v>0</v>
      </c>
      <c r="D85" s="619">
        <f>+[2]Compiègne!$H85</f>
        <v>661.18270497290632</v>
      </c>
      <c r="E85" s="805">
        <f>IF(ISNA(VLOOKUP("COM615500000",Balanceanp!C:G,5,FALSE))=TRUE,0,VLOOKUP("COM615500000",Balanceanp!C:G,5,FALSE))</f>
        <v>571.58000000000004</v>
      </c>
      <c r="F85" s="593">
        <f>+C85+C85/9*(12-Clients!$I$14)</f>
        <v>0</v>
      </c>
      <c r="G85" s="1030">
        <f t="shared" si="8"/>
        <v>0</v>
      </c>
      <c r="H85" s="1030"/>
      <c r="I85" s="1013">
        <f t="shared" si="6"/>
        <v>-1</v>
      </c>
      <c r="J85" s="1014">
        <f t="shared" si="6"/>
        <v>0</v>
      </c>
      <c r="L85" s="17">
        <f t="shared" si="7"/>
        <v>1</v>
      </c>
    </row>
    <row r="86" spans="1:12">
      <c r="A86" s="590" t="s">
        <v>106</v>
      </c>
      <c r="B86" s="591"/>
      <c r="C86" s="805">
        <f>IF(ISNA(VLOOKUP("COM615510000",Balance!C:G,5,FALSE))=TRUE,0,VLOOKUP("COM615510000",Balance!C:G,5,FALSE))</f>
        <v>79.63</v>
      </c>
      <c r="D86" s="619">
        <f>+[2]Compiègne!$H86</f>
        <v>292.35138627894025</v>
      </c>
      <c r="E86" s="805">
        <f>IF(ISNA(VLOOKUP("COM615510000",Balanceanp!C:G,5,FALSE))=TRUE,0,VLOOKUP("COM615510000",Balanceanp!C:G,5,FALSE))</f>
        <v>78</v>
      </c>
      <c r="F86" s="593">
        <f>+C86+C86/9*(12-Clients!$I$14)</f>
        <v>106.17333333333332</v>
      </c>
      <c r="G86" s="1030">
        <f t="shared" si="8"/>
        <v>109.35853333333333</v>
      </c>
      <c r="H86" s="1030"/>
      <c r="I86" s="1013">
        <f t="shared" si="6"/>
        <v>0.36119658119658099</v>
      </c>
      <c r="J86" s="1014">
        <f t="shared" si="6"/>
        <v>3.0000000000000089E-2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IF(ISNA(VLOOKUP("com615530000",Balance!C:G,5,FALSE))=TRUE,0,VLOOKUP("com615530000",Balance!C:G,5,FALSE))</f>
        <v>0</v>
      </c>
      <c r="D87" s="117">
        <f>+[2]Compiègne!$H87</f>
        <v>0</v>
      </c>
      <c r="E87" s="160">
        <f>IF(ISNA(VLOOKUP("com615530000",Balanceanp!C:G,5,FALSE))=TRUE,0,VLOOKUP("com615530000",Balanceanp!C:G,5,FALSE))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805">
        <f>IF(ISNA(VLOOKUP("COM616130000",Balance!C:G,5,FALSE))=TRUE,0,VLOOKUP("COM616130000",Balance!C:G,5,FALSE))</f>
        <v>2133.63</v>
      </c>
      <c r="D88" s="619">
        <f>+[2]Compiègne!$H88</f>
        <v>2844.8028000000004</v>
      </c>
      <c r="E88" s="805">
        <f>IF(ISNA(VLOOKUP("COM616130000",Balanceanp!C:G,5,FALSE))=TRUE,0,VLOOKUP("COM616130000",Balanceanp!C:G,5,FALSE))</f>
        <v>2533.2600000000002</v>
      </c>
      <c r="F88" s="593">
        <f>+C88+C88/9*(12-Clients!$I$14)</f>
        <v>2844.84</v>
      </c>
      <c r="G88" s="638">
        <f>+E88*1.05*1.05</f>
        <v>2792.9191500000002</v>
      </c>
      <c r="H88" s="638"/>
      <c r="I88" s="1013">
        <f t="shared" ref="I88:I101" si="9">+IF((E88)=0,,(F88-E88)/E88)</f>
        <v>0.12299566566400602</v>
      </c>
      <c r="J88" s="1014">
        <f t="shared" ref="J88:J101" si="10">+IF((F88)=0,,(G88-F88)/F88)</f>
        <v>-1.8250885814316435E-2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+[2]Compiègne!$H89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805">
        <f>IF(ISNA(VLOOKUP("COM618100000",Balance!C:G,5,FALSE))=TRUE,0,VLOOKUP("COM618100000",Balance!C:G,5,FALSE))</f>
        <v>0</v>
      </c>
      <c r="D90" s="619">
        <f>+[2]Compiègne!$H90</f>
        <v>101.99628645833333</v>
      </c>
      <c r="E90" s="805">
        <f>IF(ISNA(VLOOKUP("COM618100000",Balanceanp!C:G,5,FALSE))=TRUE,0,VLOOKUP("COM618100000",Balanceanp!C:G,5,FALSE))</f>
        <v>93.5</v>
      </c>
      <c r="F90" s="593">
        <f>+C90+C90/9*(12-Clients!$I$14)</f>
        <v>0</v>
      </c>
      <c r="G90" s="1030">
        <f t="shared" si="8"/>
        <v>0</v>
      </c>
      <c r="H90" s="1030"/>
      <c r="I90" s="1013">
        <f t="shared" si="9"/>
        <v>-1</v>
      </c>
      <c r="J90" s="1014">
        <f t="shared" si="10"/>
        <v>0</v>
      </c>
      <c r="L90" s="17">
        <f t="shared" si="7"/>
        <v>1</v>
      </c>
    </row>
    <row r="91" spans="1:12">
      <c r="A91" s="590" t="s">
        <v>113</v>
      </c>
      <c r="B91" s="591"/>
      <c r="C91" s="805">
        <f>IF(ISNA(VLOOKUP("COM618500000",Balance!C:G,5,FALSE))=TRUE,0,VLOOKUP("COM618500000",Balance!C:G,5,FALSE))</f>
        <v>119.63</v>
      </c>
      <c r="D91" s="619">
        <f>+[2]Compiègne!$H91</f>
        <v>225.99328732137781</v>
      </c>
      <c r="E91" s="805">
        <f>IF(ISNA(VLOOKUP("COM618500000",Balanceanp!C:G,5,FALSE))=TRUE,0,VLOOKUP("COM618500000",Balanceanp!C:G,5,FALSE))</f>
        <v>134.51</v>
      </c>
      <c r="F91" s="593">
        <f>+C91+C91/9*(12-Clients!$I$14)</f>
        <v>159.50666666666666</v>
      </c>
      <c r="G91" s="1030">
        <f t="shared" si="8"/>
        <v>164.29186666666666</v>
      </c>
      <c r="H91" s="1030"/>
      <c r="I91" s="1013">
        <f t="shared" si="9"/>
        <v>0.18583500607141976</v>
      </c>
      <c r="J91" s="1014">
        <f t="shared" si="10"/>
        <v>3.000000000000002E-2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IF(ISNA(VLOOKUP("COM622200000",Balance!C:G,5,FALSE))=TRUE,0,VLOOKUP("COM622200000",Balance!C:G,5,FALSE))</f>
        <v>0</v>
      </c>
      <c r="D92" s="117">
        <f>+[2]Compiègne!$H92</f>
        <v>0</v>
      </c>
      <c r="E92" s="160">
        <f>IF(ISNA(VLOOKUP("COM622200000",Balanceanp!C:G,5,FALSE))=TRUE,0,VLOOKUP("COM622200000",Balanceanp!C:G,5,FALSE))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805">
        <f>IF(ISNA(VLOOKUP("COM622600000",Balance!C:G,5,FALSE))=TRUE,0,VLOOKUP("COM622600000",Balance!C:G,5,FALSE))</f>
        <v>3200</v>
      </c>
      <c r="D93" s="619">
        <f>+[2]Compiègne!$H93</f>
        <v>0.5862025052083335</v>
      </c>
      <c r="E93" s="805">
        <f>IF(ISNA(VLOOKUP("COM622600000",Balanceanp!C:G,5,FALSE))=TRUE,0,VLOOKUP("COM622600000",Balanceanp!C:G,5,FALSE))</f>
        <v>0</v>
      </c>
      <c r="F93" s="593">
        <f>+C93+C93/9*(12-Clients!$I$14)</f>
        <v>4266.6666666666661</v>
      </c>
      <c r="G93" s="1030">
        <f t="shared" si="8"/>
        <v>4394.6666666666661</v>
      </c>
      <c r="H93" s="1030"/>
      <c r="I93" s="1013">
        <f t="shared" si="9"/>
        <v>0</v>
      </c>
      <c r="J93" s="1014">
        <f t="shared" si="10"/>
        <v>3.0000000000000006E-2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IF(ISNA(VLOOKUP("COM622710000",Balance!C:G,5,FALSE))=TRUE,0,VLOOKUP("COM622710000",Balance!C:G,5,FALSE))</f>
        <v>0</v>
      </c>
      <c r="D94" s="117">
        <f>+[2]Compiègne!$H94</f>
        <v>0</v>
      </c>
      <c r="E94" s="160">
        <f>IF(ISNA(VLOOKUP("COM622710000",Balanceanp!C:G,5,FALSE))=TRUE,0,VLOOKUP("COM622710000",Balanceanp!C:G,5,FALSE))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1.1395923234750962E-2</v>
      </c>
      <c r="C95" s="805">
        <f>IF(ISNA(VLOOKUP("COM624200000",Balance!C:G,5,FALSE))=TRUE,0,VLOOKUP("COM624200000",Balance!C:G,5,FALSE))</f>
        <v>6061.7</v>
      </c>
      <c r="D95" s="619">
        <f>+[2]Compiègne!$H95</f>
        <v>9379.0167485953116</v>
      </c>
      <c r="E95" s="805">
        <f>IF(ISNA(VLOOKUP("COM624200000",Balanceanp!C:G,5,FALSE))=TRUE,0,VLOOKUP("COM624200000",Balanceanp!C:G,5,FALSE))</f>
        <v>9079.34</v>
      </c>
      <c r="F95" s="593">
        <f>+C95+C95/9*(12-Clients!$I$14)</f>
        <v>8082.2666666666664</v>
      </c>
      <c r="G95" s="1030">
        <f>B95*G21</f>
        <v>9246.1143390594843</v>
      </c>
      <c r="H95" s="1031">
        <f>+G95/$G$21</f>
        <v>1.1395923234750964E-2</v>
      </c>
      <c r="I95" s="1013">
        <f t="shared" si="9"/>
        <v>-0.10981782082544918</v>
      </c>
      <c r="J95" s="1014">
        <f t="shared" si="10"/>
        <v>0.14400015743019506</v>
      </c>
      <c r="L95" s="17">
        <f t="shared" si="7"/>
        <v>1</v>
      </c>
    </row>
    <row r="96" spans="1:12">
      <c r="A96" s="590" t="s">
        <v>118</v>
      </c>
      <c r="B96" s="591"/>
      <c r="C96" s="805">
        <f>IF(ISNA(VLOOKUP("COM625100000",Balance!C:G,5,FALSE))=TRUE,0,VLOOKUP("COM625100000",Balance!C:G,5,FALSE))</f>
        <v>6723.68</v>
      </c>
      <c r="D96" s="619">
        <f>+[2]Compiègne!$H96</f>
        <v>18820.492175000003</v>
      </c>
      <c r="E96" s="805">
        <f>IF(ISNA(VLOOKUP("COM625100000",Balanceanp!C:G,5,FALSE))=TRUE,0,VLOOKUP("COM625100000",Balanceanp!C:G,5,FALSE))</f>
        <v>14968.57</v>
      </c>
      <c r="F96" s="593">
        <f>+C96+C96/9*(12-Clients!$I$14)</f>
        <v>8964.9066666666677</v>
      </c>
      <c r="G96" s="1012">
        <f t="shared" si="8"/>
        <v>9233.8538666666682</v>
      </c>
      <c r="H96" s="1012"/>
      <c r="I96" s="1013">
        <f t="shared" si="9"/>
        <v>-0.4010846282132049</v>
      </c>
      <c r="J96" s="1014">
        <f t="shared" si="10"/>
        <v>3.0000000000000054E-2</v>
      </c>
      <c r="L96" s="17">
        <f t="shared" si="7"/>
        <v>1</v>
      </c>
    </row>
    <row r="97" spans="1:12">
      <c r="A97" s="590" t="s">
        <v>7</v>
      </c>
      <c r="B97" s="591"/>
      <c r="C97" s="805">
        <f>IF(ISNA(VLOOKUP("COM625200000",Balance!C:G,5,FALSE))=TRUE,0,VLOOKUP("COM625200000",Balance!C:G,5,FALSE))</f>
        <v>1228.1300000000001</v>
      </c>
      <c r="D97" s="619">
        <f>+[2]Compiègne!$H97</f>
        <v>2348.078642225229</v>
      </c>
      <c r="E97" s="805">
        <f>IF(ISNA(VLOOKUP("COM625200000",Balanceanp!C:G,5,FALSE))=TRUE,0,VLOOKUP("COM625200000",Balanceanp!C:G,5,FALSE))</f>
        <v>2068.9899999999998</v>
      </c>
      <c r="F97" s="593">
        <f>+C97+C97/9*(12-Clients!$I$14)</f>
        <v>1637.5066666666669</v>
      </c>
      <c r="G97" s="1012">
        <f t="shared" si="8"/>
        <v>1686.6318666666668</v>
      </c>
      <c r="H97" s="1012"/>
      <c r="I97" s="1013">
        <f t="shared" si="9"/>
        <v>-0.20854780996202638</v>
      </c>
      <c r="J97" s="1014">
        <f t="shared" si="10"/>
        <v>2.9999999999999964E-2</v>
      </c>
      <c r="L97" s="17">
        <f t="shared" si="7"/>
        <v>1</v>
      </c>
    </row>
    <row r="98" spans="1:12">
      <c r="A98" s="590" t="s">
        <v>307</v>
      </c>
      <c r="B98" s="591"/>
      <c r="C98" s="805">
        <f>IF(ISNA(VLOOKUP("COM625510000",Balance!C:G,5,FALSE))=TRUE,0,VLOOKUP("COM625510000",Balance!C:G,5,FALSE))</f>
        <v>287.60000000000002</v>
      </c>
      <c r="D98" s="619">
        <f>+[2]Compiègne!$H98</f>
        <v>1000</v>
      </c>
      <c r="E98" s="805">
        <f>IF(ISNA(VLOOKUP("COM625510000",Balanceanp!C:G,5,FALSE))=TRUE,0,VLOOKUP("COM625510000",Balanceanp!C:G,5,FALSE))</f>
        <v>0</v>
      </c>
      <c r="F98" s="593">
        <f>+C98+C98/9*(12-Clients!$I$14)</f>
        <v>383.4666666666667</v>
      </c>
      <c r="G98" s="631">
        <v>1000</v>
      </c>
      <c r="H98" s="1030"/>
      <c r="I98" s="1013">
        <f t="shared" si="9"/>
        <v>0</v>
      </c>
      <c r="J98" s="1014">
        <f t="shared" si="10"/>
        <v>1.6077885952712099</v>
      </c>
      <c r="L98" s="17">
        <f t="shared" si="7"/>
        <v>1</v>
      </c>
    </row>
    <row r="99" spans="1:12">
      <c r="A99" s="590" t="s">
        <v>119</v>
      </c>
      <c r="B99" s="591"/>
      <c r="C99" s="805">
        <f>IF(ISNA(VLOOKUP("COM626000000",Balance!C:G,5,FALSE))=TRUE,0,VLOOKUP("COM626000000",Balance!C:G,5,FALSE))</f>
        <v>2475.5100000000002</v>
      </c>
      <c r="D99" s="619">
        <f>+[2]Compiègne!$H99</f>
        <v>4203.2406362034699</v>
      </c>
      <c r="E99" s="805">
        <f>IF(ISNA(VLOOKUP("COM626000000",Balanceanp!C:G,5,FALSE))=TRUE,0,VLOOKUP("COM626000000",Balanceanp!C:G,5,FALSE))</f>
        <v>3814.2</v>
      </c>
      <c r="F99" s="593">
        <f>+C99+C99/9*(12-Clients!$I$14)</f>
        <v>3300.6800000000003</v>
      </c>
      <c r="G99" s="1030">
        <f>+F99</f>
        <v>3300.6800000000003</v>
      </c>
      <c r="H99" s="1030"/>
      <c r="I99" s="1013">
        <f t="shared" si="9"/>
        <v>-0.13463373708772469</v>
      </c>
      <c r="J99" s="1014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805">
        <f>IF(ISNA(VLOOKUP("COM626100000",Balance!C:G,5,FALSE))=TRUE,0,VLOOKUP("COM626100000",Balance!C:G,5,FALSE))</f>
        <v>294.73</v>
      </c>
      <c r="D100" s="619">
        <f>+[2]Compiègne!$H100</f>
        <v>530.15049075260413</v>
      </c>
      <c r="E100" s="805">
        <f>IF(ISNA(VLOOKUP("COM626100000",Balanceanp!C:G,5,FALSE))=TRUE,0,VLOOKUP("COM626100000",Balanceanp!C:G,5,FALSE))</f>
        <v>512.5</v>
      </c>
      <c r="F100" s="593">
        <f>+C100+C100/9*(12-Clients!$I$14)</f>
        <v>392.97333333333336</v>
      </c>
      <c r="G100" s="1030">
        <f t="shared" si="8"/>
        <v>404.76253333333335</v>
      </c>
      <c r="H100" s="1030"/>
      <c r="I100" s="1013">
        <f t="shared" si="9"/>
        <v>-0.23322276422764224</v>
      </c>
      <c r="J100" s="1014">
        <f t="shared" si="10"/>
        <v>2.9999999999999982E-2</v>
      </c>
      <c r="L100" s="17">
        <f t="shared" si="7"/>
        <v>1</v>
      </c>
    </row>
    <row r="101" spans="1:12" hidden="1">
      <c r="A101" s="5" t="s">
        <v>121</v>
      </c>
      <c r="B101" s="92"/>
      <c r="C101" s="160">
        <f>IF(ISNA(VLOOKUP("COM628400000",Balance!C:G,5,FALSE))=TRUE,0,VLOOKUP("COM628400000",Balance!C:G,5,FALSE))</f>
        <v>0</v>
      </c>
      <c r="D101" s="117">
        <f>+[2]Compiègne!$H101</f>
        <v>0</v>
      </c>
      <c r="E101" s="160">
        <f>IF(ISNA(VLOOKUP("COM628400000",Balanceanp!C:G,5,FALSE))=TRUE,0,VLOOKUP("COM628400000",Balanceanp!C:G,5,FALSE))</f>
        <v>0</v>
      </c>
      <c r="F101" s="368">
        <f>+C101+C101/9*(12-Clients!$I$14)</f>
        <v>0</v>
      </c>
      <c r="G101" s="396">
        <f t="shared" si="8"/>
        <v>0</v>
      </c>
      <c r="H101" s="409"/>
      <c r="I101" s="149">
        <f t="shared" si="9"/>
        <v>0</v>
      </c>
      <c r="J101" s="271">
        <f t="shared" si="10"/>
        <v>0</v>
      </c>
      <c r="L101" s="17">
        <f t="shared" si="7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0.10859547619616539</v>
      </c>
      <c r="C103" s="803">
        <f>SUM(C70:C102)</f>
        <v>57763.919999999991</v>
      </c>
      <c r="D103" s="597">
        <f>SUM(D70:D102)</f>
        <v>77241.070907440706</v>
      </c>
      <c r="E103" s="803">
        <f>SUM(E70:E102)</f>
        <v>76092.540000000008</v>
      </c>
      <c r="F103" s="597">
        <f>SUM(F70:F102)</f>
        <v>77018.59</v>
      </c>
      <c r="G103" s="597">
        <f>SUM(G70:G102)</f>
        <v>79650.836955726147</v>
      </c>
      <c r="H103" s="814">
        <f>+G103/$G$21</f>
        <v>9.8170408697698525E-2</v>
      </c>
      <c r="I103" s="596">
        <f>+IF((E103)=0,,(F103-E103)/E103)</f>
        <v>1.2170049784117974E-2</v>
      </c>
      <c r="J103" s="1015">
        <f>+IF((F103)=0,,(G103-F103)/F103)</f>
        <v>3.4176774149282017E-2</v>
      </c>
      <c r="K103" s="136">
        <f>(C103+(C103/3))</f>
        <v>77018.559999999983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805">
        <f>IF(ISNA(VLOOKUP("COM623100000",Balance!C:G,5,FALSE))=TRUE,0,VLOOKUP("COM623100000",Balance!C:G,5,FALSE))</f>
        <v>0</v>
      </c>
      <c r="D105" s="619">
        <f>+[2]Compiègne!$H105</f>
        <v>922.67399999999998</v>
      </c>
      <c r="E105" s="805">
        <f>IF(ISNA(VLOOKUP("COM623100000",Balanceanp!C:G,5,FALSE))=TRUE,0,VLOOKUP("COM623100000",Balanceanp!C:G,5,FALSE))</f>
        <v>774.3</v>
      </c>
      <c r="F105" s="593">
        <f>+C105+C105/9*(12-Clients!$I$14)</f>
        <v>0</v>
      </c>
      <c r="G105" s="1012">
        <f t="shared" ref="G105:G114" si="11">+F105*1.03</f>
        <v>0</v>
      </c>
      <c r="H105" s="1012"/>
      <c r="I105" s="1013">
        <f t="shared" ref="I105:J114" si="12">+IF((E105)=0,,(F105-E105)/E105)</f>
        <v>-1</v>
      </c>
      <c r="J105" s="1014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805">
        <f>IF(ISNA(VLOOKUP("COM623200000",Balance!C:G,5,FALSE))=TRUE,0,VLOOKUP("COM623200000",Balance!C:G,5,FALSE))</f>
        <v>1784.55</v>
      </c>
      <c r="D106" s="619">
        <f>+[2]Compiègne!$H106</f>
        <v>3303.7456000000002</v>
      </c>
      <c r="E106" s="805">
        <f>IF(ISNA(VLOOKUP("COM623200000",Balanceanp!C:G,5,FALSE))=TRUE,0,VLOOKUP("COM623200000",Balanceanp!C:G,5,FALSE))</f>
        <v>3446.37</v>
      </c>
      <c r="F106" s="593">
        <f>+C106+C106/9*(12-Clients!$I$14)</f>
        <v>2379.4</v>
      </c>
      <c r="G106" s="1012">
        <f t="shared" si="11"/>
        <v>2450.7820000000002</v>
      </c>
      <c r="H106" s="1012"/>
      <c r="I106" s="1013">
        <f t="shared" si="12"/>
        <v>-0.30959241172596091</v>
      </c>
      <c r="J106" s="1014">
        <f t="shared" si="12"/>
        <v>3.0000000000000023E-2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IF(ISNA(VLOOKUP("COM629000000",Balance!C:G,5,FALSE))=TRUE,0,VLOOKUP("COM629000000",Balance!C:G,5,FALSE))</f>
        <v>0</v>
      </c>
      <c r="D107" s="117">
        <f>+[2]Compiègne!$H107</f>
        <v>0</v>
      </c>
      <c r="E107" s="160">
        <f>IF(ISNA(VLOOKUP("COM629000000",Balanceanp!C:G,5,FALSE))=TRUE,0,VLOOKUP("COM629000000",Balanceanp!C:G,5,FALSE))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805">
        <f>IF(ISNA(VLOOKUP("COM623300000",Balance!C:G,5,FALSE))=TRUE,0,VLOOKUP("COM623300000",Balance!C:G,5,FALSE))</f>
        <v>1498.8999999999999</v>
      </c>
      <c r="D108" s="619">
        <f>+[2]Compiègne!$H108</f>
        <v>450</v>
      </c>
      <c r="E108" s="805">
        <f>IF(ISNA(VLOOKUP("COM623300000",Balanceanp!C:G,5,FALSE))=TRUE,0,VLOOKUP("COM623300000",Balanceanp!C:G,5,FALSE))</f>
        <v>130.91999999999999</v>
      </c>
      <c r="F108" s="593">
        <f>+C108+C108/9*(12-Clients!$I$14)</f>
        <v>1998.5333333333331</v>
      </c>
      <c r="G108" s="1012">
        <v>450</v>
      </c>
      <c r="H108" s="1012"/>
      <c r="I108" s="1013">
        <f t="shared" si="12"/>
        <v>14.265301965576942</v>
      </c>
      <c r="J108" s="1014">
        <f t="shared" si="12"/>
        <v>-0.77483487891120151</v>
      </c>
      <c r="L108" s="17">
        <f t="shared" si="7"/>
        <v>1</v>
      </c>
    </row>
    <row r="109" spans="1:12">
      <c r="A109" s="590" t="s">
        <v>133</v>
      </c>
      <c r="B109" s="591"/>
      <c r="C109" s="805">
        <f>IF(ISNA(VLOOKUP("COM623700000",Balance!C:G,5,FALSE))=TRUE,0,VLOOKUP("COM623700000",Balance!C:G,5,FALSE))</f>
        <v>2175.1799999999998</v>
      </c>
      <c r="D109" s="619">
        <f>+[2]Compiègne!$H109</f>
        <v>3183.2973999999999</v>
      </c>
      <c r="E109" s="805">
        <f>IF(ISNA(VLOOKUP("COM623700000",Balanceanp!C:G,5,FALSE))=TRUE,0,VLOOKUP("COM623700000",Balanceanp!C:G,5,FALSE))</f>
        <v>837.23</v>
      </c>
      <c r="F109" s="593">
        <f>+C109+C109/9*(12-Clients!$I$14)</f>
        <v>2900.24</v>
      </c>
      <c r="G109" s="1012">
        <f t="shared" si="11"/>
        <v>2987.2471999999998</v>
      </c>
      <c r="H109" s="1012"/>
      <c r="I109" s="1013">
        <f t="shared" si="12"/>
        <v>2.4640899155548652</v>
      </c>
      <c r="J109" s="1014">
        <f t="shared" si="12"/>
        <v>3.0000000000000006E-2</v>
      </c>
      <c r="L109" s="17">
        <f t="shared" si="7"/>
        <v>1</v>
      </c>
    </row>
    <row r="110" spans="1:12">
      <c r="A110" s="590" t="s">
        <v>134</v>
      </c>
      <c r="B110" s="591"/>
      <c r="C110" s="805">
        <f>IF(ISNA(VLOOKUP("COM623410000",Balance!C:G,5,FALSE))=TRUE,0,VLOOKUP("COM623410000",Balance!C:G,5,FALSE))+IF(ISNA(VLOOKUP("COM623420000",Balance!C:G,5,FALSE))=TRUE,0,VLOOKUP("COM623420000",Balance!C:G,5,FALSE))</f>
        <v>17101.850000000002</v>
      </c>
      <c r="D110" s="619">
        <f>+[2]Compiègne!$H110</f>
        <v>15280.050000000001</v>
      </c>
      <c r="E110" s="805">
        <f>IF(ISNA(VLOOKUP("com623410000",Balanceanp!C:G,5,FALSE))=TRUE,0,VLOOKUP("com623410000",Balanceanp!C:G,5,FALSE))+IF(ISNA(VLOOKUP("com623420000",Balanceanp!C:G,5,FALSE))=TRUE,0,VLOOKUP("com623420000",Balanceanp!C:G,5,FALSE))</f>
        <v>16980.46</v>
      </c>
      <c r="F110" s="593">
        <f>+C110+C110/9*(12-Clients!$I$14)</f>
        <v>22802.466666666667</v>
      </c>
      <c r="G110" s="1032">
        <v>16000</v>
      </c>
      <c r="H110" s="1012"/>
      <c r="I110" s="1013">
        <f t="shared" si="12"/>
        <v>0.34286507354139217</v>
      </c>
      <c r="J110" s="1014">
        <f t="shared" si="12"/>
        <v>-0.29832152661846528</v>
      </c>
      <c r="L110" s="17">
        <f t="shared" si="7"/>
        <v>1</v>
      </c>
    </row>
    <row r="111" spans="1:12">
      <c r="A111" s="590" t="s">
        <v>135</v>
      </c>
      <c r="B111" s="591"/>
      <c r="C111" s="805">
        <f>IF(ISNA(VLOOKUP("Com623800000",Balance!C:G,5,FALSE))=TRUE,0,VLOOKUP("Com623800000",Balance!C:G,5,FALSE))+IF(ISNA(VLOOKUP("Com623820000",Balance!C:G,5,FALSE))=TRUE,0,VLOOKUP("Com623820000",Balance!C:G,5,FALSE))</f>
        <v>4</v>
      </c>
      <c r="D111" s="619">
        <f>+[2]Compiègne!$H111</f>
        <v>12.875</v>
      </c>
      <c r="E111" s="805">
        <f>IF(ISNA(VLOOKUP("COM623800000",Balanceanp!C:G,5,FALSE))=TRUE,0,VLOOKUP("COM623800000",Balanceanp!C:G,5,FALSE))</f>
        <v>20</v>
      </c>
      <c r="F111" s="593">
        <f>+C111+C111/9*(12-Clients!$I$14)</f>
        <v>5.333333333333333</v>
      </c>
      <c r="G111" s="1012">
        <f t="shared" si="11"/>
        <v>5.4933333333333332</v>
      </c>
      <c r="H111" s="1012"/>
      <c r="I111" s="1013">
        <f t="shared" si="12"/>
        <v>-0.73333333333333339</v>
      </c>
      <c r="J111" s="1014">
        <f t="shared" si="12"/>
        <v>3.0000000000000027E-2</v>
      </c>
      <c r="L111" s="17">
        <f t="shared" si="7"/>
        <v>1</v>
      </c>
    </row>
    <row r="112" spans="1:12">
      <c r="A112" s="590" t="s">
        <v>136</v>
      </c>
      <c r="B112" s="591"/>
      <c r="C112" s="805">
        <f>IF(ISNA(VLOOKUP("COM625600000",Balance!C:G,5,FALSE))=TRUE,0,VLOOKUP("COM625600000",Balance!C:G,5,FALSE))</f>
        <v>772.5</v>
      </c>
      <c r="D112" s="619">
        <f>+[2]Compiègne!$H112</f>
        <v>1030</v>
      </c>
      <c r="E112" s="805">
        <f>IF(ISNA(VLOOKUP("COM625600000",Balanceanp!C:G,5,FALSE))=TRUE,0,VLOOKUP("COM625600000",Balanceanp!C:G,5,FALSE))</f>
        <v>25.23</v>
      </c>
      <c r="F112" s="593">
        <f>+C112+C112/9*(12-Clients!$I$14)</f>
        <v>1030</v>
      </c>
      <c r="G112" s="1012">
        <f t="shared" si="11"/>
        <v>1060.9000000000001</v>
      </c>
      <c r="H112" s="1012"/>
      <c r="I112" s="1013">
        <f t="shared" si="12"/>
        <v>39.824415378517635</v>
      </c>
      <c r="J112" s="1014">
        <f t="shared" si="12"/>
        <v>3.0000000000000089E-2</v>
      </c>
      <c r="L112" s="17">
        <f t="shared" si="7"/>
        <v>1</v>
      </c>
    </row>
    <row r="113" spans="1:12">
      <c r="A113" s="590" t="s">
        <v>343</v>
      </c>
      <c r="B113" s="591"/>
      <c r="C113" s="1033">
        <f>IF(ISNA(VLOOKUP("com625700000",Balance!C:G,5,FALSE))=TRUE,0,VLOOKUP("com625700000",Balance!C:G,5,FALSE))+IF(ISNA(VLOOKUP("com625710000",Balance!C:G,5,FALSE))=TRUE,0,VLOOKUP("com625710000",Balance!C:G,5,FALSE))</f>
        <v>2602.8200000000002</v>
      </c>
      <c r="D113" s="619">
        <f>+[2]Compiègne!$H113</f>
        <v>5650</v>
      </c>
      <c r="E113" s="805">
        <f>IF(ISNA(VLOOKUP("com625700000",Balanceanp!C:G,5,FALSE))=TRUE,0,VLOOKUP("com625700000",Balanceanp!C:G,5,FALSE))+IF(ISNA(VLOOKUP("com625710000",Balanceanp!C:G,5,FALSE))=TRUE,0,VLOOKUP("com625710000",Balanceanp!C:G,5,FALSE))</f>
        <v>3988.63</v>
      </c>
      <c r="F113" s="593">
        <v>3865.16</v>
      </c>
      <c r="G113" s="1012">
        <v>2000</v>
      </c>
      <c r="H113" s="1012"/>
      <c r="I113" s="1013">
        <f t="shared" si="12"/>
        <v>-3.0955490983119581E-2</v>
      </c>
      <c r="J113" s="1014">
        <f t="shared" si="12"/>
        <v>-0.4825569963468524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IF(ISNA(VLOOKUP("COM623810000",Balance!C:G,5,FALSE))=TRUE,0,VLOOKUP("COM623810000",Balance!C:G,5,FALSE))</f>
        <v>0</v>
      </c>
      <c r="D114" s="117">
        <f>+[2]Compiègne!$H114</f>
        <v>0</v>
      </c>
      <c r="E114" s="160">
        <f>IF(ISNA(VLOOKUP("COM623810000",Balanceanp!C:G,5,FALSE))=TRUE,0,VLOOKUP("COM623810000",Balanceanp!C:G,5,FALSE))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4.8766512616063656E-2</v>
      </c>
      <c r="C116" s="803">
        <f>SUM(C104:C115)</f>
        <v>25939.800000000003</v>
      </c>
      <c r="D116" s="597">
        <f>SUM(D104:D115)</f>
        <v>29832.642</v>
      </c>
      <c r="E116" s="803">
        <f>SUM(E104:E115)</f>
        <v>26203.14</v>
      </c>
      <c r="F116" s="597">
        <f>SUM(F104:F115)</f>
        <v>34981.133333333331</v>
      </c>
      <c r="G116" s="597">
        <f>SUM(G104:G115)</f>
        <v>24954.422533333334</v>
      </c>
      <c r="H116" s="814">
        <f>+G116/$G$21</f>
        <v>3.0756561419111043E-2</v>
      </c>
      <c r="I116" s="596">
        <f>+IF((E116)=0,,(F116-E116)/E116)</f>
        <v>0.33499776489891409</v>
      </c>
      <c r="J116" s="1015">
        <f>+IF((F116)=0,,(G116-F116)/F116)</f>
        <v>-0.28663195970399274</v>
      </c>
      <c r="K116" s="136">
        <f>(C116+(C116/3))</f>
        <v>34586.400000000001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805">
        <f>IF(ISNA(VLOOKUP("COM633300000",Balance!C:G,5,FALSE))=TRUE,0,VLOOKUP("COM633300000",Balance!C:G,5,FALSE))</f>
        <v>981.83</v>
      </c>
      <c r="D118" s="619">
        <f>+[2]Compiègne!$H118</f>
        <v>574.08399999999995</v>
      </c>
      <c r="E118" s="805">
        <f>IF(ISNA(VLOOKUP("COM633300000",Balanceanp!C:G,5,FALSE))=TRUE,0,VLOOKUP("COM633300000",Balanceanp!C:G,5,FALSE))</f>
        <v>706</v>
      </c>
      <c r="F118" s="593">
        <f>+C118+C118/9*(12-Clients!$I$14)</f>
        <v>1309.1066666666668</v>
      </c>
      <c r="G118" s="1030">
        <f>G131*(0.2+0.5)%</f>
        <v>617.92499999999995</v>
      </c>
      <c r="H118" s="1030"/>
      <c r="I118" s="1013">
        <f t="shared" ref="I118:J127" si="13">+IF((E118)=0,,(F118-E118)/E118)</f>
        <v>0.85425873465533542</v>
      </c>
      <c r="J118" s="1014">
        <f t="shared" si="13"/>
        <v>-0.52797964005988829</v>
      </c>
      <c r="L118" s="17">
        <f t="shared" si="7"/>
        <v>1</v>
      </c>
    </row>
    <row r="119" spans="1:12">
      <c r="A119" s="590" t="s">
        <v>140</v>
      </c>
      <c r="B119" s="591"/>
      <c r="C119" s="805">
        <f>IF(ISNA(VLOOKUP("COM633400000",Balance!C:G,5,FALSE))=TRUE,0,VLOOKUP("COM633400000",Balance!C:G,5,FALSE))</f>
        <v>0</v>
      </c>
      <c r="D119" s="619">
        <f>+[2]Compiègne!$H119</f>
        <v>369.05400000000003</v>
      </c>
      <c r="E119" s="805">
        <f>IF(ISNA(VLOOKUP("COM633400000",Balanceanp!C:G,5,FALSE))=TRUE,0,VLOOKUP("COM633400000",Balanceanp!C:G,5,FALSE))</f>
        <v>389</v>
      </c>
      <c r="F119" s="593">
        <f>+C119+C119/9*(12-Clients!$I$14)</f>
        <v>0</v>
      </c>
      <c r="G119" s="1030">
        <f>+G131*0.45%</f>
        <v>397.23750000000007</v>
      </c>
      <c r="H119" s="1030"/>
      <c r="I119" s="1013">
        <f t="shared" si="13"/>
        <v>-1</v>
      </c>
      <c r="J119" s="1014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805">
        <f>IF(ISNA(VLOOKUP("COM633500000",Balance!C:G,5,FALSE))=TRUE,0,VLOOKUP("COM633500000",Balance!C:G,5,FALSE))</f>
        <v>0</v>
      </c>
      <c r="D120" s="619">
        <f>+[2]Compiègne!$H120</f>
        <v>639.69360000000006</v>
      </c>
      <c r="E120" s="805">
        <f>IF(ISNA(VLOOKUP("COM633500000",Balanceanp!C:G,5,FALSE))=TRUE,0,VLOOKUP("COM633500000",Balanceanp!C:G,5,FALSE))</f>
        <v>588</v>
      </c>
      <c r="F120" s="593">
        <f>+C120+C120/9*(12-Clients!$I$14)</f>
        <v>0</v>
      </c>
      <c r="G120" s="1030">
        <f>+G131*(0.6+0.18)%</f>
        <v>688.54500000000007</v>
      </c>
      <c r="H120" s="1030"/>
      <c r="I120" s="1013">
        <f t="shared" si="13"/>
        <v>-1</v>
      </c>
      <c r="J120" s="1014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805">
        <f>IF(ISNA(VLOOKUP("COM635110000",Balance!C:G,5,FALSE))=TRUE,0,VLOOKUP("COM635110000",Balance!C:G,5,FALSE))</f>
        <v>3161.07</v>
      </c>
      <c r="D121" s="619">
        <f>+[2]Compiègne!$H121</f>
        <v>4214.7</v>
      </c>
      <c r="E121" s="805">
        <f>IF(ISNA(VLOOKUP("COM635110000",Balanceanp!C:G,5,FALSE))=TRUE,0,VLOOKUP("COM635110000",Balanceanp!C:G,5,FALSE))</f>
        <v>4014</v>
      </c>
      <c r="F121" s="636">
        <v>2111</v>
      </c>
      <c r="G121" s="636">
        <f>+F121*1.05</f>
        <v>2216.5500000000002</v>
      </c>
      <c r="H121" s="638"/>
      <c r="I121" s="1013">
        <f t="shared" si="13"/>
        <v>-0.47409068261086196</v>
      </c>
      <c r="J121" s="1014">
        <f t="shared" si="13"/>
        <v>5.0000000000000086E-2</v>
      </c>
      <c r="L121" s="17">
        <f t="shared" si="7"/>
        <v>1</v>
      </c>
    </row>
    <row r="122" spans="1:12">
      <c r="A122" s="590" t="s">
        <v>143</v>
      </c>
      <c r="B122" s="591"/>
      <c r="C122" s="805">
        <f>IF(ISNA(VLOOKUP("COM635120000",Balance!C:G,5,FALSE))=TRUE,0,VLOOKUP("COM635120000",Balance!C:G,5,FALSE))</f>
        <v>2264.2199999999998</v>
      </c>
      <c r="D122" s="619">
        <f>+[2]Compiègne!$H122</f>
        <v>3018.96</v>
      </c>
      <c r="E122" s="805">
        <f>IF(ISNA(VLOOKUP("COM635120000",Balanceanp!C:G,5,FALSE))=TRUE,0,VLOOKUP("COM635120000",Balanceanp!C:G,5,FALSE))</f>
        <v>2875.2</v>
      </c>
      <c r="F122" s="631">
        <f>2733.3+601</f>
        <v>3334.3</v>
      </c>
      <c r="G122" s="631">
        <f>2733.3/0.833333333333333*1.05</f>
        <v>3443.9580000000014</v>
      </c>
      <c r="H122" s="638"/>
      <c r="I122" s="1013">
        <f t="shared" si="13"/>
        <v>0.15967584863661671</v>
      </c>
      <c r="J122" s="1014">
        <f t="shared" si="13"/>
        <v>3.2887862519869616E-2</v>
      </c>
      <c r="L122" s="17">
        <f t="shared" si="7"/>
        <v>1</v>
      </c>
    </row>
    <row r="123" spans="1:12">
      <c r="A123" s="590" t="s">
        <v>144</v>
      </c>
      <c r="B123" s="591"/>
      <c r="C123" s="805">
        <f>IF(ISNA(VLOOKUP("COM635130000",Balance!C:G,5,FALSE))=TRUE,0,VLOOKUP("COM635130000",Balance!C:G,5,FALSE))</f>
        <v>0</v>
      </c>
      <c r="D123" s="619">
        <f>+[2]Compiègne!$H123</f>
        <v>50</v>
      </c>
      <c r="E123" s="805">
        <f>IF(ISNA(VLOOKUP("COM635130000",Balanceanp!C:G,5,FALSE))=TRUE,0,VLOOKUP("COM635130000",Balanceanp!C:G,5,FALSE))</f>
        <v>0</v>
      </c>
      <c r="F123" s="593">
        <f>+C123+C123/9*(12-Clients!$I$14)</f>
        <v>0</v>
      </c>
      <c r="G123" s="638">
        <v>50</v>
      </c>
      <c r="H123" s="638"/>
      <c r="I123" s="1013">
        <f t="shared" si="13"/>
        <v>0</v>
      </c>
      <c r="J123" s="1014">
        <f t="shared" si="13"/>
        <v>0</v>
      </c>
      <c r="L123" s="17">
        <f t="shared" si="7"/>
        <v>1</v>
      </c>
    </row>
    <row r="124" spans="1:12">
      <c r="A124" s="590" t="s">
        <v>145</v>
      </c>
      <c r="B124" s="591"/>
      <c r="C124" s="805">
        <f>IF(ISNA(VLOOKUP("COM635140000",Balance!C:G,5,FALSE))=TRUE,0,VLOOKUP("COM635140000",Balance!C:G,5,FALSE))</f>
        <v>208.5</v>
      </c>
      <c r="D124" s="619">
        <f>+[2]Compiègne!$H124</f>
        <v>0</v>
      </c>
      <c r="E124" s="805">
        <f>IF(ISNA(VLOOKUP("COM635140000",Balanceanp!C:G,5,FALSE))=TRUE,0,VLOOKUP("COM635140000",Balanceanp!C:G,5,FALSE))</f>
        <v>11</v>
      </c>
      <c r="F124" s="593">
        <f>+C124+C124/9*(12-Clients!$I$14)</f>
        <v>278</v>
      </c>
      <c r="G124" s="638">
        <v>0</v>
      </c>
      <c r="H124" s="638"/>
      <c r="I124" s="1013">
        <f t="shared" si="13"/>
        <v>24.272727272727273</v>
      </c>
      <c r="J124" s="1014">
        <f t="shared" si="13"/>
        <v>-1</v>
      </c>
      <c r="L124" s="17">
        <f t="shared" si="7"/>
        <v>1</v>
      </c>
    </row>
    <row r="125" spans="1:12" hidden="1">
      <c r="A125" s="5" t="s">
        <v>286</v>
      </c>
      <c r="B125" s="92"/>
      <c r="C125" s="160">
        <f>IF(ISNA(VLOOKUP("COM635300000",Balance!C:G,5,FALSE))=TRUE,0,VLOOKUP("COM635300000",Balance!C:G,5,FALSE))</f>
        <v>0</v>
      </c>
      <c r="D125" s="117">
        <f>+[2]Compiègne!$H125</f>
        <v>0</v>
      </c>
      <c r="E125" s="160">
        <f>IF(ISNA(VLOOKUP("COM635300000",Balanceanp!C:G,5,FALSE))=TRUE,0,VLOOKUP("COM635300000",Balanceanp!C:G,5,FALSE))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IF(ISNA(VLOOKUP("com635400000",Balance!C:G,5,FALSE))=TRUE,0,VLOOKUP("com635400000",Balance!C:G,5,FALSE))</f>
        <v>0</v>
      </c>
      <c r="D126" s="117">
        <f>+[2]Compiègne!$H126</f>
        <v>0</v>
      </c>
      <c r="E126" s="160">
        <f>IF(ISNA(VLOOKUP("com635400000",Balanceanp!C:G,5,FALSE))=TRUE,0,VLOOKUP("com635400000",Balanceanp!C:G,5,FALSE))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805">
        <f>IF(ISNA(VLOOKUP("COM637100000",Balance!C:G,5,FALSE))=TRUE,0,VLOOKUP("COM637100000",Balance!C:G,5,FALSE))</f>
        <v>945.65</v>
      </c>
      <c r="D127" s="619">
        <f>+[2]Compiègne!$H127</f>
        <v>1263.0352</v>
      </c>
      <c r="E127" s="805">
        <f>IF(ISNA(VLOOKUP("COM637100000",Balanceanp!C:G,5,FALSE))=TRUE,0,VLOOKUP("COM637100000",Balanceanp!C:G,5,FALSE))</f>
        <v>1165.18</v>
      </c>
      <c r="F127" s="593">
        <f>+C127+C127/9*(12-Clients!$I$14)</f>
        <v>1260.8666666666668</v>
      </c>
      <c r="G127" s="1030">
        <f>+G51*0.16%</f>
        <v>1281.0924960000002</v>
      </c>
      <c r="H127" s="1030"/>
      <c r="I127" s="1013">
        <f t="shared" si="13"/>
        <v>8.2121789480309237E-2</v>
      </c>
      <c r="J127" s="1014">
        <f t="shared" si="13"/>
        <v>1.604121186485493E-2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1.42150968337637E-2</v>
      </c>
      <c r="C129" s="803">
        <f>SUM(C117:C128)</f>
        <v>7561.27</v>
      </c>
      <c r="D129" s="597">
        <f>SUM(D117:D128)</f>
        <v>10129.526800000001</v>
      </c>
      <c r="E129" s="803">
        <f>SUM(E117:E128)</f>
        <v>9748.380000000001</v>
      </c>
      <c r="F129" s="597">
        <f>SUM(F117:F128)</f>
        <v>8293.2733333333344</v>
      </c>
      <c r="G129" s="597">
        <f>SUM(G117:G128)</f>
        <v>8695.3079960000032</v>
      </c>
      <c r="H129" s="814">
        <f>+G129/$G$21</f>
        <v>1.0717049215618052E-2</v>
      </c>
      <c r="I129" s="596">
        <f>+IF((E129)=0,,(F129-E129)/E129)</f>
        <v>-0.14926651060654861</v>
      </c>
      <c r="J129" s="1015">
        <f>+IF((F129)=0,,(G129-F129)/F129)</f>
        <v>4.8477199111569377E-2</v>
      </c>
      <c r="K129" s="136">
        <f>(C129+(C129/3))</f>
        <v>10081.693333333335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805">
        <f>IF(ISNA(VLOOKUP("COM641100000",Balance!C:G,5,FALSE))=TRUE,0,VLOOKUP("COM641100000",Balance!C:G,5,FALSE))</f>
        <v>60252.37</v>
      </c>
      <c r="D131" s="619">
        <f>+[2]Compiègne!$H131</f>
        <v>82012</v>
      </c>
      <c r="E131" s="805">
        <f>IF(ISNA(VLOOKUP("COM641100000",Balanceanp!C:G,5,FALSE))=TRUE,0,VLOOKUP("COM641100000",Balanceanp!C:G,5,FALSE))</f>
        <v>93629.62</v>
      </c>
      <c r="F131" s="593">
        <f>+C131+C131/9*(12-Clients!$I$14)</f>
        <v>80336.493333333332</v>
      </c>
      <c r="G131" s="1012">
        <v>88275</v>
      </c>
      <c r="H131" s="1012"/>
      <c r="I131" s="1013">
        <f t="shared" ref="I131:J146" si="14">+IF((E131)=0,,(F131-E131)/E131)</f>
        <v>-0.14197565542471136</v>
      </c>
      <c r="J131" s="1014">
        <f t="shared" si="14"/>
        <v>9.8815698038102084E-2</v>
      </c>
      <c r="L131" s="17">
        <v>1</v>
      </c>
    </row>
    <row r="132" spans="1:12" hidden="1">
      <c r="A132" s="5" t="s">
        <v>149</v>
      </c>
      <c r="B132" s="92"/>
      <c r="C132" s="160">
        <f>IF(ISNA(VLOOKUP("COM641110000",Balance!C:G,5,FALSE))=TRUE,0,VLOOKUP("COM641110000",Balance!C:G,5,FALSE))</f>
        <v>0</v>
      </c>
      <c r="D132" s="117">
        <f>+[2]Compiègne!$H132</f>
        <v>0</v>
      </c>
      <c r="E132" s="160">
        <f>IF(ISNA(VLOOKUP("COM641110000",Balanceanp!C:G,5,FALSE))=TRUE,0,VLOOKUP("COM641110000",Balanceanp!C:G,5,FALSE))</f>
        <v>-75</v>
      </c>
      <c r="F132" s="368">
        <f>+C132+C132/9*(12-Clients!$I$14)</f>
        <v>0</v>
      </c>
      <c r="G132" s="395"/>
      <c r="H132" s="401"/>
      <c r="I132" s="149">
        <f t="shared" si="14"/>
        <v>-1</v>
      </c>
      <c r="J132" s="271">
        <f t="shared" si="14"/>
        <v>0</v>
      </c>
      <c r="L132" s="17">
        <v>0</v>
      </c>
    </row>
    <row r="133" spans="1:12" hidden="1">
      <c r="A133" s="5" t="s">
        <v>150</v>
      </c>
      <c r="B133" s="92"/>
      <c r="C133" s="160">
        <f>IF(ISNA(VLOOKUP("COM641111000",Balance!C:G,5,FALSE))=TRUE,0,VLOOKUP("COM641111000",Balance!C:G,5,FALSE))</f>
        <v>0</v>
      </c>
      <c r="D133" s="117">
        <f>+[2]Compiègne!$H133</f>
        <v>0</v>
      </c>
      <c r="E133" s="160">
        <f>IF(ISNA(VLOOKUP("COM641111000",Balanceanp!C:G,5,FALSE))=TRUE,0,VLOOKUP("COM641111000",Balanceanp!C:G,5,FALSE))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IF(ISNA(VLOOKUP("COM641200000",Balance!C:G,5,FALSE))=TRUE,0,VLOOKUP("COM641200000",Balance!C:G,5,FALSE))</f>
        <v>0</v>
      </c>
      <c r="D134" s="117">
        <f>+[2]Compiègne!$H134</f>
        <v>0</v>
      </c>
      <c r="E134" s="160">
        <f>IF(ISNA(VLOOKUP("COM641200000",Balanceanp!C:G,5,FALSE))=TRUE,0,VLOOKUP("COM641200000",Balanceanp!C:G,5,FALSE))</f>
        <v>204.71000000000004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IF(ISNA(VLOOKUP("COM621100000",Balance!C:G,5,FALSE))=TRUE,0,VLOOKUP("COM621100000",Balance!C:G,5,FALSE))</f>
        <v>150.76</v>
      </c>
      <c r="D135" s="117">
        <f>+[2]Compiègne!$H135</f>
        <v>0</v>
      </c>
      <c r="E135" s="160">
        <f>IF(ISNA(VLOOKUP("COM621100000",Balanceanp!C:G,5,FALSE))=TRUE,0,VLOOKUP("COM621100000",Balanceanp!C:G,5,FALSE))</f>
        <v>0</v>
      </c>
      <c r="F135" s="368">
        <f>+C135+C135/9*(12-Clients!$I$14)</f>
        <v>201.01333333333332</v>
      </c>
      <c r="G135" s="395"/>
      <c r="H135" s="401"/>
      <c r="I135" s="149">
        <f t="shared" si="14"/>
        <v>0</v>
      </c>
      <c r="J135" s="271">
        <f t="shared" si="14"/>
        <v>-1</v>
      </c>
      <c r="L135" s="17">
        <v>0</v>
      </c>
    </row>
    <row r="136" spans="1:12" hidden="1">
      <c r="A136" s="5" t="s">
        <v>338</v>
      </c>
      <c r="B136" s="92"/>
      <c r="C136" s="160">
        <f>IF(ISNA(VLOOKUP("COM621200000",Balance!C:G,5,FALSE))=TRUE,0,VLOOKUP("COM621200000",Balance!C:G,5,FALSE))</f>
        <v>0</v>
      </c>
      <c r="D136" s="117">
        <f>+[2]Compiègne!$H136</f>
        <v>0</v>
      </c>
      <c r="E136" s="160">
        <f>IF(ISNA(VLOOKUP("COM621200000",Balanceanp!C:G,5,FALSE))=TRUE,0,VLOOKUP("COM621200000",Balanceanp!C:G,5,FALSE))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IF(ISNA(VLOOKUP("COM706100000",Balance!C:G,5,FALSE))=TRUE,0,-VLOOKUP("COM706100000",Balance!C:G,5,FALSE))</f>
        <v>0</v>
      </c>
      <c r="D137" s="117">
        <f>+[2]Compiègne!$H137</f>
        <v>0</v>
      </c>
      <c r="E137" s="160">
        <f>IF(ISNA(VLOOKUP("COM706100000",Balanceanp!C:G,5,FALSE))=TRUE,0,-VLOOKUP("COM706100000",Balanceanp!C:G,5,FALSE))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IF(ISNA(VLOOKUP("COM641210000",Balance!C:G,5,FALSE))=TRUE,0,VLOOKUP("COM641210000",Balance!C:G,5,FALSE))</f>
        <v>0</v>
      </c>
      <c r="D138" s="117">
        <f>+[2]Compiègne!$H138</f>
        <v>0</v>
      </c>
      <c r="E138" s="160">
        <f>IF(ISNA(VLOOKUP("COM641210000",Balanceanp!C:G,5,FALSE))=TRUE,0,VLOOKUP("COM641210000",Balanceanp!C:G,5,FALSE))</f>
        <v>26.619999999999891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IF(ISNA(VLOOKUP("COM641400000",Balance!C:G,5,FALSE))=TRUE,0,VLOOKUP("COM641400000",Balance!C:G,5,FALSE))</f>
        <v>0</v>
      </c>
      <c r="D139" s="117">
        <f>+[2]Compiègne!$H139</f>
        <v>0</v>
      </c>
      <c r="E139" s="160">
        <f>IF(ISNA(VLOOKUP("COM641400000",Balanceanp!C:G,5,FALSE))=TRUE,0,VLOOKUP("COM641400000",Balanceanp!C:G,5,FALSE))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>
      <c r="A140" s="590" t="s">
        <v>154</v>
      </c>
      <c r="B140" s="591"/>
      <c r="C140" s="805">
        <f>IF(ISNA(VLOOKUP("COM641600000",Balance!C:G,5,FALSE))=TRUE,0,VLOOKUP("COM641600000",Balance!C:G,5,FALSE))</f>
        <v>-0.01</v>
      </c>
      <c r="D140" s="619">
        <f>+[2]Compiègne!$H140</f>
        <v>0</v>
      </c>
      <c r="E140" s="805">
        <f>IF(ISNA(VLOOKUP("COM641600000",Balanceanp!C:G,5,FALSE))=TRUE,0,VLOOKUP("COM641600000",Balanceanp!C:G,5,FALSE))</f>
        <v>0</v>
      </c>
      <c r="F140" s="593">
        <f>+C140+C140/9*(12-Clients!$I$14)</f>
        <v>-1.3333333333333332E-2</v>
      </c>
      <c r="G140" s="1012"/>
      <c r="H140" s="1012"/>
      <c r="I140" s="1013">
        <f t="shared" si="14"/>
        <v>0</v>
      </c>
      <c r="J140" s="1014">
        <f t="shared" si="14"/>
        <v>-1</v>
      </c>
      <c r="L140" s="17">
        <f t="shared" si="15"/>
        <v>1</v>
      </c>
    </row>
    <row r="141" spans="1:12">
      <c r="A141" s="590" t="s">
        <v>155</v>
      </c>
      <c r="B141" s="591"/>
      <c r="C141" s="805">
        <f>IF(ISNA(VLOOKUP("COM645100000",Balance!C:G,5,FALSE))=TRUE,0,VLOOKUP("COM645100000",Balance!C:G,5,FALSE))</f>
        <v>17559.23</v>
      </c>
      <c r="D141" s="619">
        <f>+[2]Compiègne!$H141</f>
        <v>24824.878709229291</v>
      </c>
      <c r="E141" s="805">
        <f>IF(ISNA(VLOOKUP("COM645100000",Balanceanp!C:G,5,FALSE))=TRUE,0,VLOOKUP("COM645100000",Balanceanp!C:G,5,FALSE))</f>
        <v>27566.03</v>
      </c>
      <c r="F141" s="593">
        <f>+C141+C141/9*(12-Clients!$I$14)</f>
        <v>23412.306666666664</v>
      </c>
      <c r="G141" s="1030">
        <f t="shared" ref="G141:G146" si="16">+($G$131/$C$131*C141)*1.01</f>
        <v>25983.068193541596</v>
      </c>
      <c r="H141" s="1030"/>
      <c r="I141" s="1013">
        <f t="shared" si="14"/>
        <v>-0.15068268203050406</v>
      </c>
      <c r="J141" s="1014">
        <f t="shared" si="14"/>
        <v>0.10980385501848312</v>
      </c>
      <c r="L141" s="17">
        <f t="shared" si="15"/>
        <v>1</v>
      </c>
    </row>
    <row r="142" spans="1:12">
      <c r="A142" s="590" t="s">
        <v>156</v>
      </c>
      <c r="B142" s="591"/>
      <c r="C142" s="805">
        <f>IF(ISNA(VLOOKUP("COM645200000",Balance!C:G,5,FALSE))=TRUE,0,VLOOKUP("COM645200000",Balance!C:G,5,FALSE))</f>
        <v>2964.27</v>
      </c>
      <c r="D142" s="619">
        <f>+[2]Compiègne!$H142</f>
        <v>2737.4541005966948</v>
      </c>
      <c r="E142" s="805">
        <f>IF(ISNA(VLOOKUP("COM645200000",Balanceanp!C:G,5,FALSE))=TRUE,0,VLOOKUP("COM645200000",Balanceanp!C:G,5,FALSE))</f>
        <v>3185.52</v>
      </c>
      <c r="F142" s="593">
        <f>+C142+C142/9*(12-Clients!$I$14)</f>
        <v>3952.36</v>
      </c>
      <c r="G142" s="1030">
        <f t="shared" si="16"/>
        <v>4386.3443644208519</v>
      </c>
      <c r="H142" s="1030"/>
      <c r="I142" s="1013">
        <f t="shared" si="14"/>
        <v>0.24072678871895331</v>
      </c>
      <c r="J142" s="1014">
        <f t="shared" si="14"/>
        <v>0.10980385501848307</v>
      </c>
      <c r="L142" s="17">
        <f t="shared" si="15"/>
        <v>1</v>
      </c>
    </row>
    <row r="143" spans="1:12">
      <c r="A143" s="590" t="s">
        <v>157</v>
      </c>
      <c r="B143" s="591"/>
      <c r="C143" s="805">
        <f>IF(ISNA(VLOOKUP("COM645300000",Balance!C:G,5,FALSE))=TRUE,0,VLOOKUP("COM645300000",Balance!C:G,5,FALSE))</f>
        <v>3673.94</v>
      </c>
      <c r="D143" s="619">
        <f>+[2]Compiègne!$H143</f>
        <v>5621.111083671346</v>
      </c>
      <c r="E143" s="805">
        <f>IF(ISNA(VLOOKUP("COM645300000",Balanceanp!C:G,5,FALSE))=TRUE,0,VLOOKUP("COM645300000",Balanceanp!C:G,5,FALSE))</f>
        <v>6376.57</v>
      </c>
      <c r="F143" s="593">
        <f>+C143+C143/9*(12-Clients!$I$14)</f>
        <v>4898.586666666667</v>
      </c>
      <c r="G143" s="1030">
        <f t="shared" si="16"/>
        <v>5436.4703668088068</v>
      </c>
      <c r="H143" s="1030"/>
      <c r="I143" s="1013">
        <f t="shared" si="14"/>
        <v>-0.23178344052262154</v>
      </c>
      <c r="J143" s="1014">
        <f t="shared" si="14"/>
        <v>0.10980385501848283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IF(ISNA(VLOOKUP("COM645310000",Balance!C:G,5,FALSE))=TRUE,0,VLOOKUP("COM645310000",Balance!C:G,5,FALSE))</f>
        <v>0</v>
      </c>
      <c r="D144" s="117">
        <f>+[2]Compiègne!$H144</f>
        <v>0</v>
      </c>
      <c r="E144" s="160">
        <f>IF(ISNA(VLOOKUP("COM645310000",Balanceanp!C:G,5,FALSE))=TRUE,0,VLOOKUP("COM645310000",Balanceanp!C:G,5,FALSE))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805">
        <f>IF(ISNA(VLOOKUP("COM645400000",Balance!C:G,5,FALSE))=TRUE,0,VLOOKUP("COM645400000",Balance!C:G,5,FALSE))</f>
        <v>2287.1999999999998</v>
      </c>
      <c r="D145" s="619">
        <f>+[2]Compiègne!$H145</f>
        <v>3191.5338267843272</v>
      </c>
      <c r="E145" s="805">
        <f>IF(ISNA(VLOOKUP("COM645400000",Balanceanp!C:G,5,FALSE))=TRUE,0,VLOOKUP("COM645400000",Balanceanp!C:G,5,FALSE))</f>
        <v>3677.49</v>
      </c>
      <c r="F145" s="593">
        <f>+C145+C145/9*(12-Clients!$I$14)</f>
        <v>3049.6</v>
      </c>
      <c r="G145" s="1030">
        <f t="shared" si="16"/>
        <v>3384.4578362643656</v>
      </c>
      <c r="H145" s="1030"/>
      <c r="I145" s="1013">
        <f t="shared" si="14"/>
        <v>-0.17073873756284855</v>
      </c>
      <c r="J145" s="1014">
        <f t="shared" si="14"/>
        <v>0.10980385501848298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IF(ISNA(VLOOKUP("COM645800000",Balance!C:G,5,FALSE))=TRUE,0,VLOOKUP("COM645800000",Balance!C:G,5,FALSE))</f>
        <v>0</v>
      </c>
      <c r="D146" s="117">
        <f>+[2]Compiègne!$H146</f>
        <v>0</v>
      </c>
      <c r="E146" s="160">
        <f>IF(ISNA(VLOOKUP("COM645800000",Balanceanp!C:G,5,FALSE))=TRUE,0,VLOOKUP("COM645800000",Balanceanp!C:G,5,FALSE))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805">
        <f>IF(ISNA(VLOOKUP("COM645900000",Balance!C:G,5,FALSE))=TRUE,0,VLOOKUP("COM645900000",Balance!C:G,5,FALSE))</f>
        <v>331.2</v>
      </c>
      <c r="D147" s="619">
        <f>+[2]Compiègne!$H147</f>
        <v>-31.304831393124999</v>
      </c>
      <c r="E147" s="805">
        <f>IF(ISNA(VLOOKUP("COM645900000",Balanceanp!C:G,5,FALSE))=TRUE,0,VLOOKUP("COM645900000",Balanceanp!C:G,5,FALSE))</f>
        <v>-33.159999999999997</v>
      </c>
      <c r="F147" s="593">
        <f>+C147+C147/9*(12-Clients!$I$14)</f>
        <v>441.59999999999997</v>
      </c>
      <c r="G147" s="1030">
        <f>+F147*1.03</f>
        <v>454.84799999999996</v>
      </c>
      <c r="H147" s="1030"/>
      <c r="I147" s="1013">
        <f t="shared" ref="I147:J152" si="17">+IF((E147)=0,,(F147-E147)/E147)</f>
        <v>-14.317249698431846</v>
      </c>
      <c r="J147" s="1014">
        <f t="shared" si="17"/>
        <v>2.9999999999999982E-2</v>
      </c>
      <c r="L147" s="17">
        <f t="shared" si="15"/>
        <v>1</v>
      </c>
    </row>
    <row r="148" spans="1:12">
      <c r="A148" s="590" t="s">
        <v>161</v>
      </c>
      <c r="B148" s="591"/>
      <c r="C148" s="805">
        <f>IF(ISNA(VLOOKUP("COM647100000",Balance!C:G,5,FALSE))=TRUE,0,VLOOKUP("COM647100000",Balance!C:G,5,FALSE))</f>
        <v>0</v>
      </c>
      <c r="D148" s="619">
        <f>+[2]Compiègne!$H148</f>
        <v>25.265333500000001</v>
      </c>
      <c r="E148" s="805">
        <f>IF(ISNA(VLOOKUP("COM647100000",Balanceanp!C:G,5,FALSE))=TRUE,0,VLOOKUP("COM647100000",Balanceanp!C:G,5,FALSE))</f>
        <v>39.6</v>
      </c>
      <c r="F148" s="593">
        <f>+C148+C148/9*(12-Clients!$I$14)</f>
        <v>0</v>
      </c>
      <c r="G148" s="1030">
        <f>+F148*1.03</f>
        <v>0</v>
      </c>
      <c r="H148" s="1030"/>
      <c r="I148" s="1013">
        <f t="shared" si="17"/>
        <v>-1</v>
      </c>
      <c r="J148" s="1014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805">
        <f>IF(ISNA(VLOOKUP("COM647400000",Balance!C:G,5,FALSE))=TRUE,0,VLOOKUP("COM647400000",Balance!C:G,5,FALSE))</f>
        <v>0</v>
      </c>
      <c r="D149" s="619">
        <f>+[2]Compiègne!$H149</f>
        <v>0</v>
      </c>
      <c r="E149" s="805">
        <f>IF(ISNA(VLOOKUP("COM647400000",Balanceanp!C:G,5,FALSE))=TRUE,0,VLOOKUP("COM647400000",Balanceanp!C:G,5,FALSE))</f>
        <v>99.4</v>
      </c>
      <c r="F149" s="593">
        <f>+C149+C149/9*(12-Clients!$I$14)</f>
        <v>0</v>
      </c>
      <c r="G149" s="1030">
        <f>+F149*1.03</f>
        <v>0</v>
      </c>
      <c r="H149" s="1030"/>
      <c r="I149" s="1013">
        <f t="shared" si="17"/>
        <v>-1</v>
      </c>
      <c r="J149" s="1014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805">
        <f>IF(ISNA(VLOOKUP("COM647500000",Balance!C:G,5,FALSE))=TRUE,0,VLOOKUP("COM647500000",Balance!C:G,5,FALSE))</f>
        <v>204</v>
      </c>
      <c r="D150" s="619">
        <f>+[2]Compiègne!$H150</f>
        <v>190.98741634795138</v>
      </c>
      <c r="E150" s="805">
        <f>IF(ISNA(VLOOKUP("COM647500000",Balanceanp!C:G,5,FALSE))=TRUE,0,VLOOKUP("COM647500000",Balanceanp!C:G,5,FALSE))</f>
        <v>185</v>
      </c>
      <c r="F150" s="593">
        <f>+C150+C150/9*(12-Clients!$I$14)</f>
        <v>272</v>
      </c>
      <c r="G150" s="1030">
        <f>+F150*1.03</f>
        <v>280.16000000000003</v>
      </c>
      <c r="H150" s="1030"/>
      <c r="I150" s="1013">
        <f t="shared" si="17"/>
        <v>0.4702702702702703</v>
      </c>
      <c r="J150" s="1014">
        <f t="shared" si="17"/>
        <v>3.0000000000000093E-2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+[2]Compiègne!$H151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805">
        <f>IF(ISNA(VLOOKUP("COM648000000",Balance!C:G,5,FALSE))=TRUE,0,VLOOKUP("COM648000000",Balance!C:G,5,FALSE))</f>
        <v>0</v>
      </c>
      <c r="D152" s="619">
        <f>+[2]Compiègne!$H152</f>
        <v>0</v>
      </c>
      <c r="E152" s="805">
        <f>IF(ISNA(VLOOKUP("COM648000000",Balanceanp!C:G,5,FALSE))=TRUE,0,VLOOKUP("COM648000000",Balanceanp!C:G,5,FALSE))</f>
        <v>378.25840000000005</v>
      </c>
      <c r="F152" s="593">
        <f>+C152+C152/9*(12-Clients!$I$14)</f>
        <v>0</v>
      </c>
      <c r="G152" s="1030">
        <f>+F152*1.03</f>
        <v>0</v>
      </c>
      <c r="H152" s="1030">
        <f>SUM(G141:G152)</f>
        <v>39925.348761035624</v>
      </c>
      <c r="I152" s="1013">
        <f t="shared" si="17"/>
        <v>-1</v>
      </c>
      <c r="J152" s="1014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0.16435411536610259</v>
      </c>
      <c r="C154" s="803">
        <f>SUM(C130:C153)</f>
        <v>87422.96</v>
      </c>
      <c r="D154" s="597">
        <f>SUM(D130:D153)</f>
        <v>118571.9256387365</v>
      </c>
      <c r="E154" s="803">
        <f>SUM(E130:E153)</f>
        <v>135260.65839999999</v>
      </c>
      <c r="F154" s="597">
        <f>SUM(F130:F153)</f>
        <v>116563.94666666667</v>
      </c>
      <c r="G154" s="597">
        <f>SUM(G130:G153)</f>
        <v>128200.34876103561</v>
      </c>
      <c r="H154" s="814">
        <f>+G154/$G$21</f>
        <v>0.15800814045499589</v>
      </c>
      <c r="I154" s="596">
        <f>+IF((E154)=0,,(F154-E154)/E154)</f>
        <v>-0.13822727136254512</v>
      </c>
      <c r="J154" s="1015">
        <f>+IF((F154)=0,,(G154-F154)/F154)</f>
        <v>9.9828484082175942E-2</v>
      </c>
      <c r="K154" s="136">
        <f>(C154+(C154/3))</f>
        <v>116563.94666666667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0.92430000000000001</v>
      </c>
      <c r="C156" s="805">
        <f>IF(ISNA(VLOOKUP("COM681740000",Balance!C:G,5,FALSE))=TRUE,0,VLOOKUP("COM681740000",Balance!C:G,5,FALSE))</f>
        <v>3193.1</v>
      </c>
      <c r="D156" s="619">
        <f>+[2]Compiègne!$H156</f>
        <v>12029.270065539999</v>
      </c>
      <c r="E156" s="805">
        <f>IF(ISNA(VLOOKUP("COM681740000",Balanceanp!C:G,5,FALSE))=TRUE,0,VLOOKUP("COM681740000",Balanceanp!C:G,5,FALSE))</f>
        <v>1172.52</v>
      </c>
      <c r="F156" s="593">
        <f>+C156+C156/9*(12-Clients!$I$14)</f>
        <v>4257.4666666666672</v>
      </c>
      <c r="G156" s="636">
        <f>+G21*B156*1.62%</f>
        <v>12148.921116984602</v>
      </c>
      <c r="H156" s="1034"/>
      <c r="I156" s="1013">
        <f t="shared" ref="I156:J166" si="18">+IF((E156)=0,,(F156-E156)/E156)</f>
        <v>2.6310396979724588</v>
      </c>
      <c r="J156" s="1014">
        <f t="shared" si="18"/>
        <v>1.8535563677111428</v>
      </c>
      <c r="L156" s="17">
        <f t="shared" si="15"/>
        <v>1</v>
      </c>
    </row>
    <row r="157" spans="1:12">
      <c r="A157" s="590" t="s">
        <v>165</v>
      </c>
      <c r="B157" s="591"/>
      <c r="C157" s="805">
        <f>IF(ISNA(VLOOKUP("COM781740000",Balance!C:G,5,FALSE))=TRUE,0,VLOOKUP("COM781740000",Balance!C:G,5,FALSE))</f>
        <v>0</v>
      </c>
      <c r="D157" s="619">
        <f>+[2]Compiègne!$H157</f>
        <v>0</v>
      </c>
      <c r="E157" s="805">
        <f>IF(ISNA(VLOOKUP("COM781740000",Balanceanp!C:G,5,FALSE))=TRUE,0,VLOOKUP("COM781740000",Balanceanp!C:G,5,FALSE))</f>
        <v>-464.71</v>
      </c>
      <c r="F157" s="593">
        <f>+C157+C157/9*(12-Clients!$I$14)</f>
        <v>0</v>
      </c>
      <c r="G157" s="1030">
        <v>0</v>
      </c>
      <c r="H157" s="1030"/>
      <c r="I157" s="1013">
        <f t="shared" si="18"/>
        <v>-1</v>
      </c>
      <c r="J157" s="1014">
        <f t="shared" si="18"/>
        <v>0</v>
      </c>
      <c r="L157" s="17">
        <f t="shared" si="15"/>
        <v>1</v>
      </c>
    </row>
    <row r="158" spans="1:12" hidden="1">
      <c r="A158" s="5" t="s">
        <v>166</v>
      </c>
      <c r="B158" s="92"/>
      <c r="C158" s="160">
        <f>IF(ISNA(VLOOKUP("COM654400000",Balance!C:G,5,FALSE))=TRUE,0,VLOOKUP("COM654400000",Balance!C:G,5,FALSE))</f>
        <v>0</v>
      </c>
      <c r="D158" s="117">
        <f>+[2]Compiègne!$H158</f>
        <v>0</v>
      </c>
      <c r="E158" s="160">
        <f>IF(ISNA(VLOOKUP("COM654400000",Balanceanp!C:G,5,FALSE))=TRUE,0,VLOOKUP("COM654400000",Balanceanp!C:G,5,FALSE))</f>
        <v>0</v>
      </c>
      <c r="F158" s="368">
        <f>+C158+C158/9*(12-Clients!$I$14)</f>
        <v>0</v>
      </c>
      <c r="G158" s="396">
        <v>0</v>
      </c>
      <c r="H158" s="409"/>
      <c r="I158" s="149">
        <f t="shared" si="18"/>
        <v>0</v>
      </c>
      <c r="J158" s="271">
        <f t="shared" si="18"/>
        <v>0</v>
      </c>
      <c r="L158" s="17">
        <f t="shared" si="15"/>
        <v>0</v>
      </c>
    </row>
    <row r="159" spans="1:12" hidden="1">
      <c r="A159" s="5" t="s">
        <v>60</v>
      </c>
      <c r="B159" s="92"/>
      <c r="C159" s="160">
        <f>IF(ISNA(VLOOKUP("COM791100000",Balance!C:G,5,FALSE))=TRUE,0,VLOOKUP("COM791100000",Balance!C:G,5,FALSE))</f>
        <v>0</v>
      </c>
      <c r="D159" s="117">
        <f>+[2]Compiègne!$H159</f>
        <v>0</v>
      </c>
      <c r="E159" s="160">
        <f>IF(ISNA(VLOOKUP("COM791100000",Balanceanp!C:G,5,FALSE))=TRUE,0,VLOOKUP("COM791100000",Balanceanp!C:G,5,FALSE))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8"/>
        <v>0</v>
      </c>
      <c r="J159" s="271">
        <f t="shared" si="18"/>
        <v>0</v>
      </c>
      <c r="L159" s="17">
        <f t="shared" si="15"/>
        <v>0</v>
      </c>
    </row>
    <row r="160" spans="1:12">
      <c r="A160" s="590" t="s">
        <v>199</v>
      </c>
      <c r="B160" s="591"/>
      <c r="C160" s="805">
        <f>IF(ISNA(VLOOKUP("COM654100000",Balance!C:G,5,FALSE))=TRUE,0,VLOOKUP("COM654100000",Balance!C:G,5,FALSE))</f>
        <v>1.6799999999999997</v>
      </c>
      <c r="D160" s="619">
        <f>+[2]Compiègne!$H160</f>
        <v>0</v>
      </c>
      <c r="E160" s="805">
        <f>IF(ISNA(VLOOKUP("COM654100000",Balanceanp!C:G,5,FALSE))=TRUE,0,VLOOKUP("COM654100000",Balanceanp!C:G,5,FALSE))</f>
        <v>1.5899999999999999</v>
      </c>
      <c r="F160" s="593">
        <f>+C160+C160/9*(12-Clients!$I$14)</f>
        <v>2.2399999999999998</v>
      </c>
      <c r="G160" s="1030">
        <v>0</v>
      </c>
      <c r="H160" s="1030"/>
      <c r="I160" s="1013">
        <f t="shared" si="18"/>
        <v>0.40880503144654085</v>
      </c>
      <c r="J160" s="1014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805">
        <f>IF(ISNA(VLOOKUP("COM622700000",Balance!C:G,5,FALSE))=TRUE,0,VLOOKUP("COM622700000",Balance!C:G,5,FALSE))</f>
        <v>100</v>
      </c>
      <c r="D161" s="619">
        <f>+[2]Compiègne!$H161</f>
        <v>88.849478021245488</v>
      </c>
      <c r="E161" s="805">
        <f>IF(ISNA(VLOOKUP("COM622700000",Balanceanp!C:G,5,FALSE))=TRUE,0,VLOOKUP("COM622700000",Balanceanp!C:G,5,FALSE))</f>
        <v>54.2</v>
      </c>
      <c r="F161" s="593">
        <f>+C161+C161/9*(12-Clients!$I$14)</f>
        <v>133.33333333333331</v>
      </c>
      <c r="G161" s="1030">
        <f t="shared" ref="G161:G166" si="19">+F161*1.03</f>
        <v>137.33333333333331</v>
      </c>
      <c r="H161" s="1030"/>
      <c r="I161" s="1013">
        <f t="shared" si="18"/>
        <v>1.460024600246002</v>
      </c>
      <c r="J161" s="1014">
        <f t="shared" si="18"/>
        <v>3.0000000000000006E-2</v>
      </c>
      <c r="L161" s="17">
        <f t="shared" si="15"/>
        <v>1</v>
      </c>
    </row>
    <row r="162" spans="1:12">
      <c r="A162" s="590" t="s">
        <v>355</v>
      </c>
      <c r="B162" s="591"/>
      <c r="C162" s="805">
        <f>IF(ISNA(VLOOKUP("COM654200000",Balance!C:G,5,FALSE))=TRUE,0,VLOOKUP("COM654200000",Balance!C:G,5,FALSE))</f>
        <v>14.36</v>
      </c>
      <c r="D162" s="619">
        <f>+[2]Compiègne!$H162</f>
        <v>8.6323376013822912</v>
      </c>
      <c r="E162" s="805">
        <f>IF(ISNA(VLOOKUP("COM654200000",Balanceanp!C:G,5,FALSE))=TRUE,0,VLOOKUP("COM654200000",Balanceanp!C:G,5,FALSE))</f>
        <v>10.77</v>
      </c>
      <c r="F162" s="593">
        <f>+C162+C162/9*(12-Clients!$I$14)</f>
        <v>19.146666666666665</v>
      </c>
      <c r="G162" s="1030">
        <f t="shared" si="19"/>
        <v>19.721066666666665</v>
      </c>
      <c r="H162" s="1030"/>
      <c r="I162" s="1013">
        <f t="shared" si="18"/>
        <v>0.77777777777777768</v>
      </c>
      <c r="J162" s="1014">
        <f t="shared" si="18"/>
        <v>3.0000000000000041E-2</v>
      </c>
      <c r="L162" s="17">
        <f t="shared" si="15"/>
        <v>1</v>
      </c>
    </row>
    <row r="163" spans="1:12">
      <c r="A163" s="590" t="s">
        <v>200</v>
      </c>
      <c r="B163" s="591"/>
      <c r="C163" s="805">
        <f>IF(ISNA(VLOOKUP("COM665000000",Balance!C:G,5,FALSE))=TRUE,0,VLOOKUP("COM665000000",Balance!C:G,5,FALSE))+IF(ISNA(VLOOKUP("COM665100000",Balance!C:G,5,FALSE))=TRUE,0,VLOOKUP("COM665100000",Balance!C:G,5,FALSE))</f>
        <v>289.48</v>
      </c>
      <c r="D163" s="619">
        <f>+[2]Compiègne!$H163</f>
        <v>541.58464286278786</v>
      </c>
      <c r="E163" s="805">
        <f>IF(ISNA(VLOOKUP("COM665000000",Balanceanp!C:G,5,FALSE))=TRUE,0,VLOOKUP("COM665000000",Balanceanp!C:G,5,FALSE))+IF(ISNA(VLOOKUP("COM665100000",Balanceanp!C:G,5,FALSE))=TRUE,0,VLOOKUP("COM665100000",Balanceanp!C:G,5,FALSE))</f>
        <v>545.42999999999995</v>
      </c>
      <c r="F163" s="593">
        <f>+C163+C163/9*(12-Clients!$I$14)</f>
        <v>385.97333333333336</v>
      </c>
      <c r="G163" s="1030">
        <f t="shared" si="19"/>
        <v>397.55253333333337</v>
      </c>
      <c r="H163" s="1030"/>
      <c r="I163" s="1013">
        <f t="shared" si="18"/>
        <v>-0.29235037798923164</v>
      </c>
      <c r="J163" s="1014">
        <f t="shared" si="18"/>
        <v>3.0000000000000037E-2</v>
      </c>
      <c r="L163" s="17">
        <f t="shared" si="15"/>
        <v>1</v>
      </c>
    </row>
    <row r="164" spans="1:12">
      <c r="A164" s="590" t="s">
        <v>271</v>
      </c>
      <c r="B164" s="591"/>
      <c r="C164" s="805">
        <f>IF(ISNA(VLOOKUP("COM763000000",Balance!C:G,5,FALSE))=TRUE,0,VLOOKUP("COM763000000",Balance!C:G,5,FALSE))</f>
        <v>0</v>
      </c>
      <c r="D164" s="619">
        <f>+[2]Compiègne!$H164</f>
        <v>-6.689092177500001</v>
      </c>
      <c r="E164" s="805">
        <f>IF(ISNA(VLOOKUP("COM763000000",Balanceanp!C:G,5,FALSE))=TRUE,0,VLOOKUP("COM763000000",Balanceanp!C:G,5,FALSE))</f>
        <v>9</v>
      </c>
      <c r="F164" s="593">
        <f>+C164+C164/9*(12-Clients!$I$14)</f>
        <v>0</v>
      </c>
      <c r="G164" s="1030">
        <f t="shared" si="19"/>
        <v>0</v>
      </c>
      <c r="H164" s="1030"/>
      <c r="I164" s="1013">
        <f t="shared" si="18"/>
        <v>-1</v>
      </c>
      <c r="J164" s="1014">
        <f t="shared" si="18"/>
        <v>0</v>
      </c>
      <c r="L164" s="17">
        <f t="shared" si="15"/>
        <v>1</v>
      </c>
    </row>
    <row r="165" spans="1:12">
      <c r="A165" s="590" t="s">
        <v>242</v>
      </c>
      <c r="B165" s="591"/>
      <c r="C165" s="805">
        <f>IF(ISNA(VLOOKUP("COM627520000",Balance!C:G,5,FALSE))=TRUE,0,VLOOKUP("COM627520000",Balance!C:G,5,FALSE))</f>
        <v>63</v>
      </c>
      <c r="D165" s="619">
        <f>+[2]Compiègne!$H165</f>
        <v>84.492284062499991</v>
      </c>
      <c r="E165" s="805">
        <f>IF(ISNA(VLOOKUP("COM627520000",Balanceanp!C:G,5,FALSE))=TRUE,0,VLOOKUP("COM627520000",Balanceanp!C:G,5,FALSE))</f>
        <v>36</v>
      </c>
      <c r="F165" s="593">
        <f>+C165+C165/9*(12-Clients!$I$14)</f>
        <v>84</v>
      </c>
      <c r="G165" s="1030">
        <f t="shared" si="19"/>
        <v>86.52</v>
      </c>
      <c r="H165" s="1030"/>
      <c r="I165" s="1013">
        <f t="shared" si="18"/>
        <v>1.3333333333333333</v>
      </c>
      <c r="J165" s="1014">
        <f t="shared" si="18"/>
        <v>2.9999999999999954E-2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IF(ISNA(VLOOKUP("COM763100000",Balance!C:G,5,FALSE))=TRUE,0,VLOOKUP("COM763100000",Balance!C:G,5,FALSE))</f>
        <v>0</v>
      </c>
      <c r="D166" s="117">
        <f>+[2]Compiègne!$H166</f>
        <v>0</v>
      </c>
      <c r="E166" s="160">
        <f>IF(ISNA(VLOOKUP("COM763100000",Balanceanp!C:G,5,FALSE))=TRUE,0,VLOOKUP("COM763100000",Balanceanp!C:G,5,FALSE))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6.8838016455497336E-3</v>
      </c>
      <c r="C168" s="803">
        <f>SUM(C155:C167)</f>
        <v>3661.62</v>
      </c>
      <c r="D168" s="597">
        <f>SUM(D155:D167)</f>
        <v>12746.139715910416</v>
      </c>
      <c r="E168" s="803">
        <f>SUM(E155:E167)</f>
        <v>1364.8</v>
      </c>
      <c r="F168" s="597">
        <f>SUM(F155:F167)</f>
        <v>4882.16</v>
      </c>
      <c r="G168" s="597">
        <f>SUM(G155:G167)</f>
        <v>12790.048050317937</v>
      </c>
      <c r="H168" s="814">
        <f>+G168/$G$21</f>
        <v>1.576385499955061E-2</v>
      </c>
      <c r="I168" s="596">
        <f>+IF((E168)=0,,(F168-E168)/E168)</f>
        <v>2.5771981242672917</v>
      </c>
      <c r="J168" s="1015">
        <f>+IF((F168)=0,,(G168-F168)/F168)</f>
        <v>1.6197519233941406</v>
      </c>
      <c r="K168" s="136">
        <f>(C168+(C168/3))</f>
        <v>4882.16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IF(ISNA(VLOOKUP("COM651100000",Balance!C:G,5,FALSE))=TRUE,0,VLOOKUP("COM651100000",Balance!C:G,5,FALSE))</f>
        <v>0</v>
      </c>
      <c r="D170" s="117">
        <f>+[2]Compiègne!$H170</f>
        <v>0</v>
      </c>
      <c r="E170" s="160">
        <f>IF(ISNA(VLOOKUP("COM651100000",Balanceanp!C:G,5,FALSE))=TRUE,0,VLOOKUP("COM651100000",Balanceanp!C:G,5,FALSE))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 hidden="1">
      <c r="A171" s="5" t="s">
        <v>168</v>
      </c>
      <c r="B171" s="92"/>
      <c r="C171" s="160">
        <f>IF(ISNA(VLOOKUP("COM651600000",Balance!C:G,5,FALSE))=TRUE,0,VLOOKUP("COM651600000",Balance!C:G,5,FALSE))</f>
        <v>0</v>
      </c>
      <c r="D171" s="117">
        <f>+[2]Compiègne!$H171</f>
        <v>0</v>
      </c>
      <c r="E171" s="160">
        <f>IF(ISNA(VLOOKUP("COM651600000",Balanceanp!C:G,5,FALSE))=TRUE,0,VLOOKUP("COM651600000",Balanceanp!C:G,5,FALSE))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 hidden="1">
      <c r="A172" s="5" t="s">
        <v>169</v>
      </c>
      <c r="B172" s="92"/>
      <c r="C172" s="160">
        <f>IF(ISNA(VLOOKUP("COM671200000",Balance!C:G,5,FALSE))=TRUE,0,VLOOKUP("COM671200000",Balance!C:G,5,FALSE))</f>
        <v>0</v>
      </c>
      <c r="D172" s="117">
        <f>+[2]Compiègne!$H172</f>
        <v>0</v>
      </c>
      <c r="E172" s="160">
        <f>IF(ISNA(VLOOKUP("COM671200000",Balanceanp!C:G,5,FALSE))=TRUE,0,VLOOKUP("COM671200000",Balanceanp!C:G,5,FALSE))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805">
        <f>IF(ISNA(VLOOKUP("COM671800000",Balance!C:G,5,FALSE))=TRUE,0,VLOOKUP("COM671800000",Balance!C:G,5,FALSE))</f>
        <v>1442.44</v>
      </c>
      <c r="D173" s="619">
        <f>+[2]Compiègne!$H173</f>
        <v>495.19052499999998</v>
      </c>
      <c r="E173" s="805">
        <f>IF(ISNA(VLOOKUP("COM671800000",Balanceanp!C:G,5,FALSE))=TRUE,0,VLOOKUP("COM671800000",Balanceanp!C:G,5,FALSE))</f>
        <v>0</v>
      </c>
      <c r="F173" s="593">
        <f>+C173+C173/9*(12-Clients!$I$14)</f>
        <v>1923.2533333333333</v>
      </c>
      <c r="G173" s="1030">
        <f t="shared" si="20"/>
        <v>1980.9509333333333</v>
      </c>
      <c r="H173" s="1030"/>
      <c r="I173" s="1013">
        <f t="shared" si="21"/>
        <v>0</v>
      </c>
      <c r="J173" s="1014">
        <f t="shared" si="21"/>
        <v>2.9999999999999982E-2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IF(ISNA(VLOOKUP("COM672000000",Balance!C:G,5,FALSE))=TRUE,0,VLOOKUP("COM672000000",Balance!C:G,5,FALSE))</f>
        <v>0</v>
      </c>
      <c r="D174" s="117">
        <f>+[2]Compiègne!$H174</f>
        <v>0</v>
      </c>
      <c r="E174" s="160">
        <f>IF(ISNA(VLOOKUP("COM672000000",Balanceanp!C:G,5,FALSE))=TRUE,0,VLOOKUP("COM672000000",Balanceanp!C:G,5,FALSE))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IF(ISNA(VLOOKUP("COM691100000",Balance!C:G,5,FALSE))=TRUE,0,VLOOKUP("COM691100000",Balance!C:G,5,FALSE))</f>
        <v>0</v>
      </c>
      <c r="D175" s="117">
        <f>+[2]Compiègne!$H175</f>
        <v>0</v>
      </c>
      <c r="E175" s="160">
        <f>IF(ISNA(VLOOKUP("COM691100000",Balanceanp!C:G,5,FALSE))=TRUE,0,VLOOKUP("COM691100000",Balanceanp!C:G,5,FALSE))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IF(ISNA(VLOOKUP("COM675100000",Balance!C:G,5,FALSE))=TRUE,0,VLOOKUP("COM675100000",Balance!C:G,5,FALSE))</f>
        <v>0</v>
      </c>
      <c r="D176" s="117">
        <f>+[2]Compiègne!$H176</f>
        <v>0</v>
      </c>
      <c r="E176" s="160">
        <f>IF(ISNA(VLOOKUP("COM675100000",Balanceanp!C:G,5,FALSE))=TRUE,0,VLOOKUP("COM675100000",Balanceanp!C:G,5,FALSE))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>
      <c r="A177" s="590" t="s">
        <v>173</v>
      </c>
      <c r="B177" s="591"/>
      <c r="C177" s="805">
        <f>IF(ISNA(VLOOKUP("COM675200000",Balance!C:G,5,FALSE))=TRUE,0,VLOOKUP("COM675200000",Balance!C:G,5,FALSE))</f>
        <v>0</v>
      </c>
      <c r="D177" s="619">
        <f>+[2]Compiègne!$H177</f>
        <v>0</v>
      </c>
      <c r="E177" s="805">
        <f>IF(ISNA(VLOOKUP("COM675200000",Balanceanp!C:G,5,FALSE))=TRUE,0,VLOOKUP("COM675200000",Balanceanp!C:G,5,FALSE))</f>
        <v>0</v>
      </c>
      <c r="F177" s="631">
        <v>16712.77</v>
      </c>
      <c r="G177" s="1030">
        <v>0</v>
      </c>
      <c r="H177" s="1030"/>
      <c r="I177" s="1013">
        <f t="shared" si="21"/>
        <v>0</v>
      </c>
      <c r="J177" s="1014">
        <f t="shared" si="21"/>
        <v>-1</v>
      </c>
      <c r="L177" s="17">
        <f t="shared" si="15"/>
        <v>1</v>
      </c>
    </row>
    <row r="178" spans="1:12" hidden="1">
      <c r="A178" s="5" t="s">
        <v>174</v>
      </c>
      <c r="B178" s="92"/>
      <c r="C178" s="160">
        <f>IF(ISNA(VLOOKUP("COM681110000",Balance!C:G,5,FALSE))=TRUE,0,VLOOKUP("COM681110000",Balance!C:G,5,FALSE))</f>
        <v>0</v>
      </c>
      <c r="D178" s="117">
        <f>+[2]Compiègne!$H178</f>
        <v>0</v>
      </c>
      <c r="E178" s="160">
        <f>IF(ISNA(VLOOKUP("COM681110000",Balanceanp!C:G,5,FALSE))=TRUE,0,VLOOKUP("COM681110000",Balanceanp!C:G,5,FALSE))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805">
        <f>IF(ISNA(VLOOKUP("COM681120000",Balance!C:G,5,FALSE))=TRUE,0,VLOOKUP("COM681120000",Balance!C:G,5,FALSE))</f>
        <v>3750.03</v>
      </c>
      <c r="D179" s="619">
        <f>+[2]Compiègne!$H179</f>
        <v>5000</v>
      </c>
      <c r="E179" s="805">
        <f>IF(ISNA(VLOOKUP("COM681120000",Balanceanp!C:G,5,FALSE))=TRUE,0,VLOOKUP("COM681120000",Balanceanp!C:G,5,FALSE))</f>
        <v>3706.17</v>
      </c>
      <c r="F179" s="631">
        <v>4060.86</v>
      </c>
      <c r="G179" s="636">
        <f>4855.77+500+G255/10</f>
        <v>5755.77</v>
      </c>
      <c r="H179" s="638"/>
      <c r="I179" s="1013">
        <f t="shared" si="21"/>
        <v>9.5702571657533264E-2</v>
      </c>
      <c r="J179" s="1014">
        <f t="shared" si="21"/>
        <v>0.41737710731224426</v>
      </c>
      <c r="L179" s="17">
        <f t="shared" si="15"/>
        <v>1</v>
      </c>
    </row>
    <row r="180" spans="1:12">
      <c r="A180" s="590" t="s">
        <v>78</v>
      </c>
      <c r="B180" s="591"/>
      <c r="C180" s="805">
        <f>IF(ISNA(VLOOKUP("COM687250000",Balance!C:G,5,FALSE))=TRUE,0,+VLOOKUP("COM687250000",Balance!C:G,5,FALSE))</f>
        <v>0</v>
      </c>
      <c r="D180" s="619">
        <f>+[2]Compiègne!$H180</f>
        <v>0</v>
      </c>
      <c r="E180" s="805">
        <f>IF(ISNA(VLOOKUP("COM687250000",Balanceanp!C:G,5,FALSE))=TRUE,0,+VLOOKUP("COM687250000",Balanceanp!C:G,5,FALSE))</f>
        <v>195.63</v>
      </c>
      <c r="F180" s="593">
        <f>+C180+C180/9*(12-Clients!$I$14)</f>
        <v>0</v>
      </c>
      <c r="G180" s="1030">
        <f t="shared" si="20"/>
        <v>0</v>
      </c>
      <c r="H180" s="1030"/>
      <c r="I180" s="1013">
        <f t="shared" si="21"/>
        <v>-1</v>
      </c>
      <c r="J180" s="1014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IF(ISNA(VLOOKUP("COM661880000",Balance!C:G,5,FALSE))=TRUE,0,+VLOOKUP("COM661880000",Balance!C:G,5,FALSE))</f>
        <v>0</v>
      </c>
      <c r="D181" s="117">
        <f>+[2]Compiègne!$H181</f>
        <v>0</v>
      </c>
      <c r="E181" s="160">
        <f>IF(ISNA(VLOOKUP("COM661880000",Balanceanp!C:G,5,FALSE))=TRUE,0,+VLOOKUP("COM661880000",Balanceanp!C:G,5,FALSE))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+[2]Compiègne!$H182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>
      <c r="A183" s="590" t="s">
        <v>331</v>
      </c>
      <c r="B183" s="591"/>
      <c r="C183" s="805">
        <f>IF(ISNA(VLOOKUP("com681500000",Balance!C:G,5,FALSE))=TRUE,0,VLOOKUP("com681500000",Balance!C:G,5,FALSE))</f>
        <v>0</v>
      </c>
      <c r="D183" s="619">
        <f>+[2]Compiègne!$H183</f>
        <v>0</v>
      </c>
      <c r="E183" s="805">
        <f>IF(ISNA(VLOOKUP("com681500000",Balanceanp!C:G,5,FALSE))=TRUE,0,VLOOKUP("com681500000",Balanceanp!C:G,5,FALSE))</f>
        <v>16800</v>
      </c>
      <c r="F183" s="593">
        <f>+C183+C183/9*(12-Clients!$I$14)</f>
        <v>0</v>
      </c>
      <c r="G183" s="1030">
        <f t="shared" si="20"/>
        <v>0</v>
      </c>
      <c r="H183" s="1030"/>
      <c r="I183" s="1013">
        <f t="shared" si="21"/>
        <v>-1</v>
      </c>
      <c r="J183" s="1014">
        <f t="shared" si="21"/>
        <v>0</v>
      </c>
      <c r="L183" s="17">
        <f t="shared" si="15"/>
        <v>1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803">
        <f>SUM(C169:C184)</f>
        <v>5192.47</v>
      </c>
      <c r="D185" s="597">
        <f>SUM(D169:D184)</f>
        <v>5495.190525</v>
      </c>
      <c r="E185" s="597">
        <f>SUM(E169:E184)</f>
        <v>20701.8</v>
      </c>
      <c r="F185" s="597">
        <f>SUM(F169:F184)</f>
        <v>22696.883333333335</v>
      </c>
      <c r="G185" s="597">
        <f>SUM(G169:G184)</f>
        <v>7736.720933333334</v>
      </c>
      <c r="H185" s="814"/>
      <c r="I185" s="596">
        <f>+IF((E185)=0,,(F185-E185)/E185)</f>
        <v>9.6372457145433535E-2</v>
      </c>
      <c r="J185" s="1015">
        <f>+IF((F185)=0,,(G185-F185)/F185)</f>
        <v>-0.65912848827261894</v>
      </c>
      <c r="K185" s="136">
        <f>(C185+(C185/3))</f>
        <v>6923.293333333334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 hidden="1">
      <c r="A187" s="5" t="s">
        <v>179</v>
      </c>
      <c r="B187" s="92"/>
      <c r="C187" s="160">
        <f>IF(ISNA(VLOOKUP("COM740000000",Balance!C:G,5,FALSE))=TRUE,0,-VLOOKUP("COM740000000",Balance!C:G,5,FALSE))</f>
        <v>0</v>
      </c>
      <c r="D187" s="117">
        <f>+[2]Compiègne!$H187</f>
        <v>0</v>
      </c>
      <c r="E187" s="160">
        <f>IF(ISNA(VLOOKUP("COM740000000",Balanceanp!C:G,5,FALSE))=TRUE,0,-VLOOKUP("COM740000000",Balanceanp!C:G,5,FALSE))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2">+IF((E187)=0,,(F187-E187)/E187)</f>
        <v>0</v>
      </c>
      <c r="J187" s="271">
        <f t="shared" si="22"/>
        <v>0</v>
      </c>
      <c r="L187" s="17">
        <f t="shared" si="15"/>
        <v>0</v>
      </c>
    </row>
    <row r="188" spans="1:12" hidden="1">
      <c r="A188" s="5" t="s">
        <v>167</v>
      </c>
      <c r="B188" s="92"/>
      <c r="C188" s="160">
        <f>IF(ISNA(VLOOKUP("COM751100000",Balance!C:G,5,FALSE))=TRUE,0,-VLOOKUP("COM751100000",Balance!C:G,5,FALSE))</f>
        <v>0</v>
      </c>
      <c r="D188" s="117">
        <f>+[2]Compiègne!$H188</f>
        <v>0</v>
      </c>
      <c r="E188" s="160">
        <f>IF(ISNA(VLOOKUP("COM751100000",Balanceanp!C:G,5,FALSE))=TRUE,0,-VLOOKUP("COM751100000",Balanceanp!C:G,5,FALSE))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IF(ISNA(VLOOKUP("COM758100000",Balance!C:G,5,FALSE))=TRUE,0,-VLOOKUP("COM758100000",Balance!C:G,5,FALSE))</f>
        <v>0</v>
      </c>
      <c r="D189" s="117">
        <f>+[2]Compiègne!$H189</f>
        <v>0</v>
      </c>
      <c r="E189" s="160">
        <f>IF(ISNA(VLOOKUP("COM758100000",Balanceanp!C:G,5,FALSE))=TRUE,0,-VLOOKUP("COM758100000",Balanceanp!C:G,5,FALSE))</f>
        <v>7898.56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IF(ISNA(VLOOKUP("COM763800000",Balance!C:G,5,FALSE))=TRUE,0,-VLOOKUP("COM763800000",Balance!C:G,5,FALSE))</f>
        <v>0</v>
      </c>
      <c r="D190" s="117">
        <f>+[2]Compiègne!$H190</f>
        <v>0</v>
      </c>
      <c r="E190" s="160">
        <f>IF(ISNA(VLOOKUP("COM763800000",Balanceanp!C:G,5,FALSE))=TRUE,0,-VLOOKUP("COM763800000",Balanceanp!C:G,5,FALSE))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IF(ISNA(VLOOKUP("COM765000000",Balance!C:G,5,FALSE))=TRUE,0,-VLOOKUP("COM765000000",Balance!C:G,5,FALSE))</f>
        <v>0</v>
      </c>
      <c r="D191" s="117">
        <f>+[2]Compiègne!$H191</f>
        <v>0</v>
      </c>
      <c r="E191" s="160">
        <f>IF(ISNA(VLOOKUP("COM765000000",Balanceanp!C:G,5,FALSE))=TRUE,0,-VLOOKUP("COM765000000",Balanceanp!C:G,5,FALSE))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IF(ISNA(VLOOKUP("COM771400000",Balance!C:G,5,FALSE))=TRUE,0,-VLOOKUP("COM771400000",Balance!C:G,5,FALSE))</f>
        <v>0</v>
      </c>
      <c r="D192" s="117">
        <f>+[2]Compiègne!$H192</f>
        <v>0</v>
      </c>
      <c r="E192" s="160">
        <f>IF(ISNA(VLOOKUP("COM771400000",Balanceanp!C:G,5,FALSE))=TRUE,0,-VLOOKUP("COM771400000",Balanceanp!C:G,5,FALSE))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IF(ISNA(VLOOKUP("COM771800000",Balance!C:G,5,FALSE))=TRUE,0,-VLOOKUP("COM771800000",Balance!C:G,5,FALSE))</f>
        <v>0</v>
      </c>
      <c r="D193" s="117">
        <f>+[2]Compiègne!$H193</f>
        <v>0</v>
      </c>
      <c r="E193" s="160">
        <f>IF(ISNA(VLOOKUP("COM771800000",Balanceanp!C:G,5,FALSE))=TRUE,0,-VLOOKUP("COM771800000",Balanceanp!C:G,5,FALSE))</f>
        <v>5582.75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IF(ISNA(VLOOKUP("COM758000000",Balance!C:G,5,FALSE))=TRUE,0,-VLOOKUP("COM758000000",Balance!C:G,5,FALSE))</f>
        <v>0</v>
      </c>
      <c r="D194" s="117">
        <f>+[2]Compiègne!$H194</f>
        <v>0</v>
      </c>
      <c r="E194" s="160">
        <f>IF(ISNA(VLOOKUP("COM758000000",Balanceanp!C:G,5,FALSE))=TRUE,0,-VLOOKUP("COM758000000",Balanceanp!C:G,5,FALSE))</f>
        <v>785.99</v>
      </c>
      <c r="F194" s="368">
        <f>+C194+C194/9*(12-Clients!$I$14)</f>
        <v>0</v>
      </c>
      <c r="G194" s="368">
        <v>0</v>
      </c>
      <c r="H194" s="410"/>
      <c r="I194" s="149">
        <f t="shared" si="22"/>
        <v>-1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IF(ISNA(VLOOKUP("COM775100000",Balance!C:G,5,FALSE))=TRUE,0,-VLOOKUP("COM775100000",Balance!C:G,5,FALSE))</f>
        <v>0</v>
      </c>
      <c r="D195" s="117">
        <f>+[2]Compiègne!$H195</f>
        <v>0</v>
      </c>
      <c r="E195" s="160">
        <f>IF(ISNA(VLOOKUP("COM775100000",Balanceanp!C:G,5,FALSE))=TRUE,0,-VLOOKUP("COM775100000",Balanceanp!C:G,5,FALSE))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IF(ISNA(VLOOKUP("COM775200000",Balance!C:G,5,FALSE))=TRUE,0,-VLOOKUP("COM775200000",Balance!C:G,5,FALSE))</f>
        <v>0</v>
      </c>
      <c r="D196" s="117">
        <f>+[2]Compiègne!$H196</f>
        <v>0</v>
      </c>
      <c r="E196" s="160">
        <f>IF(ISNA(VLOOKUP("COM775200000",Balanceanp!C:G,5,FALSE))=TRUE,0,-VLOOKUP("COM775200000",Balanceanp!C:G,5,FALSE))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IF(ISNA(VLOOKUP("COM791000000",Balance!C:G,5,FALSE))=TRUE,0,-VLOOKUP("COM791000000",Balance!C:G,5,FALSE))</f>
        <v>0</v>
      </c>
      <c r="D197" s="117">
        <f>+[2]Compiègne!$H197</f>
        <v>0</v>
      </c>
      <c r="E197" s="160">
        <f>IF(ISNA(VLOOKUP("COM791000000",Balanceanp!C:G,5,FALSE))=TRUE,0,-VLOOKUP("COM791000000",Balanceanp!C:G,5,FALSE))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IF(ISNA(VLOOKUP("com781500000",Balance!C:G,5,FALSE))=TRUE,0,-VLOOKUP("com781500000",Balance!C:G,5,FALSE))</f>
        <v>0</v>
      </c>
      <c r="D198" s="117">
        <f>+[2]Compiègne!$H198</f>
        <v>0</v>
      </c>
      <c r="E198" s="160">
        <f>IF(ISNA(VLOOKUP("com781500000",Balanceanp!C:G,5,FALSE))=TRUE,0,-VLOOKUP("com781500000",Balanceanp!C:G,5,FALSE))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IF(ISNA(VLOOKUP("COM787250000",Balance!C:G,5,FALSE))=TRUE,0,-VLOOKUP("COM787250000",Balance!C:G,5,FALSE))</f>
        <v>0</v>
      </c>
      <c r="D199" s="117">
        <f>+[2]Compiègne!$H199</f>
        <v>0</v>
      </c>
      <c r="E199" s="160">
        <f>IF(ISNA(VLOOKUP("COM787250000",Balanceanp!C:G,5,FALSE))=TRUE,0,-VLOOKUP("COM787250000",Balanceanp!C:G,5,FALSE))</f>
        <v>476.7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803">
        <f>SUM(C186:C200)</f>
        <v>0</v>
      </c>
      <c r="D201" s="597">
        <f>SUM(D186:D200)</f>
        <v>0</v>
      </c>
      <c r="E201" s="803">
        <f>SUM(E186:E200)</f>
        <v>14744.000000000002</v>
      </c>
      <c r="F201" s="597">
        <f>SUM(F186:F200)</f>
        <v>0</v>
      </c>
      <c r="G201" s="597">
        <f>SUM(G186:G200)</f>
        <v>0</v>
      </c>
      <c r="H201" s="814"/>
      <c r="I201" s="596">
        <f>+IF((E201)=0,,(F201-E201)/E201)</f>
        <v>-1</v>
      </c>
      <c r="J201" s="1015">
        <f>+IF((F201)=0,,(G201-F201)/F201)</f>
        <v>0</v>
      </c>
      <c r="K201" s="136">
        <f>(C201+(C201/3))</f>
        <v>0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0.35257678392671932</v>
      </c>
      <c r="C203" s="659">
        <f>+C103+C116+C129+C154+C168+C185-C201</f>
        <v>187542.04</v>
      </c>
      <c r="D203" s="642">
        <f>+D103+D116+D129+D154+D168+D185-D201</f>
        <v>254016.49558708764</v>
      </c>
      <c r="E203" s="659">
        <f>+E103+E116+E129+E154+E168+E185-E201</f>
        <v>254627.31839999999</v>
      </c>
      <c r="F203" s="642">
        <f>+F103+F116+F129+F154+F168+F185-F201</f>
        <v>264435.98666666669</v>
      </c>
      <c r="G203" s="642">
        <f>+G103+G116+G129+G154+G168+G185-G201</f>
        <v>262027.68522974636</v>
      </c>
      <c r="H203" s="815">
        <f>+G203/$G$21</f>
        <v>0.32295159639583471</v>
      </c>
      <c r="I203" s="363">
        <f>+IF((E203)=0,,(F203-E203)/E203)</f>
        <v>3.8521665029115366E-2</v>
      </c>
      <c r="J203" s="1035">
        <f>+IF((F203)=0,,(G203-F203)/F203)</f>
        <v>-9.1073135214236219E-3</v>
      </c>
      <c r="K203" s="145">
        <f>+K103+K116+K129+K154+K168+K185-K201</f>
        <v>250056.05333333332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-2.3152309690272189E-2</v>
      </c>
      <c r="C205" s="667">
        <f>+C62-C203</f>
        <v>-12315.13698000001</v>
      </c>
      <c r="D205" s="646">
        <f>+D62-D203</f>
        <v>16720.504412912356</v>
      </c>
      <c r="E205" s="667">
        <f>+E53-E203</f>
        <v>-10227.940400000021</v>
      </c>
      <c r="F205" s="646">
        <f>+F62-F203</f>
        <v>-31392.566771609534</v>
      </c>
      <c r="G205" s="646">
        <f>+G62-G203</f>
        <v>22081.684539006354</v>
      </c>
      <c r="H205" s="622">
        <f>+G205/$G$21</f>
        <v>2.7215884713588843E-2</v>
      </c>
      <c r="I205" s="366">
        <f>+IF((E205)=0,,(F205-E205)/E205)</f>
        <v>2.0692950431750137</v>
      </c>
      <c r="J205" s="1036">
        <f>+IF((F205)=0,,(G205-F205)/F205)</f>
        <v>-1.7034048760541729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2.6855068717615083E-3</v>
      </c>
      <c r="C207" s="112">
        <f>+[2]Compiègne!$C207</f>
        <v>1428.4702230106307</v>
      </c>
      <c r="D207" s="651">
        <f>+[2]Compiègne!$H207</f>
        <v>4814.2570622820376</v>
      </c>
      <c r="E207" s="651">
        <f>+[1]Compiègne!$G$207</f>
        <v>1717.3519579369752</v>
      </c>
      <c r="F207" s="651">
        <f>+Repart!K31</f>
        <v>1916.103825054186</v>
      </c>
      <c r="G207" s="651">
        <f>+Repart!Q31</f>
        <v>3071.134835605601</v>
      </c>
      <c r="H207" s="816">
        <f>+G207/$G$21</f>
        <v>3.7852026858766915E-3</v>
      </c>
      <c r="I207" s="363">
        <f>+IF((E207)=0,,(F207-E207)/E207)</f>
        <v>0.11573158675986719</v>
      </c>
      <c r="J207" s="1035">
        <f>+IF((F207)=0,,(G207-F207)/F207)</f>
        <v>0.60280189176009369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-2.5837816562033697E-2</v>
      </c>
      <c r="C209" s="667">
        <f>+C205-C207</f>
        <v>-13743.607203010641</v>
      </c>
      <c r="D209" s="646">
        <f>+D205-D207</f>
        <v>11906.247350630318</v>
      </c>
      <c r="E209" s="667">
        <f>+E205-E207</f>
        <v>-11945.292357936996</v>
      </c>
      <c r="F209" s="646">
        <f>+F205-F207</f>
        <v>-33308.670596663724</v>
      </c>
      <c r="G209" s="646">
        <f>+G205-G207</f>
        <v>19010.549703400753</v>
      </c>
      <c r="H209" s="622">
        <f>+G209/$G$21</f>
        <v>2.343068202771215E-2</v>
      </c>
      <c r="I209" s="366">
        <f>+IF((E209)=0,,(F209-E209)/E209)</f>
        <v>1.7884349414463621</v>
      </c>
      <c r="J209" s="1036">
        <f>+IF((F209)=0,,(G209-F209)/F209)</f>
        <v>-1.5707387705021436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1.2285838900848551E-2</v>
      </c>
      <c r="C211" s="805">
        <f>+[2]Compiègne!$C211</f>
        <v>6535.0624193548392</v>
      </c>
      <c r="D211" s="619">
        <f>+[2]Compiègne!$H211</f>
        <v>9026.0372215405096</v>
      </c>
      <c r="E211" s="805">
        <f>+[1]Compiègne!$G211</f>
        <v>8095.0860719999991</v>
      </c>
      <c r="F211" s="593">
        <f>+Repart!I31</f>
        <v>8997.9607634408567</v>
      </c>
      <c r="G211" s="593">
        <f>+Repart!O31</f>
        <v>9644.6846793104778</v>
      </c>
      <c r="H211" s="593"/>
      <c r="I211" s="1013">
        <f t="shared" ref="I211:J213" si="24">+IF((E211)=0,,(F211-E211)/E211)</f>
        <v>0.11153367405984731</v>
      </c>
      <c r="J211" s="1014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3.8349746666533867E-2</v>
      </c>
      <c r="C212" s="805">
        <f>+[2]Compiègne!$C212</f>
        <v>20398.931668795893</v>
      </c>
      <c r="D212" s="619">
        <f>+[2]Compiègne!$H212</f>
        <v>30493.798904015388</v>
      </c>
      <c r="E212" s="805">
        <f>+[1]Compiègne!$G212</f>
        <v>26357.042112409359</v>
      </c>
      <c r="F212" s="593">
        <f>+Repart!J31</f>
        <v>28578.500308514806</v>
      </c>
      <c r="G212" s="593">
        <f>+Repart!P31</f>
        <v>33089.150991312548</v>
      </c>
      <c r="H212" s="593"/>
      <c r="I212" s="1013">
        <f t="shared" si="24"/>
        <v>8.4283288945368601E-2</v>
      </c>
      <c r="J212" s="1014">
        <f t="shared" si="24"/>
        <v>0.15783370835081292</v>
      </c>
      <c r="L212" s="17">
        <f t="shared" si="23"/>
        <v>1</v>
      </c>
    </row>
    <row r="213" spans="1:12">
      <c r="A213" s="590" t="s">
        <v>193</v>
      </c>
      <c r="B213" s="591"/>
      <c r="C213" s="805">
        <f>+[2]Compiègne!$C213</f>
        <v>-5144.12</v>
      </c>
      <c r="D213" s="619">
        <f>+[2]Compiègne!$H213</f>
        <v>-7826.84</v>
      </c>
      <c r="E213" s="805">
        <f>+[1]Compiègne!$G213</f>
        <v>-6788.72</v>
      </c>
      <c r="F213" s="593">
        <f>+C213+C213/9*(12-Clients!$I$14)</f>
        <v>-6858.8266666666659</v>
      </c>
      <c r="G213" s="593">
        <f>+G253*-4%</f>
        <v>-7383.3105710000009</v>
      </c>
      <c r="H213" s="593"/>
      <c r="I213" s="1013">
        <f t="shared" si="24"/>
        <v>1.0326934483476363E-2</v>
      </c>
      <c r="J213" s="1014">
        <f t="shared" si="24"/>
        <v>7.6468458793729793E-2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4.0964701717909974E-2</v>
      </c>
      <c r="C215" s="668">
        <f>SUM(C210:C213)</f>
        <v>21789.874088150733</v>
      </c>
      <c r="D215" s="653">
        <f>SUM(D210:D213)</f>
        <v>31692.996125555899</v>
      </c>
      <c r="E215" s="668">
        <f>SUM(E210:E213)</f>
        <v>27663.40818440936</v>
      </c>
      <c r="F215" s="653">
        <f>SUM(F210:F213)</f>
        <v>30717.634405288998</v>
      </c>
      <c r="G215" s="653">
        <f>SUM(G210:G213)</f>
        <v>35350.525099623024</v>
      </c>
      <c r="H215" s="817">
        <f>+G215/$G$21</f>
        <v>4.356985600336187E-2</v>
      </c>
      <c r="I215" s="363">
        <f>+IF((E215)=0,,(F215-E215)/E215)</f>
        <v>0.11040672214065618</v>
      </c>
      <c r="J215" s="1035">
        <f>+IF((F215)=0,,(G215-F215)/F215)</f>
        <v>0.15082185799881548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729" customFormat="1" ht="20.100000000000001" customHeight="1">
      <c r="A217" s="742" t="s">
        <v>86</v>
      </c>
      <c r="B217" s="1093">
        <f>+C217/$C$21</f>
        <v>-6.6802518279943671E-2</v>
      </c>
      <c r="C217" s="806">
        <f>+C209-C215</f>
        <v>-35533.48129116137</v>
      </c>
      <c r="D217" s="1094">
        <f>+D209-D215</f>
        <v>-19786.748774925582</v>
      </c>
      <c r="E217" s="806">
        <f>+E209-E215</f>
        <v>-39608.700542346356</v>
      </c>
      <c r="F217" s="1094">
        <f>+F209-F215</f>
        <v>-64026.305001952722</v>
      </c>
      <c r="G217" s="1094">
        <f>+G209-G215</f>
        <v>-16339.975396222271</v>
      </c>
      <c r="H217" s="766">
        <f>+G217/$G$21</f>
        <v>-2.0139173975649717E-2</v>
      </c>
      <c r="I217" s="779">
        <f>+IF((E217)=0,,(F217-E217)/E217)</f>
        <v>0.61647072802858238</v>
      </c>
      <c r="J217" s="780">
        <f>+IF((F217)=0,,(G217-F217)/F217)</f>
        <v>-0.7447927785974231</v>
      </c>
      <c r="L217" s="736">
        <f t="shared" si="23"/>
        <v>1</v>
      </c>
    </row>
    <row r="218" spans="1:12" hidden="1">
      <c r="A218" s="2" t="s">
        <v>43</v>
      </c>
      <c r="C218" s="17">
        <f>+C225-C226-C215-C207-C53+C62-C38+C213</f>
        <v>-35533.481291161363</v>
      </c>
      <c r="D218" s="117">
        <f>+[2]Compiègne!$H$217</f>
        <v>-19786.748774925582</v>
      </c>
      <c r="E218" s="17">
        <f>+[1]Compiègne!$G$217</f>
        <v>-39608.700542346356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52.182555160619088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+B220/(C21*1.196)*Clients!K24</f>
        <v>96.511154298783623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C221" s="17"/>
      <c r="D221" s="2"/>
      <c r="E221" s="2"/>
      <c r="F221" s="58"/>
      <c r="G221" s="58"/>
      <c r="H221" s="58"/>
      <c r="I221" s="66"/>
      <c r="J221" s="66"/>
      <c r="L221" s="17">
        <f t="shared" si="23"/>
        <v>0</v>
      </c>
    </row>
    <row r="222" spans="1:12">
      <c r="A222" s="654" t="s">
        <v>67</v>
      </c>
      <c r="B222" s="655"/>
      <c r="C222" s="656">
        <f>+(C215+C207+C203)/C60/Clients!$I$13*12</f>
        <v>831401.91049767798</v>
      </c>
      <c r="D222" s="656">
        <f>+(D215+D207+D203)/D60</f>
        <v>847089.89060113672</v>
      </c>
      <c r="E222" s="656">
        <f>+(E215+E207+E203)/E60/Clients!$I$13*12</f>
        <v>1128343.4320525499</v>
      </c>
      <c r="F222" s="656">
        <f>+(F215+F207+F203)/F60</f>
        <v>878904.51152961503</v>
      </c>
      <c r="G222" s="656">
        <f>+(G215+G207+G203)/G60</f>
        <v>846732.46132345672</v>
      </c>
      <c r="H222" s="656"/>
      <c r="I222" s="656"/>
      <c r="J222" s="656"/>
      <c r="L222" s="17">
        <f t="shared" si="23"/>
        <v>1</v>
      </c>
    </row>
    <row r="223" spans="1:12">
      <c r="A223" s="654" t="s">
        <v>66</v>
      </c>
      <c r="B223" s="655"/>
      <c r="C223" s="656">
        <f>+(C215+C207+C203)/C60/Clients!$I$13</f>
        <v>69283.49254147317</v>
      </c>
      <c r="D223" s="656">
        <f>+(D215+D207+D203)/D60/12</f>
        <v>70590.824216761393</v>
      </c>
      <c r="E223" s="656">
        <f>+(E215+E207+E203)/E60/Clients!$I$13</f>
        <v>94028.619337712487</v>
      </c>
      <c r="F223" s="656">
        <f>+(F215+F207+F203)/F60/9</f>
        <v>97656.056836623888</v>
      </c>
      <c r="G223" s="656">
        <f>+(G215+G207+G203)/G60/12</f>
        <v>70561.038443621394</v>
      </c>
      <c r="H223" s="656"/>
      <c r="I223" s="656"/>
      <c r="J223" s="656"/>
      <c r="L223" s="17">
        <f t="shared" si="23"/>
        <v>1</v>
      </c>
    </row>
    <row r="224" spans="1:12" hidden="1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522376.09999999992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528911.82999999996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t="10.5" hidden="1" customHeight="1">
      <c r="C227" s="17"/>
      <c r="D227" s="2"/>
      <c r="E227" s="2"/>
      <c r="F227" s="58"/>
      <c r="G227" s="58"/>
      <c r="H227" s="58"/>
      <c r="I227" s="66"/>
      <c r="J227" s="66"/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COMPIEGNE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659">
        <f t="shared" ref="C233:J233" si="25">+C51</f>
        <v>518422.78999999992</v>
      </c>
      <c r="D233" s="659">
        <f t="shared" si="25"/>
        <v>789397</v>
      </c>
      <c r="E233" s="659">
        <f t="shared" si="25"/>
        <v>728235.71</v>
      </c>
      <c r="F233" s="659">
        <f t="shared" si="25"/>
        <v>689477.5736540152</v>
      </c>
      <c r="G233" s="659">
        <f t="shared" si="25"/>
        <v>800682.81</v>
      </c>
      <c r="H233" s="659"/>
      <c r="I233" s="363">
        <f>+I51</f>
        <v>-5.3221966203751206E-2</v>
      </c>
      <c r="J233" s="363">
        <f t="shared" si="25"/>
        <v>0.16128912758776465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660">
        <f>+C60</f>
        <v>0.33800000000000002</v>
      </c>
      <c r="D235" s="660">
        <f>+D60</f>
        <v>0.34296684684639034</v>
      </c>
      <c r="E235" s="660">
        <f>+E60</f>
        <v>0.33560477005446487</v>
      </c>
      <c r="F235" s="660">
        <f>+F60</f>
        <v>0.33800000000000002</v>
      </c>
      <c r="G235" s="660">
        <f>+G60</f>
        <v>0.35483385707850118</v>
      </c>
      <c r="H235" s="660"/>
      <c r="I235" s="660"/>
      <c r="J235" s="660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661">
        <f>+C62</f>
        <v>175226.90302</v>
      </c>
      <c r="D236" s="661">
        <f>+D62</f>
        <v>270737</v>
      </c>
      <c r="E236" s="661">
        <f>+E62</f>
        <v>244399.37799999997</v>
      </c>
      <c r="F236" s="661">
        <f>+F62</f>
        <v>233043.41989505716</v>
      </c>
      <c r="G236" s="661">
        <f>+G62</f>
        <v>284109.36976875272</v>
      </c>
      <c r="H236" s="661"/>
      <c r="I236" s="366">
        <f>+IF((E236)=0,,(F236-E236)/E236)</f>
        <v>-4.6464758617114035E-2</v>
      </c>
      <c r="J236" s="1036">
        <f>+IF((F236)=0,,(G236-F236)/F236)</f>
        <v>0.21912633232335543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5">
        <f>+C103</f>
        <v>57763.919999999991</v>
      </c>
      <c r="D238" s="665">
        <f>+D103</f>
        <v>77241.070907440706</v>
      </c>
      <c r="E238" s="665">
        <f>+E103</f>
        <v>76092.540000000008</v>
      </c>
      <c r="F238" s="665">
        <f>+F103</f>
        <v>77018.59</v>
      </c>
      <c r="G238" s="665">
        <f>+G103</f>
        <v>79650.836955726147</v>
      </c>
      <c r="H238" s="665"/>
      <c r="I238" s="663">
        <f t="shared" ref="I238:J243" si="26">+IF((E238)=0,,(F238-E238)/E238)</f>
        <v>1.2170049784117974E-2</v>
      </c>
      <c r="J238" s="663">
        <f t="shared" si="26"/>
        <v>3.4176774149282017E-2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5">
        <f>+C116</f>
        <v>25939.800000000003</v>
      </c>
      <c r="D239" s="665">
        <f>+D116</f>
        <v>29832.642</v>
      </c>
      <c r="E239" s="665">
        <f>+E116</f>
        <v>26203.14</v>
      </c>
      <c r="F239" s="665">
        <f>+F116</f>
        <v>34981.133333333331</v>
      </c>
      <c r="G239" s="665">
        <f>+G116</f>
        <v>24954.422533333334</v>
      </c>
      <c r="H239" s="665"/>
      <c r="I239" s="663">
        <f t="shared" si="26"/>
        <v>0.33499776489891409</v>
      </c>
      <c r="J239" s="663">
        <f t="shared" si="26"/>
        <v>-0.28663195970399274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5">
        <f>+C129</f>
        <v>7561.27</v>
      </c>
      <c r="D240" s="665">
        <f>+D129</f>
        <v>10129.526800000001</v>
      </c>
      <c r="E240" s="665">
        <f>+E129</f>
        <v>9748.380000000001</v>
      </c>
      <c r="F240" s="665">
        <f>+F129</f>
        <v>8293.2733333333344</v>
      </c>
      <c r="G240" s="665">
        <f>+G129</f>
        <v>8695.3079960000032</v>
      </c>
      <c r="H240" s="665"/>
      <c r="I240" s="663">
        <f t="shared" si="26"/>
        <v>-0.14926651060654861</v>
      </c>
      <c r="J240" s="663">
        <f t="shared" si="26"/>
        <v>4.8477199111569377E-2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5">
        <f>+C154</f>
        <v>87422.96</v>
      </c>
      <c r="D241" s="665">
        <f>+D154</f>
        <v>118571.9256387365</v>
      </c>
      <c r="E241" s="665">
        <f>+E154</f>
        <v>135260.65839999999</v>
      </c>
      <c r="F241" s="665">
        <f>+F154</f>
        <v>116563.94666666667</v>
      </c>
      <c r="G241" s="665">
        <f>+G154</f>
        <v>128200.34876103561</v>
      </c>
      <c r="H241" s="665"/>
      <c r="I241" s="663">
        <f t="shared" si="26"/>
        <v>-0.13822727136254512</v>
      </c>
      <c r="J241" s="663">
        <f t="shared" si="26"/>
        <v>9.9828484082175942E-2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5">
        <f>+C168</f>
        <v>3661.62</v>
      </c>
      <c r="D242" s="665">
        <f>+D168</f>
        <v>12746.139715910416</v>
      </c>
      <c r="E242" s="665">
        <f>+E168</f>
        <v>1364.8</v>
      </c>
      <c r="F242" s="665">
        <f>+F168</f>
        <v>4882.16</v>
      </c>
      <c r="G242" s="665">
        <f>+G168</f>
        <v>12790.048050317937</v>
      </c>
      <c r="H242" s="665"/>
      <c r="I242" s="663">
        <f t="shared" si="26"/>
        <v>2.5771981242672917</v>
      </c>
      <c r="J242" s="663">
        <f t="shared" si="26"/>
        <v>1.6197519233941406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5">
        <f>+C185-C201</f>
        <v>5192.47</v>
      </c>
      <c r="D243" s="665">
        <f>+D185-D201</f>
        <v>5495.190525</v>
      </c>
      <c r="E243" s="665">
        <f>+E185-E201</f>
        <v>5957.7999999999975</v>
      </c>
      <c r="F243" s="665">
        <f>+F185-F201</f>
        <v>22696.883333333335</v>
      </c>
      <c r="G243" s="665">
        <f>+G185-G201</f>
        <v>7736.720933333334</v>
      </c>
      <c r="H243" s="665"/>
      <c r="I243" s="663">
        <f t="shared" si="26"/>
        <v>2.8096081327559408</v>
      </c>
      <c r="J243" s="663">
        <f t="shared" si="26"/>
        <v>-0.65912848827261894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659">
        <f>+C203</f>
        <v>187542.04</v>
      </c>
      <c r="D245" s="659">
        <f>+D203</f>
        <v>254016.49558708764</v>
      </c>
      <c r="E245" s="659">
        <f>+E203</f>
        <v>254627.31839999999</v>
      </c>
      <c r="F245" s="659">
        <f>+F203</f>
        <v>264435.98666666669</v>
      </c>
      <c r="G245" s="659">
        <f>+G203</f>
        <v>262027.68522974636</v>
      </c>
      <c r="H245" s="659"/>
      <c r="I245" s="363">
        <f>+I63</f>
        <v>0</v>
      </c>
      <c r="J245" s="363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667">
        <f>+C205</f>
        <v>-12315.13698000001</v>
      </c>
      <c r="D247" s="667">
        <f>+D205</f>
        <v>16720.504412912356</v>
      </c>
      <c r="E247" s="667">
        <f>+E205</f>
        <v>-10227.940400000021</v>
      </c>
      <c r="F247" s="667">
        <f>+F205</f>
        <v>-31392.566771609534</v>
      </c>
      <c r="G247" s="667">
        <f>+G205</f>
        <v>22081.684539006354</v>
      </c>
      <c r="H247" s="667"/>
      <c r="I247" s="366">
        <f>+IF((E247)=0,,(F247-E247)/E247)</f>
        <v>2.0692950431750137</v>
      </c>
      <c r="J247" s="1036">
        <f>+IF((F247)=0,,(G247-F247)/F247)</f>
        <v>-1.7034048760541729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668">
        <f>+C207+C215</f>
        <v>23218.344311161363</v>
      </c>
      <c r="D249" s="668">
        <f>+D207+D215</f>
        <v>36507.253187837938</v>
      </c>
      <c r="E249" s="668">
        <f>+E207+E215</f>
        <v>29380.760142346335</v>
      </c>
      <c r="F249" s="668">
        <f>+F207+F215</f>
        <v>32633.738230343184</v>
      </c>
      <c r="G249" s="668">
        <f>+G207+G215</f>
        <v>38421.659935228628</v>
      </c>
      <c r="H249" s="668"/>
      <c r="I249" s="363">
        <f>+I67</f>
        <v>-0.9147536990805577</v>
      </c>
      <c r="J249" s="363">
        <f>+J67</f>
        <v>3.0000000000000041E-2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667">
        <f>+C217</f>
        <v>-35533.48129116137</v>
      </c>
      <c r="D251" s="667">
        <f>+D217</f>
        <v>-19786.748774925582</v>
      </c>
      <c r="E251" s="667">
        <f>+E217</f>
        <v>-39608.700542346356</v>
      </c>
      <c r="F251" s="667">
        <f>+F217</f>
        <v>-64026.305001952722</v>
      </c>
      <c r="G251" s="667">
        <f>+G217</f>
        <v>-16339.975396222271</v>
      </c>
      <c r="H251" s="667"/>
      <c r="I251" s="366">
        <f>+IF((E251)=0,,(F251-E251)/E251)</f>
        <v>0.61647072802858238</v>
      </c>
      <c r="J251" s="1036">
        <f>+IF((F251)=0,,(G251-F251)/F251)</f>
        <v>-0.7447927785974231</v>
      </c>
      <c r="L251" s="17">
        <f t="shared" si="23"/>
        <v>1</v>
      </c>
    </row>
    <row r="252" spans="1:12" hidden="1">
      <c r="C252" s="17"/>
      <c r="D252" s="2"/>
      <c r="E252" s="2"/>
      <c r="F252" s="2"/>
      <c r="G252" s="2"/>
      <c r="H252" s="5"/>
      <c r="I252" s="24"/>
      <c r="J252" s="66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5">
        <f>+C28</f>
        <v>146363.79</v>
      </c>
      <c r="D253" s="665">
        <v>183854</v>
      </c>
      <c r="E253" s="665">
        <f>+E28</f>
        <v>174445.2</v>
      </c>
      <c r="F253" s="665"/>
      <c r="G253" s="1037">
        <f>+G28</f>
        <v>184582.76427500002</v>
      </c>
      <c r="H253" s="1037"/>
      <c r="I253" s="663"/>
      <c r="J253" s="663"/>
      <c r="L253" s="17">
        <v>1</v>
      </c>
    </row>
    <row r="254" spans="1:12" s="298" customFormat="1" ht="15" customHeight="1">
      <c r="A254" s="662" t="s">
        <v>371</v>
      </c>
      <c r="B254" s="663"/>
      <c r="C254" s="665">
        <f>+C222</f>
        <v>831401.91049767798</v>
      </c>
      <c r="D254" s="665">
        <f>+D222</f>
        <v>847089.89060113672</v>
      </c>
      <c r="E254" s="665">
        <f>+E222</f>
        <v>1128343.4320525499</v>
      </c>
      <c r="F254" s="665">
        <f>+F222</f>
        <v>878904.51152961503</v>
      </c>
      <c r="G254" s="665">
        <f>+G222</f>
        <v>846732.46132345672</v>
      </c>
      <c r="H254" s="665"/>
      <c r="I254" s="663"/>
      <c r="J254" s="663"/>
      <c r="L254" s="17">
        <v>1</v>
      </c>
    </row>
    <row r="255" spans="1:12" s="298" customFormat="1" ht="15" customHeight="1">
      <c r="A255" s="662" t="s">
        <v>372</v>
      </c>
      <c r="B255" s="663"/>
      <c r="C255" s="665"/>
      <c r="D255" s="665">
        <v>0</v>
      </c>
      <c r="E255" s="665"/>
      <c r="F255" s="665"/>
      <c r="G255" s="1037">
        <v>4000</v>
      </c>
      <c r="H255" s="1037"/>
      <c r="I255" s="663"/>
      <c r="J255" s="663"/>
      <c r="L255" s="17">
        <v>1</v>
      </c>
    </row>
    <row r="256" spans="1:12" hidden="1">
      <c r="C256" s="17"/>
      <c r="D256" s="2"/>
      <c r="E256" s="2"/>
      <c r="F256" s="2"/>
      <c r="G256" s="2"/>
      <c r="H256" s="2"/>
      <c r="I256" s="24"/>
      <c r="J256" s="66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92" right="0.39370078740157483" top="0.2" bottom="0.35" header="0.03" footer="0.06"/>
  <pageSetup paperSize="9" scale="68" fitToHeight="2" orientation="landscape" horizontalDpi="4294967293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 filterMode="1" enableFormatConditionsCalculation="0">
    <tabColor indexed="47"/>
    <pageSetUpPr fitToPage="1"/>
  </sheetPr>
  <dimension ref="A1:L256"/>
  <sheetViews>
    <sheetView workbookViewId="0">
      <pane xSplit="2" ySplit="6" topLeftCell="C123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7109375" style="24" bestFit="1" customWidth="1"/>
    <col min="3" max="3" width="13.7109375" style="17" customWidth="1"/>
    <col min="4" max="4" width="10.85546875" style="2" customWidth="1"/>
    <col min="5" max="5" width="11" style="2" customWidth="1"/>
    <col min="6" max="6" width="13.7109375" style="581" customWidth="1"/>
    <col min="7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>
      <c r="F2" s="58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210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-21948.532312341755</v>
      </c>
      <c r="F5" s="157">
        <f>F217</f>
        <v>-33842.079090428073</v>
      </c>
      <c r="G5" s="215">
        <f>G217</f>
        <v>-19376.55779200259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" t="s">
        <v>221</v>
      </c>
      <c r="B8" s="92"/>
      <c r="C8" s="160">
        <f>-IF(ISNA(VLOOKUP("AMI707130000",Balance!C:G,5,FALSE))=TRUE,0,VLOOKUP("AMI707130000",Balance!C:G,5,FALSE))</f>
        <v>318575.03999999998</v>
      </c>
      <c r="D8" s="117">
        <f>+[2]Amiens!$H8</f>
        <v>534749</v>
      </c>
      <c r="E8" s="160">
        <f>-IF(ISNA(VLOOKUP("AMI707130000",Balanceanp!C:G,5,FALSE))=TRUE,0,VLOOKUP("AMI707130000",Balanceanp!C:G,5,FALSE))</f>
        <v>334195.42</v>
      </c>
      <c r="F8" s="1153">
        <f>+CA!G67</f>
        <v>429663.88506448589</v>
      </c>
      <c r="G8" s="395">
        <v>516851</v>
      </c>
      <c r="H8" s="401"/>
      <c r="I8" s="149">
        <f>+IF((E8)=0,,(F8-E8)/E8)</f>
        <v>0.28566658712583765</v>
      </c>
      <c r="J8" s="271">
        <f>+IF((F8)=0,,(G8-F8)/F8)</f>
        <v>0.20291934688071042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-IF(ISNA(VLOOKUP("AMI707131000",Balance!C:G,5,FALSE))=TRUE,0,VLOOKUP("AMI707131000",Balance!C:G,5,FALSE))</f>
        <v>0</v>
      </c>
      <c r="D9" s="117">
        <f>+[2]Amiens!$H9</f>
        <v>0</v>
      </c>
      <c r="E9" s="160">
        <f>-IF(ISNA(VLOOKUP("AMI707131000",Balanceanp!C:G,5,FALSE))=TRUE,0,VLOOKUP("AMI707131000",Balanceanp!C:G,5,FALSE))</f>
        <v>60349.599999999999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-IF(ISNA(VLOOKUP("AMI707300000",Balance!C:G,5,FALSE))=TRUE,0,VLOOKUP("AMI707300000",Balance!C:G,5,FALSE))</f>
        <v>0</v>
      </c>
      <c r="D10" s="117">
        <f>+[2]Amiens!$H10</f>
        <v>0</v>
      </c>
      <c r="E10" s="160">
        <f>-IF(ISNA(VLOOKUP("AMI707300000",Balanceanp!C:G,5,FALSE))=TRUE,0,VLOOKUP("AMI707300000",Balanceanp!C:G,5,FALSE))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-IF(ISNA(VLOOKUP("AMI707110000",Balance!C:G,5,FALSE))=TRUE,0,VLOOKUP("AMI707110000",Balance!C:G,5,FALSE))</f>
        <v>284.39999999999998</v>
      </c>
      <c r="D11" s="117">
        <f>+[2]Amiens!$H11</f>
        <v>0</v>
      </c>
      <c r="E11" s="160">
        <f>-IF(ISNA(VLOOKUP("AMI707110000",Balanceanp!C:G,5,FALSE))=TRUE,0,VLOOKUP("AMI707110000",Balanceanp!C:G,5,FALSE))</f>
        <v>0</v>
      </c>
      <c r="F11" s="368">
        <f t="shared" si="3"/>
        <v>284.39999999999998</v>
      </c>
      <c r="G11" s="395">
        <f t="shared" si="1"/>
        <v>292.93199999999996</v>
      </c>
      <c r="H11" s="401"/>
      <c r="I11" s="149">
        <f t="shared" si="2"/>
        <v>0</v>
      </c>
      <c r="J11" s="271">
        <f t="shared" si="2"/>
        <v>2.999999999999994E-2</v>
      </c>
      <c r="L11" s="17">
        <v>0</v>
      </c>
    </row>
    <row r="12" spans="1:12" hidden="1">
      <c r="A12" s="5" t="s">
        <v>46</v>
      </c>
      <c r="B12" s="92"/>
      <c r="C12" s="160">
        <f>-IF(ISNA(VLOOKUP("AMI707120000",Balance!C:G,5,FALSE))=TRUE,0,VLOOKUP("AMI707120000",Balance!C:G,5,FALSE))</f>
        <v>0</v>
      </c>
      <c r="D12" s="117">
        <f>+[2]Amiens!$H12</f>
        <v>0</v>
      </c>
      <c r="E12" s="160">
        <f>-IF(ISNA(VLOOKUP("AMI707120000",Balanceanp!C:G,5,FALSE))=TRUE,0,VLOOKUP("AMI707120000",Balanceanp!C:G,5,FALSE))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-IF(ISNA(VLOOKUP("AMI707230000",Balance!C:G,5,FALSE))=TRUE,0,VLOOKUP("AMI707230000",Balance!C:G,5,FALSE))</f>
        <v>0</v>
      </c>
      <c r="D13" s="117">
        <f>+[2]Amiens!$H13</f>
        <v>0</v>
      </c>
      <c r="E13" s="160">
        <f>-IF(ISNA(VLOOKUP("AMI707230000",Balanceanp!C:G,5,FALSE))=TRUE,0,VLOOKUP("AMI707230000",Balanceanp!C:G,5,FALSE))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-IF(ISNA(VLOOKUP("AMI708820000",Balance!C:G,5,FALSE))=TRUE,0,VLOOKUP("AMI708820000",Balance!C:G,5,FALSE))</f>
        <v>10</v>
      </c>
      <c r="D14" s="117">
        <f>+[2]Amiens!$H14</f>
        <v>0</v>
      </c>
      <c r="E14" s="160">
        <f>-IF(ISNA(VLOOKUP("AMI708820000",Balanceanp!C:G,5,FALSE))=TRUE,0,VLOOKUP("AMI708820000",Balanceanp!C:G,5,FALSE))</f>
        <v>248.7</v>
      </c>
      <c r="F14" s="368">
        <f t="shared" si="3"/>
        <v>10</v>
      </c>
      <c r="G14" s="395">
        <v>0</v>
      </c>
      <c r="H14" s="401"/>
      <c r="I14" s="149">
        <f t="shared" si="2"/>
        <v>-0.9597909127462807</v>
      </c>
      <c r="J14" s="271">
        <f t="shared" si="2"/>
        <v>-1</v>
      </c>
      <c r="L14" s="17">
        <v>0</v>
      </c>
    </row>
    <row r="15" spans="1:12" hidden="1">
      <c r="A15" s="5" t="s">
        <v>270</v>
      </c>
      <c r="B15" s="92"/>
      <c r="C15" s="160">
        <f>-IF(ISNA(VLOOKUP("AMI708500000",Balance!C:G,5,FALSE))=TRUE,0,VLOOKUP("AMI708500000",Balance!C:G,5,FALSE))</f>
        <v>879</v>
      </c>
      <c r="D15" s="117">
        <f>+[2]Amiens!$H15</f>
        <v>0</v>
      </c>
      <c r="E15" s="160">
        <f>-IF(ISNA(VLOOKUP("AMI708500000",Balanceanp!C:G,5,FALSE))=TRUE,0,VLOOKUP("AMI708500000",Balanceanp!C:G,5,FALSE))</f>
        <v>1419</v>
      </c>
      <c r="F15" s="368">
        <f t="shared" si="3"/>
        <v>879</v>
      </c>
      <c r="G15" s="395">
        <v>0</v>
      </c>
      <c r="H15" s="401"/>
      <c r="I15" s="149">
        <f t="shared" si="2"/>
        <v>-0.38054968287526425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IF(ISNA(VLOOKUP("AMI706000000",Balance!C:G,5,FALSE))=TRUE,0,-VLOOKUP("AMI706000000",Balance!C:G,5,FALSE))+IF(ISNA(VLOOKUP("AMI706010000",Balance!C:G,5,FALSE))=TRUE,0,-VLOOKUP("AMI706010000",Balance!C:G,5,FALSE))</f>
        <v>0</v>
      </c>
      <c r="D16" s="117">
        <f>+[2]Amiens!$H16</f>
        <v>0</v>
      </c>
      <c r="E16" s="160">
        <f>IF(ISNA(VLOOKUP("AMI706000000",Balanceanp!C:G,5,FALSE))=TRUE,0,-VLOOKUP("AMI706000000",Balanceanp!C:G,5,FALSE))+IF(ISNA(VLOOKUP("AMI706010000",Balanceanp!C:G,5,FALSE))=TRUE,0,-VLOOKUP("AMI706010000",Balanceanp!C:G,5,FALSE))</f>
        <v>292.64</v>
      </c>
      <c r="F16" s="368">
        <f t="shared" si="3"/>
        <v>0</v>
      </c>
      <c r="G16" s="395">
        <v>0</v>
      </c>
      <c r="H16" s="401"/>
      <c r="I16" s="149">
        <f t="shared" si="2"/>
        <v>-1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IF(ISNA(VLOOKUP("AMI707500000",Balance!C:G,5,FALSE))=TRUE,0,-VLOOKUP("AMI707500000",Balance!C:G,5,FALSE))</f>
        <v>0</v>
      </c>
      <c r="D17" s="117">
        <f>+[2]Amiens!$H17</f>
        <v>0</v>
      </c>
      <c r="E17" s="160">
        <f>IF(ISNA(VLOOKUP("AMI707500000",Balanceanp!C:G,5,FALSE))=TRUE,0,-VLOOKUP("AMI707500000",Balanceanp!C:G,5,FALSE))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IF(ISNA(VLOOKUP("AMI707510000",Balance!C:G,5,FALSE))=TRUE,0,-VLOOKUP("AMI707510000",Balance!C:G,5,FALSE))</f>
        <v>0</v>
      </c>
      <c r="D18" s="117">
        <f>+[2]Amiens!$H18</f>
        <v>0</v>
      </c>
      <c r="E18" s="160">
        <f>IF(ISNA(VLOOKUP("AMI707510000",Balanceanp!C:G,5,FALSE))=TRUE,0,-VLOOKUP("AMI707510000",Balanceanp!C:G,5,FALSE))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IF(ISNA(VLOOKUP("AMI708300000",Balance!C:G,5,FALSE))=TRUE,0,-VLOOKUP("AMI708300000",Balance!C:G,5,FALSE))</f>
        <v>0</v>
      </c>
      <c r="D19" s="117">
        <f>+[2]Amiens!$H19</f>
        <v>0</v>
      </c>
      <c r="E19" s="160">
        <f>IF(ISNA(VLOOKUP("AMI708300000",Balanceanp!C:G,5,FALSE))=TRUE,0,-VLOOKUP("AMI708300000",Balanceanp!C:G,5,FALSE))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695" t="s">
        <v>222</v>
      </c>
      <c r="B21" s="759"/>
      <c r="C21" s="696">
        <f>SUM(C7:C20)</f>
        <v>319748.44</v>
      </c>
      <c r="D21" s="704">
        <f>SUM(D7:D20)</f>
        <v>534749</v>
      </c>
      <c r="E21" s="696">
        <f>SUM(E7:E20)</f>
        <v>396505.36</v>
      </c>
      <c r="F21" s="764">
        <f>SUM(F7:F20)</f>
        <v>430837.28506448591</v>
      </c>
      <c r="G21" s="704">
        <f>SUM(G7:G20)</f>
        <v>517143.93199999997</v>
      </c>
      <c r="H21" s="704"/>
      <c r="I21" s="697">
        <f>+IF((E21)=0,,(F21-E21)/E21)</f>
        <v>8.6586282375819404E-2</v>
      </c>
      <c r="J21" s="698">
        <f>+IF((F21)=0,,(G21-F21)/F21)</f>
        <v>0.20032306842383904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690" t="s">
        <v>92</v>
      </c>
      <c r="B23" s="693"/>
      <c r="C23" s="691">
        <f>IF(ISNA(VLOOKUP("AMI602650000",Balance!C:G,5,FALSE))=TRUE,0,VLOOKUP("AMI602650000",Balance!C:G,5,FALSE))</f>
        <v>0</v>
      </c>
      <c r="D23" s="1038"/>
      <c r="E23" s="691">
        <f>IF(ISNA(VLOOKUP("AMI602650000",Balanceanp!C:G,5,FALSE))=TRUE,0,VLOOKUP("AMI602650000",Balanceanp!C:G,5,FALSE))</f>
        <v>54.9</v>
      </c>
      <c r="F23" s="981"/>
      <c r="G23" s="1038"/>
      <c r="H23" s="1038"/>
      <c r="I23" s="693"/>
      <c r="J23" s="694"/>
      <c r="L23" s="17">
        <f t="shared" si="0"/>
        <v>1</v>
      </c>
    </row>
    <row r="24" spans="1:12">
      <c r="A24" s="690" t="s">
        <v>93</v>
      </c>
      <c r="B24" s="693"/>
      <c r="C24" s="691">
        <f>IF(ISNA(VLOOKUP("ami607100000",Balance!C:G,5,FALSE))=TRUE,0,VLOOKUP("ami607100000",Balance!C:G,5,FALSE))</f>
        <v>48668.69</v>
      </c>
      <c r="D24" s="1038"/>
      <c r="E24" s="691">
        <f>IF(ISNA(VLOOKUP("ami607100000",Balanceanp!C:G,5,FALSE))=TRUE,0,VLOOKUP("ami607100000",Balanceanp!C:G,5,FALSE))</f>
        <v>81914.62</v>
      </c>
      <c r="F24" s="981"/>
      <c r="G24" s="1039">
        <f>H24*G30</f>
        <v>171795.21421040001</v>
      </c>
      <c r="H24" s="1040">
        <f>1-H28</f>
        <v>0.55000000000000004</v>
      </c>
      <c r="I24" s="693"/>
      <c r="J24" s="694"/>
      <c r="L24" s="17">
        <f t="shared" si="0"/>
        <v>1</v>
      </c>
    </row>
    <row r="25" spans="1:12" hidden="1">
      <c r="A25" s="5" t="s">
        <v>94</v>
      </c>
      <c r="B25" s="92"/>
      <c r="C25" s="160">
        <f>IF(ISNA(VLOOKUP("ami607110000",Balance!C:G,5,FALSE))=TRUE,0,VLOOKUP("ami607110000",Balance!C:G,5,FALSE))+IF(ISNA(VLOOKUP("ami607120000",Balance!C:G,5,FALSE))=TRUE,0,VLOOKUP("ami607120000",Balance!C:G,5,FALSE))</f>
        <v>63568.53</v>
      </c>
      <c r="D25" s="115"/>
      <c r="E25" s="160">
        <f>IF(ISNA(VLOOKUP("ami607110000",Balanceanp!C:G,5,FALSE))=TRUE,0,VLOOKUP("ami607110000",Balanceanp!C:G,5,FALSE))+IF(ISNA(VLOOKUP("ami607120000",Balanceanp!C:G,5,FALSE))=TRUE,0,VLOOKUP("ami607120000",Balanceanp!C:G,5,FALSE))</f>
        <v>3532.2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IF(ISNA(VLOOKUP("ami607130000",Balance!C:G,5,FALSE))=TRUE,0,VLOOKUP("ami607130000",Balance!C:G,5,FALSE))</f>
        <v>79824.92</v>
      </c>
      <c r="D26" s="115"/>
      <c r="E26" s="160">
        <f>IF(ISNA(VLOOKUP("ami607130000",Balanceanp!C:G,5,FALSE))=TRUE,0,VLOOKUP("ami607130000",Balanceanp!C:G,5,FALSE))</f>
        <v>74829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IF(ISNA(VLOOKUP("ami607140000",Balance!C:G,5,FALSE))=TRUE,0,VLOOKUP("ami607140000",Balance!C:G,5,FALSE))</f>
        <v>-67534.91</v>
      </c>
      <c r="D27" s="115"/>
      <c r="E27" s="160">
        <f>IF(ISNA(VLOOKUP("ami607140000",Balanceanp!C:G,5,FALSE))=TRUE,0,VLOOKUP("ami607140000",Balanceanp!C:G,5,FALSE))</f>
        <v>-43215</v>
      </c>
      <c r="F27" s="134"/>
      <c r="G27" s="134"/>
      <c r="H27" s="400"/>
      <c r="I27" s="149"/>
      <c r="J27" s="271"/>
      <c r="L27" s="17">
        <v>0</v>
      </c>
    </row>
    <row r="28" spans="1:12">
      <c r="A28" s="690" t="s">
        <v>95</v>
      </c>
      <c r="B28" s="693"/>
      <c r="C28" s="691">
        <f>IF(ISNA(VLOOKUP("AMI607200000",Balance!C:G,5,FALSE))=TRUE,0,VLOOKUP("AMI607200000",Balance!C:G,5,FALSE))</f>
        <v>97639.46</v>
      </c>
      <c r="D28" s="1041">
        <f>C28/C30</f>
        <v>0.43948739570274914</v>
      </c>
      <c r="E28" s="691">
        <f>IF(ISNA(VLOOKUP("AMI607200000",Balanceanp!C:G,5,FALSE))=TRUE,0,VLOOKUP("AMI607200000",Balanceanp!C:G,5,FALSE))</f>
        <v>113073.97</v>
      </c>
      <c r="F28" s="1154">
        <f>E28/E30</f>
        <v>0.49122082748362889</v>
      </c>
      <c r="G28" s="1039">
        <f>H28*G30</f>
        <v>140559.72071759999</v>
      </c>
      <c r="H28" s="1042">
        <v>0.45</v>
      </c>
      <c r="I28" s="693"/>
      <c r="J28" s="694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IF(ISNA(VLOOKUP("AMI607150000",Balance!C:G,5,FALSE))=TRUE,0,VLOOKUP("AMI607150000",Balance!C:G,5,FALSE))</f>
        <v>0</v>
      </c>
      <c r="D29" s="115"/>
      <c r="E29" s="357">
        <f>IF(ISNA(VLOOKUP("AMI607150000",Balanceanp!C:G,5,FALSE))=TRUE,0,VLOOKUP("AMI607150000",Balanceanp!C:G,5,FALSE))</f>
        <v>0</v>
      </c>
      <c r="F29" s="134"/>
      <c r="G29" s="134"/>
      <c r="H29" s="400"/>
      <c r="I29" s="149">
        <f>+IF((D28)=0,"",(C28-D28)/D28)</f>
        <v>222165.69</v>
      </c>
      <c r="J29" s="271"/>
      <c r="L29" s="17">
        <v>0</v>
      </c>
    </row>
    <row r="30" spans="1:12" s="43" customFormat="1" ht="15" customHeight="1">
      <c r="A30" s="700" t="s">
        <v>292</v>
      </c>
      <c r="B30" s="762"/>
      <c r="C30" s="701">
        <f>SUM(C23:C29)</f>
        <v>222166.69</v>
      </c>
      <c r="D30" s="1043"/>
      <c r="E30" s="701">
        <f>SUM(E23:E29)</f>
        <v>230189.68999999997</v>
      </c>
      <c r="F30" s="865">
        <f>1-(E30/E21)</f>
        <v>0.41945377484934887</v>
      </c>
      <c r="G30" s="1043">
        <f>G21*(1-H30)</f>
        <v>312354.93492799997</v>
      </c>
      <c r="H30" s="959">
        <v>0.39600000000000002</v>
      </c>
      <c r="I30" s="702"/>
      <c r="J30" s="703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955" t="s">
        <v>336</v>
      </c>
      <c r="B32" s="1044"/>
      <c r="C32" s="1045">
        <f>+C21-C30-C38</f>
        <v>135731.41</v>
      </c>
      <c r="D32" s="960"/>
      <c r="E32" s="1045">
        <f>+E21-E30-E38</f>
        <v>147696.1433</v>
      </c>
      <c r="F32" s="871"/>
      <c r="G32" s="960"/>
      <c r="H32" s="960"/>
      <c r="I32" s="702"/>
      <c r="J32" s="959"/>
      <c r="L32" s="17">
        <f t="shared" si="0"/>
        <v>1</v>
      </c>
    </row>
    <row r="33" spans="1:12" s="33" customFormat="1" ht="0.75" customHeight="1">
      <c r="A33" s="955" t="s">
        <v>337</v>
      </c>
      <c r="B33" s="1044"/>
      <c r="C33" s="1046">
        <f>+C32/C21</f>
        <v>0.4244943618802331</v>
      </c>
      <c r="D33" s="960"/>
      <c r="E33" s="1046">
        <f>+E32/E21</f>
        <v>0.37249469540588304</v>
      </c>
      <c r="F33" s="871"/>
      <c r="G33" s="960"/>
      <c r="H33" s="960"/>
      <c r="I33" s="702"/>
      <c r="J33" s="959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690" t="s">
        <v>96</v>
      </c>
      <c r="B35" s="693"/>
      <c r="C35" s="691">
        <f>IF(ISNA(VLOOKUP("AMI607400000",Balance!C:G,5,FALSE))=TRUE,0,VLOOKUP("AMI607400000",Balance!C:G,5,FALSE))</f>
        <v>2335.0700000000002</v>
      </c>
      <c r="D35" s="1038"/>
      <c r="E35" s="691">
        <f>IF(ISNA(VLOOKUP("AMI607400000",Balanceanp!C:G,5,FALSE))=TRUE,0,VLOOKUP("AMI607400000",Balanceanp!C:G,5,FALSE))</f>
        <v>5128.0200000000004</v>
      </c>
      <c r="F35" s="990">
        <f>E35/E30</f>
        <v>2.2277366114876827E-2</v>
      </c>
      <c r="G35" s="1048">
        <f>F35*G30</f>
        <v>6958.4452431795826</v>
      </c>
      <c r="H35" s="1038"/>
      <c r="I35" s="693" t="str">
        <f t="shared" si="4"/>
        <v/>
      </c>
      <c r="J35" s="694"/>
      <c r="L35" s="17">
        <f t="shared" si="0"/>
        <v>1</v>
      </c>
    </row>
    <row r="36" spans="1:12">
      <c r="A36" s="690" t="s">
        <v>97</v>
      </c>
      <c r="B36" s="693"/>
      <c r="C36" s="691">
        <f>IF(ISNA(VLOOKUP("AMI608000000",Balance!C:G,5,FALSE))=TRUE,0,VLOOKUP("AMI608000000",Balance!C:G,5,FALSE))</f>
        <v>1335.45</v>
      </c>
      <c r="D36" s="1038"/>
      <c r="E36" s="691">
        <f>IF(ISNA(VLOOKUP("AMI608000000",Balanceanp!C:G,5,FALSE))=TRUE,0,VLOOKUP("AMI608000000",Balanceanp!C:G,5,FALSE))</f>
        <v>1847.15</v>
      </c>
      <c r="F36" s="990">
        <f>E36/E30</f>
        <v>8.0244688630494287E-3</v>
      </c>
      <c r="G36" s="1048">
        <f>F36*G30</f>
        <v>2506.4824495495664</v>
      </c>
      <c r="H36" s="1038"/>
      <c r="I36" s="693" t="str">
        <f t="shared" si="4"/>
        <v/>
      </c>
      <c r="J36" s="694"/>
      <c r="L36" s="17">
        <f t="shared" si="0"/>
        <v>1</v>
      </c>
    </row>
    <row r="37" spans="1:12" hidden="1">
      <c r="A37" s="5" t="s">
        <v>98</v>
      </c>
      <c r="B37" s="92"/>
      <c r="C37" s="160">
        <f>IF(ISNA(VLOOKUP("AMI608100000",Balance!C:G,5,FALSE))=TRUE,0,VLOOKUP("AMI608100000",Balance!C:G,5,FALSE))</f>
        <v>0</v>
      </c>
      <c r="D37" s="115"/>
      <c r="E37" s="160">
        <f>IF(ISNA(VLOOKUP("AMI608100000",Balanceanp!C:G,5,FALSE))=TRUE,0,VLOOKUP("AMI608100000",Balanceanp!C:G,5,FALSE))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-38149.660000000003</v>
      </c>
      <c r="D38" s="115"/>
      <c r="E38" s="160">
        <f>+E56-E57</f>
        <v>18619.526700000002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IF(ISNA(VLOOKUP("AMI681730000",Balance!C:G,5,FALSE))=TRUE,0,VLOOKUP("AMI681730000",Balance!C:G,5,FALSE))</f>
        <v>0</v>
      </c>
      <c r="D39" s="115"/>
      <c r="E39" s="160">
        <f>IF(ISNA(VLOOKUP("AMI681730000",Balanceanp!C:G,5,FALSE))=TRUE,0,VLOOKUP("AMI681730000",Balanceanp!C:G,5,FALSE))</f>
        <v>3264.43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IF(ISNA(VLOOKUP("AMI781730000",Balance!C:G,5,FALSE))=TRUE,0,VLOOKUP("AMI781730000",Balance!C:G,5,FALSE))</f>
        <v>-1862.73</v>
      </c>
      <c r="D40" s="115"/>
      <c r="E40" s="160">
        <f>IF(ISNA(VLOOKUP("AMI781730000",Balanceanp!C:G,5,FALSE))=TRUE,0,VLOOKUP("AMI781730000",Balanceanp!C:G,5,FALSE))</f>
        <v>-8594.0300000000007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690" t="s">
        <v>317</v>
      </c>
      <c r="B41" s="693"/>
      <c r="C41" s="691">
        <f>IF(ISNA(VLOOKUP("ami609110000",Balance!C:G,5,FALSE))=TRUE,0,VLOOKUP("ami609110000",Balance!C:G,5,FALSE))</f>
        <v>-78.86</v>
      </c>
      <c r="D41" s="1038"/>
      <c r="E41" s="691">
        <f>IF(ISNA(VLOOKUP("ami609110000",Balanceanp!C:G,5,FALSE))=TRUE,0,VLOOKUP("ami609110000",Balanceanp!C:G,5,FALSE))</f>
        <v>-3945.22</v>
      </c>
      <c r="F41" s="992">
        <f>E41/SUM(E24:E25)</f>
        <v>-4.6171642198036163E-2</v>
      </c>
      <c r="G41" s="1049">
        <f>H41*(G24)</f>
        <v>-3435.9042842080003</v>
      </c>
      <c r="H41" s="1050">
        <v>-0.02</v>
      </c>
      <c r="I41" s="693" t="str">
        <f t="shared" si="4"/>
        <v/>
      </c>
      <c r="J41" s="694"/>
      <c r="L41" s="17">
        <f t="shared" si="0"/>
        <v>1</v>
      </c>
    </row>
    <row r="42" spans="1:12">
      <c r="A42" s="690" t="s">
        <v>318</v>
      </c>
      <c r="B42" s="693"/>
      <c r="C42" s="691">
        <f>IF(ISNA(VLOOKUP("ami609120000",Balance!C:G,5,FALSE))=TRUE,0,VLOOKUP("ami609120000",Balance!C:G,5,FALSE))</f>
        <v>-6752.27</v>
      </c>
      <c r="D42" s="1038"/>
      <c r="E42" s="691">
        <f>IF(ISNA(VLOOKUP("ami609120000",Balanceanp!C:G,5,FALSE))=TRUE,0,VLOOKUP("ami609120000",Balanceanp!C:G,5,FALSE))</f>
        <v>-8351.14</v>
      </c>
      <c r="F42" s="992">
        <f>E42/E28</f>
        <v>-7.385554783298047E-2</v>
      </c>
      <c r="G42" s="1049">
        <f>H42*G28</f>
        <v>-9839.180450232001</v>
      </c>
      <c r="H42" s="1050">
        <v>-7.0000000000000007E-2</v>
      </c>
      <c r="I42" s="693" t="str">
        <f t="shared" si="4"/>
        <v/>
      </c>
      <c r="J42" s="694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695" t="s">
        <v>291</v>
      </c>
      <c r="B44" s="759"/>
      <c r="C44" s="696">
        <f>+C30+SUM(C34:C43)</f>
        <v>178993.69</v>
      </c>
      <c r="D44" s="961"/>
      <c r="E44" s="696">
        <f>+E30+SUM(E34:E43)</f>
        <v>238158.42669999998</v>
      </c>
      <c r="F44" s="883"/>
      <c r="G44" s="1051">
        <f>SUM(G35:G43)+G30</f>
        <v>308544.77788628911</v>
      </c>
      <c r="H44" s="961"/>
      <c r="I44" s="697"/>
      <c r="J44" s="698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140754.75</v>
      </c>
      <c r="D46" s="120"/>
      <c r="E46" s="166">
        <f>+E21-E44</f>
        <v>158346.9333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0.44020464963019051</v>
      </c>
      <c r="D47" s="120"/>
      <c r="E47" s="196">
        <f>+E46/E21</f>
        <v>0.39935634993685837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690" t="s">
        <v>91</v>
      </c>
      <c r="B49" s="693">
        <f>+C49/C21</f>
        <v>2.245906188002043E-2</v>
      </c>
      <c r="C49" s="691">
        <f>IF(ISNA(VLOOKUP("AMI709700000",Balance!C:G,5,FALSE))=TRUE,0,VLOOKUP("AMI709700000",Balance!C:G,5,FALSE))</f>
        <v>7181.25</v>
      </c>
      <c r="D49" s="692">
        <f>+[2]Amiens!$H49</f>
        <v>9575</v>
      </c>
      <c r="E49" s="691">
        <f>IF(ISNA(VLOOKUP("AMI709700000",Balanceanp!C:G,5,FALSE))=TRUE,0,VLOOKUP("AMI709700000",Balanceanp!C:G,5,FALSE))</f>
        <v>3387.12</v>
      </c>
      <c r="F49" s="754">
        <f>+C49+C49/9*(12-Clients!$I$14)</f>
        <v>9575</v>
      </c>
      <c r="G49" s="1052">
        <v>13158</v>
      </c>
      <c r="H49" s="1047">
        <f>G49/G21</f>
        <v>2.5443593525525502E-2</v>
      </c>
      <c r="I49" s="693">
        <f>+IF((E49)=0,,(F49-E49)/E49)</f>
        <v>1.8268853775478875</v>
      </c>
      <c r="J49" s="694">
        <f>+IF((F49)=0,,(G49-F49)/F49)</f>
        <v>0.3742036553524804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695" t="s">
        <v>223</v>
      </c>
      <c r="B51" s="759"/>
      <c r="C51" s="696">
        <f>+C21-C49</f>
        <v>312567.19</v>
      </c>
      <c r="D51" s="704">
        <f>+D21-D49</f>
        <v>525174</v>
      </c>
      <c r="E51" s="696">
        <f>+E21-E49</f>
        <v>393118.24</v>
      </c>
      <c r="F51" s="764">
        <f>+F21-F49</f>
        <v>421262.28506448591</v>
      </c>
      <c r="G51" s="704">
        <f>+G21-G49</f>
        <v>503985.93199999997</v>
      </c>
      <c r="H51" s="704"/>
      <c r="I51" s="697">
        <f>+IF((E51)=0,,(F51-E51)/E51)</f>
        <v>7.1591806741111583E-2</v>
      </c>
      <c r="J51" s="698">
        <f>+IF((F51)=0,,(G51-F51)/F51)</f>
        <v>0.19637088310160711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133573.5</v>
      </c>
      <c r="D53" s="122"/>
      <c r="E53" s="169">
        <f>+E51-E44</f>
        <v>154959.81330000001</v>
      </c>
      <c r="F53" s="140"/>
      <c r="G53" s="140"/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0.42734331776793333</v>
      </c>
      <c r="D54" s="123"/>
      <c r="E54" s="197">
        <f>+E53/E51</f>
        <v>0.39418118401221985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+[2]Amiens!$C56</f>
        <v>62717.34</v>
      </c>
      <c r="D56" s="115"/>
      <c r="E56" s="160">
        <f>+[1]Amiens!$G56</f>
        <v>78882.682799999995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+[2]Amiens!$C57</f>
        <v>100867</v>
      </c>
      <c r="D57" s="115"/>
      <c r="E57" s="160">
        <f>+[1]Amiens!$G57</f>
        <v>60263.156099999993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705" t="s">
        <v>295</v>
      </c>
      <c r="B60" s="1053"/>
      <c r="C60" s="706">
        <f>+[2]Amiens!$C60</f>
        <v>0.4</v>
      </c>
      <c r="D60" s="707">
        <f>+[2]Amiens!$H60</f>
        <v>0.36021585226991437</v>
      </c>
      <c r="E60" s="706">
        <f>+[1]Amiens!$G$54</f>
        <v>0.39418118401221985</v>
      </c>
      <c r="F60" s="766">
        <f>+C60</f>
        <v>0.4</v>
      </c>
      <c r="G60" s="707">
        <f>G62/G51</f>
        <v>0.38779089197614919</v>
      </c>
      <c r="H60" s="707"/>
      <c r="I60" s="706"/>
      <c r="J60" s="707"/>
      <c r="L60" s="17">
        <f t="shared" si="0"/>
        <v>1</v>
      </c>
    </row>
    <row r="61" spans="1:12" hidden="1">
      <c r="A61" s="5" t="s">
        <v>65</v>
      </c>
      <c r="B61" s="92"/>
      <c r="C61" s="92">
        <f>+[2]Amiens!$C61</f>
        <v>0.4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705" t="s">
        <v>296</v>
      </c>
      <c r="B62" s="1053"/>
      <c r="C62" s="708">
        <f>+C51*C60</f>
        <v>125026.876</v>
      </c>
      <c r="D62" s="709">
        <f>D51*D60</f>
        <v>189176</v>
      </c>
      <c r="E62" s="708">
        <f>+E51*E60</f>
        <v>154959.81330000001</v>
      </c>
      <c r="F62" s="768">
        <f>+F51*F60</f>
        <v>168504.91402579437</v>
      </c>
      <c r="G62" s="709">
        <f>G51-G44</f>
        <v>195441.15411371086</v>
      </c>
      <c r="H62" s="709"/>
      <c r="I62" s="706">
        <f>+IF((E62)=0,,(F62-E62)/E62)</f>
        <v>8.7410409430290381E-2</v>
      </c>
      <c r="J62" s="707">
        <f>+IF((F62)=0,,(G62-F62)/F62)</f>
        <v>0.15985432973066382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690" t="s">
        <v>104</v>
      </c>
      <c r="B64" s="693"/>
      <c r="C64" s="691">
        <f>IF(ISNA(VLOOKUP("AMI613520000",Balance!C:G,5,FALSE))=TRUE,0,VLOOKUP("AMI613520000",Balance!C:G,5,FALSE))</f>
        <v>0</v>
      </c>
      <c r="D64" s="692">
        <f>+[2]Amiens!$H64</f>
        <v>2526.1461462843749</v>
      </c>
      <c r="E64" s="691">
        <f>IF(ISNA(VLOOKUP("AMI613520000",Balanceanp!C:G,5,FALSE))=TRUE,0,VLOOKUP("AMI613520000",Balanceanp!C:G,5,FALSE))</f>
        <v>0</v>
      </c>
      <c r="F64" s="979">
        <f>+C64+C64/9*(12-Clients!$I$14)</f>
        <v>0</v>
      </c>
      <c r="G64" s="1055">
        <f>+F64*1.03</f>
        <v>0</v>
      </c>
      <c r="H64" s="1055"/>
      <c r="I64" s="693">
        <f t="shared" ref="I64:J68" si="5">+IF((E64)=0,,(F64-E64)/E64)</f>
        <v>0</v>
      </c>
      <c r="J64" s="694">
        <f t="shared" si="5"/>
        <v>0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+[2]Amiens!$H65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690" t="s">
        <v>110</v>
      </c>
      <c r="B66" s="693"/>
      <c r="C66" s="691">
        <f>IF(ISNA(VLOOKUP("AMI616120000",Balance!C:G,5,FALSE))=TRUE,0,VLOOKUP("AMI616120000",Balance!C:G,5,FALSE))</f>
        <v>713.61</v>
      </c>
      <c r="D66" s="692">
        <f>+[2]Amiens!$H66</f>
        <v>951.51182879433338</v>
      </c>
      <c r="E66" s="691">
        <f>IF(ISNA(VLOOKUP("AMI616120000",Balanceanp!C:G,5,FALSE))=TRUE,0,VLOOKUP("AMI616120000",Balanceanp!C:G,5,FALSE))</f>
        <v>40.74</v>
      </c>
      <c r="F66" s="1002">
        <f>22.91+22.81</f>
        <v>45.72</v>
      </c>
      <c r="G66" s="1055">
        <f>+F66*1.035</f>
        <v>47.320199999999993</v>
      </c>
      <c r="H66" s="1055"/>
      <c r="I66" s="693">
        <f t="shared" si="5"/>
        <v>0.12223858615611184</v>
      </c>
      <c r="J66" s="694">
        <f t="shared" si="5"/>
        <v>3.4999999999999865E-2</v>
      </c>
      <c r="L66" s="17">
        <f t="shared" si="0"/>
        <v>1</v>
      </c>
    </row>
    <row r="67" spans="1:12">
      <c r="A67" s="690" t="s">
        <v>107</v>
      </c>
      <c r="B67" s="693"/>
      <c r="C67" s="691">
        <f>IF(ISNA(VLOOKUP("AMI615520000",Balance!C:G,5,FALSE))=TRUE,0,VLOOKUP("AMI615520000",Balance!C:G,5,FALSE))</f>
        <v>0</v>
      </c>
      <c r="D67" s="692">
        <f>+[2]Amiens!$H67</f>
        <v>416.33410307437498</v>
      </c>
      <c r="E67" s="691">
        <f>IF(ISNA(VLOOKUP("AMI615520000",Balanceanp!C:G,5,FALSE))=TRUE,0,VLOOKUP("AMI615520000",Balanceanp!C:G,5,FALSE))</f>
        <v>17.600000000000001</v>
      </c>
      <c r="F67" s="979">
        <f>+C67+C67/9*(12-Clients!$I$14)</f>
        <v>0</v>
      </c>
      <c r="G67" s="1055">
        <f>+F67*1.03</f>
        <v>0</v>
      </c>
      <c r="H67" s="1055"/>
      <c r="I67" s="693">
        <f t="shared" si="5"/>
        <v>-1</v>
      </c>
      <c r="J67" s="694">
        <f t="shared" si="5"/>
        <v>0</v>
      </c>
      <c r="L67" s="17">
        <f t="shared" si="0"/>
        <v>1</v>
      </c>
    </row>
    <row r="68" spans="1:12">
      <c r="A68" s="690" t="s">
        <v>125</v>
      </c>
      <c r="B68" s="693"/>
      <c r="C68" s="691">
        <f>IF(ISNA(VLOOKUP("AMI606130000",Balance!C:G,5,FALSE))=TRUE,0,VLOOKUP("AMI606130000",Balance!C:G,5,FALSE))</f>
        <v>0</v>
      </c>
      <c r="D68" s="692">
        <f>+[2]Amiens!$H68</f>
        <v>1791.6057278203127</v>
      </c>
      <c r="E68" s="691">
        <f>IF(ISNA(VLOOKUP("AMI606130000",Balanceanp!C:G,5,FALSE))=TRUE,0,VLOOKUP("AMI606130000",Balanceanp!C:G,5,FALSE))</f>
        <v>173.37</v>
      </c>
      <c r="F68" s="979">
        <f>+C68+C68/9*(12-Clients!$I$14)</f>
        <v>0</v>
      </c>
      <c r="G68" s="1054">
        <f>+F68*1.03</f>
        <v>0</v>
      </c>
      <c r="H68" s="1054"/>
      <c r="I68" s="693">
        <f t="shared" si="5"/>
        <v>-1</v>
      </c>
      <c r="J68" s="694">
        <f t="shared" si="5"/>
        <v>0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710" t="s">
        <v>128</v>
      </c>
      <c r="B70" s="772"/>
      <c r="C70" s="711">
        <f>SUM(C64:C69)</f>
        <v>713.61</v>
      </c>
      <c r="D70" s="712">
        <f>SUM(D64:D69)</f>
        <v>5685.5978059733961</v>
      </c>
      <c r="E70" s="691">
        <f>SUM(E64:E69)</f>
        <v>231.71</v>
      </c>
      <c r="F70" s="997">
        <f>SUM(F64:F69)</f>
        <v>45.72</v>
      </c>
      <c r="G70" s="962">
        <f>SUM(G64:G69)</f>
        <v>47.320199999999993</v>
      </c>
      <c r="H70" s="962"/>
      <c r="I70" s="693">
        <f>+IF((E70)=0,,(F70-E70)/E70)</f>
        <v>-0.8026843899702214</v>
      </c>
      <c r="J70" s="694">
        <f>+IF((F70)=0,,(G70-F70)/F70)</f>
        <v>3.4999999999999865E-2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690" t="s">
        <v>1</v>
      </c>
      <c r="B72" s="693"/>
      <c r="C72" s="691">
        <f>IF(ISNA(VLOOKUP("ami602220000",Balance!C:G,5,FALSE))=TRUE,0,VLOOKUP("ami602220000",Balance!C:G,5,FALSE))</f>
        <v>0</v>
      </c>
      <c r="D72" s="692">
        <f>+[2]Amiens!$H72</f>
        <v>268.45322278125002</v>
      </c>
      <c r="E72" s="691">
        <f>IF(ISNA(VLOOKUP("ami602220000",Balanceanp!C:G,5,FALSE))=TRUE,0,VLOOKUP("ami602220000",Balanceanp!C:G,5,FALSE))</f>
        <v>293.54000000000002</v>
      </c>
      <c r="F72" s="979">
        <f>+C72+C72/9*(12-Clients!$I$14)</f>
        <v>0</v>
      </c>
      <c r="G72" s="1057">
        <f>+F72*1.03</f>
        <v>0</v>
      </c>
      <c r="H72" s="1057"/>
      <c r="I72" s="693">
        <f t="shared" ref="I72:J87" si="6">+IF((E72)=0,,(F72-E72)/E72)</f>
        <v>-1</v>
      </c>
      <c r="J72" s="694">
        <f t="shared" si="6"/>
        <v>0</v>
      </c>
      <c r="L72" s="17">
        <f t="shared" ref="L72:L133" si="7">IF(SUM(C72:J72)&lt;&gt;0,1,0)</f>
        <v>1</v>
      </c>
    </row>
    <row r="73" spans="1:12">
      <c r="A73" s="690" t="s">
        <v>123</v>
      </c>
      <c r="B73" s="693"/>
      <c r="C73" s="691">
        <f>IF(ISNA(VLOOKUP("AMI606100000",Balance!C:G,5,FALSE))=TRUE,0,VLOOKUP("AMI606100000",Balance!C:G,5,FALSE))</f>
        <v>6915.56</v>
      </c>
      <c r="D73" s="692">
        <f>+[2]Amiens!$H73</f>
        <v>7876.5554178994662</v>
      </c>
      <c r="E73" s="691">
        <f>IF(ISNA(VLOOKUP("AMI606100000",Balanceanp!C:G,5,FALSE))=TRUE,0,VLOOKUP("AMI606100000",Balanceanp!C:G,5,FALSE))</f>
        <v>9825.7900000000009</v>
      </c>
      <c r="F73" s="979">
        <f>+C73+C73/9*(12-Clients!$I$14)</f>
        <v>9220.746666666666</v>
      </c>
      <c r="G73" s="1057">
        <f t="shared" ref="G73:G101" si="8">+F73*1.03</f>
        <v>9497.3690666666662</v>
      </c>
      <c r="H73" s="1059">
        <f>G73/G21</f>
        <v>1.8365040134835552E-2</v>
      </c>
      <c r="I73" s="693">
        <f t="shared" si="6"/>
        <v>-6.157706742494342E-2</v>
      </c>
      <c r="J73" s="694">
        <f t="shared" si="6"/>
        <v>3.0000000000000023E-2</v>
      </c>
      <c r="L73" s="17">
        <f t="shared" si="7"/>
        <v>1</v>
      </c>
    </row>
    <row r="74" spans="1:12" hidden="1">
      <c r="A74" s="5" t="s">
        <v>124</v>
      </c>
      <c r="B74" s="92"/>
      <c r="C74" s="160">
        <f>IF(ISNA(VLOOKUP("AMI606110000",Balance!C:G,5,FALSE))=TRUE,0,VLOOKUP("AMI606110000",Balance!C:G,5,FALSE))</f>
        <v>0</v>
      </c>
      <c r="D74" s="117">
        <f>+[2]Amiens!$H74</f>
        <v>0</v>
      </c>
      <c r="E74" s="160">
        <f>IF(ISNA(VLOOKUP("AMI606110000",Balanceanp!C:G,5,FALSE))=TRUE,0,VLOOKUP("AMI606110000",Balanceanp!C:G,5,FALSE))</f>
        <v>0</v>
      </c>
      <c r="F74" s="368">
        <f>+C74+C74/9*(12-Clients!$I$14)</f>
        <v>0</v>
      </c>
      <c r="G74" s="396">
        <f t="shared" si="8"/>
        <v>0</v>
      </c>
      <c r="H74" s="409"/>
      <c r="I74" s="149">
        <f t="shared" si="6"/>
        <v>0</v>
      </c>
      <c r="J74" s="271">
        <f t="shared" si="6"/>
        <v>0</v>
      </c>
      <c r="L74" s="17">
        <f t="shared" si="7"/>
        <v>0</v>
      </c>
    </row>
    <row r="75" spans="1:12" hidden="1">
      <c r="A75" s="5" t="s">
        <v>360</v>
      </c>
      <c r="B75" s="92"/>
      <c r="C75" s="160">
        <f>IF(ISNA(VLOOKUP("ami606140000",Balance!C:G,5,FALSE))=TRUE,0,VLOOKUP("ami606140000",Balance!C:G,5,FALSE))</f>
        <v>0</v>
      </c>
      <c r="D75" s="117">
        <f>+[2]Amiens!$H75</f>
        <v>0</v>
      </c>
      <c r="E75" s="160">
        <f>IF(ISNA(VLOOKUP("ami606140000",Balanceanp!C:G,5,FALSE))=TRUE,0,VLOOKUP("ami606140000",Balanceanp!C:G,5,FALSE))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690" t="s">
        <v>126</v>
      </c>
      <c r="B76" s="693"/>
      <c r="C76" s="691">
        <f>IF(ISNA(VLOOKUP("AMI606310000",Balance!C:G,5,FALSE))=TRUE,0,VLOOKUP("AMI606310000",Balance!C:G,5,FALSE))</f>
        <v>10.3</v>
      </c>
      <c r="D76" s="692">
        <f>+[2]Amiens!$H76</f>
        <v>86.848312407013879</v>
      </c>
      <c r="E76" s="691">
        <f>IF(ISNA(VLOOKUP("AMI606310000",Balanceanp!C:G,5,FALSE))=TRUE,0,VLOOKUP("AMI606310000",Balanceanp!C:G,5,FALSE))</f>
        <v>33.22</v>
      </c>
      <c r="F76" s="979">
        <f>+C76+C76/9*(12-Clients!$I$14)</f>
        <v>13.733333333333334</v>
      </c>
      <c r="G76" s="1057">
        <f t="shared" si="8"/>
        <v>14.145333333333335</v>
      </c>
      <c r="H76" s="1057"/>
      <c r="I76" s="693">
        <f t="shared" si="6"/>
        <v>-0.58659442103150705</v>
      </c>
      <c r="J76" s="694">
        <f t="shared" si="6"/>
        <v>3.0000000000000058E-2</v>
      </c>
      <c r="L76" s="17">
        <f t="shared" si="7"/>
        <v>1</v>
      </c>
    </row>
    <row r="77" spans="1:12">
      <c r="A77" s="690" t="s">
        <v>127</v>
      </c>
      <c r="B77" s="693"/>
      <c r="C77" s="691">
        <f>IF(ISNA(VLOOKUP("AMI606410000",Balance!C:G,5,FALSE))=TRUE,0,VLOOKUP("AMI606410000",Balance!C:G,5,FALSE))</f>
        <v>564.01</v>
      </c>
      <c r="D77" s="692">
        <f>+[2]Amiens!$H77</f>
        <v>2524.9989867513468</v>
      </c>
      <c r="E77" s="691">
        <f>IF(ISNA(VLOOKUP("AMI606410000",Balanceanp!C:G,5,FALSE))=TRUE,0,VLOOKUP("AMI606410000",Balanceanp!C:G,5,FALSE))</f>
        <v>4311.67</v>
      </c>
      <c r="F77" s="979">
        <f>+C77+C77/9*(12-Clients!$I$14)</f>
        <v>752.01333333333332</v>
      </c>
      <c r="G77" s="1057">
        <f t="shared" si="8"/>
        <v>774.57373333333339</v>
      </c>
      <c r="H77" s="1057"/>
      <c r="I77" s="693">
        <f t="shared" si="6"/>
        <v>-0.8255865283443925</v>
      </c>
      <c r="J77" s="694">
        <f t="shared" si="6"/>
        <v>3.0000000000000096E-2</v>
      </c>
      <c r="L77" s="17">
        <f t="shared" si="7"/>
        <v>1</v>
      </c>
    </row>
    <row r="78" spans="1:12">
      <c r="A78" s="690" t="s">
        <v>101</v>
      </c>
      <c r="B78" s="693"/>
      <c r="C78" s="691">
        <f>IF(ISNA(VLOOKUP("AMI611000000",Balance!C:G,5,FALSE))=TRUE,0,VLOOKUP("AMI611000000",Balance!C:G,5,FALSE))</f>
        <v>0</v>
      </c>
      <c r="D78" s="692">
        <f>+[2]Amiens!$H78</f>
        <v>1.8203932596739589</v>
      </c>
      <c r="E78" s="691">
        <f>IF(ISNA(VLOOKUP("AMI611000000",Balanceanp!C:G,5,FALSE))=TRUE,0,VLOOKUP("AMI611000000",Balanceanp!C:G,5,FALSE))</f>
        <v>0</v>
      </c>
      <c r="F78" s="979">
        <f>+C78+C78/9*(12-Clients!$I$14)</f>
        <v>0</v>
      </c>
      <c r="G78" s="1054">
        <f t="shared" si="8"/>
        <v>0</v>
      </c>
      <c r="H78" s="1054"/>
      <c r="I78" s="693">
        <f t="shared" si="6"/>
        <v>0</v>
      </c>
      <c r="J78" s="694">
        <f t="shared" si="6"/>
        <v>0</v>
      </c>
      <c r="L78" s="17">
        <f t="shared" si="7"/>
        <v>1</v>
      </c>
    </row>
    <row r="79" spans="1:12">
      <c r="A79" s="690" t="s">
        <v>102</v>
      </c>
      <c r="B79" s="693"/>
      <c r="C79" s="691">
        <f>IF(ISNA(VLOOKUP("AMI613200000",Balance!C:G,5,FALSE))=TRUE,0,VLOOKUP("AMI613200000",Balance!C:G,5,FALSE))</f>
        <v>19121.13</v>
      </c>
      <c r="D79" s="692">
        <f>+[2]Amiens!$H79</f>
        <v>25494.815764863059</v>
      </c>
      <c r="E79" s="691">
        <f>IF(ISNA(VLOOKUP("AMI613200000",Balanceanp!C:G,5,FALSE))=TRUE,0,VLOOKUP("AMI613200000",Balanceanp!C:G,5,FALSE))</f>
        <v>24187.43</v>
      </c>
      <c r="F79" s="996">
        <f>6390.71+8.32+6365.2*3</f>
        <v>25494.629999999997</v>
      </c>
      <c r="G79" s="1052">
        <f>(6390.71*1508/1503)/3*4+6390.71/3*8</f>
        <v>25591.186462630292</v>
      </c>
      <c r="H79" s="1151">
        <f>G79/G21</f>
        <v>4.9485616825588691E-2</v>
      </c>
      <c r="I79" s="693">
        <f t="shared" si="6"/>
        <v>5.4044600852591496E-2</v>
      </c>
      <c r="J79" s="694">
        <f t="shared" si="6"/>
        <v>3.7873255124822309E-3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IF(ISNA(VLOOKUP("ami614000000",Balance!C:G,5,FALSE))=TRUE,0,VLOOKUP("ami614000000",Balance!C:G,5,FALSE))</f>
        <v>0</v>
      </c>
      <c r="D80" s="117">
        <f>+[2]Amiens!$H80</f>
        <v>0</v>
      </c>
      <c r="E80" s="160">
        <f>IF(ISNA(VLOOKUP("ami614000000",Balanceanp!C:G,5,FALSE))=TRUE,0,VLOOKUP("ami614000000",Balanceanp!C:G,5,FALSE))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IF(ISNA(VLOOKUP("AMI613510000",Balance!C:G,5,FALSE))=TRUE,0,VLOOKUP("AMI613510000",Balance!C:G,5,FALSE))</f>
        <v>0</v>
      </c>
      <c r="D81" s="117">
        <f>+[2]Amiens!$H81</f>
        <v>0</v>
      </c>
      <c r="E81" s="160">
        <f>IF(ISNA(VLOOKUP("AMI613510000",Balanceanp!C:G,5,FALSE))=TRUE,0,VLOOKUP("AMI613510000",Balanceanp!C:G,5,FALSE))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690" t="s">
        <v>105</v>
      </c>
      <c r="B82" s="693"/>
      <c r="C82" s="691">
        <f>IF(ISNA(VLOOKUP("AMI613530000",Balance!C:G,5,FALSE))=TRUE,0,VLOOKUP("AMI613530000",Balance!C:G,5,FALSE))</f>
        <v>135</v>
      </c>
      <c r="D82" s="692">
        <f>+[2]Amiens!$H82</f>
        <v>189.61060427187499</v>
      </c>
      <c r="E82" s="691">
        <f>IF(ISNA(VLOOKUP("AMI613530000",Balanceanp!C:G,5,FALSE))=TRUE,0,VLOOKUP("AMI613530000",Balanceanp!C:G,5,FALSE))</f>
        <v>180</v>
      </c>
      <c r="F82" s="979">
        <f>+C82+C82/9*(12-Clients!$I$14)</f>
        <v>180</v>
      </c>
      <c r="G82" s="1057">
        <f t="shared" si="8"/>
        <v>185.4</v>
      </c>
      <c r="H82" s="1057"/>
      <c r="I82" s="693">
        <f t="shared" si="6"/>
        <v>0</v>
      </c>
      <c r="J82" s="694">
        <f t="shared" si="6"/>
        <v>3.000000000000003E-2</v>
      </c>
      <c r="L82" s="17">
        <f t="shared" si="7"/>
        <v>1</v>
      </c>
    </row>
    <row r="83" spans="1:12">
      <c r="A83" s="690" t="s">
        <v>287</v>
      </c>
      <c r="B83" s="693"/>
      <c r="C83" s="691">
        <f>IF(ISNA(VLOOKUP("ami613540000",Balance!C:G,5,FALSE))=TRUE,0,VLOOKUP("ami613540000",Balance!C:G,5,FALSE))</f>
        <v>0</v>
      </c>
      <c r="D83" s="692">
        <f>+[2]Amiens!$H83</f>
        <v>0.39080167013888889</v>
      </c>
      <c r="E83" s="691">
        <f>IF(ISNA(VLOOKUP("ami613540000",Balanceanp!C:G,5,FALSE))=TRUE,0,VLOOKUP("ami613540000",Balanceanp!C:G,5,FALSE))</f>
        <v>0</v>
      </c>
      <c r="F83" s="979">
        <f>+C83+C83/9*(12-Clients!$I$14)</f>
        <v>0</v>
      </c>
      <c r="G83" s="1057">
        <f t="shared" si="8"/>
        <v>0</v>
      </c>
      <c r="H83" s="1057"/>
      <c r="I83" s="693">
        <f t="shared" si="6"/>
        <v>0</v>
      </c>
      <c r="J83" s="694">
        <f t="shared" si="6"/>
        <v>0</v>
      </c>
      <c r="L83" s="17">
        <f t="shared" si="7"/>
        <v>1</v>
      </c>
    </row>
    <row r="84" spans="1:12">
      <c r="A84" s="690" t="s">
        <v>108</v>
      </c>
      <c r="B84" s="693"/>
      <c r="C84" s="691">
        <f>IF(ISNA(VLOOKUP("AMI615200000",Balance!C:G,5,FALSE))=TRUE,0,VLOOKUP("AMI615200000",Balance!C:G,5,FALSE))</f>
        <v>2678.9</v>
      </c>
      <c r="D84" s="692">
        <f>+[2]Amiens!$H84</f>
        <v>1614.141273533189</v>
      </c>
      <c r="E84" s="691">
        <f>IF(ISNA(VLOOKUP("AMI615200000",Balanceanp!C:G,5,FALSE))=TRUE,0,VLOOKUP("AMI615200000",Balanceanp!C:G,5,FALSE))</f>
        <v>1946.48</v>
      </c>
      <c r="F84" s="979">
        <f>+C84+C84/9*(12-Clients!$I$14)</f>
        <v>3571.8666666666668</v>
      </c>
      <c r="G84" s="1057">
        <f t="shared" si="8"/>
        <v>3679.0226666666667</v>
      </c>
      <c r="H84" s="1057"/>
      <c r="I84" s="693">
        <f t="shared" si="6"/>
        <v>0.83503897634019708</v>
      </c>
      <c r="J84" s="694">
        <f t="shared" si="6"/>
        <v>2.9999999999999985E-2</v>
      </c>
      <c r="L84" s="17">
        <f t="shared" si="7"/>
        <v>1</v>
      </c>
    </row>
    <row r="85" spans="1:12">
      <c r="A85" s="690" t="s">
        <v>109</v>
      </c>
      <c r="B85" s="693"/>
      <c r="C85" s="691">
        <f>IF(ISNA(VLOOKUP("AMI615500000",Balance!C:G,5,FALSE))=TRUE,0,VLOOKUP("AMI615500000",Balance!C:G,5,FALSE))</f>
        <v>934</v>
      </c>
      <c r="D85" s="692">
        <f>+[2]Amiens!$H85</f>
        <v>1337.8128798480902</v>
      </c>
      <c r="E85" s="691">
        <f>IF(ISNA(VLOOKUP("AMI615500000",Balanceanp!C:G,5,FALSE))=TRUE,0,VLOOKUP("AMI615500000",Balanceanp!C:G,5,FALSE))</f>
        <v>920</v>
      </c>
      <c r="F85" s="979">
        <f>+C85+C85/9*(12-Clients!$I$14)</f>
        <v>1245.3333333333333</v>
      </c>
      <c r="G85" s="1057">
        <f t="shared" si="8"/>
        <v>1282.6933333333334</v>
      </c>
      <c r="H85" s="1057"/>
      <c r="I85" s="693">
        <f t="shared" si="6"/>
        <v>0.35362318840579704</v>
      </c>
      <c r="J85" s="694">
        <f t="shared" si="6"/>
        <v>3.0000000000000103E-2</v>
      </c>
      <c r="L85" s="17">
        <f t="shared" si="7"/>
        <v>1</v>
      </c>
    </row>
    <row r="86" spans="1:12">
      <c r="A86" s="690" t="s">
        <v>106</v>
      </c>
      <c r="B86" s="693"/>
      <c r="C86" s="691">
        <f>IF(ISNA(VLOOKUP("AMI615510000",Balance!C:G,5,FALSE))=TRUE,0,VLOOKUP("AMI615510000",Balance!C:G,5,FALSE))</f>
        <v>482.11</v>
      </c>
      <c r="D86" s="692">
        <f>+[2]Amiens!$H86</f>
        <v>508.86760778850555</v>
      </c>
      <c r="E86" s="691">
        <f>IF(ISNA(VLOOKUP("AMI615510000",Balanceanp!C:G,5,FALSE))=TRUE,0,VLOOKUP("AMI615510000",Balanceanp!C:G,5,FALSE))</f>
        <v>245</v>
      </c>
      <c r="F86" s="979">
        <f>+C86+C86/9*(12-Clients!$I$14)</f>
        <v>642.81333333333328</v>
      </c>
      <c r="G86" s="1057">
        <f t="shared" si="8"/>
        <v>662.09773333333328</v>
      </c>
      <c r="H86" s="1057"/>
      <c r="I86" s="693">
        <f t="shared" si="6"/>
        <v>1.6237278911564623</v>
      </c>
      <c r="J86" s="694">
        <f t="shared" si="6"/>
        <v>3.0000000000000009E-2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IF(ISNA(VLOOKUP("ami615530000",Balance!C:G,5,FALSE))=TRUE,0,VLOOKUP("ami615530000",Balance!C:G,5,FALSE))</f>
        <v>0</v>
      </c>
      <c r="D87" s="117">
        <f>+[2]Amiens!$H87</f>
        <v>0</v>
      </c>
      <c r="E87" s="160">
        <f>IF(ISNA(VLOOKUP("ami615530000",Balanceanp!C:G,5,FALSE))=TRUE,0,VLOOKUP("ami615530000",Balanceanp!C:G,5,FALSE))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690" t="s">
        <v>111</v>
      </c>
      <c r="B88" s="693"/>
      <c r="C88" s="691">
        <f>IF(ISNA(VLOOKUP("AMI616130000",Balance!C:G,5,FALSE))=TRUE,0,VLOOKUP("AMI616130000",Balance!C:G,5,FALSE))</f>
        <v>2030.4</v>
      </c>
      <c r="D88" s="692">
        <f>+[2]Amiens!$H88</f>
        <v>2707.2328500000003</v>
      </c>
      <c r="E88" s="691">
        <f>IF(ISNA(VLOOKUP("AMI616130000",Balanceanp!C:G,5,FALSE))=TRUE,0,VLOOKUP("AMI616130000",Balanceanp!C:G,5,FALSE))</f>
        <v>2443.3200000000002</v>
      </c>
      <c r="F88" s="979">
        <f>2164.47+119.6</f>
        <v>2284.0699999999997</v>
      </c>
      <c r="G88" s="1058">
        <f>+E88*1.05*1.05</f>
        <v>2693.7603000000004</v>
      </c>
      <c r="H88" s="1058"/>
      <c r="I88" s="693">
        <f t="shared" ref="I88:I101" si="9">+IF((E88)=0,,(F88-E88)/E88)</f>
        <v>-6.5177709018876137E-2</v>
      </c>
      <c r="J88" s="694">
        <f t="shared" ref="J88:J101" si="10">+IF((F88)=0,,(G88-F88)/F88)</f>
        <v>0.17936853949309817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+[2]Amiens!$H89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690" t="s">
        <v>112</v>
      </c>
      <c r="B90" s="693"/>
      <c r="C90" s="691">
        <f>IF(ISNA(VLOOKUP("AMI618100000",Balance!C:G,5,FALSE))=TRUE,0,VLOOKUP("AMI618100000",Balance!C:G,5,FALSE))</f>
        <v>132.61000000000001</v>
      </c>
      <c r="D90" s="692">
        <f>+[2]Amiens!$H90</f>
        <v>674.63016616700213</v>
      </c>
      <c r="E90" s="691">
        <f>IF(ISNA(VLOOKUP("AMI618100000",Balanceanp!C:G,5,FALSE))=TRUE,0,VLOOKUP("AMI618100000",Balanceanp!C:G,5,FALSE))</f>
        <v>668.94</v>
      </c>
      <c r="F90" s="979">
        <f>+C90+C90/9*(12-Clients!$I$14)</f>
        <v>176.81333333333333</v>
      </c>
      <c r="G90" s="1057">
        <f t="shared" si="8"/>
        <v>182.11773333333335</v>
      </c>
      <c r="H90" s="1057"/>
      <c r="I90" s="693">
        <f t="shared" si="9"/>
        <v>-0.7356813266760347</v>
      </c>
      <c r="J90" s="694">
        <f t="shared" si="10"/>
        <v>3.0000000000000086E-2</v>
      </c>
      <c r="L90" s="17">
        <f t="shared" si="7"/>
        <v>1</v>
      </c>
    </row>
    <row r="91" spans="1:12">
      <c r="A91" s="690" t="s">
        <v>113</v>
      </c>
      <c r="B91" s="693"/>
      <c r="C91" s="691">
        <f>IF(ISNA(VLOOKUP("AMI618500000",Balance!C:G,5,FALSE))=TRUE,0,VLOOKUP("AMI618500000",Balance!C:G,5,FALSE))</f>
        <v>1978.38</v>
      </c>
      <c r="D91" s="692">
        <f>+[2]Amiens!$H91</f>
        <v>1300.1353839040196</v>
      </c>
      <c r="E91" s="691">
        <f>IF(ISNA(VLOOKUP("AMI618500000",Balanceanp!C:G,5,FALSE))=TRUE,0,VLOOKUP("AMI618500000",Balanceanp!C:G,5,FALSE))</f>
        <v>999.81</v>
      </c>
      <c r="F91" s="979">
        <f>+C91+C91/9*(12-Clients!$I$14)</f>
        <v>2637.84</v>
      </c>
      <c r="G91" s="1057">
        <f t="shared" si="8"/>
        <v>2716.9752000000003</v>
      </c>
      <c r="H91" s="1057"/>
      <c r="I91" s="693">
        <f t="shared" si="9"/>
        <v>1.6383412848441208</v>
      </c>
      <c r="J91" s="694">
        <f t="shared" si="10"/>
        <v>3.0000000000000061E-2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IF(ISNA(VLOOKUP("AMI622200000",Balance!C:G,5,FALSE))=TRUE,0,VLOOKUP("AMI622200000",Balance!C:G,5,FALSE))</f>
        <v>0</v>
      </c>
      <c r="D92" s="117">
        <f>+[2]Amiens!$H92</f>
        <v>0</v>
      </c>
      <c r="E92" s="160">
        <f>IF(ISNA(VLOOKUP("AMI622200000",Balanceanp!C:G,5,FALSE))=TRUE,0,VLOOKUP("AMI622200000",Balanceanp!C:G,5,FALSE))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690" t="s">
        <v>115</v>
      </c>
      <c r="B93" s="693"/>
      <c r="C93" s="691">
        <f>IF(ISNA(VLOOKUP("AMI622600000",Balance!C:G,5,FALSE))=TRUE,0,VLOOKUP("AMI622600000",Balance!C:G,5,FALSE))</f>
        <v>0</v>
      </c>
      <c r="D93" s="692">
        <f>+[2]Amiens!$H93</f>
        <v>0.5862025052083335</v>
      </c>
      <c r="E93" s="691">
        <f>IF(ISNA(VLOOKUP("AMI622600000",Balanceanp!C:G,5,FALSE))=TRUE,0,VLOOKUP("AMI622600000",Balanceanp!C:G,5,FALSE))</f>
        <v>0</v>
      </c>
      <c r="F93" s="979">
        <f>+C93+C93/9*(12-Clients!$I$14)</f>
        <v>0</v>
      </c>
      <c r="G93" s="1057">
        <f t="shared" si="8"/>
        <v>0</v>
      </c>
      <c r="H93" s="1057"/>
      <c r="I93" s="693">
        <f t="shared" si="9"/>
        <v>0</v>
      </c>
      <c r="J93" s="694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IF(ISNA(VLOOKUP("AMI622710000",Balance!C:G,5,FALSE))=TRUE,0,VLOOKUP("AMI622710000",Balance!C:G,5,FALSE))</f>
        <v>0</v>
      </c>
      <c r="D94" s="117">
        <f>+[2]Amiens!$H94</f>
        <v>0</v>
      </c>
      <c r="E94" s="160">
        <f>IF(ISNA(VLOOKUP("AMI622710000",Balanceanp!C:G,5,FALSE))=TRUE,0,VLOOKUP("AMI622710000",Balanceanp!C:G,5,FALSE))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690" t="s">
        <v>117</v>
      </c>
      <c r="B95" s="693">
        <f>+C95/$C$21</f>
        <v>1.7520241850124428E-2</v>
      </c>
      <c r="C95" s="691">
        <f>IF(ISNA(VLOOKUP("AMI624200000",Balance!C:G,5,FALSE))=TRUE,0,VLOOKUP("AMI624200000",Balance!C:G,5,FALSE))</f>
        <v>5602.07</v>
      </c>
      <c r="D95" s="692">
        <f>+[2]Amiens!$H95</f>
        <v>6649.8155362697335</v>
      </c>
      <c r="E95" s="691">
        <f>IF(ISNA(VLOOKUP("AMI624200000",Balanceanp!C:G,5,FALSE))=TRUE,0,VLOOKUP("AMI624200000",Balanceanp!C:G,5,FALSE))</f>
        <v>7783.75</v>
      </c>
      <c r="F95" s="979">
        <f>+C95+C95/9*(12-Clients!$I$14)</f>
        <v>7469.4266666666663</v>
      </c>
      <c r="G95" s="1057">
        <f>B95*G21</f>
        <v>9060.4867599643003</v>
      </c>
      <c r="H95" s="1059">
        <f>+G95/$G$21</f>
        <v>1.7520241850124428E-2</v>
      </c>
      <c r="I95" s="693">
        <f t="shared" si="9"/>
        <v>-4.038199239869391E-2</v>
      </c>
      <c r="J95" s="694">
        <f t="shared" si="10"/>
        <v>0.21300966785013853</v>
      </c>
      <c r="L95" s="17">
        <f t="shared" si="7"/>
        <v>1</v>
      </c>
    </row>
    <row r="96" spans="1:12">
      <c r="A96" s="690" t="s">
        <v>118</v>
      </c>
      <c r="B96" s="693"/>
      <c r="C96" s="691">
        <f>IF(ISNA(VLOOKUP("AMI625100000",Balance!C:G,5,FALSE))=TRUE,0,VLOOKUP("AMI625100000",Balance!C:G,5,FALSE))</f>
        <v>7722.369999999999</v>
      </c>
      <c r="D96" s="692">
        <f>+[2]Amiens!$H96</f>
        <v>9701.3558940266048</v>
      </c>
      <c r="E96" s="691">
        <f>IF(ISNA(VLOOKUP("AMI625100000",Balanceanp!C:G,5,FALSE))=TRUE,0,VLOOKUP("AMI625100000",Balanceanp!C:G,5,FALSE))</f>
        <v>12202.130000000005</v>
      </c>
      <c r="F96" s="979">
        <f>+C96+C96/9*(12-Clients!$I$14)</f>
        <v>10296.493333333332</v>
      </c>
      <c r="G96" s="1055">
        <f t="shared" si="8"/>
        <v>10605.388133333332</v>
      </c>
      <c r="H96" s="1055"/>
      <c r="I96" s="693">
        <f t="shared" si="9"/>
        <v>-0.15617246060045845</v>
      </c>
      <c r="J96" s="694">
        <f t="shared" si="10"/>
        <v>3.0000000000000006E-2</v>
      </c>
      <c r="L96" s="17">
        <f t="shared" si="7"/>
        <v>1</v>
      </c>
    </row>
    <row r="97" spans="1:12">
      <c r="A97" s="690" t="s">
        <v>7</v>
      </c>
      <c r="B97" s="693"/>
      <c r="C97" s="691">
        <f>IF(ISNA(VLOOKUP("AMI625200000",Balance!C:G,5,FALSE))=TRUE,0,VLOOKUP("AMI625200000",Balance!C:G,5,FALSE))</f>
        <v>0</v>
      </c>
      <c r="D97" s="692">
        <f>+[2]Amiens!$H97</f>
        <v>59.779558836088555</v>
      </c>
      <c r="E97" s="691">
        <f>IF(ISNA(VLOOKUP("AMI625200000",Balanceanp!C:G,5,FALSE))=TRUE,0,VLOOKUP("AMI625200000",Balanceanp!C:G,5,FALSE))</f>
        <v>40.81</v>
      </c>
      <c r="F97" s="979">
        <f>+C97+C97/9*(12-Clients!$I$14)</f>
        <v>0</v>
      </c>
      <c r="G97" s="1055">
        <f t="shared" si="8"/>
        <v>0</v>
      </c>
      <c r="H97" s="1055"/>
      <c r="I97" s="693">
        <f t="shared" si="9"/>
        <v>-1</v>
      </c>
      <c r="J97" s="694">
        <f t="shared" si="10"/>
        <v>0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IF(ISNA(VLOOKUP("AMI625510000",Balance!C:G,5,FALSE))=TRUE,0,VLOOKUP("AMI625510000",Balance!C:G,5,FALSE))</f>
        <v>0</v>
      </c>
      <c r="D98" s="117">
        <f>+[2]Amiens!$H98</f>
        <v>0</v>
      </c>
      <c r="E98" s="160">
        <f>IF(ISNA(VLOOKUP("AMI625510000",Balanceanp!C:G,5,FALSE))=TRUE,0,VLOOKUP("AMI625510000",Balanceanp!C:G,5,FALSE))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690" t="s">
        <v>119</v>
      </c>
      <c r="B99" s="693"/>
      <c r="C99" s="691">
        <f>IF(ISNA(VLOOKUP("AMI626000000",Balance!C:G,5,FALSE))=TRUE,0,VLOOKUP("AMI626000000",Balance!C:G,5,FALSE))</f>
        <v>4643.0200000000004</v>
      </c>
      <c r="D99" s="692">
        <f>+[2]Amiens!$H99</f>
        <v>7110.8673377752066</v>
      </c>
      <c r="E99" s="691">
        <f>IF(ISNA(VLOOKUP("AMI626000000",Balanceanp!C:G,5,FALSE))=TRUE,0,VLOOKUP("AMI626000000",Balanceanp!C:G,5,FALSE))</f>
        <v>6598.33</v>
      </c>
      <c r="F99" s="979">
        <f>+C99+C99/9*(12-Clients!$I$14)</f>
        <v>6190.6933333333345</v>
      </c>
      <c r="G99" s="1057">
        <f>+F99</f>
        <v>6190.6933333333345</v>
      </c>
      <c r="H99" s="1057"/>
      <c r="I99" s="693">
        <f t="shared" si="9"/>
        <v>-6.1778763212307568E-2</v>
      </c>
      <c r="J99" s="694">
        <f t="shared" si="10"/>
        <v>0</v>
      </c>
      <c r="L99" s="17">
        <f t="shared" si="7"/>
        <v>1</v>
      </c>
    </row>
    <row r="100" spans="1:12">
      <c r="A100" s="690" t="s">
        <v>120</v>
      </c>
      <c r="B100" s="693"/>
      <c r="C100" s="691">
        <f>IF(ISNA(VLOOKUP("AMI626100000",Balance!C:G,5,FALSE))=TRUE,0,VLOOKUP("AMI626100000",Balance!C:G,5,FALSE))</f>
        <v>532.79</v>
      </c>
      <c r="D100" s="692">
        <f>+[2]Amiens!$H100</f>
        <v>775.85803816300177</v>
      </c>
      <c r="E100" s="691">
        <f>IF(ISNA(VLOOKUP("AMI626100000",Balanceanp!C:G,5,FALSE))=TRUE,0,VLOOKUP("AMI626100000",Balanceanp!C:G,5,FALSE))</f>
        <v>654.72</v>
      </c>
      <c r="F100" s="979">
        <f>+C100+C100/9*(12-Clients!$I$14)</f>
        <v>710.38666666666666</v>
      </c>
      <c r="G100" s="1057">
        <f t="shared" si="8"/>
        <v>731.69826666666665</v>
      </c>
      <c r="H100" s="1057"/>
      <c r="I100" s="693">
        <f t="shared" si="9"/>
        <v>8.5023623330074877E-2</v>
      </c>
      <c r="J100" s="694">
        <f t="shared" si="10"/>
        <v>0.03</v>
      </c>
      <c r="L100" s="17">
        <f t="shared" si="7"/>
        <v>1</v>
      </c>
    </row>
    <row r="101" spans="1:12">
      <c r="A101" s="690" t="s">
        <v>121</v>
      </c>
      <c r="B101" s="693"/>
      <c r="C101" s="691">
        <f>IF(ISNA(VLOOKUP("AMI628400000",Balance!C:G,5,FALSE))=TRUE,0,VLOOKUP("AMI628400000",Balance!C:G,5,FALSE))</f>
        <v>0</v>
      </c>
      <c r="D101" s="692">
        <f>+[2]Amiens!$H101</f>
        <v>25.75</v>
      </c>
      <c r="E101" s="691">
        <f>IF(ISNA(VLOOKUP("AMI628400000",Balanceanp!C:G,5,FALSE))=TRUE,0,VLOOKUP("AMI628400000",Balanceanp!C:G,5,FALSE))</f>
        <v>0</v>
      </c>
      <c r="F101" s="979">
        <f>+C101+C101/9*(12-Clients!$I$14)</f>
        <v>0</v>
      </c>
      <c r="G101" s="1057">
        <f t="shared" si="8"/>
        <v>0</v>
      </c>
      <c r="H101" s="1057"/>
      <c r="I101" s="693">
        <f t="shared" si="9"/>
        <v>0</v>
      </c>
      <c r="J101" s="694">
        <f t="shared" si="10"/>
        <v>0</v>
      </c>
      <c r="L101" s="17">
        <f t="shared" si="7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695" t="s">
        <v>122</v>
      </c>
      <c r="B103" s="759">
        <f>+C103/$C$21</f>
        <v>0.16949655798164331</v>
      </c>
      <c r="C103" s="696">
        <f>SUM(C70:C102)</f>
        <v>54196.26</v>
      </c>
      <c r="D103" s="704">
        <f>SUM(D70:D102)</f>
        <v>74595.924038693876</v>
      </c>
      <c r="E103" s="696">
        <f>SUM(E70:E102)</f>
        <v>73566.650000000009</v>
      </c>
      <c r="F103" s="764">
        <f>SUM(F70:F102)</f>
        <v>70932.58</v>
      </c>
      <c r="G103" s="704">
        <f>SUM(G70:G102)</f>
        <v>73914.928255927924</v>
      </c>
      <c r="H103" s="963">
        <f>+G103/$G$21</f>
        <v>0.14292912220795029</v>
      </c>
      <c r="I103" s="697">
        <f>+IF((E103)=0,,(F103-E103)/E103)</f>
        <v>-3.5805218804988492E-2</v>
      </c>
      <c r="J103" s="698">
        <f>+IF((F103)=0,,(G103-F103)/F103)</f>
        <v>4.2044829835992455E-2</v>
      </c>
      <c r="K103" s="136">
        <f>(C103+(C103/3))</f>
        <v>72261.680000000008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690" t="s">
        <v>129</v>
      </c>
      <c r="B105" s="693"/>
      <c r="C105" s="691">
        <f>IF(ISNA(VLOOKUP("AMI623100000",Balance!C:G,5,FALSE))=TRUE,0,VLOOKUP("AMI623100000",Balance!C:G,5,FALSE))</f>
        <v>0</v>
      </c>
      <c r="D105" s="692">
        <f>+[2]Amiens!$H105</f>
        <v>1328.7515000000001</v>
      </c>
      <c r="E105" s="691">
        <f>IF(ISNA(VLOOKUP("AMI623100000",Balanceanp!C:G,5,FALSE))=TRUE,0,VLOOKUP("AMI623100000",Balanceanp!C:G,5,FALSE))</f>
        <v>1146.3</v>
      </c>
      <c r="F105" s="979">
        <f>+C105+C105/9*(12-Clients!$I$14)</f>
        <v>0</v>
      </c>
      <c r="G105" s="1055">
        <f t="shared" ref="G105:G114" si="11">+F105*1.03</f>
        <v>0</v>
      </c>
      <c r="H105" s="1055"/>
      <c r="I105" s="693">
        <f t="shared" ref="I105:J114" si="12">+IF((E105)=0,,(F105-E105)/E105)</f>
        <v>-1</v>
      </c>
      <c r="J105" s="694">
        <f t="shared" si="12"/>
        <v>0</v>
      </c>
      <c r="L105" s="17">
        <f t="shared" si="7"/>
        <v>1</v>
      </c>
    </row>
    <row r="106" spans="1:12">
      <c r="A106" s="690" t="s">
        <v>130</v>
      </c>
      <c r="B106" s="693"/>
      <c r="C106" s="691">
        <f>IF(ISNA(VLOOKUP("AMI623200000",Balance!C:G,5,FALSE))=TRUE,0,VLOOKUP("AMI623200000",Balance!C:G,5,FALSE))</f>
        <v>1662.79</v>
      </c>
      <c r="D106" s="692">
        <f>+[2]Amiens!$H106</f>
        <v>3903.4528000000005</v>
      </c>
      <c r="E106" s="691">
        <f>IF(ISNA(VLOOKUP("AMI623200000",Balanceanp!C:G,5,FALSE))=TRUE,0,VLOOKUP("AMI623200000",Balanceanp!C:G,5,FALSE))</f>
        <v>4539.46</v>
      </c>
      <c r="F106" s="979">
        <f>+C106+C106/9*(12-Clients!$I$14)</f>
        <v>2217.0533333333333</v>
      </c>
      <c r="G106" s="1055">
        <f t="shared" si="11"/>
        <v>2283.5649333333336</v>
      </c>
      <c r="H106" s="1055"/>
      <c r="I106" s="693">
        <f t="shared" si="12"/>
        <v>-0.5116041702463876</v>
      </c>
      <c r="J106" s="694">
        <f t="shared" si="12"/>
        <v>3.0000000000000124E-2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IF(ISNA(VLOOKUP("AMI629000000",Balance!C:G,5,FALSE))=TRUE,0,VLOOKUP("AMI629000000",Balance!C:G,5,FALSE))</f>
        <v>0</v>
      </c>
      <c r="D107" s="117">
        <f>+[2]Amiens!$H107</f>
        <v>0</v>
      </c>
      <c r="E107" s="160">
        <f>IF(ISNA(VLOOKUP("AMI629000000",Balanceanp!C:G,5,FALSE))=TRUE,0,VLOOKUP("AMI629000000",Balanceanp!C:G,5,FALSE))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690" t="s">
        <v>132</v>
      </c>
      <c r="B108" s="693"/>
      <c r="C108" s="691">
        <f>IF(ISNA(VLOOKUP("AMI623300000",Balance!C:G,5,FALSE))=TRUE,0,VLOOKUP("AMI623300000",Balance!C:G,5,FALSE))</f>
        <v>1660.3100000000002</v>
      </c>
      <c r="D108" s="692">
        <f>+[2]Amiens!$H108</f>
        <v>450</v>
      </c>
      <c r="E108" s="691">
        <f>IF(ISNA(VLOOKUP("AMI623300000",Balanceanp!C:G,5,FALSE))=TRUE,0,VLOOKUP("AMI623300000",Balanceanp!C:G,5,FALSE))</f>
        <v>130.88</v>
      </c>
      <c r="F108" s="979">
        <f>+C108+C108/9*(12-Clients!$I$14)</f>
        <v>2213.7466666666669</v>
      </c>
      <c r="G108" s="1055">
        <v>450</v>
      </c>
      <c r="H108" s="1055"/>
      <c r="I108" s="693">
        <f t="shared" si="12"/>
        <v>15.914323553382234</v>
      </c>
      <c r="J108" s="694">
        <f t="shared" si="12"/>
        <v>-0.79672470803645101</v>
      </c>
      <c r="L108" s="17">
        <f t="shared" si="7"/>
        <v>1</v>
      </c>
    </row>
    <row r="109" spans="1:12">
      <c r="A109" s="690" t="s">
        <v>133</v>
      </c>
      <c r="B109" s="693"/>
      <c r="C109" s="691">
        <f>IF(ISNA(VLOOKUP("AMI623700000",Balance!C:G,5,FALSE))=TRUE,0,VLOOKUP("AMI623700000",Balance!C:G,5,FALSE))</f>
        <v>1673.4299999999998</v>
      </c>
      <c r="D109" s="692">
        <f>+[2]Amiens!$H109</f>
        <v>3247.8681000000001</v>
      </c>
      <c r="E109" s="691">
        <f>IF(ISNA(VLOOKUP("AMI623700000",Balanceanp!C:G,5,FALSE))=TRUE,0,VLOOKUP("AMI623700000",Balanceanp!C:G,5,FALSE))</f>
        <v>829.95999999999992</v>
      </c>
      <c r="F109" s="979">
        <f>+C109+C109/9*(12-Clients!$I$14)</f>
        <v>2231.2399999999998</v>
      </c>
      <c r="G109" s="1055">
        <f t="shared" si="11"/>
        <v>2298.1771999999996</v>
      </c>
      <c r="H109" s="1055"/>
      <c r="I109" s="693">
        <f t="shared" si="12"/>
        <v>1.6883705238806688</v>
      </c>
      <c r="J109" s="694">
        <f t="shared" si="12"/>
        <v>2.9999999999999936E-2</v>
      </c>
      <c r="L109" s="17">
        <f t="shared" si="7"/>
        <v>1</v>
      </c>
    </row>
    <row r="110" spans="1:12">
      <c r="A110" s="690" t="s">
        <v>134</v>
      </c>
      <c r="B110" s="693"/>
      <c r="C110" s="691">
        <f>IF(ISNA(VLOOKUP("AMI623410000",Balance!C:G,5,FALSE))=TRUE,0,VLOOKUP("AMI623410000",Balance!C:G,5,FALSE))+IF(ISNA(VLOOKUP("AMI623420000",Balance!C:G,5,FALSE))=TRUE,0,VLOOKUP("AMI623420000",Balance!C:G,5,FALSE))</f>
        <v>3696.77</v>
      </c>
      <c r="D110" s="692">
        <f>+[2]Amiens!$H110</f>
        <v>5073.9344999999994</v>
      </c>
      <c r="E110" s="691">
        <f>IF(ISNA(VLOOKUP("ami623410000",Balanceanp!C:G,5,FALSE))=TRUE,0,VLOOKUP("ami623410000",Balanceanp!C:G,5,FALSE))+IF(ISNA(VLOOKUP("ami623420000",Balanceanp!C:G,5,FALSE))=TRUE,0,VLOOKUP("ami623420000",Balanceanp!C:G,5,FALSE))</f>
        <v>5669.1500000000005</v>
      </c>
      <c r="F110" s="979">
        <f>+C110+C110/9*(12-Clients!$I$14)</f>
        <v>4929.0266666666666</v>
      </c>
      <c r="G110" s="1055">
        <f t="shared" si="11"/>
        <v>5076.8974666666663</v>
      </c>
      <c r="H110" s="1055"/>
      <c r="I110" s="693">
        <f t="shared" si="12"/>
        <v>-0.13055278716092075</v>
      </c>
      <c r="J110" s="694">
        <f t="shared" si="12"/>
        <v>2.9999999999999936E-2</v>
      </c>
      <c r="L110" s="17">
        <f t="shared" si="7"/>
        <v>1</v>
      </c>
    </row>
    <row r="111" spans="1:12">
      <c r="A111" s="690" t="s">
        <v>135</v>
      </c>
      <c r="B111" s="693"/>
      <c r="C111" s="691">
        <f>IF(ISNA(VLOOKUP("Ami623800000",Balance!C:G,5,FALSE))=TRUE,0,VLOOKUP("Ami623800000",Balance!C:G,5,FALSE))+IF(ISNA(VLOOKUP("Ami623820000",Balance!C:G,5,FALSE))=TRUE,0,VLOOKUP("Ami623820000",Balance!C:G,5,FALSE))</f>
        <v>0</v>
      </c>
      <c r="D111" s="692">
        <f>+[2]Amiens!$H111</f>
        <v>38.625</v>
      </c>
      <c r="E111" s="691">
        <f>IF(ISNA(VLOOKUP("AMI623800000",Balanceanp!C:G,5,FALSE))=TRUE,0,VLOOKUP("AMI623800000",Balanceanp!C:G,5,FALSE))</f>
        <v>10</v>
      </c>
      <c r="F111" s="979">
        <f>+C111+C111/9*(12-Clients!$I$14)</f>
        <v>0</v>
      </c>
      <c r="G111" s="1055">
        <f t="shared" si="11"/>
        <v>0</v>
      </c>
      <c r="H111" s="1055"/>
      <c r="I111" s="693">
        <f t="shared" si="12"/>
        <v>-1</v>
      </c>
      <c r="J111" s="694">
        <f t="shared" si="12"/>
        <v>0</v>
      </c>
      <c r="L111" s="17">
        <f t="shared" si="7"/>
        <v>1</v>
      </c>
    </row>
    <row r="112" spans="1:12">
      <c r="A112" s="690" t="s">
        <v>136</v>
      </c>
      <c r="B112" s="693"/>
      <c r="C112" s="691">
        <f>IF(ISNA(VLOOKUP("AMI625600000",Balance!C:G,5,FALSE))=TRUE,0,VLOOKUP("AMI625600000",Balance!C:G,5,FALSE))</f>
        <v>5951.06</v>
      </c>
      <c r="D112" s="692">
        <f>+[2]Amiens!$H112</f>
        <v>25.997199999999999</v>
      </c>
      <c r="E112" s="691">
        <f>IF(ISNA(VLOOKUP("AMI625600000",Balanceanp!C:G,5,FALSE))=TRUE,0,VLOOKUP("AMI625600000",Balanceanp!C:G,5,FALSE))</f>
        <v>25.24</v>
      </c>
      <c r="F112" s="979">
        <f>+C112+C112/9*(12-Clients!$I$14)</f>
        <v>7934.7466666666678</v>
      </c>
      <c r="G112" s="1055">
        <f t="shared" si="11"/>
        <v>8172.7890666666681</v>
      </c>
      <c r="H112" s="1055"/>
      <c r="I112" s="693">
        <f t="shared" si="12"/>
        <v>313.37189646064456</v>
      </c>
      <c r="J112" s="694">
        <f t="shared" si="12"/>
        <v>3.000000000000003E-2</v>
      </c>
      <c r="L112" s="17">
        <f t="shared" si="7"/>
        <v>1</v>
      </c>
    </row>
    <row r="113" spans="1:12">
      <c r="A113" s="690" t="s">
        <v>343</v>
      </c>
      <c r="B113" s="693"/>
      <c r="C113" s="1060">
        <f>IF(ISNA(VLOOKUP("ami625700000",Balance!C:G,5,FALSE))=TRUE,0,VLOOKUP("ami625700000",Balance!C:G,5,FALSE))+IF(ISNA(VLOOKUP("ami625710000",Balance!C:G,5,FALSE))=TRUE,0,VLOOKUP("ami625710000",Balance!C:G,5,FALSE))</f>
        <v>1755.82</v>
      </c>
      <c r="D113" s="692">
        <f>+[2]Amiens!$H113</f>
        <v>3590</v>
      </c>
      <c r="E113" s="691">
        <f>IF(ISNA(VLOOKUP("ami625700000",Balanceanp!C:G,5,FALSE))=TRUE,0,VLOOKUP("ami625700000",Balanceanp!C:G,5,FALSE))+IF(ISNA(VLOOKUP("ami625710000",Balanceanp!C:G,5,FALSE))=TRUE,0,VLOOKUP("ami625710000",Balanceanp!C:G,5,FALSE))</f>
        <v>2692.11</v>
      </c>
      <c r="F113" s="979">
        <v>2465.56</v>
      </c>
      <c r="G113" s="1055">
        <v>2000</v>
      </c>
      <c r="H113" s="1055"/>
      <c r="I113" s="693">
        <f t="shared" si="12"/>
        <v>-8.4153322115366816E-2</v>
      </c>
      <c r="J113" s="694">
        <f t="shared" si="12"/>
        <v>-0.18882525673680622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IF(ISNA(VLOOKUP("AMI623810000",Balance!C:G,5,FALSE))=TRUE,0,VLOOKUP("AMI623810000",Balance!C:G,5,FALSE))</f>
        <v>0</v>
      </c>
      <c r="D114" s="117">
        <f>+[2]Amiens!$H114</f>
        <v>0</v>
      </c>
      <c r="E114" s="160">
        <f>IF(ISNA(VLOOKUP("AMI623810000",Balanceanp!C:G,5,FALSE))=TRUE,0,VLOOKUP("AMI623810000",Balanceanp!C:G,5,FALSE))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695" t="s">
        <v>133</v>
      </c>
      <c r="B116" s="759">
        <f>+C116/$C$21</f>
        <v>5.1290883545827462E-2</v>
      </c>
      <c r="C116" s="696">
        <f>SUM(C104:C115)</f>
        <v>16400.18</v>
      </c>
      <c r="D116" s="704">
        <f>SUM(D104:D115)</f>
        <v>17658.629099999998</v>
      </c>
      <c r="E116" s="696">
        <f>SUM(E104:E115)</f>
        <v>15043.1</v>
      </c>
      <c r="F116" s="764">
        <f>SUM(F104:F115)</f>
        <v>21991.373333333333</v>
      </c>
      <c r="G116" s="704">
        <f>SUM(G104:G115)</f>
        <v>20281.428666666667</v>
      </c>
      <c r="H116" s="963">
        <f>+G116/$G$21</f>
        <v>3.9218150715276436E-2</v>
      </c>
      <c r="I116" s="697">
        <f>+IF((E116)=0,,(F116-E116)/E116)</f>
        <v>0.46189105525678431</v>
      </c>
      <c r="J116" s="698">
        <f>+IF((F116)=0,,(G116-F116)/F116)</f>
        <v>-7.7755247057482518E-2</v>
      </c>
      <c r="K116" s="136">
        <f>(C116+(C116/3))</f>
        <v>21866.906666666666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690" t="s">
        <v>139</v>
      </c>
      <c r="B118" s="693"/>
      <c r="C118" s="691">
        <f>IF(ISNA(VLOOKUP("AMI633300000",Balance!C:G,5,FALSE))=TRUE,0,VLOOKUP("AMI633300000",Balance!C:G,5,FALSE))</f>
        <v>1892.39</v>
      </c>
      <c r="D118" s="692">
        <f>+[2]Amiens!$H118</f>
        <v>494.37499999999994</v>
      </c>
      <c r="E118" s="691">
        <f>IF(ISNA(VLOOKUP("AMI633300000",Balanceanp!C:G,5,FALSE))=TRUE,0,VLOOKUP("AMI633300000",Balanceanp!C:G,5,FALSE))</f>
        <v>1111</v>
      </c>
      <c r="F118" s="979">
        <f>+C118+C118/9*(12-Clients!$I$14)</f>
        <v>2523.186666666667</v>
      </c>
      <c r="G118" s="1057">
        <f>G131*(0.2+0.5)%</f>
        <v>393.38599999999997</v>
      </c>
      <c r="H118" s="1057"/>
      <c r="I118" s="693">
        <f t="shared" ref="I118:J127" si="13">+IF((E118)=0,,(F118-E118)/E118)</f>
        <v>1.2710951095109513</v>
      </c>
      <c r="J118" s="694">
        <f t="shared" si="13"/>
        <v>-0.84409159845486403</v>
      </c>
      <c r="L118" s="17">
        <f t="shared" si="7"/>
        <v>1</v>
      </c>
    </row>
    <row r="119" spans="1:12">
      <c r="A119" s="690" t="s">
        <v>140</v>
      </c>
      <c r="B119" s="693"/>
      <c r="C119" s="691">
        <f>IF(ISNA(VLOOKUP("AMI633400000",Balance!C:G,5,FALSE))=TRUE,0,VLOOKUP("AMI633400000",Balance!C:G,5,FALSE))</f>
        <v>0</v>
      </c>
      <c r="D119" s="692">
        <f>+[2]Amiens!$H119</f>
        <v>317.81250000000006</v>
      </c>
      <c r="E119" s="691">
        <f>IF(ISNA(VLOOKUP("AMI633400000",Balanceanp!C:G,5,FALSE))=TRUE,0,VLOOKUP("AMI633400000",Balanceanp!C:G,5,FALSE))</f>
        <v>612</v>
      </c>
      <c r="F119" s="979">
        <f>+C119+C119/9*(12-Clients!$I$14)</f>
        <v>0</v>
      </c>
      <c r="G119" s="1057">
        <f>+G131*0.45%</f>
        <v>252.89100000000002</v>
      </c>
      <c r="H119" s="1057"/>
      <c r="I119" s="693">
        <f t="shared" si="13"/>
        <v>-1</v>
      </c>
      <c r="J119" s="694">
        <f t="shared" si="13"/>
        <v>0</v>
      </c>
      <c r="L119" s="17">
        <f t="shared" si="7"/>
        <v>1</v>
      </c>
    </row>
    <row r="120" spans="1:12">
      <c r="A120" s="690" t="s">
        <v>141</v>
      </c>
      <c r="B120" s="693"/>
      <c r="C120" s="691">
        <f>IF(ISNA(VLOOKUP("AMI633500000",Balance!C:G,5,FALSE))=TRUE,0,VLOOKUP("AMI633500000",Balance!C:G,5,FALSE))</f>
        <v>0</v>
      </c>
      <c r="D120" s="692">
        <f>+[2]Amiens!$H120</f>
        <v>550.875</v>
      </c>
      <c r="E120" s="691">
        <f>IF(ISNA(VLOOKUP("AMI633500000",Balanceanp!C:G,5,FALSE))=TRUE,0,VLOOKUP("AMI633500000",Balanceanp!C:G,5,FALSE))</f>
        <v>925</v>
      </c>
      <c r="F120" s="979">
        <f>+C120+C120/9*(12-Clients!$I$14)</f>
        <v>0</v>
      </c>
      <c r="G120" s="1057">
        <f>+G131*(0.6+0.18)%</f>
        <v>438.34440000000001</v>
      </c>
      <c r="H120" s="1057"/>
      <c r="I120" s="693">
        <f t="shared" si="13"/>
        <v>-1</v>
      </c>
      <c r="J120" s="694">
        <f t="shared" si="13"/>
        <v>0</v>
      </c>
      <c r="L120" s="17">
        <f t="shared" si="7"/>
        <v>1</v>
      </c>
    </row>
    <row r="121" spans="1:12">
      <c r="A121" s="690" t="s">
        <v>706</v>
      </c>
      <c r="B121" s="693"/>
      <c r="C121" s="691">
        <f>IF(ISNA(VLOOKUP("AMI635110000",Balance!C:G,5,FALSE))=TRUE,0,VLOOKUP("AMI635110000",Balance!C:G,5,FALSE))</f>
        <v>3265.02</v>
      </c>
      <c r="D121" s="692">
        <f>+[2]Amiens!$H121</f>
        <v>4353.3</v>
      </c>
      <c r="E121" s="691">
        <f>IF(ISNA(VLOOKUP("AMI635110000",Balanceanp!C:G,5,FALSE))=TRUE,0,VLOOKUP("AMI635110000",Balanceanp!C:G,5,FALSE))</f>
        <v>4146</v>
      </c>
      <c r="F121" s="1002">
        <v>2177</v>
      </c>
      <c r="G121" s="1056">
        <f>+F121*1.05</f>
        <v>2285.85</v>
      </c>
      <c r="H121" s="1058"/>
      <c r="I121" s="693">
        <f t="shared" si="13"/>
        <v>-0.47491558128316452</v>
      </c>
      <c r="J121" s="694">
        <f t="shared" si="13"/>
        <v>4.9999999999999961E-2</v>
      </c>
      <c r="L121" s="17">
        <f t="shared" si="7"/>
        <v>1</v>
      </c>
    </row>
    <row r="122" spans="1:12">
      <c r="A122" s="690" t="s">
        <v>143</v>
      </c>
      <c r="B122" s="693"/>
      <c r="C122" s="691">
        <f>IF(ISNA(VLOOKUP("AMI635120000",Balance!C:G,5,FALSE))=TRUE,0,VLOOKUP("AMI635120000",Balance!C:G,5,FALSE))</f>
        <v>3476.52</v>
      </c>
      <c r="D122" s="692">
        <f>+[2]Amiens!$H122</f>
        <v>4635.3874314925442</v>
      </c>
      <c r="E122" s="691">
        <f>IF(ISNA(VLOOKUP("AMI635120000",Balanceanp!C:G,5,FALSE))=TRUE,0,VLOOKUP("AMI635120000",Balanceanp!C:G,5,FALSE))</f>
        <v>1438</v>
      </c>
      <c r="F122" s="996">
        <v>4540</v>
      </c>
      <c r="G122" s="1052">
        <f>+F122*1.05</f>
        <v>4767</v>
      </c>
      <c r="H122" s="1058"/>
      <c r="I122" s="693">
        <f t="shared" si="13"/>
        <v>2.157162726008345</v>
      </c>
      <c r="J122" s="694">
        <f t="shared" si="13"/>
        <v>0.05</v>
      </c>
      <c r="L122" s="17">
        <f t="shared" si="7"/>
        <v>1</v>
      </c>
    </row>
    <row r="123" spans="1:12">
      <c r="A123" s="690" t="s">
        <v>144</v>
      </c>
      <c r="B123" s="693"/>
      <c r="C123" s="691">
        <f>IF(ISNA(VLOOKUP("AMI635130000",Balance!C:G,5,FALSE))=TRUE,0,VLOOKUP("AMI635130000",Balance!C:G,5,FALSE))</f>
        <v>424.8</v>
      </c>
      <c r="D123" s="692">
        <f>+[2]Amiens!$H123</f>
        <v>50</v>
      </c>
      <c r="E123" s="691">
        <f>IF(ISNA(VLOOKUP("AMI635130000",Balanceanp!C:G,5,FALSE))=TRUE,0,VLOOKUP("AMI635130000",Balanceanp!C:G,5,FALSE))</f>
        <v>0</v>
      </c>
      <c r="F123" s="996">
        <v>424.8</v>
      </c>
      <c r="G123" s="1052">
        <f>+F123*1.05</f>
        <v>446.04</v>
      </c>
      <c r="H123" s="1058"/>
      <c r="I123" s="693">
        <f t="shared" si="13"/>
        <v>0</v>
      </c>
      <c r="J123" s="694">
        <f t="shared" si="13"/>
        <v>5.0000000000000017E-2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IF(ISNA(VLOOKUP("AMI635140000",Balance!C:G,5,FALSE))=TRUE,0,VLOOKUP("AMI635140000",Balance!C:G,5,FALSE))</f>
        <v>0</v>
      </c>
      <c r="D124" s="117">
        <f>+[2]Amiens!$H124</f>
        <v>0</v>
      </c>
      <c r="E124" s="160">
        <f>IF(ISNA(VLOOKUP("AMI635140000",Balanceanp!C:G,5,FALSE))=TRUE,0,VLOOKUP("AMI635140000",Balanceanp!C:G,5,FALSE))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IF(ISNA(VLOOKUP("AMI635300000",Balance!C:G,5,FALSE))=TRUE,0,VLOOKUP("AMI635300000",Balance!C:G,5,FALSE))</f>
        <v>0</v>
      </c>
      <c r="D125" s="117">
        <f>+[2]Amiens!$H125</f>
        <v>0</v>
      </c>
      <c r="E125" s="160">
        <f>IF(ISNA(VLOOKUP("AMI635300000",Balanceanp!C:G,5,FALSE))=TRUE,0,VLOOKUP("AMI635300000",Balanceanp!C:G,5,FALSE))</f>
        <v>0</v>
      </c>
      <c r="F125" s="425"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IF(ISNA(VLOOKUP("ami635400000",Balance!C:G,5,FALSE))=TRUE,0,VLOOKUP("ami635400000",Balance!C:G,5,FALSE))</f>
        <v>0</v>
      </c>
      <c r="D126" s="117">
        <f>+[2]Amiens!$H126</f>
        <v>0</v>
      </c>
      <c r="E126" s="160">
        <f>IF(ISNA(VLOOKUP("ami635400000",Balanceanp!C:G,5,FALSE))=TRUE,0,VLOOKUP("ami635400000",Balanceanp!C:G,5,FALSE))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690" t="s">
        <v>146</v>
      </c>
      <c r="B127" s="693"/>
      <c r="C127" s="691">
        <f>IF(ISNA(VLOOKUP("AMI637100000",Balance!C:G,5,FALSE))=TRUE,0,VLOOKUP("AMI637100000",Balance!C:G,5,FALSE))</f>
        <v>556</v>
      </c>
      <c r="D127" s="692">
        <f>+[2]Amiens!$H127</f>
        <v>840.27840000000003</v>
      </c>
      <c r="E127" s="691">
        <f>IF(ISNA(VLOOKUP("AMI637100000",Balanceanp!C:G,5,FALSE))=TRUE,0,VLOOKUP("AMI637100000",Balanceanp!C:G,5,FALSE))</f>
        <v>665.43</v>
      </c>
      <c r="F127" s="979">
        <f>+C127+C127/9*(12-Clients!$I$14)</f>
        <v>741.33333333333337</v>
      </c>
      <c r="G127" s="1057">
        <f>+G51*0.16%</f>
        <v>806.37749120000001</v>
      </c>
      <c r="H127" s="1057"/>
      <c r="I127" s="693">
        <f t="shared" si="13"/>
        <v>0.11406659353100014</v>
      </c>
      <c r="J127" s="694">
        <f t="shared" si="13"/>
        <v>8.7739421582733762E-2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695" t="s">
        <v>147</v>
      </c>
      <c r="B129" s="759">
        <f>+C129/$C$21</f>
        <v>3.006966976914727E-2</v>
      </c>
      <c r="C129" s="696">
        <f>SUM(C117:C128)</f>
        <v>9614.73</v>
      </c>
      <c r="D129" s="704">
        <f>SUM(D117:D128)</f>
        <v>11242.028331492544</v>
      </c>
      <c r="E129" s="696">
        <f>SUM(E117:E128)</f>
        <v>8897.43</v>
      </c>
      <c r="F129" s="764">
        <f>SUM(F117:F128)</f>
        <v>10406.32</v>
      </c>
      <c r="G129" s="704">
        <f>SUM(G117:G128)</f>
        <v>9389.888891200002</v>
      </c>
      <c r="H129" s="963">
        <f>+G129/$G$21</f>
        <v>1.815720597336527E-2</v>
      </c>
      <c r="I129" s="697">
        <f>+IF((E129)=0,,(F129-E129)/E129)</f>
        <v>0.16958717292521541</v>
      </c>
      <c r="J129" s="698">
        <f>+IF((F129)=0,,(G129-F129)/F129)</f>
        <v>-9.7674404477278973E-2</v>
      </c>
      <c r="K129" s="136">
        <f>(C129+(C129/3))</f>
        <v>12819.64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690" t="s">
        <v>148</v>
      </c>
      <c r="B131" s="693"/>
      <c r="C131" s="691">
        <f>IF(ISNA(VLOOKUP("AMI641100000",Balance!C:G,5,FALSE))=TRUE,0,VLOOKUP("AMI641100000",Balance!C:G,5,FALSE))</f>
        <v>42923.030000000006</v>
      </c>
      <c r="D131" s="692">
        <f>+[2]Amiens!$H131</f>
        <v>70625</v>
      </c>
      <c r="E131" s="691">
        <f>IF(ISNA(VLOOKUP("AMI641100000",Balanceanp!C:G,5,FALSE))=TRUE,0,VLOOKUP("AMI641100000",Balanceanp!C:G,5,FALSE))</f>
        <v>56826.69</v>
      </c>
      <c r="F131" s="979">
        <f>+C131+C131/9*(12-Clients!$I$14)</f>
        <v>57230.70666666668</v>
      </c>
      <c r="G131" s="1055">
        <v>56198</v>
      </c>
      <c r="H131" s="1055"/>
      <c r="I131" s="693">
        <f t="shared" ref="I131:J146" si="14">+IF((E131)=0,,(F131-E131)/E131)</f>
        <v>7.1096287090921069E-3</v>
      </c>
      <c r="J131" s="694">
        <f t="shared" si="14"/>
        <v>-1.8044625460970708E-2</v>
      </c>
      <c r="L131" s="17">
        <v>1</v>
      </c>
    </row>
    <row r="132" spans="1:12" hidden="1">
      <c r="A132" s="5" t="s">
        <v>149</v>
      </c>
      <c r="B132" s="92"/>
      <c r="C132" s="160">
        <f>IF(ISNA(VLOOKUP("AMI641110000",Balance!C:G,5,FALSE))=TRUE,0,VLOOKUP("AMI641110000",Balance!C:G,5,FALSE))</f>
        <v>-5700</v>
      </c>
      <c r="D132" s="117">
        <f>+[2]Amiens!$H132</f>
        <v>0</v>
      </c>
      <c r="E132" s="160">
        <f>IF(ISNA(VLOOKUP("AMI641110000",Balanceanp!C:G,5,FALSE))=TRUE,0,VLOOKUP("AMI641110000",Balanceanp!C:G,5,FALSE))</f>
        <v>100</v>
      </c>
      <c r="F132" s="368">
        <f>+C132+C132/9*(12-Clients!$I$14)</f>
        <v>-7600</v>
      </c>
      <c r="G132" s="395"/>
      <c r="H132" s="401"/>
      <c r="I132" s="149">
        <f t="shared" si="14"/>
        <v>-77</v>
      </c>
      <c r="J132" s="271">
        <f t="shared" si="14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IF(ISNA(VLOOKUP("AMI641111000",Balance!C:G,5,FALSE))=TRUE,0,VLOOKUP("AMI641111000",Balance!C:G,5,FALSE))</f>
        <v>0</v>
      </c>
      <c r="D133" s="117">
        <f>+[2]Amiens!$H133</f>
        <v>0</v>
      </c>
      <c r="E133" s="160">
        <f>IF(ISNA(VLOOKUP("AMI641111000",Balanceanp!C:G,5,FALSE))=TRUE,0,VLOOKUP("AMI641111000",Balanceanp!C:G,5,FALSE))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IF(ISNA(VLOOKUP("AMI641200000",Balance!C:G,5,FALSE))=TRUE,0,VLOOKUP("AMI641200000",Balance!C:G,5,FALSE))</f>
        <v>0</v>
      </c>
      <c r="D134" s="117">
        <f>+[2]Amiens!$H134</f>
        <v>0</v>
      </c>
      <c r="E134" s="160">
        <f>IF(ISNA(VLOOKUP("AMI641200000",Balanceanp!C:G,5,FALSE))=TRUE,0,VLOOKUP("AMI641200000",Balanceanp!C:G,5,FALSE))</f>
        <v>-3685.8099999999995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IF(ISNA(VLOOKUP("AMI621100000",Balance!C:G,5,FALSE))=TRUE,0,VLOOKUP("AMI621100000",Balance!C:G,5,FALSE))</f>
        <v>6739.47</v>
      </c>
      <c r="D135" s="117">
        <f>+[2]Amiens!$H135</f>
        <v>0</v>
      </c>
      <c r="E135" s="160">
        <f>IF(ISNA(VLOOKUP("AMI621100000",Balanceanp!C:G,5,FALSE))=TRUE,0,VLOOKUP("AMI621100000",Balanceanp!C:G,5,FALSE))</f>
        <v>0</v>
      </c>
      <c r="F135" s="368">
        <f>+C135+C135/9*(12-Clients!$I$14)</f>
        <v>8985.9600000000009</v>
      </c>
      <c r="G135" s="395"/>
      <c r="H135" s="401"/>
      <c r="I135" s="149">
        <f t="shared" si="14"/>
        <v>0</v>
      </c>
      <c r="J135" s="271">
        <f t="shared" si="14"/>
        <v>-1</v>
      </c>
      <c r="L135" s="17">
        <v>0</v>
      </c>
    </row>
    <row r="136" spans="1:12" hidden="1">
      <c r="A136" s="5" t="s">
        <v>338</v>
      </c>
      <c r="B136" s="92"/>
      <c r="C136" s="160">
        <f>IF(ISNA(VLOOKUP("AMI621200000",Balance!C:G,5,FALSE))=TRUE,0,VLOOKUP("AMI621200000",Balance!C:G,5,FALSE))</f>
        <v>0</v>
      </c>
      <c r="D136" s="117">
        <f>+[2]Amiens!$H136</f>
        <v>0</v>
      </c>
      <c r="E136" s="160">
        <f>IF(ISNA(VLOOKUP("AMI621200000",Balanceanp!C:G,5,FALSE))=TRUE,0,VLOOKUP("AMI621200000",Balanceanp!C:G,5,FALSE))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>
      <c r="A137" s="690" t="s">
        <v>87</v>
      </c>
      <c r="B137" s="693"/>
      <c r="C137" s="691">
        <f>-IF(ISNA(VLOOKUP("AMI706100000",Balance!C:G,5,FALSE))=TRUE,0,-VLOOKUP("AMI706100000",Balance!C:G,5,FALSE))</f>
        <v>-5597.62</v>
      </c>
      <c r="D137" s="692">
        <f>+[2]Amiens!$H137</f>
        <v>-8789.248015000001</v>
      </c>
      <c r="E137" s="691">
        <f>-IF(ISNA(VLOOKUP("AMI706100000",Balanceanp!C:G,5,FALSE))=TRUE,0,-VLOOKUP("AMI706100000",Balanceanp!C:G,5,FALSE))</f>
        <v>-22777.360000000001</v>
      </c>
      <c r="F137" s="979">
        <f>+C137+C137/9*(12-Clients!$I$14)</f>
        <v>-7463.4933333333338</v>
      </c>
      <c r="G137" s="1055"/>
      <c r="H137" s="1055"/>
      <c r="I137" s="693">
        <f t="shared" si="14"/>
        <v>-0.67232842904825962</v>
      </c>
      <c r="J137" s="694">
        <f t="shared" si="14"/>
        <v>-1</v>
      </c>
      <c r="L137" s="17">
        <f t="shared" si="15"/>
        <v>1</v>
      </c>
    </row>
    <row r="138" spans="1:12" hidden="1">
      <c r="A138" s="5" t="s">
        <v>152</v>
      </c>
      <c r="B138" s="92"/>
      <c r="C138" s="160">
        <f>IF(ISNA(VLOOKUP("AMI641210000",Balance!C:G,5,FALSE))=TRUE,0,VLOOKUP("AMI641210000",Balance!C:G,5,FALSE))</f>
        <v>0</v>
      </c>
      <c r="D138" s="117">
        <f>+[2]Amiens!$H138</f>
        <v>0</v>
      </c>
      <c r="E138" s="160">
        <f>IF(ISNA(VLOOKUP("AMI641210000",Balanceanp!C:G,5,FALSE))=TRUE,0,VLOOKUP("AMI641210000",Balanceanp!C:G,5,FALSE))</f>
        <v>-1408.8900000000003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IF(ISNA(VLOOKUP("AMI641400000",Balance!C:G,5,FALSE))=TRUE,0,VLOOKUP("AMI641400000",Balance!C:G,5,FALSE))</f>
        <v>0</v>
      </c>
      <c r="D139" s="117">
        <f>+[2]Amiens!$H139</f>
        <v>0</v>
      </c>
      <c r="E139" s="160">
        <f>IF(ISNA(VLOOKUP("AMI641400000",Balanceanp!C:G,5,FALSE))=TRUE,0,VLOOKUP("AMI641400000",Balanceanp!C:G,5,FALSE))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IF(ISNA(VLOOKUP("AMI641600000",Balance!C:G,5,FALSE))=TRUE,0,VLOOKUP("AMI641600000",Balance!C:G,5,FALSE))</f>
        <v>0</v>
      </c>
      <c r="D140" s="117">
        <f>+[2]Amiens!$H140</f>
        <v>0</v>
      </c>
      <c r="E140" s="160">
        <f>IF(ISNA(VLOOKUP("AMI641600000",Balanceanp!C:G,5,FALSE))=TRUE,0,VLOOKUP("AMI641600000",Balanceanp!C:G,5,FALSE))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690" t="s">
        <v>155</v>
      </c>
      <c r="B141" s="693"/>
      <c r="C141" s="691">
        <f>IF(ISNA(VLOOKUP("AMI645100000",Balance!C:G,5,FALSE))=TRUE,0,VLOOKUP("AMI645100000",Balance!C:G,5,FALSE))</f>
        <v>-1868.8500000000022</v>
      </c>
      <c r="D141" s="692">
        <f>+[2]Amiens!$H141</f>
        <v>-7694.3850127467185</v>
      </c>
      <c r="E141" s="691">
        <f>IF(ISNA(VLOOKUP("AMI645100000",Balanceanp!C:G,5,FALSE))=TRUE,0,VLOOKUP("AMI645100000",Balanceanp!C:G,5,FALSE))</f>
        <v>-3984.9499999999971</v>
      </c>
      <c r="F141" s="979">
        <f>+C141+C141/9*(12-Clients!$I$14)</f>
        <v>-2491.8000000000029</v>
      </c>
      <c r="G141" s="1057">
        <f t="shared" ref="G141:G146" si="16">+($G$131/$C$131*C141)*1.01</f>
        <v>-2471.3047662991198</v>
      </c>
      <c r="H141" s="1057"/>
      <c r="I141" s="693">
        <f t="shared" si="14"/>
        <v>-0.37469729858592837</v>
      </c>
      <c r="J141" s="694">
        <f t="shared" si="14"/>
        <v>-8.2250717155803298E-3</v>
      </c>
      <c r="L141" s="17">
        <f t="shared" si="15"/>
        <v>1</v>
      </c>
    </row>
    <row r="142" spans="1:12">
      <c r="A142" s="690" t="s">
        <v>156</v>
      </c>
      <c r="B142" s="693"/>
      <c r="C142" s="691">
        <f>IF(ISNA(VLOOKUP("AMI645200000",Balance!C:G,5,FALSE))=TRUE,0,VLOOKUP("AMI645200000",Balance!C:G,5,FALSE))</f>
        <v>2891.42</v>
      </c>
      <c r="D142" s="692">
        <f>+[2]Amiens!$H142</f>
        <v>5904.5642475722343</v>
      </c>
      <c r="E142" s="691">
        <f>IF(ISNA(VLOOKUP("AMI645200000",Balanceanp!C:G,5,FALSE))=TRUE,0,VLOOKUP("AMI645200000",Balanceanp!C:G,5,FALSE))</f>
        <v>4439.41</v>
      </c>
      <c r="F142" s="979">
        <f>+C142+C142/9*(12-Clients!$I$14)</f>
        <v>3855.2266666666669</v>
      </c>
      <c r="G142" s="1057">
        <f t="shared" si="16"/>
        <v>3823.5171508535159</v>
      </c>
      <c r="H142" s="1057"/>
      <c r="I142" s="693">
        <f t="shared" si="14"/>
        <v>-0.13159030892243179</v>
      </c>
      <c r="J142" s="694">
        <f t="shared" si="14"/>
        <v>-8.2250717155803281E-3</v>
      </c>
      <c r="L142" s="17">
        <f t="shared" si="15"/>
        <v>1</v>
      </c>
    </row>
    <row r="143" spans="1:12">
      <c r="A143" s="690" t="s">
        <v>157</v>
      </c>
      <c r="B143" s="693"/>
      <c r="C143" s="691">
        <f>IF(ISNA(VLOOKUP("AMI645300000",Balance!C:G,5,FALSE))=TRUE,0,VLOOKUP("AMI645300000",Balance!C:G,5,FALSE))</f>
        <v>9015.1299999999992</v>
      </c>
      <c r="D143" s="692">
        <f>+[2]Amiens!$H143</f>
        <v>15211.001197692885</v>
      </c>
      <c r="E143" s="691">
        <f>IF(ISNA(VLOOKUP("AMI645300000",Balanceanp!C:G,5,FALSE))=TRUE,0,VLOOKUP("AMI645300000",Balanceanp!C:G,5,FALSE))</f>
        <v>11657.09</v>
      </c>
      <c r="F143" s="979">
        <f>+C143+C143/9*(12-Clients!$I$14)</f>
        <v>12020.173333333332</v>
      </c>
      <c r="G143" s="1057">
        <f t="shared" si="16"/>
        <v>11921.306545632959</v>
      </c>
      <c r="H143" s="1057"/>
      <c r="I143" s="693">
        <f t="shared" si="14"/>
        <v>3.1146995805413882E-2</v>
      </c>
      <c r="J143" s="694">
        <f t="shared" si="14"/>
        <v>-8.2250717155803871E-3</v>
      </c>
      <c r="L143" s="17">
        <f t="shared" si="15"/>
        <v>1</v>
      </c>
    </row>
    <row r="144" spans="1:12">
      <c r="A144" s="690" t="s">
        <v>326</v>
      </c>
      <c r="B144" s="693"/>
      <c r="C144" s="691">
        <f>IF(ISNA(VLOOKUP("AMI645310000",Balance!C:G,5,FALSE))=TRUE,0,VLOOKUP("AMI645310000",Balance!C:G,5,FALSE))</f>
        <v>259.64999999999998</v>
      </c>
      <c r="D144" s="692">
        <f>+[2]Amiens!$H144</f>
        <v>448.5359588287879</v>
      </c>
      <c r="E144" s="691">
        <f>IF(ISNA(VLOOKUP("AMI645310000",Balanceanp!C:G,5,FALSE))=TRUE,0,VLOOKUP("AMI645310000",Balanceanp!C:G,5,FALSE))</f>
        <v>1900.76</v>
      </c>
      <c r="F144" s="979">
        <f>+C144+C144/9*(12-Clients!$I$14)</f>
        <v>346.2</v>
      </c>
      <c r="G144" s="1057">
        <f t="shared" si="16"/>
        <v>343.35248017206607</v>
      </c>
      <c r="H144" s="1057"/>
      <c r="I144" s="693">
        <f t="shared" si="14"/>
        <v>-0.81786232875270937</v>
      </c>
      <c r="J144" s="694">
        <f t="shared" si="14"/>
        <v>-8.2250717155803663E-3</v>
      </c>
      <c r="L144" s="17">
        <f t="shared" si="15"/>
        <v>1</v>
      </c>
    </row>
    <row r="145" spans="1:12">
      <c r="A145" s="690" t="s">
        <v>158</v>
      </c>
      <c r="B145" s="693"/>
      <c r="C145" s="691">
        <f>IF(ISNA(VLOOKUP("AMI645400000",Balance!C:G,5,FALSE))=TRUE,0,VLOOKUP("AMI645400000",Balance!C:G,5,FALSE))</f>
        <v>4412.99</v>
      </c>
      <c r="D145" s="692">
        <f>+[2]Amiens!$H145</f>
        <v>7570.7068569078374</v>
      </c>
      <c r="E145" s="691">
        <f>IF(ISNA(VLOOKUP("AMI645400000",Balanceanp!C:G,5,FALSE))=TRUE,0,VLOOKUP("AMI645400000",Balanceanp!C:G,5,FALSE))</f>
        <v>5778.27</v>
      </c>
      <c r="F145" s="979">
        <f>+C145+C145/9*(12-Clients!$I$14)</f>
        <v>5883.9866666666658</v>
      </c>
      <c r="G145" s="1057">
        <f t="shared" si="16"/>
        <v>5835.5904543598153</v>
      </c>
      <c r="H145" s="1057"/>
      <c r="I145" s="693">
        <f t="shared" si="14"/>
        <v>1.8295556743915621E-2</v>
      </c>
      <c r="J145" s="694">
        <f t="shared" si="14"/>
        <v>-8.2250717155801008E-3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IF(ISNA(VLOOKUP("AMI645800000",Balance!C:G,5,FALSE))=TRUE,0,VLOOKUP("AMI645800000",Balance!C:G,5,FALSE))</f>
        <v>0</v>
      </c>
      <c r="D146" s="117">
        <f>+[2]Amiens!$H146</f>
        <v>0</v>
      </c>
      <c r="E146" s="160">
        <f>IF(ISNA(VLOOKUP("AMI645800000",Balanceanp!C:G,5,FALSE))=TRUE,0,VLOOKUP("AMI645800000",Balanceanp!C:G,5,FALSE))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690" t="s">
        <v>160</v>
      </c>
      <c r="B147" s="693"/>
      <c r="C147" s="691">
        <f>IF(ISNA(VLOOKUP("AMI645900000",Balance!C:G,5,FALSE))=TRUE,0,VLOOKUP("AMI645900000",Balance!C:G,5,FALSE))</f>
        <v>-2478.89</v>
      </c>
      <c r="D147" s="692">
        <f>+[2]Amiens!$H147</f>
        <v>-87.034999999999997</v>
      </c>
      <c r="E147" s="691">
        <f>IF(ISNA(VLOOKUP("AMI645900000",Balanceanp!C:G,5,FALSE))=TRUE,0,VLOOKUP("AMI645900000",Balanceanp!C:G,5,FALSE))</f>
        <v>45.84</v>
      </c>
      <c r="F147" s="979">
        <f>+C147+C147/9*(12-Clients!$I$14)</f>
        <v>-3305.1866666666665</v>
      </c>
      <c r="G147" s="1057">
        <f>+F147*1.03</f>
        <v>-3404.3422666666665</v>
      </c>
      <c r="H147" s="1057"/>
      <c r="I147" s="693">
        <f t="shared" ref="I147:J152" si="17">+IF((E147)=0,,(F147-E147)/E147)</f>
        <v>-73.102675974403724</v>
      </c>
      <c r="J147" s="694">
        <f t="shared" si="17"/>
        <v>3.0000000000000016E-2</v>
      </c>
      <c r="L147" s="17">
        <f t="shared" si="15"/>
        <v>1</v>
      </c>
    </row>
    <row r="148" spans="1:12">
      <c r="A148" s="690" t="s">
        <v>161</v>
      </c>
      <c r="B148" s="693"/>
      <c r="C148" s="691">
        <f>IF(ISNA(VLOOKUP("AMI647100000",Balance!C:G,5,FALSE))=TRUE,0,VLOOKUP("AMI647100000",Balance!C:G,5,FALSE))</f>
        <v>0</v>
      </c>
      <c r="D148" s="692">
        <f>+[2]Amiens!$H148</f>
        <v>10.234389</v>
      </c>
      <c r="E148" s="691">
        <f>IF(ISNA(VLOOKUP("AMI647100000",Balanceanp!C:G,5,FALSE))=TRUE,0,VLOOKUP("AMI647100000",Balanceanp!C:G,5,FALSE))</f>
        <v>43.14</v>
      </c>
      <c r="F148" s="979">
        <f>+C148+C148/9*(12-Clients!$I$14)</f>
        <v>0</v>
      </c>
      <c r="G148" s="1057">
        <f>+F148*1.03</f>
        <v>0</v>
      </c>
      <c r="H148" s="1057"/>
      <c r="I148" s="693">
        <f t="shared" si="17"/>
        <v>-1</v>
      </c>
      <c r="J148" s="694">
        <f t="shared" si="17"/>
        <v>0</v>
      </c>
      <c r="L148" s="17">
        <f t="shared" si="15"/>
        <v>1</v>
      </c>
    </row>
    <row r="149" spans="1:12">
      <c r="A149" s="690" t="s">
        <v>162</v>
      </c>
      <c r="B149" s="693"/>
      <c r="C149" s="691">
        <f>IF(ISNA(VLOOKUP("AMI647400000",Balance!C:G,5,FALSE))=TRUE,0,VLOOKUP("AMI647400000",Balance!C:G,5,FALSE))</f>
        <v>0</v>
      </c>
      <c r="D149" s="692">
        <f>+[2]Amiens!$H149</f>
        <v>52.079581000000012</v>
      </c>
      <c r="E149" s="691">
        <f>IF(ISNA(VLOOKUP("AMI647400000",Balanceanp!C:G,5,FALSE))=TRUE,0,VLOOKUP("AMI647400000",Balanceanp!C:G,5,FALSE))</f>
        <v>46.1</v>
      </c>
      <c r="F149" s="979">
        <f>+C149+C149/9*(12-Clients!$I$14)</f>
        <v>0</v>
      </c>
      <c r="G149" s="1057">
        <f>+F149*1.03</f>
        <v>0</v>
      </c>
      <c r="H149" s="1057"/>
      <c r="I149" s="693">
        <f t="shared" si="17"/>
        <v>-1</v>
      </c>
      <c r="J149" s="694">
        <f t="shared" si="17"/>
        <v>0</v>
      </c>
      <c r="L149" s="17">
        <f t="shared" si="15"/>
        <v>1</v>
      </c>
    </row>
    <row r="150" spans="1:12">
      <c r="A150" s="690" t="s">
        <v>163</v>
      </c>
      <c r="B150" s="693"/>
      <c r="C150" s="691">
        <f>IF(ISNA(VLOOKUP("AMI647500000",Balance!C:G,5,FALSE))=TRUE,0,VLOOKUP("AMI647500000",Balance!C:G,5,FALSE))</f>
        <v>0</v>
      </c>
      <c r="D150" s="692">
        <f>+[2]Amiens!$H150</f>
        <v>365.00188197428332</v>
      </c>
      <c r="E150" s="691">
        <f>IF(ISNA(VLOOKUP("AMI647500000",Balanceanp!C:G,5,FALSE))=TRUE,0,VLOOKUP("AMI647500000",Balanceanp!C:G,5,FALSE))</f>
        <v>245.6</v>
      </c>
      <c r="F150" s="979">
        <f>+C150+C150/9*(12-Clients!$I$14)</f>
        <v>0</v>
      </c>
      <c r="G150" s="1057">
        <f>+F150*1.03</f>
        <v>0</v>
      </c>
      <c r="H150" s="1057"/>
      <c r="I150" s="693">
        <f t="shared" si="17"/>
        <v>-1</v>
      </c>
      <c r="J150" s="694">
        <f t="shared" si="17"/>
        <v>0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+[2]Amiens!$H151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690" t="s">
        <v>58</v>
      </c>
      <c r="B152" s="693"/>
      <c r="C152" s="691">
        <f>IF(ISNA(VLOOKUP("AMI648000000",Balance!C:G,5,FALSE))=TRUE,0,VLOOKUP("AMI648000000",Balance!C:G,5,FALSE))</f>
        <v>0</v>
      </c>
      <c r="D152" s="692">
        <f>+[2]Amiens!$H152</f>
        <v>2584.7362810000004</v>
      </c>
      <c r="E152" s="691">
        <f>IF(ISNA(VLOOKUP("AMI648000000",Balanceanp!C:G,5,FALSE))=TRUE,0,VLOOKUP("AMI648000000",Balanceanp!C:G,5,FALSE))</f>
        <v>3539.5291200000001</v>
      </c>
      <c r="F152" s="979">
        <f>+C152+C152/9*(12-Clients!$I$14)</f>
        <v>0</v>
      </c>
      <c r="G152" s="1057">
        <f>+F152*1.03</f>
        <v>0</v>
      </c>
      <c r="H152" s="1057">
        <f>SUM(G141:G152)</f>
        <v>16048.11959805257</v>
      </c>
      <c r="I152" s="693">
        <f t="shared" si="17"/>
        <v>-1</v>
      </c>
      <c r="J152" s="694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695" t="s">
        <v>164</v>
      </c>
      <c r="B154" s="759">
        <f>+C154/$C$21</f>
        <v>0.15823792603960787</v>
      </c>
      <c r="C154" s="696">
        <f>SUM(C130:C153)</f>
        <v>50596.329999999994</v>
      </c>
      <c r="D154" s="704">
        <f>SUM(D130:D153)</f>
        <v>86201.192366229312</v>
      </c>
      <c r="E154" s="696">
        <f>SUM(E130:E153)</f>
        <v>52765.419119999999</v>
      </c>
      <c r="F154" s="764">
        <f>SUM(F130:F153)</f>
        <v>67461.773333333345</v>
      </c>
      <c r="G154" s="704">
        <f>SUM(G130:G153)</f>
        <v>72246.119598052552</v>
      </c>
      <c r="H154" s="963">
        <f>+G154/$G$21</f>
        <v>0.13970215084734389</v>
      </c>
      <c r="I154" s="697">
        <f>+IF((E154)=0,,(F154-E154)/E154)</f>
        <v>0.27852245767082134</v>
      </c>
      <c r="J154" s="698">
        <f>+IF((F154)=0,,(G154-F154)/F154)</f>
        <v>7.091936704775631E-2</v>
      </c>
      <c r="K154" s="136">
        <f>(C154+(C154/3))</f>
        <v>67461.773333333331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690" t="s">
        <v>545</v>
      </c>
      <c r="B156" s="693">
        <v>0.79700000000000004</v>
      </c>
      <c r="C156" s="691">
        <f>IF(ISNA(VLOOKUP("AMI681740000",Balance!C:G,5,FALSE))=TRUE,0,VLOOKUP("AMI681740000",Balance!C:G,5,FALSE))</f>
        <v>5529.14</v>
      </c>
      <c r="D156" s="692">
        <f>+[2]Amiens!$H156</f>
        <v>6934.05819806</v>
      </c>
      <c r="E156" s="691">
        <f>IF(ISNA(VLOOKUP("AMI681740000",Balanceanp!C:G,5,FALSE))=TRUE,0,VLOOKUP("AMI681740000",Balanceanp!C:G,5,FALSE))</f>
        <v>64.58</v>
      </c>
      <c r="F156" s="979">
        <f>+C156+C156/9*(12-Clients!$I$14)</f>
        <v>7372.1866666666674</v>
      </c>
      <c r="G156" s="1056">
        <f>+G21*B156*1.62%</f>
        <v>6677.0521636248013</v>
      </c>
      <c r="H156" s="1061"/>
      <c r="I156" s="693">
        <f t="shared" ref="I156:J166" si="18">+IF((E156)=0,,(F156-E156)/E156)</f>
        <v>113.15587901311036</v>
      </c>
      <c r="J156" s="694">
        <f t="shared" si="18"/>
        <v>-9.4291495111608586E-2</v>
      </c>
      <c r="L156" s="17">
        <f t="shared" si="15"/>
        <v>1</v>
      </c>
    </row>
    <row r="157" spans="1:12">
      <c r="A157" s="690" t="s">
        <v>165</v>
      </c>
      <c r="B157" s="693"/>
      <c r="C157" s="691">
        <f>IF(ISNA(VLOOKUP("AMI781740000",Balance!C:G,5,FALSE))=TRUE,0,VLOOKUP("AMI781740000",Balance!C:G,5,FALSE))</f>
        <v>-5078.71</v>
      </c>
      <c r="D157" s="692">
        <f>+[2]Amiens!$H157</f>
        <v>0</v>
      </c>
      <c r="E157" s="691">
        <f>IF(ISNA(VLOOKUP("AMI781740000",Balanceanp!C:G,5,FALSE))=TRUE,0,VLOOKUP("AMI781740000",Balanceanp!C:G,5,FALSE))</f>
        <v>-9031.74</v>
      </c>
      <c r="F157" s="979">
        <f>+C157+C157/9*(12-Clients!$I$14)</f>
        <v>-6771.6133333333337</v>
      </c>
      <c r="G157" s="1057">
        <v>0</v>
      </c>
      <c r="H157" s="1057"/>
      <c r="I157" s="693">
        <f t="shared" si="18"/>
        <v>-0.25024266272796453</v>
      </c>
      <c r="J157" s="694">
        <f t="shared" si="18"/>
        <v>-1</v>
      </c>
      <c r="L157" s="17">
        <f t="shared" si="15"/>
        <v>1</v>
      </c>
    </row>
    <row r="158" spans="1:12">
      <c r="A158" s="690" t="s">
        <v>166</v>
      </c>
      <c r="B158" s="693"/>
      <c r="C158" s="691">
        <f>IF(ISNA(VLOOKUP("AMI654400000",Balance!C:G,5,FALSE))=TRUE,0,VLOOKUP("AMI654400000",Balance!C:G,5,FALSE))</f>
        <v>6081.02</v>
      </c>
      <c r="D158" s="692">
        <f>+[2]Amiens!$H158</f>
        <v>0</v>
      </c>
      <c r="E158" s="691">
        <f>IF(ISNA(VLOOKUP("AMI654400000",Balanceanp!C:G,5,FALSE))=TRUE,0,VLOOKUP("AMI654400000",Balanceanp!C:G,5,FALSE))</f>
        <v>16070.75</v>
      </c>
      <c r="F158" s="979">
        <f>+C158+C158/9*(12-Clients!$I$14)</f>
        <v>8108.0266666666666</v>
      </c>
      <c r="G158" s="1057">
        <v>0</v>
      </c>
      <c r="H158" s="1057"/>
      <c r="I158" s="693">
        <f t="shared" si="18"/>
        <v>-0.49547926097620421</v>
      </c>
      <c r="J158" s="694">
        <f t="shared" si="18"/>
        <v>-1</v>
      </c>
      <c r="L158" s="17">
        <f t="shared" si="15"/>
        <v>1</v>
      </c>
    </row>
    <row r="159" spans="1:12">
      <c r="A159" s="690" t="s">
        <v>60</v>
      </c>
      <c r="B159" s="693"/>
      <c r="C159" s="691">
        <f>IF(ISNA(VLOOKUP("AMI791100000",Balance!C:G,5,FALSE))=TRUE,0,VLOOKUP("AMI791100000",Balance!C:G,5,FALSE))</f>
        <v>0</v>
      </c>
      <c r="D159" s="692">
        <f>+[2]Amiens!$H159</f>
        <v>0</v>
      </c>
      <c r="E159" s="691">
        <f>IF(ISNA(VLOOKUP("AMI791100000",Balanceanp!C:G,5,FALSE))=TRUE,0,VLOOKUP("AMI791100000",Balanceanp!C:G,5,FALSE))</f>
        <v>-2392.38</v>
      </c>
      <c r="F159" s="979">
        <f>+C159+C159/9*(12-Clients!$I$14)</f>
        <v>0</v>
      </c>
      <c r="G159" s="1057">
        <v>0</v>
      </c>
      <c r="H159" s="1057"/>
      <c r="I159" s="693">
        <f t="shared" si="18"/>
        <v>-1</v>
      </c>
      <c r="J159" s="694">
        <f t="shared" si="18"/>
        <v>0</v>
      </c>
      <c r="L159" s="17">
        <f t="shared" si="15"/>
        <v>1</v>
      </c>
    </row>
    <row r="160" spans="1:12">
      <c r="A160" s="690" t="s">
        <v>199</v>
      </c>
      <c r="B160" s="693"/>
      <c r="C160" s="691">
        <f>IF(ISNA(VLOOKUP("AMI654100000",Balance!C:G,5,FALSE))=TRUE,0,VLOOKUP("AMI654100000",Balance!C:G,5,FALSE))</f>
        <v>-7.83</v>
      </c>
      <c r="D160" s="692">
        <f>+[2]Amiens!$H160</f>
        <v>0</v>
      </c>
      <c r="E160" s="691">
        <f>IF(ISNA(VLOOKUP("AMI654100000",Balanceanp!C:G,5,FALSE))=TRUE,0,VLOOKUP("AMI654100000",Balanceanp!C:G,5,FALSE))</f>
        <v>-0.89</v>
      </c>
      <c r="F160" s="979">
        <f>+C160+C160/9*(12-Clients!$I$14)</f>
        <v>-10.44</v>
      </c>
      <c r="G160" s="1057">
        <v>0</v>
      </c>
      <c r="H160" s="1057"/>
      <c r="I160" s="693">
        <f t="shared" si="18"/>
        <v>10.730337078651685</v>
      </c>
      <c r="J160" s="694">
        <f t="shared" si="18"/>
        <v>-1</v>
      </c>
      <c r="L160" s="17">
        <f t="shared" si="15"/>
        <v>1</v>
      </c>
    </row>
    <row r="161" spans="1:12">
      <c r="A161" s="690" t="s">
        <v>41</v>
      </c>
      <c r="B161" s="693"/>
      <c r="C161" s="691">
        <f>IF(ISNA(VLOOKUP("AMI622700000",Balance!C:G,5,FALSE))=TRUE,0,VLOOKUP("AMI622700000",Balance!C:G,5,FALSE))</f>
        <v>392.34</v>
      </c>
      <c r="D161" s="692">
        <f>+[2]Amiens!$H161</f>
        <v>315.95778671819448</v>
      </c>
      <c r="E161" s="691">
        <f>IF(ISNA(VLOOKUP("AMI622700000",Balanceanp!C:G,5,FALSE))=TRUE,0,VLOOKUP("AMI622700000",Balanceanp!C:G,5,FALSE))</f>
        <v>1272.24</v>
      </c>
      <c r="F161" s="979">
        <f>+C161+C161/9*(12-Clients!$I$14)</f>
        <v>523.12</v>
      </c>
      <c r="G161" s="1057">
        <f t="shared" ref="G161:G166" si="19">+F161*1.03</f>
        <v>538.81360000000006</v>
      </c>
      <c r="H161" s="1057"/>
      <c r="I161" s="693">
        <f t="shared" si="18"/>
        <v>-0.58881971954977053</v>
      </c>
      <c r="J161" s="694">
        <f t="shared" si="18"/>
        <v>3.0000000000000117E-2</v>
      </c>
      <c r="L161" s="17">
        <f t="shared" si="15"/>
        <v>1</v>
      </c>
    </row>
    <row r="162" spans="1:12">
      <c r="A162" s="690" t="s">
        <v>355</v>
      </c>
      <c r="B162" s="693"/>
      <c r="C162" s="691">
        <f>IF(ISNA(VLOOKUP("AMI654200000",Balance!C:G,5,FALSE))=TRUE,0,VLOOKUP("AMI654200000",Balance!C:G,5,FALSE))</f>
        <v>17.97</v>
      </c>
      <c r="D162" s="692">
        <f>+[2]Amiens!$H162</f>
        <v>8.8825950763427084</v>
      </c>
      <c r="E162" s="691">
        <f>IF(ISNA(VLOOKUP("AMI654200000",Balanceanp!C:G,5,FALSE))=TRUE,0,VLOOKUP("AMI654200000",Balanceanp!C:G,5,FALSE))</f>
        <v>16.13</v>
      </c>
      <c r="F162" s="979">
        <f>+C162+C162/9*(12-Clients!$I$14)</f>
        <v>23.96</v>
      </c>
      <c r="G162" s="1057">
        <f t="shared" si="19"/>
        <v>24.678800000000003</v>
      </c>
      <c r="H162" s="1057"/>
      <c r="I162" s="693">
        <f t="shared" si="18"/>
        <v>0.48543087414755132</v>
      </c>
      <c r="J162" s="694">
        <f t="shared" si="18"/>
        <v>3.0000000000000068E-2</v>
      </c>
      <c r="L162" s="17">
        <f t="shared" si="15"/>
        <v>1</v>
      </c>
    </row>
    <row r="163" spans="1:12">
      <c r="A163" s="690" t="s">
        <v>200</v>
      </c>
      <c r="B163" s="693"/>
      <c r="C163" s="691">
        <f>IF(ISNA(VLOOKUP("AMI665000000",Balance!C:G,5,FALSE))=TRUE,0,VLOOKUP("AMI665000000",Balance!C:G,5,FALSE))+IF(ISNA(VLOOKUP("AMI665100000",Balance!C:G,5,FALSE))=TRUE,0,VLOOKUP("AMI665100000",Balance!C:G,5,FALSE))</f>
        <v>0</v>
      </c>
      <c r="D163" s="692">
        <f>+[2]Amiens!$H163</f>
        <v>41.638935232051047</v>
      </c>
      <c r="E163" s="691">
        <f>IF(ISNA(VLOOKUP("AMI665000000",Balanceanp!C:G,5,FALSE))=TRUE,0,VLOOKUP("AMI665000000",Balanceanp!C:G,5,FALSE))+IF(ISNA(VLOOKUP("AMI665100000",Balanceanp!C:G,5,FALSE))=TRUE,0,VLOOKUP("AMI665100000",Balanceanp!C:G,5,FALSE))</f>
        <v>2.5099999999999998</v>
      </c>
      <c r="F163" s="979">
        <f>+C163+C163/9*(12-Clients!$I$14)</f>
        <v>0</v>
      </c>
      <c r="G163" s="1057">
        <f t="shared" si="19"/>
        <v>0</v>
      </c>
      <c r="H163" s="1057"/>
      <c r="I163" s="693">
        <f t="shared" si="18"/>
        <v>-1</v>
      </c>
      <c r="J163" s="694">
        <f t="shared" si="18"/>
        <v>0</v>
      </c>
      <c r="L163" s="17">
        <f t="shared" si="15"/>
        <v>1</v>
      </c>
    </row>
    <row r="164" spans="1:12">
      <c r="A164" s="690" t="s">
        <v>271</v>
      </c>
      <c r="B164" s="693"/>
      <c r="C164" s="691">
        <f>IF(ISNA(VLOOKUP("AMI763000000",Balance!C:G,5,FALSE))=TRUE,0,VLOOKUP("AMI763000000",Balance!C:G,5,FALSE))</f>
        <v>-27</v>
      </c>
      <c r="D164" s="692">
        <f>+[2]Amiens!$H164</f>
        <v>-49.886276388281253</v>
      </c>
      <c r="E164" s="691">
        <f>IF(ISNA(VLOOKUP("AMI763000000",Balanceanp!C:G,5,FALSE))=TRUE,0,VLOOKUP("AMI763000000",Balanceanp!C:G,5,FALSE))</f>
        <v>-27</v>
      </c>
      <c r="F164" s="979">
        <f>+C164+C164/9*(12-Clients!$I$14)</f>
        <v>-36</v>
      </c>
      <c r="G164" s="1057">
        <f t="shared" si="19"/>
        <v>-37.08</v>
      </c>
      <c r="H164" s="1057"/>
      <c r="I164" s="693">
        <f t="shared" si="18"/>
        <v>0.33333333333333331</v>
      </c>
      <c r="J164" s="694">
        <f t="shared" si="18"/>
        <v>2.9999999999999954E-2</v>
      </c>
      <c r="L164" s="17">
        <f t="shared" si="15"/>
        <v>1</v>
      </c>
    </row>
    <row r="165" spans="1:12">
      <c r="A165" s="690" t="s">
        <v>242</v>
      </c>
      <c r="B165" s="693"/>
      <c r="C165" s="691">
        <f>IF(ISNA(VLOOKUP("AMI627520000",Balance!C:G,5,FALSE))=TRUE,0,VLOOKUP("AMI627520000",Balance!C:G,5,FALSE))</f>
        <v>153</v>
      </c>
      <c r="D165" s="692">
        <f>+[2]Amiens!$H165</f>
        <v>311.6590104210938</v>
      </c>
      <c r="E165" s="691">
        <f>IF(ISNA(VLOOKUP("AMI627520000",Balanceanp!C:G,5,FALSE))=TRUE,0,VLOOKUP("AMI627520000",Balanceanp!C:G,5,FALSE))</f>
        <v>285.39999999999998</v>
      </c>
      <c r="F165" s="979">
        <f>+C165+C165/9*(12-Clients!$I$14)</f>
        <v>204</v>
      </c>
      <c r="G165" s="1057">
        <f t="shared" si="19"/>
        <v>210.12</v>
      </c>
      <c r="H165" s="1057"/>
      <c r="I165" s="693">
        <f t="shared" si="18"/>
        <v>-0.28521373510861942</v>
      </c>
      <c r="J165" s="694">
        <f t="shared" si="18"/>
        <v>3.0000000000000023E-2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IF(ISNA(VLOOKUP("AMI763100000",Balance!C:G,5,FALSE))=TRUE,0,VLOOKUP("AMI763100000",Balance!C:G,5,FALSE))</f>
        <v>0</v>
      </c>
      <c r="D166" s="117">
        <f>+[2]Amiens!$H166</f>
        <v>0</v>
      </c>
      <c r="E166" s="160">
        <f>IF(ISNA(VLOOKUP("AMI763100000",Balanceanp!C:G,5,FALSE))=TRUE,0,VLOOKUP("AMI763100000",Balanceanp!C:G,5,FALSE))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695" t="s">
        <v>74</v>
      </c>
      <c r="B168" s="759">
        <f>+C168/$C$21</f>
        <v>2.2079638605899066E-2</v>
      </c>
      <c r="C168" s="696">
        <f>SUM(C155:C167)</f>
        <v>7059.9300000000012</v>
      </c>
      <c r="D168" s="704">
        <f>SUM(D155:D167)</f>
        <v>7562.3102491194004</v>
      </c>
      <c r="E168" s="696">
        <f>SUM(E155:E167)</f>
        <v>6259.5999999999995</v>
      </c>
      <c r="F168" s="764">
        <f>SUM(F155:F167)</f>
        <v>9413.24</v>
      </c>
      <c r="G168" s="704">
        <f>SUM(G155:G167)</f>
        <v>7413.5845636248014</v>
      </c>
      <c r="H168" s="963">
        <f>+G168/$G$21</f>
        <v>1.4335630962454765E-2</v>
      </c>
      <c r="I168" s="697">
        <f>+IF((E168)=0,,(F168-E168)/E168)</f>
        <v>0.50380855006709702</v>
      </c>
      <c r="J168" s="698">
        <f>+IF((F168)=0,,(G168-F168)/F168)</f>
        <v>-0.21243009169799118</v>
      </c>
      <c r="K168" s="136">
        <f>(C168+(C168/3))</f>
        <v>9413.2400000000016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IF(ISNA(VLOOKUP("AMI651100000",Balance!C:G,5,FALSE))=TRUE,0,VLOOKUP("AMI651100000",Balance!C:G,5,FALSE))</f>
        <v>0</v>
      </c>
      <c r="D170" s="117">
        <f>+[2]Amiens!$H170</f>
        <v>0</v>
      </c>
      <c r="E170" s="160">
        <f>IF(ISNA(VLOOKUP("AMI651100000",Balanceanp!C:G,5,FALSE))=TRUE,0,VLOOKUP("AMI651100000",Balanceanp!C:G,5,FALSE))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>
      <c r="A171" s="690" t="s">
        <v>168</v>
      </c>
      <c r="B171" s="693"/>
      <c r="C171" s="691">
        <f>IF(ISNA(VLOOKUP("AMI651600000",Balance!C:G,5,FALSE))=TRUE,0,VLOOKUP("AMI651600000",Balance!C:G,5,FALSE))</f>
        <v>185.84</v>
      </c>
      <c r="D171" s="692">
        <f>+[2]Amiens!$H171</f>
        <v>28.263200000000001</v>
      </c>
      <c r="E171" s="691">
        <f>IF(ISNA(VLOOKUP("AMI651600000",Balanceanp!C:G,5,FALSE))=TRUE,0,VLOOKUP("AMI651600000",Balanceanp!C:G,5,FALSE))</f>
        <v>27.44</v>
      </c>
      <c r="F171" s="979">
        <f>+C171+C171/9*(12-Clients!$I$14)</f>
        <v>247.78666666666669</v>
      </c>
      <c r="G171" s="1057">
        <f t="shared" si="20"/>
        <v>255.2202666666667</v>
      </c>
      <c r="H171" s="1057"/>
      <c r="I171" s="693">
        <f t="shared" si="21"/>
        <v>8.0301263362487862</v>
      </c>
      <c r="J171" s="694">
        <f t="shared" si="21"/>
        <v>3.0000000000000047E-2</v>
      </c>
      <c r="L171" s="17">
        <f t="shared" si="15"/>
        <v>1</v>
      </c>
    </row>
    <row r="172" spans="1:12" hidden="1">
      <c r="A172" s="5" t="s">
        <v>169</v>
      </c>
      <c r="B172" s="92"/>
      <c r="C172" s="160">
        <f>IF(ISNA(VLOOKUP("AMI671200000",Balance!C:G,5,FALSE))=TRUE,0,VLOOKUP("AMI671200000",Balance!C:G,5,FALSE))</f>
        <v>0</v>
      </c>
      <c r="D172" s="117">
        <f>+[2]Amiens!$H172</f>
        <v>0</v>
      </c>
      <c r="E172" s="160">
        <f>IF(ISNA(VLOOKUP("AMI671200000",Balanceanp!C:G,5,FALSE))=TRUE,0,VLOOKUP("AMI671200000",Balanceanp!C:G,5,FALSE))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690" t="s">
        <v>170</v>
      </c>
      <c r="B173" s="693"/>
      <c r="C173" s="691">
        <f>IF(ISNA(VLOOKUP("AMI671800000",Balance!C:G,5,FALSE))=TRUE,0,VLOOKUP("AMI671800000",Balance!C:G,5,FALSE))</f>
        <v>0</v>
      </c>
      <c r="D173" s="692">
        <f>+[2]Amiens!$H173</f>
        <v>792.32492500000001</v>
      </c>
      <c r="E173" s="691">
        <f>IF(ISNA(VLOOKUP("AMI671800000",Balanceanp!C:G,5,FALSE))=TRUE,0,VLOOKUP("AMI671800000",Balanceanp!C:G,5,FALSE))+IF(ISNA(VLOOKUP("AMI658000000",Balanceanp!C:G,5,FALSE))=TRUE,0,VLOOKUP("AMI658000000",Balanceanp!C:G,5,FALSE))</f>
        <v>8021.91</v>
      </c>
      <c r="F173" s="979">
        <f>+C173+C173/9*(12-Clients!$I$14)</f>
        <v>0</v>
      </c>
      <c r="G173" s="1057">
        <f t="shared" si="20"/>
        <v>0</v>
      </c>
      <c r="H173" s="1057"/>
      <c r="I173" s="693">
        <f t="shared" si="21"/>
        <v>-1</v>
      </c>
      <c r="J173" s="694">
        <f t="shared" si="21"/>
        <v>0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IF(ISNA(VLOOKUP("AMI672000000",Balance!C:G,5,FALSE))=TRUE,0,VLOOKUP("AMI672000000",Balance!C:G,5,FALSE))</f>
        <v>0</v>
      </c>
      <c r="D174" s="117">
        <f>+[2]Amiens!$H174</f>
        <v>0</v>
      </c>
      <c r="E174" s="160">
        <f>IF(ISNA(VLOOKUP("AMI672000000",Balanceanp!C:G,5,FALSE))=TRUE,0,VLOOKUP("AMI672000000",Balanceanp!C:G,5,FALSE))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IF(ISNA(VLOOKUP("AMI691100000",Balance!C:G,5,FALSE))=TRUE,0,VLOOKUP("AMI691100000",Balance!C:G,5,FALSE))</f>
        <v>0</v>
      </c>
      <c r="D175" s="117">
        <f>+[2]Amiens!$H175</f>
        <v>0</v>
      </c>
      <c r="E175" s="160">
        <f>IF(ISNA(VLOOKUP("AMI691100000",Balanceanp!C:G,5,FALSE))=TRUE,0,VLOOKUP("AMI691100000",Balanceanp!C:G,5,FALSE))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IF(ISNA(VLOOKUP("AMI675100000",Balance!C:G,5,FALSE))=TRUE,0,VLOOKUP("AMI675100000",Balance!C:G,5,FALSE))</f>
        <v>0</v>
      </c>
      <c r="D176" s="117">
        <f>+[2]Amiens!$H176</f>
        <v>0</v>
      </c>
      <c r="E176" s="160">
        <f>IF(ISNA(VLOOKUP("AMI675100000",Balanceanp!C:G,5,FALSE))=TRUE,0,VLOOKUP("AMI675100000",Balanceanp!C:G,5,FALSE))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IF(ISNA(VLOOKUP("AMI675200000",Balance!C:G,5,FALSE))=TRUE,0,VLOOKUP("AMI675200000",Balance!C:G,5,FALSE))</f>
        <v>0</v>
      </c>
      <c r="D177" s="117">
        <f>+[2]Amiens!$H177</f>
        <v>0</v>
      </c>
      <c r="E177" s="160">
        <f>IF(ISNA(VLOOKUP("AMI675200000",Balanceanp!C:G,5,FALSE))=TRUE,0,VLOOKUP("AMI675200000",Balanceanp!C:G,5,FALSE))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IF(ISNA(VLOOKUP("AMI681110000",Balance!C:G,5,FALSE))=TRUE,0,VLOOKUP("AMI681110000",Balance!C:G,5,FALSE))</f>
        <v>0</v>
      </c>
      <c r="D178" s="117">
        <f>+[2]Amiens!$H178</f>
        <v>0</v>
      </c>
      <c r="E178" s="160">
        <f>IF(ISNA(VLOOKUP("AMI681110000",Balanceanp!C:G,5,FALSE))=TRUE,0,VLOOKUP("AMI681110000",Balanceanp!C:G,5,FALSE))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690" t="s">
        <v>175</v>
      </c>
      <c r="B179" s="693"/>
      <c r="C179" s="691">
        <f>IF(ISNA(VLOOKUP("AMI681120000",Balance!C:G,5,FALSE))=TRUE,0,VLOOKUP("AMI681120000",Balance!C:G,5,FALSE))</f>
        <v>4200.03</v>
      </c>
      <c r="D179" s="692">
        <f>+[2]Amiens!$H179</f>
        <v>5600</v>
      </c>
      <c r="E179" s="691">
        <f>IF(ISNA(VLOOKUP("AMI681120000",Balanceanp!C:G,5,FALSE))=TRUE,0,VLOOKUP("AMI681120000",Balanceanp!C:G,5,FALSE))</f>
        <v>6628.93</v>
      </c>
      <c r="F179" s="996">
        <v>4007.32</v>
      </c>
      <c r="G179" s="1056">
        <f>+G255/10+3596.23+500</f>
        <v>4246.2299999999996</v>
      </c>
      <c r="H179" s="1058"/>
      <c r="I179" s="693">
        <f t="shared" si="21"/>
        <v>-0.39548011519204457</v>
      </c>
      <c r="J179" s="694">
        <f t="shared" si="21"/>
        <v>5.9618398331054021E-2</v>
      </c>
      <c r="L179" s="17">
        <f t="shared" si="15"/>
        <v>1</v>
      </c>
    </row>
    <row r="180" spans="1:12">
      <c r="A180" s="690" t="s">
        <v>78</v>
      </c>
      <c r="B180" s="693"/>
      <c r="C180" s="691">
        <f>IF(ISNA(VLOOKUP("AMI687250000",Balance!C:G,5,FALSE))=TRUE,0,+VLOOKUP("AMI687250000",Balance!C:G,5,FALSE))</f>
        <v>0</v>
      </c>
      <c r="D180" s="692">
        <f>+[2]Amiens!$H180</f>
        <v>0</v>
      </c>
      <c r="E180" s="691">
        <f>IF(ISNA(VLOOKUP("AMI687250000",Balanceanp!C:G,5,FALSE))=TRUE,0,+VLOOKUP("AMI687250000",Balanceanp!C:G,5,FALSE))</f>
        <v>903.97</v>
      </c>
      <c r="F180" s="979">
        <f>+C180+C180/9*(12-Clients!$I$14)</f>
        <v>0</v>
      </c>
      <c r="G180" s="1057">
        <f t="shared" si="20"/>
        <v>0</v>
      </c>
      <c r="H180" s="1057"/>
      <c r="I180" s="693">
        <f t="shared" si="21"/>
        <v>-1</v>
      </c>
      <c r="J180" s="694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IF(ISNA(VLOOKUP("AMI661880000",Balance!C:G,5,FALSE))=TRUE,0,+VLOOKUP("AMI661880000",Balance!C:G,5,FALSE))</f>
        <v>0</v>
      </c>
      <c r="D181" s="117">
        <f>+[2]Amiens!$H181</f>
        <v>0</v>
      </c>
      <c r="E181" s="160">
        <f>IF(ISNA(VLOOKUP("AMI661880000",Balanceanp!C:G,5,FALSE))=TRUE,0,+VLOOKUP("AMI661880000",Balanceanp!C:G,5,FALSE))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+[2]Amiens!$H182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 hidden="1">
      <c r="A183" s="5" t="s">
        <v>331</v>
      </c>
      <c r="B183" s="92"/>
      <c r="C183" s="160">
        <f>IF(ISNA(VLOOKUP("ami681500000",Balance!C:G,5,FALSE))=TRUE,0,VLOOKUP("ami681500000",Balance!C:G,5,FALSE))</f>
        <v>0</v>
      </c>
      <c r="D183" s="117">
        <f>+[2]Amiens!$H183</f>
        <v>0</v>
      </c>
      <c r="E183" s="160">
        <f>IF(ISNA(VLOOKUP("ami681500000",Balanceanp!C:G,5,FALSE))=TRUE,0,VLOOKUP("ami681500000",Balanceanp!C:G,5,FALSE))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695" t="s">
        <v>178</v>
      </c>
      <c r="B185" s="759"/>
      <c r="C185" s="696">
        <f>SUM(C169:C184)</f>
        <v>4385.87</v>
      </c>
      <c r="D185" s="704">
        <f>SUM(D169:D184)</f>
        <v>6420.5881250000002</v>
      </c>
      <c r="E185" s="704">
        <f>SUM(E169:E184)</f>
        <v>15582.249999999998</v>
      </c>
      <c r="F185" s="764">
        <f>SUM(F169:F184)</f>
        <v>4255.1066666666666</v>
      </c>
      <c r="G185" s="704">
        <f>SUM(G169:G184)</f>
        <v>4501.4502666666667</v>
      </c>
      <c r="H185" s="963"/>
      <c r="I185" s="697">
        <f>+IF((E185)=0,,(F185-E185)/E185)</f>
        <v>-0.72692604298694563</v>
      </c>
      <c r="J185" s="698">
        <f>+IF((F185)=0,,(G185-F185)/F185)</f>
        <v>5.7893636822265365E-2</v>
      </c>
      <c r="K185" s="136">
        <f>(C185+(C185/3))</f>
        <v>5847.8266666666668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690" t="s">
        <v>179</v>
      </c>
      <c r="B187" s="693"/>
      <c r="C187" s="691">
        <f>IF(ISNA(VLOOKUP("AMI740000000",Balance!C:G,5,FALSE))=TRUE,0,-VLOOKUP("AMI740000000",Balance!C:G,5,FALSE))</f>
        <v>400</v>
      </c>
      <c r="D187" s="692">
        <f>+[2]Amiens!$H187</f>
        <v>0</v>
      </c>
      <c r="E187" s="691">
        <f>IF(ISNA(VLOOKUP("AMI740000000",Balanceanp!C:G,5,FALSE))=TRUE,0,-VLOOKUP("AMI740000000",Balanceanp!C:G,5,FALSE))</f>
        <v>3400</v>
      </c>
      <c r="F187" s="979">
        <f>+C187+C187/9*(12-Clients!$I$14)</f>
        <v>533.33333333333326</v>
      </c>
      <c r="G187" s="1054">
        <v>0</v>
      </c>
      <c r="H187" s="1054"/>
      <c r="I187" s="693">
        <f t="shared" ref="I187:J199" si="22">+IF((E187)=0,,(F187-E187)/E187)</f>
        <v>-0.8431372549019609</v>
      </c>
      <c r="J187" s="694">
        <f t="shared" si="22"/>
        <v>-1</v>
      </c>
      <c r="L187" s="17">
        <f t="shared" si="15"/>
        <v>1</v>
      </c>
    </row>
    <row r="188" spans="1:12" hidden="1">
      <c r="A188" s="5" t="s">
        <v>167</v>
      </c>
      <c r="B188" s="92"/>
      <c r="C188" s="160">
        <f>IF(ISNA(VLOOKUP("AMI751100000",Balance!C:G,5,FALSE))=TRUE,0,-VLOOKUP("AMI751100000",Balance!C:G,5,FALSE))</f>
        <v>0</v>
      </c>
      <c r="D188" s="117">
        <f>+[2]Amiens!$H188</f>
        <v>0</v>
      </c>
      <c r="E188" s="160">
        <f>IF(ISNA(VLOOKUP("AMI751100000",Balanceanp!C:G,5,FALSE))=TRUE,0,-VLOOKUP("AMI751100000",Balanceanp!C:G,5,FALSE))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IF(ISNA(VLOOKUP("AMI758100000",Balance!C:G,5,FALSE))=TRUE,0,-VLOOKUP("AMI758100000",Balance!C:G,5,FALSE))</f>
        <v>2485.2800000000002</v>
      </c>
      <c r="D189" s="117">
        <f>+[2]Amiens!$H189</f>
        <v>0</v>
      </c>
      <c r="E189" s="160">
        <f>IF(ISNA(VLOOKUP("AMI758100000",Balanceanp!C:G,5,FALSE))=TRUE,0,-VLOOKUP("AMI758100000",Balanceanp!C:G,5,FALSE))</f>
        <v>5629.71</v>
      </c>
      <c r="F189" s="368">
        <f>+C189+C189/9*(12-Clients!$I$14)</f>
        <v>3313.7066666666669</v>
      </c>
      <c r="G189" s="368">
        <v>0</v>
      </c>
      <c r="H189" s="410"/>
      <c r="I189" s="149">
        <f t="shared" si="22"/>
        <v>-0.41138945582158459</v>
      </c>
      <c r="J189" s="271">
        <f t="shared" si="22"/>
        <v>-1</v>
      </c>
      <c r="L189" s="17">
        <v>0</v>
      </c>
    </row>
    <row r="190" spans="1:12" hidden="1">
      <c r="A190" s="5" t="s">
        <v>181</v>
      </c>
      <c r="B190" s="92"/>
      <c r="C190" s="160">
        <f>IF(ISNA(VLOOKUP("AMI763800000",Balance!C:G,5,FALSE))=TRUE,0,-VLOOKUP("AMI763800000",Balance!C:G,5,FALSE))</f>
        <v>0</v>
      </c>
      <c r="D190" s="117">
        <f>+[2]Amiens!$H190</f>
        <v>0</v>
      </c>
      <c r="E190" s="160">
        <f>IF(ISNA(VLOOKUP("AMI763800000",Balanceanp!C:G,5,FALSE))=TRUE,0,-VLOOKUP("AMI763800000",Balanceanp!C:G,5,FALSE))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IF(ISNA(VLOOKUP("AMI765000000",Balance!C:G,5,FALSE))=TRUE,0,-VLOOKUP("AMI765000000",Balance!C:G,5,FALSE))</f>
        <v>0</v>
      </c>
      <c r="D191" s="117">
        <f>+[2]Amiens!$H191</f>
        <v>0</v>
      </c>
      <c r="E191" s="160">
        <f>IF(ISNA(VLOOKUP("AMI765000000",Balanceanp!C:G,5,FALSE))=TRUE,0,-VLOOKUP("AMI765000000",Balanceanp!C:G,5,FALSE))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IF(ISNA(VLOOKUP("AMI771400000",Balance!C:G,5,FALSE))=TRUE,0,-VLOOKUP("AMI771400000",Balance!C:G,5,FALSE))</f>
        <v>0</v>
      </c>
      <c r="D192" s="117">
        <f>+[2]Amiens!$H192</f>
        <v>0</v>
      </c>
      <c r="E192" s="160">
        <f>IF(ISNA(VLOOKUP("AMI771400000",Balanceanp!C:G,5,FALSE))=TRUE,0,-VLOOKUP("AMI771400000",Balanceanp!C:G,5,FALSE))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IF(ISNA(VLOOKUP("AMI771800000",Balance!C:G,5,FALSE))=TRUE,0,-VLOOKUP("AMI771800000",Balance!C:G,5,FALSE))</f>
        <v>639</v>
      </c>
      <c r="D193" s="117">
        <f>+[2]Amiens!$H193</f>
        <v>0</v>
      </c>
      <c r="E193" s="160">
        <f>IF(ISNA(VLOOKUP("AMI771800000",Balanceanp!C:G,5,FALSE))=TRUE,0,-VLOOKUP("AMI771800000",Balanceanp!C:G,5,FALSE))</f>
        <v>3961.8</v>
      </c>
      <c r="F193" s="368">
        <f>+C193+C193/9*(12-Clients!$I$14)</f>
        <v>852</v>
      </c>
      <c r="G193" s="368">
        <v>0</v>
      </c>
      <c r="H193" s="410"/>
      <c r="I193" s="149">
        <f t="shared" si="22"/>
        <v>-0.78494623655913975</v>
      </c>
      <c r="J193" s="271">
        <f t="shared" si="22"/>
        <v>-1</v>
      </c>
      <c r="L193" s="17">
        <v>0</v>
      </c>
    </row>
    <row r="194" spans="1:12" hidden="1">
      <c r="A194" s="5" t="s">
        <v>185</v>
      </c>
      <c r="B194" s="92"/>
      <c r="C194" s="160">
        <f>IF(ISNA(VLOOKUP("AMI758000000",Balance!C:G,5,FALSE))=TRUE,0,-VLOOKUP("AMI758000000",Balance!C:G,5,FALSE))</f>
        <v>0</v>
      </c>
      <c r="D194" s="117">
        <f>+[2]Amiens!$H194</f>
        <v>0</v>
      </c>
      <c r="E194" s="160">
        <f>IF(ISNA(VLOOKUP("AMI758000000",Balanceanp!C:G,5,FALSE))=TRUE,0,-VLOOKUP("AMI758000000",Balanceanp!C:G,5,FALSE))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IF(ISNA(VLOOKUP("AMI775100000",Balance!C:G,5,FALSE))=TRUE,0,-VLOOKUP("AMI775100000",Balance!C:G,5,FALSE))</f>
        <v>0</v>
      </c>
      <c r="D195" s="117">
        <f>+[2]Amiens!$H195</f>
        <v>0</v>
      </c>
      <c r="E195" s="160">
        <f>IF(ISNA(VLOOKUP("AMI775100000",Balanceanp!C:G,5,FALSE))=TRUE,0,-VLOOKUP("AMI775100000",Balanceanp!C:G,5,FALSE))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IF(ISNA(VLOOKUP("AMI775200000",Balance!C:G,5,FALSE))=TRUE,0,-VLOOKUP("AMI775200000",Balance!C:G,5,FALSE))</f>
        <v>0</v>
      </c>
      <c r="D196" s="117">
        <f>+[2]Amiens!$H196</f>
        <v>0</v>
      </c>
      <c r="E196" s="160">
        <f>IF(ISNA(VLOOKUP("AMI775200000",Balanceanp!C:G,5,FALSE))=TRUE,0,-VLOOKUP("AMI775200000",Balanceanp!C:G,5,FALSE))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IF(ISNA(VLOOKUP("AMI791000000",Balance!C:G,5,FALSE))=TRUE,0,-VLOOKUP("AMI791000000",Balance!C:G,5,FALSE))</f>
        <v>0</v>
      </c>
      <c r="D197" s="117">
        <f>+[2]Amiens!$H197</f>
        <v>0</v>
      </c>
      <c r="E197" s="160">
        <f>IF(ISNA(VLOOKUP("AMI791000000",Balanceanp!C:G,5,FALSE))=TRUE,0,-VLOOKUP("AMI791000000",Balanceanp!C:G,5,FALSE))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IF(ISNA(VLOOKUP("ami781500000",Balance!C:G,5,FALSE))=TRUE,0,-VLOOKUP("ami781500000",Balance!C:G,5,FALSE))</f>
        <v>0</v>
      </c>
      <c r="D198" s="117">
        <f>+[2]Amiens!$H198</f>
        <v>0</v>
      </c>
      <c r="E198" s="160">
        <f>IF(ISNA(VLOOKUP("ami781500000",Balanceanp!C:G,5,FALSE))=TRUE,0,-VLOOKUP("ami781500000",Balanceanp!C:G,5,FALSE))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IF(ISNA(VLOOKUP("AMI787250000",Balance!C:G,5,FALSE))=TRUE,0,-VLOOKUP("AMI787250000",Balance!C:G,5,FALSE))</f>
        <v>0</v>
      </c>
      <c r="D199" s="117">
        <f>+[2]Amiens!$H199</f>
        <v>0</v>
      </c>
      <c r="E199" s="160">
        <f>IF(ISNA(VLOOKUP("AMI787250000",Balanceanp!C:G,5,FALSE))=TRUE,0,-VLOOKUP("AMI787250000",Balanceanp!C:G,5,FALSE))</f>
        <v>684.2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695" t="s">
        <v>188</v>
      </c>
      <c r="B201" s="759"/>
      <c r="C201" s="696">
        <f>SUM(C186:C200)</f>
        <v>3524.28</v>
      </c>
      <c r="D201" s="704">
        <f>SUM(D186:D200)</f>
        <v>0</v>
      </c>
      <c r="E201" s="696">
        <f>SUM(E186:E200)</f>
        <v>13675.71</v>
      </c>
      <c r="F201" s="764">
        <f>SUM(F186:F200)</f>
        <v>4699.04</v>
      </c>
      <c r="G201" s="704">
        <f>SUM(G186:G200)</f>
        <v>0</v>
      </c>
      <c r="H201" s="963"/>
      <c r="I201" s="697">
        <f>+IF((E201)=0,,(F201-E201)/E201)</f>
        <v>-0.65639517070777309</v>
      </c>
      <c r="J201" s="698">
        <f>+IF((F201)=0,,(G201-F201)/F201)</f>
        <v>-1</v>
      </c>
      <c r="K201" s="136">
        <f>(C201+(C201/3))</f>
        <v>4699.04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713" t="s">
        <v>189</v>
      </c>
      <c r="B203" s="775">
        <f>+C203/$C$21</f>
        <v>0.43386926297435569</v>
      </c>
      <c r="C203" s="714">
        <f>+C103+C116+C129+C154+C168+C185-C201</f>
        <v>138729.01999999999</v>
      </c>
      <c r="D203" s="715">
        <f>+D103+D116+D129+D154+D168+D185-D201</f>
        <v>203680.67221053515</v>
      </c>
      <c r="E203" s="714">
        <f>+E103+E116+E129+E154+E168+E185-E201</f>
        <v>158438.73912000004</v>
      </c>
      <c r="F203" s="774">
        <f>+F103+F116+F129+F154+F168+F185-F201</f>
        <v>179761.35333333333</v>
      </c>
      <c r="G203" s="715">
        <f>+G103+G116+G129+G154+G168+G185-G201</f>
        <v>187747.4002421386</v>
      </c>
      <c r="H203" s="964">
        <f>+G203/$G$21</f>
        <v>0.36304670445623366</v>
      </c>
      <c r="I203" s="716">
        <f>+IF((E203)=0,,(F203-E203)/E203)</f>
        <v>0.13457954999997657</v>
      </c>
      <c r="J203" s="717">
        <f>+IF((F203)=0,,(G203-F203)/F203)</f>
        <v>4.442582769165436E-2</v>
      </c>
      <c r="K203" s="145">
        <f>+K103+K116+K129+K154+K168+K185-K201</f>
        <v>184972.02666666664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673" t="s">
        <v>228</v>
      </c>
      <c r="B205" s="779">
        <f>+C205/$C$21</f>
        <v>-4.2852887726363843E-2</v>
      </c>
      <c r="C205" s="674">
        <f>+C62-C203</f>
        <v>-13702.143999999986</v>
      </c>
      <c r="D205" s="675">
        <f>+D62-D203</f>
        <v>-14504.672210535151</v>
      </c>
      <c r="E205" s="674">
        <f>+E53-E203</f>
        <v>-3478.9258200000331</v>
      </c>
      <c r="F205" s="778">
        <f>+F62-F203</f>
        <v>-11256.439307538967</v>
      </c>
      <c r="G205" s="675">
        <f>+G62-G203</f>
        <v>7693.7538715722621</v>
      </c>
      <c r="H205" s="707">
        <f>+G205/$G$21</f>
        <v>1.4877393691573398E-2</v>
      </c>
      <c r="I205" s="676">
        <f>+IF((E205)=0,,(F205-E205)/E205)</f>
        <v>2.235607739270181</v>
      </c>
      <c r="J205" s="677">
        <f>+IF((F205)=0,,(G205-F205)/F205)</f>
        <v>-1.6834980104605008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718" t="s">
        <v>251</v>
      </c>
      <c r="B207" s="720">
        <f>+C207/$C$21</f>
        <v>2.6571625667174384E-3</v>
      </c>
      <c r="C207" s="1062">
        <f>+[2]Amiens!$C207</f>
        <v>849.62358553429681</v>
      </c>
      <c r="D207" s="719">
        <f>+[2]Amiens!$H207</f>
        <v>3188.5655770230992</v>
      </c>
      <c r="E207" s="719">
        <f>+[1]Amiens!$G$207</f>
        <v>926.53981499241559</v>
      </c>
      <c r="F207" s="782">
        <f>+Repart!K32</f>
        <v>1158.1945933681038</v>
      </c>
      <c r="G207" s="719">
        <f>+Repart!Q32</f>
        <v>1957.4946003912328</v>
      </c>
      <c r="H207" s="965">
        <f>+G207/$G$21</f>
        <v>3.785202685876691E-3</v>
      </c>
      <c r="I207" s="716">
        <f>+IF((E207)=0,,(F207-E207)/E207)</f>
        <v>0.25002139641196586</v>
      </c>
      <c r="J207" s="717">
        <f>+IF((F207)=0,,(G207-F207)/F207)</f>
        <v>0.69012583170390518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673" t="s">
        <v>190</v>
      </c>
      <c r="B209" s="779">
        <f>+C209/$C$21</f>
        <v>-4.5510050293081278E-2</v>
      </c>
      <c r="C209" s="674">
        <f>+C205-C207</f>
        <v>-14551.767585534282</v>
      </c>
      <c r="D209" s="675">
        <f>+D205-D207</f>
        <v>-17693.23778755825</v>
      </c>
      <c r="E209" s="674">
        <f>+E205-E207</f>
        <v>-4405.4656349924489</v>
      </c>
      <c r="F209" s="778">
        <f>+F205-F207</f>
        <v>-12414.633900907071</v>
      </c>
      <c r="G209" s="675">
        <f>+G205-G207</f>
        <v>5736.2592711810294</v>
      </c>
      <c r="H209" s="707">
        <f>+G209/$G$21</f>
        <v>1.1092191005696708E-2</v>
      </c>
      <c r="I209" s="676">
        <f>+IF((E209)=0,,(F209-E209)/E209)</f>
        <v>1.818007205026887</v>
      </c>
      <c r="J209" s="677">
        <f>+IF((F209)=0,,(G209-F209)/F209)</f>
        <v>-1.4620562569116042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690" t="s">
        <v>191</v>
      </c>
      <c r="B211" s="693">
        <f>+C211/$C$21</f>
        <v>2.0438136990925865E-2</v>
      </c>
      <c r="C211" s="691">
        <f>+[2]Amiens!$C211</f>
        <v>6535.0624193548392</v>
      </c>
      <c r="D211" s="692">
        <f>+[2]Amiens!$H211</f>
        <v>9026.0372215405096</v>
      </c>
      <c r="E211" s="691">
        <f>+[1]Amiens!$G211</f>
        <v>8095.0860719999991</v>
      </c>
      <c r="F211" s="979">
        <f>+Repart!I32</f>
        <v>8997.9607634408567</v>
      </c>
      <c r="G211" s="1054">
        <f>+Repart!O32</f>
        <v>9644.6846793104778</v>
      </c>
      <c r="H211" s="1054"/>
      <c r="I211" s="693">
        <f t="shared" ref="I211:J213" si="24">+IF((E211)=0,,(F211-E211)/E211)</f>
        <v>0.11153367405984731</v>
      </c>
      <c r="J211" s="694">
        <f t="shared" si="24"/>
        <v>7.1874498330476308E-2</v>
      </c>
      <c r="L211" s="17">
        <f t="shared" si="23"/>
        <v>1</v>
      </c>
    </row>
    <row r="212" spans="1:12">
      <c r="A212" s="690" t="s">
        <v>192</v>
      </c>
      <c r="B212" s="693">
        <f>+C212/$C$21</f>
        <v>3.8774542145346091E-2</v>
      </c>
      <c r="C212" s="691">
        <f>+[2]Amiens!$C212</f>
        <v>12398.099362688667</v>
      </c>
      <c r="D212" s="692">
        <f>+[2]Amiens!$H212</f>
        <v>20196.569530900546</v>
      </c>
      <c r="E212" s="691">
        <f>+[1]Amiens!$G212</f>
        <v>14220.060605349305</v>
      </c>
      <c r="F212" s="979">
        <f>+Repart!J32</f>
        <v>17574.071092746814</v>
      </c>
      <c r="G212" s="1054">
        <f>+Repart!P32</f>
        <v>21090.52121257714</v>
      </c>
      <c r="H212" s="1054"/>
      <c r="I212" s="693">
        <f t="shared" si="24"/>
        <v>0.23586471116274965</v>
      </c>
      <c r="J212" s="694">
        <f t="shared" si="24"/>
        <v>0.20009308607392845</v>
      </c>
      <c r="L212" s="17">
        <f t="shared" si="23"/>
        <v>1</v>
      </c>
    </row>
    <row r="213" spans="1:12">
      <c r="A213" s="690" t="s">
        <v>193</v>
      </c>
      <c r="B213" s="693"/>
      <c r="C213" s="691">
        <f>+[2]Amiens!$C213</f>
        <v>-3858.44</v>
      </c>
      <c r="D213" s="692">
        <f>+[2]Amiens!$H213</f>
        <v>-6023.4000000000005</v>
      </c>
      <c r="E213" s="691">
        <f>+[1]Amiens!$G213</f>
        <v>-4772.08</v>
      </c>
      <c r="F213" s="979">
        <f>+C213+C213/9*(12-Clients!$I$14)</f>
        <v>-5144.586666666667</v>
      </c>
      <c r="G213" s="1054">
        <f>+G253*-4%</f>
        <v>-5622.3888287039999</v>
      </c>
      <c r="H213" s="1054"/>
      <c r="I213" s="693">
        <f t="shared" si="24"/>
        <v>7.8059602241929538E-2</v>
      </c>
      <c r="J213" s="694">
        <f t="shared" si="24"/>
        <v>9.2874742519774733E-2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721" t="s">
        <v>194</v>
      </c>
      <c r="B215" s="794">
        <f>+C215/$C$21</f>
        <v>4.7145567878434387E-2</v>
      </c>
      <c r="C215" s="722">
        <f>SUM(C210:C213)</f>
        <v>15074.721782043505</v>
      </c>
      <c r="D215" s="723">
        <f>SUM(D210:D213)</f>
        <v>23199.206752441052</v>
      </c>
      <c r="E215" s="722">
        <f>SUM(E210:E213)</f>
        <v>17543.066677349307</v>
      </c>
      <c r="F215" s="786">
        <f>SUM(F210:F213)</f>
        <v>21427.445189521004</v>
      </c>
      <c r="G215" s="723">
        <f>SUM(G210:G213)</f>
        <v>25112.817063183618</v>
      </c>
      <c r="H215" s="966">
        <f>+G215/$G$21</f>
        <v>4.8560595047615528E-2</v>
      </c>
      <c r="I215" s="716">
        <f>+IF((E215)=0,,(F215-E215)/E215)</f>
        <v>0.22141958322412378</v>
      </c>
      <c r="J215" s="717">
        <f>+IF((F215)=0,,(G215-F215)/F215)</f>
        <v>0.17199306035163392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673" t="s">
        <v>86</v>
      </c>
      <c r="B217" s="779">
        <f>+C217/$C$21</f>
        <v>-9.2655618171515658E-2</v>
      </c>
      <c r="C217" s="674">
        <f>+C209-C215</f>
        <v>-29626.489367577786</v>
      </c>
      <c r="D217" s="675">
        <f>+D209-D215</f>
        <v>-40892.444539999298</v>
      </c>
      <c r="E217" s="674">
        <f>+E209-E215</f>
        <v>-21948.532312341755</v>
      </c>
      <c r="F217" s="778">
        <f>+F209-F215</f>
        <v>-33842.079090428073</v>
      </c>
      <c r="G217" s="675">
        <f>+G209-G215</f>
        <v>-19376.55779200259</v>
      </c>
      <c r="H217" s="707">
        <f>+G217/$G$21</f>
        <v>-3.7468404041918819E-2</v>
      </c>
      <c r="I217" s="676">
        <f>+IF((E217)=0,,(F217-E217)/E217)</f>
        <v>0.54188346668622234</v>
      </c>
      <c r="J217" s="677">
        <f>+IF((F217)=0,,(G217-F217)/F217)</f>
        <v>-0.42744186194272343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-29626.489367577782</v>
      </c>
      <c r="D218" s="117">
        <f>+[2]Amiens!$H$217</f>
        <v>-40892.444539999298</v>
      </c>
      <c r="E218" s="17">
        <f>+[1]Amiens!$G$217</f>
        <v>-21948.532312341755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152.15111772934563</v>
      </c>
      <c r="F219" s="58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+B220/(C21*1.196)*Clients!K25</f>
        <v>123.26819235570895</v>
      </c>
      <c r="F220" s="58"/>
      <c r="L220" s="17">
        <v>0</v>
      </c>
    </row>
    <row r="221" spans="1:12" hidden="1">
      <c r="F221" s="58"/>
      <c r="L221" s="17">
        <f t="shared" si="23"/>
        <v>0</v>
      </c>
    </row>
    <row r="222" spans="1:12">
      <c r="A222" s="725" t="s">
        <v>67</v>
      </c>
      <c r="B222" s="726"/>
      <c r="C222" s="726">
        <f>+(C215+C207+C203)/C60/Clients!$I$13*12</f>
        <v>515511.21789192595</v>
      </c>
      <c r="D222" s="726">
        <f>+(D215+D207+D203)/D60</f>
        <v>638696.05707304087</v>
      </c>
      <c r="E222" s="726">
        <f>+(E215+E207+E203)/E60/Clients!$I$13*12</f>
        <v>598399.42573838495</v>
      </c>
      <c r="F222" s="790">
        <f>+(F215+F207+F203)/F60</f>
        <v>505867.4827905561</v>
      </c>
      <c r="G222" s="726">
        <f>+(G215+G207+G203)/G60</f>
        <v>553952.44279983162</v>
      </c>
      <c r="H222" s="726"/>
      <c r="I222" s="726"/>
      <c r="J222" s="726"/>
      <c r="L222" s="17">
        <f t="shared" si="23"/>
        <v>1</v>
      </c>
    </row>
    <row r="223" spans="1:12">
      <c r="A223" s="725" t="s">
        <v>66</v>
      </c>
      <c r="B223" s="726"/>
      <c r="C223" s="726">
        <f>+(C215+C207+C203)/C60/Clients!$I$13</f>
        <v>42959.268157660495</v>
      </c>
      <c r="D223" s="726">
        <f>+(D215+D207+D203)/D60/12</f>
        <v>53224.671422753403</v>
      </c>
      <c r="E223" s="726">
        <f>+(E215+E207+E203)/E60/Clients!$I$13</f>
        <v>49866.618811532084</v>
      </c>
      <c r="F223" s="790">
        <f>+(F215+F207+F203)/F60/9</f>
        <v>56207.498087839565</v>
      </c>
      <c r="G223" s="726">
        <f>+(G215+G207+G203)/G60/12</f>
        <v>46162.703566652635</v>
      </c>
      <c r="H223" s="726"/>
      <c r="I223" s="726"/>
      <c r="J223" s="726"/>
      <c r="L223" s="17">
        <f t="shared" si="23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328657.53000000003</v>
      </c>
      <c r="D225" s="17"/>
      <c r="F225" s="58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+C44-C38-C40+C103+C116+C129+C154+C156+C158+C160+C161+C162+C163+C165+C185+C213-C137</f>
        <v>368104.27</v>
      </c>
      <c r="D226" s="17"/>
      <c r="F226" s="58"/>
      <c r="L226" s="17">
        <v>0</v>
      </c>
    </row>
    <row r="227" spans="1:12" ht="10.5" hidden="1" customHeight="1">
      <c r="F227" s="58"/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AMIENS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688"/>
      <c r="B231" s="1063"/>
      <c r="C231" s="687">
        <v>2009</v>
      </c>
      <c r="D231" s="688">
        <v>2009</v>
      </c>
      <c r="E231" s="687">
        <v>2008</v>
      </c>
      <c r="F231" s="688">
        <v>2009</v>
      </c>
      <c r="G231" s="688">
        <v>2010</v>
      </c>
      <c r="H231" s="688"/>
      <c r="I231" s="689" t="s">
        <v>196</v>
      </c>
      <c r="J231" s="689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713" t="s">
        <v>223</v>
      </c>
      <c r="B233" s="775"/>
      <c r="C233" s="714">
        <f t="shared" ref="C233:J233" si="25">+C51</f>
        <v>312567.19</v>
      </c>
      <c r="D233" s="714">
        <f t="shared" si="25"/>
        <v>525174</v>
      </c>
      <c r="E233" s="714">
        <f t="shared" si="25"/>
        <v>393118.24</v>
      </c>
      <c r="F233" s="773">
        <f t="shared" si="25"/>
        <v>421262.28506448591</v>
      </c>
      <c r="G233" s="714">
        <f t="shared" si="25"/>
        <v>503985.93199999997</v>
      </c>
      <c r="H233" s="714"/>
      <c r="I233" s="716">
        <f>+I51</f>
        <v>7.1591806741111583E-2</v>
      </c>
      <c r="J233" s="716">
        <f t="shared" si="25"/>
        <v>0.19637088310160711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673" t="s">
        <v>295</v>
      </c>
      <c r="B235" s="1053"/>
      <c r="C235" s="706">
        <f>+C60</f>
        <v>0.4</v>
      </c>
      <c r="D235" s="706">
        <f>+D60</f>
        <v>0.36021585226991437</v>
      </c>
      <c r="E235" s="706">
        <f>+E60</f>
        <v>0.39418118401221985</v>
      </c>
      <c r="F235" s="765">
        <f>+F60</f>
        <v>0.4</v>
      </c>
      <c r="G235" s="706">
        <f>+G60</f>
        <v>0.38779089197614919</v>
      </c>
      <c r="H235" s="706"/>
      <c r="I235" s="706"/>
      <c r="J235" s="706"/>
      <c r="L235" s="17">
        <f t="shared" si="23"/>
        <v>1</v>
      </c>
    </row>
    <row r="236" spans="1:12" s="33" customFormat="1" ht="15" customHeight="1">
      <c r="A236" s="673" t="s">
        <v>296</v>
      </c>
      <c r="B236" s="1053"/>
      <c r="C236" s="708">
        <f>+C62</f>
        <v>125026.876</v>
      </c>
      <c r="D236" s="708">
        <f>+D62</f>
        <v>189176</v>
      </c>
      <c r="E236" s="708">
        <f>+E62</f>
        <v>154959.81330000001</v>
      </c>
      <c r="F236" s="767">
        <f>+F62</f>
        <v>168504.91402579437</v>
      </c>
      <c r="G236" s="708">
        <f>+G62</f>
        <v>195441.15411371086</v>
      </c>
      <c r="H236" s="708"/>
      <c r="I236" s="676">
        <f>+IF((E236)=0,,(F236-E236)/E236)</f>
        <v>8.7410409430290381E-2</v>
      </c>
      <c r="J236" s="677">
        <f>+IF((F236)=0,,(G236-F236)/F236)</f>
        <v>0.15985432973066382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730" t="s">
        <v>122</v>
      </c>
      <c r="B238" s="793"/>
      <c r="C238" s="731">
        <f>+C103</f>
        <v>54196.26</v>
      </c>
      <c r="D238" s="731">
        <f>+D103</f>
        <v>74595.924038693876</v>
      </c>
      <c r="E238" s="731">
        <f>+E103</f>
        <v>73566.650000000009</v>
      </c>
      <c r="F238" s="792">
        <f>+F103</f>
        <v>70932.58</v>
      </c>
      <c r="G238" s="731">
        <f>+G103</f>
        <v>73914.928255927924</v>
      </c>
      <c r="H238" s="731"/>
      <c r="I238" s="732">
        <f t="shared" ref="I238:J243" si="26">+IF((E238)=0,,(F238-E238)/E238)</f>
        <v>-3.5805218804988492E-2</v>
      </c>
      <c r="J238" s="732">
        <f t="shared" si="26"/>
        <v>4.2044829835992455E-2</v>
      </c>
      <c r="L238" s="17">
        <f t="shared" si="23"/>
        <v>1</v>
      </c>
    </row>
    <row r="239" spans="1:12" s="298" customFormat="1" ht="15" customHeight="1">
      <c r="A239" s="730" t="s">
        <v>133</v>
      </c>
      <c r="B239" s="793"/>
      <c r="C239" s="731">
        <f>+C116</f>
        <v>16400.18</v>
      </c>
      <c r="D239" s="731">
        <f>+D116</f>
        <v>17658.629099999998</v>
      </c>
      <c r="E239" s="731">
        <f>+E116</f>
        <v>15043.1</v>
      </c>
      <c r="F239" s="792">
        <f>+F116</f>
        <v>21991.373333333333</v>
      </c>
      <c r="G239" s="731">
        <f>+G116</f>
        <v>20281.428666666667</v>
      </c>
      <c r="H239" s="731"/>
      <c r="I239" s="732">
        <f t="shared" si="26"/>
        <v>0.46189105525678431</v>
      </c>
      <c r="J239" s="732">
        <f t="shared" si="26"/>
        <v>-7.7755247057482518E-2</v>
      </c>
      <c r="L239" s="17">
        <f t="shared" si="23"/>
        <v>1</v>
      </c>
    </row>
    <row r="240" spans="1:12" s="298" customFormat="1" ht="15" customHeight="1">
      <c r="A240" s="730" t="s">
        <v>147</v>
      </c>
      <c r="B240" s="793"/>
      <c r="C240" s="731">
        <f>+C129</f>
        <v>9614.73</v>
      </c>
      <c r="D240" s="731">
        <f>+D129</f>
        <v>11242.028331492544</v>
      </c>
      <c r="E240" s="731">
        <f>+E129</f>
        <v>8897.43</v>
      </c>
      <c r="F240" s="792">
        <f>+F129</f>
        <v>10406.32</v>
      </c>
      <c r="G240" s="731">
        <f>+G129</f>
        <v>9389.888891200002</v>
      </c>
      <c r="H240" s="731"/>
      <c r="I240" s="732">
        <f t="shared" si="26"/>
        <v>0.16958717292521541</v>
      </c>
      <c r="J240" s="732">
        <f t="shared" si="26"/>
        <v>-9.7674404477278973E-2</v>
      </c>
      <c r="L240" s="17">
        <f t="shared" si="23"/>
        <v>1</v>
      </c>
    </row>
    <row r="241" spans="1:12" s="298" customFormat="1" ht="15" customHeight="1">
      <c r="A241" s="730" t="s">
        <v>164</v>
      </c>
      <c r="B241" s="793"/>
      <c r="C241" s="731">
        <f>+C154</f>
        <v>50596.329999999994</v>
      </c>
      <c r="D241" s="731">
        <f>+D154</f>
        <v>86201.192366229312</v>
      </c>
      <c r="E241" s="731">
        <f>+E154</f>
        <v>52765.419119999999</v>
      </c>
      <c r="F241" s="792">
        <f>+F154</f>
        <v>67461.773333333345</v>
      </c>
      <c r="G241" s="731">
        <f>+G154</f>
        <v>72246.119598052552</v>
      </c>
      <c r="H241" s="731"/>
      <c r="I241" s="732">
        <f t="shared" si="26"/>
        <v>0.27852245767082134</v>
      </c>
      <c r="J241" s="732">
        <f t="shared" si="26"/>
        <v>7.091936704775631E-2</v>
      </c>
      <c r="L241" s="17">
        <f t="shared" si="23"/>
        <v>1</v>
      </c>
    </row>
    <row r="242" spans="1:12" s="298" customFormat="1" ht="15" customHeight="1">
      <c r="A242" s="730" t="s">
        <v>74</v>
      </c>
      <c r="B242" s="793"/>
      <c r="C242" s="731">
        <f>+C168</f>
        <v>7059.9300000000012</v>
      </c>
      <c r="D242" s="731">
        <f>+D168</f>
        <v>7562.3102491194004</v>
      </c>
      <c r="E242" s="731">
        <f>+E168</f>
        <v>6259.5999999999995</v>
      </c>
      <c r="F242" s="792">
        <f>+F168</f>
        <v>9413.24</v>
      </c>
      <c r="G242" s="731">
        <f>+G168</f>
        <v>7413.5845636248014</v>
      </c>
      <c r="H242" s="731"/>
      <c r="I242" s="732">
        <f t="shared" si="26"/>
        <v>0.50380855006709702</v>
      </c>
      <c r="J242" s="732">
        <f t="shared" si="26"/>
        <v>-0.21243009169799118</v>
      </c>
      <c r="L242" s="17">
        <f t="shared" si="23"/>
        <v>1</v>
      </c>
    </row>
    <row r="243" spans="1:12" s="298" customFormat="1" ht="15" customHeight="1">
      <c r="A243" s="730" t="s">
        <v>369</v>
      </c>
      <c r="B243" s="793"/>
      <c r="C243" s="731">
        <f>+C185-C201</f>
        <v>861.58999999999969</v>
      </c>
      <c r="D243" s="731">
        <f>+D185-D201</f>
        <v>6420.5881250000002</v>
      </c>
      <c r="E243" s="731">
        <f>+E185-E201</f>
        <v>1906.5399999999991</v>
      </c>
      <c r="F243" s="792">
        <f>+F185-F201</f>
        <v>-443.93333333333339</v>
      </c>
      <c r="G243" s="731">
        <f>+G185-G201</f>
        <v>4501.4502666666667</v>
      </c>
      <c r="H243" s="731"/>
      <c r="I243" s="732">
        <f t="shared" si="26"/>
        <v>-1.2328476367311116</v>
      </c>
      <c r="J243" s="732">
        <f t="shared" si="26"/>
        <v>-11.139924012614506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713" t="s">
        <v>189</v>
      </c>
      <c r="B245" s="775"/>
      <c r="C245" s="734">
        <f>+C203</f>
        <v>138729.01999999999</v>
      </c>
      <c r="D245" s="734">
        <f>+D203</f>
        <v>203680.67221053515</v>
      </c>
      <c r="E245" s="734">
        <f>+E203</f>
        <v>158438.73912000004</v>
      </c>
      <c r="F245" s="773">
        <f>+F203</f>
        <v>179761.35333333333</v>
      </c>
      <c r="G245" s="734">
        <f>+G203</f>
        <v>187747.4002421386</v>
      </c>
      <c r="H245" s="734"/>
      <c r="I245" s="716">
        <f>+I63</f>
        <v>0</v>
      </c>
      <c r="J245" s="716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673" t="s">
        <v>228</v>
      </c>
      <c r="B247" s="779"/>
      <c r="C247" s="674">
        <f>+C205</f>
        <v>-13702.143999999986</v>
      </c>
      <c r="D247" s="674">
        <f>+D205</f>
        <v>-14504.672210535151</v>
      </c>
      <c r="E247" s="674">
        <f>+E205</f>
        <v>-3478.9258200000331</v>
      </c>
      <c r="F247" s="777">
        <f>+F205</f>
        <v>-11256.439307538967</v>
      </c>
      <c r="G247" s="674">
        <f>+G205</f>
        <v>7693.7538715722621</v>
      </c>
      <c r="H247" s="674"/>
      <c r="I247" s="676">
        <f>+IF((E247)=0,,(F247-E247)/E247)</f>
        <v>2.235607739270181</v>
      </c>
      <c r="J247" s="677">
        <f>+IF((F247)=0,,(G247-F247)/F247)</f>
        <v>-1.6834980104605008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721" t="s">
        <v>370</v>
      </c>
      <c r="B249" s="794"/>
      <c r="C249" s="722">
        <f>+C207+C215</f>
        <v>15924.345367577802</v>
      </c>
      <c r="D249" s="722">
        <f>+D207+D215</f>
        <v>26387.772329464151</v>
      </c>
      <c r="E249" s="722">
        <f>+E207+E215</f>
        <v>18469.606492341722</v>
      </c>
      <c r="F249" s="785">
        <f>+F207+F215</f>
        <v>22585.639782889109</v>
      </c>
      <c r="G249" s="722">
        <f>+G207+G215</f>
        <v>27070.311663574852</v>
      </c>
      <c r="H249" s="722"/>
      <c r="I249" s="716">
        <f>+I67</f>
        <v>-1</v>
      </c>
      <c r="J249" s="716">
        <f>+J67</f>
        <v>0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673" t="s">
        <v>86</v>
      </c>
      <c r="B251" s="779"/>
      <c r="C251" s="674">
        <f>+C217</f>
        <v>-29626.489367577786</v>
      </c>
      <c r="D251" s="674">
        <f>+D217</f>
        <v>-40892.444539999298</v>
      </c>
      <c r="E251" s="674">
        <f>+E217</f>
        <v>-21948.532312341755</v>
      </c>
      <c r="F251" s="777">
        <f>+F217</f>
        <v>-33842.079090428073</v>
      </c>
      <c r="G251" s="674">
        <f>+G217</f>
        <v>-19376.55779200259</v>
      </c>
      <c r="H251" s="674"/>
      <c r="I251" s="676">
        <f>+IF((E251)=0,,(F251-E251)/E251)</f>
        <v>0.54188346668622234</v>
      </c>
      <c r="J251" s="677">
        <f>+IF((F251)=0,,(G251-F251)/F251)</f>
        <v>-0.42744186194272343</v>
      </c>
      <c r="L251" s="17">
        <f t="shared" si="23"/>
        <v>1</v>
      </c>
    </row>
    <row r="252" spans="1:12" hidden="1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730" t="s">
        <v>95</v>
      </c>
      <c r="B253" s="793"/>
      <c r="C253" s="731">
        <f>+C28</f>
        <v>97639.46</v>
      </c>
      <c r="D253" s="731">
        <v>120158</v>
      </c>
      <c r="E253" s="731">
        <f>+E28</f>
        <v>113073.97</v>
      </c>
      <c r="F253" s="792"/>
      <c r="G253" s="1064">
        <f>+G28</f>
        <v>140559.72071759999</v>
      </c>
      <c r="H253" s="1064"/>
      <c r="I253" s="732"/>
      <c r="J253" s="732"/>
      <c r="L253" s="17">
        <v>1</v>
      </c>
    </row>
    <row r="254" spans="1:12" s="298" customFormat="1" ht="15" customHeight="1">
      <c r="A254" s="730" t="s">
        <v>371</v>
      </c>
      <c r="B254" s="793"/>
      <c r="C254" s="731">
        <f>+C222</f>
        <v>515511.21789192595</v>
      </c>
      <c r="D254" s="731">
        <f>+D222</f>
        <v>638696.05707304087</v>
      </c>
      <c r="E254" s="731">
        <f>+E222</f>
        <v>598399.42573838495</v>
      </c>
      <c r="F254" s="792">
        <f>+F222</f>
        <v>505867.4827905561</v>
      </c>
      <c r="G254" s="731">
        <f>+G222</f>
        <v>553952.44279983162</v>
      </c>
      <c r="H254" s="731"/>
      <c r="I254" s="732"/>
      <c r="J254" s="732"/>
      <c r="L254" s="17">
        <v>1</v>
      </c>
    </row>
    <row r="255" spans="1:12" s="298" customFormat="1" ht="15" customHeight="1">
      <c r="A255" s="730" t="s">
        <v>372</v>
      </c>
      <c r="B255" s="793"/>
      <c r="C255" s="731"/>
      <c r="D255" s="731">
        <v>6000</v>
      </c>
      <c r="E255" s="731"/>
      <c r="F255" s="792"/>
      <c r="G255" s="1064">
        <v>1500</v>
      </c>
      <c r="H255" s="1064"/>
      <c r="I255" s="732"/>
      <c r="J255" s="732"/>
      <c r="L255" s="17">
        <v>1</v>
      </c>
    </row>
    <row r="256" spans="1:12" hidden="1">
      <c r="F256" s="2"/>
      <c r="G256" s="2"/>
      <c r="H256" s="2"/>
      <c r="I256" s="24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39370078740157483" right="0.39370078740157483" top="0.24" bottom="0.21" header="0.02" footer="0.05"/>
  <pageSetup paperSize="9" scale="71" fitToHeight="2" orientation="landscape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 filterMode="1" enableFormatConditionsCalculation="0">
    <tabColor indexed="47"/>
    <pageSetUpPr fitToPage="1"/>
  </sheetPr>
  <dimension ref="A1:L256"/>
  <sheetViews>
    <sheetView workbookViewId="0">
      <pane xSplit="2" ySplit="6" topLeftCell="C93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11.42578125" style="66" bestFit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211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31361.773057338985</v>
      </c>
      <c r="F5" s="215">
        <f>F217</f>
        <v>-4652.9136663617865</v>
      </c>
      <c r="G5" s="568">
        <f>G217</f>
        <v>15510.134784348655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-IF(ISNA(VLOOKUP("CAM707130000",Balance!C:G,5,FALSE))=TRUE,0,VLOOKUP("CAM707130000",Balance!C:G,5,FALSE))</f>
        <v>448994.4</v>
      </c>
      <c r="D8" s="592">
        <f>+[2]Cambrai!$H8</f>
        <v>709010</v>
      </c>
      <c r="E8" s="311">
        <f>-IF(ISNA(VLOOKUP("CAM707130000",Balanceanp!C:G,5,FALSE))=TRUE,0,VLOOKUP("CAM707130000",Balanceanp!C:G,5,FALSE))</f>
        <v>401239.4</v>
      </c>
      <c r="F8" s="625">
        <f>+CA!G76</f>
        <v>576690.76501819154</v>
      </c>
      <c r="G8" s="594">
        <v>670405</v>
      </c>
      <c r="H8" s="594"/>
      <c r="I8" s="591">
        <f>+IF((E8)=0,,(F8-E8)/E8)</f>
        <v>0.43727352054207913</v>
      </c>
      <c r="J8" s="595">
        <f>+IF((F8)=0,,(G8-F8)/F8)</f>
        <v>0.16250344320816767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-IF(ISNA(VLOOKUP("CAM707131000",Balance!C:G,5,FALSE))=TRUE,0,VLOOKUP("CAM707131000",Balance!C:G,5,FALSE))</f>
        <v>0</v>
      </c>
      <c r="D9" s="117">
        <f>+[2]Cambrai!$H9</f>
        <v>0</v>
      </c>
      <c r="E9" s="160">
        <f>-IF(ISNA(VLOOKUP("CAM707131000",Balanceanp!C:G,5,FALSE))=TRUE,0,VLOOKUP("CAM707131000",Balanceanp!C:G,5,FALSE))</f>
        <v>281868.09999999998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-IF(ISNA(VLOOKUP("CAM707300000",Balance!C:G,5,FALSE))=TRUE,0,VLOOKUP("CAM707300000",Balance!C:G,5,FALSE))</f>
        <v>0</v>
      </c>
      <c r="D10" s="117">
        <f>+[2]Cambrai!$H10</f>
        <v>0</v>
      </c>
      <c r="E10" s="160">
        <f>-IF(ISNA(VLOOKUP("CAM707300000",Balanceanp!C:G,5,FALSE))=TRUE,0,VLOOKUP("CAM707300000",Balanceanp!C:G,5,FALSE))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-IF(ISNA(VLOOKUP("CAM707110000",Balance!C:G,5,FALSE))=TRUE,0,VLOOKUP("CAM707110000",Balance!C:G,5,FALSE))</f>
        <v>0</v>
      </c>
      <c r="D11" s="117">
        <f>+[2]Cambrai!$H11</f>
        <v>0</v>
      </c>
      <c r="E11" s="160">
        <f>-IF(ISNA(VLOOKUP("CAM707110000",Balanceanp!C:G,5,FALSE))=TRUE,0,VLOOKUP("CAM707110000",Balanceanp!C:G,5,FALSE))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-IF(ISNA(VLOOKUP("CAM707120000",Balance!C:G,5,FALSE))=TRUE,0,VLOOKUP("CAM707120000",Balance!C:G,5,FALSE))</f>
        <v>0</v>
      </c>
      <c r="D12" s="117">
        <f>+[2]Cambrai!$H12</f>
        <v>0</v>
      </c>
      <c r="E12" s="160">
        <f>-IF(ISNA(VLOOKUP("CAM707120000",Balanceanp!C:G,5,FALSE))=TRUE,0,VLOOKUP("CAM707120000",Balanceanp!C:G,5,FALSE))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-IF(ISNA(VLOOKUP("CAM707230000",Balance!C:G,5,FALSE))=TRUE,0,VLOOKUP("CAM707230000",Balance!C:G,5,FALSE))</f>
        <v>0</v>
      </c>
      <c r="D13" s="117">
        <f>+[2]Cambrai!$H13</f>
        <v>0</v>
      </c>
      <c r="E13" s="160">
        <f>-IF(ISNA(VLOOKUP("CAM707230000",Balanceanp!C:G,5,FALSE))=TRUE,0,VLOOKUP("CAM707230000",Balanceanp!C:G,5,FALSE))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-IF(ISNA(VLOOKUP("CAM708820000",Balance!C:G,5,FALSE))=TRUE,0,VLOOKUP("CAM708820000",Balance!C:G,5,FALSE))</f>
        <v>13.5</v>
      </c>
      <c r="D14" s="117">
        <f>+[2]Cambrai!$H14</f>
        <v>0</v>
      </c>
      <c r="E14" s="160">
        <f>-IF(ISNA(VLOOKUP("CAM708820000",Balanceanp!C:G,5,FALSE))=TRUE,0,VLOOKUP("CAM708820000",Balanceanp!C:G,5,FALSE))</f>
        <v>0</v>
      </c>
      <c r="F14" s="368">
        <f t="shared" si="3"/>
        <v>13.5</v>
      </c>
      <c r="G14" s="395">
        <f t="shared" si="1"/>
        <v>13.905000000000001</v>
      </c>
      <c r="H14" s="401"/>
      <c r="I14" s="149">
        <f t="shared" si="2"/>
        <v>0</v>
      </c>
      <c r="J14" s="271">
        <f t="shared" si="2"/>
        <v>3.0000000000000086E-2</v>
      </c>
      <c r="L14" s="17">
        <v>0</v>
      </c>
    </row>
    <row r="15" spans="1:12" hidden="1">
      <c r="A15" s="5" t="s">
        <v>270</v>
      </c>
      <c r="B15" s="92"/>
      <c r="C15" s="160">
        <f>-IF(ISNA(VLOOKUP("CAM708500000",Balance!C:G,5,FALSE))=TRUE,0,VLOOKUP("CAM708500000",Balance!C:G,5,FALSE))</f>
        <v>1428</v>
      </c>
      <c r="D15" s="117">
        <f>+[2]Cambrai!$H15</f>
        <v>0</v>
      </c>
      <c r="E15" s="160">
        <f>-IF(ISNA(VLOOKUP("CAM708500000",Balanceanp!C:G,5,FALSE))=TRUE,0,VLOOKUP("CAM708500000",Balanceanp!C:G,5,FALSE))</f>
        <v>2202</v>
      </c>
      <c r="F15" s="368">
        <f t="shared" si="3"/>
        <v>1428</v>
      </c>
      <c r="G15" s="395">
        <v>0</v>
      </c>
      <c r="H15" s="401"/>
      <c r="I15" s="149">
        <f t="shared" si="2"/>
        <v>-0.35149863760217986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IF(ISNA(VLOOKUP("CAM706000000",Balance!C:G,5,FALSE))=TRUE,0,-VLOOKUP("CAM706000000",Balance!C:G,5,FALSE))+IF(ISNA(VLOOKUP("CAM706010000",Balance!C:G,5,FALSE))=TRUE,0,-VLOOKUP("CAM706010000",Balance!C:G,5,FALSE))</f>
        <v>0</v>
      </c>
      <c r="D16" s="117">
        <f>+[2]Cambrai!$H16</f>
        <v>0</v>
      </c>
      <c r="E16" s="160">
        <f>IF(ISNA(VLOOKUP("CAM706000000",Balanceanp!C:G,5,FALSE))=TRUE,0,-VLOOKUP("CAM706000000",Balanceanp!C:G,5,FALSE))+IF(ISNA(VLOOKUP("CAM706010000",Balanceanp!C:G,5,FALSE))=TRUE,0,-VLOOKUP("CAM706010000",Balanceanp!C:G,5,FALSE))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IF(ISNA(VLOOKUP("CAM707500000",Balance!C:G,5,FALSE))=TRUE,0,-VLOOKUP("CAM707500000",Balance!C:G,5,FALSE))</f>
        <v>0</v>
      </c>
      <c r="D17" s="117">
        <f>+[2]Cambrai!$H17</f>
        <v>0</v>
      </c>
      <c r="E17" s="160">
        <f>IF(ISNA(VLOOKUP("CAM707500000",Balanceanp!C:G,5,FALSE))=TRUE,0,-VLOOKUP("CAM707500000",Balanceanp!C:G,5,FALSE))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IF(ISNA(VLOOKUP("CAM707510000",Balance!C:G,5,FALSE))=TRUE,0,-VLOOKUP("CAM707510000",Balance!C:G,5,FALSE))</f>
        <v>0</v>
      </c>
      <c r="D18" s="117">
        <f>+[2]Cambrai!$H18</f>
        <v>0</v>
      </c>
      <c r="E18" s="160">
        <f>IF(ISNA(VLOOKUP("CAM707510000",Balanceanp!C:G,5,FALSE))=TRUE,0,-VLOOKUP("CAM707510000",Balanceanp!C:G,5,FALSE))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IF(ISNA(VLOOKUP("CAM708300000",Balance!C:G,5,FALSE))=TRUE,0,-VLOOKUP("CAM708300000",Balance!C:G,5,FALSE))</f>
        <v>0</v>
      </c>
      <c r="D19" s="117">
        <f>+[2]Cambrai!$H19</f>
        <v>0</v>
      </c>
      <c r="E19" s="160">
        <f>IF(ISNA(VLOOKUP("CAM708300000",Balanceanp!C:G,5,FALSE))=TRUE,0,-VLOOKUP("CAM708300000",Balanceanp!C:G,5,FALSE))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450435.9</v>
      </c>
      <c r="D21" s="312">
        <f>SUM(D7:D20)</f>
        <v>709010</v>
      </c>
      <c r="E21" s="305">
        <f>SUM(E7:E20)</f>
        <v>685309.5</v>
      </c>
      <c r="F21" s="312">
        <f>SUM(F7:F20)</f>
        <v>578132.26501819154</v>
      </c>
      <c r="G21" s="312">
        <f>SUM(G7:G20)</f>
        <v>670418.90500000003</v>
      </c>
      <c r="H21" s="312"/>
      <c r="I21" s="598">
        <f>+IF((E21)=0,,(F21-E21)/E21)</f>
        <v>-0.15639245476942676</v>
      </c>
      <c r="J21" s="599">
        <f>+IF((F21)=0,,(G21-F21)/F21)</f>
        <v>0.15962893885347257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90" t="s">
        <v>92</v>
      </c>
      <c r="B23" s="591"/>
      <c r="C23" s="311">
        <f>IF(ISNA(VLOOKUP("CAM602650000",Balance!C:G,5,FALSE))=TRUE,0,VLOOKUP("CAM602650000",Balance!C:G,5,FALSE))</f>
        <v>116.86</v>
      </c>
      <c r="D23" s="600"/>
      <c r="E23" s="311">
        <f>IF(ISNA(VLOOKUP("CAM602650000",Balanceanp!C:G,5,FALSE))=TRUE,0,VLOOKUP("CAM602650000",Balanceanp!C:G,5,FALSE))</f>
        <v>53.57</v>
      </c>
      <c r="F23" s="600"/>
      <c r="G23" s="600"/>
      <c r="H23" s="600"/>
      <c r="I23" s="591"/>
      <c r="J23" s="595"/>
      <c r="L23" s="17">
        <f t="shared" si="0"/>
        <v>1</v>
      </c>
    </row>
    <row r="24" spans="1:12">
      <c r="A24" s="590" t="s">
        <v>93</v>
      </c>
      <c r="B24" s="591"/>
      <c r="C24" s="311">
        <f>IF(ISNA(VLOOKUP("cam607100000",Balance!C:G,5,FALSE))=TRUE,0,VLOOKUP("cam607100000",Balance!C:G,5,FALSE))</f>
        <v>118708.25</v>
      </c>
      <c r="D24" s="600"/>
      <c r="E24" s="311">
        <f>IF(ISNA(VLOOKUP("cam607100000",Balanceanp!C:G,5,FALSE))=TRUE,0,VLOOKUP("cam607100000",Balanceanp!C:G,5,FALSE))</f>
        <v>172476.59</v>
      </c>
      <c r="F24" s="600"/>
      <c r="G24" s="602">
        <f>H24*G30</f>
        <v>274972.31388575002</v>
      </c>
      <c r="H24" s="603">
        <f>1-H28</f>
        <v>0.65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IF(ISNA(VLOOKUP("cam607110000",Balance!C:G,5,FALSE))=TRUE,0,VLOOKUP("cam607110000",Balance!C:G,5,FALSE))+IF(ISNA(VLOOKUP("cam607120000",Balance!C:G,5,FALSE))=TRUE,0,VLOOKUP("cam607120000",Balance!C:G,5,FALSE))</f>
        <v>4320.3999999999996</v>
      </c>
      <c r="D25" s="115"/>
      <c r="E25" s="160">
        <f>IF(ISNA(VLOOKUP("cam607110000",Balanceanp!C:G,5,FALSE))=TRUE,0,VLOOKUP("cam607110000",Balanceanp!C:G,5,FALSE))+IF(ISNA(VLOOKUP("cam607120000",Balanceanp!C:G,5,FALSE))=TRUE,0,VLOOKUP("cam607120000",Balanceanp!C:G,5,FALSE))</f>
        <v>4966.8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IF(ISNA(VLOOKUP("cam607130000",Balance!C:G,5,FALSE))=TRUE,0,VLOOKUP("cam607130000",Balance!C:G,5,FALSE))</f>
        <v>62046.44</v>
      </c>
      <c r="D26" s="115"/>
      <c r="E26" s="160">
        <f>IF(ISNA(VLOOKUP("cam607130000",Balanceanp!C:G,5,FALSE))=TRUE,0,VLOOKUP("cam607130000",Balanceanp!C:G,5,FALSE))</f>
        <v>85161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IF(ISNA(VLOOKUP("cam607140000",Balance!C:G,5,FALSE))=TRUE,0,VLOOKUP("cam607140000",Balance!C:G,5,FALSE))</f>
        <v>-33901.769999999997</v>
      </c>
      <c r="D27" s="115"/>
      <c r="E27" s="160">
        <f>IF(ISNA(VLOOKUP("cam607140000",Balanceanp!C:G,5,FALSE))=TRUE,0,VLOOKUP("cam607140000",Balanceanp!C:G,5,FALSE))</f>
        <v>-60449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IF(ISNA(VLOOKUP("CAM607200000",Balance!C:G,5,FALSE))=TRUE,0,VLOOKUP("CAM607200000",Balance!C:G,5,FALSE))</f>
        <v>160052.44</v>
      </c>
      <c r="D28" s="1018">
        <f>C28/C21</f>
        <v>0.35532789460165143</v>
      </c>
      <c r="E28" s="311">
        <f>IF(ISNA(VLOOKUP("CAM607200000",Balanceanp!C:G,5,FALSE))=TRUE,0,VLOOKUP("CAM607200000",Balanceanp!C:G,5,FALSE))</f>
        <v>207770.97</v>
      </c>
      <c r="F28" s="971">
        <f>E28/E21</f>
        <v>0.30317830119092176</v>
      </c>
      <c r="G28" s="602">
        <f>H28*G30</f>
        <v>148062.01516924999</v>
      </c>
      <c r="H28" s="604">
        <v>0.35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IF(ISNA(VLOOKUP("CAM607150000",Balance!C:G,5,FALSE))=TRUE,0,VLOOKUP("CAM607150000",Balance!C:G,5,FALSE))</f>
        <v>0</v>
      </c>
      <c r="D29" s="115"/>
      <c r="E29" s="357">
        <f>IF(ISNA(VLOOKUP("CAM607150000",Balanceanp!C:G,5,FALSE))=TRUE,0,VLOOKUP("CAM607150000",Balanceanp!C:G,5,FALSE))</f>
        <v>0</v>
      </c>
      <c r="F29" s="134"/>
      <c r="G29" s="134"/>
      <c r="H29" s="400"/>
      <c r="I29" s="56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311342.62</v>
      </c>
      <c r="D30" s="402"/>
      <c r="E30" s="306">
        <f>SUM(E23:E29)</f>
        <v>409979.92999999993</v>
      </c>
      <c r="F30" s="607">
        <f>1-(E30/E21)</f>
        <v>0.40175945321055684</v>
      </c>
      <c r="G30" s="402">
        <f>G21*(1-H30)</f>
        <v>423034.32905500004</v>
      </c>
      <c r="H30" s="1155">
        <v>0.36899999999999999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150892.46000000002</v>
      </c>
      <c r="D32" s="403"/>
      <c r="E32" s="307">
        <f>+E21-E30-E38</f>
        <v>268746.68610000005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0.33499208211423648</v>
      </c>
      <c r="D33" s="403"/>
      <c r="E33" s="308">
        <f>+E32/E21</f>
        <v>0.39215374381939844</v>
      </c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IF(ISNA(VLOOKUP("CAM607400000",Balance!C:G,5,FALSE))=TRUE,0,VLOOKUP("CAM607400000",Balance!C:G,5,FALSE))</f>
        <v>4239.57</v>
      </c>
      <c r="D35" s="600"/>
      <c r="E35" s="311">
        <f>IF(ISNA(VLOOKUP("CAM607400000",Balanceanp!C:G,5,FALSE))=TRUE,0,VLOOKUP("CAM607400000",Balanceanp!C:G,5,FALSE))</f>
        <v>6129.14</v>
      </c>
      <c r="F35" s="972">
        <f>E35/E30</f>
        <v>1.4949853764792831E-2</v>
      </c>
      <c r="G35" s="613">
        <f>F35*G30</f>
        <v>6324.3013568595015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IF(ISNA(VLOOKUP("CAM608000000",Balance!C:G,5,FALSE))=TRUE,0,VLOOKUP("CAM608000000",Balance!C:G,5,FALSE))</f>
        <v>2233.56</v>
      </c>
      <c r="D36" s="600"/>
      <c r="E36" s="311">
        <f>IF(ISNA(VLOOKUP("CAM608000000",Balanceanp!C:G,5,FALSE))=TRUE,0,VLOOKUP("CAM608000000",Balanceanp!C:G,5,FALSE))</f>
        <v>1726.02</v>
      </c>
      <c r="F36" s="972">
        <f>E36/E30</f>
        <v>4.2100109632195902E-3</v>
      </c>
      <c r="G36" s="613">
        <f>F36*G30</f>
        <v>1780.9791631397939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IF(ISNA(VLOOKUP("CAM608100000",Balance!C:G,5,FALSE))=TRUE,0,VLOOKUP("CAM608100000",Balance!C:G,5,FALSE))</f>
        <v>0</v>
      </c>
      <c r="D37" s="115"/>
      <c r="E37" s="160">
        <f>IF(ISNA(VLOOKUP("CAM608100000",Balanceanp!C:G,5,FALSE))=TRUE,0,VLOOKUP("CAM608100000",Balanceanp!C:G,5,FALSE))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-11799.179999999993</v>
      </c>
      <c r="D38" s="115"/>
      <c r="E38" s="160">
        <f>+E56-E57</f>
        <v>6582.8839000000007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IF(ISNA(VLOOKUP("CAM681730000",Balance!C:G,5,FALSE))=TRUE,0,VLOOKUP("CAM681730000",Balance!C:G,5,FALSE))</f>
        <v>0</v>
      </c>
      <c r="D39" s="115"/>
      <c r="E39" s="160">
        <f>IF(ISNA(VLOOKUP("CAM681730000",Balanceanp!C:G,5,FALSE))=TRUE,0,VLOOKUP("CAM681730000",Balanceanp!C:G,5,FALSE))</f>
        <v>847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IF(ISNA(VLOOKUP("CAM781730000",Balance!C:G,5,FALSE))=TRUE,0,VLOOKUP("CAM781730000",Balance!C:G,5,FALSE))</f>
        <v>-847</v>
      </c>
      <c r="D40" s="115"/>
      <c r="E40" s="160">
        <f>IF(ISNA(VLOOKUP("CAM781730000",Balanceanp!C:G,5,FALSE))=TRUE,0,VLOOKUP("CAM781730000",Balanceanp!C:G,5,FALSE))</f>
        <v>-1717.58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IF(ISNA(VLOOKUP("cam609110000",Balance!C:G,5,FALSE))=TRUE,0,VLOOKUP("cam609110000",Balance!C:G,5,FALSE))</f>
        <v>-530.61</v>
      </c>
      <c r="D41" s="600"/>
      <c r="E41" s="311">
        <f>IF(ISNA(VLOOKUP("cam609110000",Balanceanp!C:G,5,FALSE))=TRUE,0,VLOOKUP("cam609110000",Balanceanp!C:G,5,FALSE))</f>
        <v>-4847.67</v>
      </c>
      <c r="F41" s="614">
        <f>E41/SUM(E24:E25)</f>
        <v>-2.7319529907538401E-2</v>
      </c>
      <c r="G41" s="615">
        <f>H41*(G24)</f>
        <v>-5499.4462777150002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IF(ISNA(VLOOKUP("cam609120000",Balance!C:G,5,FALSE))=TRUE,0,VLOOKUP("cam609120000",Balance!C:G,5,FALSE))</f>
        <v>-10985.94</v>
      </c>
      <c r="D42" s="600"/>
      <c r="E42" s="311">
        <f>IF(ISNA(VLOOKUP("cam609120000",Balanceanp!C:G,5,FALSE))=TRUE,0,VLOOKUP("cam609120000",Balanceanp!C:G,5,FALSE))</f>
        <v>-14480.08</v>
      </c>
      <c r="F42" s="614">
        <f>E42/E28</f>
        <v>-6.9692508053459057E-2</v>
      </c>
      <c r="G42" s="615">
        <f>H42*G28</f>
        <v>-10364.341061847501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293653.02</v>
      </c>
      <c r="D44" s="404"/>
      <c r="E44" s="305">
        <f>+E30+SUM(E34:E43)</f>
        <v>404219.64389999991</v>
      </c>
      <c r="F44" s="404"/>
      <c r="G44" s="618">
        <f>SUM(G35:G43)+G30</f>
        <v>415275.82223543682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156782.88</v>
      </c>
      <c r="D46" s="120"/>
      <c r="E46" s="166">
        <f>+E21-E44</f>
        <v>281089.85610000009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0.34806923693249137</v>
      </c>
      <c r="D47" s="120"/>
      <c r="E47" s="196">
        <f>+E46/E21</f>
        <v>0.41016483224003181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1.2985754465840755E-2</v>
      </c>
      <c r="C49" s="311">
        <f>IF(ISNA(VLOOKUP("CAM709700000",Balance!C:G,5,FALSE))=TRUE,0,VLOOKUP("CAM709700000",Balance!C:G,5,FALSE))</f>
        <v>5849.25</v>
      </c>
      <c r="D49" s="592">
        <f>+[2]Cambrai!$H49</f>
        <v>7799</v>
      </c>
      <c r="E49" s="311">
        <f>IF(ISNA(VLOOKUP("CAM709700000",Balanceanp!C:G,5,FALSE))=TRUE,0,VLOOKUP("CAM709700000",Balanceanp!C:G,5,FALSE))</f>
        <v>2834.44</v>
      </c>
      <c r="F49" s="592">
        <f>+C49+C49/9*(12-Clients!$I$14)</f>
        <v>7799</v>
      </c>
      <c r="G49" s="620">
        <v>7077</v>
      </c>
      <c r="H49" s="621">
        <f>G49/G21</f>
        <v>1.0556086570977589E-2</v>
      </c>
      <c r="I49" s="591">
        <f>+IF((E49)=0,,(F49-E49)/E49)</f>
        <v>1.7515135264814212</v>
      </c>
      <c r="J49" s="595">
        <f>+IF((F49)=0,,(G49-F49)/F49)</f>
        <v>-9.2575971278369015E-2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444586.65</v>
      </c>
      <c r="D51" s="312">
        <f>+D21-D49</f>
        <v>701211</v>
      </c>
      <c r="E51" s="305">
        <f>+E21-E49</f>
        <v>682475.06</v>
      </c>
      <c r="F51" s="312">
        <f>+F21-F49</f>
        <v>570333.26501819154</v>
      </c>
      <c r="G51" s="312">
        <f>+G21-G49</f>
        <v>663341.90500000003</v>
      </c>
      <c r="H51" s="312"/>
      <c r="I51" s="598">
        <f>+IF((E51)=0,,(F51-E51)/E51)</f>
        <v>-0.16431632678534583</v>
      </c>
      <c r="J51" s="599">
        <f>+IF((F51)=0,,(G51-F51)/F51)</f>
        <v>0.16307770506572478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150933.63</v>
      </c>
      <c r="D53" s="122"/>
      <c r="E53" s="169">
        <f>+E51-E44</f>
        <v>278255.41610000015</v>
      </c>
      <c r="F53" s="140"/>
      <c r="G53" s="140"/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0.33949204277726286</v>
      </c>
      <c r="D54" s="123"/>
      <c r="E54" s="197">
        <f>+E53/E51</f>
        <v>0.40771514214746563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+[2]Cambrai!$C56</f>
        <v>74429.820000000007</v>
      </c>
      <c r="D56" s="115"/>
      <c r="E56" s="160">
        <f>+[1]Cambrai!$G56</f>
        <v>78841.899600000004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+[2]Cambrai!$C57</f>
        <v>86229</v>
      </c>
      <c r="D57" s="115"/>
      <c r="E57" s="160">
        <f>+[1]Cambrai!$G57</f>
        <v>72259.015700000004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15">
        <f>+[2]Cambrai!$C60</f>
        <v>0.36</v>
      </c>
      <c r="D60" s="406">
        <f>+[2]Cambrai!$H60</f>
        <v>0.38544603550143963</v>
      </c>
      <c r="E60" s="15">
        <f>+[1]Cambrai!$G$54</f>
        <v>0.40771514214746563</v>
      </c>
      <c r="F60" s="406">
        <f>+C60</f>
        <v>0.36</v>
      </c>
      <c r="G60" s="406">
        <f>G62/G51</f>
        <v>0.37396413658588806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+[2]Cambrai!$C61</f>
        <v>0.35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160051.19399999999</v>
      </c>
      <c r="D62" s="405">
        <f>D51*D60</f>
        <v>270279</v>
      </c>
      <c r="E62" s="309">
        <f>+E51*E60</f>
        <v>278255.41610000015</v>
      </c>
      <c r="F62" s="405">
        <f>+F51*F60</f>
        <v>205319.97540654894</v>
      </c>
      <c r="G62" s="405">
        <f>G51-G44</f>
        <v>248066.08276456321</v>
      </c>
      <c r="H62" s="405"/>
      <c r="I62" s="15">
        <f>+IF((E62)=0,,(F62-E62)/E62)</f>
        <v>-0.2621168770610362</v>
      </c>
      <c r="J62" s="406">
        <f>+IF((F62)=0,,(G62-F62)/F62)</f>
        <v>0.20819263821444442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IF(ISNA(VLOOKUP("CAM613520000",Balance!C:G,5,FALSE))=TRUE,0,VLOOKUP("CAM613520000",Balance!C:G,5,FALSE))</f>
        <v>3076.85</v>
      </c>
      <c r="D64" s="592">
        <f>+[2]Cambrai!$H64</f>
        <v>3726.0044000000003</v>
      </c>
      <c r="E64" s="311">
        <f>IF(ISNA(VLOOKUP("CAM613520000",Balanceanp!C:G,5,FALSE))=TRUE,0,VLOOKUP("CAM613520000",Balanceanp!C:G,5,FALSE))</f>
        <v>3731.64</v>
      </c>
      <c r="F64" s="625">
        <f>+C64+C64/9*(12-Clients!$I$14)</f>
        <v>4102.4666666666662</v>
      </c>
      <c r="G64" s="594">
        <f>+F64*1.03</f>
        <v>4225.5406666666668</v>
      </c>
      <c r="H64" s="594"/>
      <c r="I64" s="591">
        <f t="shared" ref="I64:J68" si="5">+IF((E64)=0,,(F64-E64)/E64)</f>
        <v>9.9373644474457984E-2</v>
      </c>
      <c r="J64" s="595">
        <f t="shared" si="5"/>
        <v>3.0000000000000131E-2</v>
      </c>
      <c r="L64" s="17">
        <f t="shared" si="0"/>
        <v>1</v>
      </c>
    </row>
    <row r="65" spans="1:12" hidden="1">
      <c r="A65" s="5" t="s">
        <v>314</v>
      </c>
      <c r="B65" s="92"/>
      <c r="C65" s="160">
        <f>IF(ISNA(VLOOKUP("CAM612500000",Balance!C:G,5,FALSE))=TRUE,0,VLOOKUP("CAM612500000",Balance!C:G,5,FALSE))</f>
        <v>0</v>
      </c>
      <c r="D65" s="117">
        <f>+[2]Cambrai!$H65</f>
        <v>0</v>
      </c>
      <c r="E65" s="160">
        <f>IF(ISNA(VLOOKUP("CAM612500000",Balanceanp!C:G,5,FALSE))=TRUE,0,VLOOKUP("CAM612500000",Balanceanp!C:G,5,FALSE))</f>
        <v>0</v>
      </c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IF(ISNA(VLOOKUP("CAM616120000",Balance!C:G,5,FALSE))=TRUE,0,VLOOKUP("CAM616120000",Balance!C:G,5,FALSE))</f>
        <v>1192.6400000000001</v>
      </c>
      <c r="D66" s="592">
        <f>+[2]Cambrai!$H66</f>
        <v>918.98917500000016</v>
      </c>
      <c r="E66" s="311">
        <f>IF(ISNA(VLOOKUP("CAM616120000",Balanceanp!C:G,5,FALSE))=TRUE,0,VLOOKUP("CAM616120000",Balanceanp!C:G,5,FALSE))</f>
        <v>1387.85</v>
      </c>
      <c r="F66" s="625">
        <f>+C66+C66/9*(12-Clients!$I$14)</f>
        <v>1590.186666666667</v>
      </c>
      <c r="G66" s="594">
        <f>+F66*1.03</f>
        <v>1637.892266666667</v>
      </c>
      <c r="H66" s="594"/>
      <c r="I66" s="591">
        <f t="shared" si="5"/>
        <v>0.14579145200610083</v>
      </c>
      <c r="J66" s="595">
        <f t="shared" si="5"/>
        <v>2.9999999999999995E-2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IF(ISNA(VLOOKUP("CAM615520000",Balance!C:G,5,FALSE))=TRUE,0,VLOOKUP("CAM615520000",Balance!C:G,5,FALSE))</f>
        <v>1192.8699999999999</v>
      </c>
      <c r="D67" s="592">
        <f>+[2]Cambrai!$H67</f>
        <v>2981.2526000000003</v>
      </c>
      <c r="E67" s="311">
        <f>IF(ISNA(VLOOKUP("CAM615520000",Balanceanp!C:G,5,FALSE))=TRUE,0,VLOOKUP("CAM615520000",Balanceanp!C:G,5,FALSE))</f>
        <v>2937.9</v>
      </c>
      <c r="F67" s="625">
        <f>+C67+C67/9*(12-Clients!$I$14)</f>
        <v>1590.4933333333331</v>
      </c>
      <c r="G67" s="594">
        <f>+F67*1.03</f>
        <v>1638.2081333333331</v>
      </c>
      <c r="H67" s="594"/>
      <c r="I67" s="591">
        <f t="shared" si="5"/>
        <v>-0.45862917957271077</v>
      </c>
      <c r="J67" s="595">
        <f t="shared" si="5"/>
        <v>2.9999999999999985E-2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IF(ISNA(VLOOKUP("CAM606130000",Balance!C:G,5,FALSE))=TRUE,0,VLOOKUP("CAM606130000",Balance!C:G,5,FALSE))</f>
        <v>2772.26</v>
      </c>
      <c r="D68" s="592">
        <f>+[2]Cambrai!$H68</f>
        <v>2955.7498000000001</v>
      </c>
      <c r="E68" s="311">
        <f>IF(ISNA(VLOOKUP("CAM606130000",Balanceanp!C:G,5,FALSE))=TRUE,0,VLOOKUP("CAM606130000",Balanceanp!C:G,5,FALSE))</f>
        <v>3253.35</v>
      </c>
      <c r="F68" s="625">
        <f>+C68+C68/9*(12-Clients!$I$14)</f>
        <v>3696.3466666666668</v>
      </c>
      <c r="G68" s="625">
        <f>+F68*1.03</f>
        <v>3807.237066666667</v>
      </c>
      <c r="H68" s="625"/>
      <c r="I68" s="591">
        <f t="shared" si="5"/>
        <v>0.13616631062340875</v>
      </c>
      <c r="J68" s="595">
        <f t="shared" si="5"/>
        <v>3.0000000000000061E-2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8234.619999999999</v>
      </c>
      <c r="D70" s="628">
        <f>SUM(D64:D69)</f>
        <v>10581.995975</v>
      </c>
      <c r="E70" s="311">
        <f>SUM(E64:E69)</f>
        <v>11310.74</v>
      </c>
      <c r="F70" s="973">
        <f>SUM(F64:F69)</f>
        <v>10979.493333333334</v>
      </c>
      <c r="G70" s="412">
        <f>SUM(G64:G69)</f>
        <v>11308.878133333334</v>
      </c>
      <c r="H70" s="412"/>
      <c r="I70" s="591">
        <f>+IF((E70)=0,,(F70-E70)/E70)</f>
        <v>-2.9286029620225203E-2</v>
      </c>
      <c r="J70" s="595">
        <f>+IF((F70)=0,,(G70-F70)/F70)</f>
        <v>2.9999999999999982E-2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IF(ISNA(VLOOKUP("cam602220000",Balance!C:G,5,FALSE))=TRUE,0,VLOOKUP("cam602220000",Balance!C:G,5,FALSE))</f>
        <v>14.38</v>
      </c>
      <c r="D72" s="592">
        <f>+[2]Cambrai!$H72</f>
        <v>13.0137100703875</v>
      </c>
      <c r="E72" s="311">
        <f>IF(ISNA(VLOOKUP("cam602220000",Balanceanp!C:G,5,FALSE))=TRUE,0,VLOOKUP("cam602220000",Balanceanp!C:G,5,FALSE))</f>
        <v>0</v>
      </c>
      <c r="F72" s="625">
        <f>+C72+C72/9*(12-Clients!$I$14)</f>
        <v>19.173333333333336</v>
      </c>
      <c r="G72" s="630">
        <f>+F72*1.03</f>
        <v>19.748533333333334</v>
      </c>
      <c r="H72" s="630"/>
      <c r="I72" s="591">
        <f t="shared" ref="I72:J87" si="6">+IF((E72)=0,,(F72-E72)/E72)</f>
        <v>0</v>
      </c>
      <c r="J72" s="595">
        <f t="shared" si="6"/>
        <v>2.9999999999999936E-2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IF(ISNA(VLOOKUP("CAM606100000",Balance!C:G,5,FALSE))=TRUE,0,VLOOKUP("CAM606100000",Balance!C:G,5,FALSE))</f>
        <v>1967.98</v>
      </c>
      <c r="D73" s="592">
        <f>+[2]Cambrai!$H73</f>
        <v>3188.838507736034</v>
      </c>
      <c r="E73" s="311">
        <f>IF(ISNA(VLOOKUP("CAM606100000",Balanceanp!C:G,5,FALSE))=TRUE,0,VLOOKUP("CAM606100000",Balanceanp!C:G,5,FALSE))</f>
        <v>3112.56</v>
      </c>
      <c r="F73" s="625">
        <f>+C73+C73/9*(12-Clients!$I$14)</f>
        <v>2623.9733333333334</v>
      </c>
      <c r="G73" s="630">
        <f t="shared" ref="G73:G101" si="8">+F73*1.03</f>
        <v>2702.6925333333334</v>
      </c>
      <c r="H73" s="630"/>
      <c r="I73" s="591">
        <f t="shared" si="6"/>
        <v>-0.15697260989881853</v>
      </c>
      <c r="J73" s="595">
        <f t="shared" si="6"/>
        <v>0.03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IF(ISNA(VLOOKUP("CAM606110000",Balance!C:G,5,FALSE))=TRUE,0,VLOOKUP("CAM606110000",Balance!C:G,5,FALSE))</f>
        <v>3035.22</v>
      </c>
      <c r="D74" s="592">
        <f>+[2]Cambrai!$H74</f>
        <v>4061.8983658930329</v>
      </c>
      <c r="E74" s="311">
        <f>IF(ISNA(VLOOKUP("CAM606110000",Balanceanp!C:G,5,FALSE))=TRUE,0,VLOOKUP("CAM606110000",Balanceanp!C:G,5,FALSE))</f>
        <v>2861.39</v>
      </c>
      <c r="F74" s="625">
        <f>+C74+C74/9*(12-Clients!$I$14)</f>
        <v>4046.96</v>
      </c>
      <c r="G74" s="630">
        <f t="shared" si="8"/>
        <v>4168.3688000000002</v>
      </c>
      <c r="H74" s="630"/>
      <c r="I74" s="591">
        <f t="shared" si="6"/>
        <v>0.41433359311383638</v>
      </c>
      <c r="J74" s="595">
        <f t="shared" si="6"/>
        <v>3.0000000000000037E-2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IF(ISNA(VLOOKUP("cam606140000",Balance!C:G,5,FALSE))=TRUE,0,VLOOKUP("cam606140000",Balance!C:G,5,FALSE))</f>
        <v>0</v>
      </c>
      <c r="D75" s="117">
        <f>+[2]Cambrai!$H75</f>
        <v>0</v>
      </c>
      <c r="E75" s="160">
        <f>IF(ISNA(VLOOKUP("cam606140000",Balanceanp!C:G,5,FALSE))=TRUE,0,VLOOKUP("cam606140000",Balanceanp!C:G,5,FALSE))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IF(ISNA(VLOOKUP("CAM606310000",Balance!C:G,5,FALSE))=TRUE,0,VLOOKUP("CAM606310000",Balance!C:G,5,FALSE))</f>
        <v>42.45</v>
      </c>
      <c r="D76" s="592">
        <f>+[2]Cambrai!$H76</f>
        <v>346.51390283197918</v>
      </c>
      <c r="E76" s="311">
        <f>IF(ISNA(VLOOKUP("CAM606310000",Balanceanp!C:G,5,FALSE))=TRUE,0,VLOOKUP("CAM606310000",Balanceanp!C:G,5,FALSE))</f>
        <v>330.11</v>
      </c>
      <c r="F76" s="625">
        <f>+C76+C76/9*(12-Clients!$I$14)</f>
        <v>56.6</v>
      </c>
      <c r="G76" s="630">
        <f t="shared" si="8"/>
        <v>58.298000000000002</v>
      </c>
      <c r="H76" s="630"/>
      <c r="I76" s="591">
        <f t="shared" si="6"/>
        <v>-0.82854200115113141</v>
      </c>
      <c r="J76" s="595">
        <f t="shared" si="6"/>
        <v>3.0000000000000006E-2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IF(ISNA(VLOOKUP("CAM606410000",Balance!C:G,5,FALSE))=TRUE,0,VLOOKUP("CAM606410000",Balance!C:G,5,FALSE))</f>
        <v>1017.02</v>
      </c>
      <c r="D77" s="592">
        <f>+[2]Cambrai!$H77</f>
        <v>1301.5477063440339</v>
      </c>
      <c r="E77" s="311">
        <f>IF(ISNA(VLOOKUP("CAM606410000",Balanceanp!C:G,5,FALSE))=TRUE,0,VLOOKUP("CAM606410000",Balanceanp!C:G,5,FALSE))</f>
        <v>1534.17</v>
      </c>
      <c r="F77" s="625">
        <f>+C77+C77/9*(12-Clients!$I$14)</f>
        <v>1356.0266666666666</v>
      </c>
      <c r="G77" s="630">
        <f t="shared" si="8"/>
        <v>1396.7074666666667</v>
      </c>
      <c r="H77" s="630"/>
      <c r="I77" s="591">
        <f t="shared" si="6"/>
        <v>-0.11611707524807122</v>
      </c>
      <c r="J77" s="595">
        <f t="shared" si="6"/>
        <v>3.0000000000000068E-2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IF(ISNA(VLOOKUP("CAM611000000",Balance!C:G,5,FALSE))=TRUE,0,VLOOKUP("CAM611000000",Balance!C:G,5,FALSE))</f>
        <v>0</v>
      </c>
      <c r="D78" s="592">
        <f>+[2]Cambrai!$H78</f>
        <v>7211.8394875257418</v>
      </c>
      <c r="E78" s="311">
        <f>IF(ISNA(VLOOKUP("CAM611000000",Balanceanp!C:G,5,FALSE))=TRUE,0,VLOOKUP("CAM611000000",Balanceanp!C:G,5,FALSE))</f>
        <v>7000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-1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IF(ISNA(VLOOKUP("CAM613200000",Balance!C:G,5,FALSE))=TRUE,0,VLOOKUP("CAM613200000",Balance!C:G,5,FALSE))</f>
        <v>10860.48</v>
      </c>
      <c r="D79" s="592">
        <f>+[2]Cambrai!$H79</f>
        <v>14480.6464</v>
      </c>
      <c r="E79" s="311">
        <f>IF(ISNA(VLOOKUP("CAM613200000",Balanceanp!C:G,5,FALSE))=TRUE,0,VLOOKUP("CAM613200000",Balanceanp!C:G,5,FALSE))</f>
        <v>14058.85</v>
      </c>
      <c r="F79" s="620">
        <f>3514.72*4</f>
        <v>14058.88</v>
      </c>
      <c r="G79" s="620">
        <f>+F79*1.05</f>
        <v>14761.824000000001</v>
      </c>
      <c r="H79" s="974">
        <f>G79/G21</f>
        <v>2.2018806286496349E-2</v>
      </c>
      <c r="I79" s="591">
        <f t="shared" si="6"/>
        <v>2.1338871955270771E-6</v>
      </c>
      <c r="J79" s="595">
        <f t="shared" si="6"/>
        <v>5.00000000000001E-2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IF(ISNA(VLOOKUP("cam614000000",Balance!C:G,5,FALSE))=TRUE,0,VLOOKUP("cam614000000",Balance!C:G,5,FALSE))</f>
        <v>0</v>
      </c>
      <c r="D80" s="117">
        <f>+[2]Cambrai!$H80</f>
        <v>0</v>
      </c>
      <c r="E80" s="160">
        <f>IF(ISNA(VLOOKUP("cam614000000",Balanceanp!C:G,5,FALSE))=TRUE,0,VLOOKUP("cam614000000",Balanceanp!C:G,5,FALSE))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IF(ISNA(VLOOKUP("CAM613510000",Balance!C:G,5,FALSE))=TRUE,0,VLOOKUP("CAM613510000",Balance!C:G,5,FALSE))</f>
        <v>0</v>
      </c>
      <c r="D81" s="117">
        <f>+[2]Cambrai!$H81</f>
        <v>0</v>
      </c>
      <c r="E81" s="160">
        <f>IF(ISNA(VLOOKUP("CAM613510000",Balanceanp!C:G,5,FALSE))=TRUE,0,VLOOKUP("CAM613510000",Balanceanp!C:G,5,FALSE))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IF(ISNA(VLOOKUP("CAM613530000",Balance!C:G,5,FALSE))=TRUE,0,VLOOKUP("CAM613530000",Balance!C:G,5,FALSE))</f>
        <v>135</v>
      </c>
      <c r="D82" s="592">
        <f>+[2]Cambrai!$H82</f>
        <v>186.53730958437501</v>
      </c>
      <c r="E82" s="311">
        <f>IF(ISNA(VLOOKUP("CAM613530000",Balanceanp!C:G,5,FALSE))=TRUE,0,VLOOKUP("CAM613530000",Balanceanp!C:G,5,FALSE))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IF(ISNA(VLOOKUP("cam613540000",Balance!C:G,5,FALSE))=TRUE,0,VLOOKUP("cam613540000",Balance!C:G,5,FALSE))</f>
        <v>0</v>
      </c>
      <c r="D83" s="592">
        <f>+[2]Cambrai!$H83</f>
        <v>0.39080167013888889</v>
      </c>
      <c r="E83" s="311">
        <f>IF(ISNA(VLOOKUP("cam613540000",Balanceanp!C:G,5,FALSE))=TRUE,0,VLOOKUP("cam613540000",Balanceanp!C:G,5,FALSE))</f>
        <v>0</v>
      </c>
      <c r="F83" s="625">
        <f>+C83+C83/9*(12-Clients!$I$14)</f>
        <v>0</v>
      </c>
      <c r="G83" s="630">
        <f t="shared" si="8"/>
        <v>0</v>
      </c>
      <c r="H83" s="630"/>
      <c r="I83" s="591">
        <f t="shared" si="6"/>
        <v>0</v>
      </c>
      <c r="J83" s="595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IF(ISNA(VLOOKUP("CAM615200000",Balance!C:G,5,FALSE))=TRUE,0,VLOOKUP("CAM615200000",Balance!C:G,5,FALSE))</f>
        <v>3721.89</v>
      </c>
      <c r="D84" s="592">
        <f>+[2]Cambrai!$H84</f>
        <v>4534.0268747351765</v>
      </c>
      <c r="E84" s="311">
        <f>IF(ISNA(VLOOKUP("CAM615200000",Balanceanp!C:G,5,FALSE))=TRUE,0,VLOOKUP("CAM615200000",Balanceanp!C:G,5,FALSE))</f>
        <v>4697.9399999999996</v>
      </c>
      <c r="F84" s="625">
        <f>+C84+C84/9*(12-Clients!$I$14)</f>
        <v>4962.5199999999995</v>
      </c>
      <c r="G84" s="630">
        <f t="shared" si="8"/>
        <v>5111.3955999999998</v>
      </c>
      <c r="H84" s="630"/>
      <c r="I84" s="591">
        <f t="shared" si="6"/>
        <v>5.6318301212872013E-2</v>
      </c>
      <c r="J84" s="595">
        <f t="shared" si="6"/>
        <v>3.0000000000000065E-2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IF(ISNA(VLOOKUP("CAM615500000",Balance!C:G,5,FALSE))=TRUE,0,VLOOKUP("CAM615500000",Balance!C:G,5,FALSE))</f>
        <v>214.4</v>
      </c>
      <c r="D85" s="592">
        <f>+[2]Cambrai!$H85</f>
        <v>661.20224505641329</v>
      </c>
      <c r="E85" s="311">
        <f>IF(ISNA(VLOOKUP("CAM615500000",Balanceanp!C:G,5,FALSE))=TRUE,0,VLOOKUP("CAM615500000",Balanceanp!C:G,5,FALSE))</f>
        <v>571.58000000000004</v>
      </c>
      <c r="F85" s="625">
        <f>+C85+C85/9*(12-Clients!$I$14)</f>
        <v>285.86666666666667</v>
      </c>
      <c r="G85" s="630">
        <f t="shared" si="8"/>
        <v>294.4426666666667</v>
      </c>
      <c r="H85" s="630"/>
      <c r="I85" s="591">
        <f t="shared" si="6"/>
        <v>-0.49986586887808065</v>
      </c>
      <c r="J85" s="595">
        <f t="shared" si="6"/>
        <v>3.0000000000000075E-2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IF(ISNA(VLOOKUP("CAM615510000",Balance!C:G,5,FALSE))=TRUE,0,VLOOKUP("CAM615510000",Balance!C:G,5,FALSE))</f>
        <v>425.68</v>
      </c>
      <c r="D86" s="592">
        <f>+[2]Cambrai!$H86</f>
        <v>1934.1080606233418</v>
      </c>
      <c r="E86" s="311">
        <f>IF(ISNA(VLOOKUP("CAM615510000",Balanceanp!C:G,5,FALSE))=TRUE,0,VLOOKUP("CAM615510000",Balanceanp!C:G,5,FALSE))</f>
        <v>1583.69</v>
      </c>
      <c r="F86" s="625">
        <f>+C86+C86/9*(12-Clients!$I$14)</f>
        <v>567.57333333333338</v>
      </c>
      <c r="G86" s="630">
        <f t="shared" si="8"/>
        <v>584.60053333333337</v>
      </c>
      <c r="H86" s="630"/>
      <c r="I86" s="591">
        <f t="shared" si="6"/>
        <v>-0.64161336288457127</v>
      </c>
      <c r="J86" s="595">
        <f t="shared" si="6"/>
        <v>2.9999999999999985E-2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IF(ISNA(VLOOKUP("cam615530000",Balance!C:G,5,FALSE))=TRUE,0,VLOOKUP("cam615530000",Balance!C:G,5,FALSE))</f>
        <v>0</v>
      </c>
      <c r="D87" s="117">
        <f>+[2]Cambrai!$H87</f>
        <v>0</v>
      </c>
      <c r="E87" s="160">
        <f>IF(ISNA(VLOOKUP("cam615530000",Balanceanp!C:G,5,FALSE))=TRUE,0,VLOOKUP("cam615530000",Balanceanp!C:G,5,FALSE))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IF(ISNA(VLOOKUP("CAM616130000",Balance!C:G,5,FALSE))=TRUE,0,VLOOKUP("CAM616130000",Balance!C:G,5,FALSE))</f>
        <v>1973.52</v>
      </c>
      <c r="D88" s="592">
        <f>+[2]Cambrai!$H88</f>
        <v>2631.3147000000004</v>
      </c>
      <c r="E88" s="311">
        <f>IF(ISNA(VLOOKUP("CAM616130000",Balanceanp!C:G,5,FALSE))=TRUE,0,VLOOKUP("CAM616130000",Balanceanp!C:G,5,FALSE))</f>
        <v>2296.9899999999998</v>
      </c>
      <c r="F88" s="625">
        <f>+C88+C88/9*(12-Clients!$I$14)</f>
        <v>2631.36</v>
      </c>
      <c r="G88" s="632">
        <f>+E88*1.05*1.05</f>
        <v>2532.4314750000003</v>
      </c>
      <c r="H88" s="632"/>
      <c r="I88" s="591">
        <f t="shared" ref="I88:I101" si="9">+IF((E88)=0,,(F88-E88)/E88)</f>
        <v>0.14556876608082769</v>
      </c>
      <c r="J88" s="595">
        <f t="shared" ref="J88:J101" si="10">+IF((F88)=0,,(G88-F88)/F88)</f>
        <v>-3.7595967484494633E-2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+[2]Cambrai!$H89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IF(ISNA(VLOOKUP("CAM618100000",Balance!C:G,5,FALSE))=TRUE,0,VLOOKUP("CAM618100000",Balance!C:G,5,FALSE))</f>
        <v>248.9</v>
      </c>
      <c r="D90" s="592">
        <f>+[2]Cambrai!$H90</f>
        <v>322.5528885989583</v>
      </c>
      <c r="E90" s="311">
        <f>IF(ISNA(VLOOKUP("CAM618100000",Balanceanp!C:G,5,FALSE))=TRUE,0,VLOOKUP("CAM618100000",Balanceanp!C:G,5,FALSE))</f>
        <v>305.39</v>
      </c>
      <c r="F90" s="625">
        <f>+C90+C90/9*(12-Clients!$I$14)</f>
        <v>331.86666666666667</v>
      </c>
      <c r="G90" s="630">
        <f t="shared" si="8"/>
        <v>341.82266666666669</v>
      </c>
      <c r="H90" s="630"/>
      <c r="I90" s="591">
        <f t="shared" si="9"/>
        <v>8.6697883580558271E-2</v>
      </c>
      <c r="J90" s="595">
        <f t="shared" si="10"/>
        <v>3.0000000000000051E-2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IF(ISNA(VLOOKUP("CAM618500000",Balance!C:G,5,FALSE))=TRUE,0,VLOOKUP("CAM618500000",Balance!C:G,5,FALSE))</f>
        <v>861.69</v>
      </c>
      <c r="D91" s="592">
        <f>+[2]Cambrai!$H91</f>
        <v>756.97039386809763</v>
      </c>
      <c r="E91" s="311">
        <f>IF(ISNA(VLOOKUP("CAM618500000",Balanceanp!C:G,5,FALSE))=TRUE,0,VLOOKUP("CAM618500000",Balanceanp!C:G,5,FALSE))</f>
        <v>629.29999999999995</v>
      </c>
      <c r="F91" s="625">
        <f>+C91+C91/9*(12-Clients!$I$14)</f>
        <v>1148.92</v>
      </c>
      <c r="G91" s="630">
        <f t="shared" si="8"/>
        <v>1183.3876</v>
      </c>
      <c r="H91" s="630"/>
      <c r="I91" s="591">
        <f t="shared" si="9"/>
        <v>0.82571110757985089</v>
      </c>
      <c r="J91" s="595">
        <f t="shared" si="10"/>
        <v>2.9999999999999954E-2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IF(ISNA(VLOOKUP("CAM622200000",Balance!C:G,5,FALSE))=TRUE,0,VLOOKUP("CAM622200000",Balance!C:G,5,FALSE))</f>
        <v>0</v>
      </c>
      <c r="D92" s="117">
        <f>+[2]Cambrai!$H92</f>
        <v>0</v>
      </c>
      <c r="E92" s="160">
        <f>IF(ISNA(VLOOKUP("CAM622200000",Balanceanp!C:G,5,FALSE))=TRUE,0,VLOOKUP("CAM622200000",Balanceanp!C:G,5,FALSE))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IF(ISNA(VLOOKUP("CAM622600000",Balance!C:G,5,FALSE))=TRUE,0,VLOOKUP("CAM622600000",Balance!C:G,5,FALSE))</f>
        <v>0</v>
      </c>
      <c r="D93" s="592">
        <f>+[2]Cambrai!$H93</f>
        <v>0.5862025052083335</v>
      </c>
      <c r="E93" s="311">
        <f>IF(ISNA(VLOOKUP("CAM622600000",Balanceanp!C:G,5,FALSE))=TRUE,0,VLOOKUP("CAM622600000",Balanceanp!C:G,5,FALSE))</f>
        <v>0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0</v>
      </c>
      <c r="J93" s="595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IF(ISNA(VLOOKUP("CAM622710000",Balance!C:G,5,FALSE))=TRUE,0,VLOOKUP("CAM622710000",Balance!C:G,5,FALSE))</f>
        <v>0</v>
      </c>
      <c r="D94" s="117">
        <f>+[2]Cambrai!$H94</f>
        <v>0</v>
      </c>
      <c r="E94" s="160">
        <f>IF(ISNA(VLOOKUP("CAM622710000",Balanceanp!C:G,5,FALSE))=TRUE,0,VLOOKUP("CAM622710000",Balanceanp!C:G,5,FALSE))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2.0685296176437091E-3</v>
      </c>
      <c r="C95" s="311">
        <f>IF(ISNA(VLOOKUP("CAM624200000",Balance!C:G,5,FALSE))=TRUE,0,VLOOKUP("CAM624200000",Balance!C:G,5,FALSE))</f>
        <v>931.74</v>
      </c>
      <c r="D95" s="592">
        <f>+[2]Cambrai!$H95</f>
        <v>3267.7553078533952</v>
      </c>
      <c r="E95" s="311">
        <f>IF(ISNA(VLOOKUP("CAM624200000",Balanceanp!C:G,5,FALSE))=TRUE,0,VLOOKUP("CAM624200000",Balanceanp!C:G,5,FALSE))</f>
        <v>2539.58</v>
      </c>
      <c r="F95" s="625">
        <f>+C95+C95/9*(12-Clients!$I$14)</f>
        <v>1242.3200000000002</v>
      </c>
      <c r="G95" s="630">
        <f>B95*G21</f>
        <v>1386.7813612207642</v>
      </c>
      <c r="H95" s="633">
        <f>+G95/$G$21</f>
        <v>2.0685296176437091E-3</v>
      </c>
      <c r="I95" s="591">
        <f t="shared" si="9"/>
        <v>-0.51081674922624998</v>
      </c>
      <c r="J95" s="595">
        <f t="shared" si="10"/>
        <v>0.11628353501574798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IF(ISNA(VLOOKUP("CAM625100000",Balance!C:G,5,FALSE))=TRUE,0,VLOOKUP("CAM625100000",Balance!C:G,5,FALSE))</f>
        <v>2639.34</v>
      </c>
      <c r="D96" s="592">
        <f>+[2]Cambrai!$H96</f>
        <v>5440.2720250000002</v>
      </c>
      <c r="E96" s="311">
        <f>IF(ISNA(VLOOKUP("CAM625100000",Balanceanp!C:G,5,FALSE))=TRUE,0,VLOOKUP("CAM625100000",Balanceanp!C:G,5,FALSE))</f>
        <v>4405.2</v>
      </c>
      <c r="F96" s="625">
        <f>+C96+C96/9*(12-Clients!$I$14)</f>
        <v>3519.12</v>
      </c>
      <c r="G96" s="594">
        <f t="shared" si="8"/>
        <v>3624.6936000000001</v>
      </c>
      <c r="H96" s="594"/>
      <c r="I96" s="591">
        <f t="shared" si="9"/>
        <v>-0.2011441024244075</v>
      </c>
      <c r="J96" s="595">
        <f t="shared" si="10"/>
        <v>3.0000000000000047E-2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IF(ISNA(VLOOKUP("CAM625200000",Balance!C:G,5,FALSE))=TRUE,0,VLOOKUP("CAM625200000",Balance!C:G,5,FALSE))</f>
        <v>0</v>
      </c>
      <c r="D97" s="592">
        <f>+[2]Cambrai!$H97</f>
        <v>46.07633376375</v>
      </c>
      <c r="E97" s="311">
        <f>IF(ISNA(VLOOKUP("CAM625200000",Balanceanp!C:G,5,FALSE))=TRUE,0,VLOOKUP("CAM625200000",Balanceanp!C:G,5,FALSE))</f>
        <v>18.57</v>
      </c>
      <c r="F97" s="625">
        <f>+C97+C97/9*(12-Clients!$I$14)</f>
        <v>0</v>
      </c>
      <c r="G97" s="594">
        <f t="shared" si="8"/>
        <v>0</v>
      </c>
      <c r="H97" s="594"/>
      <c r="I97" s="591">
        <f t="shared" si="9"/>
        <v>-1</v>
      </c>
      <c r="J97" s="595">
        <f t="shared" si="10"/>
        <v>0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IF(ISNA(VLOOKUP("CAM625510000",Balance!C:G,5,FALSE))=TRUE,0,VLOOKUP("CAM625510000",Balance!C:G,5,FALSE))</f>
        <v>0</v>
      </c>
      <c r="D98" s="117">
        <f>+[2]Cambrai!$H98</f>
        <v>0</v>
      </c>
      <c r="E98" s="160">
        <f>IF(ISNA(VLOOKUP("CAM625510000",Balanceanp!C:G,5,FALSE))=TRUE,0,VLOOKUP("CAM625510000",Balanceanp!C:G,5,FALSE))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IF(ISNA(VLOOKUP("CAM626000000",Balance!C:G,5,FALSE))=TRUE,0,VLOOKUP("CAM626000000",Balance!C:G,5,FALSE))</f>
        <v>2899.7</v>
      </c>
      <c r="D99" s="592">
        <f>+[2]Cambrai!$H99</f>
        <v>4869.8632657114558</v>
      </c>
      <c r="E99" s="311">
        <f>IF(ISNA(VLOOKUP("CAM626000000",Balanceanp!C:G,5,FALSE))=TRUE,0,VLOOKUP("CAM626000000",Balanceanp!C:G,5,FALSE))</f>
        <v>4341.95</v>
      </c>
      <c r="F99" s="625">
        <f>+C99+C99/9*(12-Clients!$I$14)</f>
        <v>3866.2666666666664</v>
      </c>
      <c r="G99" s="630">
        <f>+F99</f>
        <v>3866.2666666666664</v>
      </c>
      <c r="H99" s="630"/>
      <c r="I99" s="591">
        <f t="shared" si="9"/>
        <v>-0.10955523056076956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IF(ISNA(VLOOKUP("CAM626100000",Balance!C:G,5,FALSE))=TRUE,0,VLOOKUP("CAM626100000",Balance!C:G,5,FALSE))</f>
        <v>1285.32</v>
      </c>
      <c r="D100" s="592">
        <f>+[2]Cambrai!$H100</f>
        <v>936.90185818056318</v>
      </c>
      <c r="E100" s="311">
        <f>IF(ISNA(VLOOKUP("CAM626100000",Balanceanp!C:G,5,FALSE))=TRUE,0,VLOOKUP("CAM626100000",Balanceanp!C:G,5,FALSE))</f>
        <v>872.35</v>
      </c>
      <c r="F100" s="625">
        <f>+C100+C100/9*(12-Clients!$I$14)</f>
        <v>1713.76</v>
      </c>
      <c r="G100" s="630">
        <f t="shared" si="8"/>
        <v>1765.1728000000001</v>
      </c>
      <c r="H100" s="630"/>
      <c r="I100" s="591">
        <f t="shared" si="9"/>
        <v>0.9645325843984639</v>
      </c>
      <c r="J100" s="595">
        <f t="shared" si="10"/>
        <v>3.0000000000000037E-2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IF(ISNA(VLOOKUP("CAM628400000",Balance!C:G,5,FALSE))=TRUE,0,VLOOKUP("CAM628400000",Balance!C:G,5,FALSE))</f>
        <v>0</v>
      </c>
      <c r="D101" s="592">
        <f>+[2]Cambrai!$H101</f>
        <v>3.9861770354166675</v>
      </c>
      <c r="E101" s="311">
        <f>IF(ISNA(VLOOKUP("CAM628400000",Balanceanp!C:G,5,FALSE))=TRUE,0,VLOOKUP("CAM628400000",Balanceanp!C:G,5,FALSE))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8.9933617635716848E-2</v>
      </c>
      <c r="C103" s="305">
        <f>SUM(C70:C102)</f>
        <v>40509.329999999994</v>
      </c>
      <c r="D103" s="312">
        <f>SUM(D70:D102)</f>
        <v>66778.83849958748</v>
      </c>
      <c r="E103" s="305">
        <f>SUM(E70:E102)</f>
        <v>62650.36</v>
      </c>
      <c r="F103" s="312">
        <f>SUM(F70:F102)</f>
        <v>53590.68</v>
      </c>
      <c r="G103" s="312">
        <f>SUM(G70:G102)</f>
        <v>55292.912436220766</v>
      </c>
      <c r="H103" s="421">
        <f>+G103/$G$21</f>
        <v>8.2475168918783343E-2</v>
      </c>
      <c r="I103" s="598">
        <f>+IF((E103)=0,,(F103-E103)/E103)</f>
        <v>-0.14460699028704704</v>
      </c>
      <c r="J103" s="599">
        <f>+IF((F103)=0,,(G103-F103)/F103)</f>
        <v>3.1763590912090786E-2</v>
      </c>
      <c r="K103" s="136">
        <f>(C103+(C103/3))</f>
        <v>54012.439999999995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IF(ISNA(VLOOKUP("CAM623100000",Balance!C:G,5,FALSE))=TRUE,0,VLOOKUP("CAM623100000",Balance!C:G,5,FALSE))</f>
        <v>0</v>
      </c>
      <c r="D105" s="592">
        <f>+[2]Cambrai!$H105</f>
        <v>1073.569</v>
      </c>
      <c r="E105" s="311">
        <f>IF(ISNA(VLOOKUP("CAM623100000",Balanceanp!C:G,5,FALSE))=TRUE,0,VLOOKUP("CAM623100000",Balanceanp!C:G,5,FALSE))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IF(ISNA(VLOOKUP("CAM623200000",Balance!C:G,5,FALSE))=TRUE,0,VLOOKUP("CAM623200000",Balance!C:G,5,FALSE))</f>
        <v>4430.58</v>
      </c>
      <c r="D106" s="592">
        <f>+[2]Cambrai!$H106</f>
        <v>5974.8549000000003</v>
      </c>
      <c r="E106" s="311">
        <f>IF(ISNA(VLOOKUP("CAM623200000",Balanceanp!C:G,5,FALSE))=TRUE,0,VLOOKUP("CAM623200000",Balanceanp!C:G,5,FALSE))</f>
        <v>7214.5</v>
      </c>
      <c r="F106" s="625">
        <f>+C106+C106/9*(12-Clients!$I$14)</f>
        <v>5907.44</v>
      </c>
      <c r="G106" s="594">
        <v>4500</v>
      </c>
      <c r="H106" s="594"/>
      <c r="I106" s="591">
        <f t="shared" si="12"/>
        <v>-0.1811712523390395</v>
      </c>
      <c r="J106" s="595">
        <f t="shared" si="12"/>
        <v>-0.23824871687228302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IF(ISNA(VLOOKUP("CAM629000000",Balance!C:G,5,FALSE))=TRUE,0,VLOOKUP("CAM629000000",Balance!C:G,5,FALSE))</f>
        <v>0</v>
      </c>
      <c r="D107" s="117">
        <f>+[2]Cambrai!$H107</f>
        <v>0</v>
      </c>
      <c r="E107" s="160">
        <f>IF(ISNA(VLOOKUP("CAM629000000",Balanceanp!C:G,5,FALSE))=TRUE,0,VLOOKUP("CAM629000000",Balanceanp!C:G,5,FALSE))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IF(ISNA(VLOOKUP("CAM623300000",Balance!C:G,5,FALSE))=TRUE,0,VLOOKUP("CAM623300000",Balance!C:G,5,FALSE))</f>
        <v>1983.1</v>
      </c>
      <c r="D108" s="592">
        <f>+[2]Cambrai!$H108</f>
        <v>450</v>
      </c>
      <c r="E108" s="311">
        <f>IF(ISNA(VLOOKUP("CAM623300000",Balanceanp!C:G,5,FALSE))=TRUE,0,VLOOKUP("CAM623300000",Balanceanp!C:G,5,FALSE))</f>
        <v>130.91999999999999</v>
      </c>
      <c r="F108" s="625">
        <f>+C108+C108/9*(12-Clients!$I$14)</f>
        <v>2644.1333333333332</v>
      </c>
      <c r="G108" s="594">
        <v>450</v>
      </c>
      <c r="H108" s="594"/>
      <c r="I108" s="591">
        <f t="shared" si="12"/>
        <v>19.196557694266218</v>
      </c>
      <c r="J108" s="595">
        <f t="shared" si="12"/>
        <v>-0.82981191064494986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IF(ISNA(VLOOKUP("CAM623700000",Balance!C:G,5,FALSE))=TRUE,0,VLOOKUP("CAM623700000",Balance!C:G,5,FALSE))</f>
        <v>2096.37</v>
      </c>
      <c r="D109" s="592">
        <f>+[2]Cambrai!$H109</f>
        <v>5850.0601000000006</v>
      </c>
      <c r="E109" s="311">
        <f>IF(ISNA(VLOOKUP("CAM623700000",Balanceanp!C:G,5,FALSE))=TRUE,0,VLOOKUP("CAM623700000",Balanceanp!C:G,5,FALSE))</f>
        <v>1326.38</v>
      </c>
      <c r="F109" s="625">
        <f>+C109+C109/9*(12-Clients!$I$14)</f>
        <v>2795.16</v>
      </c>
      <c r="G109" s="594">
        <f t="shared" si="11"/>
        <v>2879.0147999999999</v>
      </c>
      <c r="H109" s="594"/>
      <c r="I109" s="591">
        <f t="shared" si="12"/>
        <v>1.1073598817835006</v>
      </c>
      <c r="J109" s="595">
        <f t="shared" si="12"/>
        <v>3.0000000000000027E-2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IF(ISNA(VLOOKUP("CAM623410000",Balance!C:G,5,FALSE))=TRUE,0,VLOOKUP("CAM623410000",Balance!C:G,5,FALSE))+IF(ISNA(VLOOKUP("CAM623420000",Balance!C:G,5,FALSE))=TRUE,0,VLOOKUP("CAM623420000",Balance!C:G,5,FALSE))</f>
        <v>2310.04</v>
      </c>
      <c r="D110" s="592">
        <f>+[2]Cambrai!$H110</f>
        <v>3108.9211</v>
      </c>
      <c r="E110" s="311">
        <f>IF(ISNA(VLOOKUP("cam623410000",Balanceanp!C:G,5,FALSE))=TRUE,0,VLOOKUP("cam623410000",Balanceanp!C:G,5,FALSE))+IF(ISNA(VLOOKUP("cam623420000",Balanceanp!C:G,5,FALSE))=TRUE,0,VLOOKUP("cam623420000",Balanceanp!C:G,5,FALSE))</f>
        <v>7448.1699999999992</v>
      </c>
      <c r="F110" s="625">
        <f>+C110+C110/9*(12-Clients!$I$14)</f>
        <v>3080.0533333333333</v>
      </c>
      <c r="G110" s="594">
        <f t="shared" si="11"/>
        <v>3172.4549333333334</v>
      </c>
      <c r="H110" s="594"/>
      <c r="I110" s="591">
        <f t="shared" si="12"/>
        <v>-0.58646844347895744</v>
      </c>
      <c r="J110" s="595">
        <f t="shared" si="12"/>
        <v>3.0000000000000047E-2</v>
      </c>
      <c r="L110" s="17">
        <f t="shared" si="7"/>
        <v>1</v>
      </c>
    </row>
    <row r="111" spans="1:12">
      <c r="A111" s="590" t="s">
        <v>135</v>
      </c>
      <c r="B111" s="591"/>
      <c r="C111" s="311">
        <f>IF(ISNA(VLOOKUP("Cam623800000",Balance!C:G,5,FALSE))=TRUE,0,VLOOKUP("Cam623800000",Balance!C:G,5,FALSE))+IF(ISNA(VLOOKUP("Cam623820000",Balance!C:G,5,FALSE))=TRUE,0,VLOOKUP("Cam623820000",Balance!C:G,5,FALSE))</f>
        <v>121</v>
      </c>
      <c r="D111" s="592">
        <f>+[2]Cambrai!$H111</f>
        <v>332.17500000000001</v>
      </c>
      <c r="E111" s="311">
        <f>IF(ISNA(VLOOKUP("CAM623800000",Balanceanp!C:G,5,FALSE))=TRUE,0,VLOOKUP("CAM623800000",Balanceanp!C:G,5,FALSE))</f>
        <v>280</v>
      </c>
      <c r="F111" s="625">
        <f>+C111+C111/9*(12-Clients!$I$14)</f>
        <v>161.33333333333334</v>
      </c>
      <c r="G111" s="594">
        <f t="shared" si="11"/>
        <v>166.17333333333335</v>
      </c>
      <c r="H111" s="594"/>
      <c r="I111" s="591">
        <f t="shared" si="12"/>
        <v>-0.4238095238095238</v>
      </c>
      <c r="J111" s="595">
        <f t="shared" si="12"/>
        <v>3.000000000000002E-2</v>
      </c>
      <c r="L111" s="17">
        <f t="shared" si="7"/>
        <v>1</v>
      </c>
    </row>
    <row r="112" spans="1:12">
      <c r="A112" s="590" t="s">
        <v>136</v>
      </c>
      <c r="B112" s="591"/>
      <c r="C112" s="311">
        <f>IF(ISNA(VLOOKUP("CAM625600000",Balance!C:G,5,FALSE))=TRUE,0,VLOOKUP("CAM625600000",Balance!C:G,5,FALSE))</f>
        <v>19.5</v>
      </c>
      <c r="D112" s="592">
        <f>+[2]Cambrai!$H112</f>
        <v>25.986900000000002</v>
      </c>
      <c r="E112" s="311">
        <f>IF(ISNA(VLOOKUP("CAM625600000",Balanceanp!C:G,5,FALSE))=TRUE,0,VLOOKUP("CAM625600000",Balanceanp!C:G,5,FALSE))</f>
        <v>25.23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3.051922314704715E-2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IF(ISNA(VLOOKUP("cam625700000",Balance!C:G,5,FALSE))=TRUE,0,VLOOKUP("cam625700000",Balance!C:G,5,FALSE))+IF(ISNA(VLOOKUP("cam625710000",Balance!C:G,5,FALSE))=TRUE,0,VLOOKUP("cam625710000",Balance!C:G,5,FALSE))</f>
        <v>10519.91</v>
      </c>
      <c r="D113" s="592">
        <f>+[2]Cambrai!$H113</f>
        <v>8070.5</v>
      </c>
      <c r="E113" s="311">
        <f>IF(ISNA(VLOOKUP("cam625700000",Balanceanp!C:G,5,FALSE))=TRUE,0,VLOOKUP("cam625700000",Balanceanp!C:G,5,FALSE))+IF(ISNA(VLOOKUP("cam625710000",Balanceanp!C:G,5,FALSE))=TRUE,0,VLOOKUP("cam625710000",Balanceanp!C:G,5,FALSE))</f>
        <v>5922.16</v>
      </c>
      <c r="F113" s="625">
        <v>6659.77</v>
      </c>
      <c r="G113" s="594">
        <v>2000</v>
      </c>
      <c r="H113" s="594"/>
      <c r="I113" s="591">
        <f t="shared" si="12"/>
        <v>0.12455083955853956</v>
      </c>
      <c r="J113" s="595">
        <f t="shared" si="12"/>
        <v>-0.69968932861044753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IF(ISNA(VLOOKUP("CAM623810000",Balance!C:G,5,FALSE))=TRUE,0,VLOOKUP("CAM623810000",Balance!C:G,5,FALSE))</f>
        <v>0</v>
      </c>
      <c r="D114" s="117">
        <f>+[2]Cambrai!$H114</f>
        <v>0</v>
      </c>
      <c r="E114" s="160">
        <f>IF(ISNA(VLOOKUP("CAM623810000",Balanceanp!C:G,5,FALSE))=TRUE,0,VLOOKUP("CAM623810000",Balanceanp!C:G,5,FALSE))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4.7688250425865254E-2</v>
      </c>
      <c r="C116" s="305">
        <f>SUM(C104:C115)</f>
        <v>21480.5</v>
      </c>
      <c r="D116" s="312">
        <f>SUM(D104:D115)</f>
        <v>24886.066999999999</v>
      </c>
      <c r="E116" s="305">
        <f>SUM(E104:E115)</f>
        <v>23121.66</v>
      </c>
      <c r="F116" s="312">
        <f>SUM(F104:F115)</f>
        <v>21273.89</v>
      </c>
      <c r="G116" s="312">
        <f>SUM(G104:G115)</f>
        <v>13194.423066666668</v>
      </c>
      <c r="H116" s="421">
        <f>+G116/$G$21</f>
        <v>1.9680863663393663E-2</v>
      </c>
      <c r="I116" s="598">
        <f>+IF((E116)=0,,(F116-E116)/E116)</f>
        <v>-7.991510990127873E-2</v>
      </c>
      <c r="J116" s="599">
        <f>+IF((F116)=0,,(G116-F116)/F116)</f>
        <v>-0.37978324290166637</v>
      </c>
      <c r="K116" s="136">
        <f>(C116+(C116/3))</f>
        <v>28640.666666666668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IF(ISNA(VLOOKUP("CAM633300000",Balance!C:G,5,FALSE))=TRUE,0,VLOOKUP("CAM633300000",Balance!C:G,5,FALSE))</f>
        <v>1226.72</v>
      </c>
      <c r="D118" s="592">
        <f>+[2]Cambrai!$H118</f>
        <v>509.77499999999992</v>
      </c>
      <c r="E118" s="311">
        <f>IF(ISNA(VLOOKUP("CAM633300000",Balanceanp!C:G,5,FALSE))=TRUE,0,VLOOKUP("CAM633300000",Balanceanp!C:G,5,FALSE))</f>
        <v>866</v>
      </c>
      <c r="F118" s="625">
        <f>+C118+C118/9*(12-Clients!$I$14)</f>
        <v>1635.6266666666666</v>
      </c>
      <c r="G118" s="630">
        <f>G131*(0.2+0.5)%</f>
        <v>575.46999999999991</v>
      </c>
      <c r="H118" s="630"/>
      <c r="I118" s="591">
        <f t="shared" ref="I118:J127" si="13">+IF((E118)=0,,(F118-E118)/E118)</f>
        <v>0.88871439568899135</v>
      </c>
      <c r="J118" s="595">
        <f t="shared" si="13"/>
        <v>-0.64816543302465124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IF(ISNA(VLOOKUP("CAM633400000",Balance!C:G,5,FALSE))=TRUE,0,VLOOKUP("CAM633400000",Balance!C:G,5,FALSE))</f>
        <v>0</v>
      </c>
      <c r="D119" s="592">
        <f>+[2]Cambrai!$H119</f>
        <v>327.71250000000003</v>
      </c>
      <c r="E119" s="311">
        <f>IF(ISNA(VLOOKUP("CAM633400000",Balanceanp!C:G,5,FALSE))=TRUE,0,VLOOKUP("CAM633400000",Balanceanp!C:G,5,FALSE))</f>
        <v>477</v>
      </c>
      <c r="F119" s="625">
        <f>+C119+C119/9*(12-Clients!$I$14)</f>
        <v>0</v>
      </c>
      <c r="G119" s="630">
        <f>+G131*0.45%</f>
        <v>369.94500000000005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IF(ISNA(VLOOKUP("CAM633500000",Balance!C:G,5,FALSE))=TRUE,0,VLOOKUP("CAM633500000",Balance!C:G,5,FALSE))</f>
        <v>0</v>
      </c>
      <c r="D120" s="592">
        <f>+[2]Cambrai!$H120</f>
        <v>568.03500000000008</v>
      </c>
      <c r="E120" s="311">
        <f>IF(ISNA(VLOOKUP("CAM633500000",Balanceanp!C:G,5,FALSE))=TRUE,0,VLOOKUP("CAM633500000",Balanceanp!C:G,5,FALSE))</f>
        <v>721</v>
      </c>
      <c r="F120" s="625">
        <f>+C120+C120/9*(12-Clients!$I$14)</f>
        <v>0</v>
      </c>
      <c r="G120" s="630">
        <f>+G131*(0.6+0.18)%</f>
        <v>641.23800000000006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IF(ISNA(VLOOKUP("CAM635110000",Balance!C:G,5,FALSE))=TRUE,0,VLOOKUP("CAM635110000",Balance!C:G,5,FALSE))</f>
        <v>2449.17</v>
      </c>
      <c r="D121" s="592">
        <f>+[2]Cambrai!$H121</f>
        <v>3265.5</v>
      </c>
      <c r="E121" s="311">
        <f>IF(ISNA(VLOOKUP("CAM635110000",Balanceanp!C:G,5,FALSE))=TRUE,0,VLOOKUP("CAM635110000",Balanceanp!C:G,5,FALSE))</f>
        <v>3110</v>
      </c>
      <c r="F121" s="637">
        <v>472</v>
      </c>
      <c r="G121" s="637">
        <f>+F121*1.05</f>
        <v>495.6</v>
      </c>
      <c r="H121" s="632"/>
      <c r="I121" s="591">
        <f t="shared" si="13"/>
        <v>-0.8482315112540193</v>
      </c>
      <c r="J121" s="595">
        <f t="shared" si="13"/>
        <v>5.0000000000000051E-2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IF(ISNA(VLOOKUP("CAM635120000",Balance!C:G,5,FALSE))=TRUE,0,VLOOKUP("CAM635120000",Balance!C:G,5,FALSE))</f>
        <v>1218.24</v>
      </c>
      <c r="D122" s="592">
        <f>+[2]Cambrai!$H122</f>
        <v>1624.3123837500002</v>
      </c>
      <c r="E122" s="311">
        <f>IF(ISNA(VLOOKUP("CAM635120000",Balanceanp!C:G,5,FALSE))=TRUE,0,VLOOKUP("CAM635120000",Balanceanp!C:G,5,FALSE))</f>
        <v>1594</v>
      </c>
      <c r="F122" s="632">
        <f>+C122+C122/9*(12-Clients!$I$14)</f>
        <v>1624.3200000000002</v>
      </c>
      <c r="G122" s="632">
        <f>+F122*1.05</f>
        <v>1705.5360000000003</v>
      </c>
      <c r="H122" s="632"/>
      <c r="I122" s="591">
        <f t="shared" si="13"/>
        <v>1.902132998745305E-2</v>
      </c>
      <c r="J122" s="595">
        <f t="shared" si="13"/>
        <v>5.0000000000000072E-2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IF(ISNA(VLOOKUP("CAM635130000",Balance!C:G,5,FALSE))=TRUE,0,VLOOKUP("CAM635130000",Balance!C:G,5,FALSE))</f>
        <v>0</v>
      </c>
      <c r="D123" s="592">
        <f>+[2]Cambrai!$H123</f>
        <v>50</v>
      </c>
      <c r="E123" s="311">
        <f>IF(ISNA(VLOOKUP("CAM635130000",Balanceanp!C:G,5,FALSE))=TRUE,0,VLOOKUP("CAM635130000",Balanceanp!C:G,5,FALSE))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>
      <c r="A124" s="590" t="s">
        <v>145</v>
      </c>
      <c r="B124" s="591"/>
      <c r="C124" s="311">
        <f>IF(ISNA(VLOOKUP("CAM635140000",Balance!C:G,5,FALSE))=TRUE,0,VLOOKUP("CAM635140000",Balance!C:G,5,FALSE))</f>
        <v>0</v>
      </c>
      <c r="D124" s="592">
        <f>+[2]Cambrai!$H124</f>
        <v>0.28723922755208336</v>
      </c>
      <c r="E124" s="311">
        <f>IF(ISNA(VLOOKUP("CAM635140000",Balanceanp!C:G,5,FALSE))=TRUE,0,VLOOKUP("CAM635140000",Balanceanp!C:G,5,FALSE))</f>
        <v>0</v>
      </c>
      <c r="F124" s="625">
        <f>+C124+C124/9*(12-Clients!$I$14)</f>
        <v>0</v>
      </c>
      <c r="G124" s="632">
        <f>+F124*1.03</f>
        <v>0</v>
      </c>
      <c r="H124" s="632"/>
      <c r="I124" s="591">
        <f t="shared" si="13"/>
        <v>0</v>
      </c>
      <c r="J124" s="595">
        <f t="shared" si="13"/>
        <v>0</v>
      </c>
      <c r="L124" s="17">
        <f t="shared" si="7"/>
        <v>1</v>
      </c>
    </row>
    <row r="125" spans="1:12" hidden="1">
      <c r="A125" s="5" t="s">
        <v>286</v>
      </c>
      <c r="B125" s="92"/>
      <c r="C125" s="160">
        <f>IF(ISNA(VLOOKUP("CAM635300000",Balance!C:G,5,FALSE))=TRUE,0,VLOOKUP("CAM635300000",Balance!C:G,5,FALSE))</f>
        <v>0</v>
      </c>
      <c r="D125" s="117">
        <f>+[2]Cambrai!$H125</f>
        <v>0</v>
      </c>
      <c r="E125" s="160">
        <f>IF(ISNA(VLOOKUP("CAM635300000",Balanceanp!C:G,5,FALSE))=TRUE,0,VLOOKUP("CAM635300000",Balanceanp!C:G,5,FALSE))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IF(ISNA(VLOOKUP("cam635400000",Balance!C:G,5,FALSE))=TRUE,0,VLOOKUP("cam635400000",Balance!C:G,5,FALSE))</f>
        <v>0</v>
      </c>
      <c r="D126" s="117">
        <f>+[2]Cambrai!$H126</f>
        <v>0</v>
      </c>
      <c r="E126" s="160">
        <f>IF(ISNA(VLOOKUP("cam635400000",Balanceanp!C:G,5,FALSE))=TRUE,0,VLOOKUP("cam635400000",Balanceanp!C:G,5,FALSE))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IF(ISNA(VLOOKUP("CAM637100000",Balance!C:G,5,FALSE))=TRUE,0,VLOOKUP("CAM637100000",Balance!C:G,5,FALSE))</f>
        <v>820.41</v>
      </c>
      <c r="D127" s="592">
        <f>+[2]Cambrai!$H127</f>
        <v>1121.9376</v>
      </c>
      <c r="E127" s="311">
        <f>IF(ISNA(VLOOKUP("CAM637100000",Balanceanp!C:G,5,FALSE))=TRUE,0,VLOOKUP("CAM637100000",Balanceanp!C:G,5,FALSE))</f>
        <v>1091.96</v>
      </c>
      <c r="F127" s="625">
        <f>+C127+C127/9*(12-Clients!$I$14)</f>
        <v>1093.8800000000001</v>
      </c>
      <c r="G127" s="630">
        <f>+G51*0.16%</f>
        <v>1061.3470480000001</v>
      </c>
      <c r="H127" s="630"/>
      <c r="I127" s="591">
        <f t="shared" si="13"/>
        <v>1.7583061650610578E-3</v>
      </c>
      <c r="J127" s="595">
        <f t="shared" si="13"/>
        <v>-2.9740878341317164E-2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1.2686688605415332E-2</v>
      </c>
      <c r="C129" s="305">
        <f>SUM(C117:C128)</f>
        <v>5714.54</v>
      </c>
      <c r="D129" s="312">
        <f>SUM(D117:D128)</f>
        <v>7467.5597229775522</v>
      </c>
      <c r="E129" s="305">
        <f>SUM(E117:E128)</f>
        <v>7859.96</v>
      </c>
      <c r="F129" s="312">
        <f>SUM(F117:F128)</f>
        <v>4825.8266666666668</v>
      </c>
      <c r="G129" s="312">
        <f>SUM(G117:G128)</f>
        <v>4899.1360480000003</v>
      </c>
      <c r="H129" s="421">
        <f>+G129/$G$21</f>
        <v>7.3075744306464628E-3</v>
      </c>
      <c r="I129" s="598">
        <f>+IF((E129)=0,,(F129-E129)/E129)</f>
        <v>-0.38602401708575274</v>
      </c>
      <c r="J129" s="599">
        <f>+IF((F129)=0,,(G129-F129)/F129)</f>
        <v>1.5191051481335179E-2</v>
      </c>
      <c r="K129" s="136">
        <f>(C129+(C129/3))</f>
        <v>7619.3866666666663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IF(ISNA(VLOOKUP("CAM641100000",Balance!C:G,5,FALSE))=TRUE,0,VLOOKUP("CAM641100000",Balance!C:G,5,FALSE))</f>
        <v>53267.429999999993</v>
      </c>
      <c r="D131" s="592">
        <f>+[2]Cambrai!$H131</f>
        <v>72825</v>
      </c>
      <c r="E131" s="311">
        <f>IF(ISNA(VLOOKUP("CAM641100000",Balanceanp!C:G,5,FALSE))=TRUE,0,VLOOKUP("CAM641100000",Balanceanp!C:G,5,FALSE))</f>
        <v>92347.89</v>
      </c>
      <c r="F131" s="625">
        <f>+C131+C131/9*(12-Clients!$I$14)</f>
        <v>71023.239999999991</v>
      </c>
      <c r="G131" s="594">
        <v>82210</v>
      </c>
      <c r="H131" s="594"/>
      <c r="I131" s="591">
        <f t="shared" ref="I131:J146" si="14">+IF((E131)=0,,(F131-E131)/E131)</f>
        <v>-0.23091648331109688</v>
      </c>
      <c r="J131" s="595">
        <f t="shared" si="14"/>
        <v>0.15750844371504327</v>
      </c>
      <c r="L131" s="17">
        <v>1</v>
      </c>
    </row>
    <row r="132" spans="1:12" hidden="1">
      <c r="A132" s="5" t="s">
        <v>149</v>
      </c>
      <c r="B132" s="92"/>
      <c r="C132" s="160">
        <f>IF(ISNA(VLOOKUP("CAM641110000",Balance!C:G,5,FALSE))=TRUE,0,VLOOKUP("CAM641110000",Balance!C:G,5,FALSE))</f>
        <v>-105</v>
      </c>
      <c r="D132" s="117">
        <f>+[2]Cambrai!$H132</f>
        <v>0</v>
      </c>
      <c r="E132" s="160">
        <f>IF(ISNA(VLOOKUP("CAM641110000",Balanceanp!C:G,5,FALSE))=TRUE,0,VLOOKUP("CAM641110000",Balanceanp!C:G,5,FALSE))</f>
        <v>-312.89999999999998</v>
      </c>
      <c r="F132" s="368">
        <f>+C132+C132/9*(12-Clients!$I$14)</f>
        <v>-140</v>
      </c>
      <c r="G132" s="395"/>
      <c r="H132" s="401"/>
      <c r="I132" s="149">
        <f t="shared" si="14"/>
        <v>-0.55257270693512306</v>
      </c>
      <c r="J132" s="271">
        <f t="shared" si="14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IF(ISNA(VLOOKUP("CAM641111000",Balance!C:G,5,FALSE))=TRUE,0,VLOOKUP("CAM641111000",Balance!C:G,5,FALSE))</f>
        <v>0</v>
      </c>
      <c r="D133" s="117">
        <f>+[2]Cambrai!$H133</f>
        <v>0</v>
      </c>
      <c r="E133" s="160">
        <f>IF(ISNA(VLOOKUP("CAM641111000",Balanceanp!C:G,5,FALSE))=TRUE,0,VLOOKUP("CAM641111000",Balanceanp!C:G,5,FALSE))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IF(ISNA(VLOOKUP("CAM641200000",Balance!C:G,5,FALSE))=TRUE,0,VLOOKUP("CAM641200000",Balance!C:G,5,FALSE))</f>
        <v>0</v>
      </c>
      <c r="D134" s="117">
        <f>+[2]Cambrai!$H134</f>
        <v>0</v>
      </c>
      <c r="E134" s="160">
        <f>IF(ISNA(VLOOKUP("CAM641200000",Balanceanp!C:G,5,FALSE))=TRUE,0,VLOOKUP("CAM641200000",Balanceanp!C:G,5,FALSE))</f>
        <v>-2.2100000000009459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IF(ISNA(VLOOKUP("CAM621100000",Balance!C:G,5,FALSE))=TRUE,0,VLOOKUP("CAM621100000",Balance!C:G,5,FALSE))</f>
        <v>0</v>
      </c>
      <c r="D135" s="117">
        <f>+[2]Cambrai!$H135</f>
        <v>0</v>
      </c>
      <c r="E135" s="160">
        <f>IF(ISNA(VLOOKUP("CAM621100000",Balanceanp!C:G,5,FALSE))=TRUE,0,VLOOKUP("CAM621100000",Balanceanp!C:G,5,FALSE))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IF(ISNA(VLOOKUP("CAM621200000",Balance!C:G,5,FALSE))=TRUE,0,VLOOKUP("CAM621200000",Balance!C:G,5,FALSE))</f>
        <v>0</v>
      </c>
      <c r="D136" s="117">
        <f>+[2]Cambrai!$H136</f>
        <v>0</v>
      </c>
      <c r="E136" s="160">
        <f>IF(ISNA(VLOOKUP("CAM621200000",Balanceanp!C:G,5,FALSE))=TRUE,0,VLOOKUP("CAM621200000",Balanceanp!C:G,5,FALSE))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IF(ISNA(VLOOKUP("CAM706100000",Balance!C:G,5,FALSE))=TRUE,0,-VLOOKUP("CAM706100000",Balance!C:G,5,FALSE))</f>
        <v>0</v>
      </c>
      <c r="D137" s="117">
        <f>+[2]Cambrai!$H137</f>
        <v>0</v>
      </c>
      <c r="E137" s="160">
        <f>IF(ISNA(VLOOKUP("CAM706100000",Balanceanp!C:G,5,FALSE))=TRUE,0,-VLOOKUP("CAM706100000",Balanceanp!C:G,5,FALSE))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IF(ISNA(VLOOKUP("CAM641210000",Balance!C:G,5,FALSE))=TRUE,0,VLOOKUP("CAM641210000",Balance!C:G,5,FALSE))</f>
        <v>0</v>
      </c>
      <c r="D138" s="117">
        <f>+[2]Cambrai!$H138</f>
        <v>0</v>
      </c>
      <c r="E138" s="160">
        <f>IF(ISNA(VLOOKUP("CAM641210000",Balanceanp!C:G,5,FALSE))=TRUE,0,VLOOKUP("CAM641210000",Balanceanp!C:G,5,FALSE))</f>
        <v>-179.13000000000011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IF(ISNA(VLOOKUP("CAM641400000",Balance!C:G,5,FALSE))=TRUE,0,VLOOKUP("CAM641400000",Balance!C:G,5,FALSE))</f>
        <v>0</v>
      </c>
      <c r="D139" s="117">
        <f>+[2]Cambrai!$H139</f>
        <v>0</v>
      </c>
      <c r="E139" s="160">
        <f>IF(ISNA(VLOOKUP("CAM641400000",Balanceanp!C:G,5,FALSE))=TRUE,0,VLOOKUP("CAM641400000",Balanceanp!C:G,5,FALSE))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IF(ISNA(VLOOKUP("CAM641600000",Balance!C:G,5,FALSE))=TRUE,0,VLOOKUP("CAM641600000",Balance!C:G,5,FALSE))</f>
        <v>0</v>
      </c>
      <c r="D140" s="117">
        <f>+[2]Cambrai!$H140</f>
        <v>0</v>
      </c>
      <c r="E140" s="160">
        <f>IF(ISNA(VLOOKUP("CAM641600000",Balanceanp!C:G,5,FALSE))=TRUE,0,VLOOKUP("CAM641600000",Balanceanp!C:G,5,FALSE))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IF(ISNA(VLOOKUP("CAM645100000",Balance!C:G,5,FALSE))=TRUE,0,VLOOKUP("CAM645100000",Balance!C:G,5,FALSE))</f>
        <v>11168.849999999999</v>
      </c>
      <c r="D141" s="592">
        <f>+[2]Cambrai!$H141</f>
        <v>16760.708686579761</v>
      </c>
      <c r="E141" s="311">
        <f>IF(ISNA(VLOOKUP("CAM645100000",Balanceanp!C:G,5,FALSE))=TRUE,0,VLOOKUP("CAM645100000",Balanceanp!C:G,5,FALSE))</f>
        <v>20439.21</v>
      </c>
      <c r="F141" s="625">
        <f>+C141+C141/9*(12-Clients!$I$14)</f>
        <v>14891.799999999997</v>
      </c>
      <c r="G141" s="630">
        <f t="shared" ref="G141:G146" si="16">+($G$131/$C$131*C141)*1.01</f>
        <v>17409.758084536839</v>
      </c>
      <c r="H141" s="630"/>
      <c r="I141" s="591">
        <f t="shared" si="14"/>
        <v>-0.27141019638234559</v>
      </c>
      <c r="J141" s="595">
        <f t="shared" si="14"/>
        <v>0.16908352815219399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IF(ISNA(VLOOKUP("CAM645200000",Balance!C:G,5,FALSE))=TRUE,0,VLOOKUP("CAM645200000",Balance!C:G,5,FALSE))</f>
        <v>1782.51</v>
      </c>
      <c r="D142" s="592">
        <f>+[2]Cambrai!$H142</f>
        <v>2400.0928856078053</v>
      </c>
      <c r="E142" s="311">
        <f>IF(ISNA(VLOOKUP("CAM645200000",Balanceanp!C:G,5,FALSE))=TRUE,0,VLOOKUP("CAM645200000",Balanceanp!C:G,5,FALSE))</f>
        <v>3190.73</v>
      </c>
      <c r="F142" s="625">
        <f>+C142+C142/9*(12-Clients!$I$14)</f>
        <v>2376.6800000000003</v>
      </c>
      <c r="G142" s="630">
        <f t="shared" si="16"/>
        <v>2778.5374396887555</v>
      </c>
      <c r="H142" s="630"/>
      <c r="I142" s="591">
        <f t="shared" si="14"/>
        <v>-0.25512970386087186</v>
      </c>
      <c r="J142" s="595">
        <f t="shared" si="14"/>
        <v>0.16908352815219346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IF(ISNA(VLOOKUP("CAM645300000",Balance!C:G,5,FALSE))=TRUE,0,VLOOKUP("CAM645300000",Balance!C:G,5,FALSE))</f>
        <v>3846.97</v>
      </c>
      <c r="D143" s="592">
        <f>+[2]Cambrai!$H143</f>
        <v>4878.1805030576061</v>
      </c>
      <c r="E143" s="311">
        <f>IF(ISNA(VLOOKUP("CAM645300000",Balanceanp!C:G,5,FALSE))=TRUE,0,VLOOKUP("CAM645300000",Balanceanp!C:G,5,FALSE))</f>
        <v>6603.71</v>
      </c>
      <c r="F143" s="625">
        <f>+C143+C143/9*(12-Clients!$I$14)</f>
        <v>5129.2933333333331</v>
      </c>
      <c r="G143" s="630">
        <f t="shared" si="16"/>
        <v>5996.5723470608591</v>
      </c>
      <c r="H143" s="630"/>
      <c r="I143" s="591">
        <f t="shared" si="14"/>
        <v>-0.22327095930418916</v>
      </c>
      <c r="J143" s="595">
        <f t="shared" si="14"/>
        <v>0.16908352815219369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IF(ISNA(VLOOKUP("CAM645310000",Balance!C:G,5,FALSE))=TRUE,0,VLOOKUP("CAM645310000",Balance!C:G,5,FALSE))</f>
        <v>0</v>
      </c>
      <c r="D144" s="117">
        <f>+[2]Cambrai!$H144</f>
        <v>0</v>
      </c>
      <c r="E144" s="160">
        <f>IF(ISNA(VLOOKUP("CAM645310000",Balanceanp!C:G,5,FALSE))=TRUE,0,VLOOKUP("CAM645310000",Balanceanp!C:G,5,FALSE))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IF(ISNA(VLOOKUP("CAM645400000",Balance!C:G,5,FALSE))=TRUE,0,VLOOKUP("CAM645400000",Balance!C:G,5,FALSE))</f>
        <v>2717.49</v>
      </c>
      <c r="D145" s="592">
        <f>+[2]Cambrai!$H145</f>
        <v>3307.2537166479406</v>
      </c>
      <c r="E145" s="311">
        <f>IF(ISNA(VLOOKUP("CAM645400000",Balanceanp!C:G,5,FALSE))=TRUE,0,VLOOKUP("CAM645400000",Balanceanp!C:G,5,FALSE))</f>
        <v>4517.3599999999997</v>
      </c>
      <c r="F145" s="625">
        <f>+C145+C145/9*(12-Clients!$I$14)</f>
        <v>3623.3199999999997</v>
      </c>
      <c r="G145" s="630">
        <f t="shared" si="16"/>
        <v>4235.9637292244061</v>
      </c>
      <c r="H145" s="630"/>
      <c r="I145" s="591">
        <f t="shared" si="14"/>
        <v>-0.1979120548284839</v>
      </c>
      <c r="J145" s="595">
        <f t="shared" si="14"/>
        <v>0.16908352815219369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IF(ISNA(VLOOKUP("CAM645800000",Balance!C:G,5,FALSE))=TRUE,0,VLOOKUP("CAM645800000",Balance!C:G,5,FALSE))</f>
        <v>0</v>
      </c>
      <c r="D146" s="117">
        <f>+[2]Cambrai!$H146</f>
        <v>0</v>
      </c>
      <c r="E146" s="160">
        <f>IF(ISNA(VLOOKUP("CAM645800000",Balanceanp!C:G,5,FALSE))=TRUE,0,VLOOKUP("CAM645800000",Balanceanp!C:G,5,FALSE))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311">
        <f>IF(ISNA(VLOOKUP("CAM645900000",Balance!C:G,5,FALSE))=TRUE,0,VLOOKUP("CAM645900000",Balance!C:G,5,FALSE))</f>
        <v>493.71</v>
      </c>
      <c r="D147" s="592">
        <f>+[2]Cambrai!$H147</f>
        <v>1298.812484785625</v>
      </c>
      <c r="E147" s="311">
        <f>IF(ISNA(VLOOKUP("CAM645900000",Balanceanp!C:G,5,FALSE))=TRUE,0,VLOOKUP("CAM645900000",Balanceanp!C:G,5,FALSE))</f>
        <v>-126.94</v>
      </c>
      <c r="F147" s="625">
        <f>+C147+C147/9*(12-Clients!$I$14)</f>
        <v>658.28</v>
      </c>
      <c r="G147" s="630">
        <f>+F147*1.03</f>
        <v>678.02840000000003</v>
      </c>
      <c r="H147" s="630"/>
      <c r="I147" s="591">
        <f t="shared" ref="I147:J152" si="17">+IF((E147)=0,,(F147-E147)/E147)</f>
        <v>-6.1857570505750754</v>
      </c>
      <c r="J147" s="595">
        <f t="shared" si="17"/>
        <v>3.0000000000000093E-2</v>
      </c>
      <c r="L147" s="17">
        <f t="shared" si="15"/>
        <v>1</v>
      </c>
    </row>
    <row r="148" spans="1:12">
      <c r="A148" s="590" t="s">
        <v>161</v>
      </c>
      <c r="B148" s="591"/>
      <c r="C148" s="311">
        <f>IF(ISNA(VLOOKUP("CAM647100000",Balance!C:G,5,FALSE))=TRUE,0,VLOOKUP("CAM647100000",Balance!C:G,5,FALSE))</f>
        <v>0</v>
      </c>
      <c r="D148" s="592">
        <f>+[2]Cambrai!$H148</f>
        <v>74.727143749999996</v>
      </c>
      <c r="E148" s="311">
        <f>IF(ISNA(VLOOKUP("CAM647100000",Balanceanp!C:G,5,FALSE))=TRUE,0,VLOOKUP("CAM647100000",Balanceanp!C:G,5,FALSE))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311">
        <f>IF(ISNA(VLOOKUP("CAM647400000",Balance!C:G,5,FALSE))=TRUE,0,VLOOKUP("CAM647400000",Balance!C:G,5,FALSE))</f>
        <v>0</v>
      </c>
      <c r="D149" s="592">
        <f>+[2]Cambrai!$H149</f>
        <v>78.119371500000014</v>
      </c>
      <c r="E149" s="311">
        <f>IF(ISNA(VLOOKUP("CAM647400000",Balanceanp!C:G,5,FALSE))=TRUE,0,VLOOKUP("CAM647400000",Balanceanp!C:G,5,FALSE))</f>
        <v>0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7"/>
        <v>0</v>
      </c>
      <c r="J149" s="595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311">
        <f>IF(ISNA(VLOOKUP("CAM647500000",Balance!C:G,5,FALSE))=TRUE,0,VLOOKUP("CAM647500000",Balance!C:G,5,FALSE))</f>
        <v>439.19</v>
      </c>
      <c r="D150" s="592">
        <f>+[2]Cambrai!$H150</f>
        <v>630.22196327294319</v>
      </c>
      <c r="E150" s="311">
        <f>IF(ISNA(VLOOKUP("CAM647500000",Balanceanp!C:G,5,FALSE))=TRUE,0,VLOOKUP("CAM647500000",Balanceanp!C:G,5,FALSE))</f>
        <v>439.18</v>
      </c>
      <c r="F150" s="625">
        <f>+C150+C150/9*(12-Clients!$I$14)</f>
        <v>585.5866666666667</v>
      </c>
      <c r="G150" s="630">
        <f>+F150*1.03</f>
        <v>603.15426666666667</v>
      </c>
      <c r="H150" s="630"/>
      <c r="I150" s="591">
        <f t="shared" si="17"/>
        <v>0.3333636929429088</v>
      </c>
      <c r="J150" s="595">
        <f t="shared" si="17"/>
        <v>2.9999999999999947E-2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+[2]Cambrai!$H151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IF(ISNA(VLOOKUP("CAM648000000",Balance!C:G,5,FALSE))=TRUE,0,VLOOKUP("CAM648000000",Balance!C:G,5,FALSE))</f>
        <v>0</v>
      </c>
      <c r="D152" s="592">
        <f>+[2]Cambrai!$H152</f>
        <v>199.98480000000001</v>
      </c>
      <c r="E152" s="311">
        <f>IF(ISNA(VLOOKUP("CAM648000000",Balanceanp!C:G,5,FALSE))=TRUE,0,VLOOKUP("CAM648000000",Balanceanp!C:G,5,FALSE))</f>
        <v>3275.8887199999995</v>
      </c>
      <c r="F152" s="625">
        <f>+C152+C152/9*(12-Clients!$I$14)</f>
        <v>0</v>
      </c>
      <c r="G152" s="630">
        <f>+F152*1.03</f>
        <v>0</v>
      </c>
      <c r="H152" s="630">
        <f>SUM(G141:G152)</f>
        <v>31702.014267177532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0.16342203185847309</v>
      </c>
      <c r="C154" s="305">
        <f>SUM(C130:C153)</f>
        <v>73611.150000000009</v>
      </c>
      <c r="D154" s="312">
        <f>SUM(D130:D153)</f>
        <v>102453.10155520169</v>
      </c>
      <c r="E154" s="305">
        <f>SUM(E130:E153)</f>
        <v>130232.38871999999</v>
      </c>
      <c r="F154" s="312">
        <f>SUM(F130:F153)</f>
        <v>98148.200000000012</v>
      </c>
      <c r="G154" s="312">
        <f>SUM(G130:G153)</f>
        <v>113912.01426717751</v>
      </c>
      <c r="H154" s="421">
        <f>+G154/$G$21</f>
        <v>0.16991169762311148</v>
      </c>
      <c r="I154" s="598">
        <f>+IF((E154)=0,,(F154-E154)/E154)</f>
        <v>-0.24636105530538241</v>
      </c>
      <c r="J154" s="599">
        <f>+IF((F154)=0,,(G154-F154)/F154)</f>
        <v>0.1606123623986736</v>
      </c>
      <c r="K154" s="136">
        <f>(C154+(C154/3))</f>
        <v>98148.200000000012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0.5867</v>
      </c>
      <c r="C156" s="311">
        <f>IF(ISNA(VLOOKUP("CAM681740000",Balance!C:G,5,FALSE))=TRUE,0,VLOOKUP("CAM681740000",Balance!C:G,5,FALSE))</f>
        <v>2282.14</v>
      </c>
      <c r="D156" s="592">
        <f>+[2]Cambrai!$H156</f>
        <v>6836.4800329</v>
      </c>
      <c r="E156" s="311">
        <f>IF(ISNA(VLOOKUP("CAM681740000",Balanceanp!C:G,5,FALSE))=TRUE,0,VLOOKUP("CAM681740000",Balanceanp!C:G,5,FALSE))</f>
        <v>2037.38</v>
      </c>
      <c r="F156" s="625">
        <f>+C156+C156/9*(12-Clients!$I$14)</f>
        <v>3042.853333333333</v>
      </c>
      <c r="G156" s="637">
        <f>+G21*B156*1.62%</f>
        <v>6372.0232993287009</v>
      </c>
      <c r="H156" s="639"/>
      <c r="I156" s="591">
        <f t="shared" ref="I156:J166" si="18">+IF((E156)=0,,(F156-E156)/E156)</f>
        <v>0.49351291037181716</v>
      </c>
      <c r="J156" s="595">
        <f t="shared" si="18"/>
        <v>1.0940947858135461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IF(ISNA(VLOOKUP("CAM781740000",Balance!C:G,5,FALSE))=TRUE,0,VLOOKUP("CAM781740000",Balance!C:G,5,FALSE))</f>
        <v>-2014.6</v>
      </c>
      <c r="D157" s="592">
        <f>+[2]Cambrai!$H157</f>
        <v>0</v>
      </c>
      <c r="E157" s="311">
        <f>IF(ISNA(VLOOKUP("CAM781740000",Balanceanp!C:G,5,FALSE))=TRUE,0,VLOOKUP("CAM781740000",Balanceanp!C:G,5,FALSE))</f>
        <v>-3461.72</v>
      </c>
      <c r="F157" s="625">
        <f>+C157+C157/9*(12-Clients!$I$14)</f>
        <v>-2686.1333333333332</v>
      </c>
      <c r="G157" s="630">
        <v>0</v>
      </c>
      <c r="H157" s="630"/>
      <c r="I157" s="591">
        <f t="shared" si="18"/>
        <v>-0.22404662036983541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IF(ISNA(VLOOKUP("CAM654400000",Balance!C:G,5,FALSE))=TRUE,0,VLOOKUP("CAM654400000",Balance!C:G,5,FALSE))</f>
        <v>2324.83</v>
      </c>
      <c r="D158" s="592">
        <f>+[2]Cambrai!$H158</f>
        <v>0</v>
      </c>
      <c r="E158" s="311">
        <f>IF(ISNA(VLOOKUP("CAM654400000",Balanceanp!C:G,5,FALSE))=TRUE,0,VLOOKUP("CAM654400000",Balanceanp!C:G,5,FALSE))</f>
        <v>3107.58</v>
      </c>
      <c r="F158" s="625">
        <f>+C158+C158/9*(12-Clients!$I$14)</f>
        <v>3099.7733333333335</v>
      </c>
      <c r="G158" s="630">
        <v>0</v>
      </c>
      <c r="H158" s="630"/>
      <c r="I158" s="591">
        <f t="shared" si="18"/>
        <v>-2.5121369897690127E-3</v>
      </c>
      <c r="J158" s="595">
        <f t="shared" si="18"/>
        <v>-1</v>
      </c>
      <c r="L158" s="17">
        <f t="shared" si="15"/>
        <v>1</v>
      </c>
    </row>
    <row r="159" spans="1:12">
      <c r="A159" s="590" t="s">
        <v>60</v>
      </c>
      <c r="B159" s="591"/>
      <c r="C159" s="311">
        <f>IF(ISNA(VLOOKUP("CAM791100000",Balance!C:G,5,FALSE))=TRUE,0,VLOOKUP("CAM791100000",Balance!C:G,5,FALSE))</f>
        <v>245.18</v>
      </c>
      <c r="D159" s="592">
        <f>+[2]Cambrai!$H159</f>
        <v>0</v>
      </c>
      <c r="E159" s="311">
        <f>IF(ISNA(VLOOKUP("CAM791100000",Balanceanp!C:G,5,FALSE))=TRUE,0,VLOOKUP("CAM791100000",Balanceanp!C:G,5,FALSE))</f>
        <v>-555.41</v>
      </c>
      <c r="F159" s="625">
        <f>+C159+C159/9*(12-Clients!$I$14)</f>
        <v>326.90666666666669</v>
      </c>
      <c r="G159" s="630">
        <v>0</v>
      </c>
      <c r="H159" s="630"/>
      <c r="I159" s="591">
        <f t="shared" si="18"/>
        <v>-1.5885862095869117</v>
      </c>
      <c r="J159" s="595">
        <f t="shared" si="18"/>
        <v>-1</v>
      </c>
      <c r="L159" s="17">
        <f t="shared" si="15"/>
        <v>1</v>
      </c>
    </row>
    <row r="160" spans="1:12">
      <c r="A160" s="590" t="s">
        <v>199</v>
      </c>
      <c r="B160" s="591"/>
      <c r="C160" s="311">
        <f>IF(ISNA(VLOOKUP("CAM654100000",Balance!C:G,5,FALSE))=TRUE,0,VLOOKUP("CAM654100000",Balance!C:G,5,FALSE))</f>
        <v>-7.379999999999999</v>
      </c>
      <c r="D160" s="592">
        <f>+[2]Cambrai!$H160</f>
        <v>0</v>
      </c>
      <c r="E160" s="311">
        <f>IF(ISNA(VLOOKUP("CAM654100000",Balanceanp!C:G,5,FALSE))=TRUE,0,VLOOKUP("CAM654100000",Balanceanp!C:G,5,FALSE))</f>
        <v>-3.6899999999999995</v>
      </c>
      <c r="F160" s="625">
        <f>+C160+C160/9*(12-Clients!$I$14)</f>
        <v>-9.8399999999999981</v>
      </c>
      <c r="G160" s="630">
        <v>0</v>
      </c>
      <c r="H160" s="630"/>
      <c r="I160" s="591">
        <f t="shared" si="18"/>
        <v>1.6666666666666665</v>
      </c>
      <c r="J160" s="595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IF(ISNA(VLOOKUP("CAM622700000",Balance!C:G,5,FALSE))=TRUE,0,VLOOKUP("CAM622700000",Balance!C:G,5,FALSE))</f>
        <v>187.08</v>
      </c>
      <c r="D161" s="592">
        <f>+[2]Cambrai!$H161</f>
        <v>113.54249413760938</v>
      </c>
      <c r="E161" s="311">
        <f>IF(ISNA(VLOOKUP("CAM622700000",Balanceanp!C:G,5,FALSE))=TRUE,0,VLOOKUP("CAM622700000",Balanceanp!C:G,5,FALSE))</f>
        <v>167.86</v>
      </c>
      <c r="F161" s="625">
        <f>+C161+C161/9*(12-Clients!$I$14)</f>
        <v>249.44000000000003</v>
      </c>
      <c r="G161" s="630">
        <f t="shared" ref="G161:G166" si="19">+F161*1.03</f>
        <v>256.92320000000001</v>
      </c>
      <c r="H161" s="630"/>
      <c r="I161" s="591">
        <f t="shared" si="18"/>
        <v>0.48600023829381633</v>
      </c>
      <c r="J161" s="595">
        <f t="shared" si="18"/>
        <v>2.9999999999999926E-2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IF(ISNA(VLOOKUP("CAM654200000",Balance!C:G,5,FALSE))=TRUE,0,VLOOKUP("CAM654200000",Balance!C:G,5,FALSE))</f>
        <v>3.59</v>
      </c>
      <c r="D162" s="592">
        <f>+[2]Cambrai!$H162</f>
        <v>9.5973982860909715</v>
      </c>
      <c r="E162" s="311">
        <f>IF(ISNA(VLOOKUP("CAM654200000",Balanceanp!C:G,5,FALSE))=TRUE,0,VLOOKUP("CAM654200000",Balanceanp!C:G,5,FALSE))</f>
        <v>7.18</v>
      </c>
      <c r="F162" s="625">
        <f>+C162+C162/9*(12-Clients!$I$14)</f>
        <v>4.7866666666666662</v>
      </c>
      <c r="G162" s="630">
        <f t="shared" si="19"/>
        <v>4.9302666666666664</v>
      </c>
      <c r="H162" s="630"/>
      <c r="I162" s="591">
        <f t="shared" si="18"/>
        <v>-0.33333333333333337</v>
      </c>
      <c r="J162" s="595">
        <f t="shared" si="18"/>
        <v>3.0000000000000041E-2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IF(ISNA(VLOOKUP("CAM665000000",Balance!C:G,5,FALSE))=TRUE,0,VLOOKUP("CAM665000000",Balance!C:G,5,FALSE))+IF(ISNA(VLOOKUP("CAM665100000",Balance!C:G,5,FALSE))=TRUE,0,VLOOKUP("CAM665100000",Balance!C:G,5,FALSE))</f>
        <v>424.79</v>
      </c>
      <c r="D163" s="592">
        <f>+[2]Cambrai!$H163</f>
        <v>676.34743442651973</v>
      </c>
      <c r="E163" s="311">
        <f>IF(ISNA(VLOOKUP("CAM665000000",Balanceanp!C:G,5,FALSE))=TRUE,0,VLOOKUP("CAM665000000",Balanceanp!C:G,5,FALSE))+IF(ISNA(VLOOKUP("CAM665100000",Balanceanp!C:G,5,FALSE))=TRUE,0,VLOOKUP("CAM665100000",Balanceanp!C:G,5,FALSE))</f>
        <v>566.34</v>
      </c>
      <c r="F163" s="625">
        <f>+C163+C163/9*(12-Clients!$I$14)</f>
        <v>566.38666666666666</v>
      </c>
      <c r="G163" s="630">
        <f t="shared" si="19"/>
        <v>583.37826666666672</v>
      </c>
      <c r="H163" s="630"/>
      <c r="I163" s="591">
        <f t="shared" si="18"/>
        <v>8.2400442608016776E-5</v>
      </c>
      <c r="J163" s="595">
        <f t="shared" si="18"/>
        <v>3.000000000000011E-2</v>
      </c>
      <c r="L163" s="17">
        <f t="shared" si="15"/>
        <v>1</v>
      </c>
    </row>
    <row r="164" spans="1:12">
      <c r="A164" s="590" t="s">
        <v>271</v>
      </c>
      <c r="B164" s="591"/>
      <c r="C164" s="311">
        <f>IF(ISNA(VLOOKUP("CAM763000000",Balance!C:G,5,FALSE))=TRUE,0,VLOOKUP("CAM763000000",Balance!C:G,5,FALSE))</f>
        <v>-9</v>
      </c>
      <c r="D164" s="592">
        <f>+[2]Cambrai!$H164</f>
        <v>-12.333377482708332</v>
      </c>
      <c r="E164" s="311">
        <f>IF(ISNA(VLOOKUP("CAM763000000",Balanceanp!C:G,5,FALSE))=TRUE,0,VLOOKUP("CAM763000000",Balanceanp!C:G,5,FALSE))</f>
        <v>-9</v>
      </c>
      <c r="F164" s="625">
        <f>+C164+C164/9*(12-Clients!$I$14)</f>
        <v>-12</v>
      </c>
      <c r="G164" s="630">
        <f t="shared" si="19"/>
        <v>-12.36</v>
      </c>
      <c r="H164" s="630"/>
      <c r="I164" s="591">
        <f t="shared" si="18"/>
        <v>0.33333333333333331</v>
      </c>
      <c r="J164" s="595">
        <f t="shared" si="18"/>
        <v>2.9999999999999954E-2</v>
      </c>
      <c r="L164" s="17">
        <f t="shared" si="15"/>
        <v>1</v>
      </c>
    </row>
    <row r="165" spans="1:12">
      <c r="A165" s="590" t="s">
        <v>242</v>
      </c>
      <c r="B165" s="591"/>
      <c r="C165" s="311">
        <f>IF(ISNA(VLOOKUP("CAM627520000",Balance!C:G,5,FALSE))=TRUE,0,VLOOKUP("CAM627520000",Balance!C:G,5,FALSE))</f>
        <v>54</v>
      </c>
      <c r="D165" s="592">
        <f>+[2]Cambrai!$H165</f>
        <v>236.825951690625</v>
      </c>
      <c r="E165" s="311">
        <f>IF(ISNA(VLOOKUP("CAM627520000",Balanceanp!C:G,5,FALSE))=TRUE,0,VLOOKUP("CAM627520000",Balanceanp!C:G,5,FALSE))</f>
        <v>218.54</v>
      </c>
      <c r="F165" s="625">
        <f>+C165+C165/9*(12-Clients!$I$14)</f>
        <v>72</v>
      </c>
      <c r="G165" s="630">
        <f t="shared" si="19"/>
        <v>74.16</v>
      </c>
      <c r="H165" s="630"/>
      <c r="I165" s="591">
        <f t="shared" si="18"/>
        <v>-0.67054086208474417</v>
      </c>
      <c r="J165" s="595">
        <f t="shared" si="18"/>
        <v>2.9999999999999954E-2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IF(ISNA(VLOOKUP("CAM763100000",Balance!C:G,5,FALSE))=TRUE,0,VLOOKUP("CAM763100000",Balance!C:G,5,FALSE))</f>
        <v>0</v>
      </c>
      <c r="D166" s="117">
        <f>+[2]Cambrai!$H166</f>
        <v>0</v>
      </c>
      <c r="E166" s="160">
        <f>IF(ISNA(VLOOKUP("CAM763100000",Balanceanp!C:G,5,FALSE))=TRUE,0,VLOOKUP("CAM763100000",Balanceanp!C:G,5,FALSE))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7.7494489226991002E-3</v>
      </c>
      <c r="C168" s="305">
        <f>SUM(C155:C167)</f>
        <v>3490.6299999999997</v>
      </c>
      <c r="D168" s="312">
        <f>SUM(D155:D167)</f>
        <v>7860.4599339581355</v>
      </c>
      <c r="E168" s="305">
        <f>SUM(E155:E167)</f>
        <v>2075.0600000000004</v>
      </c>
      <c r="F168" s="312">
        <f>SUM(F155:F167)</f>
        <v>4654.1733333333332</v>
      </c>
      <c r="G168" s="312">
        <f>SUM(G155:G167)</f>
        <v>7279.0550326620341</v>
      </c>
      <c r="H168" s="421">
        <f>+G168/$G$21</f>
        <v>1.08574728104692E-2</v>
      </c>
      <c r="I168" s="598">
        <f>+IF((E168)=0,,(F168-E168)/E168)</f>
        <v>1.2429102451656011</v>
      </c>
      <c r="J168" s="599">
        <f>+IF((F168)=0,,(G168-F168)/F168)</f>
        <v>0.56398451697731522</v>
      </c>
      <c r="K168" s="136">
        <f>(C168+(C168/3))</f>
        <v>4654.1733333333332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IF(ISNA(VLOOKUP("CAM651100000",Balance!C:G,5,FALSE))=TRUE,0,VLOOKUP("CAM651100000",Balance!C:G,5,FALSE))</f>
        <v>0</v>
      </c>
      <c r="D170" s="117">
        <f>+[2]Cambrai!$H170</f>
        <v>0</v>
      </c>
      <c r="E170" s="160">
        <f>IF(ISNA(VLOOKUP("CAM651100000",Balanceanp!C:G,5,FALSE))=TRUE,0,VLOOKUP("CAM651100000",Balanceanp!C:G,5,FALSE))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 hidden="1">
      <c r="A171" s="5" t="s">
        <v>168</v>
      </c>
      <c r="B171" s="92"/>
      <c r="C171" s="160">
        <f>IF(ISNA(VLOOKUP("CAM651600000",Balance!C:G,5,FALSE))=TRUE,0,VLOOKUP("CAM651600000",Balance!C:G,5,FALSE))</f>
        <v>0</v>
      </c>
      <c r="D171" s="117">
        <f>+[2]Cambrai!$H171</f>
        <v>0</v>
      </c>
      <c r="E171" s="160">
        <f>IF(ISNA(VLOOKUP("CAM651600000",Balanceanp!C:G,5,FALSE))=TRUE,0,VLOOKUP("CAM651600000",Balanceanp!C:G,5,FALSE))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 hidden="1">
      <c r="A172" s="5" t="s">
        <v>169</v>
      </c>
      <c r="B172" s="92"/>
      <c r="C172" s="160">
        <f>IF(ISNA(VLOOKUP("CAM671200000",Balance!C:G,5,FALSE))=TRUE,0,VLOOKUP("CAM671200000",Balance!C:G,5,FALSE))</f>
        <v>0</v>
      </c>
      <c r="D172" s="117">
        <f>+[2]Cambrai!$H172</f>
        <v>0</v>
      </c>
      <c r="E172" s="160">
        <f>IF(ISNA(VLOOKUP("CAM671200000",Balanceanp!C:G,5,FALSE))=TRUE,0,VLOOKUP("CAM671200000",Balanceanp!C:G,5,FALSE))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IF(ISNA(VLOOKUP("CAM671800000",Balance!C:G,5,FALSE))=TRUE,0,VLOOKUP("CAM671800000",Balance!C:G,5,FALSE))</f>
        <v>161.53</v>
      </c>
      <c r="D173" s="592">
        <f>+[2]Cambrai!$H173</f>
        <v>1631.847025</v>
      </c>
      <c r="E173" s="311">
        <f>IF(ISNA(VLOOKUP("CAM671800000",Balanceanp!C:G,5,FALSE))=TRUE,0,VLOOKUP("CAM671800000",Balanceanp!C:G,5,FALSE))+IF(ISNA(VLOOKUP("CAM658000000",Balanceanp!C:G,5,FALSE))=TRUE,0,VLOOKUP("CAM658000000",Balanceanp!C:G,5,FALSE))</f>
        <v>1103.55</v>
      </c>
      <c r="F173" s="625">
        <f>+C173+C173/9*(12-Clients!$I$14)</f>
        <v>215.37333333333333</v>
      </c>
      <c r="G173" s="630">
        <f t="shared" si="20"/>
        <v>221.83453333333335</v>
      </c>
      <c r="H173" s="630"/>
      <c r="I173" s="591">
        <f t="shared" si="21"/>
        <v>-0.80483590835636509</v>
      </c>
      <c r="J173" s="595">
        <f t="shared" si="21"/>
        <v>3.0000000000000089E-2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IF(ISNA(VLOOKUP("CAM672000000",Balance!C:G,5,FALSE))=TRUE,0,VLOOKUP("CAM672000000",Balance!C:G,5,FALSE))</f>
        <v>0</v>
      </c>
      <c r="D174" s="117">
        <f>+[2]Cambrai!$H174</f>
        <v>0</v>
      </c>
      <c r="E174" s="160">
        <f>IF(ISNA(VLOOKUP("CAM672000000",Balanceanp!C:G,5,FALSE))=TRUE,0,VLOOKUP("CAM672000000",Balanceanp!C:G,5,FALSE))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IF(ISNA(VLOOKUP("CAM691100000",Balance!C:G,5,FALSE))=TRUE,0,VLOOKUP("CAM691100000",Balance!C:G,5,FALSE))</f>
        <v>0</v>
      </c>
      <c r="D175" s="117">
        <f>+[2]Cambrai!$H175</f>
        <v>0</v>
      </c>
      <c r="E175" s="160">
        <f>IF(ISNA(VLOOKUP("CAM691100000",Balanceanp!C:G,5,FALSE))=TRUE,0,VLOOKUP("CAM691100000",Balanceanp!C:G,5,FALSE))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IF(ISNA(VLOOKUP("CAM675100000",Balance!C:G,5,FALSE))=TRUE,0,VLOOKUP("CAM675100000",Balance!C:G,5,FALSE))</f>
        <v>0</v>
      </c>
      <c r="D176" s="117">
        <f>+[2]Cambrai!$H176</f>
        <v>0</v>
      </c>
      <c r="E176" s="160">
        <f>IF(ISNA(VLOOKUP("CAM675100000",Balanceanp!C:G,5,FALSE))=TRUE,0,VLOOKUP("CAM675100000",Balanceanp!C:G,5,FALSE))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IF(ISNA(VLOOKUP("CAM675200000",Balance!C:G,5,FALSE))=TRUE,0,VLOOKUP("CAM675200000",Balance!C:G,5,FALSE))</f>
        <v>0</v>
      </c>
      <c r="D177" s="117">
        <f>+[2]Cambrai!$H177</f>
        <v>0</v>
      </c>
      <c r="E177" s="160">
        <f>IF(ISNA(VLOOKUP("CAM675200000",Balanceanp!C:G,5,FALSE))=TRUE,0,VLOOKUP("CAM675200000",Balanceanp!C:G,5,FALSE))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IF(ISNA(VLOOKUP("CAM681110000",Balance!C:G,5,FALSE))=TRUE,0,VLOOKUP("CAM681110000",Balance!C:G,5,FALSE))</f>
        <v>0</v>
      </c>
      <c r="D178" s="117">
        <f>+[2]Cambrai!$H178</f>
        <v>0</v>
      </c>
      <c r="E178" s="160">
        <f>IF(ISNA(VLOOKUP("CAM681110000",Balanceanp!C:G,5,FALSE))=TRUE,0,VLOOKUP("CAM681110000",Balanceanp!C:G,5,FALSE))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IF(ISNA(VLOOKUP("CAM681120000",Balance!C:G,5,FALSE))=TRUE,0,VLOOKUP("CAM681120000",Balance!C:G,5,FALSE))</f>
        <v>2700</v>
      </c>
      <c r="D179" s="592">
        <f>+[2]Cambrai!$H179</f>
        <v>3600</v>
      </c>
      <c r="E179" s="311">
        <f>IF(ISNA(VLOOKUP("CAM681120000",Balanceanp!C:G,5,FALSE))=TRUE,0,VLOOKUP("CAM681120000",Balanceanp!C:G,5,FALSE))</f>
        <v>5473.64</v>
      </c>
      <c r="F179" s="620">
        <v>3943.09</v>
      </c>
      <c r="G179" s="637">
        <f>3655.21+500+G255/10</f>
        <v>4155.21</v>
      </c>
      <c r="H179" s="632"/>
      <c r="I179" s="591">
        <f t="shared" si="21"/>
        <v>-0.27962197002360406</v>
      </c>
      <c r="J179" s="595">
        <f t="shared" si="21"/>
        <v>5.3795373679018203E-2</v>
      </c>
      <c r="L179" s="17">
        <f t="shared" si="15"/>
        <v>1</v>
      </c>
    </row>
    <row r="180" spans="1:12">
      <c r="A180" s="590" t="s">
        <v>78</v>
      </c>
      <c r="B180" s="591"/>
      <c r="C180" s="311">
        <f>IF(ISNA(VLOOKUP("CAM687250000",Balance!C:G,5,FALSE))=TRUE,0,+VLOOKUP("CAM687250000",Balance!C:G,5,FALSE))</f>
        <v>0</v>
      </c>
      <c r="D180" s="592">
        <f>+[2]Cambrai!$H180</f>
        <v>0</v>
      </c>
      <c r="E180" s="311">
        <f>IF(ISNA(VLOOKUP("CAM687250000",Balanceanp!C:G,5,FALSE))=TRUE,0,+VLOOKUP("CAM687250000",Balanceanp!C:G,5,FALSE))</f>
        <v>455.87</v>
      </c>
      <c r="F180" s="625">
        <f>+C180+C180/9*(12-Clients!$I$14)</f>
        <v>0</v>
      </c>
      <c r="G180" s="630">
        <f t="shared" si="20"/>
        <v>0</v>
      </c>
      <c r="H180" s="630"/>
      <c r="I180" s="591">
        <f t="shared" si="21"/>
        <v>-1</v>
      </c>
      <c r="J180" s="595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IF(ISNA(VLOOKUP("CAM661880000",Balance!C:G,5,FALSE))=TRUE,0,+VLOOKUP("CAM661880000",Balance!C:G,5,FALSE))</f>
        <v>0</v>
      </c>
      <c r="D181" s="117">
        <f>+[2]Cambrai!$H181</f>
        <v>0</v>
      </c>
      <c r="E181" s="160">
        <f>IF(ISNA(VLOOKUP("CAM661880000",Balanceanp!C:G,5,FALSE))=TRUE,0,+VLOOKUP("CAM661880000",Balanceanp!C:G,5,FALSE))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+[2]Cambrai!$H182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>
      <c r="A183" s="590" t="s">
        <v>331</v>
      </c>
      <c r="B183" s="591"/>
      <c r="C183" s="311">
        <f>IF(ISNA(VLOOKUP("cam681500000",Balance!C:G,5,FALSE))=TRUE,0,VLOOKUP("cam681500000",Balance!C:G,5,FALSE))</f>
        <v>0</v>
      </c>
      <c r="D183" s="592">
        <f>+[2]Cambrai!$H183</f>
        <v>0</v>
      </c>
      <c r="E183" s="311">
        <f>IF(ISNA(VLOOKUP("cam681500000",Balanceanp!C:G,5,FALSE))=TRUE,0,VLOOKUP("cam681500000",Balanceanp!C:G,5,FALSE))</f>
        <v>1000</v>
      </c>
      <c r="F183" s="625">
        <f>+C183+C183/9*(12-Clients!$I$14)</f>
        <v>0</v>
      </c>
      <c r="G183" s="630">
        <f t="shared" si="20"/>
        <v>0</v>
      </c>
      <c r="H183" s="630"/>
      <c r="I183" s="591">
        <f t="shared" si="21"/>
        <v>-1</v>
      </c>
      <c r="J183" s="595">
        <f t="shared" si="21"/>
        <v>0</v>
      </c>
      <c r="L183" s="17">
        <f t="shared" si="15"/>
        <v>1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2861.53</v>
      </c>
      <c r="D185" s="312">
        <f>SUM(D169:D184)</f>
        <v>5231.847025</v>
      </c>
      <c r="E185" s="312">
        <f>SUM(E169:E184)</f>
        <v>8033.06</v>
      </c>
      <c r="F185" s="312">
        <f>SUM(F169:F184)</f>
        <v>4158.4633333333331</v>
      </c>
      <c r="G185" s="312">
        <f>SUM(G169:G184)</f>
        <v>4377.0445333333337</v>
      </c>
      <c r="H185" s="421"/>
      <c r="I185" s="598">
        <f>+IF((E185)=0,,(F185-E185)/E185)</f>
        <v>-0.48233134903345265</v>
      </c>
      <c r="J185" s="599">
        <f>+IF((F185)=0,,(G185-F185)/F185)</f>
        <v>5.2562973983178211E-2</v>
      </c>
      <c r="K185" s="136">
        <f>(C185+(C185/3))</f>
        <v>3815.3733333333334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590" t="s">
        <v>179</v>
      </c>
      <c r="B187" s="591"/>
      <c r="C187" s="311">
        <f>IF(ISNA(VLOOKUP("CAM740000000",Balance!C:G,5,FALSE))=TRUE,0,-VLOOKUP("CAM740000000",Balance!C:G,5,FALSE))</f>
        <v>1772.5</v>
      </c>
      <c r="D187" s="592">
        <f>+[2]Cambrai!$H187</f>
        <v>0</v>
      </c>
      <c r="E187" s="311">
        <f>IF(ISNA(VLOOKUP("CAM740000000",Balanceanp!C:G,5,FALSE))=TRUE,0,-VLOOKUP("CAM740000000",Balanceanp!C:G,5,FALSE))</f>
        <v>0</v>
      </c>
      <c r="F187" s="625">
        <f>+C187+C187/9*(12-Clients!$I$14)</f>
        <v>2363.3333333333335</v>
      </c>
      <c r="G187" s="625">
        <v>0</v>
      </c>
      <c r="H187" s="625"/>
      <c r="I187" s="591">
        <f t="shared" ref="I187:J199" si="22">+IF((E187)=0,,(F187-E187)/E187)</f>
        <v>0</v>
      </c>
      <c r="J187" s="595">
        <f t="shared" si="22"/>
        <v>-1</v>
      </c>
      <c r="L187" s="17">
        <f t="shared" si="15"/>
        <v>1</v>
      </c>
    </row>
    <row r="188" spans="1:12" hidden="1">
      <c r="A188" s="5" t="s">
        <v>167</v>
      </c>
      <c r="B188" s="92"/>
      <c r="C188" s="160">
        <f>IF(ISNA(VLOOKUP("CAM751100000",Balance!C:G,5,FALSE))=TRUE,0,-VLOOKUP("CAM751100000",Balance!C:G,5,FALSE))</f>
        <v>0</v>
      </c>
      <c r="D188" s="117">
        <f>+[2]Cambrai!$H188</f>
        <v>0</v>
      </c>
      <c r="E188" s="160">
        <f>IF(ISNA(VLOOKUP("CAM751100000",Balanceanp!C:G,5,FALSE))=TRUE,0,-VLOOKUP("CAM751100000",Balanceanp!C:G,5,FALSE))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40</v>
      </c>
      <c r="B189" s="92"/>
      <c r="C189" s="160">
        <f>IF(ISNA(VLOOKUP("CAM758100000",Balance!C:G,5,FALSE))=TRUE,0,-VLOOKUP("CAM758100000",Balance!C:G,5,FALSE))</f>
        <v>0</v>
      </c>
      <c r="D189" s="117">
        <f>+[2]Cambrai!$H189</f>
        <v>0</v>
      </c>
      <c r="E189" s="160">
        <f>IF(ISNA(VLOOKUP("CAM758100000",Balanceanp!C:G,5,FALSE))=TRUE,0,-VLOOKUP("CAM758100000",Balanceanp!C:G,5,FALSE))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22"/>
        <v>0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IF(ISNA(VLOOKUP("CAM763800000",Balance!C:G,5,FALSE))=TRUE,0,-VLOOKUP("CAM763800000",Balance!C:G,5,FALSE))</f>
        <v>0</v>
      </c>
      <c r="D190" s="117">
        <f>+[2]Cambrai!$H190</f>
        <v>0</v>
      </c>
      <c r="E190" s="160">
        <f>IF(ISNA(VLOOKUP("CAM763800000",Balanceanp!C:G,5,FALSE))=TRUE,0,-VLOOKUP("CAM763800000",Balanceanp!C:G,5,FALSE))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IF(ISNA(VLOOKUP("CAM765000000",Balance!C:G,5,FALSE))=TRUE,0,-VLOOKUP("CAM765000000",Balance!C:G,5,FALSE))</f>
        <v>0</v>
      </c>
      <c r="D191" s="117">
        <f>+[2]Cambrai!$H191</f>
        <v>0</v>
      </c>
      <c r="E191" s="160">
        <f>IF(ISNA(VLOOKUP("CAM765000000",Balanceanp!C:G,5,FALSE))=TRUE,0,-VLOOKUP("CAM765000000",Balanceanp!C:G,5,FALSE))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IF(ISNA(VLOOKUP("CAM771400000",Balance!C:G,5,FALSE))=TRUE,0,-VLOOKUP("CAM771400000",Balance!C:G,5,FALSE))</f>
        <v>0</v>
      </c>
      <c r="D192" s="117">
        <f>+[2]Cambrai!$H192</f>
        <v>0</v>
      </c>
      <c r="E192" s="160">
        <f>IF(ISNA(VLOOKUP("CAM771400000",Balanceanp!C:G,5,FALSE))=TRUE,0,-VLOOKUP("CAM771400000",Balanceanp!C:G,5,FALSE))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IF(ISNA(VLOOKUP("CAM771800000",Balance!C:G,5,FALSE))=TRUE,0,-VLOOKUP("CAM771800000",Balance!C:G,5,FALSE))</f>
        <v>0</v>
      </c>
      <c r="D193" s="117">
        <f>+[2]Cambrai!$H193</f>
        <v>0</v>
      </c>
      <c r="E193" s="160">
        <f>IF(ISNA(VLOOKUP("CAM771800000",Balanceanp!C:G,5,FALSE))=TRUE,0,-VLOOKUP("CAM771800000",Balanceanp!C:G,5,FALSE))</f>
        <v>3743.92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IF(ISNA(VLOOKUP("CAM758000000",Balance!C:G,5,FALSE))=TRUE,0,-VLOOKUP("CAM758000000",Balance!C:G,5,FALSE))</f>
        <v>0</v>
      </c>
      <c r="D194" s="117">
        <f>+[2]Cambrai!$H194</f>
        <v>0</v>
      </c>
      <c r="E194" s="160">
        <f>IF(ISNA(VLOOKUP("CAM758000000",Balanceanp!C:G,5,FALSE))=TRUE,0,-VLOOKUP("CAM758000000",Balanceanp!C:G,5,FALSE))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IF(ISNA(VLOOKUP("CAM775100000",Balance!C:G,5,FALSE))=TRUE,0,-VLOOKUP("CAM775100000",Balance!C:G,5,FALSE))</f>
        <v>0</v>
      </c>
      <c r="D195" s="117">
        <f>+[2]Cambrai!$H195</f>
        <v>0</v>
      </c>
      <c r="E195" s="160">
        <f>IF(ISNA(VLOOKUP("CAM775100000",Balanceanp!C:G,5,FALSE))=TRUE,0,-VLOOKUP("CAM775100000",Balanceanp!C:G,5,FALSE))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IF(ISNA(VLOOKUP("CAM775200000",Balance!C:G,5,FALSE))=TRUE,0,-VLOOKUP("CAM775200000",Balance!C:G,5,FALSE))</f>
        <v>0</v>
      </c>
      <c r="D196" s="117">
        <f>+[2]Cambrai!$H196</f>
        <v>0</v>
      </c>
      <c r="E196" s="160">
        <f>IF(ISNA(VLOOKUP("CAM775200000",Balanceanp!C:G,5,FALSE))=TRUE,0,-VLOOKUP("CAM775200000",Balanceanp!C:G,5,FALSE))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>
      <c r="A197" s="590" t="s">
        <v>328</v>
      </c>
      <c r="B197" s="591"/>
      <c r="C197" s="311">
        <f>IF(ISNA(VLOOKUP("CAM791000000",Balance!C:G,5,FALSE))=TRUE,0,-VLOOKUP("CAM791000000",Balance!C:G,5,FALSE))</f>
        <v>0</v>
      </c>
      <c r="D197" s="592">
        <f>+[2]Cambrai!$H197</f>
        <v>0</v>
      </c>
      <c r="E197" s="311">
        <f>IF(ISNA(VLOOKUP("CAM791000000",Balanceanp!C:G,5,FALSE))=TRUE,0,-VLOOKUP("CAM791000000",Balanceanp!C:G,5,FALSE))</f>
        <v>3500</v>
      </c>
      <c r="F197" s="625">
        <f>+C197+C197/9*(12-Clients!$I$14)</f>
        <v>0</v>
      </c>
      <c r="G197" s="625">
        <v>0</v>
      </c>
      <c r="H197" s="625"/>
      <c r="I197" s="591">
        <f t="shared" si="22"/>
        <v>-1</v>
      </c>
      <c r="J197" s="595">
        <f t="shared" si="22"/>
        <v>0</v>
      </c>
      <c r="L197" s="17">
        <f t="shared" si="15"/>
        <v>1</v>
      </c>
    </row>
    <row r="198" spans="1:12" hidden="1">
      <c r="A198" s="5" t="s">
        <v>344</v>
      </c>
      <c r="B198" s="92"/>
      <c r="C198" s="160">
        <f>IF(ISNA(VLOOKUP("cam781500000",Balance!C:G,5,FALSE))=TRUE,0,-VLOOKUP("cam781500000",Balance!C:G,5,FALSE))</f>
        <v>0</v>
      </c>
      <c r="D198" s="117">
        <f>+[2]Cambrai!$H198</f>
        <v>0</v>
      </c>
      <c r="E198" s="160">
        <f>IF(ISNA(VLOOKUP("cam781500000",Balanceanp!C:G,5,FALSE))=TRUE,0,-VLOOKUP("cam781500000",Balanceanp!C:G,5,FALSE))</f>
        <v>3500</v>
      </c>
      <c r="F198" s="368">
        <f>+C198+C198/9*(12-Clients!$I$14)</f>
        <v>0</v>
      </c>
      <c r="G198" s="368">
        <v>0</v>
      </c>
      <c r="H198" s="410"/>
      <c r="I198" s="149">
        <f t="shared" si="22"/>
        <v>-1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IF(ISNA(VLOOKUP("CAM787250000",Balance!C:G,5,FALSE))=TRUE,0,-VLOOKUP("CAM787250000",Balance!C:G,5,FALSE))</f>
        <v>0</v>
      </c>
      <c r="D199" s="117">
        <f>+[2]Cambrai!$H199</f>
        <v>0</v>
      </c>
      <c r="E199" s="160">
        <f>IF(ISNA(VLOOKUP("CAM787250000",Balanceanp!C:G,5,FALSE))=TRUE,0,-VLOOKUP("CAM787250000",Balanceanp!C:G,5,FALSE))</f>
        <v>2334.67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1772.5</v>
      </c>
      <c r="D201" s="312">
        <f>SUM(D186:D200)</f>
        <v>0</v>
      </c>
      <c r="E201" s="305">
        <f>SUM(E186:E200)</f>
        <v>13078.59</v>
      </c>
      <c r="F201" s="312">
        <f>SUM(F186:F200)</f>
        <v>2363.3333333333335</v>
      </c>
      <c r="G201" s="312">
        <f>SUM(G186:G200)</f>
        <v>0</v>
      </c>
      <c r="H201" s="421"/>
      <c r="I201" s="598">
        <f>+IF((E201)=0,,(F201-E201)/E201)</f>
        <v>-0.81929754405227673</v>
      </c>
      <c r="J201" s="599">
        <f>+IF((F201)=0,,(G201-F201)/F201)</f>
        <v>-1</v>
      </c>
      <c r="K201" s="136">
        <f>(C201+(C201/3))</f>
        <v>2363.3333333333335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0.32389776214551286</v>
      </c>
      <c r="C203" s="313">
        <f>+C103+C116+C129+C154+C168+C185-C201</f>
        <v>145895.18000000002</v>
      </c>
      <c r="D203" s="641">
        <f>+D103+D116+D129+D154+D168+D185-D201</f>
        <v>214677.87373672484</v>
      </c>
      <c r="E203" s="313">
        <f>+E103+E116+E129+E154+E168+E185-E201</f>
        <v>220893.89872</v>
      </c>
      <c r="F203" s="641">
        <f>+F103+F116+F129+F154+F168+F185-F201</f>
        <v>184287.9</v>
      </c>
      <c r="G203" s="641">
        <f>+G103+G116+G129+G154+G168+G185-G201</f>
        <v>198954.58538406031</v>
      </c>
      <c r="H203" s="422">
        <f>+G203/$G$21</f>
        <v>0.2967615977118967</v>
      </c>
      <c r="I203" s="643">
        <f>+IF((E203)=0,,(F203-E203)/E203)</f>
        <v>-0.16571756364534504</v>
      </c>
      <c r="J203" s="644">
        <f>+IF((F203)=0,,(G203-F203)/F203)</f>
        <v>7.9585720951078798E-2</v>
      </c>
      <c r="K203" s="145">
        <f>+K103+K116+K129+K154+K168+K185-K201</f>
        <v>194526.90666666668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3.1427366246784424E-2</v>
      </c>
      <c r="C205" s="314">
        <f>+C62-C203</f>
        <v>14156.013999999966</v>
      </c>
      <c r="D205" s="645">
        <f>+D62-D203</f>
        <v>55601.12626327516</v>
      </c>
      <c r="E205" s="314">
        <f>+E53-E203</f>
        <v>57361.51738000015</v>
      </c>
      <c r="F205" s="645">
        <f>+F62-F203</f>
        <v>21032.075406548945</v>
      </c>
      <c r="G205" s="645">
        <f>+G62-G203</f>
        <v>49111.4973805029</v>
      </c>
      <c r="H205" s="406">
        <f>+G205/$G$21</f>
        <v>7.3254941073749844E-2</v>
      </c>
      <c r="I205" s="647">
        <f>+IF((E205)=0,,(F205-E205)/E205)</f>
        <v>-0.63334171815541862</v>
      </c>
      <c r="J205" s="648">
        <f>+IF((F205)=0,,(G205-F205)/F205)</f>
        <v>1.33507613638598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2.6797460314718921E-3</v>
      </c>
      <c r="C207" s="650">
        <f>+[2]Cambrai!$C207</f>
        <v>1207.0538154574701</v>
      </c>
      <c r="D207" s="315">
        <f>+[2]Cambrai!$H207</f>
        <v>4227.6374144975453</v>
      </c>
      <c r="E207" s="315">
        <f>+[1]Cambrai!$G$207</f>
        <v>1601.4071974778471</v>
      </c>
      <c r="F207" s="315">
        <f>+Repart!K33</f>
        <v>1561.7554601410907</v>
      </c>
      <c r="G207" s="315">
        <f>+Repart!Q33</f>
        <v>2537.6714398685103</v>
      </c>
      <c r="H207" s="423">
        <f>+G207/$G$21</f>
        <v>3.785202685876691E-3</v>
      </c>
      <c r="I207" s="643">
        <f>+IF((E207)=0,,(F207-E207)/E207)</f>
        <v>-2.4760558962896122E-2</v>
      </c>
      <c r="J207" s="644">
        <f>+IF((F207)=0,,(G207-F207)/F207)</f>
        <v>0.62488398768860676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2.8747620215312537E-2</v>
      </c>
      <c r="C209" s="314">
        <f>+C205-C207</f>
        <v>12948.960184542497</v>
      </c>
      <c r="D209" s="645">
        <f>+D205-D207</f>
        <v>51373.488848777619</v>
      </c>
      <c r="E209" s="314">
        <f>+E205-E207</f>
        <v>55760.110182522301</v>
      </c>
      <c r="F209" s="645">
        <f>+F205-F207</f>
        <v>19470.319946407853</v>
      </c>
      <c r="G209" s="645">
        <f>+G205-G207</f>
        <v>46573.825940634393</v>
      </c>
      <c r="H209" s="406">
        <f>+G209/$G$21</f>
        <v>6.9469738387873167E-2</v>
      </c>
      <c r="I209" s="647">
        <f>+IF((E209)=0,,(F209-E209)/E209)</f>
        <v>-0.65081991619681712</v>
      </c>
      <c r="J209" s="648">
        <f>+IF((F209)=0,,(G209-F209)/F209)</f>
        <v>1.3920421476806271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1.4508307218307507E-2</v>
      </c>
      <c r="C211" s="311">
        <f>+[2]Cambrai!$C211</f>
        <v>6535.0624193548392</v>
      </c>
      <c r="D211" s="592">
        <f>+[2]Cambrai!$H211</f>
        <v>9026.0372215405096</v>
      </c>
      <c r="E211" s="311">
        <f>+[1]Cambrai!$G211</f>
        <v>8095.0860719999991</v>
      </c>
      <c r="F211" s="625">
        <f>+Repart!I33</f>
        <v>8997.9607634408567</v>
      </c>
      <c r="G211" s="625">
        <f>+Repart!O33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3.8952813421132715E-2</v>
      </c>
      <c r="C212" s="311">
        <f>+[2]Cambrai!$C212</f>
        <v>17545.745570879993</v>
      </c>
      <c r="D212" s="592">
        <f>+[2]Cambrai!$H212</f>
        <v>26778.114149075169</v>
      </c>
      <c r="E212" s="311">
        <f>+[1]Cambrai!$G212</f>
        <v>24577.581053183316</v>
      </c>
      <c r="F212" s="625">
        <f>+Repart!J33</f>
        <v>23495.512849328781</v>
      </c>
      <c r="G212" s="625">
        <f>+Repart!P33</f>
        <v>27341.487083745262</v>
      </c>
      <c r="H212" s="625"/>
      <c r="I212" s="591">
        <f t="shared" si="24"/>
        <v>-4.4026635555104152E-2</v>
      </c>
      <c r="J212" s="595">
        <f t="shared" si="24"/>
        <v>0.16368973340057791</v>
      </c>
      <c r="L212" s="17">
        <f t="shared" si="23"/>
        <v>1</v>
      </c>
    </row>
    <row r="213" spans="1:12">
      <c r="A213" s="590" t="s">
        <v>193</v>
      </c>
      <c r="B213" s="591"/>
      <c r="C213" s="311">
        <f>+[2]Cambrai!$C213</f>
        <v>-6277.68</v>
      </c>
      <c r="D213" s="592">
        <f>+[2]Cambrai!$H213</f>
        <v>-7939.92</v>
      </c>
      <c r="E213" s="311">
        <f>+[1]Cambrai!$G213</f>
        <v>-8274.33</v>
      </c>
      <c r="F213" s="625">
        <f>+C213+C213/9*(12-Clients!$I$14)</f>
        <v>-8370.24</v>
      </c>
      <c r="G213" s="625">
        <f>+G253*-4%</f>
        <v>-5922.4806067700001</v>
      </c>
      <c r="H213" s="625"/>
      <c r="I213" s="591">
        <f t="shared" si="24"/>
        <v>1.1591270834013128E-2</v>
      </c>
      <c r="J213" s="595">
        <f t="shared" si="24"/>
        <v>-0.29243598668974841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3.9524220849703216E-2</v>
      </c>
      <c r="C215" s="316">
        <f>SUM(C210:C213)</f>
        <v>17803.127990234832</v>
      </c>
      <c r="D215" s="652">
        <f>SUM(D210:D213)</f>
        <v>27864.231370615678</v>
      </c>
      <c r="E215" s="316">
        <f>SUM(E210:E213)</f>
        <v>24398.337125183316</v>
      </c>
      <c r="F215" s="652">
        <f>SUM(F210:F213)</f>
        <v>24123.23361276964</v>
      </c>
      <c r="G215" s="652">
        <f>SUM(G210:G213)</f>
        <v>31063.691156285739</v>
      </c>
      <c r="H215" s="424">
        <f>+G215/$G$21</f>
        <v>4.6334748206847978E-2</v>
      </c>
      <c r="I215" s="643">
        <f>+IF((E215)=0,,(F215-E215)/E215)</f>
        <v>-1.1275502547660165E-2</v>
      </c>
      <c r="J215" s="644">
        <f>+IF((F215)=0,,(G215-F215)/F215)</f>
        <v>0.28770842478771858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-1.0776600634390676E-2</v>
      </c>
      <c r="C217" s="314">
        <f>+C209-C215</f>
        <v>-4854.1678056923356</v>
      </c>
      <c r="D217" s="645">
        <f>+D209-D215</f>
        <v>23509.257478161941</v>
      </c>
      <c r="E217" s="314">
        <f>+E209-E215</f>
        <v>31361.773057338985</v>
      </c>
      <c r="F217" s="645">
        <f>+F209-F215</f>
        <v>-4652.9136663617865</v>
      </c>
      <c r="G217" s="645">
        <f>+G209-G215</f>
        <v>15510.134784348655</v>
      </c>
      <c r="H217" s="406">
        <f>+G217/$G$21</f>
        <v>2.3134990181025182E-2</v>
      </c>
      <c r="I217" s="647">
        <f>+IF((E217)=0,,(F217-E217)/E217)</f>
        <v>-1.1483625832587596</v>
      </c>
      <c r="J217" s="648">
        <f>+IF((F217)=0,,(G217-F217)/F217)</f>
        <v>-4.3334241502220614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-4854.1678056924211</v>
      </c>
      <c r="D218" s="117">
        <f>+[2]Cambrai!$H$217</f>
        <v>23509.257478161941</v>
      </c>
      <c r="E218" s="17">
        <f>+[1]Cambrai!$G$217</f>
        <v>31361.773057338985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79.283468632469706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+B220/(C21*1.196)*Clients!K26</f>
        <v>85.994295510141598</v>
      </c>
      <c r="L220" s="17">
        <v>0</v>
      </c>
    </row>
    <row r="221" spans="1:12" hidden="1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610760.59928034199</v>
      </c>
      <c r="D222" s="655">
        <f>+(D215+D207+D203)/D60</f>
        <v>640218.65525431349</v>
      </c>
      <c r="E222" s="655">
        <f>+(E215+E207+E203)/E60/Clients!$I$13*12</f>
        <v>807405.68604591326</v>
      </c>
      <c r="F222" s="655">
        <f>+(F215+F207+F203)/F60</f>
        <v>583258.02520252985</v>
      </c>
      <c r="G222" s="655">
        <f>+(G215+G207+G203)/G60</f>
        <v>621866.97928667173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50896.716606695161</v>
      </c>
      <c r="D223" s="655">
        <f>+(D215+D207+D203)/D60/12</f>
        <v>53351.554604526122</v>
      </c>
      <c r="E223" s="655">
        <f>+(E215+E207+E203)/E60/Clients!$I$13</f>
        <v>67283.807170492772</v>
      </c>
      <c r="F223" s="655">
        <f>+(F215+F207+F203)/F60/9</f>
        <v>64806.447244725539</v>
      </c>
      <c r="G223" s="655">
        <f>+(G215+G207+G203)/G60/12</f>
        <v>51822.248273889309</v>
      </c>
      <c r="H223" s="655"/>
      <c r="I223" s="655"/>
      <c r="J223" s="655"/>
      <c r="L223" s="17">
        <f t="shared" si="23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448984.57</v>
      </c>
      <c r="D225" s="17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+C44-C38-C40+C103+C116+C129+C154+C156+C158+C160+C161+C162+C163+C165+C185+C213-C137</f>
        <v>449467.62000000011</v>
      </c>
      <c r="D226" s="17"/>
      <c r="L226" s="17">
        <v>0</v>
      </c>
    </row>
    <row r="227" spans="1:12" ht="10.5" hidden="1" customHeight="1"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CAMBRAI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444586.65</v>
      </c>
      <c r="D233" s="313">
        <f t="shared" si="25"/>
        <v>701211</v>
      </c>
      <c r="E233" s="313">
        <f t="shared" si="25"/>
        <v>682475.06</v>
      </c>
      <c r="F233" s="313">
        <f t="shared" si="25"/>
        <v>570333.26501819154</v>
      </c>
      <c r="G233" s="313">
        <f t="shared" si="25"/>
        <v>663341.90500000003</v>
      </c>
      <c r="H233" s="313"/>
      <c r="I233" s="643">
        <f>+I51</f>
        <v>-0.16431632678534583</v>
      </c>
      <c r="J233" s="643">
        <f t="shared" si="25"/>
        <v>0.16307770506572478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0.36</v>
      </c>
      <c r="D235" s="15">
        <f>+D60</f>
        <v>0.38544603550143963</v>
      </c>
      <c r="E235" s="15">
        <f>+E60</f>
        <v>0.40771514214746563</v>
      </c>
      <c r="F235" s="15">
        <f>+F60</f>
        <v>0.36</v>
      </c>
      <c r="G235" s="15">
        <f>+G60</f>
        <v>0.37396413658588806</v>
      </c>
      <c r="H235" s="15"/>
      <c r="I235" s="15"/>
      <c r="J235" s="1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160051.19399999999</v>
      </c>
      <c r="D236" s="309">
        <f>+D62</f>
        <v>270279</v>
      </c>
      <c r="E236" s="309">
        <f>+E62</f>
        <v>278255.41610000015</v>
      </c>
      <c r="F236" s="309">
        <f>+F62</f>
        <v>205319.97540654894</v>
      </c>
      <c r="G236" s="309">
        <f>+G62</f>
        <v>248066.08276456321</v>
      </c>
      <c r="H236" s="309"/>
      <c r="I236" s="647">
        <f>+IF((E236)=0,,(F236-E236)/E236)</f>
        <v>-0.2621168770610362</v>
      </c>
      <c r="J236" s="648">
        <f>+IF((F236)=0,,(G236-F236)/F236)</f>
        <v>0.20819263821444442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40509.329999999994</v>
      </c>
      <c r="D238" s="664">
        <f>+D103</f>
        <v>66778.83849958748</v>
      </c>
      <c r="E238" s="664">
        <f>+E103</f>
        <v>62650.36</v>
      </c>
      <c r="F238" s="664">
        <f>+F103</f>
        <v>53590.68</v>
      </c>
      <c r="G238" s="664">
        <f>+G103</f>
        <v>55292.912436220766</v>
      </c>
      <c r="H238" s="664"/>
      <c r="I238" s="666">
        <f t="shared" ref="I238:J243" si="26">+IF((E238)=0,,(F238-E238)/E238)</f>
        <v>-0.14460699028704704</v>
      </c>
      <c r="J238" s="666">
        <f t="shared" si="26"/>
        <v>3.1763590912090786E-2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21480.5</v>
      </c>
      <c r="D239" s="664">
        <f>+D116</f>
        <v>24886.066999999999</v>
      </c>
      <c r="E239" s="664">
        <f>+E116</f>
        <v>23121.66</v>
      </c>
      <c r="F239" s="664">
        <f>+F116</f>
        <v>21273.89</v>
      </c>
      <c r="G239" s="664">
        <f>+G116</f>
        <v>13194.423066666668</v>
      </c>
      <c r="H239" s="664"/>
      <c r="I239" s="666">
        <f t="shared" si="26"/>
        <v>-7.991510990127873E-2</v>
      </c>
      <c r="J239" s="666">
        <f t="shared" si="26"/>
        <v>-0.37978324290166637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5714.54</v>
      </c>
      <c r="D240" s="664">
        <f>+D129</f>
        <v>7467.5597229775522</v>
      </c>
      <c r="E240" s="664">
        <f>+E129</f>
        <v>7859.96</v>
      </c>
      <c r="F240" s="664">
        <f>+F129</f>
        <v>4825.8266666666668</v>
      </c>
      <c r="G240" s="664">
        <f>+G129</f>
        <v>4899.1360480000003</v>
      </c>
      <c r="H240" s="664"/>
      <c r="I240" s="666">
        <f t="shared" si="26"/>
        <v>-0.38602401708575274</v>
      </c>
      <c r="J240" s="666">
        <f t="shared" si="26"/>
        <v>1.5191051481335179E-2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73611.150000000009</v>
      </c>
      <c r="D241" s="664">
        <f>+D154</f>
        <v>102453.10155520169</v>
      </c>
      <c r="E241" s="664">
        <f>+E154</f>
        <v>130232.38871999999</v>
      </c>
      <c r="F241" s="664">
        <f>+F154</f>
        <v>98148.200000000012</v>
      </c>
      <c r="G241" s="664">
        <f>+G154</f>
        <v>113912.01426717751</v>
      </c>
      <c r="H241" s="664"/>
      <c r="I241" s="666">
        <f t="shared" si="26"/>
        <v>-0.24636105530538241</v>
      </c>
      <c r="J241" s="666">
        <f t="shared" si="26"/>
        <v>0.1606123623986736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3490.6299999999997</v>
      </c>
      <c r="D242" s="664">
        <f>+D168</f>
        <v>7860.4599339581355</v>
      </c>
      <c r="E242" s="664">
        <f>+E168</f>
        <v>2075.0600000000004</v>
      </c>
      <c r="F242" s="664">
        <f>+F168</f>
        <v>4654.1733333333332</v>
      </c>
      <c r="G242" s="664">
        <f>+G168</f>
        <v>7279.0550326620341</v>
      </c>
      <c r="H242" s="664"/>
      <c r="I242" s="666">
        <f t="shared" si="26"/>
        <v>1.2429102451656011</v>
      </c>
      <c r="J242" s="666">
        <f t="shared" si="26"/>
        <v>0.56398451697731522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1089.0300000000002</v>
      </c>
      <c r="D243" s="664">
        <f>+D185-D201</f>
        <v>5231.847025</v>
      </c>
      <c r="E243" s="664">
        <f>+E185-E201</f>
        <v>-5045.53</v>
      </c>
      <c r="F243" s="664">
        <f>+F185-F201</f>
        <v>1795.1299999999997</v>
      </c>
      <c r="G243" s="664">
        <f>+G185-G201</f>
        <v>4377.0445333333337</v>
      </c>
      <c r="H243" s="664"/>
      <c r="I243" s="666">
        <f t="shared" si="26"/>
        <v>-1.355786210764776</v>
      </c>
      <c r="J243" s="666">
        <f t="shared" si="26"/>
        <v>1.4382883319499615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145895.18000000002</v>
      </c>
      <c r="D245" s="389">
        <f>+D203</f>
        <v>214677.87373672484</v>
      </c>
      <c r="E245" s="389">
        <f>+E203</f>
        <v>220893.89872</v>
      </c>
      <c r="F245" s="389">
        <f>+F203</f>
        <v>184287.9</v>
      </c>
      <c r="G245" s="389">
        <f>+G203</f>
        <v>198954.58538406031</v>
      </c>
      <c r="H245" s="389"/>
      <c r="I245" s="643">
        <f>+I63</f>
        <v>0</v>
      </c>
      <c r="J245" s="643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14156.013999999966</v>
      </c>
      <c r="D247" s="314">
        <f>+D205</f>
        <v>55601.12626327516</v>
      </c>
      <c r="E247" s="314">
        <f>+E205</f>
        <v>57361.51738000015</v>
      </c>
      <c r="F247" s="314">
        <f>+F205</f>
        <v>21032.075406548945</v>
      </c>
      <c r="G247" s="314">
        <f>+G205</f>
        <v>49111.4973805029</v>
      </c>
      <c r="H247" s="314"/>
      <c r="I247" s="647">
        <f>+IF((E247)=0,,(F247-E247)/E247)</f>
        <v>-0.63334171815541862</v>
      </c>
      <c r="J247" s="648">
        <f>+IF((F247)=0,,(G247-F247)/F247)</f>
        <v>1.33507613638598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19010.181805692304</v>
      </c>
      <c r="D249" s="316">
        <f>+D207+D215</f>
        <v>32091.868785113224</v>
      </c>
      <c r="E249" s="316">
        <f>+E207+E215</f>
        <v>25999.744322661165</v>
      </c>
      <c r="F249" s="316">
        <f>+F207+F215</f>
        <v>25684.989072910732</v>
      </c>
      <c r="G249" s="316">
        <f>+G207+G215</f>
        <v>33601.362596154249</v>
      </c>
      <c r="H249" s="316"/>
      <c r="I249" s="643">
        <f>+I67</f>
        <v>-0.45862917957271077</v>
      </c>
      <c r="J249" s="643">
        <f>+J67</f>
        <v>2.9999999999999985E-2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-4854.1678056923356</v>
      </c>
      <c r="D251" s="314">
        <f>+D217</f>
        <v>23509.257478161941</v>
      </c>
      <c r="E251" s="314">
        <f>+E217</f>
        <v>31361.773057338985</v>
      </c>
      <c r="F251" s="314">
        <f>+F217</f>
        <v>-4652.9136663617865</v>
      </c>
      <c r="G251" s="314">
        <f>+G217</f>
        <v>15510.134784348655</v>
      </c>
      <c r="H251" s="314"/>
      <c r="I251" s="647">
        <f>+IF((E251)=0,,(F251-E251)/E251)</f>
        <v>-1.1483625832587596</v>
      </c>
      <c r="J251" s="648">
        <f>+IF((F251)=0,,(G251-F251)/F251)</f>
        <v>-4.3334241502220614</v>
      </c>
      <c r="L251" s="17">
        <f t="shared" si="23"/>
        <v>1</v>
      </c>
    </row>
    <row r="252" spans="1:12" hidden="1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160052.44</v>
      </c>
      <c r="D253" s="664">
        <v>207815</v>
      </c>
      <c r="E253" s="664">
        <f>+E28</f>
        <v>207770.97</v>
      </c>
      <c r="F253" s="664"/>
      <c r="G253" s="669">
        <f>+G28</f>
        <v>148062.01516924999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610760.59928034199</v>
      </c>
      <c r="D254" s="664">
        <f>+D222</f>
        <v>640218.65525431349</v>
      </c>
      <c r="E254" s="664">
        <f>+E222</f>
        <v>807405.68604591326</v>
      </c>
      <c r="F254" s="664">
        <f>+F222</f>
        <v>583258.02520252985</v>
      </c>
      <c r="G254" s="664">
        <f>+G222</f>
        <v>621866.97928667173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0</v>
      </c>
      <c r="E255" s="664"/>
      <c r="F255" s="664"/>
      <c r="G255" s="669"/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1.45" right="0.39370078740157483" top="0.26" bottom="0.23" header="0.06" footer="7.0000000000000007E-2"/>
  <pageSetup paperSize="9" scale="68" fitToHeight="2" orientation="landscape" horizontalDpi="4294967293" verticalDpi="36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 filterMode="1" enableFormatConditionsCalculation="0">
    <tabColor indexed="47"/>
    <pageSetUpPr fitToPage="1"/>
  </sheetPr>
  <dimension ref="A1:L256"/>
  <sheetViews>
    <sheetView workbookViewId="0">
      <pane xSplit="2" ySplit="6" topLeftCell="C127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435" customWidth="1"/>
    <col min="4" max="4" width="10.85546875" style="30" customWidth="1"/>
    <col min="5" max="5" width="11" style="30" customWidth="1"/>
    <col min="6" max="7" width="13.7109375" style="581" customWidth="1"/>
    <col min="8" max="8" width="8.42578125" style="581" customWidth="1"/>
    <col min="9" max="9" width="9.5703125" style="801" customWidth="1"/>
    <col min="10" max="10" width="9.140625" style="801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802" t="s">
        <v>299</v>
      </c>
    </row>
    <row r="2" spans="1:12" hidden="1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324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-6542.6554101830407</v>
      </c>
      <c r="F5" s="215">
        <f>F217</f>
        <v>5077.4391092549486</v>
      </c>
      <c r="G5" s="215">
        <f>G217</f>
        <v>8036.3539313213769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807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805">
        <f>-IF(ISNA(VLOOKUP("CAU707130000",Balance!C:G,5,FALSE))=TRUE,0,VLOOKUP("CAU707130000",Balance!C:G,5,FALSE))</f>
        <v>529080.94999999995</v>
      </c>
      <c r="D8" s="619">
        <f>+[2]Caudry!$H8</f>
        <v>641630</v>
      </c>
      <c r="E8" s="805">
        <f>-IF(ISNA(VLOOKUP("CAU707130000",Balanceanp!C:G,5,FALSE))=TRUE,0,VLOOKUP("CAU707130000",Balanceanp!C:G,5,FALSE))</f>
        <v>433425.36</v>
      </c>
      <c r="F8" s="593">
        <f>+CA!G80</f>
        <v>695011.68991225841</v>
      </c>
      <c r="G8" s="1012">
        <v>740739</v>
      </c>
      <c r="H8" s="1012"/>
      <c r="I8" s="1013">
        <f>+IF((E8)=0,,(F8-E8)/E8)</f>
        <v>0.60353258958418687</v>
      </c>
      <c r="J8" s="1014">
        <f>+IF((F8)=0,,(G8-F8)/F8)</f>
        <v>6.5793584124483454E-2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-IF(ISNA(VLOOKUP("CAU707131000",Balance!C:G,5,FALSE))=TRUE,0,VLOOKUP("CAU707131000",Balance!C:G,5,FALSE))</f>
        <v>0</v>
      </c>
      <c r="D9" s="117">
        <f>+[2]Caudry!$H9</f>
        <v>0</v>
      </c>
      <c r="E9" s="160">
        <f>-IF(ISNA(VLOOKUP("CAU707131000",Balanceanp!C:G,5,FALSE))=TRUE,0,VLOOKUP("CAU707131000",Balanceanp!C:G,5,FALSE))</f>
        <v>147859.47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-IF(ISNA(VLOOKUP("CAU707300000",Balance!C:G,5,FALSE))=TRUE,0,VLOOKUP("CAU707300000",Balance!C:G,5,FALSE))</f>
        <v>0</v>
      </c>
      <c r="D10" s="117">
        <f>+[2]Caudry!$H10</f>
        <v>0</v>
      </c>
      <c r="E10" s="160">
        <f>-IF(ISNA(VLOOKUP("CAU707300000",Balanceanp!C:G,5,FALSE))=TRUE,0,VLOOKUP("CAU707300000",Balanceanp!C:G,5,FALSE))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-IF(ISNA(VLOOKUP("CAU707110000",Balance!C:G,5,FALSE))=TRUE,0,VLOOKUP("CAU707110000",Balance!C:G,5,FALSE))</f>
        <v>0</v>
      </c>
      <c r="D11" s="117">
        <f>+[2]Caudry!$H11</f>
        <v>0</v>
      </c>
      <c r="E11" s="160">
        <f>-IF(ISNA(VLOOKUP("CAU707110000",Balanceanp!C:G,5,FALSE))=TRUE,0,VLOOKUP("CAU707110000",Balanceanp!C:G,5,FALSE))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-IF(ISNA(VLOOKUP("CAU707120000",Balance!C:G,5,FALSE))=TRUE,0,VLOOKUP("CAU707120000",Balance!C:G,5,FALSE))</f>
        <v>0</v>
      </c>
      <c r="D12" s="117">
        <f>+[2]Caudry!$H12</f>
        <v>0</v>
      </c>
      <c r="E12" s="160">
        <f>-IF(ISNA(VLOOKUP("CAU707120000",Balanceanp!C:G,5,FALSE))=TRUE,0,VLOOKUP("CAU707120000",Balanceanp!C:G,5,FALSE))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-IF(ISNA(VLOOKUP("CAU707230000",Balance!C:G,5,FALSE))=TRUE,0,VLOOKUP("CAU707230000",Balance!C:G,5,FALSE))</f>
        <v>0</v>
      </c>
      <c r="D13" s="117">
        <f>+[2]Caudry!$H13</f>
        <v>0</v>
      </c>
      <c r="E13" s="160">
        <f>-IF(ISNA(VLOOKUP("CAU707230000",Balanceanp!C:G,5,FALSE))=TRUE,0,VLOOKUP("CAU707230000",Balanceanp!C:G,5,FALSE))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-IF(ISNA(VLOOKUP("CAU708820000",Balance!C:G,5,FALSE))=TRUE,0,VLOOKUP("CAU708820000",Balance!C:G,5,FALSE))</f>
        <v>0</v>
      </c>
      <c r="D14" s="117">
        <f>+[2]Caudry!$H14</f>
        <v>0</v>
      </c>
      <c r="E14" s="160">
        <f>-IF(ISNA(VLOOKUP("CAU708820000",Balanceanp!C:G,5,FALSE))=TRUE,0,VLOOKUP("CAU708820000",Balanceanp!C:G,5,FALSE))</f>
        <v>15</v>
      </c>
      <c r="F14" s="368">
        <f t="shared" si="3"/>
        <v>0</v>
      </c>
      <c r="G14" s="395">
        <v>0</v>
      </c>
      <c r="H14" s="401"/>
      <c r="I14" s="149">
        <f t="shared" si="2"/>
        <v>-1</v>
      </c>
      <c r="J14" s="271">
        <f t="shared" si="2"/>
        <v>0</v>
      </c>
      <c r="L14" s="17">
        <v>0</v>
      </c>
    </row>
    <row r="15" spans="1:12" hidden="1">
      <c r="A15" s="5" t="s">
        <v>270</v>
      </c>
      <c r="B15" s="92"/>
      <c r="C15" s="160">
        <f>-IF(ISNA(VLOOKUP("CAU708500000",Balance!C:G,5,FALSE))=TRUE,0,VLOOKUP("CAU708500000",Balance!C:G,5,FALSE))</f>
        <v>1008</v>
      </c>
      <c r="D15" s="117">
        <f>+[2]Caudry!$H15</f>
        <v>0</v>
      </c>
      <c r="E15" s="160">
        <f>-IF(ISNA(VLOOKUP("CAU708500000",Balanceanp!C:G,5,FALSE))=TRUE,0,VLOOKUP("CAU708500000",Balanceanp!C:G,5,FALSE))</f>
        <v>1479</v>
      </c>
      <c r="F15" s="368">
        <f t="shared" si="3"/>
        <v>1008</v>
      </c>
      <c r="G15" s="395">
        <v>0</v>
      </c>
      <c r="H15" s="401"/>
      <c r="I15" s="149">
        <f t="shared" si="2"/>
        <v>-0.31845841784989859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IF(ISNA(VLOOKUP("CAU706000000",Balance!C:G,5,FALSE))=TRUE,0,-VLOOKUP("CAU706000000",Balance!C:G,5,FALSE))+IF(ISNA(VLOOKUP("CAU706010000",Balance!C:G,5,FALSE))=TRUE,0,-VLOOKUP("CAU706010000",Balance!C:G,5,FALSE))</f>
        <v>0</v>
      </c>
      <c r="D16" s="117">
        <f>+[2]Caudry!$H16</f>
        <v>0</v>
      </c>
      <c r="E16" s="160">
        <f>IF(ISNA(VLOOKUP("CAU706000000",Balanceanp!C:G,5,FALSE))=TRUE,0,-VLOOKUP("CAU706000000",Balanceanp!C:G,5,FALSE))+IF(ISNA(VLOOKUP("CAU706010000",Balanceanp!C:G,5,FALSE))=TRUE,0,-VLOOKUP("CAU706010000",Balanceanp!C:G,5,FALSE))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IF(ISNA(VLOOKUP("cau707500000",Balance!C:G,5,FALSE))=TRUE,0,-VLOOKUP("cau707500000",Balance!C:G,5,FALSE))</f>
        <v>0</v>
      </c>
      <c r="D17" s="117">
        <f>+[2]Caudry!$H17</f>
        <v>0</v>
      </c>
      <c r="E17" s="160">
        <f>IF(ISNA(VLOOKUP("cau707500000",Balanceanp!C:G,5,FALSE))=TRUE,0,-VLOOKUP("cau707500000",Balanceanp!C:G,5,FALSE))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IF(ISNA(VLOOKUP("cau707510000",Balance!C:G,5,FALSE))=TRUE,0,-VLOOKUP("cau707510000",Balance!C:G,5,FALSE))</f>
        <v>0</v>
      </c>
      <c r="D18" s="117">
        <f>+[2]Caudry!$H18</f>
        <v>0</v>
      </c>
      <c r="E18" s="160">
        <f>IF(ISNA(VLOOKUP("cau707510000",Balanceanp!C:G,5,FALSE))=TRUE,0,-VLOOKUP("cau707510000",Balanceanp!C:G,5,FALSE))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IF(ISNA(VLOOKUP("cau708300000",Balance!C:G,5,FALSE))=TRUE,0,-VLOOKUP("cau708300000",Balance!C:G,5,FALSE))</f>
        <v>0</v>
      </c>
      <c r="D19" s="117">
        <f>+[2]Caudry!$H19</f>
        <v>0</v>
      </c>
      <c r="E19" s="160">
        <f>IF(ISNA(VLOOKUP("cau708300000",Balanceanp!C:G,5,FALSE))=TRUE,0,-VLOOKUP("cau708300000",Balanceanp!C:G,5,FALSE))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803">
        <f>SUM(C7:C20)</f>
        <v>530088.94999999995</v>
      </c>
      <c r="D21" s="597">
        <f>SUM(D7:D20)</f>
        <v>641630</v>
      </c>
      <c r="E21" s="803">
        <f>SUM(E7:E20)</f>
        <v>582778.82999999996</v>
      </c>
      <c r="F21" s="597">
        <f>SUM(F7:F20)</f>
        <v>696019.68991225841</v>
      </c>
      <c r="G21" s="597">
        <f>SUM(G7:G20)</f>
        <v>740739</v>
      </c>
      <c r="H21" s="597"/>
      <c r="I21" s="596">
        <f>+IF((E21)=0,,(F21-E21)/E21)</f>
        <v>0.19431189686876318</v>
      </c>
      <c r="J21" s="1015">
        <f>+IF((F21)=0,,(G21-F21)/F21)</f>
        <v>6.425006466897365E-2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90" t="s">
        <v>92</v>
      </c>
      <c r="B23" s="591"/>
      <c r="C23" s="805">
        <f>IF(ISNA(VLOOKUP("cau602650000",Balance!C:G,5,FALSE))=TRUE,0,VLOOKUP("cau602650000",Balance!C:G,5,FALSE))</f>
        <v>288.62</v>
      </c>
      <c r="D23" s="601"/>
      <c r="E23" s="805">
        <f>IF(ISNA(VLOOKUP("cau602650000",Balanceanp!C:G,5,FALSE))=TRUE,0,VLOOKUP("cau602650000",Balanceanp!C:G,5,FALSE))</f>
        <v>260.74</v>
      </c>
      <c r="F23" s="601"/>
      <c r="G23" s="601"/>
      <c r="H23" s="601"/>
      <c r="I23" s="1013"/>
      <c r="J23" s="1014"/>
      <c r="L23" s="17">
        <f t="shared" si="0"/>
        <v>1</v>
      </c>
    </row>
    <row r="24" spans="1:12">
      <c r="A24" s="590" t="s">
        <v>93</v>
      </c>
      <c r="B24" s="591"/>
      <c r="C24" s="805">
        <f>IF(ISNA(VLOOKUP("cau607100000",Balance!C:G,5,FALSE))=TRUE,0,VLOOKUP("cau607100000",Balance!C:G,5,FALSE))</f>
        <v>129480.81</v>
      </c>
      <c r="D24" s="601"/>
      <c r="E24" s="805">
        <f>IF(ISNA(VLOOKUP("cau607100000",Balanceanp!C:G,5,FALSE))=TRUE,0,VLOOKUP("cau607100000",Balanceanp!C:G,5,FALSE))</f>
        <v>158040.88</v>
      </c>
      <c r="F24" s="601"/>
      <c r="G24" s="1016">
        <f>H24*G30</f>
        <v>255110.51160000003</v>
      </c>
      <c r="H24" s="1017">
        <f>1-H28</f>
        <v>0.56000000000000005</v>
      </c>
      <c r="I24" s="1013"/>
      <c r="J24" s="1014"/>
      <c r="L24" s="17">
        <f t="shared" si="0"/>
        <v>1</v>
      </c>
    </row>
    <row r="25" spans="1:12" hidden="1">
      <c r="A25" s="5" t="s">
        <v>94</v>
      </c>
      <c r="B25" s="92"/>
      <c r="C25" s="160">
        <f>IF(ISNA(VLOOKUP("cau607110000",Balance!C:G,5,FALSE))=TRUE,0,VLOOKUP("cau607110000",Balance!C:G,5,FALSE))+IF(ISNA(VLOOKUP("cau607120000",Balance!C:G,5,FALSE))=TRUE,0,VLOOKUP("cau607120000",Balance!C:G,5,FALSE))</f>
        <v>11646.17</v>
      </c>
      <c r="D25" s="115"/>
      <c r="E25" s="160">
        <f>IF(ISNA(VLOOKUP("cau607110000",Balanceanp!C:G,5,FALSE))=TRUE,0,VLOOKUP("cau607110000",Balanceanp!C:G,5,FALSE))+IF(ISNA(VLOOKUP("cau607120000",Balanceanp!C:G,5,FALSE))=TRUE,0,VLOOKUP("cau607120000",Balanceanp!C:G,5,FALSE))</f>
        <v>6887.47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IF(ISNA(VLOOKUP("cau607130000",Balance!C:G,5,FALSE))=TRUE,0,VLOOKUP("cau607130000",Balance!C:G,5,FALSE))</f>
        <v>83068.39</v>
      </c>
      <c r="D26" s="115"/>
      <c r="E26" s="160">
        <f>IF(ISNA(VLOOKUP("cau607130000",Balanceanp!C:G,5,FALSE))=TRUE,0,VLOOKUP("cau607130000",Balanceanp!C:G,5,FALSE))</f>
        <v>91224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IF(ISNA(VLOOKUP("cau607140000",Balance!C:G,5,FALSE))=TRUE,0,VLOOKUP("cau607140000",Balance!C:G,5,FALSE))</f>
        <v>-30112.35</v>
      </c>
      <c r="D27" s="115"/>
      <c r="E27" s="160">
        <f>IF(ISNA(VLOOKUP("cau607140000",Balanceanp!C:G,5,FALSE))=TRUE,0,VLOOKUP("cau607140000",Balanceanp!C:G,5,FALSE))</f>
        <v>-45337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805">
        <f>IF(ISNA(VLOOKUP("cau607200000",Balance!C:G,5,FALSE))=TRUE,0,VLOOKUP("cau607200000",Balance!C:G,5,FALSE))</f>
        <v>156156.22</v>
      </c>
      <c r="D28" s="1018">
        <f>C28/C30</f>
        <v>0.44548875515914771</v>
      </c>
      <c r="E28" s="805">
        <f>IF(ISNA(VLOOKUP("cau607200000",Balanceanp!C:G,5,FALSE))=TRUE,0,VLOOKUP("cau607200000",Balanceanp!C:G,5,FALSE))</f>
        <v>146950.19</v>
      </c>
      <c r="F28" s="1018">
        <f>E28/E30</f>
        <v>0.4104452611690963</v>
      </c>
      <c r="G28" s="1016">
        <f>H28*G30</f>
        <v>200443.97339999999</v>
      </c>
      <c r="H28" s="1019">
        <v>0.44</v>
      </c>
      <c r="I28" s="1013"/>
      <c r="J28" s="1014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IF(ISNA(VLOOKUP("cau607150000",Balance!C:G,5,FALSE))=TRUE,0,VLOOKUP("cau607150000",Balance!C:G,5,FALSE))</f>
        <v>0</v>
      </c>
      <c r="D29" s="115"/>
      <c r="E29" s="357">
        <f>IF(ISNA(VLOOKUP("cau607150000",Balanceanp!C:G,5,FALSE))=TRUE,0,VLOOKUP("cau607150000",Balanceanp!C:G,5,FALSE))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804">
        <f>SUM(C23:C29)</f>
        <v>350527.86</v>
      </c>
      <c r="D30" s="1020"/>
      <c r="E30" s="804">
        <f>SUM(E23:E29)</f>
        <v>358026.28</v>
      </c>
      <c r="F30" s="607">
        <f>1-(E30/E21)</f>
        <v>0.38565668214131932</v>
      </c>
      <c r="G30" s="1020">
        <f>G21*(1-H30)</f>
        <v>455554.48499999999</v>
      </c>
      <c r="H30" s="812">
        <v>0.38500000000000001</v>
      </c>
      <c r="I30" s="606"/>
      <c r="J30" s="1021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1022">
        <f>+C21-C30-C38</f>
        <v>194876.74999999997</v>
      </c>
      <c r="D32" s="611"/>
      <c r="E32" s="1022">
        <f>+E21-E30-E38</f>
        <v>227417.80449999991</v>
      </c>
      <c r="F32" s="611"/>
      <c r="G32" s="611"/>
      <c r="H32" s="611"/>
      <c r="I32" s="606"/>
      <c r="J32" s="812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1023">
        <f>+C32/C21</f>
        <v>0.36763028167253814</v>
      </c>
      <c r="D33" s="611"/>
      <c r="E33" s="1023">
        <f>+E32/E21</f>
        <v>0.39023003718237315</v>
      </c>
      <c r="F33" s="611"/>
      <c r="G33" s="611"/>
      <c r="H33" s="611"/>
      <c r="I33" s="606"/>
      <c r="J33" s="812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805">
        <f>IF(ISNA(VLOOKUP("cau607400000",Balance!C:G,5,FALSE))=TRUE,0,VLOOKUP("cau607400000",Balance!C:G,5,FALSE))</f>
        <v>4195.6099999999997</v>
      </c>
      <c r="D35" s="601"/>
      <c r="E35" s="805">
        <f>IF(ISNA(VLOOKUP("cau607400000",Balanceanp!C:G,5,FALSE))=TRUE,0,VLOOKUP("cau607400000",Balanceanp!C:G,5,FALSE))</f>
        <v>6526.36</v>
      </c>
      <c r="F35" s="612">
        <f>E35/E30</f>
        <v>1.8228717735469024E-2</v>
      </c>
      <c r="G35" s="1024">
        <f>F35*G30</f>
        <v>8304.1741201919576</v>
      </c>
      <c r="H35" s="601"/>
      <c r="I35" s="1013" t="str">
        <f t="shared" si="4"/>
        <v/>
      </c>
      <c r="J35" s="1014"/>
      <c r="L35" s="17">
        <f t="shared" si="0"/>
        <v>1</v>
      </c>
    </row>
    <row r="36" spans="1:12">
      <c r="A36" s="590" t="s">
        <v>97</v>
      </c>
      <c r="B36" s="591"/>
      <c r="C36" s="805">
        <f>IF(ISNA(VLOOKUP("cau608000000",Balance!C:G,5,FALSE))=TRUE,0,VLOOKUP("cau608000000",Balance!C:G,5,FALSE))</f>
        <v>1729.02</v>
      </c>
      <c r="D36" s="601"/>
      <c r="E36" s="805">
        <f>IF(ISNA(VLOOKUP("cau608000000",Balanceanp!C:G,5,FALSE))=TRUE,0,VLOOKUP("cau608000000",Balanceanp!C:G,5,FALSE))</f>
        <v>1284.53</v>
      </c>
      <c r="F36" s="612">
        <f>E36/E30</f>
        <v>3.5878092524381168E-3</v>
      </c>
      <c r="G36" s="1024">
        <f>F36*G30</f>
        <v>1634.4425962726812</v>
      </c>
      <c r="H36" s="601"/>
      <c r="I36" s="1013" t="str">
        <f t="shared" si="4"/>
        <v/>
      </c>
      <c r="J36" s="1014"/>
      <c r="L36" s="17">
        <f t="shared" si="0"/>
        <v>1</v>
      </c>
    </row>
    <row r="37" spans="1:12" hidden="1">
      <c r="A37" s="5" t="s">
        <v>98</v>
      </c>
      <c r="B37" s="92"/>
      <c r="C37" s="160">
        <f>IF(ISNA(VLOOKUP("cau608100000",Balance!C:G,5,FALSE))=TRUE,0,VLOOKUP("cau608100000",Balance!C:G,5,FALSE))</f>
        <v>0</v>
      </c>
      <c r="D37" s="115"/>
      <c r="E37" s="160">
        <f>IF(ISNA(VLOOKUP("cau608100000",Balanceanp!C:G,5,FALSE))=TRUE,0,VLOOKUP("cau608100000",Balanceanp!C:G,5,FALSE))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-15315.660000000003</v>
      </c>
      <c r="D38" s="115"/>
      <c r="E38" s="160">
        <f>+E56-E57</f>
        <v>-2665.2544999999955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IF(ISNA(VLOOKUP("cau681730000",Balance!C:G,5,FALSE))=TRUE,0,VLOOKUP("cau681730000",Balance!C:G,5,FALSE))</f>
        <v>0</v>
      </c>
      <c r="D39" s="115"/>
      <c r="E39" s="160">
        <f>IF(ISNA(VLOOKUP("cau681730000",Balanceanp!C:G,5,FALSE))=TRUE,0,VLOOKUP("cau681730000",Balanceanp!C:G,5,FALSE))</f>
        <v>8252.09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IF(ISNA(VLOOKUP("cau781730000",Balance!C:G,5,FALSE))=TRUE,0,VLOOKUP("cau781730000",Balance!C:G,5,FALSE))</f>
        <v>-3330.69</v>
      </c>
      <c r="D40" s="115"/>
      <c r="E40" s="160">
        <f>IF(ISNA(VLOOKUP("cau781730000",Balanceanp!C:G,5,FALSE))=TRUE,0,VLOOKUP("cau781730000",Balanceanp!C:G,5,FALSE))</f>
        <v>-8543.6299999999992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805">
        <f>IF(ISNA(VLOOKUP("cau609110000",Balance!C:G,5,FALSE))=TRUE,0,VLOOKUP("cau609110000",Balance!C:G,5,FALSE))</f>
        <v>-102.33</v>
      </c>
      <c r="D41" s="601"/>
      <c r="E41" s="805">
        <f>IF(ISNA(VLOOKUP("cau609110000",Balanceanp!C:G,5,FALSE))=TRUE,0,VLOOKUP("cau609110000",Balanceanp!C:G,5,FALSE))</f>
        <v>-4824.38</v>
      </c>
      <c r="F41" s="614">
        <f>E41/SUM(E24:E25)</f>
        <v>-2.9251368851989364E-2</v>
      </c>
      <c r="G41" s="1025">
        <f>H41*(G24)</f>
        <v>-5102.2102320000004</v>
      </c>
      <c r="H41" s="1026">
        <v>-0.02</v>
      </c>
      <c r="I41" s="1013" t="str">
        <f t="shared" si="4"/>
        <v/>
      </c>
      <c r="J41" s="1014"/>
      <c r="L41" s="17">
        <f t="shared" si="0"/>
        <v>1</v>
      </c>
    </row>
    <row r="42" spans="1:12">
      <c r="A42" s="590" t="s">
        <v>318</v>
      </c>
      <c r="B42" s="591"/>
      <c r="C42" s="805">
        <f>IF(ISNA(VLOOKUP("cau609120000",Balance!C:G,5,FALSE))=TRUE,0,VLOOKUP("cau609120000",Balance!C:G,5,FALSE))</f>
        <v>-10996.58</v>
      </c>
      <c r="D42" s="601"/>
      <c r="E42" s="805">
        <f>IF(ISNA(VLOOKUP("cau609120000",Balanceanp!C:G,5,FALSE))=TRUE,0,VLOOKUP("cau609120000",Balanceanp!C:G,5,FALSE))</f>
        <v>-10535.07</v>
      </c>
      <c r="F42" s="614">
        <f>E42/E28</f>
        <v>-7.1691435036593004E-2</v>
      </c>
      <c r="G42" s="1025">
        <f>H42*G28</f>
        <v>-14031.078138000001</v>
      </c>
      <c r="H42" s="1026">
        <v>-7.0000000000000007E-2</v>
      </c>
      <c r="I42" s="1013" t="str">
        <f t="shared" si="4"/>
        <v/>
      </c>
      <c r="J42" s="1014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803">
        <f>+C30+SUM(C34:C43)</f>
        <v>326707.23</v>
      </c>
      <c r="D44" s="617"/>
      <c r="E44" s="803">
        <f>+E30+SUM(E34:E43)</f>
        <v>347520.92550000001</v>
      </c>
      <c r="F44" s="617"/>
      <c r="G44" s="1027">
        <f>SUM(G35:G43)+G30</f>
        <v>446359.81334646465</v>
      </c>
      <c r="H44" s="617"/>
      <c r="I44" s="596"/>
      <c r="J44" s="1015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203381.71999999997</v>
      </c>
      <c r="D46" s="120"/>
      <c r="E46" s="166">
        <f>+E21-E44</f>
        <v>235257.90449999995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0.38367470214197069</v>
      </c>
      <c r="D47" s="120"/>
      <c r="E47" s="196">
        <f>+E46/E21</f>
        <v>0.40368299668675328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9.0777217672618916E-3</v>
      </c>
      <c r="C49" s="805">
        <f>IF(ISNA(VLOOKUP("cau709700000",Balance!C:G,5,FALSE))=TRUE,0,VLOOKUP("cau709700000",Balance!C:G,5,FALSE))</f>
        <v>4812</v>
      </c>
      <c r="D49" s="619">
        <f>+[2]Caudry!$H49</f>
        <v>6416</v>
      </c>
      <c r="E49" s="805">
        <f>IF(ISNA(VLOOKUP("cau709700000",Balanceanp!C:G,5,FALSE))=TRUE,0,VLOOKUP("cau709700000",Balanceanp!C:G,5,FALSE))</f>
        <v>2581.1</v>
      </c>
      <c r="F49" s="619">
        <f>+C49+C49/9*(12-Clients!$I$14)</f>
        <v>6416</v>
      </c>
      <c r="G49" s="631">
        <v>5412</v>
      </c>
      <c r="H49" s="612">
        <f>G49/G21</f>
        <v>7.3062171696103486E-3</v>
      </c>
      <c r="I49" s="1013">
        <f>+IF((E49)=0,,(F49-E49)/E49)</f>
        <v>1.4857618844678626</v>
      </c>
      <c r="J49" s="1014">
        <f>+IF((F49)=0,,(G49-F49)/F49)</f>
        <v>-0.15648379052369077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803">
        <f>+C21-C49</f>
        <v>525276.94999999995</v>
      </c>
      <c r="D51" s="597">
        <f>+D21-D49</f>
        <v>635214</v>
      </c>
      <c r="E51" s="803">
        <f>+E21-E49</f>
        <v>580197.73</v>
      </c>
      <c r="F51" s="597">
        <f>+F21-F49</f>
        <v>689603.68991225841</v>
      </c>
      <c r="G51" s="597">
        <f>+G21-G49</f>
        <v>735327</v>
      </c>
      <c r="H51" s="597"/>
      <c r="I51" s="596">
        <f>+IF((E51)=0,,(F51-E51)/E51)</f>
        <v>0.18856668038370028</v>
      </c>
      <c r="J51" s="1015">
        <f>+IF((F51)=0,,(G51-F51)/F51)</f>
        <v>6.6303749177385032E-2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198569.71999999997</v>
      </c>
      <c r="D53" s="122"/>
      <c r="E53" s="169">
        <f>+E51-E44</f>
        <v>232676.80449999997</v>
      </c>
      <c r="F53" s="140"/>
      <c r="G53" s="140">
        <f>+G51-G44</f>
        <v>288967.18665353535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0.37802861899803519</v>
      </c>
      <c r="D54" s="123"/>
      <c r="E54" s="197">
        <f>+E53/E51</f>
        <v>0.40103018758794517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+[2]Caudry!$C56</f>
        <v>83431.34</v>
      </c>
      <c r="D56" s="115"/>
      <c r="E56" s="160">
        <f>+[1]Caudry!$G56</f>
        <v>78366.645099999994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+[2]Caudry!$C57</f>
        <v>98747</v>
      </c>
      <c r="D57" s="115"/>
      <c r="E57" s="160">
        <f>+[1]Caudry!$G57</f>
        <v>81031.89959999999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660">
        <f>+[2]Caudry!$C60</f>
        <v>0.3972</v>
      </c>
      <c r="D60" s="622">
        <f>+[2]Caudry!$H60</f>
        <v>0.39724407837358749</v>
      </c>
      <c r="E60" s="660">
        <f>+[1]Caudry!$G$54</f>
        <v>0.40103018758794517</v>
      </c>
      <c r="F60" s="622">
        <f>+C60</f>
        <v>0.3972</v>
      </c>
      <c r="G60" s="622">
        <f>G62/G51</f>
        <v>0.39297779988159737</v>
      </c>
      <c r="H60" s="622"/>
      <c r="I60" s="660"/>
      <c r="J60" s="622"/>
      <c r="L60" s="17">
        <f t="shared" si="0"/>
        <v>1</v>
      </c>
    </row>
    <row r="61" spans="1:12" hidden="1">
      <c r="A61" s="5" t="s">
        <v>65</v>
      </c>
      <c r="B61" s="92"/>
      <c r="C61" s="92">
        <f>+[2]Caudry!$C61</f>
        <v>0.38500000000000001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661">
        <f>+C51*C60</f>
        <v>208640.00453999999</v>
      </c>
      <c r="D62" s="624">
        <f>D51*D60</f>
        <v>252335</v>
      </c>
      <c r="E62" s="661">
        <f>+E51*E60</f>
        <v>232676.80449999997</v>
      </c>
      <c r="F62" s="624">
        <f>+F51*F60</f>
        <v>273910.58563314902</v>
      </c>
      <c r="G62" s="624">
        <f>G51-G44</f>
        <v>288967.18665353535</v>
      </c>
      <c r="H62" s="624"/>
      <c r="I62" s="660">
        <f>+IF((E62)=0,,(F62-E62)/E62)</f>
        <v>0.17721483334686702</v>
      </c>
      <c r="J62" s="622">
        <f>+IF((F62)=0,,(G62-F62)/F62)</f>
        <v>5.4969036649615909E-2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805">
        <f>IF(ISNA(VLOOKUP("cau613520000",Balance!C:G,5,FALSE))=TRUE,0,VLOOKUP("cau613520000",Balance!C:G,5,FALSE))</f>
        <v>2127.9</v>
      </c>
      <c r="D64" s="619">
        <f>+[2]Caudry!$H64</f>
        <v>3550.8580500000007</v>
      </c>
      <c r="E64" s="805">
        <f>IF(ISNA(VLOOKUP("cau613520000",Balanceanp!C:G,5,FALSE))=TRUE,0,VLOOKUP("cau613520000",Balanceanp!C:G,5,FALSE))</f>
        <v>3226.16</v>
      </c>
      <c r="F64" s="593">
        <f>+C64+C64/9*(12-Clients!$I$14)</f>
        <v>2837.2</v>
      </c>
      <c r="G64" s="1012">
        <f>+F64*1.03</f>
        <v>2922.3159999999998</v>
      </c>
      <c r="H64" s="1012"/>
      <c r="I64" s="1013">
        <f t="shared" ref="I64:J68" si="5">+IF((E64)=0,,(F64-E64)/E64)</f>
        <v>-0.12056438614327872</v>
      </c>
      <c r="J64" s="1014">
        <f t="shared" si="5"/>
        <v>2.9999999999999995E-2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+[2]Caudry!$H65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805">
        <f>IF(ISNA(VLOOKUP("cau616120000",Balance!C:G,5,FALSE))=TRUE,0,VLOOKUP("cau616120000",Balance!C:G,5,FALSE))</f>
        <v>546.85</v>
      </c>
      <c r="D66" s="619">
        <f>+[2]Caudry!$H66</f>
        <v>672.47670000000005</v>
      </c>
      <c r="E66" s="805">
        <f>IF(ISNA(VLOOKUP("cau616120000",Balanceanp!C:G,5,FALSE))=TRUE,0,VLOOKUP("cau616120000",Balanceanp!C:G,5,FALSE))</f>
        <v>737</v>
      </c>
      <c r="F66" s="593">
        <f>+C66+C66/9*(12-Clients!$I$14)</f>
        <v>729.13333333333333</v>
      </c>
      <c r="G66" s="1012">
        <f>+F66*1.03</f>
        <v>751.00733333333335</v>
      </c>
      <c r="H66" s="1012"/>
      <c r="I66" s="1013">
        <f t="shared" si="5"/>
        <v>-1.0673903211216654E-2</v>
      </c>
      <c r="J66" s="1014">
        <f t="shared" si="5"/>
        <v>3.0000000000000034E-2</v>
      </c>
      <c r="L66" s="17">
        <f t="shared" si="0"/>
        <v>1</v>
      </c>
    </row>
    <row r="67" spans="1:12">
      <c r="A67" s="590" t="s">
        <v>107</v>
      </c>
      <c r="B67" s="591"/>
      <c r="C67" s="805">
        <f>IF(ISNA(VLOOKUP("cau615520000",Balance!C:G,5,FALSE))=TRUE,0,VLOOKUP("cau615520000",Balance!C:G,5,FALSE))</f>
        <v>597.04</v>
      </c>
      <c r="D67" s="619">
        <f>+[2]Caudry!$H67</f>
        <v>1203.0503000000001</v>
      </c>
      <c r="E67" s="805">
        <f>IF(ISNA(VLOOKUP("cau615520000",Balanceanp!C:G,5,FALSE))=TRUE,0,VLOOKUP("cau615520000",Balanceanp!C:G,5,FALSE))</f>
        <v>1094.6299999999999</v>
      </c>
      <c r="F67" s="593">
        <f>+C67+C67/9*(12-Clients!$I$14)</f>
        <v>796.05333333333328</v>
      </c>
      <c r="G67" s="1012">
        <f>+F67*1.03</f>
        <v>819.93493333333333</v>
      </c>
      <c r="H67" s="1012"/>
      <c r="I67" s="1013">
        <f t="shared" si="5"/>
        <v>-0.27276492208935132</v>
      </c>
      <c r="J67" s="1014">
        <f t="shared" si="5"/>
        <v>3.0000000000000061E-2</v>
      </c>
      <c r="L67" s="17">
        <f t="shared" si="0"/>
        <v>1</v>
      </c>
    </row>
    <row r="68" spans="1:12">
      <c r="A68" s="590" t="s">
        <v>125</v>
      </c>
      <c r="B68" s="591"/>
      <c r="C68" s="805">
        <f>IF(ISNA(VLOOKUP("cau606130000",Balance!C:G,5,FALSE))=TRUE,0,VLOOKUP("cau606130000",Balance!C:G,5,FALSE))</f>
        <v>1989.68</v>
      </c>
      <c r="D68" s="619">
        <f>+[2]Caudry!$H68</f>
        <v>2909.5954999999999</v>
      </c>
      <c r="E68" s="805">
        <f>IF(ISNA(VLOOKUP("cau606130000",Balanceanp!C:G,5,FALSE))=TRUE,0,VLOOKUP("cau606130000",Balanceanp!C:G,5,FALSE))</f>
        <v>2340.7199999999998</v>
      </c>
      <c r="F68" s="593">
        <f>+C68+C68/9*(12-Clients!$I$14)</f>
        <v>2652.9066666666668</v>
      </c>
      <c r="G68" s="593">
        <f>+F68*1.03</f>
        <v>2732.4938666666667</v>
      </c>
      <c r="H68" s="593"/>
      <c r="I68" s="1013">
        <f t="shared" si="5"/>
        <v>0.13337206785376593</v>
      </c>
      <c r="J68" s="1014">
        <f t="shared" si="5"/>
        <v>2.9999999999999975E-2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1028">
        <f>SUM(C64:C69)</f>
        <v>5261.47</v>
      </c>
      <c r="D70" s="1029">
        <f>SUM(D64:D69)</f>
        <v>8335.9805500000002</v>
      </c>
      <c r="E70" s="805">
        <f>SUM(E64:E69)</f>
        <v>7398.51</v>
      </c>
      <c r="F70" s="629">
        <f>SUM(F64:F69)</f>
        <v>7015.2933333333331</v>
      </c>
      <c r="G70" s="813">
        <f>SUM(G64:G69)</f>
        <v>7225.7521333333334</v>
      </c>
      <c r="H70" s="813"/>
      <c r="I70" s="1013">
        <f>+IF((E70)=0,,(F70-E70)/E70)</f>
        <v>-5.1796465324324373E-2</v>
      </c>
      <c r="J70" s="1014">
        <f>+IF((F70)=0,,(G70-F70)/F70)</f>
        <v>3.0000000000000051E-2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805">
        <f>IF(ISNA(VLOOKUP("cau602220000",Balance!C:G,5,FALSE))=TRUE,0,VLOOKUP("cau602220000",Balance!C:G,5,FALSE))</f>
        <v>0</v>
      </c>
      <c r="D72" s="619">
        <f>+[2]Caudry!$H72</f>
        <v>9.8686907187500008</v>
      </c>
      <c r="E72" s="805">
        <f>IF(ISNA(VLOOKUP("cau602220000",Balanceanp!C:G,5,FALSE))=TRUE,0,VLOOKUP("cau602220000",Balanceanp!C:G,5,FALSE))</f>
        <v>0</v>
      </c>
      <c r="F72" s="593">
        <f>+C72+C72/9*(12-Clients!$I$14)</f>
        <v>0</v>
      </c>
      <c r="G72" s="1030">
        <f>+F72*1.03</f>
        <v>0</v>
      </c>
      <c r="H72" s="1030"/>
      <c r="I72" s="1013">
        <f t="shared" ref="I72:J87" si="6">+IF((E72)=0,,(F72-E72)/E72)</f>
        <v>0</v>
      </c>
      <c r="J72" s="1014">
        <f t="shared" si="6"/>
        <v>0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805">
        <f>IF(ISNA(VLOOKUP("cau606100000",Balance!C:G,5,FALSE))=TRUE,0,VLOOKUP("cau606100000",Balance!C:G,5,FALSE))</f>
        <v>2045.97</v>
      </c>
      <c r="D73" s="619">
        <f>+[2]Caudry!$H73</f>
        <v>3288.5811649309726</v>
      </c>
      <c r="E73" s="805">
        <f>IF(ISNA(VLOOKUP("cau606100000",Balanceanp!C:G,5,FALSE))=TRUE,0,VLOOKUP("cau606100000",Balanceanp!C:G,5,FALSE))</f>
        <v>3227.4</v>
      </c>
      <c r="F73" s="593">
        <f>+C73+C73/9*(12-Clients!$I$14)</f>
        <v>2727.96</v>
      </c>
      <c r="G73" s="1030">
        <f t="shared" ref="G73:G101" si="8">+F73*1.03</f>
        <v>2809.7988</v>
      </c>
      <c r="H73" s="1030"/>
      <c r="I73" s="1013">
        <f t="shared" si="6"/>
        <v>-0.15474995352295967</v>
      </c>
      <c r="J73" s="1014">
        <f t="shared" si="6"/>
        <v>2.9999999999999995E-2</v>
      </c>
      <c r="L73" s="17">
        <f t="shared" si="7"/>
        <v>1</v>
      </c>
    </row>
    <row r="74" spans="1:12">
      <c r="A74" s="590" t="s">
        <v>124</v>
      </c>
      <c r="B74" s="591"/>
      <c r="C74" s="805">
        <f>IF(ISNA(VLOOKUP("cau606110000",Balance!C:G,5,FALSE))=TRUE,0,VLOOKUP("cau606110000",Balance!C:G,5,FALSE))</f>
        <v>3966.81</v>
      </c>
      <c r="D74" s="619">
        <f>+[2]Caudry!$H74</f>
        <v>4618.047741580508</v>
      </c>
      <c r="E74" s="805">
        <f>IF(ISNA(VLOOKUP("cau606110000",Balanceanp!C:G,5,FALSE))=TRUE,0,VLOOKUP("cau606110000",Balanceanp!C:G,5,FALSE))</f>
        <v>5537.61</v>
      </c>
      <c r="F74" s="593">
        <f>+C74+C74/9*(12-Clients!$I$14)</f>
        <v>5289.08</v>
      </c>
      <c r="G74" s="1030">
        <f t="shared" si="8"/>
        <v>5447.7524000000003</v>
      </c>
      <c r="H74" s="1030"/>
      <c r="I74" s="1013">
        <f t="shared" si="6"/>
        <v>-4.4880372579506278E-2</v>
      </c>
      <c r="J74" s="1014">
        <f t="shared" si="6"/>
        <v>3.0000000000000072E-2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IF(ISNA(VLOOKUP("cau606140000",Balance!C:G,5,FALSE))=TRUE,0,VLOOKUP("cau606140000",Balance!C:G,5,FALSE))</f>
        <v>0</v>
      </c>
      <c r="D75" s="117">
        <f>+[2]Caudry!$H75</f>
        <v>0</v>
      </c>
      <c r="E75" s="160">
        <f>IF(ISNA(VLOOKUP("cau606140000",Balanceanp!C:G,5,FALSE))=TRUE,0,VLOOKUP("cau606140000",Balanceanp!C:G,5,FALSE))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805">
        <f>IF(ISNA(VLOOKUP("cau606310000",Balance!C:G,5,FALSE))=TRUE,0,VLOOKUP("cau606310000",Balance!C:G,5,FALSE))</f>
        <v>3.68</v>
      </c>
      <c r="D76" s="619">
        <f>+[2]Caudry!$H76</f>
        <v>6.5639305195388875</v>
      </c>
      <c r="E76" s="805">
        <f>IF(ISNA(VLOOKUP("cau606310000",Balanceanp!C:G,5,FALSE))=TRUE,0,VLOOKUP("cau606310000",Balanceanp!C:G,5,FALSE))</f>
        <v>0</v>
      </c>
      <c r="F76" s="593">
        <f>+C76+C76/9*(12-Clients!$I$14)</f>
        <v>4.9066666666666672</v>
      </c>
      <c r="G76" s="1030">
        <f t="shared" si="8"/>
        <v>5.053866666666667</v>
      </c>
      <c r="H76" s="1030"/>
      <c r="I76" s="1013">
        <f t="shared" si="6"/>
        <v>0</v>
      </c>
      <c r="J76" s="1014">
        <f t="shared" si="6"/>
        <v>2.999999999999995E-2</v>
      </c>
      <c r="L76" s="17">
        <f t="shared" si="7"/>
        <v>1</v>
      </c>
    </row>
    <row r="77" spans="1:12">
      <c r="A77" s="590" t="s">
        <v>127</v>
      </c>
      <c r="B77" s="591"/>
      <c r="C77" s="805">
        <f>IF(ISNA(VLOOKUP("cau606410000",Balance!C:G,5,FALSE))=TRUE,0,VLOOKUP("cau606410000",Balance!C:G,5,FALSE))</f>
        <v>773.89</v>
      </c>
      <c r="D77" s="619">
        <f>+[2]Caudry!$H77</f>
        <v>1510.0176203710816</v>
      </c>
      <c r="E77" s="805">
        <f>IF(ISNA(VLOOKUP("cau606410000",Balanceanp!C:G,5,FALSE))=TRUE,0,VLOOKUP("cau606410000",Balanceanp!C:G,5,FALSE))</f>
        <v>2525.8000000000002</v>
      </c>
      <c r="F77" s="593">
        <f>+C77+C77/9*(12-Clients!$I$14)</f>
        <v>1031.8533333333335</v>
      </c>
      <c r="G77" s="1030">
        <f t="shared" si="8"/>
        <v>1062.8089333333335</v>
      </c>
      <c r="H77" s="1030"/>
      <c r="I77" s="1013">
        <f t="shared" si="6"/>
        <v>-0.59147464829624929</v>
      </c>
      <c r="J77" s="1014">
        <f t="shared" si="6"/>
        <v>0.03</v>
      </c>
      <c r="L77" s="17">
        <f t="shared" si="7"/>
        <v>1</v>
      </c>
    </row>
    <row r="78" spans="1:12">
      <c r="A78" s="590" t="s">
        <v>101</v>
      </c>
      <c r="B78" s="591"/>
      <c r="C78" s="805">
        <f>IF(ISNA(VLOOKUP("cau611000000",Balance!C:G,5,FALSE))=TRUE,0,VLOOKUP("cau611000000",Balance!C:G,5,FALSE))</f>
        <v>0</v>
      </c>
      <c r="D78" s="619">
        <f>+[2]Caudry!$H78</f>
        <v>39.150907048632298</v>
      </c>
      <c r="E78" s="805">
        <f>IF(ISNA(VLOOKUP("cau611000000",Balanceanp!C:G,5,FALSE))=TRUE,0,VLOOKUP("cau611000000",Balanceanp!C:G,5,FALSE))</f>
        <v>0</v>
      </c>
      <c r="F78" s="593">
        <f>+C78+C78/9*(12-Clients!$I$14)</f>
        <v>0</v>
      </c>
      <c r="G78" s="593">
        <f t="shared" si="8"/>
        <v>0</v>
      </c>
      <c r="H78" s="593"/>
      <c r="I78" s="1013">
        <f t="shared" si="6"/>
        <v>0</v>
      </c>
      <c r="J78" s="1014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805">
        <f>IF(ISNA(VLOOKUP("cau613200000",Balance!C:G,5,FALSE))=TRUE,0,VLOOKUP("cau613200000",Balance!C:G,5,FALSE))</f>
        <v>23910.57</v>
      </c>
      <c r="D79" s="619">
        <f>+[2]Caudry!$H79</f>
        <v>42496.76</v>
      </c>
      <c r="E79" s="805">
        <f>IF(ISNA(VLOOKUP("cau613200000",Balanceanp!C:G,5,FALSE))=TRUE,0,VLOOKUP("cau613200000",Balanceanp!C:G,5,FALSE))</f>
        <v>30436.260000000002</v>
      </c>
      <c r="F79" s="631">
        <f>10554+11.67+10519*3-10603.5</f>
        <v>31519.17</v>
      </c>
      <c r="G79" s="631">
        <f>10554*0.666666666666667*4+10554*4/3*1.05-10604</f>
        <v>32315.600000000013</v>
      </c>
      <c r="H79" s="1149">
        <f>G79/G21</f>
        <v>4.3626162521481944E-2</v>
      </c>
      <c r="I79" s="1013">
        <f t="shared" si="6"/>
        <v>3.5579601435918741E-2</v>
      </c>
      <c r="J79" s="1014">
        <f t="shared" si="6"/>
        <v>2.5268114610886482E-2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IF(ISNA(VLOOKUP("cau614000000",Balance!C:G,5,FALSE))=TRUE,0,VLOOKUP("cau614000000",Balance!C:G,5,FALSE))</f>
        <v>0</v>
      </c>
      <c r="D80" s="117">
        <f>+[2]Caudry!$H80</f>
        <v>0</v>
      </c>
      <c r="E80" s="160">
        <f>IF(ISNA(VLOOKUP("cau614000000",Balanceanp!C:G,5,FALSE))=TRUE,0,VLOOKUP("cau614000000",Balanceanp!C:G,5,FALSE))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IF(ISNA(VLOOKUP("cau613510000",Balance!C:G,5,FALSE))=TRUE,0,VLOOKUP("cau613510000",Balance!C:G,5,FALSE))</f>
        <v>0</v>
      </c>
      <c r="D81" s="117">
        <f>+[2]Caudry!$H81</f>
        <v>0</v>
      </c>
      <c r="E81" s="160">
        <f>IF(ISNA(VLOOKUP("cau613510000",Balanceanp!C:G,5,FALSE))=TRUE,0,VLOOKUP("cau613510000",Balanceanp!C:G,5,FALSE))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805">
        <f>IF(ISNA(VLOOKUP("cau613530000",Balance!C:G,5,FALSE))=TRUE,0,VLOOKUP("cau613530000",Balance!C:G,5,FALSE))</f>
        <v>135</v>
      </c>
      <c r="D82" s="619">
        <f>+[2]Caudry!$H82</f>
        <v>189.61060427187499</v>
      </c>
      <c r="E82" s="805">
        <f>IF(ISNA(VLOOKUP("cau613530000",Balanceanp!C:G,5,FALSE))=TRUE,0,VLOOKUP("cau613530000",Balanceanp!C:G,5,FALSE))</f>
        <v>180</v>
      </c>
      <c r="F82" s="593">
        <f>+C82+C82/9*(12-Clients!$I$14)</f>
        <v>180</v>
      </c>
      <c r="G82" s="1030">
        <f t="shared" si="8"/>
        <v>185.4</v>
      </c>
      <c r="H82" s="1030"/>
      <c r="I82" s="1013">
        <f t="shared" si="6"/>
        <v>0</v>
      </c>
      <c r="J82" s="1014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805">
        <f>IF(ISNA(VLOOKUP("cau613540000",Balance!C:G,5,FALSE))=TRUE,0,VLOOKUP("cau613540000",Balance!C:G,5,FALSE))</f>
        <v>0</v>
      </c>
      <c r="D83" s="619">
        <f>+[2]Caudry!$H83</f>
        <v>2.2765145833333338</v>
      </c>
      <c r="E83" s="805">
        <f>IF(ISNA(VLOOKUP("cau613540000",Balanceanp!C:G,5,FALSE))=TRUE,0,VLOOKUP("cau613540000",Balanceanp!C:G,5,FALSE))</f>
        <v>0</v>
      </c>
      <c r="F83" s="593">
        <f>+C83+C83/9*(12-Clients!$I$14)</f>
        <v>0</v>
      </c>
      <c r="G83" s="1030">
        <f t="shared" si="8"/>
        <v>0</v>
      </c>
      <c r="H83" s="1030"/>
      <c r="I83" s="1013">
        <f t="shared" si="6"/>
        <v>0</v>
      </c>
      <c r="J83" s="1014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805">
        <f>IF(ISNA(VLOOKUP("cau615200000",Balance!C:G,5,FALSE))=TRUE,0,VLOOKUP("cau615200000",Balance!C:G,5,FALSE))</f>
        <v>148</v>
      </c>
      <c r="D84" s="619">
        <f>+[2]Caudry!$H84</f>
        <v>868.82461710104167</v>
      </c>
      <c r="E84" s="805">
        <f>IF(ISNA(VLOOKUP("cau615200000",Balanceanp!C:G,5,FALSE))=TRUE,0,VLOOKUP("cau615200000",Balanceanp!C:G,5,FALSE))</f>
        <v>565.95000000000005</v>
      </c>
      <c r="F84" s="593">
        <f>+C84+C84/9*(12-Clients!$I$14)</f>
        <v>197.33333333333331</v>
      </c>
      <c r="G84" s="1030">
        <f t="shared" si="8"/>
        <v>203.25333333333333</v>
      </c>
      <c r="H84" s="1030"/>
      <c r="I84" s="1013">
        <f t="shared" si="6"/>
        <v>-0.65132373295638613</v>
      </c>
      <c r="J84" s="1014">
        <f t="shared" si="6"/>
        <v>3.0000000000000082E-2</v>
      </c>
      <c r="L84" s="17">
        <f t="shared" si="7"/>
        <v>1</v>
      </c>
    </row>
    <row r="85" spans="1:12">
      <c r="A85" s="590" t="s">
        <v>109</v>
      </c>
      <c r="B85" s="591"/>
      <c r="C85" s="805">
        <f>IF(ISNA(VLOOKUP("cau615500000",Balance!C:G,5,FALSE))=TRUE,0,VLOOKUP("cau615500000",Balance!C:G,5,FALSE))</f>
        <v>934</v>
      </c>
      <c r="D85" s="619">
        <f>+[2]Caudry!$H85</f>
        <v>1282.8350526605905</v>
      </c>
      <c r="E85" s="805">
        <f>IF(ISNA(VLOOKUP("cau615500000",Balanceanp!C:G,5,FALSE))=TRUE,0,VLOOKUP("cau615500000",Balanceanp!C:G,5,FALSE))</f>
        <v>920</v>
      </c>
      <c r="F85" s="593">
        <f>+C85+C85/9*(12-Clients!$I$14)</f>
        <v>1245.3333333333333</v>
      </c>
      <c r="G85" s="1030">
        <f t="shared" si="8"/>
        <v>1282.6933333333334</v>
      </c>
      <c r="H85" s="1030"/>
      <c r="I85" s="1013">
        <f t="shared" si="6"/>
        <v>0.35362318840579704</v>
      </c>
      <c r="J85" s="1014">
        <f t="shared" si="6"/>
        <v>3.0000000000000103E-2</v>
      </c>
      <c r="L85" s="17">
        <f t="shared" si="7"/>
        <v>1</v>
      </c>
    </row>
    <row r="86" spans="1:12">
      <c r="A86" s="590" t="s">
        <v>106</v>
      </c>
      <c r="B86" s="591"/>
      <c r="C86" s="805">
        <f>IF(ISNA(VLOOKUP("cau615510000",Balance!C:G,5,FALSE))=TRUE,0,VLOOKUP("cau615510000",Balance!C:G,5,FALSE))</f>
        <v>1370.43</v>
      </c>
      <c r="D86" s="619">
        <f>+[2]Caudry!$H86</f>
        <v>1316.9829638958101</v>
      </c>
      <c r="E86" s="805">
        <f>IF(ISNA(VLOOKUP("cau615510000",Balanceanp!C:G,5,FALSE))=TRUE,0,VLOOKUP("cau615510000",Balanceanp!C:G,5,FALSE))</f>
        <v>1424.15</v>
      </c>
      <c r="F86" s="593">
        <f>+C86+C86/9*(12-Clients!$I$14)</f>
        <v>1827.2400000000002</v>
      </c>
      <c r="G86" s="1030">
        <f t="shared" si="8"/>
        <v>1882.0572000000002</v>
      </c>
      <c r="H86" s="1030"/>
      <c r="I86" s="1013">
        <f t="shared" si="6"/>
        <v>0.2830390057227119</v>
      </c>
      <c r="J86" s="1014">
        <f t="shared" si="6"/>
        <v>2.9999999999999971E-2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IF(ISNA(VLOOKUP("cau615530000",Balance!C:G,5,FALSE))=TRUE,0,VLOOKUP("cau615530000",Balance!C:G,5,FALSE))</f>
        <v>0</v>
      </c>
      <c r="D87" s="117">
        <f>+[2]Caudry!$H87</f>
        <v>0</v>
      </c>
      <c r="E87" s="160">
        <f>IF(ISNA(VLOOKUP("cau615530000",Balanceanp!C:G,5,FALSE))=TRUE,0,VLOOKUP("cau615530000",Balanceanp!C:G,5,FALSE))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805">
        <f>IF(ISNA(VLOOKUP("cau616130000",Balance!C:G,5,FALSE))=TRUE,0,VLOOKUP("cau616130000",Balance!C:G,5,FALSE))</f>
        <v>2081.9699999999998</v>
      </c>
      <c r="D88" s="619">
        <f>+[2]Caudry!$H88</f>
        <v>2775.9516750000003</v>
      </c>
      <c r="E88" s="805">
        <f>IF(ISNA(VLOOKUP("cau616130000",Balanceanp!C:G,5,FALSE))=TRUE,0,VLOOKUP("cau616130000",Balanceanp!C:G,5,FALSE))</f>
        <v>2550.23</v>
      </c>
      <c r="F88" s="593">
        <f>+C88+C88/9*(12-Clients!$I$14)</f>
        <v>2775.96</v>
      </c>
      <c r="G88" s="638">
        <f>+E88*1.05*1.05</f>
        <v>2811.6285750000002</v>
      </c>
      <c r="H88" s="638"/>
      <c r="I88" s="1013">
        <f t="shared" ref="I88:I101" si="9">+IF((E88)=0,,(F88-E88)/E88)</f>
        <v>8.8513585049191643E-2</v>
      </c>
      <c r="J88" s="1014">
        <f t="shared" ref="J88:J101" si="10">+IF((F88)=0,,(G88-F88)/F88)</f>
        <v>1.2849095448061263E-2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+[2]Caudry!$H89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805">
        <f>IF(ISNA(VLOOKUP("cau618100000",Balance!C:G,5,FALSE))=TRUE,0,VLOOKUP("cau618100000",Balance!C:G,5,FALSE))</f>
        <v>347.34</v>
      </c>
      <c r="D90" s="619">
        <f>+[2]Caudry!$H90</f>
        <v>522.60536458866466</v>
      </c>
      <c r="E90" s="805">
        <f>IF(ISNA(VLOOKUP("cau618100000",Balanceanp!C:G,5,FALSE))=TRUE,0,VLOOKUP("cau618100000",Balanceanp!C:G,5,FALSE))</f>
        <v>411.5</v>
      </c>
      <c r="F90" s="593">
        <f>+C90+C90/9*(12-Clients!$I$14)</f>
        <v>463.12</v>
      </c>
      <c r="G90" s="1030">
        <f t="shared" si="8"/>
        <v>477.0136</v>
      </c>
      <c r="H90" s="1030"/>
      <c r="I90" s="1013">
        <f t="shared" si="9"/>
        <v>0.1254434993924666</v>
      </c>
      <c r="J90" s="1014">
        <f t="shared" si="10"/>
        <v>2.9999999999999982E-2</v>
      </c>
      <c r="L90" s="17">
        <f t="shared" si="7"/>
        <v>1</v>
      </c>
    </row>
    <row r="91" spans="1:12">
      <c r="A91" s="590" t="s">
        <v>113</v>
      </c>
      <c r="B91" s="591"/>
      <c r="C91" s="805">
        <f>IF(ISNA(VLOOKUP("cau618500000",Balance!C:G,5,FALSE))=TRUE,0,VLOOKUP("cau618500000",Balance!C:G,5,FALSE))</f>
        <v>798.02</v>
      </c>
      <c r="D91" s="619">
        <f>+[2]Caudry!$H91</f>
        <v>677.71861017032154</v>
      </c>
      <c r="E91" s="805">
        <f>IF(ISNA(VLOOKUP("cau618500000",Balanceanp!C:G,5,FALSE))=TRUE,0,VLOOKUP("cau618500000",Balanceanp!C:G,5,FALSE))</f>
        <v>516.49</v>
      </c>
      <c r="F91" s="593">
        <f>+C91+C91/9*(12-Clients!$I$14)</f>
        <v>1064.0266666666666</v>
      </c>
      <c r="G91" s="1030">
        <f t="shared" si="8"/>
        <v>1095.9474666666667</v>
      </c>
      <c r="H91" s="1030"/>
      <c r="I91" s="1013">
        <f t="shared" si="9"/>
        <v>1.0601108766223288</v>
      </c>
      <c r="J91" s="1014">
        <f t="shared" si="10"/>
        <v>3.0000000000000093E-2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IF(ISNA(VLOOKUP("cau622200000",Balance!C:G,5,FALSE))=TRUE,0,VLOOKUP("cau622200000",Balance!C:G,5,FALSE))</f>
        <v>0</v>
      </c>
      <c r="D92" s="117">
        <f>+[2]Caudry!$H92</f>
        <v>0</v>
      </c>
      <c r="E92" s="160">
        <f>IF(ISNA(VLOOKUP("cau622200000",Balanceanp!C:G,5,FALSE))=TRUE,0,VLOOKUP("cau622200000",Balanceanp!C:G,5,FALSE))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805">
        <f>IF(ISNA(VLOOKUP("cau622600000",Balance!C:G,5,FALSE))=TRUE,0,VLOOKUP("cau622600000",Balance!C:G,5,FALSE))</f>
        <v>0</v>
      </c>
      <c r="D93" s="619">
        <f>+[2]Caudry!$H93</f>
        <v>0.5862025052083335</v>
      </c>
      <c r="E93" s="805">
        <f>IF(ISNA(VLOOKUP("cau622600000",Balanceanp!C:G,5,FALSE))=TRUE,0,VLOOKUP("cau622600000",Balanceanp!C:G,5,FALSE))</f>
        <v>0</v>
      </c>
      <c r="F93" s="593">
        <f>+C93+C93/9*(12-Clients!$I$14)</f>
        <v>0</v>
      </c>
      <c r="G93" s="1030">
        <f t="shared" si="8"/>
        <v>0</v>
      </c>
      <c r="H93" s="1030"/>
      <c r="I93" s="1013">
        <f t="shared" si="9"/>
        <v>0</v>
      </c>
      <c r="J93" s="1014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IF(ISNA(VLOOKUP("cau622710000",Balance!C:G,5,FALSE))=TRUE,0,VLOOKUP("cau622710000",Balance!C:G,5,FALSE))</f>
        <v>0</v>
      </c>
      <c r="D94" s="117">
        <f>+[2]Caudry!$H94</f>
        <v>0</v>
      </c>
      <c r="E94" s="160">
        <f>IF(ISNA(VLOOKUP("cau622710000",Balanceanp!C:G,5,FALSE))=TRUE,0,VLOOKUP("cau622710000",Balanceanp!C:G,5,FALSE))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1.497856161687581E-2</v>
      </c>
      <c r="C95" s="805">
        <f>IF(ISNA(VLOOKUP("cau624200000",Balance!C:G,5,FALSE))=TRUE,0,VLOOKUP("cau624200000",Balance!C:G,5,FALSE))</f>
        <v>7939.97</v>
      </c>
      <c r="D95" s="619">
        <f>+[2]Caudry!$H95</f>
        <v>8867.3980728409624</v>
      </c>
      <c r="E95" s="805">
        <f>IF(ISNA(VLOOKUP("cau624200000",Balanceanp!C:G,5,FALSE))=TRUE,0,VLOOKUP("cau624200000",Balanceanp!C:G,5,FALSE))</f>
        <v>9490.32</v>
      </c>
      <c r="F95" s="593">
        <f>+C95+C95/9*(12-Clients!$I$14)</f>
        <v>10586.626666666667</v>
      </c>
      <c r="G95" s="1030">
        <f>B95*G21</f>
        <v>11095.20475352297</v>
      </c>
      <c r="H95" s="1031">
        <f>+G95/$G$21</f>
        <v>1.497856161687581E-2</v>
      </c>
      <c r="I95" s="1013">
        <f t="shared" si="9"/>
        <v>0.11551840893317268</v>
      </c>
      <c r="J95" s="1014">
        <f t="shared" si="10"/>
        <v>4.8039673341615588E-2</v>
      </c>
      <c r="L95" s="17">
        <f t="shared" si="7"/>
        <v>1</v>
      </c>
    </row>
    <row r="96" spans="1:12">
      <c r="A96" s="590" t="s">
        <v>118</v>
      </c>
      <c r="B96" s="591"/>
      <c r="C96" s="805">
        <f>IF(ISNA(VLOOKUP("cau625100000",Balance!C:G,5,FALSE))=TRUE,0,VLOOKUP("cau625100000",Balance!C:G,5,FALSE))</f>
        <v>3940.03</v>
      </c>
      <c r="D96" s="619">
        <f>+[2]Caudry!$H96</f>
        <v>5686.86175</v>
      </c>
      <c r="E96" s="805">
        <f>IF(ISNA(VLOOKUP("cau625100000",Balanceanp!C:G,5,FALSE))=TRUE,0,VLOOKUP("cau625100000",Balanceanp!C:G,5,FALSE))</f>
        <v>5882.07</v>
      </c>
      <c r="F96" s="593">
        <f>+C96+C96/9*(12-Clients!$I$14)</f>
        <v>5253.3733333333339</v>
      </c>
      <c r="G96" s="1012">
        <f t="shared" si="8"/>
        <v>5410.974533333334</v>
      </c>
      <c r="H96" s="1012"/>
      <c r="I96" s="1013">
        <f t="shared" si="9"/>
        <v>-0.10688357443326343</v>
      </c>
      <c r="J96" s="1014">
        <f t="shared" si="10"/>
        <v>3.0000000000000009E-2</v>
      </c>
      <c r="L96" s="17">
        <f t="shared" si="7"/>
        <v>1</v>
      </c>
    </row>
    <row r="97" spans="1:12">
      <c r="A97" s="590" t="s">
        <v>7</v>
      </c>
      <c r="B97" s="591"/>
      <c r="C97" s="805">
        <f>IF(ISNA(VLOOKUP("CAU625200000",Balance!C:G,5,FALSE))=TRUE,0,VLOOKUP("CAU625200000",Balance!C:G,5,FALSE))</f>
        <v>47.41</v>
      </c>
      <c r="D97" s="619">
        <f>+[2]Caudry!$H97</f>
        <v>7.5852277802010422</v>
      </c>
      <c r="E97" s="805">
        <f>IF(ISNA(VLOOKUP("CAU625200000",Balanceanp!C:G,5,FALSE))=TRUE,0,VLOOKUP("CAU625200000",Balanceanp!C:G,5,FALSE))</f>
        <v>17.760000000000002</v>
      </c>
      <c r="F97" s="593">
        <f>+C97+C97/9*(12-Clients!$I$14)</f>
        <v>63.213333333333324</v>
      </c>
      <c r="G97" s="1012">
        <f t="shared" si="8"/>
        <v>65.109733333333324</v>
      </c>
      <c r="H97" s="1012"/>
      <c r="I97" s="1013">
        <f t="shared" si="9"/>
        <v>2.5593093093093082</v>
      </c>
      <c r="J97" s="1014">
        <f t="shared" si="10"/>
        <v>3.0000000000000002E-2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IF(ISNA(VLOOKUP("cau625510000",Balance!C:G,5,FALSE))=TRUE,0,VLOOKUP("cau625510000",Balance!C:G,5,FALSE))</f>
        <v>0</v>
      </c>
      <c r="D98" s="117">
        <f>+[2]Caudry!$H98</f>
        <v>0</v>
      </c>
      <c r="E98" s="160">
        <f>IF(ISNA(VLOOKUP("cau625510000",Balanceanp!C:G,5,FALSE))=TRUE,0,VLOOKUP("cau625510000",Balanceanp!C:G,5,FALSE))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805">
        <f>IF(ISNA(VLOOKUP("cau626000000",Balance!C:G,5,FALSE))=TRUE,0,VLOOKUP("cau626000000",Balance!C:G,5,FALSE))</f>
        <v>3412.1</v>
      </c>
      <c r="D99" s="619">
        <f>+[2]Caudry!$H99</f>
        <v>3878.547934945092</v>
      </c>
      <c r="E99" s="805">
        <f>IF(ISNA(VLOOKUP("cau626000000",Balanceanp!C:G,5,FALSE))=TRUE,0,VLOOKUP("cau626000000",Balanceanp!C:G,5,FALSE))</f>
        <v>3638.56</v>
      </c>
      <c r="F99" s="593">
        <f>+C99+C99/9*(12-Clients!$I$14)</f>
        <v>4549.4666666666662</v>
      </c>
      <c r="G99" s="1030">
        <f>+F99</f>
        <v>4549.4666666666662</v>
      </c>
      <c r="H99" s="1030"/>
      <c r="I99" s="1013">
        <f t="shared" si="9"/>
        <v>0.25034812306700077</v>
      </c>
      <c r="J99" s="1014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805">
        <f>IF(ISNA(VLOOKUP("cau626100000",Balance!C:G,5,FALSE))=TRUE,0,VLOOKUP("cau626100000",Balance!C:G,5,FALSE))</f>
        <v>1113.53</v>
      </c>
      <c r="D100" s="619">
        <f>+[2]Caudry!$H100</f>
        <v>845.04229908673437</v>
      </c>
      <c r="E100" s="805">
        <f>IF(ISNA(VLOOKUP("cau626100000",Balanceanp!C:G,5,FALSE))=TRUE,0,VLOOKUP("cau626100000",Balanceanp!C:G,5,FALSE))</f>
        <v>776.47</v>
      </c>
      <c r="F100" s="593">
        <f>+C100+C100/9*(12-Clients!$I$14)</f>
        <v>1484.7066666666667</v>
      </c>
      <c r="G100" s="1030">
        <f t="shared" si="8"/>
        <v>1529.2478666666668</v>
      </c>
      <c r="H100" s="1030"/>
      <c r="I100" s="1013">
        <f t="shared" si="9"/>
        <v>0.91212367080076073</v>
      </c>
      <c r="J100" s="1014">
        <f t="shared" si="10"/>
        <v>3.0000000000000079E-2</v>
      </c>
      <c r="L100" s="17">
        <f t="shared" si="7"/>
        <v>1</v>
      </c>
    </row>
    <row r="101" spans="1:12" hidden="1">
      <c r="A101" s="5" t="s">
        <v>121</v>
      </c>
      <c r="B101" s="92"/>
      <c r="C101" s="160">
        <f>IF(ISNA(VLOOKUP("cau628400000",Balance!C:G,5,FALSE))=TRUE,0,VLOOKUP("cau628400000",Balance!C:G,5,FALSE))</f>
        <v>0</v>
      </c>
      <c r="D101" s="117">
        <f>+[2]Caudry!$H101</f>
        <v>0</v>
      </c>
      <c r="E101" s="160">
        <f>IF(ISNA(VLOOKUP("cau628400000",Balanceanp!C:G,5,FALSE))=TRUE,0,VLOOKUP("cau628400000",Balanceanp!C:G,5,FALSE))</f>
        <v>0</v>
      </c>
      <c r="F101" s="368">
        <f>+C101+C101/9*(12-Clients!$I$14)</f>
        <v>0</v>
      </c>
      <c r="G101" s="396">
        <f t="shared" si="8"/>
        <v>0</v>
      </c>
      <c r="H101" s="409"/>
      <c r="I101" s="149">
        <f t="shared" si="9"/>
        <v>0</v>
      </c>
      <c r="J101" s="271">
        <f t="shared" si="10"/>
        <v>0</v>
      </c>
      <c r="L101" s="17">
        <f t="shared" si="7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0.10984984689833659</v>
      </c>
      <c r="C103" s="803">
        <f>SUM(C70:C102)</f>
        <v>58230.189999999995</v>
      </c>
      <c r="D103" s="597">
        <f>SUM(D70:D102)</f>
        <v>87227.797494599334</v>
      </c>
      <c r="E103" s="803">
        <f>SUM(E70:E102)</f>
        <v>75499.08</v>
      </c>
      <c r="F103" s="597">
        <f>SUM(F70:F102)</f>
        <v>77278.66333333333</v>
      </c>
      <c r="G103" s="597">
        <f>SUM(G70:G102)</f>
        <v>79454.763195189647</v>
      </c>
      <c r="H103" s="814">
        <f>+G103/$G$21</f>
        <v>0.10726418238433463</v>
      </c>
      <c r="I103" s="596">
        <f>+IF((E103)=0,,(F103-E103)/E103)</f>
        <v>2.3570927398497154E-2</v>
      </c>
      <c r="J103" s="1015">
        <f>+IF((F103)=0,,(G103-F103)/F103)</f>
        <v>2.8159129156646263E-2</v>
      </c>
      <c r="K103" s="136">
        <f>(C103+(C103/3))</f>
        <v>77640.253333333327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805">
        <f>IF(ISNA(VLOOKUP("cau623100000",Balance!C:G,5,FALSE))=TRUE,0,VLOOKUP("cau623100000",Balance!C:G,5,FALSE))</f>
        <v>0</v>
      </c>
      <c r="D105" s="619">
        <f>+[2]Caudry!$H105</f>
        <v>950.48399999999992</v>
      </c>
      <c r="E105" s="805">
        <f>IF(ISNA(VLOOKUP("cau623100000",Balanceanp!C:G,5,FALSE))=TRUE,0,VLOOKUP("cau623100000",Balanceanp!C:G,5,FALSE))</f>
        <v>774.3</v>
      </c>
      <c r="F105" s="593">
        <f>+C105+C105/9*(12-Clients!$I$14)</f>
        <v>0</v>
      </c>
      <c r="G105" s="1012">
        <f t="shared" ref="G105:G114" si="11">+F105*1.03</f>
        <v>0</v>
      </c>
      <c r="H105" s="1012"/>
      <c r="I105" s="1013">
        <f t="shared" ref="I105:J114" si="12">+IF((E105)=0,,(F105-E105)/E105)</f>
        <v>-1</v>
      </c>
      <c r="J105" s="1014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805">
        <f>IF(ISNA(VLOOKUP("cau623200000",Balance!C:G,5,FALSE))=TRUE,0,VLOOKUP("cau623200000",Balance!C:G,5,FALSE))</f>
        <v>3433.41</v>
      </c>
      <c r="D106" s="619">
        <f>+[2]Caudry!$H106</f>
        <v>4900.4104000000007</v>
      </c>
      <c r="E106" s="805">
        <f>IF(ISNA(VLOOKUP("cau623200000",Balanceanp!C:G,5,FALSE))=TRUE,0,VLOOKUP("cau623200000",Balanceanp!C:G,5,FALSE))</f>
        <v>5526.28</v>
      </c>
      <c r="F106" s="593">
        <f>+C106+C106/9*(12-Clients!$I$14)</f>
        <v>4577.88</v>
      </c>
      <c r="G106" s="1012">
        <f t="shared" si="11"/>
        <v>4715.2164000000002</v>
      </c>
      <c r="H106" s="1012"/>
      <c r="I106" s="1013">
        <f t="shared" si="12"/>
        <v>-0.17161634951540633</v>
      </c>
      <c r="J106" s="1014">
        <f t="shared" si="12"/>
        <v>3.000000000000003E-2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IF(ISNA(VLOOKUP("cau629000000",Balance!C:G,5,FALSE))=TRUE,0,VLOOKUP("cau629000000",Balance!C:G,5,FALSE))</f>
        <v>0</v>
      </c>
      <c r="D107" s="117">
        <f>+[2]Caudry!$H107</f>
        <v>0</v>
      </c>
      <c r="E107" s="160">
        <f>IF(ISNA(VLOOKUP("cau629000000",Balanceanp!C:G,5,FALSE))=TRUE,0,VLOOKUP("cau629000000",Balanceanp!C:G,5,FALSE))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805">
        <f>IF(ISNA(VLOOKUP("cau623300000",Balance!C:G,5,FALSE))=TRUE,0,VLOOKUP("cau623300000",Balance!C:G,5,FALSE))</f>
        <v>2144.5000000000005</v>
      </c>
      <c r="D108" s="619">
        <f>+[2]Caudry!$H108</f>
        <v>450</v>
      </c>
      <c r="E108" s="805">
        <f>IF(ISNA(VLOOKUP("cau623300000",Balanceanp!C:G,5,FALSE))=TRUE,0,VLOOKUP("cau623300000",Balanceanp!C:G,5,FALSE))</f>
        <v>130.91999999999999</v>
      </c>
      <c r="F108" s="593">
        <f>+C108+C108/9*(12-Clients!$I$14)</f>
        <v>2859.3333333333339</v>
      </c>
      <c r="G108" s="1012">
        <v>450</v>
      </c>
      <c r="H108" s="1012"/>
      <c r="I108" s="1013">
        <f t="shared" si="12"/>
        <v>20.840309603829315</v>
      </c>
      <c r="J108" s="1014">
        <f t="shared" si="12"/>
        <v>-0.84262065749591986</v>
      </c>
      <c r="L108" s="17">
        <f t="shared" si="7"/>
        <v>1</v>
      </c>
    </row>
    <row r="109" spans="1:12">
      <c r="A109" s="590" t="s">
        <v>133</v>
      </c>
      <c r="B109" s="591"/>
      <c r="C109" s="805">
        <f>IF(ISNA(VLOOKUP("cau623700000",Balance!C:G,5,FALSE))=TRUE,0,VLOOKUP("cau623700000",Balance!C:G,5,FALSE))</f>
        <v>1460.8899999999999</v>
      </c>
      <c r="D109" s="619">
        <f>+[2]Caudry!$H109</f>
        <v>3222.1490000000003</v>
      </c>
      <c r="E109" s="805">
        <f>IF(ISNA(VLOOKUP("cau623700000",Balanceanp!C:G,5,FALSE))=TRUE,0,VLOOKUP("cau623700000",Balanceanp!C:G,5,FALSE))</f>
        <v>1850.21</v>
      </c>
      <c r="F109" s="593">
        <f>+C109+C109/9*(12-Clients!$I$14)</f>
        <v>1947.853333333333</v>
      </c>
      <c r="G109" s="1012">
        <f t="shared" si="11"/>
        <v>2006.288933333333</v>
      </c>
      <c r="H109" s="1012"/>
      <c r="I109" s="1013">
        <f t="shared" si="12"/>
        <v>5.277418959649606E-2</v>
      </c>
      <c r="J109" s="1014">
        <f t="shared" si="12"/>
        <v>3.0000000000000016E-2</v>
      </c>
      <c r="L109" s="17">
        <f t="shared" si="7"/>
        <v>1</v>
      </c>
    </row>
    <row r="110" spans="1:12">
      <c r="A110" s="590" t="s">
        <v>134</v>
      </c>
      <c r="B110" s="591"/>
      <c r="C110" s="805">
        <f>IF(ISNA(VLOOKUP("cau623410000",Balance!C:G,5,FALSE))=TRUE,0,VLOOKUP("cau623410000",Balance!C:G,5,FALSE))+IF(ISNA(VLOOKUP("cau623420000",Balance!C:G,5,FALSE))=TRUE,0,VLOOKUP("cau623420000",Balance!C:G,5,FALSE))</f>
        <v>5281.7999999999993</v>
      </c>
      <c r="D110" s="619">
        <f>+[2]Caudry!$H110</f>
        <v>3132.3948000000005</v>
      </c>
      <c r="E110" s="805">
        <f>IF(ISNA(VLOOKUP("cau623410000",Balanceanp!C:G,5,FALSE))=TRUE,0,VLOOKUP("cau623410000",Balanceanp!C:G,5,FALSE))+IF(ISNA(VLOOKUP("cau623420000",Balanceanp!C:G,5,FALSE))=TRUE,0,VLOOKUP("cau623420000",Balanceanp!C:G,5,FALSE))</f>
        <v>11305</v>
      </c>
      <c r="F110" s="593">
        <f>+C110+C110/9*(12-Clients!$I$14)</f>
        <v>7042.3999999999987</v>
      </c>
      <c r="G110" s="1012">
        <f t="shared" si="11"/>
        <v>7253.6719999999987</v>
      </c>
      <c r="H110" s="1012"/>
      <c r="I110" s="1013">
        <f t="shared" si="12"/>
        <v>-0.37705440070765162</v>
      </c>
      <c r="J110" s="1014">
        <f t="shared" si="12"/>
        <v>2.9999999999999995E-2</v>
      </c>
      <c r="L110" s="17">
        <f t="shared" si="7"/>
        <v>1</v>
      </c>
    </row>
    <row r="111" spans="1:12">
      <c r="A111" s="590" t="s">
        <v>135</v>
      </c>
      <c r="B111" s="591"/>
      <c r="C111" s="805">
        <f>IF(ISNA(VLOOKUP("Cau623800000",Balance!C:G,5,FALSE))=TRUE,0,VLOOKUP("Cau623800000",Balance!C:G,5,FALSE))+IF(ISNA(VLOOKUP("Cau623820000",Balance!C:G,5,FALSE))=TRUE,0,VLOOKUP("Cau623820000",Balance!C:G,5,FALSE))</f>
        <v>155</v>
      </c>
      <c r="D111" s="619">
        <f>+[2]Caudry!$H111</f>
        <v>234.32500000000002</v>
      </c>
      <c r="E111" s="805">
        <f>IF(ISNA(VLOOKUP("cau623800000",Balanceanp!C:G,5,FALSE))=TRUE,0,VLOOKUP("cau623800000",Balanceanp!C:G,5,FALSE))</f>
        <v>250</v>
      </c>
      <c r="F111" s="593">
        <f>+C111+C111/9*(12-Clients!$I$14)</f>
        <v>206.66666666666666</v>
      </c>
      <c r="G111" s="1012">
        <f t="shared" si="11"/>
        <v>212.86666666666667</v>
      </c>
      <c r="H111" s="1012"/>
      <c r="I111" s="1013">
        <f t="shared" si="12"/>
        <v>-0.17333333333333337</v>
      </c>
      <c r="J111" s="1014">
        <f t="shared" si="12"/>
        <v>3.0000000000000082E-2</v>
      </c>
      <c r="L111" s="17">
        <f t="shared" si="7"/>
        <v>1</v>
      </c>
    </row>
    <row r="112" spans="1:12">
      <c r="A112" s="590" t="s">
        <v>136</v>
      </c>
      <c r="B112" s="591"/>
      <c r="C112" s="805">
        <f>IF(ISNA(VLOOKUP("cau625600000",Balance!C:G,5,FALSE))=TRUE,0,VLOOKUP("cau625600000",Balance!C:G,5,FALSE))</f>
        <v>19.5</v>
      </c>
      <c r="D112" s="619">
        <f>+[2]Caudry!$H112</f>
        <v>25.986900000000002</v>
      </c>
      <c r="E112" s="805">
        <f>IF(ISNA(VLOOKUP("cau625600000",Balanceanp!C:G,5,FALSE))=TRUE,0,VLOOKUP("cau625600000",Balanceanp!C:G,5,FALSE))</f>
        <v>25.23</v>
      </c>
      <c r="F112" s="593">
        <f>+C112+C112/9*(12-Clients!$I$14)</f>
        <v>26</v>
      </c>
      <c r="G112" s="1012">
        <f t="shared" si="11"/>
        <v>26.78</v>
      </c>
      <c r="H112" s="1012"/>
      <c r="I112" s="1013">
        <f t="shared" si="12"/>
        <v>3.051922314704715E-2</v>
      </c>
      <c r="J112" s="1014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1033">
        <f>IF(ISNA(VLOOKUP("cau625700000",Balance!C:G,5,FALSE))=TRUE,0,VLOOKUP("cau625700000",Balance!C:G,5,FALSE))+IF(ISNA(VLOOKUP("cau625710000",Balance!C:G,5,FALSE))=TRUE,0,VLOOKUP("cau625710000",Balance!C:G,5,FALSE))</f>
        <v>3955.11</v>
      </c>
      <c r="D113" s="619">
        <f>+[2]Caudry!$H113</f>
        <v>5366.75</v>
      </c>
      <c r="E113" s="805">
        <f>IF(ISNA(VLOOKUP("cau625700000",Balanceanp!C:G,5,FALSE))=TRUE,0,VLOOKUP("cau625700000",Balanceanp!C:G,5,FALSE))+IF(ISNA(VLOOKUP("cau625710000",Balanceanp!C:G,5,FALSE))=TRUE,0,VLOOKUP("cau625710000",Balanceanp!C:G,5,FALSE))</f>
        <v>3672.0499999999997</v>
      </c>
      <c r="F113" s="593">
        <v>5444.58</v>
      </c>
      <c r="G113" s="1012">
        <v>2000</v>
      </c>
      <c r="H113" s="1012"/>
      <c r="I113" s="1013">
        <f t="shared" si="12"/>
        <v>0.48270856878310492</v>
      </c>
      <c r="J113" s="1014">
        <f t="shared" si="12"/>
        <v>-0.63266220718586186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IF(ISNA(VLOOKUP("cau623810000",Balance!C:G,5,FALSE))=TRUE,0,VLOOKUP("cau623810000",Balance!C:G,5,FALSE))</f>
        <v>0</v>
      </c>
      <c r="D114" s="117">
        <f>+[2]Caudry!$H114</f>
        <v>0</v>
      </c>
      <c r="E114" s="160">
        <f>IF(ISNA(VLOOKUP("cau623810000",Balanceanp!C:G,5,FALSE))=TRUE,0,VLOOKUP("cau623810000",Balanceanp!C:G,5,FALSE))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3.1032923814012726E-2</v>
      </c>
      <c r="C116" s="803">
        <f>SUM(C104:C115)</f>
        <v>16450.21</v>
      </c>
      <c r="D116" s="597">
        <f>SUM(D104:D115)</f>
        <v>18282.500100000005</v>
      </c>
      <c r="E116" s="803">
        <f>SUM(E104:E115)</f>
        <v>23533.989999999998</v>
      </c>
      <c r="F116" s="597">
        <f>SUM(F104:F115)</f>
        <v>22104.713333333333</v>
      </c>
      <c r="G116" s="597">
        <f>SUM(G104:G115)</f>
        <v>16664.824000000001</v>
      </c>
      <c r="H116" s="814">
        <f>+G116/$G$21</f>
        <v>2.2497565269278385E-2</v>
      </c>
      <c r="I116" s="596">
        <f>+IF((E116)=0,,(F116-E116)/E116)</f>
        <v>-6.0732441318563701E-2</v>
      </c>
      <c r="J116" s="1015">
        <f>+IF((F116)=0,,(G116-F116)/F116)</f>
        <v>-0.24609635290452381</v>
      </c>
      <c r="K116" s="136">
        <f>(C116+(C116/3))</f>
        <v>21933.613333333331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805">
        <f>IF(ISNA(VLOOKUP("cau633300000",Balance!C:G,5,FALSE))=TRUE,0,VLOOKUP("cau633300000",Balance!C:G,5,FALSE))</f>
        <v>1072.56</v>
      </c>
      <c r="D118" s="619">
        <f>+[2]Caudry!$H118</f>
        <v>614.75399999999991</v>
      </c>
      <c r="E118" s="805">
        <f>IF(ISNA(VLOOKUP("cau633300000",Balanceanp!C:G,5,FALSE))=TRUE,0,VLOOKUP("cau633300000",Balanceanp!C:G,5,FALSE))</f>
        <v>531</v>
      </c>
      <c r="F118" s="593">
        <f>+C118+C118/9*(12-Clients!$I$14)</f>
        <v>1430.08</v>
      </c>
      <c r="G118" s="1030">
        <f>G131*(0.2+0.5)%</f>
        <v>630.64399999999989</v>
      </c>
      <c r="H118" s="1030"/>
      <c r="I118" s="1013">
        <f t="shared" ref="I118:J127" si="13">+IF((E118)=0,,(F118-E118)/E118)</f>
        <v>1.6931826741996232</v>
      </c>
      <c r="J118" s="1014">
        <f t="shared" si="13"/>
        <v>-0.55901488028641755</v>
      </c>
      <c r="L118" s="17">
        <f t="shared" si="7"/>
        <v>1</v>
      </c>
    </row>
    <row r="119" spans="1:12">
      <c r="A119" s="590" t="s">
        <v>140</v>
      </c>
      <c r="B119" s="591"/>
      <c r="C119" s="805">
        <f>IF(ISNA(VLOOKUP("cau633400000",Balance!C:G,5,FALSE))=TRUE,0,VLOOKUP("cau633400000",Balance!C:G,5,FALSE))</f>
        <v>0</v>
      </c>
      <c r="D119" s="619">
        <f>+[2]Caudry!$H119</f>
        <v>395.19900000000007</v>
      </c>
      <c r="E119" s="805">
        <f>IF(ISNA(VLOOKUP("cau633400000",Balanceanp!C:G,5,FALSE))=TRUE,0,VLOOKUP("cau633400000",Balanceanp!C:G,5,FALSE))</f>
        <v>292</v>
      </c>
      <c r="F119" s="593">
        <f>+C119+C119/9*(12-Clients!$I$14)</f>
        <v>0</v>
      </c>
      <c r="G119" s="1030">
        <f>+G131*0.45%</f>
        <v>405.41400000000004</v>
      </c>
      <c r="H119" s="1030"/>
      <c r="I119" s="1013">
        <f t="shared" si="13"/>
        <v>-1</v>
      </c>
      <c r="J119" s="1014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805">
        <f>IF(ISNA(VLOOKUP("cau633500000",Balance!C:G,5,FALSE))=TRUE,0,VLOOKUP("cau633500000",Balance!C:G,5,FALSE))</f>
        <v>0</v>
      </c>
      <c r="D120" s="619">
        <f>+[2]Caudry!$H120</f>
        <v>685.01160000000004</v>
      </c>
      <c r="E120" s="805">
        <f>IF(ISNA(VLOOKUP("cau633500000",Balanceanp!C:G,5,FALSE))=TRUE,0,VLOOKUP("cau633500000",Balanceanp!C:G,5,FALSE))</f>
        <v>442</v>
      </c>
      <c r="F120" s="593">
        <f>+C120+C120/9*(12-Clients!$I$14)</f>
        <v>0</v>
      </c>
      <c r="G120" s="1030">
        <f>+G131*(0.6+0.18)%</f>
        <v>702.71760000000006</v>
      </c>
      <c r="H120" s="1030"/>
      <c r="I120" s="1013">
        <f t="shared" si="13"/>
        <v>-1</v>
      </c>
      <c r="J120" s="1014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805">
        <f>IF(ISNA(VLOOKUP("cau635110000",Balance!C:G,5,FALSE))=TRUE,0,VLOOKUP("cau635110000",Balance!C:G,5,FALSE))</f>
        <v>2511.9</v>
      </c>
      <c r="D121" s="619">
        <f>+[2]Caudry!$H121</f>
        <v>3349.2375000000002</v>
      </c>
      <c r="E121" s="805">
        <f>IF(ISNA(VLOOKUP("cau635110000",Balanceanp!C:G,5,FALSE))=TRUE,0,VLOOKUP("cau635110000",Balanceanp!C:G,5,FALSE))</f>
        <v>3272</v>
      </c>
      <c r="F121" s="636">
        <v>622</v>
      </c>
      <c r="G121" s="636">
        <f>+F121*1.05</f>
        <v>653.1</v>
      </c>
      <c r="H121" s="638"/>
      <c r="I121" s="1013">
        <f t="shared" si="13"/>
        <v>-0.80990220048899753</v>
      </c>
      <c r="J121" s="1014">
        <f t="shared" si="13"/>
        <v>5.0000000000000037E-2</v>
      </c>
      <c r="L121" s="17">
        <f t="shared" si="7"/>
        <v>1</v>
      </c>
    </row>
    <row r="122" spans="1:12">
      <c r="A122" s="590" t="s">
        <v>143</v>
      </c>
      <c r="B122" s="591"/>
      <c r="C122" s="805">
        <f>IF(ISNA(VLOOKUP("cau635120000",Balance!C:G,5,FALSE))=TRUE,0,VLOOKUP("cau635120000",Balance!C:G,5,FALSE))</f>
        <v>2811.42</v>
      </c>
      <c r="D122" s="619">
        <f>+[2]Caudry!$H122</f>
        <v>3748.5</v>
      </c>
      <c r="E122" s="805">
        <f>IF(ISNA(VLOOKUP("cau635120000",Balanceanp!C:G,5,FALSE))=TRUE,0,VLOOKUP("cau635120000",Balanceanp!C:G,5,FALSE))</f>
        <v>3570</v>
      </c>
      <c r="F122" s="631">
        <v>3718</v>
      </c>
      <c r="G122" s="638">
        <f>+F122*1.05</f>
        <v>3903.9</v>
      </c>
      <c r="H122" s="638"/>
      <c r="I122" s="1013">
        <f t="shared" si="13"/>
        <v>4.145658263305322E-2</v>
      </c>
      <c r="J122" s="1014">
        <f t="shared" si="13"/>
        <v>5.0000000000000024E-2</v>
      </c>
      <c r="L122" s="17">
        <f t="shared" si="7"/>
        <v>1</v>
      </c>
    </row>
    <row r="123" spans="1:12">
      <c r="A123" s="590" t="s">
        <v>144</v>
      </c>
      <c r="B123" s="591"/>
      <c r="C123" s="805">
        <f>IF(ISNA(VLOOKUP("cau635130000",Balance!C:G,5,FALSE))=TRUE,0,VLOOKUP("cau635130000",Balance!C:G,5,FALSE))</f>
        <v>0</v>
      </c>
      <c r="D123" s="619">
        <f>+[2]Caudry!$H123</f>
        <v>50</v>
      </c>
      <c r="E123" s="805">
        <f>IF(ISNA(VLOOKUP("cau635130000",Balanceanp!C:G,5,FALSE))=TRUE,0,VLOOKUP("cau635130000",Balanceanp!C:G,5,FALSE))</f>
        <v>0</v>
      </c>
      <c r="F123" s="593">
        <f>+C123+C123/9*(12-Clients!$I$14)</f>
        <v>0</v>
      </c>
      <c r="G123" s="638">
        <v>50</v>
      </c>
      <c r="H123" s="638"/>
      <c r="I123" s="1013">
        <f t="shared" si="13"/>
        <v>0</v>
      </c>
      <c r="J123" s="1014">
        <f t="shared" si="13"/>
        <v>0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IF(ISNA(VLOOKUP("cau635140000",Balance!C:G,5,FALSE))=TRUE,0,VLOOKUP("cau635140000",Balance!C:G,5,FALSE))</f>
        <v>0</v>
      </c>
      <c r="D124" s="117">
        <f>+[2]Caudry!$H124</f>
        <v>0</v>
      </c>
      <c r="E124" s="160">
        <f>IF(ISNA(VLOOKUP("cau635140000",Balanceanp!C:G,5,FALSE))=TRUE,0,VLOOKUP("cau635140000",Balanceanp!C:G,5,FALSE))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IF(ISNA(VLOOKUP("cau635300000",Balance!C:G,5,FALSE))=TRUE,0,VLOOKUP("cau635300000",Balance!C:G,5,FALSE))</f>
        <v>0</v>
      </c>
      <c r="D125" s="117">
        <f>+[2]Caudry!$H125</f>
        <v>0</v>
      </c>
      <c r="E125" s="160">
        <f>IF(ISNA(VLOOKUP("cau635300000",Balanceanp!C:G,5,FALSE))=TRUE,0,VLOOKUP("cau635300000",Balanceanp!C:G,5,FALSE))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IF(ISNA(VLOOKUP("cau635400000",Balance!C:G,5,FALSE))=TRUE,0,VLOOKUP("cau635400000",Balance!C:G,5,FALSE))</f>
        <v>0</v>
      </c>
      <c r="D126" s="117">
        <f>+[2]Caudry!$H126</f>
        <v>0</v>
      </c>
      <c r="E126" s="160">
        <f>IF(ISNA(VLOOKUP("cau635400000",Balanceanp!C:G,5,FALSE))=TRUE,0,VLOOKUP("cau635400000",Balanceanp!C:G,5,FALSE))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805">
        <f>IF(ISNA(VLOOKUP("cau637100000",Balance!C:G,5,FALSE))=TRUE,0,VLOOKUP("cau637100000",Balance!C:G,5,FALSE))</f>
        <v>960.52</v>
      </c>
      <c r="D127" s="619">
        <f>+[2]Caudry!$H127</f>
        <v>1016.3424</v>
      </c>
      <c r="E127" s="805">
        <f>IF(ISNA(VLOOKUP("cau637100000",Balanceanp!C:G,5,FALSE))=TRUE,0,VLOOKUP("cau637100000",Balanceanp!C:G,5,FALSE))</f>
        <v>946.31</v>
      </c>
      <c r="F127" s="593">
        <f>+C127+C127/9*(12-Clients!$I$14)</f>
        <v>1280.6933333333334</v>
      </c>
      <c r="G127" s="1030">
        <f>+G51*0.16%</f>
        <v>1176.5232000000001</v>
      </c>
      <c r="H127" s="1030"/>
      <c r="I127" s="1013">
        <f t="shared" si="13"/>
        <v>0.35335496120017063</v>
      </c>
      <c r="J127" s="1014">
        <f t="shared" si="13"/>
        <v>-8.1338858118519097E-2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1.3877670907873103E-2</v>
      </c>
      <c r="C129" s="803">
        <f>SUM(C117:C128)</f>
        <v>7356.4</v>
      </c>
      <c r="D129" s="597">
        <f>SUM(D117:D128)</f>
        <v>9859.0445</v>
      </c>
      <c r="E129" s="803">
        <f>SUM(E117:E128)</f>
        <v>9053.31</v>
      </c>
      <c r="F129" s="597">
        <f>SUM(F117:F128)</f>
        <v>7050.7733333333335</v>
      </c>
      <c r="G129" s="597">
        <f>SUM(G117:G128)</f>
        <v>7522.2988000000005</v>
      </c>
      <c r="H129" s="814">
        <f>+G129/$G$21</f>
        <v>1.0155127244549025E-2</v>
      </c>
      <c r="I129" s="596">
        <f>+IF((E129)=0,,(F129-E129)/E129)</f>
        <v>-0.22119386905636348</v>
      </c>
      <c r="J129" s="1015">
        <f>+IF((F129)=0,,(G129-F129)/F129)</f>
        <v>6.68757091420705E-2</v>
      </c>
      <c r="K129" s="136">
        <f>(C129+(C129/3))</f>
        <v>9808.5333333333328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805">
        <f>IF(ISNA(VLOOKUP("cau641100000",Balance!C:G,5,FALSE))=TRUE,0,VLOOKUP("cau641100000",Balance!C:G,5,FALSE))</f>
        <v>64684.25</v>
      </c>
      <c r="D131" s="619">
        <f>+[2]Caudry!$H131</f>
        <v>87822</v>
      </c>
      <c r="E131" s="805">
        <f>IF(ISNA(VLOOKUP("cau641100000",Balanceanp!C:G,5,FALSE))=TRUE,0,VLOOKUP("cau641100000",Balanceanp!C:G,5,FALSE))</f>
        <v>75557.460000000006</v>
      </c>
      <c r="F131" s="593">
        <f>+C131+C131/9*(12-Clients!$I$14)</f>
        <v>86245.666666666657</v>
      </c>
      <c r="G131" s="1012">
        <v>90092</v>
      </c>
      <c r="H131" s="1012"/>
      <c r="I131" s="1013">
        <f t="shared" ref="I131:J146" si="14">+IF((E131)=0,,(F131-E131)/E131)</f>
        <v>0.14145799324999345</v>
      </c>
      <c r="J131" s="1014">
        <f t="shared" si="14"/>
        <v>4.459740972493316E-2</v>
      </c>
      <c r="L131" s="17">
        <v>1</v>
      </c>
    </row>
    <row r="132" spans="1:12" hidden="1">
      <c r="A132" s="5" t="s">
        <v>149</v>
      </c>
      <c r="B132" s="92"/>
      <c r="C132" s="160">
        <f>IF(ISNA(VLOOKUP("cau641110000",Balance!C:G,5,FALSE))=TRUE,0,VLOOKUP("cau641110000",Balance!C:G,5,FALSE))</f>
        <v>0</v>
      </c>
      <c r="D132" s="117">
        <f>+[2]Caudry!$H132</f>
        <v>0</v>
      </c>
      <c r="E132" s="160">
        <f>IF(ISNA(VLOOKUP("cau641110000",Balanceanp!C:G,5,FALSE))=TRUE,0,VLOOKUP("cau641110000",Balanceanp!C:G,5,FALSE))</f>
        <v>0</v>
      </c>
      <c r="F132" s="368">
        <f>+C132+C132/9*(12-Clients!$I$14)</f>
        <v>0</v>
      </c>
      <c r="G132" s="395"/>
      <c r="H132" s="401"/>
      <c r="I132" s="149">
        <f t="shared" si="14"/>
        <v>0</v>
      </c>
      <c r="J132" s="271">
        <f t="shared" si="14"/>
        <v>0</v>
      </c>
      <c r="L132" s="17">
        <v>0</v>
      </c>
    </row>
    <row r="133" spans="1:12" hidden="1">
      <c r="A133" s="5" t="s">
        <v>150</v>
      </c>
      <c r="B133" s="92"/>
      <c r="C133" s="160">
        <f>IF(ISNA(VLOOKUP("cau641111000",Balance!C:G,5,FALSE))=TRUE,0,VLOOKUP("cau641111000",Balance!C:G,5,FALSE))</f>
        <v>0</v>
      </c>
      <c r="D133" s="117">
        <f>+[2]Caudry!$H133</f>
        <v>0</v>
      </c>
      <c r="E133" s="160">
        <f>IF(ISNA(VLOOKUP("cau641111000",Balanceanp!C:G,5,FALSE))=TRUE,0,VLOOKUP("cau641111000",Balanceanp!C:G,5,FALSE))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IF(ISNA(VLOOKUP("cau641200000",Balance!C:G,5,FALSE))=TRUE,0,VLOOKUP("cau641200000",Balance!C:G,5,FALSE))</f>
        <v>0</v>
      </c>
      <c r="D134" s="117">
        <f>+[2]Caudry!$H134</f>
        <v>0</v>
      </c>
      <c r="E134" s="160">
        <f>IF(ISNA(VLOOKUP("cau641200000",Balanceanp!C:G,5,FALSE))=TRUE,0,VLOOKUP("cau641200000",Balanceanp!C:G,5,FALSE))</f>
        <v>2308.0199999999995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IF(ISNA(VLOOKUP("cau621100000",Balance!C:G,5,FALSE))=TRUE,0,VLOOKUP("cau621100000",Balance!C:G,5,FALSE))</f>
        <v>110</v>
      </c>
      <c r="D135" s="117">
        <f>+[2]Caudry!$H135</f>
        <v>790.73952189812496</v>
      </c>
      <c r="E135" s="160">
        <f>IF(ISNA(VLOOKUP("cau621100000",Balanceanp!C:G,5,FALSE))=TRUE,0,VLOOKUP("cau621100000",Balanceanp!C:G,5,FALSE))</f>
        <v>97</v>
      </c>
      <c r="F135" s="368">
        <f>+C135+C135/9*(12-Clients!$I$14)</f>
        <v>146.66666666666666</v>
      </c>
      <c r="G135" s="395"/>
      <c r="H135" s="401"/>
      <c r="I135" s="149">
        <f t="shared" si="14"/>
        <v>0.51202749140893467</v>
      </c>
      <c r="J135" s="271">
        <f t="shared" si="14"/>
        <v>-1</v>
      </c>
      <c r="L135" s="17">
        <v>0</v>
      </c>
    </row>
    <row r="136" spans="1:12" hidden="1">
      <c r="A136" s="5" t="s">
        <v>338</v>
      </c>
      <c r="B136" s="92"/>
      <c r="C136" s="160">
        <f>IF(ISNA(VLOOKUP("cau621200000",Balance!C:G,5,FALSE))=TRUE,0,VLOOKUP("cau621200000",Balance!C:G,5,FALSE))</f>
        <v>0</v>
      </c>
      <c r="D136" s="117">
        <f>+[2]Caudry!$H136</f>
        <v>0</v>
      </c>
      <c r="E136" s="160">
        <f>IF(ISNA(VLOOKUP("cau621200000",Balanceanp!C:G,5,FALSE))=TRUE,0,VLOOKUP("cau621200000",Balanceanp!C:G,5,FALSE))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IF(ISNA(VLOOKUP("cau706100000",Balance!C:G,5,FALSE))=TRUE,0,-VLOOKUP("cau706100000",Balance!C:G,5,FALSE))</f>
        <v>0</v>
      </c>
      <c r="D137" s="117">
        <f>+[2]Caudry!$H137</f>
        <v>0</v>
      </c>
      <c r="E137" s="160">
        <f>IF(ISNA(VLOOKUP("cau706100000",Balanceanp!C:G,5,FALSE))=TRUE,0,-VLOOKUP("cau706100000",Balanceanp!C:G,5,FALSE))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IF(ISNA(VLOOKUP("cau641210000",Balance!C:G,5,FALSE))=TRUE,0,VLOOKUP("cau641210000",Balance!C:G,5,FALSE))</f>
        <v>0</v>
      </c>
      <c r="D138" s="117">
        <f>+[2]Caudry!$H138</f>
        <v>0</v>
      </c>
      <c r="E138" s="160">
        <f>IF(ISNA(VLOOKUP("cau641210000",Balanceanp!C:G,5,FALSE))=TRUE,0,VLOOKUP("cau641210000",Balanceanp!C:G,5,FALSE))</f>
        <v>1047.0900000000001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IF(ISNA(VLOOKUP("cau641400000",Balance!C:G,5,FALSE))=TRUE,0,VLOOKUP("cau641400000",Balance!C:G,5,FALSE))</f>
        <v>0</v>
      </c>
      <c r="D139" s="117">
        <f>+[2]Caudry!$H139</f>
        <v>0</v>
      </c>
      <c r="E139" s="160">
        <f>IF(ISNA(VLOOKUP("cau641400000",Balanceanp!C:G,5,FALSE))=TRUE,0,VLOOKUP("cau641400000",Balanceanp!C:G,5,FALSE))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IF(ISNA(VLOOKUP("cau641600000",Balance!C:G,5,FALSE))=TRUE,0,VLOOKUP("cau641600000",Balance!C:G,5,FALSE))</f>
        <v>0</v>
      </c>
      <c r="D140" s="117">
        <f>+[2]Caudry!$H140</f>
        <v>0</v>
      </c>
      <c r="E140" s="160">
        <f>IF(ISNA(VLOOKUP("cau641600000",Balanceanp!C:G,5,FALSE))=TRUE,0,VLOOKUP("cau641600000",Balanceanp!C:G,5,FALSE))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805">
        <f>IF(ISNA(VLOOKUP("cau645100000",Balance!C:G,5,FALSE))=TRUE,0,VLOOKUP("cau645100000",Balance!C:G,5,FALSE))</f>
        <v>18597.96</v>
      </c>
      <c r="D141" s="619">
        <f>+[2]Caudry!$H141</f>
        <v>21429.196670494974</v>
      </c>
      <c r="E141" s="805">
        <f>IF(ISNA(VLOOKUP("cau645100000",Balanceanp!C:G,5,FALSE))=TRUE,0,VLOOKUP("cau645100000",Balanceanp!C:G,5,FALSE))</f>
        <v>18987.55</v>
      </c>
      <c r="F141" s="593">
        <f>+C141+C141/9*(12-Clients!$I$14)</f>
        <v>24797.279999999999</v>
      </c>
      <c r="G141" s="1030">
        <f t="shared" ref="G141:G146" si="16">+($G$131/$C$131*C141)*1.01</f>
        <v>26162.206200786128</v>
      </c>
      <c r="H141" s="1030"/>
      <c r="I141" s="1013">
        <f t="shared" si="14"/>
        <v>0.30597575779918945</v>
      </c>
      <c r="J141" s="1014">
        <f t="shared" si="14"/>
        <v>5.5043383822182469E-2</v>
      </c>
      <c r="L141" s="17">
        <f t="shared" si="15"/>
        <v>1</v>
      </c>
    </row>
    <row r="142" spans="1:12">
      <c r="A142" s="590" t="s">
        <v>156</v>
      </c>
      <c r="B142" s="591"/>
      <c r="C142" s="805">
        <f>IF(ISNA(VLOOKUP("cau645200000",Balance!C:G,5,FALSE))=TRUE,0,VLOOKUP("cau645200000",Balance!C:G,5,FALSE))</f>
        <v>1369.02</v>
      </c>
      <c r="D142" s="619">
        <f>+[2]Caudry!$H142</f>
        <v>1834.5109439549969</v>
      </c>
      <c r="E142" s="805">
        <f>IF(ISNA(VLOOKUP("cau645200000",Balanceanp!C:G,5,FALSE))=TRUE,0,VLOOKUP("cau645200000",Balanceanp!C:G,5,FALSE))</f>
        <v>1500.8</v>
      </c>
      <c r="F142" s="593">
        <f>+C142+C142/9*(12-Clients!$I$14)</f>
        <v>1825.3600000000001</v>
      </c>
      <c r="G142" s="1030">
        <f t="shared" si="16"/>
        <v>1925.8339910936591</v>
      </c>
      <c r="H142" s="1030"/>
      <c r="I142" s="1013">
        <f t="shared" si="14"/>
        <v>0.21625799573560781</v>
      </c>
      <c r="J142" s="1014">
        <f t="shared" si="14"/>
        <v>5.5043383822182428E-2</v>
      </c>
      <c r="L142" s="17">
        <f t="shared" si="15"/>
        <v>1</v>
      </c>
    </row>
    <row r="143" spans="1:12">
      <c r="A143" s="590" t="s">
        <v>157</v>
      </c>
      <c r="B143" s="591"/>
      <c r="C143" s="805">
        <f>IF(ISNA(VLOOKUP("cau645300000",Balance!C:G,5,FALSE))=TRUE,0,VLOOKUP("cau645300000",Balance!C:G,5,FALSE))</f>
        <v>3509.12</v>
      </c>
      <c r="D143" s="619">
        <f>+[2]Caudry!$H143</f>
        <v>4419.392941891012</v>
      </c>
      <c r="E143" s="805">
        <f>IF(ISNA(VLOOKUP("cau645300000",Balanceanp!C:G,5,FALSE))=TRUE,0,VLOOKUP("cau645300000",Balanceanp!C:G,5,FALSE))</f>
        <v>3701.84</v>
      </c>
      <c r="F143" s="593">
        <f>+C143+C143/9*(12-Clients!$I$14)</f>
        <v>4678.8266666666668</v>
      </c>
      <c r="G143" s="1030">
        <f t="shared" si="16"/>
        <v>4936.3651187174619</v>
      </c>
      <c r="H143" s="1030"/>
      <c r="I143" s="1013">
        <f t="shared" si="14"/>
        <v>0.26391920414352499</v>
      </c>
      <c r="J143" s="1014">
        <f t="shared" si="14"/>
        <v>5.5043383822182282E-2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IF(ISNA(VLOOKUP("cau645310000",Balance!C:G,5,FALSE))=TRUE,0,VLOOKUP("cau645310000",Balance!C:G,5,FALSE))</f>
        <v>0</v>
      </c>
      <c r="D144" s="117">
        <f>+[2]Caudry!$H144</f>
        <v>0</v>
      </c>
      <c r="E144" s="160">
        <f>IF(ISNA(VLOOKUP("cau645310000",Balanceanp!C:G,5,FALSE))=TRUE,0,VLOOKUP("cau645310000",Balanceanp!C:G,5,FALSE))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805">
        <f>IF(ISNA(VLOOKUP("cau645400000",Balance!C:G,5,FALSE))=TRUE,0,VLOOKUP("cau645400000",Balance!C:G,5,FALSE))</f>
        <v>2507.02</v>
      </c>
      <c r="D145" s="619">
        <f>+[2]Caudry!$H145</f>
        <v>3261.1900697239589</v>
      </c>
      <c r="E145" s="805">
        <f>IF(ISNA(VLOOKUP("cau645400000",Balanceanp!C:G,5,FALSE))=TRUE,0,VLOOKUP("cau645400000",Balanceanp!C:G,5,FALSE))</f>
        <v>2766.23</v>
      </c>
      <c r="F145" s="593">
        <f>+C145+C145/9*(12-Clients!$I$14)</f>
        <v>3342.6933333333336</v>
      </c>
      <c r="G145" s="1030">
        <f t="shared" si="16"/>
        <v>3526.6864854798505</v>
      </c>
      <c r="H145" s="1030"/>
      <c r="I145" s="1013">
        <f t="shared" si="14"/>
        <v>0.20839313192805139</v>
      </c>
      <c r="J145" s="1014">
        <f t="shared" si="14"/>
        <v>5.5043383822182372E-2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IF(ISNA(VLOOKUP("cau645800000",Balance!C:G,5,FALSE))=TRUE,0,VLOOKUP("cau645800000",Balance!C:G,5,FALSE))</f>
        <v>0</v>
      </c>
      <c r="D146" s="117">
        <f>+[2]Caudry!$H146</f>
        <v>0</v>
      </c>
      <c r="E146" s="160">
        <f>IF(ISNA(VLOOKUP("cau645800000",Balanceanp!C:G,5,FALSE))=TRUE,0,VLOOKUP("cau645800000",Balanceanp!C:G,5,FALSE))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805">
        <f>IF(ISNA(VLOOKUP("cau645900000",Balance!C:G,5,FALSE))=TRUE,0,VLOOKUP("cau645900000",Balance!C:G,5,FALSE))</f>
        <v>690.8</v>
      </c>
      <c r="D147" s="619">
        <f>+[2]Caudry!$H147</f>
        <v>-3.3007649087500002</v>
      </c>
      <c r="E147" s="805">
        <f>IF(ISNA(VLOOKUP("cau645900000",Balanceanp!C:G,5,FALSE))=TRUE,0,VLOOKUP("cau645900000",Balanceanp!C:G,5,FALSE))</f>
        <v>0</v>
      </c>
      <c r="F147" s="593">
        <f>+C147+C147/9*(12-Clients!$I$14)</f>
        <v>921.06666666666661</v>
      </c>
      <c r="G147" s="1030">
        <f>+F147*1.03</f>
        <v>948.69866666666667</v>
      </c>
      <c r="H147" s="1030"/>
      <c r="I147" s="1013">
        <f t="shared" ref="I147:J152" si="17">+IF((E147)=0,,(F147-E147)/E147)</f>
        <v>0</v>
      </c>
      <c r="J147" s="1014">
        <f t="shared" si="17"/>
        <v>3.0000000000000068E-2</v>
      </c>
      <c r="L147" s="17">
        <f t="shared" si="15"/>
        <v>1</v>
      </c>
    </row>
    <row r="148" spans="1:12">
      <c r="A148" s="590" t="s">
        <v>161</v>
      </c>
      <c r="B148" s="591"/>
      <c r="C148" s="805">
        <f>IF(ISNA(VLOOKUP("cau647100000",Balance!C:G,5,FALSE))=TRUE,0,VLOOKUP("cau647100000",Balance!C:G,5,FALSE))</f>
        <v>0</v>
      </c>
      <c r="D148" s="619">
        <f>+[2]Caudry!$H148</f>
        <v>56.910939491875006</v>
      </c>
      <c r="E148" s="805">
        <f>IF(ISNA(VLOOKUP("cau647100000",Balanceanp!C:G,5,FALSE))=TRUE,0,VLOOKUP("cau647100000",Balanceanp!C:G,5,FALSE))</f>
        <v>39.6</v>
      </c>
      <c r="F148" s="593">
        <f>+C148+C148/9*(12-Clients!$I$14)</f>
        <v>0</v>
      </c>
      <c r="G148" s="1030">
        <f>+F148*1.03</f>
        <v>0</v>
      </c>
      <c r="H148" s="1030"/>
      <c r="I148" s="1013">
        <f t="shared" si="17"/>
        <v>-1</v>
      </c>
      <c r="J148" s="1014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805">
        <f>IF(ISNA(VLOOKUP("cau647400000",Balance!C:G,5,FALSE))=TRUE,0,VLOOKUP("cau647400000",Balance!C:G,5,FALSE))</f>
        <v>0</v>
      </c>
      <c r="D149" s="619">
        <f>+[2]Caudry!$H149</f>
        <v>80.373784000000015</v>
      </c>
      <c r="E149" s="805">
        <f>IF(ISNA(VLOOKUP("cau647400000",Balanceanp!C:G,5,FALSE))=TRUE,0,VLOOKUP("cau647400000",Balanceanp!C:G,5,FALSE))</f>
        <v>60.9</v>
      </c>
      <c r="F149" s="593">
        <f>+C149+C149/9*(12-Clients!$I$14)</f>
        <v>0</v>
      </c>
      <c r="G149" s="1030">
        <f>+F149*1.03</f>
        <v>0</v>
      </c>
      <c r="H149" s="1030"/>
      <c r="I149" s="1013">
        <f t="shared" si="17"/>
        <v>-1</v>
      </c>
      <c r="J149" s="1014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805">
        <f>IF(ISNA(VLOOKUP("cau647500000",Balance!C:G,5,FALSE))=TRUE,0,VLOOKUP("cau647500000",Balance!C:G,5,FALSE))</f>
        <v>241.53</v>
      </c>
      <c r="D150" s="619">
        <f>+[2]Caudry!$H150</f>
        <v>192.82559005365243</v>
      </c>
      <c r="E150" s="805">
        <f>IF(ISNA(VLOOKUP("cau647500000",Balanceanp!C:G,5,FALSE))=TRUE,0,VLOOKUP("cau647500000",Balanceanp!C:G,5,FALSE))</f>
        <v>241.53</v>
      </c>
      <c r="F150" s="593">
        <f>+C150+C150/9*(12-Clients!$I$14)</f>
        <v>322.03999999999996</v>
      </c>
      <c r="G150" s="1030">
        <f>+F150*1.03</f>
        <v>331.70119999999997</v>
      </c>
      <c r="H150" s="1030"/>
      <c r="I150" s="1013">
        <f t="shared" si="17"/>
        <v>0.3333333333333332</v>
      </c>
      <c r="J150" s="1014">
        <f t="shared" si="17"/>
        <v>3.0000000000000027E-2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+[2]Caudry!$H151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805">
        <f>IF(ISNA(VLOOKUP("cau648000000",Balance!C:G,5,FALSE))=TRUE,0,VLOOKUP("cau648000000",Balance!C:G,5,FALSE))</f>
        <v>0</v>
      </c>
      <c r="D152" s="619">
        <f>+[2]Caudry!$H152</f>
        <v>0</v>
      </c>
      <c r="E152" s="805">
        <f>IF(ISNA(VLOOKUP("cau648000000",Balanceanp!C:G,5,FALSE))=TRUE,0,VLOOKUP("cau648000000",Balanceanp!C:G,5,FALSE))</f>
        <v>346.03191999999996</v>
      </c>
      <c r="F152" s="593">
        <f>+C152+C152/9*(12-Clients!$I$14)</f>
        <v>0</v>
      </c>
      <c r="G152" s="1030">
        <f>+F152*1.03</f>
        <v>0</v>
      </c>
      <c r="H152" s="1030">
        <f>SUM(G141:G152)</f>
        <v>37831.491662743763</v>
      </c>
      <c r="I152" s="1013">
        <f t="shared" si="17"/>
        <v>-1</v>
      </c>
      <c r="J152" s="1014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0.1730081338235781</v>
      </c>
      <c r="C154" s="803">
        <f>SUM(C130:C153)</f>
        <v>91709.7</v>
      </c>
      <c r="D154" s="597">
        <f>SUM(D130:D153)</f>
        <v>119883.83969659984</v>
      </c>
      <c r="E154" s="803">
        <f>SUM(E130:E153)</f>
        <v>106654.05192</v>
      </c>
      <c r="F154" s="597">
        <f>SUM(F130:F153)</f>
        <v>122279.59999999998</v>
      </c>
      <c r="G154" s="597">
        <f>SUM(G130:G153)</f>
        <v>127923.49166274375</v>
      </c>
      <c r="H154" s="814">
        <f>+G154/$G$21</f>
        <v>0.17269711958293507</v>
      </c>
      <c r="I154" s="596">
        <f>+IF((E154)=0,,(F154-E154)/E154)</f>
        <v>0.14650683962500108</v>
      </c>
      <c r="J154" s="1015">
        <f>+IF((F154)=0,,(G154-F154)/F154)</f>
        <v>4.6155627453342778E-2</v>
      </c>
      <c r="K154" s="136">
        <f>(C154+(C154/3))</f>
        <v>122279.59999999999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0.75619999999999998</v>
      </c>
      <c r="C156" s="805">
        <f>IF(ISNA(VLOOKUP("cau681740000",Balance!C:G,5,FALSE))=TRUE,0,VLOOKUP("cau681740000",Balance!C:G,5,FALSE))</f>
        <v>3464.58</v>
      </c>
      <c r="D156" s="619">
        <f>+[2]Caudry!$H156</f>
        <v>7709.4603508999999</v>
      </c>
      <c r="E156" s="805">
        <f>IF(ISNA(VLOOKUP("cau681740000",Balanceanp!C:G,5,FALSE))=TRUE,0,VLOOKUP("cau681740000",Balanceanp!C:G,5,FALSE))</f>
        <v>7858.98</v>
      </c>
      <c r="F156" s="593">
        <f>+C156+C156/9*(12-Clients!$I$14)</f>
        <v>4619.4399999999996</v>
      </c>
      <c r="G156" s="636">
        <f>+G21*B156*1.62%</f>
        <v>9074.3786751600019</v>
      </c>
      <c r="H156" s="1034"/>
      <c r="I156" s="1013">
        <f t="shared" ref="I156:J166" si="18">+IF((E156)=0,,(F156-E156)/E156)</f>
        <v>-0.41220870901821866</v>
      </c>
      <c r="J156" s="1014">
        <f t="shared" si="18"/>
        <v>0.96438933618793676</v>
      </c>
      <c r="L156" s="17">
        <f t="shared" si="15"/>
        <v>1</v>
      </c>
    </row>
    <row r="157" spans="1:12">
      <c r="A157" s="590" t="s">
        <v>165</v>
      </c>
      <c r="B157" s="591"/>
      <c r="C157" s="805">
        <f>IF(ISNA(VLOOKUP("cau781740000",Balance!C:G,5,FALSE))=TRUE,0,VLOOKUP("cau781740000",Balance!C:G,5,FALSE))</f>
        <v>-399.74</v>
      </c>
      <c r="D157" s="619">
        <f>+[2]Caudry!$H157</f>
        <v>0</v>
      </c>
      <c r="E157" s="805">
        <f>IF(ISNA(VLOOKUP("cau781740000",Balanceanp!C:G,5,FALSE))=TRUE,0,VLOOKUP("cau781740000",Balanceanp!C:G,5,FALSE))</f>
        <v>-969.13</v>
      </c>
      <c r="F157" s="593">
        <f>+C157+C157/9*(12-Clients!$I$14)</f>
        <v>-532.98666666666668</v>
      </c>
      <c r="G157" s="1030">
        <v>0</v>
      </c>
      <c r="H157" s="1030"/>
      <c r="I157" s="1013">
        <f t="shared" si="18"/>
        <v>-0.4500359428903587</v>
      </c>
      <c r="J157" s="1014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805">
        <f>IF(ISNA(VLOOKUP("cau654400000",Balance!C:G,5,FALSE))=TRUE,0,VLOOKUP("cau654400000",Balance!C:G,5,FALSE))</f>
        <v>399.74</v>
      </c>
      <c r="D158" s="619">
        <f>+[2]Caudry!$H158</f>
        <v>0</v>
      </c>
      <c r="E158" s="805">
        <f>IF(ISNA(VLOOKUP("cau654400000",Balanceanp!C:G,5,FALSE))=TRUE,0,VLOOKUP("cau654400000",Balanceanp!C:G,5,FALSE))</f>
        <v>1211.4100000000001</v>
      </c>
      <c r="F158" s="593">
        <f>+C158+C158/9*(12-Clients!$I$14)</f>
        <v>532.98666666666668</v>
      </c>
      <c r="G158" s="1030">
        <v>0</v>
      </c>
      <c r="H158" s="1030"/>
      <c r="I158" s="1013">
        <f t="shared" si="18"/>
        <v>-0.56002784633883929</v>
      </c>
      <c r="J158" s="1014">
        <f t="shared" si="18"/>
        <v>-1</v>
      </c>
      <c r="L158" s="17">
        <f t="shared" si="15"/>
        <v>1</v>
      </c>
    </row>
    <row r="159" spans="1:12" hidden="1">
      <c r="A159" s="5" t="s">
        <v>60</v>
      </c>
      <c r="B159" s="92"/>
      <c r="C159" s="160">
        <f>IF(ISNA(VLOOKUP("cau791100000",Balance!C:G,5,FALSE))=TRUE,0,VLOOKUP("cau791100000",Balance!C:G,5,FALSE))</f>
        <v>0</v>
      </c>
      <c r="D159" s="117">
        <f>+[2]Caudry!$H159</f>
        <v>0</v>
      </c>
      <c r="E159" s="160">
        <f>IF(ISNA(VLOOKUP("cau791100000",Balanceanp!C:G,5,FALSE))=TRUE,0,VLOOKUP("cau791100000",Balanceanp!C:G,5,FALSE))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8"/>
        <v>0</v>
      </c>
      <c r="J159" s="271">
        <f t="shared" si="18"/>
        <v>0</v>
      </c>
      <c r="L159" s="17">
        <f t="shared" si="15"/>
        <v>0</v>
      </c>
    </row>
    <row r="160" spans="1:12">
      <c r="A160" s="590" t="s">
        <v>199</v>
      </c>
      <c r="B160" s="591"/>
      <c r="C160" s="805">
        <f>IF(ISNA(VLOOKUP("cau654100000",Balance!C:G,5,FALSE))=TRUE,0,VLOOKUP("cau654100000",Balance!C:G,5,FALSE))</f>
        <v>4.05</v>
      </c>
      <c r="D160" s="619">
        <f>+[2]Caudry!$H160</f>
        <v>0</v>
      </c>
      <c r="E160" s="805">
        <f>IF(ISNA(VLOOKUP("cau654100000",Balanceanp!C:G,5,FALSE))=TRUE,0,VLOOKUP("cau654100000",Balanceanp!C:G,5,FALSE))</f>
        <v>-5.9999999999999831E-2</v>
      </c>
      <c r="F160" s="593">
        <f>+C160+C160/9*(12-Clients!$I$14)</f>
        <v>5.3999999999999995</v>
      </c>
      <c r="G160" s="1030">
        <v>0</v>
      </c>
      <c r="H160" s="1030"/>
      <c r="I160" s="1013">
        <f t="shared" si="18"/>
        <v>-91.000000000000242</v>
      </c>
      <c r="J160" s="1014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805">
        <f>IF(ISNA(VLOOKUP("cau622700000",Balance!C:G,5,FALSE))=TRUE,0,VLOOKUP("cau622700000",Balance!C:G,5,FALSE))</f>
        <v>42.78</v>
      </c>
      <c r="D161" s="619">
        <f>+[2]Caudry!$H161</f>
        <v>133.73413668017952</v>
      </c>
      <c r="E161" s="805">
        <f>IF(ISNA(VLOOKUP("cau622700000",Balanceanp!C:G,5,FALSE))=TRUE,0,VLOOKUP("cau622700000",Balanceanp!C:G,5,FALSE))</f>
        <v>139.41999999999999</v>
      </c>
      <c r="F161" s="593">
        <f>+C161+C161/9*(12-Clients!$I$14)</f>
        <v>57.040000000000006</v>
      </c>
      <c r="G161" s="1030">
        <f t="shared" ref="G161:G166" si="19">+F161*1.03</f>
        <v>58.751200000000011</v>
      </c>
      <c r="H161" s="1030"/>
      <c r="I161" s="1013">
        <f t="shared" si="18"/>
        <v>-0.59087648830870743</v>
      </c>
      <c r="J161" s="1014">
        <f t="shared" si="18"/>
        <v>3.0000000000000086E-2</v>
      </c>
      <c r="L161" s="17">
        <f t="shared" si="15"/>
        <v>1</v>
      </c>
    </row>
    <row r="162" spans="1:12">
      <c r="A162" s="590" t="s">
        <v>355</v>
      </c>
      <c r="B162" s="591"/>
      <c r="C162" s="805">
        <f>IF(ISNA(VLOOKUP("CAU654200000",Balance!C:G,5,FALSE))=TRUE,0,VLOOKUP("CAU654200000",Balance!C:G,5,FALSE))</f>
        <v>10.77</v>
      </c>
      <c r="D162" s="619">
        <f>+[2]Caudry!$H162</f>
        <v>11.715558732630901</v>
      </c>
      <c r="E162" s="805">
        <f>IF(ISNA(VLOOKUP("CAU654200000",Balanceanp!C:G,5,FALSE))=TRUE,0,VLOOKUP("CAU654200000",Balanceanp!C:G,5,FALSE))</f>
        <v>8.3699999999999992</v>
      </c>
      <c r="F162" s="593">
        <f>+C162+C162/9*(12-Clients!$I$14)</f>
        <v>14.36</v>
      </c>
      <c r="G162" s="1030">
        <f t="shared" si="19"/>
        <v>14.790799999999999</v>
      </c>
      <c r="H162" s="1030"/>
      <c r="I162" s="1013">
        <f t="shared" si="18"/>
        <v>0.71565113500597377</v>
      </c>
      <c r="J162" s="1014">
        <f t="shared" si="18"/>
        <v>2.9999999999999975E-2</v>
      </c>
      <c r="L162" s="17">
        <f t="shared" si="15"/>
        <v>1</v>
      </c>
    </row>
    <row r="163" spans="1:12">
      <c r="A163" s="590" t="s">
        <v>200</v>
      </c>
      <c r="B163" s="591"/>
      <c r="C163" s="805">
        <f>IF(ISNA(VLOOKUP("CAU665000000",Balance!C:G,5,FALSE))=TRUE,0,VLOOKUP("CAU665000000",Balance!C:G,5,FALSE))+IF(ISNA(VLOOKUP("CAU665100000",Balance!C:G,5,FALSE))=TRUE,0,VLOOKUP("CAU665100000",Balance!C:G,5,FALSE))</f>
        <v>56.44</v>
      </c>
      <c r="D163" s="619">
        <f>+[2]Caudry!$H163</f>
        <v>57.965801924030202</v>
      </c>
      <c r="E163" s="805">
        <f>IF(ISNA(VLOOKUP("CAU665000000",Balanceanp!C:G,5,FALSE))=TRUE,0,VLOOKUP("CAU665000000",Balanceanp!C:G,5,FALSE))+IF(ISNA(VLOOKUP("CAU665100000",Balanceanp!C:G,5,FALSE))=TRUE,0,VLOOKUP("CAU665100000",Balanceanp!C:G,5,FALSE))</f>
        <v>38.08</v>
      </c>
      <c r="F163" s="593">
        <f>+C163+C163/9*(12-Clients!$I$14)</f>
        <v>75.25333333333333</v>
      </c>
      <c r="G163" s="1030">
        <f t="shared" si="19"/>
        <v>77.510933333333327</v>
      </c>
      <c r="H163" s="1030"/>
      <c r="I163" s="1013">
        <f t="shared" si="18"/>
        <v>0.97619047619047616</v>
      </c>
      <c r="J163" s="1014">
        <f t="shared" si="18"/>
        <v>2.9999999999999954E-2</v>
      </c>
      <c r="L163" s="17">
        <f t="shared" si="15"/>
        <v>1</v>
      </c>
    </row>
    <row r="164" spans="1:12">
      <c r="A164" s="590" t="s">
        <v>271</v>
      </c>
      <c r="B164" s="591"/>
      <c r="C164" s="805">
        <f>IF(ISNA(VLOOKUP("CAU763000000",Balance!C:G,5,FALSE))=TRUE,0,VLOOKUP("CAU763000000",Balance!C:G,5,FALSE))</f>
        <v>-9</v>
      </c>
      <c r="D164" s="619">
        <f>+[2]Caudry!$H164</f>
        <v>-404.52652453332297</v>
      </c>
      <c r="E164" s="805">
        <f>IF(ISNA(VLOOKUP("CAU763000000",Balanceanp!C:G,5,FALSE))=TRUE,0,VLOOKUP("CAU763000000",Balanceanp!C:G,5,FALSE))</f>
        <v>-358.29</v>
      </c>
      <c r="F164" s="593">
        <f>+C164+C164/9*(12-Clients!$I$14)</f>
        <v>-12</v>
      </c>
      <c r="G164" s="1030">
        <f t="shared" si="19"/>
        <v>-12.36</v>
      </c>
      <c r="H164" s="1030"/>
      <c r="I164" s="1013">
        <f t="shared" si="18"/>
        <v>-0.96650757766055428</v>
      </c>
      <c r="J164" s="1014">
        <f t="shared" si="18"/>
        <v>2.9999999999999954E-2</v>
      </c>
      <c r="L164" s="17">
        <f t="shared" si="15"/>
        <v>1</v>
      </c>
    </row>
    <row r="165" spans="1:12">
      <c r="A165" s="590" t="s">
        <v>242</v>
      </c>
      <c r="B165" s="591"/>
      <c r="C165" s="805">
        <f>IF(ISNA(VLOOKUP("CAU627520000",Balance!C:G,5,FALSE))=TRUE,0,VLOOKUP("CAU627520000",Balance!C:G,5,FALSE))</f>
        <v>83.6</v>
      </c>
      <c r="D165" s="619">
        <f>+[2]Caudry!$H165</f>
        <v>67.822797171742707</v>
      </c>
      <c r="E165" s="805">
        <f>IF(ISNA(VLOOKUP("CAU627520000",Balanceanp!C:G,5,FALSE))=TRUE,0,VLOOKUP("CAU627520000",Balanceanp!C:G,5,FALSE))</f>
        <v>36</v>
      </c>
      <c r="F165" s="593">
        <f>+C165+C165/9*(12-Clients!$I$14)</f>
        <v>111.46666666666665</v>
      </c>
      <c r="G165" s="1030">
        <f t="shared" si="19"/>
        <v>114.81066666666666</v>
      </c>
      <c r="H165" s="1030"/>
      <c r="I165" s="1013">
        <f t="shared" si="18"/>
        <v>2.0962962962962961</v>
      </c>
      <c r="J165" s="1014">
        <f t="shared" si="18"/>
        <v>3.0000000000000079E-2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IF(ISNA(VLOOKUP("cau763100000",Balance!C:G,5,FALSE))=TRUE,0,VLOOKUP("cau763100000",Balance!C:G,5,FALSE))</f>
        <v>0</v>
      </c>
      <c r="D166" s="117">
        <f>+[2]Caudry!$H166</f>
        <v>0</v>
      </c>
      <c r="E166" s="160">
        <f>IF(ISNA(VLOOKUP("cau763100000",Balanceanp!C:G,5,FALSE))=TRUE,0,VLOOKUP("cau763100000",Balanceanp!C:G,5,FALSE))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6.8917112873226284E-3</v>
      </c>
      <c r="C168" s="803">
        <f>SUM(C155:C167)</f>
        <v>3653.2200000000003</v>
      </c>
      <c r="D168" s="597">
        <f>SUM(D155:D167)</f>
        <v>7576.1721208752597</v>
      </c>
      <c r="E168" s="803">
        <f>SUM(E155:E167)</f>
        <v>7964.78</v>
      </c>
      <c r="F168" s="597">
        <f>SUM(F155:F167)</f>
        <v>4870.9599999999982</v>
      </c>
      <c r="G168" s="597">
        <f>SUM(G155:G167)</f>
        <v>9327.8822751600019</v>
      </c>
      <c r="H168" s="814">
        <f>+G168/$G$21</f>
        <v>1.2592670664242063E-2</v>
      </c>
      <c r="I168" s="596">
        <f>+IF((E168)=0,,(F168-E168)/E168)</f>
        <v>-0.38843759651867366</v>
      </c>
      <c r="J168" s="1015">
        <f>+IF((F168)=0,,(G168-F168)/F168)</f>
        <v>0.91499874258051905</v>
      </c>
      <c r="K168" s="136">
        <f>(C168+(C168/3))</f>
        <v>4870.96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IF(ISNA(VLOOKUP("cau651100000",Balance!C:G,5,FALSE))=TRUE,0,VLOOKUP("cau651100000",Balance!C:G,5,FALSE))</f>
        <v>0</v>
      </c>
      <c r="D170" s="117">
        <f>+[2]Caudry!$H170</f>
        <v>0</v>
      </c>
      <c r="E170" s="160">
        <f>IF(ISNA(VLOOKUP("cau651100000",Balanceanp!C:G,5,FALSE))=TRUE,0,VLOOKUP("cau651100000",Balanceanp!C:G,5,FALSE))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 hidden="1">
      <c r="A171" s="5" t="s">
        <v>168</v>
      </c>
      <c r="B171" s="92"/>
      <c r="C171" s="160">
        <f>IF(ISNA(VLOOKUP("cau651600000",Balance!C:G,5,FALSE))=TRUE,0,VLOOKUP("cau651600000",Balance!C:G,5,FALSE))</f>
        <v>0</v>
      </c>
      <c r="D171" s="117">
        <f>+[2]Caudry!$H171</f>
        <v>0</v>
      </c>
      <c r="E171" s="160">
        <f>IF(ISNA(VLOOKUP("cau651600000",Balanceanp!C:G,5,FALSE))=TRUE,0,VLOOKUP("cau651600000",Balanceanp!C:G,5,FALSE))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 hidden="1">
      <c r="A172" s="5" t="s">
        <v>169</v>
      </c>
      <c r="B172" s="92"/>
      <c r="C172" s="160">
        <f>IF(ISNA(VLOOKUP("cau671200000",Balance!C:G,5,FALSE))=TRUE,0,VLOOKUP("cau671200000",Balance!C:G,5,FALSE))</f>
        <v>0</v>
      </c>
      <c r="D172" s="117">
        <f>+[2]Caudry!$H172</f>
        <v>0</v>
      </c>
      <c r="E172" s="160">
        <f>IF(ISNA(VLOOKUP("cau671200000",Balanceanp!C:G,5,FALSE))=TRUE,0,VLOOKUP("cau671200000",Balanceanp!C:G,5,FALSE))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805">
        <f>IF(ISNA(VLOOKUP("cau671800000",Balance!C:G,5,FALSE))=TRUE,0,VLOOKUP("cau671800000",Balance!C:G,5,FALSE))</f>
        <v>0</v>
      </c>
      <c r="D173" s="619">
        <f>+[2]Caudry!$H173</f>
        <v>0</v>
      </c>
      <c r="E173" s="805">
        <f>IF(ISNA(VLOOKUP("cau671800000",Balanceanp!C:G,5,FALSE))=TRUE,0,VLOOKUP("cau671800000",Balanceanp!C:G,5,FALSE))+IF(ISNA(VLOOKUP("cau658000000",Balanceanp!C:G,5,FALSE))=TRUE,0,VLOOKUP("cau658000000",Balanceanp!C:G,5,FALSE))</f>
        <v>3714.32</v>
      </c>
      <c r="F173" s="593">
        <f>+C173+C173/9*(12-Clients!$I$14)</f>
        <v>0</v>
      </c>
      <c r="G173" s="1030">
        <v>0</v>
      </c>
      <c r="H173" s="1030"/>
      <c r="I173" s="1013">
        <f t="shared" si="21"/>
        <v>-1</v>
      </c>
      <c r="J173" s="1014">
        <f t="shared" si="21"/>
        <v>0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IF(ISNA(VLOOKUP("cau672000000",Balance!C:G,5,FALSE))=TRUE,0,VLOOKUP("cau672000000",Balance!C:G,5,FALSE))</f>
        <v>0</v>
      </c>
      <c r="D174" s="117">
        <f>+[2]Caudry!$H174</f>
        <v>0</v>
      </c>
      <c r="E174" s="160">
        <f>IF(ISNA(VLOOKUP("cau672000000",Balanceanp!C:G,5,FALSE))=TRUE,0,VLOOKUP("cau672000000",Balanceanp!C:G,5,FALSE))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IF(ISNA(VLOOKUP("cau691100000",Balance!C:G,5,FALSE))=TRUE,0,VLOOKUP("cau691100000",Balance!C:G,5,FALSE))</f>
        <v>0</v>
      </c>
      <c r="D175" s="117">
        <f>+[2]Caudry!$H175</f>
        <v>0</v>
      </c>
      <c r="E175" s="160">
        <f>IF(ISNA(VLOOKUP("cau691100000",Balanceanp!C:G,5,FALSE))=TRUE,0,VLOOKUP("cau691100000",Balanceanp!C:G,5,FALSE))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IF(ISNA(VLOOKUP("cau675100000",Balance!C:G,5,FALSE))=TRUE,0,VLOOKUP("cau675100000",Balance!C:G,5,FALSE))</f>
        <v>0</v>
      </c>
      <c r="D176" s="117">
        <f>+[2]Caudry!$H176</f>
        <v>0</v>
      </c>
      <c r="E176" s="160">
        <f>IF(ISNA(VLOOKUP("cau675100000",Balanceanp!C:G,5,FALSE))=TRUE,0,VLOOKUP("cau675100000",Balanceanp!C:G,5,FALSE))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IF(ISNA(VLOOKUP("cau675200000",Balance!C:G,5,FALSE))=TRUE,0,VLOOKUP("cau675200000",Balance!C:G,5,FALSE))</f>
        <v>0</v>
      </c>
      <c r="D177" s="117">
        <f>+[2]Caudry!$H177</f>
        <v>0</v>
      </c>
      <c r="E177" s="160">
        <f>IF(ISNA(VLOOKUP("cau675200000",Balanceanp!C:G,5,FALSE))=TRUE,0,VLOOKUP("cau675200000",Balanceanp!C:G,5,FALSE))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IF(ISNA(VLOOKUP("cau681110000",Balance!C:G,5,FALSE))=TRUE,0,VLOOKUP("cau681110000",Balance!C:G,5,FALSE))</f>
        <v>0</v>
      </c>
      <c r="D178" s="117">
        <f>+[2]Caudry!$H178</f>
        <v>0</v>
      </c>
      <c r="E178" s="160">
        <f>IF(ISNA(VLOOKUP("cau681110000",Balanceanp!C:G,5,FALSE))=TRUE,0,VLOOKUP("cau681110000",Balanceanp!C:G,5,FALSE))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805">
        <f>IF(ISNA(VLOOKUP("cau681120000",Balance!C:G,5,FALSE))=TRUE,0,VLOOKUP("cau681120000",Balance!C:G,5,FALSE))</f>
        <v>8550</v>
      </c>
      <c r="D179" s="619">
        <f>+[2]Caudry!$H179</f>
        <v>5400</v>
      </c>
      <c r="E179" s="805">
        <f>IF(ISNA(VLOOKUP("cau681120000",Balanceanp!C:G,5,FALSE))=TRUE,0,VLOOKUP("cau681120000",Balanceanp!C:G,5,FALSE))</f>
        <v>5199.6099999999997</v>
      </c>
      <c r="F179" s="631">
        <v>4597.57</v>
      </c>
      <c r="G179" s="636">
        <f>4597.47+500+G255/10</f>
        <v>5397.47</v>
      </c>
      <c r="H179" s="638"/>
      <c r="I179" s="1013">
        <f t="shared" si="21"/>
        <v>-0.11578560699744789</v>
      </c>
      <c r="J179" s="1014">
        <f t="shared" si="21"/>
        <v>0.17398321287114729</v>
      </c>
      <c r="L179" s="17">
        <f t="shared" si="15"/>
        <v>1</v>
      </c>
    </row>
    <row r="180" spans="1:12">
      <c r="A180" s="590" t="s">
        <v>78</v>
      </c>
      <c r="B180" s="591"/>
      <c r="C180" s="805">
        <f>IF(ISNA(VLOOKUP("CAU687250000",Balance!C:G,5,FALSE))=TRUE,0,+VLOOKUP("CAU687250000",Balance!C:G,5,FALSE))</f>
        <v>0</v>
      </c>
      <c r="D180" s="619">
        <f>+[2]Caudry!$H180</f>
        <v>0</v>
      </c>
      <c r="E180" s="805">
        <f>IF(ISNA(VLOOKUP("CAU687250000",Balanceanp!C:G,5,FALSE))=TRUE,0,+VLOOKUP("CAU687250000",Balanceanp!C:G,5,FALSE))</f>
        <v>17.46</v>
      </c>
      <c r="F180" s="593">
        <f>+C180+C180/9*(12-Clients!$I$14)</f>
        <v>0</v>
      </c>
      <c r="G180" s="1030">
        <f t="shared" si="20"/>
        <v>0</v>
      </c>
      <c r="H180" s="1030"/>
      <c r="I180" s="1013">
        <f t="shared" si="21"/>
        <v>-1</v>
      </c>
      <c r="J180" s="1014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IF(ISNA(VLOOKUP("CAU661880000",Balance!C:G,5,FALSE))=TRUE,0,+VLOOKUP("CAU661880000",Balance!C:G,5,FALSE))</f>
        <v>0</v>
      </c>
      <c r="D181" s="117">
        <f>+[2]Caudry!$H181</f>
        <v>0</v>
      </c>
      <c r="E181" s="160">
        <f>IF(ISNA(VLOOKUP("CAU661880000",Balanceanp!C:G,5,FALSE))=TRUE,0,+VLOOKUP("CAU661880000",Balanceanp!C:G,5,FALSE))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+[2]Caudry!$H182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 hidden="1">
      <c r="A183" s="5" t="s">
        <v>331</v>
      </c>
      <c r="B183" s="92"/>
      <c r="C183" s="160">
        <f>IF(ISNA(VLOOKUP("cau681500000",Balance!C:G,5,FALSE))=TRUE,0,VLOOKUP("cau681500000",Balance!C:G,5,FALSE))</f>
        <v>0</v>
      </c>
      <c r="D183" s="117">
        <f>+[2]Caudry!$H183</f>
        <v>0</v>
      </c>
      <c r="E183" s="160">
        <f>IF(ISNA(VLOOKUP("cau681500000",Balanceanp!C:G,5,FALSE))=TRUE,0,VLOOKUP("cau681500000",Balanceanp!C:G,5,FALSE))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803">
        <f>SUM(C169:C184)</f>
        <v>8550</v>
      </c>
      <c r="D185" s="597">
        <f>SUM(D169:D184)</f>
        <v>5400</v>
      </c>
      <c r="E185" s="597">
        <f>SUM(E169:E184)</f>
        <v>8931.39</v>
      </c>
      <c r="F185" s="597">
        <f>SUM(F169:F184)</f>
        <v>4597.57</v>
      </c>
      <c r="G185" s="597">
        <f>SUM(G169:G184)</f>
        <v>5397.47</v>
      </c>
      <c r="H185" s="814"/>
      <c r="I185" s="596">
        <f>+IF((E185)=0,,(F185-E185)/E185)</f>
        <v>-0.48523466112217695</v>
      </c>
      <c r="J185" s="1015">
        <f>+IF((F185)=0,,(G185-F185)/F185)</f>
        <v>0.17398321287114729</v>
      </c>
      <c r="K185" s="136">
        <f>(C185+(C185/3))</f>
        <v>11400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 hidden="1">
      <c r="A187" s="5" t="s">
        <v>179</v>
      </c>
      <c r="B187" s="92"/>
      <c r="C187" s="160">
        <f>IF(ISNA(VLOOKUP("cau740000000",Balance!C:G,5,FALSE))=TRUE,0,-VLOOKUP("cau740000000",Balance!C:G,5,FALSE))</f>
        <v>0</v>
      </c>
      <c r="D187" s="117">
        <f>+[2]Caudry!$H187</f>
        <v>0</v>
      </c>
      <c r="E187" s="160">
        <f>IF(ISNA(VLOOKUP("cau740000000",Balanceanp!C:G,5,FALSE))=TRUE,0,-VLOOKUP("cau740000000",Balanceanp!C:G,5,FALSE))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2">+IF((E187)=0,,(F187-E187)/E187)</f>
        <v>0</v>
      </c>
      <c r="J187" s="271">
        <f t="shared" si="22"/>
        <v>0</v>
      </c>
      <c r="L187" s="17">
        <f t="shared" si="15"/>
        <v>0</v>
      </c>
    </row>
    <row r="188" spans="1:12" hidden="1">
      <c r="A188" s="5" t="s">
        <v>167</v>
      </c>
      <c r="B188" s="92"/>
      <c r="C188" s="160">
        <f>IF(ISNA(VLOOKUP("cau751100000",Balance!C:G,5,FALSE))=TRUE,0,-VLOOKUP("cau751100000",Balance!C:G,5,FALSE))</f>
        <v>0</v>
      </c>
      <c r="D188" s="117">
        <f>+[2]Caudry!$H188</f>
        <v>0</v>
      </c>
      <c r="E188" s="160">
        <f>IF(ISNA(VLOOKUP("cau751100000",Balanceanp!C:G,5,FALSE))=TRUE,0,-VLOOKUP("cau751100000",Balanceanp!C:G,5,FALSE))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IF(ISNA(VLOOKUP("cau758100000",Balance!C:G,5,FALSE))=TRUE,0,-VLOOKUP("cau758100000",Balance!C:G,5,FALSE))</f>
        <v>0</v>
      </c>
      <c r="D189" s="117">
        <f>+[2]Caudry!$H189</f>
        <v>0</v>
      </c>
      <c r="E189" s="160">
        <f>IF(ISNA(VLOOKUP("cau758100000",Balanceanp!C:G,5,FALSE))=TRUE,0,-VLOOKUP("cau758100000",Balanceanp!C:G,5,FALSE))</f>
        <v>423.32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IF(ISNA(VLOOKUP("cau763800000",Balance!C:G,5,FALSE))=TRUE,0,-VLOOKUP("cau763800000",Balance!C:G,5,FALSE))</f>
        <v>0</v>
      </c>
      <c r="D190" s="117">
        <f>+[2]Caudry!$H190</f>
        <v>0</v>
      </c>
      <c r="E190" s="160">
        <f>IF(ISNA(VLOOKUP("cau763800000",Balanceanp!C:G,5,FALSE))=TRUE,0,-VLOOKUP("cau763800000",Balanceanp!C:G,5,FALSE))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IF(ISNA(VLOOKUP("cau765000000",Balance!C:G,5,FALSE))=TRUE,0,-VLOOKUP("cau765000000",Balance!C:G,5,FALSE))</f>
        <v>0</v>
      </c>
      <c r="D191" s="117">
        <f>+[2]Caudry!$H191</f>
        <v>0</v>
      </c>
      <c r="E191" s="160">
        <f>IF(ISNA(VLOOKUP("cau765000000",Balanceanp!C:G,5,FALSE))=TRUE,0,-VLOOKUP("cau765000000",Balanceanp!C:G,5,FALSE))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IF(ISNA(VLOOKUP("cau771400000",Balance!C:G,5,FALSE))=TRUE,0,-VLOOKUP("cau771400000",Balance!C:G,5,FALSE))</f>
        <v>0</v>
      </c>
      <c r="D192" s="117">
        <f>+[2]Caudry!$H192</f>
        <v>0</v>
      </c>
      <c r="E192" s="160">
        <f>IF(ISNA(VLOOKUP("cau771400000",Balanceanp!C:G,5,FALSE))=TRUE,0,-VLOOKUP("cau771400000",Balanceanp!C:G,5,FALSE))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IF(ISNA(VLOOKUP("cau771800000",Balance!C:G,5,FALSE))=TRUE,0,-VLOOKUP("cau771800000",Balance!C:G,5,FALSE))</f>
        <v>43.8</v>
      </c>
      <c r="D193" s="117">
        <f>+[2]Caudry!$H193</f>
        <v>0</v>
      </c>
      <c r="E193" s="160">
        <f>IF(ISNA(VLOOKUP("cau771800000",Balanceanp!C:G,5,FALSE))=TRUE,0,-VLOOKUP("cau771800000",Balanceanp!C:G,5,FALSE))</f>
        <v>7829.53</v>
      </c>
      <c r="F193" s="368">
        <f>+C193+C193/9*(12-Clients!$I$14)</f>
        <v>58.399999999999991</v>
      </c>
      <c r="G193" s="368">
        <v>0</v>
      </c>
      <c r="H193" s="410"/>
      <c r="I193" s="149">
        <f t="shared" si="22"/>
        <v>-0.99254105929730141</v>
      </c>
      <c r="J193" s="271">
        <f t="shared" si="22"/>
        <v>-1</v>
      </c>
      <c r="L193" s="17">
        <v>0</v>
      </c>
    </row>
    <row r="194" spans="1:12" hidden="1">
      <c r="A194" s="5" t="s">
        <v>185</v>
      </c>
      <c r="B194" s="92"/>
      <c r="C194" s="160">
        <f>IF(ISNA(VLOOKUP("cau758000000",Balance!C:G,5,FALSE))=TRUE,0,-VLOOKUP("cau758000000",Balance!C:G,5,FALSE))</f>
        <v>0.05</v>
      </c>
      <c r="D194" s="117">
        <f>+[2]Caudry!$H194</f>
        <v>0</v>
      </c>
      <c r="E194" s="160">
        <f>IF(ISNA(VLOOKUP("cau758000000",Balanceanp!C:G,5,FALSE))=TRUE,0,-VLOOKUP("cau758000000",Balanceanp!C:G,5,FALSE))</f>
        <v>7637.03</v>
      </c>
      <c r="F194" s="368">
        <f>+C194+C194/9*(12-Clients!$I$14)</f>
        <v>6.6666666666666666E-2</v>
      </c>
      <c r="G194" s="368">
        <v>0</v>
      </c>
      <c r="H194" s="410"/>
      <c r="I194" s="149">
        <f t="shared" si="22"/>
        <v>-0.99999127060301363</v>
      </c>
      <c r="J194" s="271">
        <f t="shared" si="22"/>
        <v>-1</v>
      </c>
      <c r="L194" s="17">
        <v>0</v>
      </c>
    </row>
    <row r="195" spans="1:12" hidden="1">
      <c r="A195" s="5" t="s">
        <v>186</v>
      </c>
      <c r="B195" s="92"/>
      <c r="C195" s="160">
        <f>IF(ISNA(VLOOKUP("cau775100000",Balance!C:G,5,FALSE))=TRUE,0,-VLOOKUP("cau775100000",Balance!C:G,5,FALSE))</f>
        <v>0</v>
      </c>
      <c r="D195" s="117">
        <f>+[2]Caudry!$H195</f>
        <v>0</v>
      </c>
      <c r="E195" s="160">
        <f>IF(ISNA(VLOOKUP("cau775100000",Balanceanp!C:G,5,FALSE))=TRUE,0,-VLOOKUP("cau775100000",Balanceanp!C:G,5,FALSE))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IF(ISNA(VLOOKUP("cau775200000",Balance!C:G,5,FALSE))=TRUE,0,-VLOOKUP("cau775200000",Balance!C:G,5,FALSE))</f>
        <v>0</v>
      </c>
      <c r="D196" s="117">
        <f>+[2]Caudry!$H196</f>
        <v>0</v>
      </c>
      <c r="E196" s="160">
        <f>IF(ISNA(VLOOKUP("cau775200000",Balanceanp!C:G,5,FALSE))=TRUE,0,-VLOOKUP("cau775200000",Balanceanp!C:G,5,FALSE))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IF(ISNA(VLOOKUP("cau791000000",Balance!C:G,5,FALSE))=TRUE,0,-VLOOKUP("cau791000000",Balance!C:G,5,FALSE))</f>
        <v>0</v>
      </c>
      <c r="D197" s="117">
        <f>+[2]Caudry!$H197</f>
        <v>0</v>
      </c>
      <c r="E197" s="160">
        <f>IF(ISNA(VLOOKUP("cau791000000",Balanceanp!C:G,5,FALSE))=TRUE,0,-VLOOKUP("cau791000000",Balanceanp!C:G,5,FALSE))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IF(ISNA(VLOOKUP("cau781500000",Balance!C:G,5,FALSE))=TRUE,0,-VLOOKUP("cau781500000",Balance!C:G,5,FALSE))</f>
        <v>0</v>
      </c>
      <c r="D198" s="117">
        <f>+[2]Caudry!$H198</f>
        <v>0</v>
      </c>
      <c r="E198" s="160">
        <f>IF(ISNA(VLOOKUP("cau781500000",Balanceanp!C:G,5,FALSE))=TRUE,0,-VLOOKUP("cau781500000",Balanceanp!C:G,5,FALSE))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IF(ISNA(VLOOKUP("CAU787250000",Balance!C:G,5,FALSE))=TRUE,0,-VLOOKUP("CAU787250000",Balance!C:G,5,FALSE))</f>
        <v>0</v>
      </c>
      <c r="D199" s="117">
        <f>+[2]Caudry!$H199</f>
        <v>0</v>
      </c>
      <c r="E199" s="160">
        <f>IF(ISNA(VLOOKUP("CAU787250000",Balanceanp!C:G,5,FALSE))=TRUE,0,-VLOOKUP("CAU787250000",Balanceanp!C:G,5,FALSE))</f>
        <v>864.6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803">
        <f>SUM(C186:C200)</f>
        <v>43.849999999999994</v>
      </c>
      <c r="D201" s="597">
        <f>SUM(D186:D200)</f>
        <v>0</v>
      </c>
      <c r="E201" s="803">
        <f>SUM(E186:E200)</f>
        <v>16754.48</v>
      </c>
      <c r="F201" s="597">
        <f>SUM(F186:F200)</f>
        <v>58.466666666666661</v>
      </c>
      <c r="G201" s="597">
        <f>SUM(G186:G200)</f>
        <v>0</v>
      </c>
      <c r="H201" s="814"/>
      <c r="I201" s="596">
        <f>+IF((E201)=0,,(F201-E201)/E201)</f>
        <v>-0.99651038607783304</v>
      </c>
      <c r="J201" s="1015">
        <f>+IF((F201)=0,,(G201-F201)/F201)</f>
        <v>-1</v>
      </c>
      <c r="K201" s="136">
        <f>(C201+(C201/3))</f>
        <v>58.466666666666661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0.3507069332420531</v>
      </c>
      <c r="C203" s="659">
        <f>+C103+C116+C129+C154+C168+C185-C201</f>
        <v>185905.87</v>
      </c>
      <c r="D203" s="642">
        <f>+D103+D116+D129+D154+D168+D185-D201</f>
        <v>248229.35391207447</v>
      </c>
      <c r="E203" s="659">
        <f>+E103+E116+E129+E154+E168+E185-E201</f>
        <v>214882.12191999998</v>
      </c>
      <c r="F203" s="642">
        <f>+F103+F116+F129+F154+F168+F185-F201</f>
        <v>238123.8133333333</v>
      </c>
      <c r="G203" s="642">
        <f>+G103+G116+G129+G154+G168+G185-G201</f>
        <v>246290.72993309339</v>
      </c>
      <c r="H203" s="815">
        <f>+G203/$G$21</f>
        <v>0.33249326676885299</v>
      </c>
      <c r="I203" s="363">
        <f>+IF((E203)=0,,(F203-E203)/E203)</f>
        <v>0.10816019129774852</v>
      </c>
      <c r="J203" s="1035">
        <f>+IF((F203)=0,,(G203-F203)/F203)</f>
        <v>3.4296933538216876E-2</v>
      </c>
      <c r="K203" s="145">
        <f>+K103+K116+K129+K154+K168+K185-K201</f>
        <v>247874.49333333332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4.2887395671990521E-2</v>
      </c>
      <c r="C205" s="667">
        <f>+C62-C203</f>
        <v>22734.134539999999</v>
      </c>
      <c r="D205" s="646">
        <f>+D62-D203</f>
        <v>4105.6460879255319</v>
      </c>
      <c r="E205" s="667">
        <f>+E53-E203</f>
        <v>17794.682579999993</v>
      </c>
      <c r="F205" s="646">
        <f>+F62-F203</f>
        <v>35786.772299815726</v>
      </c>
      <c r="G205" s="646">
        <f>+G62-G203</f>
        <v>42676.456720441958</v>
      </c>
      <c r="H205" s="622">
        <f>+G205/$G$21</f>
        <v>5.7613351963973762E-2</v>
      </c>
      <c r="I205" s="366">
        <f>+IF((E205)=0,,(F205-E205)/E205)</f>
        <v>1.0110936027618505</v>
      </c>
      <c r="J205" s="1036">
        <f>+IF((F205)=0,,(G205-F205)/F205)</f>
        <v>0.19252041963733368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2.6784911063409333E-3</v>
      </c>
      <c r="C207" s="112">
        <f>+[2]Caudry!$C207</f>
        <v>1419.8385381446035</v>
      </c>
      <c r="D207" s="651">
        <f>+[2]Caudry!$H207</f>
        <v>3825.8684563885695</v>
      </c>
      <c r="E207" s="651">
        <f>+[1]Caudry!$G$207</f>
        <v>1361.8171248169165</v>
      </c>
      <c r="F207" s="651">
        <f>+Repart!K34</f>
        <v>1880.7436417633603</v>
      </c>
      <c r="G207" s="651">
        <f>+Repart!Q34</f>
        <v>2803.8472523336141</v>
      </c>
      <c r="H207" s="816">
        <f>+G207/$G$21</f>
        <v>3.7852026858766906E-3</v>
      </c>
      <c r="I207" s="363">
        <f>+IF((E207)=0,,(F207-E207)/E207)</f>
        <v>0.38105448043635715</v>
      </c>
      <c r="J207" s="1035">
        <f>+IF((F207)=0,,(G207-F207)/F207)</f>
        <v>0.49081841356367106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4.0208904565649593E-2</v>
      </c>
      <c r="C209" s="667">
        <f>+C205-C207</f>
        <v>21314.296001855397</v>
      </c>
      <c r="D209" s="646">
        <f>+D205-D207</f>
        <v>279.77763153696242</v>
      </c>
      <c r="E209" s="667">
        <f>+E205-E207</f>
        <v>16432.865455183077</v>
      </c>
      <c r="F209" s="646">
        <f>+F205-F207</f>
        <v>33906.028658052368</v>
      </c>
      <c r="G209" s="646">
        <f>+G205-G207</f>
        <v>39872.609468108341</v>
      </c>
      <c r="H209" s="622">
        <f>+G209/$G$21</f>
        <v>5.3828149278097065E-2</v>
      </c>
      <c r="I209" s="366">
        <f>+IF((E209)=0,,(F209-E209)/E209)</f>
        <v>1.0633059249784154</v>
      </c>
      <c r="J209" s="1036">
        <f>+IF((F209)=0,,(G209-F209)/F209)</f>
        <v>0.17597403901913372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1.2328237401203779E-2</v>
      </c>
      <c r="C211" s="805">
        <f>+[2]Caudry!$C211</f>
        <v>6535.0624193548392</v>
      </c>
      <c r="D211" s="619">
        <f>+[2]Caudry!$H211</f>
        <v>9026.0372215405096</v>
      </c>
      <c r="E211" s="805">
        <f>+[1]Caudry!$G211</f>
        <v>8095.0860719999991</v>
      </c>
      <c r="F211" s="593">
        <f>+Repart!I34</f>
        <v>8997.9607634408567</v>
      </c>
      <c r="G211" s="593">
        <f>+Repart!O34</f>
        <v>9644.6846793104778</v>
      </c>
      <c r="H211" s="593"/>
      <c r="I211" s="1013">
        <f t="shared" ref="I211:J213" si="24">+IF((E211)=0,,(F211-E211)/E211)</f>
        <v>0.11153367405984731</v>
      </c>
      <c r="J211" s="1014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3.8630782225025098E-2</v>
      </c>
      <c r="C212" s="805">
        <f>+[2]Caudry!$C212</f>
        <v>20477.750787342215</v>
      </c>
      <c r="D212" s="619">
        <f>+[2]Caudry!$H212</f>
        <v>24233.284976898914</v>
      </c>
      <c r="E212" s="805">
        <f>+[1]Caudry!$G212</f>
        <v>20900.47479336612</v>
      </c>
      <c r="F212" s="593">
        <f>+Repart!J34</f>
        <v>28208.975452023227</v>
      </c>
      <c r="G212" s="593">
        <f>+Repart!P34</f>
        <v>30209.329793476485</v>
      </c>
      <c r="H212" s="593"/>
      <c r="I212" s="1013">
        <f t="shared" si="24"/>
        <v>0.34968108288988964</v>
      </c>
      <c r="J212" s="1014">
        <f t="shared" si="24"/>
        <v>7.0911981360520723E-2</v>
      </c>
      <c r="L212" s="17">
        <f t="shared" si="23"/>
        <v>1</v>
      </c>
    </row>
    <row r="213" spans="1:12">
      <c r="A213" s="590" t="s">
        <v>193</v>
      </c>
      <c r="B213" s="591"/>
      <c r="C213" s="805">
        <f>+[2]Caudry!$C213</f>
        <v>-6283.76</v>
      </c>
      <c r="D213" s="619">
        <f>+[2]Caudry!$H213</f>
        <v>-6418.88</v>
      </c>
      <c r="E213" s="805">
        <f>+[1]Caudry!$G213</f>
        <v>-6020.04</v>
      </c>
      <c r="F213" s="593">
        <f>+C213+C213/9*(12-Clients!$I$14)</f>
        <v>-8378.3466666666664</v>
      </c>
      <c r="G213" s="593">
        <f>+G253*-4%</f>
        <v>-8017.7589359999993</v>
      </c>
      <c r="H213" s="593"/>
      <c r="I213" s="1013">
        <f t="shared" si="24"/>
        <v>0.39174269052475835</v>
      </c>
      <c r="J213" s="1014">
        <f t="shared" si="24"/>
        <v>-4.303805333112664E-2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3.910485816898665E-2</v>
      </c>
      <c r="C215" s="668">
        <f>SUM(C210:C213)</f>
        <v>20729.053206697055</v>
      </c>
      <c r="D215" s="653">
        <f>SUM(D210:D213)</f>
        <v>26840.442198439425</v>
      </c>
      <c r="E215" s="668">
        <f>SUM(E210:E213)</f>
        <v>22975.520865366118</v>
      </c>
      <c r="F215" s="653">
        <f>SUM(F210:F213)</f>
        <v>28828.589548797419</v>
      </c>
      <c r="G215" s="653">
        <f>SUM(G210:G213)</f>
        <v>31836.255536786965</v>
      </c>
      <c r="H215" s="817">
        <f>+G215/$G$21</f>
        <v>4.2979045975420446E-2</v>
      </c>
      <c r="I215" s="363">
        <f>+IF((E215)=0,,(F215-E215)/E215)</f>
        <v>0.25475238266542921</v>
      </c>
      <c r="J215" s="1035">
        <f>+IF((F215)=0,,(G215-F215)/F215)</f>
        <v>0.10432927989413236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1.1040463966629399E-3</v>
      </c>
      <c r="C217" s="667">
        <f>+C209-C215</f>
        <v>585.24279515834132</v>
      </c>
      <c r="D217" s="646">
        <f>+D209-D215</f>
        <v>-26560.664566902462</v>
      </c>
      <c r="E217" s="667">
        <f>+E209-E215</f>
        <v>-6542.6554101830407</v>
      </c>
      <c r="F217" s="646">
        <f>+F209-F215</f>
        <v>5077.4391092549486</v>
      </c>
      <c r="G217" s="646">
        <f>+G209-G215</f>
        <v>8036.3539313213769</v>
      </c>
      <c r="H217" s="622">
        <f>+G217/$G$21</f>
        <v>1.084910330267662E-2</v>
      </c>
      <c r="I217" s="366">
        <f>+IF((E217)=0,,(F217-E217)/E217)</f>
        <v>-1.7760517390771311</v>
      </c>
      <c r="J217" s="1036">
        <f>+IF((F217)=0,,(G217-F217)/F217)</f>
        <v>0.58275732281516468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585.24279515821581</v>
      </c>
      <c r="D218" s="117">
        <f>+[2]Caudry!$H$217</f>
        <v>-26560.664566902462</v>
      </c>
      <c r="E218" s="17">
        <f>+[1]Caudry!$G$217</f>
        <v>-6542.6554101830407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81.607284907652641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+B220/(C21*1.196)*Clients!K31</f>
        <v>203.63865442143674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C221" s="17"/>
      <c r="D221" s="2"/>
      <c r="E221" s="2"/>
      <c r="F221" s="58"/>
      <c r="G221" s="58"/>
      <c r="H221" s="58"/>
      <c r="I221" s="66"/>
      <c r="J221" s="66"/>
      <c r="L221" s="17">
        <f t="shared" si="23"/>
        <v>0</v>
      </c>
    </row>
    <row r="222" spans="1:12">
      <c r="A222" s="654" t="s">
        <v>67</v>
      </c>
      <c r="B222" s="655"/>
      <c r="C222" s="656">
        <f>+(C215+C207+C203)/C60/Clients!$I$13*12</f>
        <v>698404.70542075078</v>
      </c>
      <c r="D222" s="656">
        <f>+(D215+D207+D203)/D60</f>
        <v>702076.32976876118</v>
      </c>
      <c r="E222" s="656">
        <f>+(E215+E207+E203)/E60/Clients!$I$13*12</f>
        <v>795349.80096803012</v>
      </c>
      <c r="F222" s="656">
        <f>+(F215+F207+F203)/F60</f>
        <v>676820.61058382201</v>
      </c>
      <c r="G222" s="656">
        <f>+(G215+G207+G203)/G60</f>
        <v>714877.10707031621</v>
      </c>
      <c r="H222" s="656"/>
      <c r="I222" s="656"/>
      <c r="J222" s="656"/>
      <c r="L222" s="17">
        <f t="shared" si="23"/>
        <v>1</v>
      </c>
    </row>
    <row r="223" spans="1:12">
      <c r="A223" s="654" t="s">
        <v>66</v>
      </c>
      <c r="B223" s="655"/>
      <c r="C223" s="656">
        <f>+(C215+C207+C203)/C60/Clients!$I$13</f>
        <v>58200.392118395896</v>
      </c>
      <c r="D223" s="656">
        <f>+(D215+D207+D203)/D60/12</f>
        <v>58506.360814063431</v>
      </c>
      <c r="E223" s="656">
        <f>+(E215+E207+E203)/E60/Clients!$I$13</f>
        <v>66279.150080669177</v>
      </c>
      <c r="F223" s="656">
        <f>+(F215+F207+F203)/F60/9</f>
        <v>75202.290064869114</v>
      </c>
      <c r="G223" s="656">
        <f>+(G215+G207+G203)/G60/12</f>
        <v>59573.092255859687</v>
      </c>
      <c r="H223" s="656"/>
      <c r="I223" s="656"/>
      <c r="J223" s="656"/>
      <c r="L223" s="17">
        <f t="shared" si="23"/>
        <v>1</v>
      </c>
    </row>
    <row r="224" spans="1:12" hidden="1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529060.22999999986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525428.28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t="10.5" hidden="1" customHeight="1">
      <c r="C227" s="17"/>
      <c r="D227" s="2"/>
      <c r="E227" s="2"/>
      <c r="F227" s="58"/>
      <c r="G227" s="58"/>
      <c r="H227" s="58"/>
      <c r="I227" s="66"/>
      <c r="J227" s="66"/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CAUDRY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659">
        <f t="shared" ref="C233:J233" si="25">+C51</f>
        <v>525276.94999999995</v>
      </c>
      <c r="D233" s="659">
        <f t="shared" si="25"/>
        <v>635214</v>
      </c>
      <c r="E233" s="659">
        <f t="shared" si="25"/>
        <v>580197.73</v>
      </c>
      <c r="F233" s="659">
        <f t="shared" si="25"/>
        <v>689603.68991225841</v>
      </c>
      <c r="G233" s="659">
        <f t="shared" si="25"/>
        <v>735327</v>
      </c>
      <c r="H233" s="659"/>
      <c r="I233" s="363">
        <f>+I51</f>
        <v>0.18856668038370028</v>
      </c>
      <c r="J233" s="363">
        <f t="shared" si="25"/>
        <v>6.6303749177385032E-2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660">
        <f>+C60</f>
        <v>0.3972</v>
      </c>
      <c r="D235" s="660">
        <f>+D60</f>
        <v>0.39724407837358749</v>
      </c>
      <c r="E235" s="660">
        <f>+E60</f>
        <v>0.40103018758794517</v>
      </c>
      <c r="F235" s="660">
        <f>+F60</f>
        <v>0.3972</v>
      </c>
      <c r="G235" s="660">
        <f>+G60</f>
        <v>0.39297779988159737</v>
      </c>
      <c r="H235" s="660"/>
      <c r="I235" s="660"/>
      <c r="J235" s="660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661">
        <f>+C62</f>
        <v>208640.00453999999</v>
      </c>
      <c r="D236" s="661">
        <f>+D62</f>
        <v>252335</v>
      </c>
      <c r="E236" s="661">
        <f>+E62</f>
        <v>232676.80449999997</v>
      </c>
      <c r="F236" s="661">
        <f>+F62</f>
        <v>273910.58563314902</v>
      </c>
      <c r="G236" s="661">
        <f>+G62</f>
        <v>288967.18665353535</v>
      </c>
      <c r="H236" s="661"/>
      <c r="I236" s="366">
        <f>+IF((E236)=0,,(F236-E236)/E236)</f>
        <v>0.17721483334686702</v>
      </c>
      <c r="J236" s="1036">
        <f>+IF((F236)=0,,(G236-F236)/F236)</f>
        <v>5.4969036649615909E-2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5">
        <f>+C103</f>
        <v>58230.189999999995</v>
      </c>
      <c r="D238" s="665">
        <f>+D103</f>
        <v>87227.797494599334</v>
      </c>
      <c r="E238" s="665">
        <f>+E103</f>
        <v>75499.08</v>
      </c>
      <c r="F238" s="665">
        <f>+F103</f>
        <v>77278.66333333333</v>
      </c>
      <c r="G238" s="665">
        <f>+G103</f>
        <v>79454.763195189647</v>
      </c>
      <c r="H238" s="665"/>
      <c r="I238" s="663">
        <f t="shared" ref="I238:J243" si="26">+IF((E238)=0,,(F238-E238)/E238)</f>
        <v>2.3570927398497154E-2</v>
      </c>
      <c r="J238" s="663">
        <f t="shared" si="26"/>
        <v>2.8159129156646263E-2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5">
        <f>+C116</f>
        <v>16450.21</v>
      </c>
      <c r="D239" s="665">
        <f>+D116</f>
        <v>18282.500100000005</v>
      </c>
      <c r="E239" s="665">
        <f>+E116</f>
        <v>23533.989999999998</v>
      </c>
      <c r="F239" s="665">
        <f>+F116</f>
        <v>22104.713333333333</v>
      </c>
      <c r="G239" s="665">
        <f>+G116</f>
        <v>16664.824000000001</v>
      </c>
      <c r="H239" s="665"/>
      <c r="I239" s="663">
        <f t="shared" si="26"/>
        <v>-6.0732441318563701E-2</v>
      </c>
      <c r="J239" s="663">
        <f t="shared" si="26"/>
        <v>-0.24609635290452381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5">
        <f>+C129</f>
        <v>7356.4</v>
      </c>
      <c r="D240" s="665">
        <f>+D129</f>
        <v>9859.0445</v>
      </c>
      <c r="E240" s="665">
        <f>+E129</f>
        <v>9053.31</v>
      </c>
      <c r="F240" s="665">
        <f>+F129</f>
        <v>7050.7733333333335</v>
      </c>
      <c r="G240" s="665">
        <f>+G129</f>
        <v>7522.2988000000005</v>
      </c>
      <c r="H240" s="665"/>
      <c r="I240" s="663">
        <f t="shared" si="26"/>
        <v>-0.22119386905636348</v>
      </c>
      <c r="J240" s="663">
        <f t="shared" si="26"/>
        <v>6.68757091420705E-2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5">
        <f>+C154</f>
        <v>91709.7</v>
      </c>
      <c r="D241" s="665">
        <f>+D154</f>
        <v>119883.83969659984</v>
      </c>
      <c r="E241" s="665">
        <f>+E154</f>
        <v>106654.05192</v>
      </c>
      <c r="F241" s="665">
        <f>+F154</f>
        <v>122279.59999999998</v>
      </c>
      <c r="G241" s="665">
        <f>+G154</f>
        <v>127923.49166274375</v>
      </c>
      <c r="H241" s="665"/>
      <c r="I241" s="663">
        <f t="shared" si="26"/>
        <v>0.14650683962500108</v>
      </c>
      <c r="J241" s="663">
        <f t="shared" si="26"/>
        <v>4.6155627453342778E-2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5">
        <f>+C168</f>
        <v>3653.2200000000003</v>
      </c>
      <c r="D242" s="665">
        <f>+D168</f>
        <v>7576.1721208752597</v>
      </c>
      <c r="E242" s="665">
        <f>+E168</f>
        <v>7964.78</v>
      </c>
      <c r="F242" s="665">
        <f>+F168</f>
        <v>4870.9599999999982</v>
      </c>
      <c r="G242" s="665">
        <f>+G168</f>
        <v>9327.8822751600019</v>
      </c>
      <c r="H242" s="665"/>
      <c r="I242" s="663">
        <f t="shared" si="26"/>
        <v>-0.38843759651867366</v>
      </c>
      <c r="J242" s="663">
        <f t="shared" si="26"/>
        <v>0.91499874258051905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5">
        <f>+C185-C201</f>
        <v>8506.15</v>
      </c>
      <c r="D243" s="665">
        <f>+D185-D201</f>
        <v>5400</v>
      </c>
      <c r="E243" s="665">
        <f>+E185-E201</f>
        <v>-7823.09</v>
      </c>
      <c r="F243" s="665">
        <f>+F185-F201</f>
        <v>4539.1033333333335</v>
      </c>
      <c r="G243" s="665">
        <f>+G185-G201</f>
        <v>5397.47</v>
      </c>
      <c r="H243" s="665"/>
      <c r="I243" s="663">
        <f t="shared" si="26"/>
        <v>-1.5802187285757077</v>
      </c>
      <c r="J243" s="663">
        <f t="shared" si="26"/>
        <v>0.18910489663523855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659">
        <f>+C203</f>
        <v>185905.87</v>
      </c>
      <c r="D245" s="659">
        <f>+D203</f>
        <v>248229.35391207447</v>
      </c>
      <c r="E245" s="659">
        <f>+E203</f>
        <v>214882.12191999998</v>
      </c>
      <c r="F245" s="659">
        <f>+F203</f>
        <v>238123.8133333333</v>
      </c>
      <c r="G245" s="659">
        <f>+G203</f>
        <v>246290.72993309339</v>
      </c>
      <c r="H245" s="659"/>
      <c r="I245" s="363">
        <f>+I63</f>
        <v>0</v>
      </c>
      <c r="J245" s="363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667">
        <f>+C205</f>
        <v>22734.134539999999</v>
      </c>
      <c r="D247" s="667">
        <f>+D205</f>
        <v>4105.6460879255319</v>
      </c>
      <c r="E247" s="667">
        <f>+E205</f>
        <v>17794.682579999993</v>
      </c>
      <c r="F247" s="667">
        <f>+F205</f>
        <v>35786.772299815726</v>
      </c>
      <c r="G247" s="667">
        <f>+G205</f>
        <v>42676.456720441958</v>
      </c>
      <c r="H247" s="667"/>
      <c r="I247" s="366">
        <f>+IF((E247)=0,,(F247-E247)/E247)</f>
        <v>1.0110936027618505</v>
      </c>
      <c r="J247" s="1036">
        <f>+IF((F247)=0,,(G247-F247)/F247)</f>
        <v>0.19252041963733368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668">
        <f>+C207+C215</f>
        <v>22148.891744841658</v>
      </c>
      <c r="D249" s="668">
        <f>+D207+D215</f>
        <v>30666.310654827994</v>
      </c>
      <c r="E249" s="668">
        <f>+E207+E215</f>
        <v>24337.337990183034</v>
      </c>
      <c r="F249" s="668">
        <f>+F207+F215</f>
        <v>30709.333190560781</v>
      </c>
      <c r="G249" s="668">
        <f>+G207+G215</f>
        <v>34640.102789120581</v>
      </c>
      <c r="H249" s="668"/>
      <c r="I249" s="363">
        <f>+I67</f>
        <v>-0.27276492208935132</v>
      </c>
      <c r="J249" s="363">
        <f>+J67</f>
        <v>3.0000000000000061E-2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667">
        <f>+C217</f>
        <v>585.24279515834132</v>
      </c>
      <c r="D251" s="667">
        <f>+D217</f>
        <v>-26560.664566902462</v>
      </c>
      <c r="E251" s="667">
        <f>+E217</f>
        <v>-6542.6554101830407</v>
      </c>
      <c r="F251" s="667">
        <f>+F217</f>
        <v>5077.4391092549486</v>
      </c>
      <c r="G251" s="667">
        <f>+G217</f>
        <v>8036.3539313213769</v>
      </c>
      <c r="H251" s="667"/>
      <c r="I251" s="366">
        <f>+IF((E251)=0,,(F251-E251)/E251)</f>
        <v>-1.7760517390771311</v>
      </c>
      <c r="J251" s="1036">
        <f>+IF((F251)=0,,(G251-F251)/F251)</f>
        <v>0.58275732281516468</v>
      </c>
      <c r="L251" s="17">
        <f t="shared" si="23"/>
        <v>1</v>
      </c>
    </row>
    <row r="252" spans="1:12" hidden="1">
      <c r="C252" s="17"/>
      <c r="D252" s="2"/>
      <c r="E252" s="2"/>
      <c r="F252" s="2"/>
      <c r="G252" s="2"/>
      <c r="H252" s="5"/>
      <c r="I252" s="24"/>
      <c r="J252" s="66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5">
        <f>+C28</f>
        <v>156156.22</v>
      </c>
      <c r="D253" s="665">
        <v>151607</v>
      </c>
      <c r="E253" s="665">
        <f>+E28</f>
        <v>146950.19</v>
      </c>
      <c r="F253" s="665"/>
      <c r="G253" s="1037">
        <f>+G28</f>
        <v>200443.97339999999</v>
      </c>
      <c r="H253" s="1037"/>
      <c r="I253" s="663"/>
      <c r="J253" s="663"/>
      <c r="L253" s="17">
        <v>1</v>
      </c>
    </row>
    <row r="254" spans="1:12" s="298" customFormat="1" ht="15" customHeight="1">
      <c r="A254" s="662" t="s">
        <v>371</v>
      </c>
      <c r="B254" s="663"/>
      <c r="C254" s="665">
        <f>+C222</f>
        <v>698404.70542075078</v>
      </c>
      <c r="D254" s="665">
        <f>+D222</f>
        <v>702076.32976876118</v>
      </c>
      <c r="E254" s="665">
        <f>+E222</f>
        <v>795349.80096803012</v>
      </c>
      <c r="F254" s="665">
        <f>+F222</f>
        <v>676820.61058382201</v>
      </c>
      <c r="G254" s="665">
        <f>+G222</f>
        <v>714877.10707031621</v>
      </c>
      <c r="H254" s="665"/>
      <c r="I254" s="663"/>
      <c r="J254" s="663"/>
      <c r="L254" s="17">
        <v>1</v>
      </c>
    </row>
    <row r="255" spans="1:12" s="298" customFormat="1" ht="15" customHeight="1">
      <c r="A255" s="662" t="s">
        <v>372</v>
      </c>
      <c r="B255" s="663"/>
      <c r="C255" s="665"/>
      <c r="D255" s="665">
        <v>0</v>
      </c>
      <c r="E255" s="665"/>
      <c r="F255" s="665"/>
      <c r="G255" s="1037">
        <v>3000</v>
      </c>
      <c r="H255" s="1037"/>
      <c r="I255" s="663"/>
      <c r="J255" s="663"/>
      <c r="L255" s="17">
        <v>1</v>
      </c>
    </row>
    <row r="256" spans="1:12" hidden="1">
      <c r="C256" s="17"/>
      <c r="D256" s="2"/>
      <c r="E256" s="2"/>
      <c r="F256" s="2"/>
      <c r="G256" s="2"/>
      <c r="H256" s="2"/>
      <c r="I256" s="24"/>
      <c r="J256" s="66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65" right="0" top="0.17" bottom="0.17" header="0.02" footer="0.06"/>
  <pageSetup paperSize="9" scale="73" fitToHeight="2" orientation="landscape" horizontalDpi="4294967293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 filterMode="1" enableFormatConditionsCalculation="0">
    <tabColor rgb="FFFFFF00"/>
    <pageSetUpPr fitToPage="1"/>
  </sheetPr>
  <dimension ref="A1:L256"/>
  <sheetViews>
    <sheetView workbookViewId="0">
      <pane xSplit="2" ySplit="6" topLeftCell="C209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435" customWidth="1"/>
    <col min="4" max="4" width="10.85546875" style="30" customWidth="1"/>
    <col min="5" max="5" width="11" style="30" customWidth="1"/>
    <col min="6" max="7" width="13.7109375" style="581" customWidth="1"/>
    <col min="8" max="8" width="8.42578125" style="581" customWidth="1"/>
    <col min="9" max="9" width="9.5703125" style="801" customWidth="1"/>
    <col min="10" max="10" width="9.140625" style="801" bestFit="1" customWidth="1"/>
    <col min="11" max="11" width="7.5703125" style="2" customWidth="1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802" t="s">
        <v>299</v>
      </c>
    </row>
    <row r="2" spans="1:12" hidden="1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334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164074.15732716094</v>
      </c>
      <c r="F5" s="157">
        <f>F217</f>
        <v>142601.8892007313</v>
      </c>
      <c r="G5" s="215">
        <f>G217</f>
        <v>161611.54554877762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807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805">
        <f>-IF(ISNA(VLOOKUP("EU707130000",Balance!C:G,5,FALSE))=TRUE,0,VLOOKUP("EU707130000",Balance!C:G,5,FALSE))</f>
        <v>853227.9</v>
      </c>
      <c r="D8" s="619">
        <f>+[2]Eu!$H8</f>
        <v>1353072</v>
      </c>
      <c r="E8" s="805">
        <f>-IF(ISNA(VLOOKUP("EU707130000",Balanceanp!C:G,5,FALSE))=TRUE,0,VLOOKUP("EU707130000",Balanceanp!C:G,5,FALSE))</f>
        <v>348317.15</v>
      </c>
      <c r="F8" s="593">
        <f>+CA!G85</f>
        <v>1190648.4688264162</v>
      </c>
      <c r="G8" s="1012">
        <v>1272071</v>
      </c>
      <c r="H8" s="1012"/>
      <c r="I8" s="1013">
        <f>+IF((E8)=0,,(F8-E8)/E8)</f>
        <v>2.4182883869669238</v>
      </c>
      <c r="J8" s="1014">
        <f>+IF((F8)=0,,(G8-F8)/F8)</f>
        <v>6.8385029927296156E-2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-IF(ISNA(VLOOKUP("EU707131000",Balance!C:G,5,FALSE))=TRUE,0,VLOOKUP("EU707131000",Balance!C:G,5,FALSE))</f>
        <v>0</v>
      </c>
      <c r="D9" s="117">
        <f>+[2]Eu!$H9</f>
        <v>0</v>
      </c>
      <c r="E9" s="160">
        <f>-IF(ISNA(VLOOKUP("EU707131000",Balanceanp!C:G,5,FALSE))=TRUE,0,VLOOKUP("EU707131000",Balanceanp!C:G,5,FALSE))</f>
        <v>843895.33</v>
      </c>
      <c r="F9" s="368">
        <f>+C9</f>
        <v>0</v>
      </c>
      <c r="G9" s="395"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-IF(ISNA(VLOOKUP("EU707300000",Balance!C:G,5,FALSE))=TRUE,0,VLOOKUP("EU707300000",Balance!C:G,5,FALSE))</f>
        <v>0</v>
      </c>
      <c r="D10" s="117">
        <f>+[2]Eu!$H10</f>
        <v>0</v>
      </c>
      <c r="E10" s="160">
        <f>-IF(ISNA(VLOOKUP("EU707300000",Balanceanp!C:G,5,FALSE))=TRUE,0,VLOOKUP("EU707300000",Balanceanp!C:G,5,FALSE))</f>
        <v>0</v>
      </c>
      <c r="F10" s="368">
        <f t="shared" ref="F10:F19" si="2">+C10</f>
        <v>0</v>
      </c>
      <c r="G10" s="395">
        <v>0</v>
      </c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-IF(ISNA(VLOOKUP("EU707110000",Balance!C:G,5,FALSE))=TRUE,0,VLOOKUP("EU707110000",Balance!C:G,5,FALSE))</f>
        <v>2082.6799999999998</v>
      </c>
      <c r="D11" s="117">
        <f>+[2]Eu!$H11</f>
        <v>0</v>
      </c>
      <c r="E11" s="160">
        <f>-IF(ISNA(VLOOKUP("EU707110000",Balanceanp!C:G,5,FALSE))=TRUE,0,VLOOKUP("EU707110000",Balanceanp!C:G,5,FALSE))</f>
        <v>2335.2800000000002</v>
      </c>
      <c r="F11" s="368">
        <f t="shared" si="2"/>
        <v>2082.6799999999998</v>
      </c>
      <c r="G11" s="395">
        <v>0</v>
      </c>
      <c r="H11" s="401"/>
      <c r="I11" s="149">
        <f t="shared" si="1"/>
        <v>-0.10816690075708281</v>
      </c>
      <c r="J11" s="271">
        <f t="shared" si="1"/>
        <v>-1</v>
      </c>
      <c r="L11" s="17">
        <v>0</v>
      </c>
    </row>
    <row r="12" spans="1:12" hidden="1">
      <c r="A12" s="5" t="s">
        <v>46</v>
      </c>
      <c r="B12" s="92"/>
      <c r="C12" s="160">
        <f>-IF(ISNA(VLOOKUP("EU707120000",Balance!C:G,5,FALSE))=TRUE,0,VLOOKUP("EU707120000",Balance!C:G,5,FALSE))</f>
        <v>0</v>
      </c>
      <c r="D12" s="117">
        <f>+[2]Eu!$H12</f>
        <v>0</v>
      </c>
      <c r="E12" s="160">
        <f>-IF(ISNA(VLOOKUP("EU707120000",Balanceanp!C:G,5,FALSE))=TRUE,0,VLOOKUP("EU707120000",Balanceanp!C:G,5,FALSE))</f>
        <v>0</v>
      </c>
      <c r="F12" s="368">
        <f t="shared" si="2"/>
        <v>0</v>
      </c>
      <c r="G12" s="395">
        <v>0</v>
      </c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-IF(ISNA(VLOOKUP("EU707230000",Balance!C:G,5,FALSE))=TRUE,0,VLOOKUP("EU707230000",Balance!C:G,5,FALSE))</f>
        <v>55220.04</v>
      </c>
      <c r="D13" s="117">
        <f>+[2]Eu!$H13</f>
        <v>0</v>
      </c>
      <c r="E13" s="160">
        <f>-IF(ISNA(VLOOKUP("EU707230000",Balanceanp!C:G,5,FALSE))=TRUE,0,VLOOKUP("EU707230000",Balanceanp!C:G,5,FALSE))</f>
        <v>97202.810000000012</v>
      </c>
      <c r="F13" s="368">
        <f t="shared" si="2"/>
        <v>55220.04</v>
      </c>
      <c r="G13" s="395">
        <v>0</v>
      </c>
      <c r="H13" s="401"/>
      <c r="I13" s="149">
        <f t="shared" si="1"/>
        <v>-0.43190901579902891</v>
      </c>
      <c r="J13" s="271">
        <f t="shared" si="1"/>
        <v>-1</v>
      </c>
      <c r="L13" s="17">
        <v>0</v>
      </c>
    </row>
    <row r="14" spans="1:12" hidden="1">
      <c r="A14" s="5" t="s">
        <v>269</v>
      </c>
      <c r="B14" s="92"/>
      <c r="C14" s="160">
        <f>-IF(ISNA(VLOOKUP("EU708820000",Balance!C:G,5,FALSE))=TRUE,0,VLOOKUP("EU708820000",Balance!C:G,5,FALSE))</f>
        <v>0</v>
      </c>
      <c r="D14" s="117">
        <f>+[2]Eu!$H14</f>
        <v>0</v>
      </c>
      <c r="E14" s="160">
        <f>-IF(ISNA(VLOOKUP("EU708820000",Balanceanp!C:G,5,FALSE))=TRUE,0,VLOOKUP("EU708820000",Balanceanp!C:G,5,FALSE))</f>
        <v>93.14</v>
      </c>
      <c r="F14" s="368">
        <f t="shared" si="2"/>
        <v>0</v>
      </c>
      <c r="G14" s="395">
        <v>0</v>
      </c>
      <c r="H14" s="401"/>
      <c r="I14" s="149">
        <f t="shared" si="1"/>
        <v>-1</v>
      </c>
      <c r="J14" s="271">
        <f t="shared" si="1"/>
        <v>0</v>
      </c>
      <c r="L14" s="17">
        <v>0</v>
      </c>
    </row>
    <row r="15" spans="1:12" hidden="1">
      <c r="A15" s="5" t="s">
        <v>270</v>
      </c>
      <c r="B15" s="92"/>
      <c r="C15" s="160">
        <f>-IF(ISNA(VLOOKUP("EU708500000",Balance!C:G,5,FALSE))=TRUE,0,VLOOKUP("EU708500000",Balance!C:G,5,FALSE))</f>
        <v>1611</v>
      </c>
      <c r="D15" s="117">
        <f>+[2]Eu!$H15</f>
        <v>0</v>
      </c>
      <c r="E15" s="160">
        <f>-IF(ISNA(VLOOKUP("EU708500000",Balanceanp!C:G,5,FALSE))=TRUE,0,VLOOKUP("EU708500000",Balanceanp!C:G,5,FALSE))</f>
        <v>2256</v>
      </c>
      <c r="F15" s="368">
        <f t="shared" si="2"/>
        <v>1611</v>
      </c>
      <c r="G15" s="395">
        <v>0</v>
      </c>
      <c r="H15" s="401"/>
      <c r="I15" s="149">
        <f t="shared" si="1"/>
        <v>-0.28590425531914893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IF(ISNA(VLOOKUP("EU706000000",Balance!C:G,5,FALSE))=TRUE,0,-VLOOKUP("EU706000000",Balance!C:G,5,FALSE))+IF(ISNA(VLOOKUP("EU706010000",Balance!C:G,5,FALSE))=TRUE,0,-VLOOKUP("EU706010000",Balance!C:G,5,FALSE))</f>
        <v>0</v>
      </c>
      <c r="D16" s="117">
        <f>+[2]Eu!$H16</f>
        <v>0</v>
      </c>
      <c r="E16" s="160">
        <f>IF(ISNA(VLOOKUP("EU706000000",Balanceanp!C:G,5,FALSE))=TRUE,0,-VLOOKUP("EU706000000",Balanceanp!C:G,5,FALSE))+IF(ISNA(VLOOKUP("EU706010000",Balanceanp!C:G,5,FALSE))=TRUE,0,-VLOOKUP("EU706010000",Balanceanp!C:G,5,FALSE))</f>
        <v>0</v>
      </c>
      <c r="F16" s="368">
        <f t="shared" si="2"/>
        <v>0</v>
      </c>
      <c r="G16" s="395">
        <f>+F16*1.03</f>
        <v>0</v>
      </c>
      <c r="H16" s="401"/>
      <c r="I16" s="149">
        <f t="shared" si="1"/>
        <v>0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IF(ISNA(VLOOKUP("EU707500000",Balance!C:G,5,FALSE))=TRUE,0,-VLOOKUP("EU707500000",Balance!C:G,5,FALSE))</f>
        <v>0</v>
      </c>
      <c r="D17" s="117">
        <f>+[2]Eu!$H17</f>
        <v>0</v>
      </c>
      <c r="E17" s="160">
        <f>IF(ISNA(VLOOKUP("EU707500000",Balanceanp!C:G,5,FALSE))=TRUE,0,-VLOOKUP("EU707500000",Balanceanp!C:G,5,FALSE))</f>
        <v>0</v>
      </c>
      <c r="F17" s="368">
        <f t="shared" si="2"/>
        <v>0</v>
      </c>
      <c r="G17" s="395">
        <f>+F17*1.03</f>
        <v>0</v>
      </c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IF(ISNA(VLOOKUP("EU707510000",Balance!C:G,5,FALSE))=TRUE,0,-VLOOKUP("EU707510000",Balance!C:G,5,FALSE))</f>
        <v>0</v>
      </c>
      <c r="D18" s="117">
        <f>+[2]Eu!$H18</f>
        <v>0</v>
      </c>
      <c r="E18" s="160">
        <f>IF(ISNA(VLOOKUP("EU707510000",Balanceanp!C:G,5,FALSE))=TRUE,0,-VLOOKUP("EU707510000",Balanceanp!C:G,5,FALSE))</f>
        <v>0</v>
      </c>
      <c r="F18" s="368">
        <f t="shared" si="2"/>
        <v>0</v>
      </c>
      <c r="G18" s="395">
        <f>+F18*1.03</f>
        <v>0</v>
      </c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IF(ISNA(VLOOKUP("EU708300000",Balance!C:G,5,FALSE))=TRUE,0,-VLOOKUP("EU708300000",Balance!C:G,5,FALSE))</f>
        <v>0</v>
      </c>
      <c r="D19" s="117">
        <f>+[2]Eu!$H19</f>
        <v>0</v>
      </c>
      <c r="E19" s="160">
        <f>IF(ISNA(VLOOKUP("EU708300000",Balanceanp!C:G,5,FALSE))=TRUE,0,-VLOOKUP("EU708300000",Balanceanp!C:G,5,FALSE))</f>
        <v>0</v>
      </c>
      <c r="F19" s="368">
        <f t="shared" si="2"/>
        <v>0</v>
      </c>
      <c r="G19" s="395">
        <f>+F19*1.03</f>
        <v>0</v>
      </c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803">
        <f>SUM(C7:C20)</f>
        <v>912141.62000000011</v>
      </c>
      <c r="D21" s="597">
        <f>SUM(D7:D20)</f>
        <v>1353072</v>
      </c>
      <c r="E21" s="803">
        <f>SUM(E7:E20)</f>
        <v>1294099.71</v>
      </c>
      <c r="F21" s="597">
        <f>SUM(F7:F20)</f>
        <v>1249562.1888264162</v>
      </c>
      <c r="G21" s="597">
        <f>SUM(G7:G20)</f>
        <v>1272071</v>
      </c>
      <c r="H21" s="597"/>
      <c r="I21" s="596">
        <f>+IF((E21)=0,,(F21-E21)/E21)</f>
        <v>-3.4415834289603396E-2</v>
      </c>
      <c r="J21" s="1015">
        <f>+IF((F21)=0,,(G21-F21)/F21)</f>
        <v>1.8013358098426482E-2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IF(ISNA(VLOOKUP("EU602650000",Balance!C:G,5,FALSE))=TRUE,0,VLOOKUP("EU602650000",Balance!C:G,5,FALSE))</f>
        <v>0</v>
      </c>
      <c r="D23" s="115"/>
      <c r="E23" s="160">
        <f>IF(ISNA(VLOOKUP("EU602650000",Balanceanp!C:G,5,FALSE))=TRUE,0,VLOOKUP("EU602650000",Balanceanp!C:G,5,FALSE))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805">
        <f>IF(ISNA(VLOOKUP("eu607100000",Balance!C:G,5,FALSE))=TRUE,0,VLOOKUP("eu607100000",Balance!C:G,5,FALSE))</f>
        <v>272708.90999999997</v>
      </c>
      <c r="D24" s="601"/>
      <c r="E24" s="805">
        <f>IF(ISNA(VLOOKUP("eu607100000",Balanceanp!C:G,5,FALSE))=TRUE,0,VLOOKUP("eu607100000",Balanceanp!C:G,5,FALSE))</f>
        <v>413207.43</v>
      </c>
      <c r="F24" s="601"/>
      <c r="G24" s="1016">
        <f>H24*G30</f>
        <v>386518.77335000009</v>
      </c>
      <c r="H24" s="1017">
        <f>1-H28</f>
        <v>0.59000000000000008</v>
      </c>
      <c r="I24" s="1013"/>
      <c r="J24" s="1014"/>
      <c r="L24" s="17">
        <f t="shared" si="0"/>
        <v>1</v>
      </c>
    </row>
    <row r="25" spans="1:12" hidden="1">
      <c r="A25" s="5" t="s">
        <v>94</v>
      </c>
      <c r="B25" s="92"/>
      <c r="C25" s="160">
        <f>IF(ISNA(VLOOKUP("eu607110000",Balance!C:G,5,FALSE))=TRUE,0,VLOOKUP("eu607110000",Balance!C:G,5,FALSE))+IF(ISNA(VLOOKUP("eu607120000",Balance!C:G,5,FALSE))=TRUE,0,VLOOKUP("eu607120000",Balance!C:G,5,FALSE))</f>
        <v>28780.89</v>
      </c>
      <c r="D25" s="115"/>
      <c r="E25" s="160">
        <f>IF(ISNA(VLOOKUP("eu607110000",Balanceanp!C:G,5,FALSE))=TRUE,0,VLOOKUP("eu607110000",Balanceanp!C:G,5,FALSE))+IF(ISNA(VLOOKUP("eu607120000",Balanceanp!C:G,5,FALSE))=TRUE,0,VLOOKUP("eu607120000",Balanceanp!C:G,5,FALSE))</f>
        <v>34473.240000000005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IF(ISNA(VLOOKUP("EU607130000",Balance!C:G,5,FALSE))=TRUE,0,VLOOKUP("EU607130000",Balance!C:G,5,FALSE))</f>
        <v>24286.77</v>
      </c>
      <c r="D26" s="115"/>
      <c r="E26" s="160">
        <f>IF(ISNA(VLOOKUP("EU607130000",Balanceanp!C:G,5,FALSE))=TRUE,0,VLOOKUP("EU607130000",Balanceanp!C:G,5,FALSE))</f>
        <v>35499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IF(ISNA(VLOOKUP("EU607140000",Balance!C:G,5,FALSE))=TRUE,0,VLOOKUP("EU607140000",Balance!C:G,5,FALSE))</f>
        <v>-86908.99</v>
      </c>
      <c r="D27" s="115"/>
      <c r="E27" s="160">
        <f>IF(ISNA(VLOOKUP("EU607140000",Balanceanp!C:G,5,FALSE))=TRUE,0,VLOOKUP("EU607140000",Balanceanp!C:G,5,FALSE))</f>
        <v>-119182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805">
        <f>IF(ISNA(VLOOKUP("EU607200000",Balance!C:G,5,FALSE))=TRUE,0,VLOOKUP("EU607200000",Balance!C:G,5,FALSE))</f>
        <v>246990.99</v>
      </c>
      <c r="D28" s="601"/>
      <c r="E28" s="805">
        <f>IF(ISNA(VLOOKUP("EU607200000",Balanceanp!C:G,5,FALSE))=TRUE,0,VLOOKUP("EU607200000",Balanceanp!C:G,5,FALSE))</f>
        <v>311222.63</v>
      </c>
      <c r="F28" s="601"/>
      <c r="G28" s="1016">
        <f>H28*G30</f>
        <v>268597.79165000003</v>
      </c>
      <c r="H28" s="1147">
        <v>0.41</v>
      </c>
      <c r="I28" s="1013"/>
      <c r="J28" s="1014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IF(ISNA(VLOOKUP("EU607150000",Balance!C:G,5,FALSE))=TRUE,0,VLOOKUP("EU607150000",Balance!C:G,5,FALSE))</f>
        <v>0</v>
      </c>
      <c r="D29" s="115"/>
      <c r="E29" s="357">
        <f>IF(ISNA(VLOOKUP("EU607150000",Balanceanp!C:G,5,FALSE))=TRUE,0,VLOOKUP("EU607150000",Balanceanp!C:G,5,FALSE))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804">
        <f>SUM(C23:C29)</f>
        <v>485858.57</v>
      </c>
      <c r="D30" s="1020"/>
      <c r="E30" s="804">
        <f>SUM(E23:E29)</f>
        <v>675220.3</v>
      </c>
      <c r="F30" s="607">
        <f>1-(E30/E21)</f>
        <v>0.47823162714409384</v>
      </c>
      <c r="G30" s="1020">
        <f>G21*(1-H30)</f>
        <v>655116.56500000006</v>
      </c>
      <c r="H30" s="607">
        <v>0.48499999999999999</v>
      </c>
      <c r="I30" s="606"/>
      <c r="J30" s="1021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1022">
        <f>+C21-C30-C38</f>
        <v>443733.50000000012</v>
      </c>
      <c r="D32" s="611"/>
      <c r="E32" s="1022">
        <f>+E21-E30-E38</f>
        <v>628268.05999999994</v>
      </c>
      <c r="F32" s="611"/>
      <c r="G32" s="611"/>
      <c r="H32" s="611"/>
      <c r="I32" s="606"/>
      <c r="J32" s="812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1023">
        <f>+C32/C21</f>
        <v>0.48647434813905333</v>
      </c>
      <c r="D33" s="611"/>
      <c r="E33" s="1023">
        <f>+E32/E21</f>
        <v>0.48548659361031765</v>
      </c>
      <c r="F33" s="611"/>
      <c r="G33" s="611"/>
      <c r="H33" s="611"/>
      <c r="I33" s="606"/>
      <c r="J33" s="812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805">
        <f>IF(ISNA(VLOOKUP("EU607400000",Balance!C:G,5,FALSE))=TRUE,0,VLOOKUP("EU607400000",Balance!C:G,5,FALSE))</f>
        <v>1624.4</v>
      </c>
      <c r="D35" s="601"/>
      <c r="E35" s="805">
        <f>IF(ISNA(VLOOKUP("EU607400000",Balanceanp!C:G,5,FALSE))=TRUE,0,VLOOKUP("EU607400000",Balanceanp!C:G,5,FALSE))</f>
        <v>3173.84</v>
      </c>
      <c r="F35" s="612">
        <f>E35/E30</f>
        <v>4.7004510972196781E-3</v>
      </c>
      <c r="G35" s="1024">
        <f>F35*G30</f>
        <v>3079.3433767610368</v>
      </c>
      <c r="H35" s="601"/>
      <c r="I35" s="1013" t="str">
        <f t="shared" si="3"/>
        <v/>
      </c>
      <c r="J35" s="1014"/>
      <c r="L35" s="17">
        <f t="shared" si="0"/>
        <v>1</v>
      </c>
    </row>
    <row r="36" spans="1:12">
      <c r="A36" s="590" t="s">
        <v>97</v>
      </c>
      <c r="B36" s="591"/>
      <c r="C36" s="805">
        <f>IF(ISNA(VLOOKUP("EU608000000",Balance!C:G,5,FALSE))=TRUE,0,VLOOKUP("EU608000000",Balance!C:G,5,FALSE))</f>
        <v>689.02</v>
      </c>
      <c r="D36" s="601"/>
      <c r="E36" s="805">
        <f>IF(ISNA(VLOOKUP("EU608000000",Balanceanp!C:G,5,FALSE))=TRUE,0,VLOOKUP("EU608000000",Balanceanp!C:G,5,FALSE))</f>
        <v>666.79</v>
      </c>
      <c r="F36" s="612">
        <f>E36/E30</f>
        <v>9.8751474148511213E-4</v>
      </c>
      <c r="G36" s="1024">
        <f>F36*G30</f>
        <v>646.93726532858966</v>
      </c>
      <c r="H36" s="601"/>
      <c r="I36" s="1013" t="str">
        <f t="shared" si="3"/>
        <v/>
      </c>
      <c r="J36" s="1014"/>
      <c r="L36" s="17">
        <f t="shared" si="0"/>
        <v>1</v>
      </c>
    </row>
    <row r="37" spans="1:12" hidden="1">
      <c r="A37" s="5" t="s">
        <v>98</v>
      </c>
      <c r="B37" s="92"/>
      <c r="C37" s="160">
        <f>IF(ISNA(VLOOKUP("EU608100000",Balance!C:G,5,FALSE))=TRUE,0,VLOOKUP("EU608100000",Balance!C:G,5,FALSE))</f>
        <v>0</v>
      </c>
      <c r="D37" s="115"/>
      <c r="E37" s="160">
        <f>IF(ISNA(VLOOKUP("EU608100000",Balanceanp!C:G,5,FALSE))=TRUE,0,VLOOKUP("EU608100000",Balanceanp!C:G,5,FALSE))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-17450.450000000012</v>
      </c>
      <c r="D38" s="115"/>
      <c r="E38" s="160">
        <f>+E56-E57</f>
        <v>-9388.6499999999942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IF(ISNA(VLOOKUP("EU681730000",Balance!C:G,5,FALSE))=TRUE,0,VLOOKUP("EU681730000",Balance!C:G,5,FALSE))</f>
        <v>0</v>
      </c>
      <c r="D39" s="115"/>
      <c r="E39" s="160">
        <f>IF(ISNA(VLOOKUP("EU681730000",Balanceanp!C:G,5,FALSE))=TRUE,0,VLOOKUP("EU681730000",Balanceanp!C:G,5,FALSE))</f>
        <v>9660.58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IF(ISNA(VLOOKUP("EU781730000",Balance!C:G,5,FALSE))=TRUE,0,VLOOKUP("EU781730000",Balance!C:G,5,FALSE))</f>
        <v>-8182.42</v>
      </c>
      <c r="D40" s="115"/>
      <c r="E40" s="160">
        <f>IF(ISNA(VLOOKUP("EU781730000",Balanceanp!C:G,5,FALSE))=TRUE,0,VLOOKUP("EU781730000",Balanceanp!C:G,5,FALSE))</f>
        <v>-9954.35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90" t="s">
        <v>317</v>
      </c>
      <c r="B41" s="591"/>
      <c r="C41" s="805">
        <f>IF(ISNA(VLOOKUP("EU609110000",Balance!C:G,5,FALSE))=TRUE,0,VLOOKUP("EU609110000",Balance!C:G,5,FALSE))</f>
        <v>-1350.56</v>
      </c>
      <c r="D41" s="601"/>
      <c r="E41" s="805">
        <f>IF(ISNA(VLOOKUP("EU609110000",Balanceanp!C:G,5,FALSE))=TRUE,0,VLOOKUP("EU609110000",Balanceanp!C:G,5,FALSE))</f>
        <v>-9195.7800000000007</v>
      </c>
      <c r="F41" s="614">
        <f>E41/SUM(E24:E25)</f>
        <v>-2.0540936020311085E-2</v>
      </c>
      <c r="G41" s="1025">
        <f>H41*(G24)</f>
        <v>-7730.3754670000017</v>
      </c>
      <c r="H41" s="1026">
        <v>-0.02</v>
      </c>
      <c r="I41" s="1013" t="str">
        <f t="shared" si="3"/>
        <v/>
      </c>
      <c r="J41" s="1014"/>
      <c r="L41" s="17">
        <f t="shared" si="0"/>
        <v>1</v>
      </c>
    </row>
    <row r="42" spans="1:12">
      <c r="A42" s="590" t="s">
        <v>318</v>
      </c>
      <c r="B42" s="591"/>
      <c r="C42" s="805">
        <f>IF(ISNA(VLOOKUP("EU609120000",Balance!C:G,5,FALSE))=TRUE,0,VLOOKUP("EU609120000",Balance!C:G,5,FALSE))</f>
        <v>-16985.64</v>
      </c>
      <c r="D42" s="601"/>
      <c r="E42" s="805">
        <f>IF(ISNA(VLOOKUP("EU609120000",Balanceanp!C:G,5,FALSE))=TRUE,0,VLOOKUP("EU609120000",Balanceanp!C:G,5,FALSE))</f>
        <v>-21442.82</v>
      </c>
      <c r="F42" s="614">
        <f>E42/E28</f>
        <v>-6.8898653031754145E-2</v>
      </c>
      <c r="G42" s="1025">
        <f>H42*G28</f>
        <v>-18801.845415500004</v>
      </c>
      <c r="H42" s="1026">
        <v>-7.0000000000000007E-2</v>
      </c>
      <c r="I42" s="1013" t="str">
        <f t="shared" si="3"/>
        <v/>
      </c>
      <c r="J42" s="1014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803">
        <f>+C30+SUM(C34:C43)</f>
        <v>444202.92</v>
      </c>
      <c r="D44" s="617"/>
      <c r="E44" s="803">
        <f>+E30+SUM(E34:E43)</f>
        <v>638739.91</v>
      </c>
      <c r="F44" s="617"/>
      <c r="G44" s="1027">
        <f>SUM(G35:G43)+G30</f>
        <v>632310.62475958967</v>
      </c>
      <c r="H44" s="617"/>
      <c r="I44" s="596"/>
      <c r="J44" s="1015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467938.70000000013</v>
      </c>
      <c r="D46" s="120"/>
      <c r="E46" s="166">
        <f>+E21-E44</f>
        <v>655359.79999999993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0.51301101686380679</v>
      </c>
      <c r="D47" s="120"/>
      <c r="E47" s="196">
        <f>+E46/E21</f>
        <v>0.50642141014002695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2.2249834406196703E-3</v>
      </c>
      <c r="C49" s="805">
        <f>IF(ISNA(VLOOKUP("EU709700000",Balance!C:G,5,FALSE))=TRUE,0,VLOOKUP("EU709700000",Balance!C:G,5,FALSE))</f>
        <v>2029.5</v>
      </c>
      <c r="D49" s="619">
        <f>+[2]Eu!$H49</f>
        <v>2706</v>
      </c>
      <c r="E49" s="805">
        <f>IF(ISNA(VLOOKUP("EU709700000",Balanceanp!C:G,5,FALSE))=TRUE,0,VLOOKUP("EU709700000",Balanceanp!C:G,5,FALSE))</f>
        <v>677.25</v>
      </c>
      <c r="F49" s="619">
        <f>+C49+C49/9*(12-Clients!$I$14)</f>
        <v>2706</v>
      </c>
      <c r="G49" s="631">
        <v>2706</v>
      </c>
      <c r="H49" s="612">
        <f>G49/G21</f>
        <v>2.1272397531269874E-3</v>
      </c>
      <c r="I49" s="1013">
        <f>+IF((E49)=0,,(F49-E49)/E49)</f>
        <v>2.9955703211517166</v>
      </c>
      <c r="J49" s="1014">
        <f>+IF((F49)=0,,(G49-F49)/F49)</f>
        <v>0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803">
        <f>+C21-C49</f>
        <v>910112.12000000011</v>
      </c>
      <c r="D51" s="597">
        <f>+D21-D49</f>
        <v>1350366</v>
      </c>
      <c r="E51" s="803">
        <f>+E21-E49</f>
        <v>1293422.46</v>
      </c>
      <c r="F51" s="597">
        <f>+F21-F49</f>
        <v>1246856.1888264162</v>
      </c>
      <c r="G51" s="597">
        <f>+G21-G49</f>
        <v>1269365</v>
      </c>
      <c r="H51" s="597"/>
      <c r="I51" s="596">
        <f>+IF((E51)=0,,(F51-E51)/E51)</f>
        <v>-3.6002367837020405E-2</v>
      </c>
      <c r="J51" s="1015">
        <f>+IF((F51)=0,,(G51-F51)/F51)</f>
        <v>1.8052451738455828E-2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465909.20000000013</v>
      </c>
      <c r="D53" s="122"/>
      <c r="E53" s="169">
        <f>+E51-E44</f>
        <v>654682.54999999993</v>
      </c>
      <c r="F53" s="140"/>
      <c r="G53" s="140">
        <f>+G51-G44</f>
        <v>637054.37524041033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0.51192505820052159</v>
      </c>
      <c r="D54" s="123"/>
      <c r="E54" s="197">
        <f>+E53/E51</f>
        <v>0.50616296704790475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+[2]Eu!$C56</f>
        <v>211943.55</v>
      </c>
      <c r="D56" s="115"/>
      <c r="E56" s="160">
        <f>+[1]Eu!$G56</f>
        <v>198979.24469999998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+[2]Eu!$C57</f>
        <v>229394</v>
      </c>
      <c r="D57" s="115"/>
      <c r="E57" s="160">
        <f>+[1]Eu!$G57</f>
        <v>208367.89469999998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660">
        <f>+[2]Eu!$C60</f>
        <v>0.48</v>
      </c>
      <c r="D60" s="622">
        <f>+[2]Eu!$H60</f>
        <v>0.50455802352843604</v>
      </c>
      <c r="E60" s="660">
        <f>+[1]Eu!$G$54</f>
        <v>0.50616296704790475</v>
      </c>
      <c r="F60" s="622">
        <f>+C60</f>
        <v>0.48</v>
      </c>
      <c r="G60" s="622">
        <f>G62/G51</f>
        <v>0.50186855257582363</v>
      </c>
      <c r="H60" s="622"/>
      <c r="I60" s="660"/>
      <c r="J60" s="622"/>
      <c r="L60" s="17">
        <f t="shared" si="0"/>
        <v>1</v>
      </c>
    </row>
    <row r="61" spans="1:12" hidden="1">
      <c r="A61" s="5" t="s">
        <v>65</v>
      </c>
      <c r="B61" s="92"/>
      <c r="C61" s="92">
        <f>+[2]Eu!$C61</f>
        <v>0.48499999999999999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661">
        <f>+C51*C60</f>
        <v>436853.81760000001</v>
      </c>
      <c r="D62" s="624">
        <f>D51*D60</f>
        <v>681338.00000000012</v>
      </c>
      <c r="E62" s="661">
        <f>+E51*E60</f>
        <v>654682.54999999993</v>
      </c>
      <c r="F62" s="624">
        <f>+F51*F60</f>
        <v>598490.97063667967</v>
      </c>
      <c r="G62" s="624">
        <f>G51-G44</f>
        <v>637054.37524041033</v>
      </c>
      <c r="H62" s="624"/>
      <c r="I62" s="660">
        <f>+IF((E62)=0,,(F62-E62)/E62)</f>
        <v>-8.5830268980470401E-2</v>
      </c>
      <c r="J62" s="622">
        <f>+IF((F62)=0,,(G62-F62)/F62)</f>
        <v>6.4434396667182106E-2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 hidden="1">
      <c r="A64" s="5" t="s">
        <v>104</v>
      </c>
      <c r="B64" s="92"/>
      <c r="C64" s="160">
        <f>IF(ISNA(VLOOKUP("eu613520000",Balance!C:G,5,FALSE))=TRUE,0,VLOOKUP("eu613520000",Balance!C:G,5,FALSE))</f>
        <v>0</v>
      </c>
      <c r="D64" s="117">
        <f>+[2]Eu!$H64</f>
        <v>0</v>
      </c>
      <c r="E64" s="160">
        <f>IF(ISNA(VLOOKUP("eu613520000",Balanceanp!C:G,5,FALSE))=TRUE,0,VLOOKUP("eu613520000",Balanceanp!C:G,5,FALSE))</f>
        <v>0</v>
      </c>
      <c r="F64" s="368">
        <f>+C64+C64/9*(12-Clients!$I$14)</f>
        <v>0</v>
      </c>
      <c r="G64" s="395">
        <f>+F64*1.03</f>
        <v>0</v>
      </c>
      <c r="H64" s="401"/>
      <c r="I64" s="149">
        <f t="shared" ref="I64:J68" si="4">+IF((E64)=0,,(F64-E64)/E64)</f>
        <v>0</v>
      </c>
      <c r="J64" s="271">
        <f t="shared" si="4"/>
        <v>0</v>
      </c>
      <c r="L64" s="17">
        <f t="shared" si="0"/>
        <v>0</v>
      </c>
    </row>
    <row r="65" spans="1:12" hidden="1">
      <c r="A65" s="5" t="s">
        <v>314</v>
      </c>
      <c r="B65" s="92"/>
      <c r="C65" s="160"/>
      <c r="D65" s="117">
        <f>+[2]Eu!$H65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590" t="s">
        <v>110</v>
      </c>
      <c r="B66" s="591"/>
      <c r="C66" s="805">
        <f>IF(ISNA(VLOOKUP("eu616120000",Balance!C:G,5,FALSE))=TRUE,0,VLOOKUP("eu616120000",Balance!C:G,5,FALSE))</f>
        <v>769.41</v>
      </c>
      <c r="D66" s="619">
        <f>+[2]Eu!$H66</f>
        <v>1025.8800000000001</v>
      </c>
      <c r="E66" s="805">
        <f>IF(ISNA(VLOOKUP("eu616120000",Balanceanp!C:G,5,FALSE))=TRUE,0,VLOOKUP("eu616120000",Balanceanp!C:G,5,FALSE))</f>
        <v>1104.6300000000001</v>
      </c>
      <c r="F66" s="593">
        <f>+C66+C66/9*(12-Clients!$I$14)</f>
        <v>1025.8799999999999</v>
      </c>
      <c r="G66" s="1012">
        <f>+F66*1.03</f>
        <v>1056.6563999999998</v>
      </c>
      <c r="H66" s="1012"/>
      <c r="I66" s="1013">
        <f t="shared" si="4"/>
        <v>-7.1290839466608927E-2</v>
      </c>
      <c r="J66" s="1014">
        <f t="shared" si="4"/>
        <v>2.9999999999999971E-2</v>
      </c>
      <c r="L66" s="17">
        <f t="shared" si="0"/>
        <v>1</v>
      </c>
    </row>
    <row r="67" spans="1:12">
      <c r="A67" s="590" t="s">
        <v>107</v>
      </c>
      <c r="B67" s="591"/>
      <c r="C67" s="805">
        <f>IF(ISNA(VLOOKUP("eu615520000",Balance!C:G,5,FALSE))=TRUE,0,VLOOKUP("eu615520000",Balance!C:G,5,FALSE))</f>
        <v>411.52</v>
      </c>
      <c r="D67" s="619">
        <f>+[2]Eu!$H67</f>
        <v>770.62540000000013</v>
      </c>
      <c r="E67" s="805">
        <f>IF(ISNA(VLOOKUP("eu615520000",Balanceanp!C:G,5,FALSE))=TRUE,0,VLOOKUP("eu615520000",Balanceanp!C:G,5,FALSE))</f>
        <v>1241.4100000000001</v>
      </c>
      <c r="F67" s="593">
        <f>+C67+C67/9*(12-Clients!$I$14)</f>
        <v>548.69333333333338</v>
      </c>
      <c r="G67" s="1012">
        <f>+F67*1.03</f>
        <v>565.15413333333345</v>
      </c>
      <c r="H67" s="1012"/>
      <c r="I67" s="1013">
        <f t="shared" si="4"/>
        <v>-0.55800796406236997</v>
      </c>
      <c r="J67" s="1014">
        <f t="shared" si="4"/>
        <v>3.0000000000000113E-2</v>
      </c>
      <c r="L67" s="17">
        <f t="shared" si="0"/>
        <v>1</v>
      </c>
    </row>
    <row r="68" spans="1:12">
      <c r="A68" s="590" t="s">
        <v>125</v>
      </c>
      <c r="B68" s="591"/>
      <c r="C68" s="805">
        <f>IF(ISNA(VLOOKUP("eu606130000",Balance!C:G,5,FALSE))=TRUE,0,VLOOKUP("eu606130000",Balance!C:G,5,FALSE))</f>
        <v>1245.4000000000001</v>
      </c>
      <c r="D68" s="619">
        <f>+[2]Eu!$H68</f>
        <v>1851.0748000000001</v>
      </c>
      <c r="E68" s="805">
        <f>IF(ISNA(VLOOKUP("eu606130000",Balanceanp!C:G,5,FALSE))=TRUE,0,VLOOKUP("eu606130000",Balanceanp!C:G,5,FALSE))</f>
        <v>1628.08</v>
      </c>
      <c r="F68" s="593">
        <f>+C68+C68/9*(12-Clients!$I$14)</f>
        <v>1660.5333333333335</v>
      </c>
      <c r="G68" s="593">
        <f>+F68*1.03</f>
        <v>1710.3493333333336</v>
      </c>
      <c r="H68" s="593"/>
      <c r="I68" s="1013">
        <f t="shared" si="4"/>
        <v>1.9933500401290848E-2</v>
      </c>
      <c r="J68" s="1014">
        <f t="shared" si="4"/>
        <v>3.0000000000000016E-2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1028">
        <f>SUM(C64:C69)</f>
        <v>2426.33</v>
      </c>
      <c r="D70" s="1029">
        <f>SUM(D64:D69)</f>
        <v>3647.5802000000003</v>
      </c>
      <c r="E70" s="805">
        <f>SUM(E64:E69)</f>
        <v>3974.12</v>
      </c>
      <c r="F70" s="629">
        <f>SUM(F64:F69)</f>
        <v>3235.1066666666666</v>
      </c>
      <c r="G70" s="813">
        <f>SUM(G64:G69)</f>
        <v>3332.1598666666669</v>
      </c>
      <c r="H70" s="813"/>
      <c r="I70" s="1013">
        <f>+IF((E70)=0,,(F70-E70)/E70)</f>
        <v>-0.18595647170526641</v>
      </c>
      <c r="J70" s="1014">
        <f>+IF((F70)=0,,(G70-F70)/F70)</f>
        <v>3.0000000000000089E-2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805">
        <f>IF(ISNA(VLOOKUP("eu602220000",Balance!C:G,5,FALSE))=TRUE,0,VLOOKUP("eu602220000",Balance!C:G,5,FALSE))</f>
        <v>28.5</v>
      </c>
      <c r="D72" s="619">
        <f>+[2]Eu!$H72</f>
        <v>151.94620294697916</v>
      </c>
      <c r="E72" s="805">
        <f>IF(ISNA(VLOOKUP("eu602220000",Balanceanp!C:G,5,FALSE))=TRUE,0,VLOOKUP("eu602220000",Balanceanp!C:G,5,FALSE))</f>
        <v>83.83</v>
      </c>
      <c r="F72" s="593">
        <f>+C72+C72/9*(12-Clients!$I$14)</f>
        <v>38</v>
      </c>
      <c r="G72" s="1030">
        <f>+F72*1.03</f>
        <v>39.14</v>
      </c>
      <c r="H72" s="1030"/>
      <c r="I72" s="1013">
        <f t="shared" ref="I72:J87" si="5">+IF((E72)=0,,(F72-E72)/E72)</f>
        <v>-0.54670165811761895</v>
      </c>
      <c r="J72" s="1014">
        <f t="shared" si="5"/>
        <v>3.0000000000000016E-2</v>
      </c>
      <c r="L72" s="17">
        <f t="shared" ref="L72:L133" si="6">IF(SUM(C72:J72)&lt;&gt;0,1,0)</f>
        <v>1</v>
      </c>
    </row>
    <row r="73" spans="1:12">
      <c r="A73" s="590" t="s">
        <v>123</v>
      </c>
      <c r="B73" s="591"/>
      <c r="C73" s="805">
        <f>IF(ISNA(VLOOKUP("eu606100000",Balance!C:G,5,FALSE))=TRUE,0,VLOOKUP("eu606100000",Balance!C:G,5,FALSE))</f>
        <v>4935.6400000000003</v>
      </c>
      <c r="D73" s="619">
        <f>+[2]Eu!$H73</f>
        <v>3730.6441322742371</v>
      </c>
      <c r="E73" s="805">
        <f>IF(ISNA(VLOOKUP("eu606100000",Balanceanp!C:G,5,FALSE))=TRUE,0,VLOOKUP("eu606100000",Balanceanp!C:G,5,FALSE))</f>
        <v>3247.43</v>
      </c>
      <c r="F73" s="593">
        <f>+C73+C73/9*(12-Clients!$I$14)</f>
        <v>6580.8533333333344</v>
      </c>
      <c r="G73" s="1030">
        <f t="shared" ref="G73:G101" si="7">+F73*1.03</f>
        <v>6778.2789333333349</v>
      </c>
      <c r="H73" s="1030"/>
      <c r="I73" s="1013">
        <f t="shared" si="5"/>
        <v>1.0264804270864452</v>
      </c>
      <c r="J73" s="1014">
        <f t="shared" si="5"/>
        <v>3.0000000000000068E-2</v>
      </c>
      <c r="L73" s="17">
        <f t="shared" si="6"/>
        <v>1</v>
      </c>
    </row>
    <row r="74" spans="1:12">
      <c r="A74" s="590" t="s">
        <v>124</v>
      </c>
      <c r="B74" s="591"/>
      <c r="C74" s="805">
        <f>IF(ISNA(VLOOKUP("eu606110000",Balance!C:G,5,FALSE))=TRUE,0,VLOOKUP("eu606110000",Balance!C:G,5,FALSE))</f>
        <v>12117.87</v>
      </c>
      <c r="D74" s="619">
        <f>+[2]Eu!$H74</f>
        <v>17696.024109387778</v>
      </c>
      <c r="E74" s="805">
        <f>IF(ISNA(VLOOKUP("eu606110000",Balanceanp!C:G,5,FALSE))=TRUE,0,VLOOKUP("eu606110000",Balanceanp!C:G,5,FALSE))</f>
        <v>20402.14</v>
      </c>
      <c r="F74" s="593">
        <f>+C74+C74/9*(12-Clients!$I$14)</f>
        <v>16157.16</v>
      </c>
      <c r="G74" s="1030">
        <f t="shared" si="7"/>
        <v>16641.874800000001</v>
      </c>
      <c r="H74" s="1030"/>
      <c r="I74" s="1013">
        <f t="shared" si="5"/>
        <v>-0.20806542843054698</v>
      </c>
      <c r="J74" s="1014">
        <f t="shared" si="5"/>
        <v>3.0000000000000096E-2</v>
      </c>
      <c r="L74" s="17">
        <f t="shared" si="6"/>
        <v>1</v>
      </c>
    </row>
    <row r="75" spans="1:12" hidden="1">
      <c r="A75" s="5" t="s">
        <v>360</v>
      </c>
      <c r="B75" s="92"/>
      <c r="C75" s="160">
        <f>IF(ISNA(VLOOKUP("eu606140000",Balance!C:G,5,FALSE))=TRUE,0,VLOOKUP("eu606140000",Balance!C:G,5,FALSE))</f>
        <v>0</v>
      </c>
      <c r="D75" s="117">
        <f>+[2]Eu!$H75</f>
        <v>0</v>
      </c>
      <c r="E75" s="160">
        <f>IF(ISNA(VLOOKUP("eu606140000",Balanceanp!C:G,5,FALSE))=TRUE,0,VLOOKUP("eu606140000",Balanceanp!C:G,5,FALSE))</f>
        <v>0</v>
      </c>
      <c r="F75" s="368">
        <f>+C75+C75/9*(12-Clients!$I$14)</f>
        <v>0</v>
      </c>
      <c r="G75" s="396">
        <f t="shared" si="7"/>
        <v>0</v>
      </c>
      <c r="H75" s="409"/>
      <c r="I75" s="149">
        <f t="shared" si="5"/>
        <v>0</v>
      </c>
      <c r="J75" s="271">
        <f t="shared" si="5"/>
        <v>0</v>
      </c>
      <c r="L75" s="17">
        <f t="shared" si="6"/>
        <v>0</v>
      </c>
    </row>
    <row r="76" spans="1:12">
      <c r="A76" s="590" t="s">
        <v>126</v>
      </c>
      <c r="B76" s="591"/>
      <c r="C76" s="805">
        <f>IF(ISNA(VLOOKUP("eu606310000",Balance!C:G,5,FALSE))=TRUE,0,VLOOKUP("eu606310000",Balance!C:G,5,FALSE))</f>
        <v>0</v>
      </c>
      <c r="D76" s="619">
        <f>+[2]Eu!$H76</f>
        <v>236.45703591332844</v>
      </c>
      <c r="E76" s="805">
        <f>IF(ISNA(VLOOKUP("eu606310000",Balanceanp!C:G,5,FALSE))=TRUE,0,VLOOKUP("eu606310000",Balanceanp!C:G,5,FALSE))</f>
        <v>145.97</v>
      </c>
      <c r="F76" s="593">
        <f>+C76+C76/9*(12-Clients!$I$14)</f>
        <v>0</v>
      </c>
      <c r="G76" s="1030">
        <f t="shared" si="7"/>
        <v>0</v>
      </c>
      <c r="H76" s="1030"/>
      <c r="I76" s="1013">
        <f t="shared" si="5"/>
        <v>-1</v>
      </c>
      <c r="J76" s="1014">
        <f t="shared" si="5"/>
        <v>0</v>
      </c>
      <c r="L76" s="17">
        <f t="shared" si="6"/>
        <v>1</v>
      </c>
    </row>
    <row r="77" spans="1:12">
      <c r="A77" s="590" t="s">
        <v>127</v>
      </c>
      <c r="B77" s="591"/>
      <c r="C77" s="805">
        <f>IF(ISNA(VLOOKUP("eu606410000",Balance!C:G,5,FALSE))=TRUE,0,VLOOKUP("eu606410000",Balance!C:G,5,FALSE))</f>
        <v>1387.81</v>
      </c>
      <c r="D77" s="619">
        <f>+[2]Eu!$H77</f>
        <v>2812.2378144930158</v>
      </c>
      <c r="E77" s="805">
        <f>IF(ISNA(VLOOKUP("eu606410000",Balanceanp!C:G,5,FALSE))=TRUE,0,VLOOKUP("eu606410000",Balanceanp!C:G,5,FALSE))</f>
        <v>3078.19</v>
      </c>
      <c r="F77" s="593">
        <f>+C77+C77/9*(12-Clients!$I$14)</f>
        <v>1850.4133333333334</v>
      </c>
      <c r="G77" s="1030">
        <f t="shared" si="7"/>
        <v>1905.9257333333335</v>
      </c>
      <c r="H77" s="1030"/>
      <c r="I77" s="1013">
        <f t="shared" si="5"/>
        <v>-0.39886318475034571</v>
      </c>
      <c r="J77" s="1014">
        <f t="shared" si="5"/>
        <v>3.0000000000000037E-2</v>
      </c>
      <c r="L77" s="17">
        <f t="shared" si="6"/>
        <v>1</v>
      </c>
    </row>
    <row r="78" spans="1:12">
      <c r="A78" s="590" t="s">
        <v>101</v>
      </c>
      <c r="B78" s="591"/>
      <c r="C78" s="805">
        <f>IF(ISNA(VLOOKUP("eu611000000",Balance!C:G,5,FALSE))=TRUE,0,VLOOKUP("eu611000000",Balance!C:G,5,FALSE))</f>
        <v>95</v>
      </c>
      <c r="D78" s="619">
        <f>+[2]Eu!$H78</f>
        <v>2.1633217252208334</v>
      </c>
      <c r="E78" s="805">
        <f>IF(ISNA(VLOOKUP("eu611000000",Balanceanp!C:G,5,FALSE))=TRUE,0,VLOOKUP("eu611000000",Balanceanp!C:G,5,FALSE))</f>
        <v>0</v>
      </c>
      <c r="F78" s="593">
        <f>+C78+C78/9*(12-Clients!$I$14)</f>
        <v>126.66666666666666</v>
      </c>
      <c r="G78" s="593">
        <f t="shared" si="7"/>
        <v>130.46666666666667</v>
      </c>
      <c r="H78" s="593"/>
      <c r="I78" s="1013">
        <f t="shared" si="5"/>
        <v>0</v>
      </c>
      <c r="J78" s="1014">
        <f t="shared" si="5"/>
        <v>3.0000000000000093E-2</v>
      </c>
      <c r="L78" s="17">
        <f t="shared" si="6"/>
        <v>1</v>
      </c>
    </row>
    <row r="79" spans="1:12">
      <c r="A79" s="590" t="s">
        <v>102</v>
      </c>
      <c r="B79" s="591"/>
      <c r="C79" s="805">
        <f>IF(ISNA(VLOOKUP("eu613200000",Balance!C:G,5,FALSE))=TRUE,0,VLOOKUP("eu613200000",Balance!C:G,5,FALSE))</f>
        <v>28652.67</v>
      </c>
      <c r="D79" s="619">
        <f>+[2]Eu!$H79</f>
        <v>38203.566951000001</v>
      </c>
      <c r="E79" s="805">
        <f>IF(ISNA(VLOOKUP("eu613200000",Balanceanp!C:G,5,FALSE))=TRUE,0,VLOOKUP("eu613200000",Balanceanp!C:G,5,FALSE))</f>
        <v>36587.760000000002</v>
      </c>
      <c r="F79" s="631">
        <f>9146.94*4</f>
        <v>36587.760000000002</v>
      </c>
      <c r="G79" s="631">
        <v>42072</v>
      </c>
      <c r="H79" s="1149">
        <f>G79/G21</f>
        <v>3.3073625607375687E-2</v>
      </c>
      <c r="I79" s="1013">
        <f t="shared" si="5"/>
        <v>0</v>
      </c>
      <c r="J79" s="1014">
        <f t="shared" si="5"/>
        <v>0.14989275101837329</v>
      </c>
      <c r="L79" s="17">
        <f t="shared" si="6"/>
        <v>1</v>
      </c>
    </row>
    <row r="80" spans="1:12" hidden="1">
      <c r="A80" s="5" t="s">
        <v>325</v>
      </c>
      <c r="B80" s="92"/>
      <c r="C80" s="160">
        <f>IF(ISNA(VLOOKUP("eu614000000",Balance!C:G,5,FALSE))=TRUE,0,VLOOKUP("eu614000000",Balance!C:G,5,FALSE))</f>
        <v>0</v>
      </c>
      <c r="D80" s="117">
        <f>+[2]Eu!$H80</f>
        <v>0</v>
      </c>
      <c r="E80" s="160">
        <f>IF(ISNA(VLOOKUP("eu614000000",Balanceanp!C:G,5,FALSE))=TRUE,0,VLOOKUP("eu614000000",Balanceanp!C:G,5,FALSE))</f>
        <v>0</v>
      </c>
      <c r="F80" s="368">
        <f>+C80+C80/9*(12-Clients!$I$14)</f>
        <v>0</v>
      </c>
      <c r="G80" s="396">
        <f t="shared" si="7"/>
        <v>0</v>
      </c>
      <c r="H80" s="409"/>
      <c r="I80" s="149">
        <f t="shared" si="5"/>
        <v>0</v>
      </c>
      <c r="J80" s="271">
        <f t="shared" si="5"/>
        <v>0</v>
      </c>
      <c r="L80" s="17">
        <f t="shared" si="6"/>
        <v>0</v>
      </c>
    </row>
    <row r="81" spans="1:12" hidden="1">
      <c r="A81" s="5" t="s">
        <v>103</v>
      </c>
      <c r="B81" s="92"/>
      <c r="C81" s="160">
        <f>IF(ISNA(VLOOKUP("eu613510000",Balance!C:G,5,FALSE))=TRUE,0,VLOOKUP("eu613510000",Balance!C:G,5,FALSE))</f>
        <v>0</v>
      </c>
      <c r="D81" s="117">
        <f>+[2]Eu!$H81</f>
        <v>0</v>
      </c>
      <c r="E81" s="160">
        <f>IF(ISNA(VLOOKUP("eu613510000",Balanceanp!C:G,5,FALSE))=TRUE,0,VLOOKUP("eu613510000",Balanceanp!C:G,5,FALSE))</f>
        <v>0</v>
      </c>
      <c r="F81" s="368">
        <f>+C81+C81/9*(12-Clients!$I$14)</f>
        <v>0</v>
      </c>
      <c r="G81" s="396">
        <f t="shared" si="7"/>
        <v>0</v>
      </c>
      <c r="H81" s="409"/>
      <c r="I81" s="149">
        <f t="shared" si="5"/>
        <v>0</v>
      </c>
      <c r="J81" s="271">
        <f t="shared" si="5"/>
        <v>0</v>
      </c>
      <c r="L81" s="17">
        <f t="shared" si="6"/>
        <v>0</v>
      </c>
    </row>
    <row r="82" spans="1:12">
      <c r="A82" s="590" t="s">
        <v>105</v>
      </c>
      <c r="B82" s="591"/>
      <c r="C82" s="805">
        <f>IF(ISNA(VLOOKUP("eu613530000",Balance!C:G,5,FALSE))=TRUE,0,VLOOKUP("eu613530000",Balance!C:G,5,FALSE))</f>
        <v>135</v>
      </c>
      <c r="D82" s="619">
        <f>+[2]Eu!$H82</f>
        <v>189.62232832197915</v>
      </c>
      <c r="E82" s="805">
        <f>IF(ISNA(VLOOKUP("eu613530000",Balanceanp!C:G,5,FALSE))=TRUE,0,VLOOKUP("eu613530000",Balanceanp!C:G,5,FALSE))</f>
        <v>180</v>
      </c>
      <c r="F82" s="593">
        <f>+C82+C82/9*(12-Clients!$I$14)</f>
        <v>180</v>
      </c>
      <c r="G82" s="1030">
        <f t="shared" si="7"/>
        <v>185.4</v>
      </c>
      <c r="H82" s="1030"/>
      <c r="I82" s="1013">
        <f t="shared" si="5"/>
        <v>0</v>
      </c>
      <c r="J82" s="1014">
        <f t="shared" si="5"/>
        <v>3.000000000000003E-2</v>
      </c>
      <c r="L82" s="17">
        <f t="shared" si="6"/>
        <v>1</v>
      </c>
    </row>
    <row r="83" spans="1:12">
      <c r="A83" s="590" t="s">
        <v>287</v>
      </c>
      <c r="B83" s="591"/>
      <c r="C83" s="805">
        <f>IF(ISNA(VLOOKUP("eu613540000",Balance!C:G,5,FALSE))=TRUE,0,VLOOKUP("eu613540000",Balance!C:G,5,FALSE))</f>
        <v>866.64</v>
      </c>
      <c r="D83" s="619">
        <f>+[2]Eu!$H83</f>
        <v>1199.5136812123594</v>
      </c>
      <c r="E83" s="805">
        <f>IF(ISNA(VLOOKUP("eu613540000",Balanceanp!C:G,5,FALSE))=TRUE,0,VLOOKUP("eu613540000",Balanceanp!C:G,5,FALSE))</f>
        <v>854.68</v>
      </c>
      <c r="F83" s="593">
        <f>+C83+C83/9*(12-Clients!$I$14)</f>
        <v>1155.52</v>
      </c>
      <c r="G83" s="1030">
        <f t="shared" si="7"/>
        <v>1190.1856</v>
      </c>
      <c r="H83" s="1030"/>
      <c r="I83" s="1013">
        <f t="shared" si="5"/>
        <v>0.35199138858988166</v>
      </c>
      <c r="J83" s="1014">
        <f t="shared" si="5"/>
        <v>3.0000000000000037E-2</v>
      </c>
      <c r="L83" s="17">
        <f t="shared" si="6"/>
        <v>1</v>
      </c>
    </row>
    <row r="84" spans="1:12">
      <c r="A84" s="590" t="s">
        <v>108</v>
      </c>
      <c r="B84" s="591"/>
      <c r="C84" s="805">
        <f>IF(ISNA(VLOOKUP("eu615200000",Balance!C:G,5,FALSE))=TRUE,0,VLOOKUP("eu615200000",Balance!C:G,5,FALSE))</f>
        <v>970.45</v>
      </c>
      <c r="D84" s="619">
        <f>+[2]Eu!$H84</f>
        <v>774.15929061523207</v>
      </c>
      <c r="E84" s="805">
        <f>IF(ISNA(VLOOKUP("eu615200000",Balanceanp!C:G,5,FALSE))=TRUE,0,VLOOKUP("eu615200000",Balanceanp!C:G,5,FALSE))</f>
        <v>560.37</v>
      </c>
      <c r="F84" s="593">
        <f>+C84+C84/9*(12-Clients!$I$14)</f>
        <v>1293.9333333333334</v>
      </c>
      <c r="G84" s="1030">
        <f t="shared" si="7"/>
        <v>1332.7513333333334</v>
      </c>
      <c r="H84" s="1030"/>
      <c r="I84" s="1013">
        <f t="shared" si="5"/>
        <v>1.3090696028219451</v>
      </c>
      <c r="J84" s="1014">
        <f t="shared" si="5"/>
        <v>2.9999999999999985E-2</v>
      </c>
      <c r="L84" s="17">
        <f t="shared" si="6"/>
        <v>1</v>
      </c>
    </row>
    <row r="85" spans="1:12">
      <c r="A85" s="590" t="s">
        <v>109</v>
      </c>
      <c r="B85" s="591"/>
      <c r="C85" s="805">
        <f>IF(ISNA(VLOOKUP("eu615500000",Balance!C:G,5,FALSE))=TRUE,0,VLOOKUP("eu615500000",Balance!C:G,5,FALSE))</f>
        <v>1431</v>
      </c>
      <c r="D85" s="619">
        <f>+[2]Eu!$H85</f>
        <v>2011.5518092303328</v>
      </c>
      <c r="E85" s="805">
        <f>IF(ISNA(VLOOKUP("eu615500000",Balanceanp!C:G,5,FALSE))=TRUE,0,VLOOKUP("eu615500000",Balanceanp!C:G,5,FALSE))</f>
        <v>1398</v>
      </c>
      <c r="F85" s="593">
        <f>+C85+C85/9*(12-Clients!$I$14)</f>
        <v>1908</v>
      </c>
      <c r="G85" s="1030">
        <f t="shared" si="7"/>
        <v>1965.24</v>
      </c>
      <c r="H85" s="1030"/>
      <c r="I85" s="1013">
        <f t="shared" si="5"/>
        <v>0.36480686695278969</v>
      </c>
      <c r="J85" s="1014">
        <f t="shared" si="5"/>
        <v>3.0000000000000006E-2</v>
      </c>
      <c r="L85" s="17">
        <f t="shared" si="6"/>
        <v>1</v>
      </c>
    </row>
    <row r="86" spans="1:12">
      <c r="A86" s="590" t="s">
        <v>106</v>
      </c>
      <c r="B86" s="591"/>
      <c r="C86" s="805">
        <f>IF(ISNA(VLOOKUP("eu615510000",Balance!C:G,5,FALSE))=TRUE,0,VLOOKUP("eu615510000",Balance!C:G,5,FALSE))</f>
        <v>3926.6</v>
      </c>
      <c r="D86" s="619">
        <f>+[2]Eu!$H86</f>
        <v>5035.5272682670384</v>
      </c>
      <c r="E86" s="805">
        <f>IF(ISNA(VLOOKUP("eu615510000",Balanceanp!C:G,5,FALSE))=TRUE,0,VLOOKUP("eu615510000",Balanceanp!C:G,5,FALSE))</f>
        <v>4486.2700000000004</v>
      </c>
      <c r="F86" s="593">
        <f>+C86+C86/9*(12-Clients!$I$14)</f>
        <v>5235.4666666666672</v>
      </c>
      <c r="G86" s="1030">
        <f t="shared" si="7"/>
        <v>5392.5306666666675</v>
      </c>
      <c r="H86" s="1030"/>
      <c r="I86" s="1013">
        <f t="shared" si="5"/>
        <v>0.16699767661479728</v>
      </c>
      <c r="J86" s="1014">
        <f t="shared" si="5"/>
        <v>3.0000000000000054E-2</v>
      </c>
      <c r="L86" s="17">
        <f t="shared" si="6"/>
        <v>1</v>
      </c>
    </row>
    <row r="87" spans="1:12" hidden="1">
      <c r="A87" s="5" t="s">
        <v>363</v>
      </c>
      <c r="B87" s="92"/>
      <c r="C87" s="160">
        <f>IF(ISNA(VLOOKUP("eu615530000",Balance!C:G,5,FALSE))=TRUE,0,VLOOKUP("eu615530000",Balance!C:G,5,FALSE))</f>
        <v>0</v>
      </c>
      <c r="D87" s="117">
        <f>+[2]Eu!$H87</f>
        <v>0</v>
      </c>
      <c r="E87" s="160">
        <f>IF(ISNA(VLOOKUP("eu615530000",Balanceanp!C:G,5,FALSE))=TRUE,0,VLOOKUP("eu615530000",Balanceanp!C:G,5,FALSE))</f>
        <v>0</v>
      </c>
      <c r="F87" s="368">
        <f>+C87+C87/9*(12-Clients!$I$14)</f>
        <v>0</v>
      </c>
      <c r="G87" s="396">
        <f t="shared" si="7"/>
        <v>0</v>
      </c>
      <c r="H87" s="409"/>
      <c r="I87" s="149">
        <f t="shared" si="5"/>
        <v>0</v>
      </c>
      <c r="J87" s="271">
        <f t="shared" si="5"/>
        <v>0</v>
      </c>
      <c r="L87" s="17">
        <f t="shared" si="6"/>
        <v>0</v>
      </c>
    </row>
    <row r="88" spans="1:12">
      <c r="A88" s="590" t="s">
        <v>111</v>
      </c>
      <c r="B88" s="591"/>
      <c r="C88" s="805">
        <f>IF(ISNA(VLOOKUP("eu616130000",Balance!C:G,5,FALSE))=TRUE,0,VLOOKUP("eu616130000",Balance!C:G,5,FALSE))</f>
        <v>4338.18</v>
      </c>
      <c r="D88" s="619">
        <f>+[2]Eu!$H88</f>
        <v>5784.2552250000008</v>
      </c>
      <c r="E88" s="805">
        <f>IF(ISNA(VLOOKUP("eu616130000",Balanceanp!C:G,5,FALSE))=TRUE,0,VLOOKUP("eu616130000",Balanceanp!C:G,5,FALSE))</f>
        <v>4561.0200000000004</v>
      </c>
      <c r="F88" s="593">
        <f>+C88+C88/9*(12-Clients!$I$14)</f>
        <v>5784.2400000000007</v>
      </c>
      <c r="G88" s="638">
        <f>+E88*1.05*1.05</f>
        <v>5028.524550000001</v>
      </c>
      <c r="H88" s="638"/>
      <c r="I88" s="1013">
        <f t="shared" ref="I88:I101" si="8">+IF((E88)=0,,(F88-E88)/E88)</f>
        <v>0.26819001012931321</v>
      </c>
      <c r="J88" s="1014">
        <f t="shared" ref="J88:J101" si="9">+IF((F88)=0,,(G88-F88)/F88)</f>
        <v>-0.13065077693871616</v>
      </c>
      <c r="L88" s="17">
        <f t="shared" si="6"/>
        <v>1</v>
      </c>
    </row>
    <row r="89" spans="1:12" hidden="1">
      <c r="A89" s="5" t="s">
        <v>315</v>
      </c>
      <c r="B89" s="92"/>
      <c r="C89" s="160"/>
      <c r="D89" s="117">
        <f>+[2]Eu!$H89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590" t="s">
        <v>112</v>
      </c>
      <c r="B90" s="591"/>
      <c r="C90" s="805">
        <f>IF(ISNA(VLOOKUP("eu618100000",Balance!C:G,5,FALSE))=TRUE,0,VLOOKUP("eu618100000",Balance!C:G,5,FALSE))</f>
        <v>0</v>
      </c>
      <c r="D90" s="619">
        <f>+[2]Eu!$H90</f>
        <v>146.42287475833334</v>
      </c>
      <c r="E90" s="805">
        <f>IF(ISNA(VLOOKUP("eu618100000",Balanceanp!C:G,5,FALSE))=TRUE,0,VLOOKUP("eu618100000",Balanceanp!C:G,5,FALSE))</f>
        <v>56.1</v>
      </c>
      <c r="F90" s="593">
        <f>+C90+C90/9*(12-Clients!$I$14)</f>
        <v>0</v>
      </c>
      <c r="G90" s="1030">
        <f t="shared" si="7"/>
        <v>0</v>
      </c>
      <c r="H90" s="1030"/>
      <c r="I90" s="1013">
        <f t="shared" si="8"/>
        <v>-1</v>
      </c>
      <c r="J90" s="1014">
        <f t="shared" si="9"/>
        <v>0</v>
      </c>
      <c r="L90" s="17">
        <f t="shared" si="6"/>
        <v>1</v>
      </c>
    </row>
    <row r="91" spans="1:12">
      <c r="A91" s="590" t="s">
        <v>113</v>
      </c>
      <c r="B91" s="591"/>
      <c r="C91" s="805">
        <f>IF(ISNA(VLOOKUP("eu618500000",Balance!C:G,5,FALSE))=TRUE,0,VLOOKUP("eu618500000",Balance!C:G,5,FALSE))</f>
        <v>46.39</v>
      </c>
      <c r="D91" s="619">
        <f>+[2]Eu!$H91</f>
        <v>258.82451818050868</v>
      </c>
      <c r="E91" s="805">
        <f>IF(ISNA(VLOOKUP("eu618500000",Balanceanp!C:G,5,FALSE))=TRUE,0,VLOOKUP("eu618500000",Balanceanp!C:G,5,FALSE))</f>
        <v>103.81</v>
      </c>
      <c r="F91" s="593">
        <f>+C91+C91/9*(12-Clients!$I$14)</f>
        <v>61.853333333333339</v>
      </c>
      <c r="G91" s="1030">
        <f t="shared" si="7"/>
        <v>63.708933333333341</v>
      </c>
      <c r="H91" s="1030"/>
      <c r="I91" s="1013">
        <f t="shared" si="8"/>
        <v>-0.40416787078958349</v>
      </c>
      <c r="J91" s="1014">
        <f t="shared" si="9"/>
        <v>3.0000000000000041E-2</v>
      </c>
      <c r="L91" s="17">
        <f t="shared" si="6"/>
        <v>1</v>
      </c>
    </row>
    <row r="92" spans="1:12" hidden="1">
      <c r="A92" s="5" t="s">
        <v>309</v>
      </c>
      <c r="B92" s="92"/>
      <c r="C92" s="160">
        <f>IF(ISNA(VLOOKUP("eu622200000",Balance!C:G,5,FALSE))=TRUE,0,VLOOKUP("eu622200000",Balance!C:G,5,FALSE))</f>
        <v>0</v>
      </c>
      <c r="D92" s="117">
        <f>+[2]Eu!$H92</f>
        <v>0</v>
      </c>
      <c r="E92" s="160">
        <f>IF(ISNA(VLOOKUP("eu622200000",Balanceanp!C:G,5,FALSE))=TRUE,0,VLOOKUP("eu622200000",Balanceanp!C:G,5,FALSE))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590" t="s">
        <v>115</v>
      </c>
      <c r="B93" s="591"/>
      <c r="C93" s="805">
        <f>IF(ISNA(VLOOKUP("eu622600000",Balance!C:G,5,FALSE))=TRUE,0,VLOOKUP("eu622600000",Balance!C:G,5,FALSE))</f>
        <v>0</v>
      </c>
      <c r="D93" s="619">
        <f>+[2]Eu!$H93</f>
        <v>0.5862025052083335</v>
      </c>
      <c r="E93" s="805">
        <f>IF(ISNA(VLOOKUP("eu622600000",Balanceanp!C:G,5,FALSE))=TRUE,0,VLOOKUP("eu622600000",Balanceanp!C:G,5,FALSE))</f>
        <v>0</v>
      </c>
      <c r="F93" s="593">
        <f>+C93+C93/9*(12-Clients!$I$14)</f>
        <v>0</v>
      </c>
      <c r="G93" s="1030">
        <f t="shared" si="7"/>
        <v>0</v>
      </c>
      <c r="H93" s="1030"/>
      <c r="I93" s="1013">
        <f t="shared" si="8"/>
        <v>0</v>
      </c>
      <c r="J93" s="1014">
        <f t="shared" si="9"/>
        <v>0</v>
      </c>
      <c r="L93" s="17">
        <f t="shared" si="6"/>
        <v>1</v>
      </c>
    </row>
    <row r="94" spans="1:12">
      <c r="A94" s="590" t="s">
        <v>42</v>
      </c>
      <c r="B94" s="591"/>
      <c r="C94" s="805">
        <f>IF(ISNA(VLOOKUP("eu622710000",Balance!C:G,5,FALSE))=TRUE,0,VLOOKUP("eu622710000",Balance!C:G,5,FALSE))</f>
        <v>0</v>
      </c>
      <c r="D94" s="619">
        <f>+[2]Eu!$H94</f>
        <v>2.212772175</v>
      </c>
      <c r="E94" s="805">
        <f>IF(ISNA(VLOOKUP("eu622710000",Balanceanp!C:G,5,FALSE))=TRUE,0,VLOOKUP("eu622710000",Balanceanp!C:G,5,FALSE))</f>
        <v>0</v>
      </c>
      <c r="F94" s="593">
        <f>+C94+C94/9*(12-Clients!$I$14)</f>
        <v>0</v>
      </c>
      <c r="G94" s="1030">
        <f t="shared" si="7"/>
        <v>0</v>
      </c>
      <c r="H94" s="1030"/>
      <c r="I94" s="1013">
        <f t="shared" si="8"/>
        <v>0</v>
      </c>
      <c r="J94" s="1014">
        <f t="shared" si="9"/>
        <v>0</v>
      </c>
      <c r="L94" s="17">
        <f t="shared" si="6"/>
        <v>1</v>
      </c>
    </row>
    <row r="95" spans="1:12">
      <c r="A95" s="590" t="s">
        <v>117</v>
      </c>
      <c r="B95" s="591">
        <f>+C95/$C$21</f>
        <v>2.3828207729409382E-3</v>
      </c>
      <c r="C95" s="805">
        <f>IF(ISNA(VLOOKUP("eu624200000",Balance!C:G,5,FALSE))=TRUE,0,VLOOKUP("eu624200000",Balance!C:G,5,FALSE))</f>
        <v>2173.4699999999998</v>
      </c>
      <c r="D95" s="619">
        <f>+[2]Eu!$H95</f>
        <v>3282.973313434366</v>
      </c>
      <c r="E95" s="805">
        <f>IF(ISNA(VLOOKUP("eu624200000",Balanceanp!C:G,5,FALSE))=TRUE,0,VLOOKUP("eu624200000",Balanceanp!C:G,5,FALSE))</f>
        <v>3830.88</v>
      </c>
      <c r="F95" s="593">
        <f>+C95+C95/9*(12-Clients!$I$14)</f>
        <v>2897.9599999999996</v>
      </c>
      <c r="G95" s="1030">
        <f>B95*G21</f>
        <v>3031.1172034557521</v>
      </c>
      <c r="H95" s="1031">
        <f>+G95/$G$21</f>
        <v>2.3828207729409382E-3</v>
      </c>
      <c r="I95" s="1013">
        <f t="shared" si="8"/>
        <v>-0.24352629160923875</v>
      </c>
      <c r="J95" s="1014">
        <f t="shared" si="9"/>
        <v>4.5948599516816166E-2</v>
      </c>
      <c r="L95" s="17">
        <f t="shared" si="6"/>
        <v>1</v>
      </c>
    </row>
    <row r="96" spans="1:12">
      <c r="A96" s="590" t="s">
        <v>118</v>
      </c>
      <c r="B96" s="591"/>
      <c r="C96" s="805">
        <f>IF(ISNA(VLOOKUP("eu625100000",Balance!C:G,5,FALSE))=TRUE,0,VLOOKUP("eu625100000",Balance!C:G,5,FALSE))</f>
        <v>2670.96</v>
      </c>
      <c r="D96" s="619">
        <f>+[2]Eu!$H96</f>
        <v>7941.7635</v>
      </c>
      <c r="E96" s="805">
        <f>IF(ISNA(VLOOKUP("eu625100000",Balanceanp!C:G,5,FALSE))=TRUE,0,VLOOKUP("eu625100000",Balanceanp!C:G,5,FALSE))</f>
        <v>6638.01</v>
      </c>
      <c r="F96" s="593">
        <f>+C96+C96/9*(12-Clients!$I$14)</f>
        <v>3561.2799999999997</v>
      </c>
      <c r="G96" s="1012">
        <f t="shared" si="7"/>
        <v>3668.1183999999998</v>
      </c>
      <c r="H96" s="1012"/>
      <c r="I96" s="1013">
        <f t="shared" si="8"/>
        <v>-0.46350186275706129</v>
      </c>
      <c r="J96" s="1014">
        <f t="shared" si="9"/>
        <v>3.0000000000000027E-2</v>
      </c>
      <c r="L96" s="17">
        <f t="shared" si="6"/>
        <v>1</v>
      </c>
    </row>
    <row r="97" spans="1:12">
      <c r="A97" s="590" t="s">
        <v>7</v>
      </c>
      <c r="B97" s="591"/>
      <c r="C97" s="805">
        <f>IF(ISNA(VLOOKUP("eu625200000",Balance!C:G,5,FALSE))=TRUE,0,VLOOKUP("eu625200000",Balance!C:G,5,FALSE))</f>
        <v>58.36</v>
      </c>
      <c r="D97" s="619">
        <f>+[2]Eu!$H97</f>
        <v>2.379630449642709</v>
      </c>
      <c r="E97" s="805">
        <f>IF(ISNA(VLOOKUP("eu625200000",Balanceanp!C:G,5,FALSE))=TRUE,0,VLOOKUP("eu625200000",Balanceanp!C:G,5,FALSE))</f>
        <v>70</v>
      </c>
      <c r="F97" s="593">
        <f>+C97+C97/9*(12-Clients!$I$14)</f>
        <v>77.813333333333333</v>
      </c>
      <c r="G97" s="1012">
        <f t="shared" si="7"/>
        <v>80.147733333333335</v>
      </c>
      <c r="H97" s="1012"/>
      <c r="I97" s="1013">
        <f t="shared" si="8"/>
        <v>0.1116190476190476</v>
      </c>
      <c r="J97" s="1014">
        <f t="shared" si="9"/>
        <v>3.000000000000003E-2</v>
      </c>
      <c r="L97" s="17">
        <f t="shared" si="6"/>
        <v>1</v>
      </c>
    </row>
    <row r="98" spans="1:12" hidden="1">
      <c r="A98" s="5" t="s">
        <v>307</v>
      </c>
      <c r="B98" s="92"/>
      <c r="C98" s="160">
        <f>IF(ISNA(VLOOKUP("eu625510000",Balance!C:G,5,FALSE))=TRUE,0,VLOOKUP("eu625510000",Balance!C:G,5,FALSE))</f>
        <v>0</v>
      </c>
      <c r="D98" s="117">
        <f>+[2]Eu!$H98</f>
        <v>0</v>
      </c>
      <c r="E98" s="160">
        <f>IF(ISNA(VLOOKUP("eu625510000",Balanceanp!C:G,5,FALSE))=TRUE,0,VLOOKUP("eu625510000",Balanceanp!C:G,5,FALSE))</f>
        <v>0</v>
      </c>
      <c r="F98" s="368">
        <f>+C98+C98/9*(12-Clients!$I$14)</f>
        <v>0</v>
      </c>
      <c r="G98" s="396">
        <f t="shared" si="7"/>
        <v>0</v>
      </c>
      <c r="H98" s="409"/>
      <c r="I98" s="149">
        <f t="shared" si="8"/>
        <v>0</v>
      </c>
      <c r="J98" s="271">
        <f t="shared" si="9"/>
        <v>0</v>
      </c>
      <c r="L98" s="17">
        <f t="shared" si="6"/>
        <v>0</v>
      </c>
    </row>
    <row r="99" spans="1:12">
      <c r="A99" s="590" t="s">
        <v>119</v>
      </c>
      <c r="B99" s="591"/>
      <c r="C99" s="805">
        <f>IF(ISNA(VLOOKUP("eu626000000",Balance!C:G,5,FALSE))=TRUE,0,VLOOKUP("eu626000000",Balance!C:G,5,FALSE))</f>
        <v>2444.94</v>
      </c>
      <c r="D99" s="619">
        <f>+[2]Eu!$H99</f>
        <v>3763.7730434874434</v>
      </c>
      <c r="E99" s="805">
        <f>IF(ISNA(VLOOKUP("eu626000000",Balanceanp!C:G,5,FALSE))=TRUE,0,VLOOKUP("eu626000000",Balanceanp!C:G,5,FALSE))</f>
        <v>3620.17</v>
      </c>
      <c r="F99" s="593">
        <f>+C99+C99/9*(12-Clients!$I$14)</f>
        <v>3259.92</v>
      </c>
      <c r="G99" s="1030">
        <f>+F99</f>
        <v>3259.92</v>
      </c>
      <c r="H99" s="1030"/>
      <c r="I99" s="1013">
        <f t="shared" si="8"/>
        <v>-9.9511901374797318E-2</v>
      </c>
      <c r="J99" s="1014">
        <f t="shared" si="9"/>
        <v>0</v>
      </c>
      <c r="L99" s="17">
        <f t="shared" si="6"/>
        <v>1</v>
      </c>
    </row>
    <row r="100" spans="1:12">
      <c r="A100" s="590" t="s">
        <v>120</v>
      </c>
      <c r="B100" s="591"/>
      <c r="C100" s="805">
        <f>IF(ISNA(VLOOKUP("eu626100000",Balance!C:G,5,FALSE))=TRUE,0,VLOOKUP("eu626100000",Balance!C:G,5,FALSE))</f>
        <v>3515.59</v>
      </c>
      <c r="D100" s="619">
        <f>+[2]Eu!$H100</f>
        <v>1733.0267815402715</v>
      </c>
      <c r="E100" s="805">
        <f>IF(ISNA(VLOOKUP("eu626100000",Balanceanp!C:G,5,FALSE))=TRUE,0,VLOOKUP("eu626100000",Balanceanp!C:G,5,FALSE))</f>
        <v>1799.07</v>
      </c>
      <c r="F100" s="593">
        <f>+C100+C100/9*(12-Clients!$I$14)</f>
        <v>4687.4533333333338</v>
      </c>
      <c r="G100" s="1030">
        <f t="shared" si="7"/>
        <v>4828.0769333333337</v>
      </c>
      <c r="H100" s="1030"/>
      <c r="I100" s="1013">
        <f t="shared" si="8"/>
        <v>1.605486908977046</v>
      </c>
      <c r="J100" s="1014">
        <f t="shared" si="9"/>
        <v>2.9999999999999975E-2</v>
      </c>
      <c r="L100" s="17">
        <f t="shared" si="6"/>
        <v>1</v>
      </c>
    </row>
    <row r="101" spans="1:12" hidden="1">
      <c r="A101" s="5" t="s">
        <v>121</v>
      </c>
      <c r="B101" s="92"/>
      <c r="C101" s="160">
        <f>IF(ISNA(VLOOKUP("eu628400000",Balance!C:G,5,FALSE))=TRUE,0,VLOOKUP("eu628400000",Balance!C:G,5,FALSE))</f>
        <v>0</v>
      </c>
      <c r="D101" s="117">
        <f>+[2]Eu!$H101</f>
        <v>0</v>
      </c>
      <c r="E101" s="160">
        <f>IF(ISNA(VLOOKUP("eu628400000",Balanceanp!C:G,5,FALSE))=TRUE,0,VLOOKUP("eu628400000",Balanceanp!C:G,5,FALSE))</f>
        <v>0</v>
      </c>
      <c r="F101" s="368">
        <f>+C101+C101/9*(12-Clients!$I$14)</f>
        <v>0</v>
      </c>
      <c r="G101" s="396">
        <f t="shared" si="7"/>
        <v>0</v>
      </c>
      <c r="H101" s="409"/>
      <c r="I101" s="149">
        <f t="shared" si="8"/>
        <v>0</v>
      </c>
      <c r="J101" s="271">
        <f t="shared" si="9"/>
        <v>0</v>
      </c>
      <c r="L101" s="17">
        <f t="shared" si="6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13" t="s">
        <v>122</v>
      </c>
      <c r="B103" s="596">
        <f>+C103/$C$21</f>
        <v>7.9177836441670077E-2</v>
      </c>
      <c r="C103" s="803">
        <f>SUM(C70:C102)</f>
        <v>72221.399999999994</v>
      </c>
      <c r="D103" s="597">
        <f>SUM(D70:D102)</f>
        <v>98607.212006918271</v>
      </c>
      <c r="E103" s="803">
        <f>SUM(E70:E102)</f>
        <v>95677.82</v>
      </c>
      <c r="F103" s="597">
        <f>SUM(F70:F102)</f>
        <v>94679.400000000023</v>
      </c>
      <c r="G103" s="597">
        <f>SUM(G70:G102)</f>
        <v>100925.56735345576</v>
      </c>
      <c r="H103" s="814">
        <f>+G103/$G$21</f>
        <v>7.9339570946476853E-2</v>
      </c>
      <c r="I103" s="596">
        <f>+IF((E103)=0,,(F103-E103)/E103)</f>
        <v>-1.0435229397994055E-2</v>
      </c>
      <c r="J103" s="1015">
        <f>+IF((F103)=0,,(G103-F103)/F103)</f>
        <v>6.5971767390327063E-2</v>
      </c>
      <c r="K103" s="136">
        <f>(C103+(C103/3))</f>
        <v>96295.2</v>
      </c>
      <c r="L103" s="17">
        <f t="shared" si="6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590" t="s">
        <v>129</v>
      </c>
      <c r="B105" s="591"/>
      <c r="C105" s="805">
        <f>IF(ISNA(VLOOKUP("eu623100000",Balance!C:G,5,FALSE))=TRUE,0,VLOOKUP("eu623100000",Balance!C:G,5,FALSE))</f>
        <v>0</v>
      </c>
      <c r="D105" s="619">
        <f>+[2]Eu!$H105</f>
        <v>1393.1265000000001</v>
      </c>
      <c r="E105" s="805">
        <f>IF(ISNA(VLOOKUP("eu623100000",Balanceanp!C:G,5,FALSE))=TRUE,0,VLOOKUP("eu623100000",Balanceanp!C:G,5,FALSE))</f>
        <v>1171.8</v>
      </c>
      <c r="F105" s="593">
        <f>+C105+C105/9*(12-Clients!$I$14)</f>
        <v>0</v>
      </c>
      <c r="G105" s="1012">
        <f t="shared" ref="G105:G114" si="10">+F105*1.03</f>
        <v>0</v>
      </c>
      <c r="H105" s="1012"/>
      <c r="I105" s="1013">
        <f t="shared" ref="I105:J114" si="11">+IF((E105)=0,,(F105-E105)/E105)</f>
        <v>-1</v>
      </c>
      <c r="J105" s="1014">
        <f t="shared" si="11"/>
        <v>0</v>
      </c>
      <c r="L105" s="17">
        <f t="shared" si="6"/>
        <v>1</v>
      </c>
    </row>
    <row r="106" spans="1:12">
      <c r="A106" s="590" t="s">
        <v>130</v>
      </c>
      <c r="B106" s="591"/>
      <c r="C106" s="805">
        <f>IF(ISNA(VLOOKUP("eu623200000",Balance!C:G,5,FALSE))=TRUE,0,VLOOKUP("eu623200000",Balance!C:G,5,FALSE))</f>
        <v>1480.32</v>
      </c>
      <c r="D106" s="619">
        <f>+[2]Eu!$H106</f>
        <v>4291.5567999999994</v>
      </c>
      <c r="E106" s="805">
        <f>IF(ISNA(VLOOKUP("eu623200000",Balanceanp!C:G,5,FALSE))=TRUE,0,VLOOKUP("eu623200000",Balanceanp!C:G,5,FALSE))</f>
        <v>3163.81</v>
      </c>
      <c r="F106" s="593">
        <f>+C106+C106/9*(12-Clients!$I$14)</f>
        <v>1973.7599999999998</v>
      </c>
      <c r="G106" s="1012">
        <f t="shared" si="10"/>
        <v>2032.9727999999998</v>
      </c>
      <c r="H106" s="1012"/>
      <c r="I106" s="1013">
        <f t="shared" si="11"/>
        <v>-0.37614458516788307</v>
      </c>
      <c r="J106" s="1014">
        <f t="shared" si="11"/>
        <v>3.0000000000000013E-2</v>
      </c>
      <c r="L106" s="17">
        <f t="shared" si="6"/>
        <v>1</v>
      </c>
    </row>
    <row r="107" spans="1:12" hidden="1">
      <c r="A107" s="5" t="s">
        <v>131</v>
      </c>
      <c r="B107" s="92"/>
      <c r="C107" s="160">
        <f>IF(ISNA(VLOOKUP("eu629000000",Balance!C:G,5,FALSE))=TRUE,0,VLOOKUP("eu629000000",Balance!C:G,5,FALSE))</f>
        <v>0</v>
      </c>
      <c r="D107" s="117">
        <f>+[2]Eu!$H107</f>
        <v>0</v>
      </c>
      <c r="E107" s="160">
        <f>IF(ISNA(VLOOKUP("eu629000000",Balanceanp!C:G,5,FALSE))=TRUE,0,VLOOKUP("eu629000000",Balanceanp!C:G,5,FALSE))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>
      <c r="A108" s="590" t="s">
        <v>132</v>
      </c>
      <c r="B108" s="591"/>
      <c r="C108" s="805">
        <f>IF(ISNA(VLOOKUP("eu623300000",Balance!C:G,5,FALSE))=TRUE,0,VLOOKUP("eu623300000",Balance!C:G,5,FALSE))</f>
        <v>1014.6999999999999</v>
      </c>
      <c r="D108" s="619">
        <f>+[2]Eu!$H108</f>
        <v>450</v>
      </c>
      <c r="E108" s="805">
        <f>IF(ISNA(VLOOKUP("eu623300000",Balanceanp!C:G,5,FALSE))=TRUE,0,VLOOKUP("eu623300000",Balanceanp!C:G,5,FALSE))</f>
        <v>130.91999999999999</v>
      </c>
      <c r="F108" s="593">
        <f>+C108+C108/9*(12-Clients!$I$14)</f>
        <v>1352.9333333333334</v>
      </c>
      <c r="G108" s="1012">
        <v>450</v>
      </c>
      <c r="H108" s="1012"/>
      <c r="I108" s="1013">
        <f t="shared" si="11"/>
        <v>9.3340462368876675</v>
      </c>
      <c r="J108" s="1014">
        <f t="shared" si="11"/>
        <v>-0.6673893761702967</v>
      </c>
      <c r="L108" s="17">
        <f t="shared" si="6"/>
        <v>1</v>
      </c>
    </row>
    <row r="109" spans="1:12">
      <c r="A109" s="590" t="s">
        <v>133</v>
      </c>
      <c r="B109" s="591"/>
      <c r="C109" s="805">
        <f>IF(ISNA(VLOOKUP("eu623700000",Balance!C:G,5,FALSE))=TRUE,0,VLOOKUP("eu623700000",Balance!C:G,5,FALSE))</f>
        <v>9771.51</v>
      </c>
      <c r="D109" s="619">
        <f>+[2]Eu!$H109</f>
        <v>13482.411600000001</v>
      </c>
      <c r="E109" s="805">
        <f>IF(ISNA(VLOOKUP("eu623700000",Balanceanp!C:G,5,FALSE))=TRUE,0,VLOOKUP("eu623700000",Balanceanp!C:G,5,FALSE))</f>
        <v>7695.0499999999993</v>
      </c>
      <c r="F109" s="593">
        <f>+C109+C109/9*(12-Clients!$I$14)</f>
        <v>13028.68</v>
      </c>
      <c r="G109" s="1012">
        <f t="shared" si="10"/>
        <v>13419.5404</v>
      </c>
      <c r="H109" s="1012"/>
      <c r="I109" s="1013">
        <f t="shared" si="11"/>
        <v>0.69312480100844065</v>
      </c>
      <c r="J109" s="1014">
        <f t="shared" si="11"/>
        <v>2.9999999999999968E-2</v>
      </c>
      <c r="L109" s="17">
        <f t="shared" si="6"/>
        <v>1</v>
      </c>
    </row>
    <row r="110" spans="1:12">
      <c r="A110" s="590" t="s">
        <v>134</v>
      </c>
      <c r="B110" s="591"/>
      <c r="C110" s="805">
        <f>IF(ISNA(VLOOKUP("eu623410000",Balance!C:G,5,FALSE))=TRUE,0,VLOOKUP("eu623410000",Balance!C:G,5,FALSE))+IF(ISNA(VLOOKUP("eu623420000",Balance!C:G,5,FALSE))=TRUE,0,VLOOKUP("eu623420000",Balance!C:G,5,FALSE))</f>
        <v>2445.3000000000002</v>
      </c>
      <c r="D110" s="619">
        <f>+[2]Eu!$H110</f>
        <v>3291.777</v>
      </c>
      <c r="E110" s="805">
        <f>IF(ISNA(VLOOKUP("eu623410000",Balanceanp!C:G,5,FALSE))=TRUE,0,VLOOKUP("eu623410000",Balanceanp!C:G,5,FALSE))+IF(ISNA(VLOOKUP("eu623420000",Balanceanp!C:G,5,FALSE))=TRUE,0,VLOOKUP("eu623420000",Balanceanp!C:G,5,FALSE))</f>
        <v>2648.8599999999997</v>
      </c>
      <c r="F110" s="593">
        <f>+C110+C110/9*(12-Clients!$I$14)</f>
        <v>3260.4000000000005</v>
      </c>
      <c r="G110" s="1012">
        <f t="shared" si="10"/>
        <v>3358.2120000000004</v>
      </c>
      <c r="H110" s="1012"/>
      <c r="I110" s="1013">
        <f t="shared" si="11"/>
        <v>0.23086912860626871</v>
      </c>
      <c r="J110" s="1014">
        <f t="shared" si="11"/>
        <v>2.9999999999999964E-2</v>
      </c>
      <c r="L110" s="17">
        <f t="shared" si="6"/>
        <v>1</v>
      </c>
    </row>
    <row r="111" spans="1:12">
      <c r="A111" s="590" t="s">
        <v>135</v>
      </c>
      <c r="B111" s="591"/>
      <c r="C111" s="805">
        <f>IF(ISNA(VLOOKUP("EU623800000",Balance!C:G,5,FALSE))=TRUE,0,VLOOKUP("EU623800000",Balance!C:G,5,FALSE))+IF(ISNA(VLOOKUP("EU623820000",Balance!C:G,5,FALSE))=TRUE,0,VLOOKUP("EU623820000",Balance!C:G,5,FALSE))</f>
        <v>20</v>
      </c>
      <c r="D111" s="619">
        <f>+[2]Eu!$H111</f>
        <v>141.11000000000001</v>
      </c>
      <c r="E111" s="805">
        <f>IF(ISNA(VLOOKUP("eu623800000",Balanceanp!C:G,5,FALSE))=TRUE,0,VLOOKUP("eu623800000",Balanceanp!C:G,5,FALSE))</f>
        <v>105</v>
      </c>
      <c r="F111" s="593">
        <f>+C111+C111/9*(12-Clients!$I$14)</f>
        <v>26.666666666666668</v>
      </c>
      <c r="G111" s="1012">
        <f t="shared" si="10"/>
        <v>27.466666666666669</v>
      </c>
      <c r="H111" s="1012"/>
      <c r="I111" s="1013">
        <f t="shared" si="11"/>
        <v>-0.74603174603174593</v>
      </c>
      <c r="J111" s="1014">
        <f t="shared" si="11"/>
        <v>3.0000000000000027E-2</v>
      </c>
      <c r="L111" s="17">
        <f t="shared" si="6"/>
        <v>1</v>
      </c>
    </row>
    <row r="112" spans="1:12">
      <c r="A112" s="590" t="s">
        <v>136</v>
      </c>
      <c r="B112" s="591"/>
      <c r="C112" s="805">
        <f>IF(ISNA(VLOOKUP("eu625600000",Balance!C:G,5,FALSE))=TRUE,0,VLOOKUP("eu625600000",Balance!C:G,5,FALSE))</f>
        <v>19.5</v>
      </c>
      <c r="D112" s="619">
        <f>+[2]Eu!$H112</f>
        <v>25.986900000000002</v>
      </c>
      <c r="E112" s="805">
        <f>IF(ISNA(VLOOKUP("eu625600000",Balanceanp!C:G,5,FALSE))=TRUE,0,VLOOKUP("eu625600000",Balanceanp!C:G,5,FALSE))</f>
        <v>25.23</v>
      </c>
      <c r="F112" s="593">
        <f>+C112+C112/9*(12-Clients!$I$14)</f>
        <v>26</v>
      </c>
      <c r="G112" s="1012">
        <f t="shared" si="10"/>
        <v>26.78</v>
      </c>
      <c r="H112" s="1012"/>
      <c r="I112" s="1013">
        <f t="shared" si="11"/>
        <v>3.051922314704715E-2</v>
      </c>
      <c r="J112" s="1014">
        <f t="shared" si="11"/>
        <v>3.0000000000000044E-2</v>
      </c>
      <c r="L112" s="17">
        <f t="shared" si="6"/>
        <v>1</v>
      </c>
    </row>
    <row r="113" spans="1:12">
      <c r="A113" s="590" t="s">
        <v>137</v>
      </c>
      <c r="B113" s="591"/>
      <c r="C113" s="1148">
        <f>IF(ISNA(VLOOKUP("eu625700000",Balance!C:G,5,FALSE))=TRUE,0,VLOOKUP("eu625700000",Balance!C:G,5,FALSE))+IF(ISNA(VLOOKUP("eu625710000",Balance!C:G,5,FALSE))=TRUE,0,VLOOKUP("eu625710000",Balance!C:G,5,FALSE))</f>
        <v>9230.7900000000009</v>
      </c>
      <c r="D113" s="619">
        <f>+[2]Eu!$H113</f>
        <v>9154.06</v>
      </c>
      <c r="E113" s="805">
        <f>IF(ISNA(VLOOKUP("eu625700000",Balanceanp!C:G,5,FALSE))=TRUE,0,VLOOKUP("eu625700000",Balanceanp!C:G,5,FALSE))+IF(ISNA(VLOOKUP("eu625710000",Balanceanp!C:G,5,FALSE))=TRUE,0,VLOOKUP("eu625710000",Balanceanp!C:G,5,FALSE))</f>
        <v>987.73</v>
      </c>
      <c r="F113" s="593">
        <v>2414.94</v>
      </c>
      <c r="G113" s="1012">
        <v>2000</v>
      </c>
      <c r="H113" s="1012"/>
      <c r="I113" s="1013">
        <f t="shared" si="11"/>
        <v>1.4449394065179755</v>
      </c>
      <c r="J113" s="1014">
        <f t="shared" si="11"/>
        <v>-0.17182207425443283</v>
      </c>
      <c r="L113" s="17">
        <f t="shared" si="6"/>
        <v>1</v>
      </c>
    </row>
    <row r="114" spans="1:12">
      <c r="A114" s="590" t="s">
        <v>138</v>
      </c>
      <c r="B114" s="591"/>
      <c r="C114" s="805">
        <f>IF(ISNA(VLOOKUP("eu623810000",Balance!C:G,5,FALSE))=TRUE,0,VLOOKUP("eu623810000",Balance!C:G,5,FALSE))</f>
        <v>0</v>
      </c>
      <c r="D114" s="619">
        <f>+[2]Eu!$H114</f>
        <v>0</v>
      </c>
      <c r="E114" s="805">
        <f>IF(ISNA(VLOOKUP("eu623810000",Balanceanp!C:G,5,FALSE))=TRUE,0,VLOOKUP("eu623810000",Balanceanp!C:G,5,FALSE))</f>
        <v>-8599.2800000000007</v>
      </c>
      <c r="F114" s="593">
        <f>+C114+C114/9*(12-Clients!$I$14)</f>
        <v>0</v>
      </c>
      <c r="G114" s="1012">
        <f t="shared" si="10"/>
        <v>0</v>
      </c>
      <c r="H114" s="1012"/>
      <c r="I114" s="1013">
        <f t="shared" si="11"/>
        <v>-1</v>
      </c>
      <c r="J114" s="1014">
        <f t="shared" si="11"/>
        <v>0</v>
      </c>
      <c r="L114" s="17">
        <f t="shared" si="6"/>
        <v>1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13" t="s">
        <v>133</v>
      </c>
      <c r="B116" s="596">
        <f>+C116/$C$21</f>
        <v>2.6292101439247997E-2</v>
      </c>
      <c r="C116" s="803">
        <f>SUM(C104:C115)</f>
        <v>23982.120000000003</v>
      </c>
      <c r="D116" s="597">
        <f>SUM(D104:D115)</f>
        <v>32230.0288</v>
      </c>
      <c r="E116" s="803">
        <f>SUM(E104:E115)</f>
        <v>7329.1199999999972</v>
      </c>
      <c r="F116" s="597">
        <f>SUM(F104:F115)</f>
        <v>22083.38</v>
      </c>
      <c r="G116" s="597">
        <f>SUM(G104:G115)</f>
        <v>21314.971866666667</v>
      </c>
      <c r="H116" s="814">
        <f>+G116/$G$21</f>
        <v>1.6756118067833215E-2</v>
      </c>
      <c r="I116" s="596">
        <f>+IF((E116)=0,,(F116-E116)/E116)</f>
        <v>2.0131011635776206</v>
      </c>
      <c r="J116" s="1015">
        <f>+IF((F116)=0,,(G116-F116)/F116)</f>
        <v>-3.4795766469323725E-2</v>
      </c>
      <c r="K116" s="136">
        <f>(C116+(C116/3))</f>
        <v>31976.160000000003</v>
      </c>
      <c r="L116" s="17">
        <f t="shared" si="6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590" t="s">
        <v>139</v>
      </c>
      <c r="B118" s="591"/>
      <c r="C118" s="805">
        <f>IF(ISNA(VLOOKUP("eu633300000",Balance!C:G,5,FALSE))=TRUE,0,VLOOKUP("eu633300000",Balance!C:G,5,FALSE))</f>
        <v>2404.0300000000002</v>
      </c>
      <c r="D118" s="619">
        <f>+[2]Eu!$H118</f>
        <v>1399.9999999999998</v>
      </c>
      <c r="E118" s="805">
        <f>IF(ISNA(VLOOKUP("eu633300000",Balanceanp!C:G,5,FALSE))=TRUE,0,VLOOKUP("eu633300000",Balanceanp!C:G,5,FALSE))</f>
        <v>1490</v>
      </c>
      <c r="F118" s="593">
        <f>+C118+C118/9*(12-Clients!$I$14)</f>
        <v>3205.3733333333339</v>
      </c>
      <c r="G118" s="1030">
        <f>G131*(0.2+0.5)%</f>
        <v>1284.2339999999999</v>
      </c>
      <c r="H118" s="1030"/>
      <c r="I118" s="1013">
        <f t="shared" ref="I118:J127" si="12">+IF((E118)=0,,(F118-E118)/E118)</f>
        <v>1.1512572706935127</v>
      </c>
      <c r="J118" s="1014">
        <f t="shared" si="12"/>
        <v>-0.59934963374001171</v>
      </c>
      <c r="L118" s="17">
        <f t="shared" si="6"/>
        <v>1</v>
      </c>
    </row>
    <row r="119" spans="1:12">
      <c r="A119" s="590" t="s">
        <v>140</v>
      </c>
      <c r="B119" s="591"/>
      <c r="C119" s="805">
        <f>IF(ISNA(VLOOKUP("eu633400000",Balance!C:G,5,FALSE))=TRUE,0,VLOOKUP("eu633400000",Balance!C:G,5,FALSE))</f>
        <v>0</v>
      </c>
      <c r="D119" s="619">
        <f>+[2]Eu!$H119</f>
        <v>900.00000000000011</v>
      </c>
      <c r="E119" s="805">
        <f>IF(ISNA(VLOOKUP("eu633400000",Balanceanp!C:G,5,FALSE))=TRUE,0,VLOOKUP("eu633400000",Balanceanp!C:G,5,FALSE))</f>
        <v>820</v>
      </c>
      <c r="F119" s="593">
        <f>+C119+C119/9*(12-Clients!$I$14)</f>
        <v>0</v>
      </c>
      <c r="G119" s="1030">
        <f>+G131*0.45%</f>
        <v>825.57900000000006</v>
      </c>
      <c r="H119" s="1030"/>
      <c r="I119" s="1013">
        <f t="shared" si="12"/>
        <v>-1</v>
      </c>
      <c r="J119" s="1014">
        <f t="shared" si="12"/>
        <v>0</v>
      </c>
      <c r="L119" s="17">
        <f t="shared" si="6"/>
        <v>1</v>
      </c>
    </row>
    <row r="120" spans="1:12">
      <c r="A120" s="590" t="s">
        <v>141</v>
      </c>
      <c r="B120" s="591"/>
      <c r="C120" s="805">
        <f>IF(ISNA(VLOOKUP("eu633500000",Balance!C:G,5,FALSE))=TRUE,0,VLOOKUP("eu633500000",Balance!C:G,5,FALSE))</f>
        <v>0</v>
      </c>
      <c r="D120" s="619">
        <f>+[2]Eu!$H120</f>
        <v>1560</v>
      </c>
      <c r="E120" s="805">
        <f>IF(ISNA(VLOOKUP("eu633500000",Balanceanp!C:G,5,FALSE))=TRUE,0,VLOOKUP("eu633500000",Balanceanp!C:G,5,FALSE))</f>
        <v>1240</v>
      </c>
      <c r="F120" s="593">
        <f>+C120+C120/9*(12-Clients!$I$14)</f>
        <v>0</v>
      </c>
      <c r="G120" s="1030">
        <f>+G131*(0.6+0.18)%</f>
        <v>1431.0036</v>
      </c>
      <c r="H120" s="1030"/>
      <c r="I120" s="1013">
        <f t="shared" si="12"/>
        <v>-1</v>
      </c>
      <c r="J120" s="1014">
        <f t="shared" si="12"/>
        <v>0</v>
      </c>
      <c r="L120" s="17">
        <f t="shared" si="6"/>
        <v>1</v>
      </c>
    </row>
    <row r="121" spans="1:12">
      <c r="A121" s="590" t="s">
        <v>706</v>
      </c>
      <c r="B121" s="591"/>
      <c r="C121" s="805">
        <f>IF(ISNA(VLOOKUP("eu635110000",Balance!C:G,5,FALSE))=TRUE,0,VLOOKUP("eu635110000",Balance!C:G,5,FALSE))</f>
        <v>6863.04</v>
      </c>
      <c r="D121" s="619">
        <f>+[2]Eu!$H121</f>
        <v>9150.75</v>
      </c>
      <c r="E121" s="805">
        <f>IF(ISNA(VLOOKUP("eu635110000",Balanceanp!C:G,5,FALSE))=TRUE,0,VLOOKUP("eu635110000",Balanceanp!C:G,5,FALSE))</f>
        <v>8715</v>
      </c>
      <c r="F121" s="636">
        <v>4046</v>
      </c>
      <c r="G121" s="636">
        <f>+F121*1.05</f>
        <v>4248.3</v>
      </c>
      <c r="H121" s="638"/>
      <c r="I121" s="1013">
        <f t="shared" si="12"/>
        <v>-0.53574297188755016</v>
      </c>
      <c r="J121" s="1014">
        <f t="shared" si="12"/>
        <v>5.0000000000000044E-2</v>
      </c>
      <c r="L121" s="17">
        <f t="shared" si="6"/>
        <v>1</v>
      </c>
    </row>
    <row r="122" spans="1:12">
      <c r="A122" s="590" t="s">
        <v>143</v>
      </c>
      <c r="B122" s="591"/>
      <c r="C122" s="805">
        <f>IF(ISNA(VLOOKUP("eu635120000",Balance!C:G,5,FALSE))=TRUE,0,VLOOKUP("eu635120000",Balance!C:G,5,FALSE))</f>
        <v>7901.82</v>
      </c>
      <c r="D122" s="619">
        <f>+[2]Eu!$H122</f>
        <v>10535.7</v>
      </c>
      <c r="E122" s="805">
        <f>IF(ISNA(VLOOKUP("eu635120000",Balanceanp!C:G,5,FALSE))=TRUE,0,VLOOKUP("eu635120000",Balanceanp!C:G,5,FALSE))</f>
        <v>10034</v>
      </c>
      <c r="F122" s="631">
        <v>10155</v>
      </c>
      <c r="G122" s="631">
        <f>+F122*1.05</f>
        <v>10662.75</v>
      </c>
      <c r="H122" s="638"/>
      <c r="I122" s="1013">
        <f t="shared" si="12"/>
        <v>1.2058999402033088E-2</v>
      </c>
      <c r="J122" s="1014">
        <f t="shared" si="12"/>
        <v>0.05</v>
      </c>
      <c r="L122" s="17">
        <f t="shared" si="6"/>
        <v>1</v>
      </c>
    </row>
    <row r="123" spans="1:12">
      <c r="A123" s="590" t="s">
        <v>144</v>
      </c>
      <c r="B123" s="591"/>
      <c r="C123" s="805">
        <f>IF(ISNA(VLOOKUP("eu635130000",Balance!C:G,5,FALSE))=TRUE,0,VLOOKUP("eu635130000",Balance!C:G,5,FALSE))</f>
        <v>0</v>
      </c>
      <c r="D123" s="619">
        <f>+[2]Eu!$H123</f>
        <v>50</v>
      </c>
      <c r="E123" s="805">
        <f>IF(ISNA(VLOOKUP("eu635130000",Balanceanp!C:G,5,FALSE))=TRUE,0,VLOOKUP("eu635130000",Balanceanp!C:G,5,FALSE))</f>
        <v>0</v>
      </c>
      <c r="F123" s="631">
        <v>540</v>
      </c>
      <c r="G123" s="631">
        <f>+F123*1.05</f>
        <v>567</v>
      </c>
      <c r="H123" s="638"/>
      <c r="I123" s="1013">
        <f t="shared" si="12"/>
        <v>0</v>
      </c>
      <c r="J123" s="1014">
        <f t="shared" si="12"/>
        <v>0.05</v>
      </c>
      <c r="L123" s="17">
        <f t="shared" si="6"/>
        <v>1</v>
      </c>
    </row>
    <row r="124" spans="1:12">
      <c r="A124" s="590" t="s">
        <v>145</v>
      </c>
      <c r="B124" s="591"/>
      <c r="C124" s="805">
        <f>IF(ISNA(VLOOKUP("eu635140000",Balance!C:G,5,FALSE))=TRUE,0,VLOOKUP("eu635140000",Balance!C:G,5,FALSE))</f>
        <v>0</v>
      </c>
      <c r="D124" s="619">
        <f>+[2]Eu!$H124</f>
        <v>0.37516960333333338</v>
      </c>
      <c r="E124" s="805">
        <f>IF(ISNA(VLOOKUP("eu635140000",Balanceanp!C:G,5,FALSE))=TRUE,0,VLOOKUP("eu635140000",Balanceanp!C:G,5,FALSE))</f>
        <v>0</v>
      </c>
      <c r="F124" s="593">
        <f>+C124+C124/9*(12-Clients!$I$14)</f>
        <v>0</v>
      </c>
      <c r="G124" s="638">
        <f>+F124*1.03</f>
        <v>0</v>
      </c>
      <c r="H124" s="638"/>
      <c r="I124" s="1013">
        <f t="shared" si="12"/>
        <v>0</v>
      </c>
      <c r="J124" s="1014">
        <f t="shared" si="12"/>
        <v>0</v>
      </c>
      <c r="L124" s="17">
        <f t="shared" si="6"/>
        <v>1</v>
      </c>
    </row>
    <row r="125" spans="1:12" hidden="1">
      <c r="A125" s="5" t="s">
        <v>286</v>
      </c>
      <c r="B125" s="92"/>
      <c r="C125" s="160">
        <f>IF(ISNA(VLOOKUP("eu635300000",Balance!C:G,5,FALSE))=TRUE,0,VLOOKUP("eu635300000",Balance!C:G,5,FALSE))</f>
        <v>0</v>
      </c>
      <c r="D125" s="117">
        <f>+[2]Eu!$H125</f>
        <v>0</v>
      </c>
      <c r="E125" s="160">
        <f>IF(ISNA(VLOOKUP("eu635300000",Balanceanp!C:G,5,FALSE))=TRUE,0,VLOOKUP("eu635300000",Balanceanp!C:G,5,FALSE))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2"/>
        <v>0</v>
      </c>
      <c r="J125" s="271">
        <f t="shared" si="12"/>
        <v>0</v>
      </c>
      <c r="L125" s="17">
        <f t="shared" si="6"/>
        <v>0</v>
      </c>
    </row>
    <row r="126" spans="1:12" hidden="1">
      <c r="A126" s="5" t="s">
        <v>361</v>
      </c>
      <c r="B126" s="92"/>
      <c r="C126" s="160">
        <f>IF(ISNA(VLOOKUP("eu635400000",Balance!C:G,5,FALSE))=TRUE,0,VLOOKUP("eu635400000",Balance!C:G,5,FALSE))</f>
        <v>0</v>
      </c>
      <c r="D126" s="117">
        <f>+[2]Eu!$H126</f>
        <v>0</v>
      </c>
      <c r="E126" s="160">
        <f>IF(ISNA(VLOOKUP("eu635400000",Balanceanp!C:G,5,FALSE))=TRUE,0,VLOOKUP("eu635400000",Balanceanp!C:G,5,FALSE))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590" t="s">
        <v>146</v>
      </c>
      <c r="B127" s="591"/>
      <c r="C127" s="805">
        <f>IF(ISNA(VLOOKUP("eu637100000",Balance!C:G,5,FALSE))=TRUE,0,VLOOKUP("eu637100000",Balance!C:G,5,FALSE))</f>
        <v>5329.16</v>
      </c>
      <c r="D127" s="619">
        <f>+[2]Eu!$H127</f>
        <v>7127.2456000000002</v>
      </c>
      <c r="E127" s="805">
        <f>IF(ISNA(VLOOKUP("eu637100000",Balanceanp!C:G,5,FALSE))=TRUE,0,VLOOKUP("eu637100000",Balanceanp!C:G,5,FALSE))</f>
        <v>6891.08</v>
      </c>
      <c r="F127" s="593">
        <f>+C127+C127/9*(12-Clients!$I$14)</f>
        <v>7105.5466666666671</v>
      </c>
      <c r="G127" s="1030">
        <f>+G51*0.16%+4822*1.03</f>
        <v>6997.6440000000002</v>
      </c>
      <c r="H127" s="1030"/>
      <c r="I127" s="1013">
        <f t="shared" si="12"/>
        <v>3.1122359146413502E-2</v>
      </c>
      <c r="J127" s="1014">
        <f t="shared" si="12"/>
        <v>-1.518569530657742E-2</v>
      </c>
      <c r="L127" s="17">
        <f t="shared" si="6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13" t="s">
        <v>147</v>
      </c>
      <c r="B129" s="596">
        <f>+C129/$C$21</f>
        <v>2.4665084353896707E-2</v>
      </c>
      <c r="C129" s="803">
        <f>SUM(C117:C128)</f>
        <v>22498.05</v>
      </c>
      <c r="D129" s="597">
        <f>SUM(D117:D128)</f>
        <v>30724.070769603335</v>
      </c>
      <c r="E129" s="803">
        <f>SUM(E117:E128)</f>
        <v>29190.080000000002</v>
      </c>
      <c r="F129" s="597">
        <f>SUM(F117:F128)</f>
        <v>25051.919999999998</v>
      </c>
      <c r="G129" s="597">
        <f>SUM(G117:G128)</f>
        <v>26016.510600000001</v>
      </c>
      <c r="H129" s="814">
        <f>+G129/$G$21</f>
        <v>2.0452090016988046E-2</v>
      </c>
      <c r="I129" s="596">
        <f>+IF((E129)=0,,(F129-E129)/E129)</f>
        <v>-0.1417659698089215</v>
      </c>
      <c r="J129" s="1015">
        <f>+IF((F129)=0,,(G129-F129)/F129)</f>
        <v>3.8503659599743383E-2</v>
      </c>
      <c r="K129" s="136">
        <f>(C129+(C129/3))</f>
        <v>29997.399999999998</v>
      </c>
      <c r="L129" s="17">
        <f t="shared" si="6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590" t="s">
        <v>148</v>
      </c>
      <c r="B131" s="591"/>
      <c r="C131" s="805">
        <f>IF(ISNA(VLOOKUP("eu641100000",Balance!C:G,5,FALSE))=TRUE,0,VLOOKUP("eu641100000",Balance!C:G,5,FALSE))+IF(ISNA(VLOOKUP("eu641112000",Balance!C:G,5,FALSE))=TRUE,0,VLOOKUP("eu641112000",Balance!C:G,5,FALSE))</f>
        <v>137170.53</v>
      </c>
      <c r="D131" s="619">
        <f>+[2]Eu!$H131</f>
        <v>200000</v>
      </c>
      <c r="E131" s="805">
        <f>IF(ISNA(VLOOKUP("eu641100000",Balanceanp!C:G,5,FALSE))=TRUE,0,VLOOKUP("eu641100000",Balanceanp!C:G,5,FALSE))</f>
        <v>199693.9</v>
      </c>
      <c r="F131" s="593">
        <f>+C131+C131/9*(12-Clients!$I$14)</f>
        <v>182894.04</v>
      </c>
      <c r="G131" s="1012">
        <v>183462</v>
      </c>
      <c r="H131" s="1012"/>
      <c r="I131" s="1013">
        <f t="shared" ref="I131:J146" si="13">+IF((E131)=0,,(F131-E131)/E131)</f>
        <v>-8.4128057992757854E-2</v>
      </c>
      <c r="J131" s="1014">
        <f t="shared" si="13"/>
        <v>3.1054046375704305E-3</v>
      </c>
      <c r="L131" s="17">
        <v>1</v>
      </c>
    </row>
    <row r="132" spans="1:12" hidden="1">
      <c r="A132" s="5" t="s">
        <v>149</v>
      </c>
      <c r="B132" s="92"/>
      <c r="C132" s="160">
        <f>IF(ISNA(VLOOKUP("eu641110000",Balance!C:G,5,FALSE))=TRUE,0,VLOOKUP("eu641110000",Balance!C:G,5,FALSE))</f>
        <v>-262.5</v>
      </c>
      <c r="D132" s="117">
        <f>+[2]Eu!$H132</f>
        <v>0</v>
      </c>
      <c r="E132" s="160">
        <f>IF(ISNA(VLOOKUP("eu641110000",Balanceanp!C:G,5,FALSE))=TRUE,0,VLOOKUP("eu641110000",Balanceanp!C:G,5,FALSE))</f>
        <v>37.5</v>
      </c>
      <c r="F132" s="368">
        <f>+C132+C132/9*(12-Clients!$I$14)</f>
        <v>-350</v>
      </c>
      <c r="G132" s="395"/>
      <c r="H132" s="401"/>
      <c r="I132" s="149">
        <f t="shared" si="13"/>
        <v>-10.333333333333334</v>
      </c>
      <c r="J132" s="271">
        <f t="shared" si="13"/>
        <v>-1</v>
      </c>
      <c r="L132" s="17">
        <v>0</v>
      </c>
    </row>
    <row r="133" spans="1:12">
      <c r="A133" s="590" t="s">
        <v>150</v>
      </c>
      <c r="B133" s="591"/>
      <c r="C133" s="805">
        <f>IF(ISNA(VLOOKUP("eu641111000",Balance!C:G,5,FALSE))=TRUE,0,VLOOKUP("eu641111000",Balance!C:G,5,FALSE))</f>
        <v>75</v>
      </c>
      <c r="D133" s="619">
        <f>+[2]Eu!$H133</f>
        <v>0</v>
      </c>
      <c r="E133" s="805">
        <f>IF(ISNA(VLOOKUP("eu641111000",Balanceanp!C:G,5,FALSE))=TRUE,0,VLOOKUP("eu641111000",Balanceanp!C:G,5,FALSE))</f>
        <v>0</v>
      </c>
      <c r="F133" s="593">
        <f>+C133+C133/9*(12-Clients!$I$14)</f>
        <v>100</v>
      </c>
      <c r="G133" s="1012"/>
      <c r="H133" s="1012"/>
      <c r="I133" s="1013">
        <f t="shared" si="13"/>
        <v>0</v>
      </c>
      <c r="J133" s="1014">
        <f t="shared" si="13"/>
        <v>-1</v>
      </c>
      <c r="L133" s="17">
        <f t="shared" si="6"/>
        <v>1</v>
      </c>
    </row>
    <row r="134" spans="1:12" hidden="1">
      <c r="A134" s="5" t="s">
        <v>151</v>
      </c>
      <c r="B134" s="92"/>
      <c r="C134" s="160">
        <f>IF(ISNA(VLOOKUP("eu641200000",Balance!C:G,5,FALSE))=TRUE,0,VLOOKUP("eu641200000",Balance!C:G,5,FALSE))</f>
        <v>0</v>
      </c>
      <c r="D134" s="117">
        <f>+[2]Eu!$H134</f>
        <v>0</v>
      </c>
      <c r="E134" s="160">
        <f>IF(ISNA(VLOOKUP("eu641200000",Balanceanp!C:G,5,FALSE))=TRUE,0,VLOOKUP("eu641200000",Balanceanp!C:G,5,FALSE))</f>
        <v>-416.66999999999825</v>
      </c>
      <c r="F134" s="368">
        <f>+C134+C134/9*(12-Clients!$I$14)</f>
        <v>0</v>
      </c>
      <c r="G134" s="395"/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IF(ISNA(VLOOKUP("eu621100000",Balance!C:G,5,FALSE))=TRUE,0,VLOOKUP("eu621100000",Balance!C:G,5,FALSE))</f>
        <v>0</v>
      </c>
      <c r="D135" s="117">
        <f>+[2]Eu!$H135</f>
        <v>1092.7559294168752</v>
      </c>
      <c r="E135" s="160">
        <f>IF(ISNA(VLOOKUP("eu621100000",Balanceanp!C:G,5,FALSE))=TRUE,0,VLOOKUP("eu621100000",Balanceanp!C:G,5,FALSE))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3"/>
        <v>0</v>
      </c>
      <c r="J135" s="271">
        <f t="shared" si="13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IF(ISNA(VLOOKUP("eu621200000",Balance!C:G,5,FALSE))=TRUE,0,VLOOKUP("eu621200000",Balance!C:G,5,FALSE))</f>
        <v>0</v>
      </c>
      <c r="D136" s="117">
        <f>+[2]Eu!$H136</f>
        <v>0</v>
      </c>
      <c r="E136" s="160">
        <f>IF(ISNA(VLOOKUP("eu621200000",Balanceanp!C:G,5,FALSE))=TRUE,0,VLOOKUP("eu621200000",Balanceanp!C:G,5,FALSE))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3"/>
        <v>0</v>
      </c>
      <c r="J136" s="271">
        <f t="shared" si="13"/>
        <v>0</v>
      </c>
      <c r="L136" s="17">
        <f t="shared" ref="L136:L197" si="14">IF(SUM(C136:J136)&lt;&gt;0,1,0)</f>
        <v>0</v>
      </c>
    </row>
    <row r="137" spans="1:12" hidden="1">
      <c r="A137" s="5" t="s">
        <v>87</v>
      </c>
      <c r="B137" s="92"/>
      <c r="C137" s="160">
        <f>IF(ISNA(VLOOKUP("eu706100000",Balance!C:G,5,FALSE))=TRUE,0,-VLOOKUP("eu706100000",Balance!C:G,5,FALSE))</f>
        <v>0</v>
      </c>
      <c r="D137" s="117">
        <f>+[2]Eu!$H137</f>
        <v>0</v>
      </c>
      <c r="E137" s="160">
        <f>IF(ISNA(VLOOKUP("eu706100000",Balanceanp!C:G,5,FALSE))=TRUE,0,-VLOOKUP("eu706100000",Balanceanp!C:G,5,FALSE))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3"/>
        <v>0</v>
      </c>
      <c r="J137" s="271">
        <f t="shared" si="13"/>
        <v>0</v>
      </c>
      <c r="L137" s="17">
        <f t="shared" si="14"/>
        <v>0</v>
      </c>
    </row>
    <row r="138" spans="1:12" hidden="1">
      <c r="A138" s="5" t="s">
        <v>152</v>
      </c>
      <c r="B138" s="92"/>
      <c r="C138" s="160">
        <f>IF(ISNA(VLOOKUP("eu641210000",Balance!C:G,5,FALSE))=TRUE,0,VLOOKUP("eu641210000",Balance!C:G,5,FALSE))</f>
        <v>0</v>
      </c>
      <c r="D138" s="117">
        <f>+[2]Eu!$H138</f>
        <v>0</v>
      </c>
      <c r="E138" s="160">
        <f>IF(ISNA(VLOOKUP("eu641210000",Balanceanp!C:G,5,FALSE))=TRUE,0,VLOOKUP("eu641210000",Balanceanp!C:G,5,FALSE))</f>
        <v>-18.260000000000218</v>
      </c>
      <c r="F138" s="368">
        <f>+C138+C138/9*(12-Clients!$I$14)</f>
        <v>0</v>
      </c>
      <c r="G138" s="395"/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IF(ISNA(VLOOKUP("eu641400000",Balance!C:G,5,FALSE))=TRUE,0,VLOOKUP("eu641400000",Balance!C:G,5,FALSE))</f>
        <v>0</v>
      </c>
      <c r="D139" s="117">
        <f>+[2]Eu!$H139</f>
        <v>0</v>
      </c>
      <c r="E139" s="160">
        <f>IF(ISNA(VLOOKUP("eu641400000",Balanceanp!C:G,5,FALSE))=TRUE,0,VLOOKUP("eu641400000",Balanceanp!C:G,5,FALSE))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3"/>
        <v>0</v>
      </c>
      <c r="J139" s="271">
        <f t="shared" si="13"/>
        <v>0</v>
      </c>
      <c r="L139" s="17">
        <f t="shared" si="14"/>
        <v>0</v>
      </c>
    </row>
    <row r="140" spans="1:12">
      <c r="A140" s="590" t="s">
        <v>154</v>
      </c>
      <c r="B140" s="591"/>
      <c r="C140" s="805">
        <f>IF(ISNA(VLOOKUP("eu641600000",Balance!C:G,5,FALSE))=TRUE,0,VLOOKUP("eu641600000",Balance!C:G,5,FALSE))</f>
        <v>6996.05</v>
      </c>
      <c r="D140" s="619">
        <f>+[2]Eu!$H140</f>
        <v>0</v>
      </c>
      <c r="E140" s="805">
        <f>IF(ISNA(VLOOKUP("eu641600000",Balanceanp!C:G,5,FALSE))=TRUE,0,VLOOKUP("eu641600000",Balanceanp!C:G,5,FALSE))</f>
        <v>2645.93</v>
      </c>
      <c r="F140" s="593">
        <f>+C140+C140/9*(12-Clients!$I$14)</f>
        <v>9328.0666666666675</v>
      </c>
      <c r="G140" s="1012"/>
      <c r="H140" s="1012"/>
      <c r="I140" s="1013">
        <f t="shared" si="13"/>
        <v>2.5254397004707863</v>
      </c>
      <c r="J140" s="1014">
        <f t="shared" si="13"/>
        <v>-1</v>
      </c>
      <c r="L140" s="17">
        <f t="shared" si="14"/>
        <v>1</v>
      </c>
    </row>
    <row r="141" spans="1:12">
      <c r="A141" s="590" t="s">
        <v>155</v>
      </c>
      <c r="B141" s="591"/>
      <c r="C141" s="805">
        <f>IF(ISNA(VLOOKUP("eu645100000",Balance!C:G,5,FALSE))=TRUE,0,VLOOKUP("eu645100000",Balance!C:G,5,FALSE))</f>
        <v>28848.400000000001</v>
      </c>
      <c r="D141" s="619">
        <f>+[2]Eu!$H141</f>
        <v>44530.962616356897</v>
      </c>
      <c r="E141" s="805">
        <f>IF(ISNA(VLOOKUP("eu645100000",Balanceanp!C:G,5,FALSE))=TRUE,0,VLOOKUP("eu645100000",Balanceanp!C:G,5,FALSE))</f>
        <v>43111.16</v>
      </c>
      <c r="F141" s="593">
        <f>+C141+C141/9*(12-Clients!$I$14)</f>
        <v>38464.533333333333</v>
      </c>
      <c r="G141" s="1030">
        <f t="shared" ref="G141:G146" si="15">+($G$131/$C$131*C141)*1.01</f>
        <v>38969.821086263939</v>
      </c>
      <c r="H141" s="1030"/>
      <c r="I141" s="1013">
        <f t="shared" si="13"/>
        <v>-0.10778245509206132</v>
      </c>
      <c r="J141" s="1014">
        <f t="shared" si="13"/>
        <v>1.3136458683946235E-2</v>
      </c>
      <c r="L141" s="17">
        <f t="shared" si="14"/>
        <v>1</v>
      </c>
    </row>
    <row r="142" spans="1:12">
      <c r="A142" s="590" t="s">
        <v>156</v>
      </c>
      <c r="B142" s="591"/>
      <c r="C142" s="805">
        <f>IF(ISNA(VLOOKUP("eu645200000",Balance!C:G,5,FALSE))=TRUE,0,VLOOKUP("eu645200000",Balance!C:G,5,FALSE))</f>
        <v>4851.1500000000005</v>
      </c>
      <c r="D142" s="619">
        <f>+[2]Eu!$H142</f>
        <v>5696.4434106001891</v>
      </c>
      <c r="E142" s="805">
        <f>IF(ISNA(VLOOKUP("eu645200000",Balanceanp!C:G,5,FALSE))=TRUE,0,VLOOKUP("eu645200000",Balanceanp!C:G,5,FALSE))</f>
        <v>5620.84</v>
      </c>
      <c r="F142" s="593">
        <f>+C142+C142/9*(12-Clients!$I$14)</f>
        <v>6468.2000000000007</v>
      </c>
      <c r="G142" s="1030">
        <f t="shared" si="15"/>
        <v>6553.1692420595009</v>
      </c>
      <c r="H142" s="1030"/>
      <c r="I142" s="1013">
        <f t="shared" si="13"/>
        <v>0.15075326819478949</v>
      </c>
      <c r="J142" s="1014">
        <f t="shared" si="13"/>
        <v>1.31364586839461E-2</v>
      </c>
      <c r="L142" s="17">
        <f t="shared" si="14"/>
        <v>1</v>
      </c>
    </row>
    <row r="143" spans="1:12">
      <c r="A143" s="590" t="s">
        <v>157</v>
      </c>
      <c r="B143" s="591"/>
      <c r="C143" s="805">
        <f>IF(ISNA(VLOOKUP("eu645300000",Balance!C:G,5,FALSE))=TRUE,0,VLOOKUP("eu645300000",Balance!C:G,5,FALSE))</f>
        <v>7739.9199999999992</v>
      </c>
      <c r="D143" s="619">
        <f>+[2]Eu!$H143</f>
        <v>10925.919410223829</v>
      </c>
      <c r="E143" s="805">
        <f>IF(ISNA(VLOOKUP("eu645300000",Balanceanp!C:G,5,FALSE))=TRUE,0,VLOOKUP("eu645300000",Balanceanp!C:G,5,FALSE))</f>
        <v>10928.15</v>
      </c>
      <c r="F143" s="593">
        <f>+C143+C143/9*(12-Clients!$I$14)</f>
        <v>10319.893333333332</v>
      </c>
      <c r="G143" s="1030">
        <f t="shared" si="15"/>
        <v>10455.460185729396</v>
      </c>
      <c r="H143" s="1030"/>
      <c r="I143" s="1013">
        <f t="shared" si="13"/>
        <v>-5.565961911821013E-2</v>
      </c>
      <c r="J143" s="1014">
        <f t="shared" si="13"/>
        <v>1.3136458683946172E-2</v>
      </c>
      <c r="L143" s="17">
        <f t="shared" si="14"/>
        <v>1</v>
      </c>
    </row>
    <row r="144" spans="1:12" hidden="1">
      <c r="A144" s="5" t="s">
        <v>326</v>
      </c>
      <c r="B144" s="92"/>
      <c r="C144" s="160">
        <f>IF(ISNA(VLOOKUP("eu645310000",Balance!C:G,5,FALSE))=TRUE,0,VLOOKUP("eu645310000",Balance!C:G,5,FALSE))</f>
        <v>0</v>
      </c>
      <c r="D144" s="117">
        <f>+[2]Eu!$H144</f>
        <v>0</v>
      </c>
      <c r="E144" s="160">
        <f>IF(ISNA(VLOOKUP("eu645310000",Balanceanp!C:G,5,FALSE))=TRUE,0,VLOOKUP("eu645310000",Balanceanp!C:G,5,FALSE))</f>
        <v>0</v>
      </c>
      <c r="F144" s="368">
        <f>+C144+C144/9*(12-Clients!$I$14)</f>
        <v>0</v>
      </c>
      <c r="G144" s="396">
        <f t="shared" si="15"/>
        <v>0</v>
      </c>
      <c r="H144" s="409"/>
      <c r="I144" s="149">
        <f t="shared" si="13"/>
        <v>0</v>
      </c>
      <c r="J144" s="271">
        <f t="shared" si="13"/>
        <v>0</v>
      </c>
      <c r="L144" s="17">
        <f t="shared" si="14"/>
        <v>0</v>
      </c>
    </row>
    <row r="145" spans="1:12">
      <c r="A145" s="590" t="s">
        <v>158</v>
      </c>
      <c r="B145" s="591"/>
      <c r="C145" s="805">
        <f>IF(ISNA(VLOOKUP("eu645400000",Balance!C:G,5,FALSE))=TRUE,0,VLOOKUP("eu645400000",Balance!C:G,5,FALSE))</f>
        <v>5717.67</v>
      </c>
      <c r="D145" s="619">
        <f>+[2]Eu!$H145</f>
        <v>7656.4288148418154</v>
      </c>
      <c r="E145" s="805">
        <f>IF(ISNA(VLOOKUP("eu645400000",Balanceanp!C:G,5,FALSE))=TRUE,0,VLOOKUP("eu645400000",Balanceanp!C:G,5,FALSE))</f>
        <v>7747.87</v>
      </c>
      <c r="F145" s="593">
        <f>+C145+C145/9*(12-Clients!$I$14)</f>
        <v>7623.5599999999995</v>
      </c>
      <c r="G145" s="1030">
        <f t="shared" si="15"/>
        <v>7723.7065809645837</v>
      </c>
      <c r="H145" s="1030"/>
      <c r="I145" s="1013">
        <f t="shared" si="13"/>
        <v>-1.6044409624838878E-2</v>
      </c>
      <c r="J145" s="1014">
        <f t="shared" si="13"/>
        <v>1.3136458683946115E-2</v>
      </c>
      <c r="L145" s="17">
        <f t="shared" si="14"/>
        <v>1</v>
      </c>
    </row>
    <row r="146" spans="1:12" hidden="1">
      <c r="A146" s="5" t="s">
        <v>159</v>
      </c>
      <c r="B146" s="92"/>
      <c r="C146" s="160">
        <f>IF(ISNA(VLOOKUP("eu645800000",Balance!C:G,5,FALSE))=TRUE,0,VLOOKUP("eu645800000",Balance!C:G,5,FALSE))</f>
        <v>0</v>
      </c>
      <c r="D146" s="117">
        <f>+[2]Eu!$H146</f>
        <v>0</v>
      </c>
      <c r="E146" s="160">
        <f>IF(ISNA(VLOOKUP("eu645800000",Balanceanp!C:G,5,FALSE))=TRUE,0,VLOOKUP("eu645800000",Balanceanp!C:G,5,FALSE))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4"/>
        <v>0</v>
      </c>
    </row>
    <row r="147" spans="1:12">
      <c r="A147" s="590" t="s">
        <v>160</v>
      </c>
      <c r="B147" s="591"/>
      <c r="C147" s="805">
        <f>IF(ISNA(VLOOKUP("eu645900000",Balance!C:G,5,FALSE))=TRUE,0,VLOOKUP("eu645900000",Balance!C:G,5,FALSE))</f>
        <v>116.44</v>
      </c>
      <c r="D147" s="619">
        <f>+[2]Eu!$H147</f>
        <v>125.47970416499999</v>
      </c>
      <c r="E147" s="805">
        <f>IF(ISNA(VLOOKUP("eu645900000",Balanceanp!C:G,5,FALSE))=TRUE,0,VLOOKUP("eu645900000",Balanceanp!C:G,5,FALSE))</f>
        <v>13.83</v>
      </c>
      <c r="F147" s="593">
        <f>+C147+C147/9*(12-Clients!$I$14)</f>
        <v>155.25333333333333</v>
      </c>
      <c r="G147" s="1030">
        <f>+F147*1.03</f>
        <v>159.91093333333333</v>
      </c>
      <c r="H147" s="1030"/>
      <c r="I147" s="1013">
        <f t="shared" ref="I147:J152" si="16">+IF((E147)=0,,(F147-E147)/E147)</f>
        <v>10.225837551217159</v>
      </c>
      <c r="J147" s="1014">
        <f t="shared" si="16"/>
        <v>3.0000000000000016E-2</v>
      </c>
      <c r="L147" s="17">
        <f t="shared" si="14"/>
        <v>1</v>
      </c>
    </row>
    <row r="148" spans="1:12">
      <c r="A148" s="590" t="s">
        <v>161</v>
      </c>
      <c r="B148" s="591"/>
      <c r="C148" s="805">
        <f>IF(ISNA(VLOOKUP("eu647100000",Balance!C:G,5,FALSE))=TRUE,0,VLOOKUP("eu647100000",Balance!C:G,5,FALSE))</f>
        <v>0</v>
      </c>
      <c r="D148" s="619">
        <f>+[2]Eu!$H148</f>
        <v>86.53155260874999</v>
      </c>
      <c r="E148" s="805">
        <f>IF(ISNA(VLOOKUP("eu647100000",Balanceanp!C:G,5,FALSE))=TRUE,0,VLOOKUP("eu647100000",Balanceanp!C:G,5,FALSE))</f>
        <v>39.6</v>
      </c>
      <c r="F148" s="593">
        <f>+C148+C148/9*(12-Clients!$I$14)</f>
        <v>0</v>
      </c>
      <c r="G148" s="1030">
        <f>+F148*1.03</f>
        <v>0</v>
      </c>
      <c r="H148" s="1030"/>
      <c r="I148" s="1013">
        <f t="shared" si="16"/>
        <v>-1</v>
      </c>
      <c r="J148" s="1014">
        <f t="shared" si="16"/>
        <v>0</v>
      </c>
      <c r="L148" s="17">
        <f t="shared" si="14"/>
        <v>1</v>
      </c>
    </row>
    <row r="149" spans="1:12">
      <c r="A149" s="590" t="s">
        <v>162</v>
      </c>
      <c r="B149" s="591"/>
      <c r="C149" s="805">
        <f>IF(ISNA(VLOOKUP("eu647400000",Balance!C:G,5,FALSE))=TRUE,0,VLOOKUP("eu647400000",Balance!C:G,5,FALSE))</f>
        <v>0</v>
      </c>
      <c r="D149" s="619">
        <f>+[2]Eu!$H149</f>
        <v>208.31567175000001</v>
      </c>
      <c r="E149" s="805">
        <f>IF(ISNA(VLOOKUP("eu647400000",Balanceanp!C:G,5,FALSE))=TRUE,0,VLOOKUP("eu647400000",Balanceanp!C:G,5,FALSE))</f>
        <v>100.36</v>
      </c>
      <c r="F149" s="593">
        <f>+C149+C149/9*(12-Clients!$I$14)</f>
        <v>0</v>
      </c>
      <c r="G149" s="1030">
        <f>+F149*1.03</f>
        <v>0</v>
      </c>
      <c r="H149" s="1030"/>
      <c r="I149" s="1013">
        <f t="shared" si="16"/>
        <v>-1</v>
      </c>
      <c r="J149" s="1014">
        <f t="shared" si="16"/>
        <v>0</v>
      </c>
      <c r="L149" s="17">
        <f t="shared" si="14"/>
        <v>1</v>
      </c>
    </row>
    <row r="150" spans="1:12">
      <c r="A150" s="590" t="s">
        <v>163</v>
      </c>
      <c r="B150" s="591"/>
      <c r="C150" s="805">
        <f>IF(ISNA(VLOOKUP("eu647500000",Balance!C:G,5,FALSE))=TRUE,0,VLOOKUP("eu647500000",Balance!C:G,5,FALSE))</f>
        <v>715.3</v>
      </c>
      <c r="D150" s="619">
        <f>+[2]Eu!$H150</f>
        <v>1003.8215938773581</v>
      </c>
      <c r="E150" s="805">
        <f>IF(ISNA(VLOOKUP("eu647500000",Balanceanp!C:G,5,FALSE))=TRUE,0,VLOOKUP("eu647500000",Balanceanp!C:G,5,FALSE))</f>
        <v>722.05</v>
      </c>
      <c r="F150" s="593">
        <f>+C150+C150/9*(12-Clients!$I$14)</f>
        <v>953.73333333333335</v>
      </c>
      <c r="G150" s="1030">
        <f>+F150*1.03</f>
        <v>982.34533333333343</v>
      </c>
      <c r="H150" s="1030"/>
      <c r="I150" s="1013">
        <f t="shared" si="16"/>
        <v>0.32086882256538107</v>
      </c>
      <c r="J150" s="1014">
        <f t="shared" si="16"/>
        <v>3.0000000000000082E-2</v>
      </c>
      <c r="L150" s="17">
        <f t="shared" si="14"/>
        <v>1</v>
      </c>
    </row>
    <row r="151" spans="1:12" hidden="1">
      <c r="A151" s="5" t="s">
        <v>570</v>
      </c>
      <c r="B151" s="92"/>
      <c r="C151" s="160"/>
      <c r="D151" s="117">
        <f>+[2]Eu!$H151</f>
        <v>0</v>
      </c>
      <c r="E151" s="160"/>
      <c r="F151" s="368"/>
      <c r="G151" s="395"/>
      <c r="H151" s="409"/>
      <c r="I151" s="149"/>
      <c r="J151" s="271"/>
      <c r="L151" s="17">
        <f t="shared" si="14"/>
        <v>0</v>
      </c>
    </row>
    <row r="152" spans="1:12">
      <c r="A152" s="590" t="s">
        <v>58</v>
      </c>
      <c r="B152" s="591"/>
      <c r="C152" s="805">
        <f>IF(ISNA(VLOOKUP("eu648000000",Balance!C:G,5,FALSE))=TRUE,0,VLOOKUP("eu648000000",Balance!C:G,5,FALSE))</f>
        <v>0</v>
      </c>
      <c r="D152" s="619">
        <f>+[2]Eu!$H152</f>
        <v>3449.7308475</v>
      </c>
      <c r="E152" s="805">
        <f>IF(ISNA(VLOOKUP("eu648000000",Balanceanp!C:G,5,FALSE))=TRUE,0,VLOOKUP("eu648000000",Balanceanp!C:G,5,FALSE))</f>
        <v>24583.875439999996</v>
      </c>
      <c r="F152" s="593">
        <f>+C152+C152/9*(12-Clients!$I$14)</f>
        <v>0</v>
      </c>
      <c r="G152" s="1030">
        <f>+F152*1.03</f>
        <v>0</v>
      </c>
      <c r="H152" s="1030">
        <f>SUM(G141:G152)</f>
        <v>64844.413361684085</v>
      </c>
      <c r="I152" s="1013">
        <f t="shared" si="16"/>
        <v>-1</v>
      </c>
      <c r="J152" s="1014">
        <f t="shared" si="16"/>
        <v>0</v>
      </c>
      <c r="L152" s="17">
        <f t="shared" si="14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13" t="s">
        <v>164</v>
      </c>
      <c r="B154" s="596">
        <f>+C154/$C$21</f>
        <v>0.21045850314340439</v>
      </c>
      <c r="C154" s="803">
        <f>SUM(C130:C153)</f>
        <v>191967.96</v>
      </c>
      <c r="D154" s="597">
        <f>SUM(D130:D153)</f>
        <v>274776.38955134072</v>
      </c>
      <c r="E154" s="803">
        <f>SUM(E130:E153)</f>
        <v>294810.13543999993</v>
      </c>
      <c r="F154" s="597">
        <f>SUM(F130:F153)</f>
        <v>255957.28000000003</v>
      </c>
      <c r="G154" s="597">
        <f>SUM(G130:G153)</f>
        <v>248306.41336168407</v>
      </c>
      <c r="H154" s="814">
        <f>+G154/$G$21</f>
        <v>0.19519854895024261</v>
      </c>
      <c r="I154" s="596">
        <f>+IF((E154)=0,,(F154-E154)/E154)</f>
        <v>-0.13178941552335902</v>
      </c>
      <c r="J154" s="1015">
        <f>+IF((F154)=0,,(G154-F154)/F154)</f>
        <v>-2.9891185897568364E-2</v>
      </c>
      <c r="K154" s="136">
        <f>(C154+(C154/3))</f>
        <v>255957.28</v>
      </c>
      <c r="L154" s="17">
        <f t="shared" si="14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590" t="s">
        <v>545</v>
      </c>
      <c r="B156" s="591">
        <v>0.34489999999999998</v>
      </c>
      <c r="C156" s="805">
        <f>IF(ISNA(VLOOKUP("eu681740000",Balance!C:G,5,FALSE))=TRUE,0,VLOOKUP("eu681740000",Balance!C:G,5,FALSE))</f>
        <v>2352.04</v>
      </c>
      <c r="D156" s="619">
        <f>+[2]Eu!$H156</f>
        <v>7469.8910596799988</v>
      </c>
      <c r="E156" s="805">
        <f>IF(ISNA(VLOOKUP("eu681740000",Balanceanp!C:G,5,FALSE))=TRUE,0,VLOOKUP("eu681740000",Balanceanp!C:G,5,FALSE))</f>
        <v>0</v>
      </c>
      <c r="F156" s="593">
        <f>+C156+C156/9*(12-Clients!$I$14)</f>
        <v>3136.0533333333333</v>
      </c>
      <c r="G156" s="636">
        <f>+G21*B156*1.62%</f>
        <v>7107.5440639800008</v>
      </c>
      <c r="H156" s="1034"/>
      <c r="I156" s="1013">
        <f t="shared" ref="I156:J166" si="17">+IF((E156)=0,,(F156-E156)/E156)</f>
        <v>0</v>
      </c>
      <c r="J156" s="1014">
        <f t="shared" si="17"/>
        <v>1.2663977007129983</v>
      </c>
      <c r="L156" s="17">
        <f t="shared" si="14"/>
        <v>1</v>
      </c>
    </row>
    <row r="157" spans="1:12">
      <c r="A157" s="590" t="s">
        <v>165</v>
      </c>
      <c r="B157" s="591"/>
      <c r="C157" s="805">
        <f>IF(ISNA(VLOOKUP("eu781740000",Balance!C:G,5,FALSE))=TRUE,0,VLOOKUP("eu781740000",Balance!C:G,5,FALSE))</f>
        <v>-238.23</v>
      </c>
      <c r="D157" s="619">
        <f>+[2]Eu!$H157</f>
        <v>0</v>
      </c>
      <c r="E157" s="805">
        <f>IF(ISNA(VLOOKUP("eu781740000",Balanceanp!C:G,5,FALSE))=TRUE,0,VLOOKUP("eu781740000",Balanceanp!C:G,5,FALSE))</f>
        <v>-395.33</v>
      </c>
      <c r="F157" s="593">
        <f>+C157+C157/9*(12-Clients!$I$14)</f>
        <v>-317.64</v>
      </c>
      <c r="G157" s="1030">
        <v>0</v>
      </c>
      <c r="H157" s="1030"/>
      <c r="I157" s="1013">
        <f t="shared" si="17"/>
        <v>-0.19651936356967598</v>
      </c>
      <c r="J157" s="1014">
        <f t="shared" si="17"/>
        <v>-1</v>
      </c>
      <c r="L157" s="17">
        <f t="shared" si="14"/>
        <v>1</v>
      </c>
    </row>
    <row r="158" spans="1:12">
      <c r="A158" s="590" t="s">
        <v>166</v>
      </c>
      <c r="B158" s="591"/>
      <c r="C158" s="805">
        <f>IF(ISNA(VLOOKUP("eu654400000",Balance!C:G,5,FALSE))=TRUE,0,VLOOKUP("eu654400000",Balance!C:G,5,FALSE))</f>
        <v>238.23</v>
      </c>
      <c r="D158" s="619">
        <f>+[2]Eu!$H158</f>
        <v>0</v>
      </c>
      <c r="E158" s="805">
        <f>IF(ISNA(VLOOKUP("eu654400000",Balanceanp!C:G,5,FALSE))=TRUE,0,VLOOKUP("eu654400000",Balanceanp!C:G,5,FALSE))</f>
        <v>0</v>
      </c>
      <c r="F158" s="593">
        <f>+C158+C158/9*(12-Clients!$I$14)</f>
        <v>317.64</v>
      </c>
      <c r="G158" s="1030">
        <v>0</v>
      </c>
      <c r="H158" s="1030"/>
      <c r="I158" s="1013">
        <f t="shared" si="17"/>
        <v>0</v>
      </c>
      <c r="J158" s="1014">
        <f t="shared" si="17"/>
        <v>-1</v>
      </c>
      <c r="L158" s="17">
        <f t="shared" si="14"/>
        <v>1</v>
      </c>
    </row>
    <row r="159" spans="1:12" hidden="1">
      <c r="A159" s="5" t="s">
        <v>60</v>
      </c>
      <c r="B159" s="92"/>
      <c r="C159" s="160">
        <f>IF(ISNA(VLOOKUP("eu791100000",Balance!C:G,5,FALSE))=TRUE,0,VLOOKUP("eu791100000",Balance!C:G,5,FALSE))</f>
        <v>0</v>
      </c>
      <c r="D159" s="117">
        <f>+[2]Eu!$H159</f>
        <v>0</v>
      </c>
      <c r="E159" s="160">
        <f>IF(ISNA(VLOOKUP("eu791100000",Balanceanp!C:G,5,FALSE))=TRUE,0,VLOOKUP("eu791100000",Balanceanp!C:G,5,FALSE))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7"/>
        <v>0</v>
      </c>
      <c r="J159" s="271">
        <f t="shared" si="17"/>
        <v>0</v>
      </c>
      <c r="L159" s="17">
        <f t="shared" si="14"/>
        <v>0</v>
      </c>
    </row>
    <row r="160" spans="1:12">
      <c r="A160" s="590" t="s">
        <v>199</v>
      </c>
      <c r="B160" s="591"/>
      <c r="C160" s="805">
        <f>IF(ISNA(VLOOKUP("eu654100000",Balance!C:G,5,FALSE))=TRUE,0,VLOOKUP("eu654100000",Balance!C:G,5,FALSE))</f>
        <v>98.96</v>
      </c>
      <c r="D160" s="619">
        <f>+[2]Eu!$H160</f>
        <v>0</v>
      </c>
      <c r="E160" s="805">
        <f>IF(ISNA(VLOOKUP("eu654100000",Balanceanp!C:G,5,FALSE))=TRUE,0,VLOOKUP("eu654100000",Balanceanp!C:G,5,FALSE))</f>
        <v>-1.96</v>
      </c>
      <c r="F160" s="593">
        <f>+C160+C160/9*(12-Clients!$I$14)</f>
        <v>131.94666666666666</v>
      </c>
      <c r="G160" s="1030">
        <v>0</v>
      </c>
      <c r="H160" s="1030"/>
      <c r="I160" s="1013">
        <f t="shared" si="17"/>
        <v>-68.319727891156461</v>
      </c>
      <c r="J160" s="1014">
        <f t="shared" si="17"/>
        <v>-1</v>
      </c>
      <c r="L160" s="17">
        <f t="shared" si="14"/>
        <v>1</v>
      </c>
    </row>
    <row r="161" spans="1:12">
      <c r="A161" s="590" t="s">
        <v>41</v>
      </c>
      <c r="B161" s="591"/>
      <c r="C161" s="805">
        <f>IF(ISNA(VLOOKUP("eu622700000",Balance!C:G,5,FALSE))=TRUE,0,VLOOKUP("eu622700000",Balance!C:G,5,FALSE))</f>
        <v>38.869999999999997</v>
      </c>
      <c r="D161" s="619">
        <f>+[2]Eu!$H161</f>
        <v>2.8023135682638891</v>
      </c>
      <c r="E161" s="805">
        <f>IF(ISNA(VLOOKUP("eu622700000",Balanceanp!C:G,5,FALSE))=TRUE,0,VLOOKUP("eu622700000",Balanceanp!C:G,5,FALSE))</f>
        <v>0</v>
      </c>
      <c r="F161" s="593">
        <f>+C161+C161/9*(12-Clients!$I$14)</f>
        <v>51.826666666666668</v>
      </c>
      <c r="G161" s="1030">
        <f t="shared" ref="G161:G166" si="18">+F161*1.03</f>
        <v>53.381466666666668</v>
      </c>
      <c r="H161" s="1030"/>
      <c r="I161" s="1013">
        <f t="shared" si="17"/>
        <v>0</v>
      </c>
      <c r="J161" s="1014">
        <f t="shared" si="17"/>
        <v>3.0000000000000002E-2</v>
      </c>
      <c r="L161" s="17">
        <f t="shared" si="14"/>
        <v>1</v>
      </c>
    </row>
    <row r="162" spans="1:12">
      <c r="A162" s="590" t="s">
        <v>355</v>
      </c>
      <c r="B162" s="591"/>
      <c r="C162" s="805">
        <f>IF(ISNA(VLOOKUP("eu654200000",Balance!C:G,5,FALSE))=TRUE,0,VLOOKUP("eu654200000",Balance!C:G,5,FALSE))</f>
        <v>21.54</v>
      </c>
      <c r="D162" s="619">
        <f>+[2]Eu!$H162</f>
        <v>9.8647353961513886</v>
      </c>
      <c r="E162" s="805">
        <f>IF(ISNA(VLOOKUP("eu654200000",Balanceanp!C:G,5,FALSE))=TRUE,0,VLOOKUP("eu654200000",Balanceanp!C:G,5,FALSE))</f>
        <v>13.77</v>
      </c>
      <c r="F162" s="593">
        <f>+C162+C162/9*(12-Clients!$I$14)</f>
        <v>28.72</v>
      </c>
      <c r="G162" s="1030">
        <f t="shared" si="18"/>
        <v>29.581599999999998</v>
      </c>
      <c r="H162" s="1030"/>
      <c r="I162" s="1013">
        <f t="shared" si="17"/>
        <v>1.0856935366739289</v>
      </c>
      <c r="J162" s="1014">
        <f t="shared" si="17"/>
        <v>2.9999999999999975E-2</v>
      </c>
      <c r="L162" s="17">
        <f t="shared" si="14"/>
        <v>1</v>
      </c>
    </row>
    <row r="163" spans="1:12">
      <c r="A163" s="590" t="s">
        <v>200</v>
      </c>
      <c r="B163" s="591"/>
      <c r="C163" s="805">
        <f>IF(ISNA(VLOOKUP("EU665000000",Balance!C:G,5,FALSE))=TRUE,0,VLOOKUP("EU665000000",Balance!C:G,5,FALSE))+IF(ISNA(VLOOKUP("EU665100000",Balance!C:G,5,FALSE))=TRUE,0,VLOOKUP("EU665100000",Balance!C:G,5,FALSE))</f>
        <v>100.79</v>
      </c>
      <c r="D163" s="619">
        <f>+[2]Eu!$H163</f>
        <v>89.64369381734862</v>
      </c>
      <c r="E163" s="805">
        <f>IF(ISNA(VLOOKUP("EU665000000",Balanceanp!C:G,5,FALSE))=TRUE,0,VLOOKUP("EU665000000",Balanceanp!C:G,5,FALSE))+IF(ISNA(VLOOKUP("EU665100000",Balanceanp!C:G,5,FALSE))=TRUE,0,VLOOKUP("EU665100000",Balanceanp!C:G,5,FALSE))</f>
        <v>15.86</v>
      </c>
      <c r="F163" s="593">
        <f>+C163+C163/9*(12-Clients!$I$14)</f>
        <v>134.38666666666668</v>
      </c>
      <c r="G163" s="1030">
        <f t="shared" si="18"/>
        <v>138.41826666666668</v>
      </c>
      <c r="H163" s="1030"/>
      <c r="I163" s="1013">
        <f t="shared" si="17"/>
        <v>7.4733081126523766</v>
      </c>
      <c r="J163" s="1014">
        <f t="shared" si="17"/>
        <v>2.9999999999999978E-2</v>
      </c>
      <c r="L163" s="17">
        <f t="shared" si="14"/>
        <v>1</v>
      </c>
    </row>
    <row r="164" spans="1:12">
      <c r="A164" s="590" t="s">
        <v>271</v>
      </c>
      <c r="B164" s="591"/>
      <c r="C164" s="805">
        <f>IF(ISNA(VLOOKUP("EU763000000",Balance!C:G,5,FALSE))=TRUE,0,VLOOKUP("EU763000000",Balance!C:G,5,FALSE))</f>
        <v>-9</v>
      </c>
      <c r="D164" s="619">
        <f>+[2]Eu!$H164</f>
        <v>-34.607771468750002</v>
      </c>
      <c r="E164" s="805">
        <f>IF(ISNA(VLOOKUP("EU763000000",Balanceanp!C:G,5,FALSE))=TRUE,0,VLOOKUP("EU763000000",Balanceanp!C:G,5,FALSE))</f>
        <v>-36</v>
      </c>
      <c r="F164" s="593">
        <f>+C164+C164/9*(12-Clients!$I$14)</f>
        <v>-12</v>
      </c>
      <c r="G164" s="1030">
        <f t="shared" si="18"/>
        <v>-12.36</v>
      </c>
      <c r="H164" s="1030"/>
      <c r="I164" s="1013">
        <f t="shared" si="17"/>
        <v>-0.66666666666666663</v>
      </c>
      <c r="J164" s="1014">
        <f t="shared" si="17"/>
        <v>2.9999999999999954E-2</v>
      </c>
      <c r="L164" s="17">
        <f t="shared" si="14"/>
        <v>1</v>
      </c>
    </row>
    <row r="165" spans="1:12">
      <c r="A165" s="590" t="s">
        <v>242</v>
      </c>
      <c r="B165" s="591"/>
      <c r="C165" s="805">
        <f>IF(ISNA(VLOOKUP("EU627520000",Balance!C:G,5,FALSE))=TRUE,0,VLOOKUP("EU627520000",Balance!C:G,5,FALSE))</f>
        <v>57.54</v>
      </c>
      <c r="D165" s="619">
        <f>+[2]Eu!$H165</f>
        <v>113.04010637978125</v>
      </c>
      <c r="E165" s="805">
        <f>IF(ISNA(VLOOKUP("EU627520000",Balanceanp!C:G,5,FALSE))=TRUE,0,VLOOKUP("EU627520000",Balanceanp!C:G,5,FALSE))</f>
        <v>106.8</v>
      </c>
      <c r="F165" s="593">
        <f>+C165+C165/9*(12-Clients!$I$14)</f>
        <v>76.72</v>
      </c>
      <c r="G165" s="1030">
        <f t="shared" si="18"/>
        <v>79.021600000000007</v>
      </c>
      <c r="H165" s="1030"/>
      <c r="I165" s="1013">
        <f t="shared" si="17"/>
        <v>-0.28164794007490634</v>
      </c>
      <c r="J165" s="1014">
        <f t="shared" si="17"/>
        <v>3.00000000000001E-2</v>
      </c>
      <c r="L165" s="17">
        <f t="shared" si="14"/>
        <v>1</v>
      </c>
    </row>
    <row r="166" spans="1:12" hidden="1">
      <c r="A166" s="5" t="s">
        <v>201</v>
      </c>
      <c r="B166" s="92"/>
      <c r="C166" s="160">
        <f>IF(ISNA(VLOOKUP("eu763100000",Balance!C:G,5,FALSE))=TRUE,0,VLOOKUP("eu763100000",Balance!C:G,5,FALSE))</f>
        <v>0</v>
      </c>
      <c r="D166" s="117">
        <f>+[2]Eu!$H166</f>
        <v>0</v>
      </c>
      <c r="E166" s="160">
        <f>IF(ISNA(VLOOKUP("eu763100000",Balanceanp!C:G,5,FALSE))=TRUE,0,VLOOKUP("eu763100000",Balanceanp!C:G,5,FALSE))</f>
        <v>0</v>
      </c>
      <c r="F166" s="368">
        <f>+C166+C166/9*(12-Clients!$I$14)</f>
        <v>0</v>
      </c>
      <c r="G166" s="396">
        <f t="shared" si="18"/>
        <v>0</v>
      </c>
      <c r="H166" s="409"/>
      <c r="I166" s="149">
        <f t="shared" si="17"/>
        <v>0</v>
      </c>
      <c r="J166" s="271">
        <f t="shared" si="17"/>
        <v>0</v>
      </c>
      <c r="L166" s="17">
        <f t="shared" si="14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13" t="s">
        <v>74</v>
      </c>
      <c r="B168" s="596">
        <f>+C168/$C$21</f>
        <v>2.9170250996769552E-3</v>
      </c>
      <c r="C168" s="803">
        <f>SUM(C155:C167)</f>
        <v>2660.74</v>
      </c>
      <c r="D168" s="597">
        <f>SUM(D155:D167)</f>
        <v>7650.6341373727937</v>
      </c>
      <c r="E168" s="803">
        <f>SUM(E155:E167)</f>
        <v>-296.85999999999996</v>
      </c>
      <c r="F168" s="597">
        <f>SUM(F155:F167)</f>
        <v>3547.6533333333332</v>
      </c>
      <c r="G168" s="597">
        <f>SUM(G155:G167)</f>
        <v>7395.5869973133349</v>
      </c>
      <c r="H168" s="814">
        <f>+G168/$G$21</f>
        <v>5.8138162078322161E-3</v>
      </c>
      <c r="I168" s="596">
        <f>+IF((E168)=0,,(F168-E168)/E168)</f>
        <v>-12.950593994924658</v>
      </c>
      <c r="J168" s="1015">
        <f>+IF((F168)=0,,(G168-F168)/F168)</f>
        <v>1.0846419597499197</v>
      </c>
      <c r="K168" s="136">
        <f>(C168+(C168/3))</f>
        <v>3547.6533333333332</v>
      </c>
      <c r="L168" s="17">
        <f t="shared" si="14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 hidden="1">
      <c r="A170" s="5" t="s">
        <v>167</v>
      </c>
      <c r="B170" s="92"/>
      <c r="C170" s="160">
        <f>IF(ISNA(VLOOKUP("eu651100000",Balance!C:G,5,FALSE))=TRUE,0,VLOOKUP("eu651100000",Balance!C:G,5,FALSE))</f>
        <v>0</v>
      </c>
      <c r="D170" s="117">
        <f>+[2]Eu!$H170</f>
        <v>0</v>
      </c>
      <c r="E170" s="160">
        <f>IF(ISNA(VLOOKUP("eu651100000",Balanceanp!C:G,5,FALSE))=TRUE,0,VLOOKUP("eu651100000",Balanceanp!C:G,5,FALSE))</f>
        <v>0</v>
      </c>
      <c r="F170" s="368">
        <f>+C170+C170/9*(12-Clients!$I$14)</f>
        <v>0</v>
      </c>
      <c r="G170" s="396">
        <f t="shared" ref="G170:G183" si="19">+F170*1.03</f>
        <v>0</v>
      </c>
      <c r="H170" s="409"/>
      <c r="I170" s="149">
        <f t="shared" ref="I170:J183" si="20">+IF((E170)=0,,(F170-E170)/E170)</f>
        <v>0</v>
      </c>
      <c r="J170" s="271">
        <f t="shared" si="20"/>
        <v>0</v>
      </c>
      <c r="L170" s="17">
        <f t="shared" si="14"/>
        <v>0</v>
      </c>
    </row>
    <row r="171" spans="1:12">
      <c r="A171" s="590" t="s">
        <v>168</v>
      </c>
      <c r="B171" s="591"/>
      <c r="C171" s="805">
        <f>IF(ISNA(VLOOKUP("eu651600000",Balance!C:G,5,FALSE))=TRUE,0,VLOOKUP("eu651600000",Balance!C:G,5,FALSE))</f>
        <v>592.45000000000005</v>
      </c>
      <c r="D171" s="619">
        <f>+[2]Eu!$H171</f>
        <v>816.6551905219095</v>
      </c>
      <c r="E171" s="805">
        <f>IF(ISNA(VLOOKUP("eu651600000",Balanceanp!C:G,5,FALSE))=TRUE,0,VLOOKUP("eu651600000",Balanceanp!C:G,5,FALSE))</f>
        <v>597.47</v>
      </c>
      <c r="F171" s="593">
        <f>+C171+C171/9*(12-Clients!$I$14)</f>
        <v>789.93333333333339</v>
      </c>
      <c r="G171" s="1030">
        <f t="shared" si="19"/>
        <v>813.63133333333337</v>
      </c>
      <c r="H171" s="1030"/>
      <c r="I171" s="1013">
        <f t="shared" si="20"/>
        <v>0.32213053932972929</v>
      </c>
      <c r="J171" s="1014">
        <f t="shared" si="20"/>
        <v>2.9999999999999971E-2</v>
      </c>
      <c r="L171" s="17">
        <f t="shared" si="14"/>
        <v>1</v>
      </c>
    </row>
    <row r="172" spans="1:12" hidden="1">
      <c r="A172" s="5" t="s">
        <v>169</v>
      </c>
      <c r="B172" s="92"/>
      <c r="C172" s="160">
        <f>IF(ISNA(VLOOKUP("eu671200000",Balance!C:G,5,FALSE))=TRUE,0,VLOOKUP("eu671200000",Balance!C:G,5,FALSE))</f>
        <v>0</v>
      </c>
      <c r="D172" s="117">
        <f>+[2]Eu!$H172</f>
        <v>0</v>
      </c>
      <c r="E172" s="160">
        <f>IF(ISNA(VLOOKUP("eu671200000",Balanceanp!C:G,5,FALSE))=TRUE,0,VLOOKUP("eu671200000",Balanceanp!C:G,5,FALSE))</f>
        <v>0</v>
      </c>
      <c r="F172" s="368">
        <f>+C172+C172/9*(12-Clients!$I$14)</f>
        <v>0</v>
      </c>
      <c r="G172" s="396">
        <f t="shared" si="19"/>
        <v>0</v>
      </c>
      <c r="H172" s="409"/>
      <c r="I172" s="149">
        <f t="shared" si="20"/>
        <v>0</v>
      </c>
      <c r="J172" s="271">
        <f t="shared" si="20"/>
        <v>0</v>
      </c>
      <c r="L172" s="17">
        <f t="shared" si="14"/>
        <v>0</v>
      </c>
    </row>
    <row r="173" spans="1:12">
      <c r="A173" s="590" t="s">
        <v>170</v>
      </c>
      <c r="B173" s="591"/>
      <c r="C173" s="805">
        <f>IF(ISNA(VLOOKUP("eu671800000",Balance!C:G,5,FALSE))=TRUE,0,VLOOKUP("eu671800000",Balance!C:G,5,FALSE))</f>
        <v>0</v>
      </c>
      <c r="D173" s="619">
        <f>+[2]Eu!$H173</f>
        <v>7335.142425</v>
      </c>
      <c r="E173" s="805">
        <f>IF(ISNA(VLOOKUP("eu671800000",Balanceanp!C:G,5,FALSE))=TRUE,0,VLOOKUP("eu671800000",Balanceanp!C:G,5,FALSE))+IF(ISNA(VLOOKUP("eu658000000",Balanceanp!C:G,5,FALSE))=TRUE,0,VLOOKUP("eu658000000",Balanceanp!C:G,5,FALSE))</f>
        <v>6640.73</v>
      </c>
      <c r="F173" s="593">
        <f>+C173+C173/9*(12-Clients!$I$14)</f>
        <v>0</v>
      </c>
      <c r="G173" s="1030">
        <f t="shared" si="19"/>
        <v>0</v>
      </c>
      <c r="H173" s="1030"/>
      <c r="I173" s="1013">
        <f t="shared" si="20"/>
        <v>-1</v>
      </c>
      <c r="J173" s="1014">
        <f t="shared" si="20"/>
        <v>0</v>
      </c>
      <c r="L173" s="17">
        <f t="shared" si="14"/>
        <v>1</v>
      </c>
    </row>
    <row r="174" spans="1:12" hidden="1">
      <c r="A174" s="5" t="s">
        <v>171</v>
      </c>
      <c r="B174" s="92"/>
      <c r="C174" s="160">
        <f>IF(ISNA(VLOOKUP("eu672000000",Balance!C:G,5,FALSE))=TRUE,0,VLOOKUP("eu672000000",Balance!C:G,5,FALSE))</f>
        <v>0</v>
      </c>
      <c r="D174" s="117">
        <f>+[2]Eu!$H174</f>
        <v>0</v>
      </c>
      <c r="E174" s="160">
        <f>IF(ISNA(VLOOKUP("eu672000000",Balanceanp!C:G,5,FALSE))=TRUE,0,VLOOKUP("eu672000000",Balanceanp!C:G,5,FALSE))</f>
        <v>0</v>
      </c>
      <c r="F174" s="368">
        <f>+C174+C174/9*(12-Clients!$I$14)</f>
        <v>0</v>
      </c>
      <c r="G174" s="396">
        <f t="shared" si="19"/>
        <v>0</v>
      </c>
      <c r="H174" s="409"/>
      <c r="I174" s="149">
        <f t="shared" si="20"/>
        <v>0</v>
      </c>
      <c r="J174" s="271">
        <f t="shared" si="20"/>
        <v>0</v>
      </c>
      <c r="L174" s="17">
        <f t="shared" si="14"/>
        <v>0</v>
      </c>
    </row>
    <row r="175" spans="1:12" hidden="1">
      <c r="A175" s="5" t="s">
        <v>308</v>
      </c>
      <c r="B175" s="92"/>
      <c r="C175" s="160">
        <f>IF(ISNA(VLOOKUP("eu691100000",Balance!C:G,5,FALSE))=TRUE,0,VLOOKUP("eu691100000",Balance!C:G,5,FALSE))</f>
        <v>0</v>
      </c>
      <c r="D175" s="117">
        <f>+[2]Eu!$H175</f>
        <v>0</v>
      </c>
      <c r="E175" s="160">
        <f>IF(ISNA(VLOOKUP("eu691100000",Balanceanp!C:G,5,FALSE))=TRUE,0,VLOOKUP("eu691100000",Balanceanp!C:G,5,FALSE))</f>
        <v>0</v>
      </c>
      <c r="F175" s="368">
        <f>+C175+C175/9*(12-Clients!$I$14)</f>
        <v>0</v>
      </c>
      <c r="G175" s="396">
        <f t="shared" si="19"/>
        <v>0</v>
      </c>
      <c r="H175" s="409"/>
      <c r="I175" s="149">
        <f t="shared" si="20"/>
        <v>0</v>
      </c>
      <c r="J175" s="271">
        <f t="shared" si="20"/>
        <v>0</v>
      </c>
      <c r="L175" s="17">
        <f t="shared" si="14"/>
        <v>0</v>
      </c>
    </row>
    <row r="176" spans="1:12" hidden="1">
      <c r="A176" s="5" t="s">
        <v>172</v>
      </c>
      <c r="B176" s="92"/>
      <c r="C176" s="160">
        <f>IF(ISNA(VLOOKUP("eu675100000",Balance!C:G,5,FALSE))=TRUE,0,VLOOKUP("eu675100000",Balance!C:G,5,FALSE))</f>
        <v>0</v>
      </c>
      <c r="D176" s="117">
        <f>+[2]Eu!$H176</f>
        <v>0</v>
      </c>
      <c r="E176" s="160">
        <f>IF(ISNA(VLOOKUP("eu675100000",Balanceanp!C:G,5,FALSE))=TRUE,0,VLOOKUP("eu675100000",Balanceanp!C:G,5,FALSE))</f>
        <v>0</v>
      </c>
      <c r="F176" s="368">
        <f>+C176+C176/9*(12-Clients!$I$14)</f>
        <v>0</v>
      </c>
      <c r="G176" s="396">
        <f t="shared" si="19"/>
        <v>0</v>
      </c>
      <c r="H176" s="409"/>
      <c r="I176" s="149">
        <f t="shared" si="20"/>
        <v>0</v>
      </c>
      <c r="J176" s="271">
        <f t="shared" si="20"/>
        <v>0</v>
      </c>
      <c r="L176" s="17">
        <f t="shared" si="14"/>
        <v>0</v>
      </c>
    </row>
    <row r="177" spans="1:12" hidden="1">
      <c r="A177" s="5" t="s">
        <v>173</v>
      </c>
      <c r="B177" s="92"/>
      <c r="C177" s="160">
        <f>IF(ISNA(VLOOKUP("eu675200000",Balance!C:G,5,FALSE))=TRUE,0,VLOOKUP("eu675200000",Balance!C:G,5,FALSE))</f>
        <v>0</v>
      </c>
      <c r="D177" s="117">
        <f>+[2]Eu!$H177</f>
        <v>0</v>
      </c>
      <c r="E177" s="160">
        <f>IF(ISNA(VLOOKUP("eu675200000",Balanceanp!C:G,5,FALSE))=TRUE,0,VLOOKUP("eu675200000",Balanceanp!C:G,5,FALSE))</f>
        <v>0</v>
      </c>
      <c r="F177" s="368">
        <f>+C177+C177/9*(12-Clients!$I$14)</f>
        <v>0</v>
      </c>
      <c r="G177" s="396">
        <f t="shared" si="19"/>
        <v>0</v>
      </c>
      <c r="H177" s="409"/>
      <c r="I177" s="149">
        <f t="shared" si="20"/>
        <v>0</v>
      </c>
      <c r="J177" s="271">
        <f t="shared" si="20"/>
        <v>0</v>
      </c>
      <c r="L177" s="17">
        <f t="shared" si="14"/>
        <v>0</v>
      </c>
    </row>
    <row r="178" spans="1:12" hidden="1">
      <c r="A178" s="5" t="s">
        <v>174</v>
      </c>
      <c r="B178" s="92"/>
      <c r="C178" s="160">
        <f>IF(ISNA(VLOOKUP("eu681110000",Balance!C:G,5,FALSE))=TRUE,0,VLOOKUP("eu681110000",Balance!C:G,5,FALSE))</f>
        <v>0</v>
      </c>
      <c r="D178" s="117">
        <f>+[2]Eu!$H178</f>
        <v>0</v>
      </c>
      <c r="E178" s="160">
        <f>IF(ISNA(VLOOKUP("eu681110000",Balanceanp!C:G,5,FALSE))=TRUE,0,VLOOKUP("eu681110000",Balanceanp!C:G,5,FALSE))</f>
        <v>0</v>
      </c>
      <c r="F178" s="368">
        <f>+C178+C178/9*(12-Clients!$I$14)</f>
        <v>0</v>
      </c>
      <c r="G178" s="396">
        <f t="shared" si="19"/>
        <v>0</v>
      </c>
      <c r="H178" s="409"/>
      <c r="I178" s="149">
        <f t="shared" si="20"/>
        <v>0</v>
      </c>
      <c r="J178" s="271">
        <f t="shared" si="20"/>
        <v>0</v>
      </c>
      <c r="L178" s="17">
        <f t="shared" si="14"/>
        <v>0</v>
      </c>
    </row>
    <row r="179" spans="1:12">
      <c r="A179" s="590" t="s">
        <v>175</v>
      </c>
      <c r="B179" s="591"/>
      <c r="C179" s="805">
        <f>IF(ISNA(VLOOKUP("eu681120000",Balance!C:G,5,FALSE))=TRUE,0,VLOOKUP("eu681120000",Balance!C:G,5,FALSE))</f>
        <v>9225</v>
      </c>
      <c r="D179" s="619">
        <f>+[2]Eu!$H179</f>
        <v>12300</v>
      </c>
      <c r="E179" s="805">
        <f>IF(ISNA(VLOOKUP("eu681120000",Balanceanp!C:G,5,FALSE))=TRUE,0,VLOOKUP("eu681120000",Balanceanp!C:G,5,FALSE))</f>
        <v>11713.25</v>
      </c>
      <c r="F179" s="631">
        <v>11495.37</v>
      </c>
      <c r="G179" s="636">
        <f>11215.85+500+G255/10</f>
        <v>15075.85</v>
      </c>
      <c r="H179" s="638"/>
      <c r="I179" s="1013">
        <f t="shared" si="20"/>
        <v>-1.8601156809595901E-2</v>
      </c>
      <c r="J179" s="1014">
        <f t="shared" si="20"/>
        <v>0.31147148808607283</v>
      </c>
      <c r="L179" s="17">
        <f t="shared" si="14"/>
        <v>1</v>
      </c>
    </row>
    <row r="180" spans="1:12">
      <c r="A180" s="590" t="s">
        <v>78</v>
      </c>
      <c r="B180" s="591"/>
      <c r="C180" s="805">
        <f>IF(ISNA(VLOOKUP("eu687250000",Balance!C:G,5,FALSE))=TRUE,0,+VLOOKUP("eu687250000",Balance!C:G,5,FALSE))</f>
        <v>0</v>
      </c>
      <c r="D180" s="619">
        <f>+[2]Eu!$H180</f>
        <v>0</v>
      </c>
      <c r="E180" s="805">
        <f>IF(ISNA(VLOOKUP("eu687250000",Balanceanp!C:G,5,FALSE))=TRUE,0,+VLOOKUP("eu687250000",Balanceanp!C:G,5,FALSE))</f>
        <v>681.06</v>
      </c>
      <c r="F180" s="593">
        <f>+C180+C180/9*(12-Clients!$I$14)</f>
        <v>0</v>
      </c>
      <c r="G180" s="1030">
        <f t="shared" si="19"/>
        <v>0</v>
      </c>
      <c r="H180" s="1030"/>
      <c r="I180" s="1013">
        <f t="shared" si="20"/>
        <v>-1</v>
      </c>
      <c r="J180" s="1014">
        <f t="shared" si="20"/>
        <v>0</v>
      </c>
      <c r="L180" s="17">
        <f t="shared" si="14"/>
        <v>1</v>
      </c>
    </row>
    <row r="181" spans="1:12" hidden="1">
      <c r="A181" s="5" t="s">
        <v>327</v>
      </c>
      <c r="B181" s="92"/>
      <c r="C181" s="160">
        <f>IF(ISNA(VLOOKUP("eu661880000",Balance!C:G,5,FALSE))=TRUE,0,+VLOOKUP("eu661880000",Balance!C:G,5,FALSE))</f>
        <v>0</v>
      </c>
      <c r="D181" s="117">
        <f>+[2]Eu!$H181</f>
        <v>0</v>
      </c>
      <c r="E181" s="160">
        <f>IF(ISNA(VLOOKUP("eu661880000",Balanceanp!C:G,5,FALSE))=TRUE,0,+VLOOKUP("eu661880000",Balanceanp!C:G,5,FALSE))</f>
        <v>0</v>
      </c>
      <c r="F181" s="368">
        <f>+C181+C181/9*(12-Clients!$I$14)</f>
        <v>0</v>
      </c>
      <c r="G181" s="396">
        <f t="shared" si="19"/>
        <v>0</v>
      </c>
      <c r="H181" s="409"/>
      <c r="I181" s="149">
        <f t="shared" si="20"/>
        <v>0</v>
      </c>
      <c r="J181" s="271">
        <f t="shared" si="20"/>
        <v>0</v>
      </c>
      <c r="L181" s="17">
        <f t="shared" si="14"/>
        <v>0</v>
      </c>
    </row>
    <row r="182" spans="1:12" hidden="1">
      <c r="A182" s="5" t="s">
        <v>82</v>
      </c>
      <c r="B182" s="92"/>
      <c r="C182" s="160"/>
      <c r="D182" s="117">
        <f>+[2]Eu!$H182</f>
        <v>0</v>
      </c>
      <c r="E182" s="160"/>
      <c r="F182" s="368">
        <f>+C182+C182/9*(12-Clients!$I$14)</f>
        <v>0</v>
      </c>
      <c r="G182" s="396">
        <f t="shared" si="19"/>
        <v>0</v>
      </c>
      <c r="H182" s="409"/>
      <c r="I182" s="149">
        <f t="shared" si="20"/>
        <v>0</v>
      </c>
      <c r="J182" s="271">
        <f t="shared" si="20"/>
        <v>0</v>
      </c>
      <c r="L182" s="17">
        <f t="shared" si="14"/>
        <v>0</v>
      </c>
    </row>
    <row r="183" spans="1:12" hidden="1">
      <c r="A183" s="5" t="s">
        <v>331</v>
      </c>
      <c r="B183" s="92"/>
      <c r="C183" s="160">
        <f>IF(ISNA(VLOOKUP("eu681500000",Balance!C:G,5,FALSE))=TRUE,0,VLOOKUP("eu681500000",Balance!C:G,5,FALSE))</f>
        <v>0</v>
      </c>
      <c r="D183" s="117">
        <f>+[2]Eu!$H183</f>
        <v>0</v>
      </c>
      <c r="E183" s="160">
        <f>IF(ISNA(VLOOKUP("eu681500000",Balanceanp!C:G,5,FALSE))=TRUE,0,VLOOKUP("eu681500000",Balanceanp!C:G,5,FALSE))</f>
        <v>0</v>
      </c>
      <c r="F183" s="368">
        <f>+C183+C183/9*(12-Clients!$I$14)</f>
        <v>0</v>
      </c>
      <c r="G183" s="396">
        <f t="shared" si="19"/>
        <v>0</v>
      </c>
      <c r="H183" s="409"/>
      <c r="I183" s="149">
        <f t="shared" si="20"/>
        <v>0</v>
      </c>
      <c r="J183" s="271">
        <f t="shared" si="20"/>
        <v>0</v>
      </c>
      <c r="L183" s="17">
        <f t="shared" si="14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13" t="s">
        <v>178</v>
      </c>
      <c r="B185" s="596"/>
      <c r="C185" s="803">
        <f>SUM(C169:C184)</f>
        <v>9817.4500000000007</v>
      </c>
      <c r="D185" s="597">
        <f>SUM(D169:D184)</f>
        <v>20451.797615521908</v>
      </c>
      <c r="E185" s="597">
        <f>SUM(E169:E184)</f>
        <v>19632.510000000002</v>
      </c>
      <c r="F185" s="597">
        <f>SUM(F169:F184)</f>
        <v>12285.303333333333</v>
      </c>
      <c r="G185" s="597">
        <f>SUM(G169:G184)</f>
        <v>15889.481333333333</v>
      </c>
      <c r="H185" s="814"/>
      <c r="I185" s="596">
        <f>+IF((E185)=0,,(F185-E185)/E185)</f>
        <v>-0.37423674643062288</v>
      </c>
      <c r="J185" s="1015">
        <f>+IF((F185)=0,,(G185-F185)/F185)</f>
        <v>0.29337313879917765</v>
      </c>
      <c r="K185" s="136">
        <f>(C185+(C185/3))</f>
        <v>13089.933333333334</v>
      </c>
      <c r="L185" s="17">
        <f t="shared" si="14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 hidden="1">
      <c r="A187" s="5" t="s">
        <v>179</v>
      </c>
      <c r="B187" s="92"/>
      <c r="C187" s="160">
        <f>IF(ISNA(VLOOKUP("eu740000000",Balance!C:G,5,FALSE))=TRUE,0,-VLOOKUP("eu740000000",Balance!C:G,5,FALSE))</f>
        <v>0</v>
      </c>
      <c r="D187" s="117">
        <f>+[2]Eu!$H187</f>
        <v>0</v>
      </c>
      <c r="E187" s="160">
        <f>IF(ISNA(VLOOKUP("eu740000000",Balanceanp!C:G,5,FALSE))=TRUE,0,-VLOOKUP("eu740000000",Balanceanp!C:G,5,FALSE))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1">+IF((E187)=0,,(F187-E187)/E187)</f>
        <v>0</v>
      </c>
      <c r="J187" s="271">
        <f t="shared" si="21"/>
        <v>0</v>
      </c>
      <c r="L187" s="17">
        <f t="shared" si="14"/>
        <v>0</v>
      </c>
    </row>
    <row r="188" spans="1:12" hidden="1">
      <c r="A188" s="5" t="s">
        <v>167</v>
      </c>
      <c r="B188" s="92"/>
      <c r="C188" s="160">
        <f>IF(ISNA(VLOOKUP("eu751100000",Balance!C:G,5,FALSE))=TRUE,0,-VLOOKUP("eu751100000",Balance!C:G,5,FALSE))</f>
        <v>0</v>
      </c>
      <c r="D188" s="117">
        <f>+[2]Eu!$H188</f>
        <v>0</v>
      </c>
      <c r="E188" s="160">
        <f>IF(ISNA(VLOOKUP("eu751100000",Balanceanp!C:G,5,FALSE))=TRUE,0,-VLOOKUP("eu751100000",Balanceanp!C:G,5,FALSE))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1"/>
        <v>0</v>
      </c>
      <c r="J188" s="271">
        <f t="shared" si="21"/>
        <v>0</v>
      </c>
      <c r="L188" s="17">
        <f t="shared" si="14"/>
        <v>0</v>
      </c>
    </row>
    <row r="189" spans="1:12" hidden="1">
      <c r="A189" s="5" t="s">
        <v>180</v>
      </c>
      <c r="B189" s="92"/>
      <c r="C189" s="160">
        <f>IF(ISNA(VLOOKUP("eu758100000",Balance!C:G,5,FALSE))=TRUE,0,-VLOOKUP("eu758100000",Balance!C:G,5,FALSE))</f>
        <v>4863.67</v>
      </c>
      <c r="D189" s="117">
        <f>+[2]Eu!$H189</f>
        <v>0</v>
      </c>
      <c r="E189" s="160">
        <f>IF(ISNA(VLOOKUP("eu758100000",Balanceanp!C:G,5,FALSE))=TRUE,0,-VLOOKUP("eu758100000",Balanceanp!C:G,5,FALSE))</f>
        <v>309.88</v>
      </c>
      <c r="F189" s="368">
        <f>+C189+C189/9*(12-Clients!$I$14)</f>
        <v>6484.8933333333334</v>
      </c>
      <c r="G189" s="368">
        <v>0</v>
      </c>
      <c r="H189" s="410"/>
      <c r="I189" s="149">
        <f t="shared" si="21"/>
        <v>19.927111570070135</v>
      </c>
      <c r="J189" s="271">
        <f t="shared" si="21"/>
        <v>-1</v>
      </c>
      <c r="L189" s="17">
        <v>0</v>
      </c>
    </row>
    <row r="190" spans="1:12" hidden="1">
      <c r="A190" s="5" t="s">
        <v>181</v>
      </c>
      <c r="B190" s="92"/>
      <c r="C190" s="160">
        <f>IF(ISNA(VLOOKUP("eu763800000",Balance!C:G,5,FALSE))=TRUE,0,-VLOOKUP("eu763800000",Balance!C:G,5,FALSE))</f>
        <v>0</v>
      </c>
      <c r="D190" s="117">
        <f>+[2]Eu!$H190</f>
        <v>0</v>
      </c>
      <c r="E190" s="160">
        <f>IF(ISNA(VLOOKUP("eu763800000",Balanceanp!C:G,5,FALSE))=TRUE,0,-VLOOKUP("eu763800000",Balanceanp!C:G,5,FALSE))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1"/>
        <v>0</v>
      </c>
      <c r="J190" s="271">
        <f t="shared" si="21"/>
        <v>0</v>
      </c>
      <c r="L190" s="17">
        <f t="shared" si="14"/>
        <v>0</v>
      </c>
    </row>
    <row r="191" spans="1:12" hidden="1">
      <c r="A191" s="5" t="s">
        <v>182</v>
      </c>
      <c r="B191" s="92"/>
      <c r="C191" s="160">
        <f>IF(ISNA(VLOOKUP("eu765000000",Balance!C:G,5,FALSE))=TRUE,0,-VLOOKUP("eu765000000",Balance!C:G,5,FALSE))</f>
        <v>0</v>
      </c>
      <c r="D191" s="117">
        <f>+[2]Eu!$H191</f>
        <v>0</v>
      </c>
      <c r="E191" s="160">
        <f>IF(ISNA(VLOOKUP("eu765000000",Balanceanp!C:G,5,FALSE))=TRUE,0,-VLOOKUP("eu765000000",Balanceanp!C:G,5,FALSE))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1"/>
        <v>0</v>
      </c>
      <c r="J191" s="271">
        <f t="shared" si="21"/>
        <v>0</v>
      </c>
      <c r="L191" s="17">
        <f t="shared" si="14"/>
        <v>0</v>
      </c>
    </row>
    <row r="192" spans="1:12" hidden="1">
      <c r="A192" s="5" t="s">
        <v>183</v>
      </c>
      <c r="B192" s="92"/>
      <c r="C192" s="160">
        <f>IF(ISNA(VLOOKUP("eu771400000",Balance!C:G,5,FALSE))=TRUE,0,-VLOOKUP("eu771400000",Balance!C:G,5,FALSE))</f>
        <v>0</v>
      </c>
      <c r="D192" s="117">
        <f>+[2]Eu!$H192</f>
        <v>0</v>
      </c>
      <c r="E192" s="160">
        <f>IF(ISNA(VLOOKUP("eu771400000",Balanceanp!C:G,5,FALSE))=TRUE,0,-VLOOKUP("eu771400000",Balanceanp!C:G,5,FALSE))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1"/>
        <v>0</v>
      </c>
      <c r="J192" s="271">
        <f t="shared" si="21"/>
        <v>0</v>
      </c>
      <c r="L192" s="17">
        <f t="shared" si="14"/>
        <v>0</v>
      </c>
    </row>
    <row r="193" spans="1:12" hidden="1">
      <c r="A193" s="5" t="s">
        <v>184</v>
      </c>
      <c r="B193" s="92"/>
      <c r="C193" s="160">
        <f>IF(ISNA(VLOOKUP("eu771800000",Balance!C:G,5,FALSE))=TRUE,0,-VLOOKUP("eu771800000",Balance!C:G,5,FALSE))</f>
        <v>17</v>
      </c>
      <c r="D193" s="117">
        <f>+[2]Eu!$H193</f>
        <v>0</v>
      </c>
      <c r="E193" s="160">
        <f>IF(ISNA(VLOOKUP("eu771800000",Balanceanp!C:G,5,FALSE))=TRUE,0,-VLOOKUP("eu771800000",Balanceanp!C:G,5,FALSE))+IF(ISNA(VLOOKUP("eu758000000",Balanceanp!C:G,5,FALSE))=TRUE,0,-VLOOKUP("eu758000000",Balanceanp!C:G,5,FALSE))</f>
        <v>406</v>
      </c>
      <c r="F193" s="368">
        <f>+C193+C193/9*(12-Clients!$I$14)</f>
        <v>22.666666666666664</v>
      </c>
      <c r="G193" s="368">
        <v>0</v>
      </c>
      <c r="H193" s="410"/>
      <c r="I193" s="149">
        <f t="shared" si="21"/>
        <v>-0.94417077175697861</v>
      </c>
      <c r="J193" s="271">
        <f t="shared" si="21"/>
        <v>-1</v>
      </c>
      <c r="L193" s="17">
        <v>0</v>
      </c>
    </row>
    <row r="194" spans="1:12" hidden="1">
      <c r="A194" s="5" t="s">
        <v>185</v>
      </c>
      <c r="B194" s="92"/>
      <c r="C194" s="160">
        <f>IF(ISNA(VLOOKUP("eu758000000",Balance!C:G,5,FALSE))=TRUE,0,-VLOOKUP("eu758000000",Balance!C:G,5,FALSE))</f>
        <v>0</v>
      </c>
      <c r="D194" s="117">
        <f>+[2]Eu!$H194</f>
        <v>0</v>
      </c>
      <c r="E194" s="160">
        <f>IF(ISNA(VLOOKUP("eu772000000",Balanceanp!C:G,5,FALSE))=TRUE,0,-VLOOKUP("eu772000000",Balanceanp!C:G,5,FALSE))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1"/>
        <v>0</v>
      </c>
      <c r="J194" s="271">
        <f t="shared" si="21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IF(ISNA(VLOOKUP("eu775100000",Balance!C:G,5,FALSE))=TRUE,0,-VLOOKUP("eu775100000",Balance!C:G,5,FALSE))</f>
        <v>0</v>
      </c>
      <c r="D195" s="117">
        <f>+[2]Eu!$H195</f>
        <v>0</v>
      </c>
      <c r="E195" s="160">
        <f>IF(ISNA(VLOOKUP("eu775100000",Balanceanp!C:G,5,FALSE))=TRUE,0,-VLOOKUP("eu775100000",Balanceanp!C:G,5,FALSE))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1"/>
        <v>0</v>
      </c>
      <c r="J195" s="271">
        <f t="shared" si="21"/>
        <v>0</v>
      </c>
      <c r="L195" s="17">
        <f t="shared" si="14"/>
        <v>0</v>
      </c>
    </row>
    <row r="196" spans="1:12" hidden="1">
      <c r="A196" s="5" t="s">
        <v>187</v>
      </c>
      <c r="B196" s="92"/>
      <c r="C196" s="160">
        <f>IF(ISNA(VLOOKUP("eu775200000",Balance!C:G,5,FALSE))=TRUE,0,-VLOOKUP("eu775200000",Balance!C:G,5,FALSE))</f>
        <v>0</v>
      </c>
      <c r="D196" s="117">
        <f>+[2]Eu!$H196</f>
        <v>0</v>
      </c>
      <c r="E196" s="160">
        <f>IF(ISNA(VLOOKUP("eu775200000",Balanceanp!C:G,5,FALSE))=TRUE,0,-VLOOKUP("eu775200000",Balanceanp!C:G,5,FALSE))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1"/>
        <v>0</v>
      </c>
      <c r="J196" s="271">
        <f t="shared" si="21"/>
        <v>0</v>
      </c>
      <c r="L196" s="17">
        <f t="shared" si="14"/>
        <v>0</v>
      </c>
    </row>
    <row r="197" spans="1:12">
      <c r="A197" s="590" t="s">
        <v>328</v>
      </c>
      <c r="B197" s="591"/>
      <c r="C197" s="805">
        <f>IF(ISNA(VLOOKUP("eu791000000",Balance!C:G,5,FALSE))=TRUE,0,-VLOOKUP("eu791000000",Balance!C:G,5,FALSE))</f>
        <v>1346.88</v>
      </c>
      <c r="D197" s="619">
        <f>+[2]Eu!$H197</f>
        <v>0</v>
      </c>
      <c r="E197" s="805">
        <f>IF(ISNA(VLOOKUP("eu791000000",Balanceanp!C:G,5,FALSE))=TRUE,0,-VLOOKUP("eu791000000",Balanceanp!C:G,5,FALSE))</f>
        <v>0</v>
      </c>
      <c r="F197" s="593">
        <f>+C197+C197/9*(12-Clients!$I$14)</f>
        <v>1795.8400000000001</v>
      </c>
      <c r="G197" s="593">
        <v>0</v>
      </c>
      <c r="H197" s="593"/>
      <c r="I197" s="1013">
        <f t="shared" si="21"/>
        <v>0</v>
      </c>
      <c r="J197" s="1014">
        <f t="shared" si="21"/>
        <v>-1</v>
      </c>
      <c r="L197" s="17">
        <f t="shared" si="14"/>
        <v>1</v>
      </c>
    </row>
    <row r="198" spans="1:12" hidden="1">
      <c r="A198" s="5" t="s">
        <v>344</v>
      </c>
      <c r="B198" s="92"/>
      <c r="C198" s="160">
        <f>IF(ISNA(VLOOKUP("eu781500000",Balance!C:G,5,FALSE))=TRUE,0,-VLOOKUP("eu781500000",Balance!C:G,5,FALSE))</f>
        <v>0</v>
      </c>
      <c r="D198" s="117">
        <f>+[2]Eu!$H198</f>
        <v>0</v>
      </c>
      <c r="E198" s="160">
        <f>IF(ISNA(VLOOKUP("eu781500000",Balanceanp!C:G,5,FALSE))=TRUE,0,-VLOOKUP("eu781500000",Balanceanp!C:G,5,FALSE))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1"/>
        <v>0</v>
      </c>
      <c r="J198" s="271">
        <f t="shared" si="21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IF(ISNA(VLOOKUP("eu787250000",Balance!C:G,5,FALSE))=TRUE,0,-VLOOKUP("eu787250000",Balance!C:G,5,FALSE))</f>
        <v>0</v>
      </c>
      <c r="D199" s="117">
        <f>+[2]Eu!$H199</f>
        <v>0</v>
      </c>
      <c r="E199" s="160">
        <f>IF(ISNA(VLOOKUP("eu787250000",Balanceanp!C:G,5,FALSE))=TRUE,0,-VLOOKUP("eu787250000",Balanceanp!C:G,5,FALSE))</f>
        <v>295.5</v>
      </c>
      <c r="F199" s="368">
        <f>+C199+C199/9*(12-Clients!$I$14)</f>
        <v>0</v>
      </c>
      <c r="G199" s="368">
        <v>0</v>
      </c>
      <c r="H199" s="410"/>
      <c r="I199" s="149">
        <f t="shared" si="21"/>
        <v>-1</v>
      </c>
      <c r="J199" s="271">
        <f t="shared" si="21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2">IF(SUM(C200:J200)&lt;&gt;0,1,0)</f>
        <v>0</v>
      </c>
    </row>
    <row r="201" spans="1:12" s="33" customFormat="1" ht="15" customHeight="1">
      <c r="A201" s="13" t="s">
        <v>188</v>
      </c>
      <c r="B201" s="596"/>
      <c r="C201" s="803">
        <f>SUM(C186:C200)</f>
        <v>6227.55</v>
      </c>
      <c r="D201" s="597">
        <f>SUM(D186:D200)</f>
        <v>0</v>
      </c>
      <c r="E201" s="803">
        <f>SUM(E186:E200)</f>
        <v>1011.38</v>
      </c>
      <c r="F201" s="597">
        <f>SUM(F186:F200)</f>
        <v>8303.4000000000015</v>
      </c>
      <c r="G201" s="597">
        <f>SUM(G186:G200)</f>
        <v>0</v>
      </c>
      <c r="H201" s="814"/>
      <c r="I201" s="596">
        <f>+IF((E201)=0,,(F201-E201)/E201)</f>
        <v>7.2099705353081944</v>
      </c>
      <c r="J201" s="1015">
        <f>+IF((F201)=0,,(G201-F201)/F201)</f>
        <v>-1</v>
      </c>
      <c r="K201" s="136">
        <f>(C201+(C201/3))</f>
        <v>8303.4</v>
      </c>
      <c r="L201" s="17">
        <f t="shared" si="22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2"/>
        <v>0</v>
      </c>
    </row>
    <row r="203" spans="1:12" s="33" customFormat="1" ht="15" customHeight="1">
      <c r="A203" s="14" t="s">
        <v>189</v>
      </c>
      <c r="B203" s="363">
        <f>+C203/$C$21</f>
        <v>0.34744623318471091</v>
      </c>
      <c r="C203" s="659">
        <f>+C103+C116+C129+C154+C168+C185-C201</f>
        <v>316920.17</v>
      </c>
      <c r="D203" s="642">
        <f>+D103+D116+D129+D154+D168+D185-D201</f>
        <v>464440.13288075698</v>
      </c>
      <c r="E203" s="659">
        <f>+E103+E116+E129+E154+E168+E185-E201</f>
        <v>445331.42543999996</v>
      </c>
      <c r="F203" s="642">
        <f>+F103+F116+F129+F154+F168+F185-F201</f>
        <v>405301.53666666668</v>
      </c>
      <c r="G203" s="642">
        <f>+G103+G116+G129+G154+G168+G185-G201</f>
        <v>419848.53151245316</v>
      </c>
      <c r="H203" s="815">
        <f>+G203/$G$21</f>
        <v>0.33005117757770847</v>
      </c>
      <c r="I203" s="363">
        <f>+IF((E203)=0,,(F203-E203)/E203)</f>
        <v>-8.9887859887234828E-2</v>
      </c>
      <c r="J203" s="1035">
        <f>+IF((F203)=0,,(G203-F203)/F203)</f>
        <v>3.5891783104070513E-2</v>
      </c>
      <c r="K203" s="145">
        <f>+K103+K116+K129+K154+K168+K185-K201</f>
        <v>422560.22666666668</v>
      </c>
      <c r="L203" s="17">
        <f t="shared" si="22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2"/>
        <v>0</v>
      </c>
    </row>
    <row r="205" spans="1:12" s="33" customFormat="1" ht="15" customHeight="1">
      <c r="A205" s="12" t="s">
        <v>228</v>
      </c>
      <c r="B205" s="366">
        <f>+C205/$C$21</f>
        <v>0.13148577476379161</v>
      </c>
      <c r="C205" s="667">
        <f>+C62-C203</f>
        <v>119933.64760000003</v>
      </c>
      <c r="D205" s="646">
        <f>+D62-D203</f>
        <v>216897.86711924314</v>
      </c>
      <c r="E205" s="667">
        <f>+E53-E203</f>
        <v>209351.12455999997</v>
      </c>
      <c r="F205" s="646">
        <f>+F62-F203</f>
        <v>193189.43397001299</v>
      </c>
      <c r="G205" s="646">
        <f>+G62-G203</f>
        <v>217205.84372795717</v>
      </c>
      <c r="H205" s="622">
        <f>+G205/$G$21</f>
        <v>0.17074978026223156</v>
      </c>
      <c r="I205" s="366">
        <f>+IF((E205)=0,,(F205-E205)/E205)</f>
        <v>-7.7198967160814272E-2</v>
      </c>
      <c r="J205" s="1036">
        <f>+IF((F205)=0,,(G205-F205)/F205)</f>
        <v>0.12431533787542448</v>
      </c>
      <c r="L205" s="17">
        <f t="shared" si="22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2"/>
        <v>0</v>
      </c>
    </row>
    <row r="207" spans="1:12" ht="15" customHeight="1">
      <c r="A207" s="63" t="s">
        <v>251</v>
      </c>
      <c r="B207" s="649">
        <f>+C207/$C$21</f>
        <v>2.6806246130137968E-3</v>
      </c>
      <c r="C207" s="112">
        <f>+[2]Eu!$C207</f>
        <v>2445.1092771262779</v>
      </c>
      <c r="D207" s="651">
        <f>+[2]Eu!$H207</f>
        <v>8068.0072378514014</v>
      </c>
      <c r="E207" s="651">
        <f>+[1]Eu!$G$207</f>
        <v>3024.0068025439523</v>
      </c>
      <c r="F207" s="651">
        <f>+Repart!K35</f>
        <v>3382.3609420093194</v>
      </c>
      <c r="G207" s="651">
        <f>+Repart!Q35</f>
        <v>4815.0465658258481</v>
      </c>
      <c r="H207" s="816">
        <f>+G207/$G$21</f>
        <v>3.785202685876691E-3</v>
      </c>
      <c r="I207" s="363">
        <f>+IF((E207)=0,,(F207-E207)/E207)</f>
        <v>0.11850308642292104</v>
      </c>
      <c r="J207" s="1035">
        <f>+IF((F207)=0,,(G207-F207)/F207)</f>
        <v>0.42357561726260651</v>
      </c>
      <c r="L207" s="17">
        <f t="shared" si="22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2"/>
        <v>0</v>
      </c>
    </row>
    <row r="209" spans="1:12" s="33" customFormat="1" ht="15" customHeight="1">
      <c r="A209" s="12" t="s">
        <v>190</v>
      </c>
      <c r="B209" s="366">
        <f>+C209/$C$21</f>
        <v>0.12880515015077784</v>
      </c>
      <c r="C209" s="667">
        <f>+C205-C207</f>
        <v>117488.53832287375</v>
      </c>
      <c r="D209" s="646">
        <f>+D205-D207</f>
        <v>208829.85988139175</v>
      </c>
      <c r="E209" s="667">
        <f>+E205-E207</f>
        <v>206327.11775745603</v>
      </c>
      <c r="F209" s="646">
        <f>+F205-F207</f>
        <v>189807.07302800368</v>
      </c>
      <c r="G209" s="646">
        <f>+G205-G207</f>
        <v>212390.79716213132</v>
      </c>
      <c r="H209" s="622">
        <f>+G209/$G$21</f>
        <v>0.16696457757635488</v>
      </c>
      <c r="I209" s="366">
        <f>+IF((E209)=0,,(F209-E209)/E209)</f>
        <v>-8.0067249080036956E-2</v>
      </c>
      <c r="J209" s="1036">
        <f>+IF((F209)=0,,(G209-F209)/F209)</f>
        <v>0.11898252143004012</v>
      </c>
      <c r="L209" s="17">
        <f t="shared" si="22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2"/>
        <v>0</v>
      </c>
    </row>
    <row r="211" spans="1:12">
      <c r="A211" s="590" t="s">
        <v>191</v>
      </c>
      <c r="B211" s="591">
        <f>+C211/$C$21</f>
        <v>7.1645260736538244E-3</v>
      </c>
      <c r="C211" s="805">
        <f>+[2]Eu!$C211</f>
        <v>6535.0624193548392</v>
      </c>
      <c r="D211" s="619">
        <f>+[2]Eu!$H211</f>
        <v>9026.0372215405096</v>
      </c>
      <c r="E211" s="805">
        <f>+[1]Eu!$G211</f>
        <v>8095.0860719999991</v>
      </c>
      <c r="F211" s="593">
        <f>+Repart!I35</f>
        <v>8997.9607634408567</v>
      </c>
      <c r="G211" s="593">
        <f>+Repart!O35</f>
        <v>9644.6846793104778</v>
      </c>
      <c r="H211" s="593"/>
      <c r="I211" s="1013">
        <f t="shared" ref="I211:J213" si="23">+IF((E211)=0,,(F211-E211)/E211)</f>
        <v>0.11153367405984731</v>
      </c>
      <c r="J211" s="1014">
        <f t="shared" si="23"/>
        <v>7.1874498330476308E-2</v>
      </c>
      <c r="L211" s="17">
        <f t="shared" si="22"/>
        <v>1</v>
      </c>
    </row>
    <row r="212" spans="1:12">
      <c r="A212" s="590" t="s">
        <v>192</v>
      </c>
      <c r="B212" s="591">
        <f>+C212/$C$21</f>
        <v>3.8839581337843064E-2</v>
      </c>
      <c r="C212" s="805">
        <f>+[2]Eu!$C212</f>
        <v>35427.198641621944</v>
      </c>
      <c r="D212" s="619">
        <f>+[2]Eu!$H212</f>
        <v>51103.251671933307</v>
      </c>
      <c r="E212" s="805">
        <f>+[1]Eu!$G212</f>
        <v>46410.914358295078</v>
      </c>
      <c r="F212" s="593">
        <f>+Repart!J35</f>
        <v>51148.66306383154</v>
      </c>
      <c r="G212" s="593">
        <f>+Repart!P35</f>
        <v>51878.478600043236</v>
      </c>
      <c r="H212" s="593"/>
      <c r="I212" s="1013">
        <f t="shared" si="23"/>
        <v>0.10208264092710508</v>
      </c>
      <c r="J212" s="1014">
        <f t="shared" si="23"/>
        <v>1.4268516369644197E-2</v>
      </c>
      <c r="L212" s="17">
        <f t="shared" si="22"/>
        <v>1</v>
      </c>
    </row>
    <row r="213" spans="1:12">
      <c r="A213" s="590" t="s">
        <v>193</v>
      </c>
      <c r="B213" s="591"/>
      <c r="C213" s="805">
        <f>+[2]Eu!$C213</f>
        <v>-9706.08</v>
      </c>
      <c r="D213" s="619">
        <f>+[2]Eu!$H213</f>
        <v>-11654.48</v>
      </c>
      <c r="E213" s="805">
        <f>+[1]Eu!$G213</f>
        <v>-12253.04</v>
      </c>
      <c r="F213" s="593">
        <f>+C213+C213/9*(12-Clients!$I$14)</f>
        <v>-12941.44</v>
      </c>
      <c r="G213" s="593">
        <f>+G253*-4%</f>
        <v>-10743.911666000002</v>
      </c>
      <c r="H213" s="593"/>
      <c r="I213" s="1013">
        <f t="shared" si="23"/>
        <v>5.6181976064715332E-2</v>
      </c>
      <c r="J213" s="1014">
        <f t="shared" si="23"/>
        <v>-0.1698055497688046</v>
      </c>
      <c r="L213" s="17">
        <f t="shared" si="22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2"/>
        <v>0</v>
      </c>
    </row>
    <row r="215" spans="1:12" s="33" customFormat="1" ht="15" customHeight="1">
      <c r="A215" s="20" t="s">
        <v>194</v>
      </c>
      <c r="B215" s="367">
        <f>+C215/$C$21</f>
        <v>3.5363128217937016E-2</v>
      </c>
      <c r="C215" s="668">
        <f>SUM(C210:C213)</f>
        <v>32256.181060976785</v>
      </c>
      <c r="D215" s="653">
        <f>SUM(D210:D213)</f>
        <v>48474.808893473819</v>
      </c>
      <c r="E215" s="668">
        <f>SUM(E210:E213)</f>
        <v>42252.960430295076</v>
      </c>
      <c r="F215" s="653">
        <f>SUM(F210:F213)</f>
        <v>47205.183827272398</v>
      </c>
      <c r="G215" s="653">
        <f>SUM(G210:G213)</f>
        <v>50779.251613353714</v>
      </c>
      <c r="H215" s="817">
        <f>+G215/$G$21</f>
        <v>3.9918567134502488E-2</v>
      </c>
      <c r="I215" s="363">
        <f>+IF((E215)=0,,(F215-E215)/E215)</f>
        <v>0.11720417567301658</v>
      </c>
      <c r="J215" s="1035">
        <f>+IF((F215)=0,,(G215-F215)/F215)</f>
        <v>7.5713459758129958E-2</v>
      </c>
      <c r="L215" s="17">
        <f t="shared" si="22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2"/>
        <v>0</v>
      </c>
    </row>
    <row r="217" spans="1:12" s="33" customFormat="1" ht="20.100000000000001" customHeight="1">
      <c r="A217" s="12" t="s">
        <v>86</v>
      </c>
      <c r="B217" s="366">
        <f>+C217/$C$21</f>
        <v>9.3442021932840819E-2</v>
      </c>
      <c r="C217" s="667">
        <f>+C209-C215</f>
        <v>85232.357261896963</v>
      </c>
      <c r="D217" s="646">
        <f>+D209-D215</f>
        <v>160355.05098791793</v>
      </c>
      <c r="E217" s="667">
        <f>+E209-E215</f>
        <v>164074.15732716094</v>
      </c>
      <c r="F217" s="646">
        <f>+F209-F215</f>
        <v>142601.8892007313</v>
      </c>
      <c r="G217" s="646">
        <f>+G209-G215</f>
        <v>161611.54554877762</v>
      </c>
      <c r="H217" s="622">
        <f>+G217/$G$21</f>
        <v>0.1270460104418524</v>
      </c>
      <c r="I217" s="366">
        <f>+IF((E217)=0,,(F217-E217)/E217)</f>
        <v>-0.13086928786484225</v>
      </c>
      <c r="J217" s="1036">
        <f>+IF((F217)=0,,(G217-F217)/F217)</f>
        <v>0.1333057819541765</v>
      </c>
      <c r="L217" s="17">
        <f t="shared" si="22"/>
        <v>1</v>
      </c>
    </row>
    <row r="218" spans="1:12" hidden="1">
      <c r="A218" s="2" t="s">
        <v>43</v>
      </c>
      <c r="C218" s="17">
        <f>+C225-C226-C215-C207-C53+C62-C38+C213</f>
        <v>85232.357261896963</v>
      </c>
      <c r="D218" s="117">
        <f>+[2]Eu!$H$217</f>
        <v>160355.05098791793</v>
      </c>
      <c r="E218" s="17">
        <f>+[1]Eu!$G$217</f>
        <v>164074.15732716094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139.43262687242128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+B220/(C21*1.196)*Clients!K33</f>
        <v>44.862802497517968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C221" s="17"/>
      <c r="D221" s="2"/>
      <c r="E221" s="2"/>
      <c r="F221" s="58"/>
      <c r="G221" s="58"/>
      <c r="H221" s="58"/>
      <c r="I221" s="66"/>
      <c r="J221" s="66"/>
      <c r="L221" s="17">
        <f t="shared" si="22"/>
        <v>0</v>
      </c>
    </row>
    <row r="222" spans="1:12">
      <c r="A222" s="654" t="s">
        <v>67</v>
      </c>
      <c r="B222" s="655"/>
      <c r="C222" s="656">
        <f>+(C215+C207+C203)/C60/Clients!$I$13*12</f>
        <v>976726.27871695301</v>
      </c>
      <c r="D222" s="656">
        <f>+(D215+D207+D203)/D60</f>
        <v>1032553.0954176184</v>
      </c>
      <c r="E222" s="656">
        <f>+(E215+E207+E203)/E60/Clients!$I$13*12</f>
        <v>1292359.5089916468</v>
      </c>
      <c r="F222" s="656">
        <f>+(F215+F207+F203)/F60</f>
        <v>949768.91965822584</v>
      </c>
      <c r="G222" s="656">
        <f>+(G215+G207+G203)/G60</f>
        <v>947345.33026912773</v>
      </c>
      <c r="H222" s="656"/>
      <c r="I222" s="656"/>
      <c r="J222" s="656"/>
      <c r="L222" s="17">
        <f t="shared" si="22"/>
        <v>1</v>
      </c>
    </row>
    <row r="223" spans="1:12">
      <c r="A223" s="654" t="s">
        <v>66</v>
      </c>
      <c r="B223" s="655"/>
      <c r="C223" s="656">
        <f>+(C215+C207+C203)/C60/Clients!$I$13</f>
        <v>81393.856559746084</v>
      </c>
      <c r="D223" s="656">
        <f>+(D215+D207+D203)/D60/12</f>
        <v>86046.091284801529</v>
      </c>
      <c r="E223" s="656">
        <f>+(E215+E207+E203)/E60/Clients!$I$13</f>
        <v>107696.6257493039</v>
      </c>
      <c r="F223" s="656">
        <f>+(F215+F207+F203)/F60/9</f>
        <v>105529.87996202509</v>
      </c>
      <c r="G223" s="656">
        <f>+(G215+G207+G203)/G60/12</f>
        <v>78945.444189093978</v>
      </c>
      <c r="H223" s="656"/>
      <c r="I223" s="656"/>
      <c r="J223" s="656"/>
      <c r="L223" s="17">
        <f t="shared" si="22"/>
        <v>1</v>
      </c>
    </row>
    <row r="224" spans="1:12" hidden="1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2"/>
        <v>0</v>
      </c>
    </row>
    <row r="225" spans="1:12" hidden="1">
      <c r="A225" s="2" t="s">
        <v>215</v>
      </c>
      <c r="C225" s="17">
        <f>+C51-C40-C157-C166+C201-C164-C159-C137</f>
        <v>924769.32000000018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783524.66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t="10.5" hidden="1" customHeight="1">
      <c r="C227" s="17"/>
      <c r="D227" s="2"/>
      <c r="E227" s="2"/>
      <c r="F227" s="58"/>
      <c r="G227" s="58"/>
      <c r="H227" s="58"/>
      <c r="I227" s="66"/>
      <c r="J227" s="66"/>
      <c r="L227" s="17">
        <f t="shared" si="22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2"/>
        <v>0</v>
      </c>
    </row>
    <row r="229" spans="1:12" ht="20.25" hidden="1" customHeight="1">
      <c r="A229" s="7" t="str">
        <f>+A4</f>
        <v>EU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2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2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2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2"/>
        <v>0</v>
      </c>
    </row>
    <row r="233" spans="1:12" s="33" customFormat="1" ht="15" customHeight="1">
      <c r="A233" s="14" t="s">
        <v>223</v>
      </c>
      <c r="B233" s="363"/>
      <c r="C233" s="659">
        <f t="shared" ref="C233:J233" si="24">+C51</f>
        <v>910112.12000000011</v>
      </c>
      <c r="D233" s="659">
        <f t="shared" si="24"/>
        <v>1350366</v>
      </c>
      <c r="E233" s="659">
        <f t="shared" si="24"/>
        <v>1293422.46</v>
      </c>
      <c r="F233" s="659">
        <f t="shared" si="24"/>
        <v>1246856.1888264162</v>
      </c>
      <c r="G233" s="659">
        <f t="shared" si="24"/>
        <v>1269365</v>
      </c>
      <c r="H233" s="659"/>
      <c r="I233" s="363">
        <f>+I51</f>
        <v>-3.6002367837020405E-2</v>
      </c>
      <c r="J233" s="363">
        <f t="shared" si="24"/>
        <v>1.8052451738455828E-2</v>
      </c>
      <c r="K233" s="58"/>
      <c r="L233" s="17">
        <f t="shared" si="22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2"/>
        <v>0</v>
      </c>
    </row>
    <row r="235" spans="1:12" s="33" customFormat="1" ht="15" customHeight="1">
      <c r="A235" s="12" t="s">
        <v>295</v>
      </c>
      <c r="B235" s="364"/>
      <c r="C235" s="660">
        <f>+C60</f>
        <v>0.48</v>
      </c>
      <c r="D235" s="660">
        <f>+D60</f>
        <v>0.50455802352843604</v>
      </c>
      <c r="E235" s="660">
        <f>+E60</f>
        <v>0.50616296704790475</v>
      </c>
      <c r="F235" s="660">
        <f>+F60</f>
        <v>0.48</v>
      </c>
      <c r="G235" s="660">
        <f>+G60</f>
        <v>0.50186855257582363</v>
      </c>
      <c r="H235" s="660"/>
      <c r="I235" s="660"/>
      <c r="J235" s="660"/>
      <c r="L235" s="17">
        <f t="shared" si="22"/>
        <v>1</v>
      </c>
    </row>
    <row r="236" spans="1:12" s="33" customFormat="1" ht="15" customHeight="1">
      <c r="A236" s="12" t="s">
        <v>296</v>
      </c>
      <c r="B236" s="364"/>
      <c r="C236" s="661">
        <f>+C62</f>
        <v>436853.81760000001</v>
      </c>
      <c r="D236" s="661">
        <f>+D62</f>
        <v>681338.00000000012</v>
      </c>
      <c r="E236" s="661">
        <f>+E62</f>
        <v>654682.54999999993</v>
      </c>
      <c r="F236" s="661">
        <f>+F62</f>
        <v>598490.97063667967</v>
      </c>
      <c r="G236" s="661">
        <f>+G62</f>
        <v>637054.37524041033</v>
      </c>
      <c r="H236" s="661"/>
      <c r="I236" s="366">
        <f>+IF((E236)=0,,(F236-E236)/E236)</f>
        <v>-8.5830268980470401E-2</v>
      </c>
      <c r="J236" s="1036">
        <f>+IF((F236)=0,,(G236-F236)/F236)</f>
        <v>6.4434396667182106E-2</v>
      </c>
      <c r="L236" s="17">
        <f t="shared" si="22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2"/>
        <v>0</v>
      </c>
    </row>
    <row r="238" spans="1:12" s="298" customFormat="1" ht="15" customHeight="1">
      <c r="A238" s="662" t="s">
        <v>122</v>
      </c>
      <c r="B238" s="663"/>
      <c r="C238" s="665">
        <f>+C103</f>
        <v>72221.399999999994</v>
      </c>
      <c r="D238" s="665">
        <f>+D103</f>
        <v>98607.212006918271</v>
      </c>
      <c r="E238" s="665">
        <f>+E103</f>
        <v>95677.82</v>
      </c>
      <c r="F238" s="665">
        <f>+F103</f>
        <v>94679.400000000023</v>
      </c>
      <c r="G238" s="665">
        <f>+G103</f>
        <v>100925.56735345576</v>
      </c>
      <c r="H238" s="665"/>
      <c r="I238" s="663">
        <f t="shared" ref="I238:J243" si="25">+IF((E238)=0,,(F238-E238)/E238)</f>
        <v>-1.0435229397994055E-2</v>
      </c>
      <c r="J238" s="663">
        <f t="shared" si="25"/>
        <v>6.5971767390327063E-2</v>
      </c>
      <c r="L238" s="17">
        <f t="shared" si="22"/>
        <v>1</v>
      </c>
    </row>
    <row r="239" spans="1:12" s="298" customFormat="1" ht="15" customHeight="1">
      <c r="A239" s="662" t="s">
        <v>133</v>
      </c>
      <c r="B239" s="663"/>
      <c r="C239" s="665">
        <f>+C116</f>
        <v>23982.120000000003</v>
      </c>
      <c r="D239" s="665">
        <f>+D116</f>
        <v>32230.0288</v>
      </c>
      <c r="E239" s="665">
        <f>+E116</f>
        <v>7329.1199999999972</v>
      </c>
      <c r="F239" s="665">
        <f>+F116</f>
        <v>22083.38</v>
      </c>
      <c r="G239" s="665">
        <f>+G116</f>
        <v>21314.971866666667</v>
      </c>
      <c r="H239" s="665"/>
      <c r="I239" s="663">
        <f t="shared" si="25"/>
        <v>2.0131011635776206</v>
      </c>
      <c r="J239" s="663">
        <f t="shared" si="25"/>
        <v>-3.4795766469323725E-2</v>
      </c>
      <c r="L239" s="17">
        <f t="shared" si="22"/>
        <v>1</v>
      </c>
    </row>
    <row r="240" spans="1:12" s="298" customFormat="1" ht="15" customHeight="1">
      <c r="A240" s="662" t="s">
        <v>147</v>
      </c>
      <c r="B240" s="663"/>
      <c r="C240" s="665">
        <f>+C129</f>
        <v>22498.05</v>
      </c>
      <c r="D240" s="665">
        <f>+D129</f>
        <v>30724.070769603335</v>
      </c>
      <c r="E240" s="665">
        <f>+E129</f>
        <v>29190.080000000002</v>
      </c>
      <c r="F240" s="665">
        <f>+F129</f>
        <v>25051.919999999998</v>
      </c>
      <c r="G240" s="665">
        <f>+G129</f>
        <v>26016.510600000001</v>
      </c>
      <c r="H240" s="665"/>
      <c r="I240" s="663">
        <f t="shared" si="25"/>
        <v>-0.1417659698089215</v>
      </c>
      <c r="J240" s="663">
        <f t="shared" si="25"/>
        <v>3.8503659599743383E-2</v>
      </c>
      <c r="L240" s="17">
        <f t="shared" si="22"/>
        <v>1</v>
      </c>
    </row>
    <row r="241" spans="1:12" s="298" customFormat="1" ht="15" customHeight="1">
      <c r="A241" s="662" t="s">
        <v>164</v>
      </c>
      <c r="B241" s="663"/>
      <c r="C241" s="665">
        <f>+C154</f>
        <v>191967.96</v>
      </c>
      <c r="D241" s="665">
        <f>+D154</f>
        <v>274776.38955134072</v>
      </c>
      <c r="E241" s="665">
        <f>+E154</f>
        <v>294810.13543999993</v>
      </c>
      <c r="F241" s="665">
        <f>+F154</f>
        <v>255957.28000000003</v>
      </c>
      <c r="G241" s="665">
        <f>+G154</f>
        <v>248306.41336168407</v>
      </c>
      <c r="H241" s="665"/>
      <c r="I241" s="663">
        <f t="shared" si="25"/>
        <v>-0.13178941552335902</v>
      </c>
      <c r="J241" s="663">
        <f t="shared" si="25"/>
        <v>-2.9891185897568364E-2</v>
      </c>
      <c r="L241" s="17">
        <f t="shared" si="22"/>
        <v>1</v>
      </c>
    </row>
    <row r="242" spans="1:12" s="298" customFormat="1" ht="15" customHeight="1">
      <c r="A242" s="662" t="s">
        <v>74</v>
      </c>
      <c r="B242" s="663"/>
      <c r="C242" s="665">
        <f>+C168</f>
        <v>2660.74</v>
      </c>
      <c r="D242" s="665">
        <f>+D168</f>
        <v>7650.6341373727937</v>
      </c>
      <c r="E242" s="665">
        <f>+E168</f>
        <v>-296.85999999999996</v>
      </c>
      <c r="F242" s="665">
        <f>+F168</f>
        <v>3547.6533333333332</v>
      </c>
      <c r="G242" s="665">
        <f>+G168</f>
        <v>7395.5869973133349</v>
      </c>
      <c r="H242" s="665"/>
      <c r="I242" s="663">
        <f t="shared" si="25"/>
        <v>-12.950593994924658</v>
      </c>
      <c r="J242" s="663">
        <f t="shared" si="25"/>
        <v>1.0846419597499197</v>
      </c>
      <c r="L242" s="17">
        <f t="shared" si="22"/>
        <v>1</v>
      </c>
    </row>
    <row r="243" spans="1:12" s="298" customFormat="1" ht="15" customHeight="1">
      <c r="A243" s="662" t="s">
        <v>369</v>
      </c>
      <c r="B243" s="663"/>
      <c r="C243" s="665">
        <f>+C185-C201</f>
        <v>3589.9000000000005</v>
      </c>
      <c r="D243" s="665">
        <f>+D185-D201</f>
        <v>20451.797615521908</v>
      </c>
      <c r="E243" s="665">
        <f>+E185-E201</f>
        <v>18621.13</v>
      </c>
      <c r="F243" s="665">
        <f>+F185-F201</f>
        <v>3981.9033333333318</v>
      </c>
      <c r="G243" s="665">
        <f>+G185-G201</f>
        <v>15889.481333333333</v>
      </c>
      <c r="H243" s="665"/>
      <c r="I243" s="663">
        <f t="shared" si="25"/>
        <v>-0.78616210008021359</v>
      </c>
      <c r="J243" s="663">
        <f t="shared" si="25"/>
        <v>2.9904236751101454</v>
      </c>
      <c r="L243" s="17">
        <f t="shared" si="22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2"/>
        <v>0</v>
      </c>
    </row>
    <row r="245" spans="1:12" s="33" customFormat="1" ht="15" customHeight="1">
      <c r="A245" s="14" t="s">
        <v>189</v>
      </c>
      <c r="B245" s="363"/>
      <c r="C245" s="659">
        <f>+C203</f>
        <v>316920.17</v>
      </c>
      <c r="D245" s="659">
        <f>+D203</f>
        <v>464440.13288075698</v>
      </c>
      <c r="E245" s="659">
        <f>+E203</f>
        <v>445331.42543999996</v>
      </c>
      <c r="F245" s="659">
        <f>+F203</f>
        <v>405301.53666666668</v>
      </c>
      <c r="G245" s="659">
        <f>+G203</f>
        <v>419848.53151245316</v>
      </c>
      <c r="H245" s="659"/>
      <c r="I245" s="363">
        <f>+I63</f>
        <v>0</v>
      </c>
      <c r="J245" s="363">
        <f>+J63</f>
        <v>0</v>
      </c>
      <c r="K245" s="58"/>
      <c r="L245" s="17">
        <f t="shared" si="22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2"/>
        <v>0</v>
      </c>
    </row>
    <row r="247" spans="1:12" s="33" customFormat="1" ht="15" customHeight="1">
      <c r="A247" s="12" t="s">
        <v>228</v>
      </c>
      <c r="B247" s="366"/>
      <c r="C247" s="667">
        <f>+C205</f>
        <v>119933.64760000003</v>
      </c>
      <c r="D247" s="667">
        <f>+D205</f>
        <v>216897.86711924314</v>
      </c>
      <c r="E247" s="667">
        <f>+E205</f>
        <v>209351.12455999997</v>
      </c>
      <c r="F247" s="667">
        <f>+F205</f>
        <v>193189.43397001299</v>
      </c>
      <c r="G247" s="667">
        <f>+G205</f>
        <v>217205.84372795717</v>
      </c>
      <c r="H247" s="667"/>
      <c r="I247" s="366">
        <f>+IF((E247)=0,,(F247-E247)/E247)</f>
        <v>-7.7198967160814272E-2</v>
      </c>
      <c r="J247" s="1036">
        <f>+IF((F247)=0,,(G247-F247)/F247)</f>
        <v>0.12431533787542448</v>
      </c>
      <c r="L247" s="17">
        <f t="shared" si="22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2"/>
        <v>0</v>
      </c>
    </row>
    <row r="249" spans="1:12" s="33" customFormat="1" ht="15" customHeight="1">
      <c r="A249" s="20" t="s">
        <v>370</v>
      </c>
      <c r="B249" s="367"/>
      <c r="C249" s="668">
        <f>+C207+C215</f>
        <v>34701.290338103063</v>
      </c>
      <c r="D249" s="668">
        <f>+D207+D215</f>
        <v>56542.81613132522</v>
      </c>
      <c r="E249" s="668">
        <f>+E207+E215</f>
        <v>45276.96723283903</v>
      </c>
      <c r="F249" s="668">
        <f>+F207+F215</f>
        <v>50587.544769281718</v>
      </c>
      <c r="G249" s="668">
        <f>+G207+G215</f>
        <v>55594.298179179561</v>
      </c>
      <c r="H249" s="668"/>
      <c r="I249" s="363">
        <f>+I67</f>
        <v>-0.55800796406236997</v>
      </c>
      <c r="J249" s="363">
        <f>+J67</f>
        <v>3.0000000000000113E-2</v>
      </c>
      <c r="L249" s="17">
        <f t="shared" si="22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2"/>
        <v>0</v>
      </c>
    </row>
    <row r="251" spans="1:12" s="33" customFormat="1" ht="20.100000000000001" customHeight="1">
      <c r="A251" s="12" t="s">
        <v>86</v>
      </c>
      <c r="B251" s="366"/>
      <c r="C251" s="667">
        <f>+C217</f>
        <v>85232.357261896963</v>
      </c>
      <c r="D251" s="667">
        <f>+D217</f>
        <v>160355.05098791793</v>
      </c>
      <c r="E251" s="667">
        <f>+E217</f>
        <v>164074.15732716094</v>
      </c>
      <c r="F251" s="667">
        <f>+F217</f>
        <v>142601.8892007313</v>
      </c>
      <c r="G251" s="667">
        <f>+G217</f>
        <v>161611.54554877762</v>
      </c>
      <c r="H251" s="667"/>
      <c r="I251" s="366">
        <f>+IF((E251)=0,,(F251-E251)/E251)</f>
        <v>-0.13086928786484225</v>
      </c>
      <c r="J251" s="1036">
        <f>+IF((F251)=0,,(G251-F251)/F251)</f>
        <v>0.1333057819541765</v>
      </c>
      <c r="L251" s="17">
        <f t="shared" si="22"/>
        <v>1</v>
      </c>
    </row>
    <row r="252" spans="1:12" hidden="1">
      <c r="C252" s="17"/>
      <c r="D252" s="2"/>
      <c r="E252" s="2"/>
      <c r="F252" s="2"/>
      <c r="G252" s="2"/>
      <c r="H252" s="5"/>
      <c r="I252" s="24"/>
      <c r="J252" s="66"/>
      <c r="L252" s="17">
        <f t="shared" si="22"/>
        <v>0</v>
      </c>
    </row>
    <row r="253" spans="1:12" s="298" customFormat="1" ht="15" customHeight="1">
      <c r="A253" s="662" t="s">
        <v>95</v>
      </c>
      <c r="B253" s="663"/>
      <c r="C253" s="665">
        <f>+C28</f>
        <v>246990.99</v>
      </c>
      <c r="D253" s="665">
        <v>271227</v>
      </c>
      <c r="E253" s="665">
        <f>+E28</f>
        <v>311222.63</v>
      </c>
      <c r="F253" s="665"/>
      <c r="G253" s="1037">
        <f>+G28</f>
        <v>268597.79165000003</v>
      </c>
      <c r="H253" s="1037"/>
      <c r="I253" s="663"/>
      <c r="J253" s="663"/>
      <c r="L253" s="17">
        <v>1</v>
      </c>
    </row>
    <row r="254" spans="1:12" s="298" customFormat="1" ht="15" customHeight="1">
      <c r="A254" s="662" t="s">
        <v>371</v>
      </c>
      <c r="B254" s="663"/>
      <c r="C254" s="665">
        <f>+C222</f>
        <v>976726.27871695301</v>
      </c>
      <c r="D254" s="665">
        <f>+D222</f>
        <v>1032553.0954176184</v>
      </c>
      <c r="E254" s="665">
        <f>+E222</f>
        <v>1292359.5089916468</v>
      </c>
      <c r="F254" s="665">
        <f>+F222</f>
        <v>949768.91965822584</v>
      </c>
      <c r="G254" s="665">
        <f>+G222</f>
        <v>947345.33026912773</v>
      </c>
      <c r="H254" s="665"/>
      <c r="I254" s="663"/>
      <c r="J254" s="663"/>
      <c r="L254" s="17">
        <v>1</v>
      </c>
    </row>
    <row r="255" spans="1:12" s="298" customFormat="1" ht="15" customHeight="1">
      <c r="A255" s="662" t="s">
        <v>372</v>
      </c>
      <c r="B255" s="663"/>
      <c r="C255" s="665"/>
      <c r="D255" s="665">
        <v>0</v>
      </c>
      <c r="E255" s="665"/>
      <c r="F255" s="665"/>
      <c r="G255" s="1037">
        <v>33600</v>
      </c>
      <c r="H255" s="1037"/>
      <c r="I255" s="663"/>
      <c r="J255" s="663"/>
      <c r="L255" s="17">
        <v>1</v>
      </c>
    </row>
    <row r="256" spans="1:12" hidden="1">
      <c r="C256" s="17"/>
      <c r="D256" s="2"/>
      <c r="E256" s="2"/>
      <c r="F256" s="2"/>
      <c r="G256" s="2"/>
      <c r="H256" s="2"/>
      <c r="I256" s="24"/>
      <c r="J256" s="66"/>
      <c r="L256" s="17">
        <f t="shared" si="22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1.0236220472440944" right="0" top="0.27559055118110237" bottom="0.19685039370078741" header="7.874015748031496E-2" footer="7.874015748031496E-2"/>
  <pageSetup paperSize="9" scale="68" fitToHeight="2" orientation="landscape" horizontalDpi="4294967293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L256"/>
  <sheetViews>
    <sheetView workbookViewId="0">
      <pane xSplit="3" ySplit="6" topLeftCell="D118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52.85546875" style="2" customWidth="1"/>
    <col min="2" max="2" width="6.28515625" style="24" bestFit="1" customWidth="1"/>
    <col min="3" max="3" width="13.7109375" style="17" customWidth="1"/>
    <col min="4" max="4" width="10.7109375" style="2" customWidth="1"/>
    <col min="5" max="5" width="11" style="2" hidden="1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552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0</v>
      </c>
      <c r="F5" s="215">
        <f>F217</f>
        <v>-71931.154109504045</v>
      </c>
      <c r="G5" s="215">
        <f>G217</f>
        <v>-34026.398431598165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-IF(ISNA(VLOOKUP("DIJ707130000",Balance!C:G,5,FALSE))=TRUE,0,VLOOKUP("DIJ707130000",Balance!C:G,5,FALSE))</f>
        <v>249336.97999999998</v>
      </c>
      <c r="D8" s="592">
        <f>+[2]Dijon!$H8</f>
        <v>405000</v>
      </c>
      <c r="E8" s="113"/>
      <c r="F8" s="625">
        <f>+CA!G164+C8/6*2</f>
        <v>376192.14666666667</v>
      </c>
      <c r="G8" s="594">
        <v>651115</v>
      </c>
      <c r="H8" s="594"/>
      <c r="I8" s="591">
        <f>+IF((E8)=0,,(F8-E8)/E8)</f>
        <v>0</v>
      </c>
      <c r="J8" s="595">
        <f>+IF((F8)=0,,(G8-F8)/F8)</f>
        <v>0.73080433966883096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-IF(ISNA(VLOOKUP("DIJ707131000",Balance!C:G,5,FALSE))=TRUE,0,VLOOKUP("DIJ707131000",Balance!C:G,5,FALSE))</f>
        <v>0</v>
      </c>
      <c r="D9" s="117">
        <f>+[2]Dijon!$H9</f>
        <v>0</v>
      </c>
      <c r="E9" s="160"/>
      <c r="F9" s="368">
        <f>+C9</f>
        <v>0</v>
      </c>
      <c r="G9" s="395">
        <v>0</v>
      </c>
      <c r="H9" s="401"/>
      <c r="I9" s="149">
        <f t="shared" ref="I9:J19" si="1">+IF((E9)=0,,(F9-E9)/E9)</f>
        <v>0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-IF(ISNA(VLOOKUP("DIJ707300000",Balance!C:G,5,FALSE))=TRUE,0,VLOOKUP("DIJ707300000",Balance!C:G,5,FALSE))</f>
        <v>0</v>
      </c>
      <c r="D10" s="117">
        <f>+[2]Dijon!$H10</f>
        <v>0</v>
      </c>
      <c r="E10" s="160"/>
      <c r="F10" s="368">
        <f t="shared" ref="F10:F19" si="2">+C10</f>
        <v>0</v>
      </c>
      <c r="G10" s="395">
        <v>0</v>
      </c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-IF(ISNA(VLOOKUP("DIJ707110000",Balance!C:G,5,FALSE))=TRUE,0,VLOOKUP("DIJ707110000",Balance!C:G,5,FALSE))</f>
        <v>0</v>
      </c>
      <c r="D11" s="117">
        <f>+[2]Dijon!$H11</f>
        <v>0</v>
      </c>
      <c r="E11" s="160"/>
      <c r="F11" s="368">
        <f t="shared" si="2"/>
        <v>0</v>
      </c>
      <c r="G11" s="395">
        <v>0</v>
      </c>
      <c r="H11" s="401"/>
      <c r="I11" s="149">
        <f t="shared" si="1"/>
        <v>0</v>
      </c>
      <c r="J11" s="271">
        <f t="shared" si="1"/>
        <v>0</v>
      </c>
      <c r="L11" s="17">
        <v>0</v>
      </c>
    </row>
    <row r="12" spans="1:12" hidden="1">
      <c r="A12" s="5" t="s">
        <v>46</v>
      </c>
      <c r="B12" s="92"/>
      <c r="C12" s="160">
        <f>-IF(ISNA(VLOOKUP("DIJ707120000",Balance!C:G,5,FALSE))=TRUE,0,VLOOKUP("DIJ707120000",Balance!C:G,5,FALSE))</f>
        <v>0</v>
      </c>
      <c r="D12" s="117">
        <f>+[2]Dijon!$H12</f>
        <v>0</v>
      </c>
      <c r="E12" s="160"/>
      <c r="F12" s="368">
        <f t="shared" si="2"/>
        <v>0</v>
      </c>
      <c r="G12" s="395">
        <v>0</v>
      </c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-IF(ISNA(VLOOKUP("DIJ707230000",Balance!C:G,5,FALSE))=TRUE,0,VLOOKUP("DIJ707230000",Balance!C:G,5,FALSE))</f>
        <v>0</v>
      </c>
      <c r="D13" s="117">
        <f>+[2]Dijon!$H13</f>
        <v>0</v>
      </c>
      <c r="E13" s="160"/>
      <c r="F13" s="368">
        <f t="shared" si="2"/>
        <v>0</v>
      </c>
      <c r="G13" s="395">
        <v>0</v>
      </c>
      <c r="H13" s="401"/>
      <c r="I13" s="149">
        <f t="shared" si="1"/>
        <v>0</v>
      </c>
      <c r="J13" s="271">
        <f t="shared" si="1"/>
        <v>0</v>
      </c>
      <c r="L13" s="17">
        <v>0</v>
      </c>
    </row>
    <row r="14" spans="1:12" hidden="1">
      <c r="A14" s="5" t="s">
        <v>269</v>
      </c>
      <c r="B14" s="92"/>
      <c r="C14" s="160">
        <f>-IF(ISNA(VLOOKUP("DIJ708820000",Balance!C:G,5,FALSE))=TRUE,0,VLOOKUP("DIJ708820000",Balance!C:G,5,FALSE))</f>
        <v>45</v>
      </c>
      <c r="D14" s="117">
        <f>+[2]Dijon!$H14</f>
        <v>0</v>
      </c>
      <c r="E14" s="160"/>
      <c r="F14" s="368">
        <f t="shared" si="2"/>
        <v>45</v>
      </c>
      <c r="G14" s="395">
        <v>0</v>
      </c>
      <c r="H14" s="401"/>
      <c r="I14" s="149">
        <f t="shared" si="1"/>
        <v>0</v>
      </c>
      <c r="J14" s="271">
        <f t="shared" si="1"/>
        <v>-1</v>
      </c>
      <c r="L14" s="17">
        <v>0</v>
      </c>
    </row>
    <row r="15" spans="1:12" hidden="1">
      <c r="A15" s="5" t="s">
        <v>270</v>
      </c>
      <c r="B15" s="92"/>
      <c r="C15" s="160">
        <f>-IF(ISNA(VLOOKUP("DIJ708500000",Balance!C:G,5,FALSE))=TRUE,0,VLOOKUP("DIJ708500000",Balance!C:G,5,FALSE))</f>
        <v>402</v>
      </c>
      <c r="D15" s="117">
        <f>+[2]Dijon!$H15</f>
        <v>0</v>
      </c>
      <c r="E15" s="160"/>
      <c r="F15" s="368">
        <f t="shared" si="2"/>
        <v>402</v>
      </c>
      <c r="G15" s="395">
        <v>0</v>
      </c>
      <c r="H15" s="401"/>
      <c r="I15" s="149">
        <f t="shared" si="1"/>
        <v>0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IF(ISNA(VLOOKUP("DIJ706000000",Balance!C:G,5,FALSE))=TRUE,0,-VLOOKUP("DIJ706000000",Balance!C:G,5,FALSE))+IF(ISNA(VLOOKUP("DIJ706010000",Balance!C:G,5,FALSE))=TRUE,0,-VLOOKUP("DIJ706010000",Balance!C:G,5,FALSE))</f>
        <v>0</v>
      </c>
      <c r="D16" s="117">
        <f>+[2]Dijon!$H16</f>
        <v>0</v>
      </c>
      <c r="E16" s="160"/>
      <c r="F16" s="368">
        <f t="shared" si="2"/>
        <v>0</v>
      </c>
      <c r="G16" s="395">
        <v>0</v>
      </c>
      <c r="H16" s="401"/>
      <c r="I16" s="149">
        <f t="shared" si="1"/>
        <v>0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IF(ISNA(VLOOKUP("DIJ707500000",Balance!C:G,5,FALSE))=TRUE,0,-VLOOKUP("DIJ707500000",Balance!C:G,5,FALSE))</f>
        <v>0</v>
      </c>
      <c r="D17" s="117">
        <f>+[2]Dijon!$H17</f>
        <v>0</v>
      </c>
      <c r="E17" s="160"/>
      <c r="F17" s="368">
        <f t="shared" si="2"/>
        <v>0</v>
      </c>
      <c r="G17" s="395">
        <f>+F17*1.03</f>
        <v>0</v>
      </c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IF(ISNA(VLOOKUP("DIJ707510000",Balance!C:G,5,FALSE))=TRUE,0,-VLOOKUP("DIJ707510000",Balance!C:G,5,FALSE))</f>
        <v>0</v>
      </c>
      <c r="D18" s="117">
        <f>+[2]Dijon!$H18</f>
        <v>0</v>
      </c>
      <c r="E18" s="160"/>
      <c r="F18" s="368">
        <f t="shared" si="2"/>
        <v>0</v>
      </c>
      <c r="G18" s="395">
        <f>+F18*1.03</f>
        <v>0</v>
      </c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IF(ISNA(VLOOKUP("DIJ708300000",Balance!C:G,5,FALSE))=TRUE,0,-VLOOKUP("DIJ708300000",Balance!C:G,5,FALSE))</f>
        <v>0</v>
      </c>
      <c r="D19" s="117">
        <f>+[2]Dijon!$H19</f>
        <v>0</v>
      </c>
      <c r="E19" s="160"/>
      <c r="F19" s="368">
        <f t="shared" si="2"/>
        <v>0</v>
      </c>
      <c r="G19" s="395">
        <f>+F19*1.03</f>
        <v>0</v>
      </c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249783.97999999998</v>
      </c>
      <c r="D21" s="312">
        <f>SUM(D7:D20)</f>
        <v>405000</v>
      </c>
      <c r="E21" s="204">
        <f>SUM(E7:E20)</f>
        <v>0</v>
      </c>
      <c r="F21" s="312">
        <f>SUM(F7:F20)</f>
        <v>376639.14666666667</v>
      </c>
      <c r="G21" s="312">
        <f>SUM(G7:G20)</f>
        <v>651115</v>
      </c>
      <c r="H21" s="312"/>
      <c r="I21" s="598">
        <f>+IF((E21)=0,,(F21-E21)/E21)</f>
        <v>0</v>
      </c>
      <c r="J21" s="599">
        <f>+IF((F21)=0,,(G21-F21)/F21)</f>
        <v>0.72875019966060528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IF(ISNA(VLOOKUP("DIJ602650000",Balance!C:G,5,FALSE))=TRUE,0,VLOOKUP("DIJ602650000",Balance!C:G,5,FALSE))</f>
        <v>0</v>
      </c>
      <c r="D23" s="115"/>
      <c r="E23" s="160"/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IF(ISNA(VLOOKUP("DIJ607100000",Balance!C:G,5,FALSE))=TRUE,0,VLOOKUP("DIJ607100000",Balance!C:G,5,FALSE))</f>
        <v>160773.74</v>
      </c>
      <c r="D24" s="600"/>
      <c r="E24" s="113"/>
      <c r="F24" s="600"/>
      <c r="G24" s="602">
        <f>H24*G30</f>
        <v>259794.88500000001</v>
      </c>
      <c r="H24" s="603">
        <f>1-H28</f>
        <v>0.6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IF(ISNA(VLOOKUP("DIJ607110000",Balance!C:G,5,FALSE))=TRUE,0,VLOOKUP("DIJ607110000",Balance!C:G,5,FALSE))+IF(ISNA(VLOOKUP("DIJ607120000",Balance!C:G,5,FALSE))=TRUE,0,VLOOKUP("DIJ607120000",Balance!C:G,5,FALSE))</f>
        <v>1406.31</v>
      </c>
      <c r="D25" s="115"/>
      <c r="E25" s="160"/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IF(ISNA(VLOOKUP("DIJ607130000",Balance!C:G,5,FALSE))=TRUE,0,VLOOKUP("DIJ607130000",Balance!C:G,5,FALSE))</f>
        <v>4523.55</v>
      </c>
      <c r="D26" s="115"/>
      <c r="E26" s="160"/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IF(ISNA(VLOOKUP("DIJ607140000",Balance!C:G,5,FALSE))=TRUE,0,VLOOKUP("DIJ607140000",Balance!C:G,5,FALSE))</f>
        <v>-113.74</v>
      </c>
      <c r="D27" s="115"/>
      <c r="E27" s="160"/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IF(ISNA(VLOOKUP("DIJ607200000",Balance!C:G,5,FALSE))=TRUE,0,VLOOKUP("DIJ607200000",Balance!C:G,5,FALSE))</f>
        <v>81334.679999999993</v>
      </c>
      <c r="D28" s="600"/>
      <c r="E28" s="113"/>
      <c r="F28" s="600"/>
      <c r="G28" s="602">
        <f>H28*G30</f>
        <v>173196.59000000003</v>
      </c>
      <c r="H28" s="604">
        <v>0.4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IF(ISNA(VLOOKUP("DIJ607150000",Balance!C:G,5,FALSE))=TRUE,0,VLOOKUP("DIJ607150000",Balance!C:G,5,FALSE))</f>
        <v>0</v>
      </c>
      <c r="D29" s="115"/>
      <c r="E29" s="357"/>
      <c r="F29" s="134"/>
      <c r="G29" s="134"/>
      <c r="H29" s="400"/>
      <c r="I29" s="149" t="str">
        <f>+IF((D28)=0,"",(C28-D28)/D28)</f>
        <v/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247924.53999999998</v>
      </c>
      <c r="D30" s="402"/>
      <c r="E30" s="220">
        <f>SUM(E23:E29)</f>
        <v>0</v>
      </c>
      <c r="F30" s="607"/>
      <c r="G30" s="402">
        <f>G21*(1-H30)</f>
        <v>432991.47500000003</v>
      </c>
      <c r="H30" s="574">
        <v>0.33500000000000002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86187.44</v>
      </c>
      <c r="D32" s="403"/>
      <c r="E32" s="221">
        <f>+E21-E30-E38</f>
        <v>0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0.34504790899720633</v>
      </c>
      <c r="D33" s="403"/>
      <c r="E33" s="222"/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IF(ISNA(VLOOKUP("DIJ607400000",Balance!C:G,5,FALSE))=TRUE,0,VLOOKUP("DIJ607400000",Balance!C:G,5,FALSE))</f>
        <v>1658.46</v>
      </c>
      <c r="D35" s="600"/>
      <c r="E35" s="113"/>
      <c r="F35" s="972">
        <v>0.01</v>
      </c>
      <c r="G35" s="613">
        <f>F35*G30</f>
        <v>4329.9147500000008</v>
      </c>
      <c r="H35" s="600"/>
      <c r="I35" s="591" t="str">
        <f t="shared" si="3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IF(ISNA(VLOOKUP("DIJ608000000",Balance!C:G,5,FALSE))=TRUE,0,VLOOKUP("DIJ608000000",Balance!C:G,5,FALSE))</f>
        <v>128.85</v>
      </c>
      <c r="D36" s="600"/>
      <c r="E36" s="113"/>
      <c r="F36" s="972">
        <v>2E-3</v>
      </c>
      <c r="G36" s="613">
        <f>F36*G30</f>
        <v>865.98295000000007</v>
      </c>
      <c r="H36" s="600"/>
      <c r="I36" s="591" t="str">
        <f t="shared" si="3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IF(ISNA(VLOOKUP("DIJ608100000",Balance!C:G,5,FALSE))=TRUE,0,VLOOKUP("DIJ608100000",Balance!C:G,5,FALSE))</f>
        <v>0</v>
      </c>
      <c r="D37" s="115"/>
      <c r="E37" s="160"/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-84328</v>
      </c>
      <c r="D38" s="115"/>
      <c r="E38" s="160"/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IF(ISNA(VLOOKUP("DIJ681730000",Balance!C:G,5,FALSE))=TRUE,0,VLOOKUP("DIJ681730000",Balance!C:G,5,FALSE))</f>
        <v>0</v>
      </c>
      <c r="D39" s="115"/>
      <c r="E39" s="160"/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IF(ISNA(VLOOKUP("DIJ781730000",Balance!C:G,5,FALSE))=TRUE,0,VLOOKUP("DIJ781730000",Balance!C:G,5,FALSE))</f>
        <v>0</v>
      </c>
      <c r="D40" s="115"/>
      <c r="E40" s="160"/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IF(ISNA(VLOOKUP("DIJ609110000",Balance!C:G,5,FALSE))=TRUE,0,VLOOKUP("DIJ609110000",Balance!C:G,5,FALSE))</f>
        <v>0</v>
      </c>
      <c r="D41" s="600"/>
      <c r="E41" s="113"/>
      <c r="F41" s="614"/>
      <c r="G41" s="615">
        <f>H41*(G24)</f>
        <v>-5195.8977000000004</v>
      </c>
      <c r="H41" s="616">
        <v>-0.02</v>
      </c>
      <c r="I41" s="591" t="str">
        <f t="shared" si="3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IF(ISNA(VLOOKUP("DIJ609120000",Balance!C:G,5,FALSE))=TRUE,0,VLOOKUP("DIJ609120000",Balance!C:G,5,FALSE))</f>
        <v>-1540.35</v>
      </c>
      <c r="D42" s="600"/>
      <c r="E42" s="113"/>
      <c r="F42" s="614"/>
      <c r="G42" s="615">
        <f>H42*G28</f>
        <v>-12123.761300000004</v>
      </c>
      <c r="H42" s="616">
        <v>-7.0000000000000007E-2</v>
      </c>
      <c r="I42" s="591" t="str">
        <f t="shared" si="3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163843.49999999997</v>
      </c>
      <c r="D44" s="404"/>
      <c r="E44" s="204">
        <f>+E30+SUM(E34:E43)</f>
        <v>0</v>
      </c>
      <c r="F44" s="404"/>
      <c r="G44" s="618">
        <f>SUM(G35:G43)+G30</f>
        <v>420867.71370000002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85940.48000000001</v>
      </c>
      <c r="D46" s="120"/>
      <c r="E46" s="166">
        <f>+E21-E44</f>
        <v>0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0.34405921468622613</v>
      </c>
      <c r="D47" s="120"/>
      <c r="E47" s="196"/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0</v>
      </c>
      <c r="C49" s="311">
        <f>IF(ISNA(VLOOKUP("DIJ709700000",Balance!C:G,5,FALSE))=TRUE,0,VLOOKUP("DIJ709700000",Balance!C:G,5,FALSE))</f>
        <v>0</v>
      </c>
      <c r="D49" s="592">
        <f>+[2]Dijon!$H49</f>
        <v>0</v>
      </c>
      <c r="E49" s="113"/>
      <c r="F49" s="592">
        <f>+C49+C49/9*(12-Clients!$I$14)</f>
        <v>0</v>
      </c>
      <c r="G49" s="594">
        <v>8000</v>
      </c>
      <c r="H49" s="621">
        <f>G49/G21</f>
        <v>1.2286616035569754E-2</v>
      </c>
      <c r="I49" s="591">
        <f>+IF((E49)=0,,(F49-E49)/E49)</f>
        <v>0</v>
      </c>
      <c r="J49" s="595">
        <f>+IF((F49)=0,,(G49-F49)/F49)</f>
        <v>0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249783.97999999998</v>
      </c>
      <c r="D51" s="312">
        <f>+D21-D49</f>
        <v>405000</v>
      </c>
      <c r="E51" s="204">
        <f>+E21-E49</f>
        <v>0</v>
      </c>
      <c r="F51" s="312">
        <f>+F21-F49</f>
        <v>376639.14666666667</v>
      </c>
      <c r="G51" s="312">
        <f>+G21-G49</f>
        <v>643115</v>
      </c>
      <c r="H51" s="312"/>
      <c r="I51" s="598">
        <f>+IF((E51)=0,,(F51-E51)/E51)</f>
        <v>0</v>
      </c>
      <c r="J51" s="599">
        <f>+IF((F51)=0,,(G51-F51)/F51)</f>
        <v>0.70750970973596083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85940.48000000001</v>
      </c>
      <c r="D53" s="122"/>
      <c r="E53" s="169">
        <f>+E51-E44</f>
        <v>0</v>
      </c>
      <c r="F53" s="140"/>
      <c r="G53" s="140"/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0.34405921468622613</v>
      </c>
      <c r="D54" s="123"/>
      <c r="E54" s="197" t="e">
        <f>+E53/E51</f>
        <v>#DIV/0!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+[2]Dijon!$C56</f>
        <v>0</v>
      </c>
      <c r="D56" s="115"/>
      <c r="E56" s="160"/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+[2]Dijon!$C57</f>
        <v>84328</v>
      </c>
      <c r="D57" s="115"/>
      <c r="E57" s="160"/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15">
        <f>+[2]Dijon!$C60</f>
        <v>0.35139999999999999</v>
      </c>
      <c r="D60" s="406">
        <f>+[2]Dijon!$H60</f>
        <v>0.38</v>
      </c>
      <c r="E60" s="224">
        <f>+[1]Nancy!$G$54</f>
        <v>0.39227402729278038</v>
      </c>
      <c r="F60" s="406">
        <f>+C60</f>
        <v>0.35139999999999999</v>
      </c>
      <c r="G60" s="406">
        <f>G62/G51</f>
        <v>0.34557938517994446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+[2]Dijon!$C61</f>
        <v>0.28999999999999998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87774.090571999986</v>
      </c>
      <c r="D62" s="405">
        <f>D51*D60</f>
        <v>153900</v>
      </c>
      <c r="E62" s="223">
        <f>+E51*E60</f>
        <v>0</v>
      </c>
      <c r="F62" s="405">
        <f>+F51*F60</f>
        <v>132350.99613866667</v>
      </c>
      <c r="G62" s="405">
        <f>G51-G44</f>
        <v>222247.28629999998</v>
      </c>
      <c r="H62" s="405"/>
      <c r="I62" s="15">
        <f>+IF((E62)=0,,(F62-E62)/E62)</f>
        <v>0</v>
      </c>
      <c r="J62" s="406">
        <f>+IF((F62)=0,,(G62-F62)/F62)</f>
        <v>0.67922639635554571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 hidden="1">
      <c r="A64" s="5" t="s">
        <v>104</v>
      </c>
      <c r="B64" s="92"/>
      <c r="C64" s="160">
        <f>IF(ISNA(VLOOKUP("DIJ613520000",Balance!C:G,5,FALSE))=TRUE,0,VLOOKUP("DIJ613520000",Balance!C:G,5,FALSE))</f>
        <v>0</v>
      </c>
      <c r="D64" s="117">
        <f>+[2]Dijon!$H64</f>
        <v>0</v>
      </c>
      <c r="E64" s="160"/>
      <c r="F64" s="368">
        <f>+C64+C64/6*(12-Clients!$I$14)</f>
        <v>0</v>
      </c>
      <c r="G64" s="395">
        <f>+F64/9*12*1.03</f>
        <v>0</v>
      </c>
      <c r="H64" s="401"/>
      <c r="I64" s="149">
        <f t="shared" ref="I64:J68" si="4">+IF((E64)=0,,(F64-E64)/E64)</f>
        <v>0</v>
      </c>
      <c r="J64" s="271">
        <f t="shared" si="4"/>
        <v>0</v>
      </c>
      <c r="L64" s="17">
        <f t="shared" si="0"/>
        <v>0</v>
      </c>
    </row>
    <row r="65" spans="1:12" hidden="1">
      <c r="A65" s="5" t="s">
        <v>314</v>
      </c>
      <c r="B65" s="92"/>
      <c r="C65" s="160">
        <f>IF(ISNA(VLOOKUP("DIJ612500000",Balance!C:G,5,FALSE))=TRUE,0,VLOOKUP("DIJ612500000",Balance!C:G,5,FALSE))</f>
        <v>0</v>
      </c>
      <c r="D65" s="117">
        <f>+[2]Dijon!$H65</f>
        <v>0</v>
      </c>
      <c r="E65" s="160"/>
      <c r="F65" s="368">
        <f>+C65+C65/6*(12-Clients!$I$14)</f>
        <v>0</v>
      </c>
      <c r="G65" s="395">
        <f>+F65/9*12*1.03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IF(ISNA(VLOOKUP("DIJ616120000",Balance!C:G,5,FALSE))=TRUE,0,VLOOKUP("DIJ616120000",Balance!C:G,5,FALSE))</f>
        <v>1668</v>
      </c>
      <c r="D66" s="592">
        <f>+[2]Dijon!$H66</f>
        <v>2500</v>
      </c>
      <c r="E66" s="113"/>
      <c r="F66" s="625">
        <f>+C66+C66/6*(12-Clients!$I$14)</f>
        <v>2502</v>
      </c>
      <c r="G66" s="634">
        <f>+F66/9*12*1.03</f>
        <v>3436.08</v>
      </c>
      <c r="H66" s="594"/>
      <c r="I66" s="591">
        <f t="shared" si="4"/>
        <v>0</v>
      </c>
      <c r="J66" s="595">
        <f t="shared" si="4"/>
        <v>0.37333333333333329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IF(ISNA(VLOOKUP("DIJ615520000",Balance!C:G,5,FALSE))=TRUE,0,VLOOKUP("DIJ615520000",Balance!C:G,5,FALSE))</f>
        <v>26.76</v>
      </c>
      <c r="D67" s="592">
        <f>+[2]Dijon!$H67</f>
        <v>1500</v>
      </c>
      <c r="E67" s="113"/>
      <c r="F67" s="625">
        <f>+C67+C67/6*(12-Clients!$I$14)</f>
        <v>40.14</v>
      </c>
      <c r="G67" s="594">
        <f>+F67/9*12*1.03</f>
        <v>55.125599999999999</v>
      </c>
      <c r="H67" s="594"/>
      <c r="I67" s="591">
        <f t="shared" si="4"/>
        <v>0</v>
      </c>
      <c r="J67" s="595">
        <f t="shared" si="4"/>
        <v>0.37333333333333329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IF(ISNA(VLOOKUP("DIJ606130000",Balance!C:G,5,FALSE))=TRUE,0,VLOOKUP("DIJ606130000",Balance!C:G,5,FALSE))</f>
        <v>20.9</v>
      </c>
      <c r="D68" s="592">
        <f>+[2]Dijon!$H68</f>
        <v>1350</v>
      </c>
      <c r="E68" s="113"/>
      <c r="F68" s="625">
        <f>+C68+C68/6*(12-Clients!$I$14)</f>
        <v>31.349999999999998</v>
      </c>
      <c r="G68" s="625">
        <f>+F68/9*12*1.03</f>
        <v>43.053999999999995</v>
      </c>
      <c r="H68" s="625"/>
      <c r="I68" s="591">
        <f t="shared" si="4"/>
        <v>0</v>
      </c>
      <c r="J68" s="595">
        <f t="shared" si="4"/>
        <v>0.37333333333333324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1715.66</v>
      </c>
      <c r="D70" s="628">
        <f>SUM(D64:D69)</f>
        <v>5350</v>
      </c>
      <c r="E70" s="386">
        <f>SUM(E64:E69)</f>
        <v>0</v>
      </c>
      <c r="F70" s="973">
        <f>SUM(F64:F69)</f>
        <v>2573.4899999999998</v>
      </c>
      <c r="G70" s="412">
        <f>SUM(G64:G69)</f>
        <v>3534.2595999999999</v>
      </c>
      <c r="H70" s="412"/>
      <c r="I70" s="591">
        <f>+IF((E70)=0,,(F70-E70)/E70)</f>
        <v>0</v>
      </c>
      <c r="J70" s="595">
        <f>+IF((F70)=0,,(G70-F70)/F70)</f>
        <v>0.37333333333333341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IF(ISNA(VLOOKUP("DIJ602220000",Balance!C:G,5,FALSE))=TRUE,0,VLOOKUP("DIJ602220000",Balance!C:G,5,FALSE))</f>
        <v>0</v>
      </c>
      <c r="D72" s="592">
        <f>+[2]Dijon!$H72</f>
        <v>100</v>
      </c>
      <c r="E72" s="113"/>
      <c r="F72" s="625">
        <f>+C72+C72/6*(12-Clients!$I$14)</f>
        <v>0</v>
      </c>
      <c r="G72" s="625">
        <f t="shared" ref="G72:G97" si="5">+F72/9*12*1.03</f>
        <v>0</v>
      </c>
      <c r="H72" s="630"/>
      <c r="I72" s="591">
        <f t="shared" ref="I72:J87" si="6">+IF((E72)=0,,(F72-E72)/E72)</f>
        <v>0</v>
      </c>
      <c r="J72" s="595">
        <f t="shared" si="6"/>
        <v>0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IF(ISNA(VLOOKUP("DIJ606100000",Balance!C:G,5,FALSE))=TRUE,0,VLOOKUP("DIJ606100000",Balance!C:G,5,FALSE))</f>
        <v>154.87</v>
      </c>
      <c r="D73" s="592">
        <f>+[2]Dijon!$H73</f>
        <v>4853.6174999999967</v>
      </c>
      <c r="E73" s="113"/>
      <c r="F73" s="625">
        <f>+C73+C73/6*(12-Clients!$I$14)</f>
        <v>232.30500000000001</v>
      </c>
      <c r="G73" s="625">
        <f t="shared" si="5"/>
        <v>319.03220000000005</v>
      </c>
      <c r="H73" s="630"/>
      <c r="I73" s="591">
        <f t="shared" si="6"/>
        <v>0</v>
      </c>
      <c r="J73" s="595">
        <f t="shared" si="6"/>
        <v>0.37333333333333352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IF(ISNA(VLOOKUP("DIJ606110000",Balance!C:G,5,FALSE))=TRUE,0,VLOOKUP("DIJ606110000",Balance!C:G,5,FALSE))</f>
        <v>631.65</v>
      </c>
      <c r="D74" s="592">
        <f>+[2]Dijon!$H74</f>
        <v>0</v>
      </c>
      <c r="E74" s="113"/>
      <c r="F74" s="625">
        <f>+C74+C74/6*(12-Clients!$I$14)</f>
        <v>947.47499999999991</v>
      </c>
      <c r="G74" s="625">
        <f t="shared" si="5"/>
        <v>1301.1990000000001</v>
      </c>
      <c r="H74" s="630"/>
      <c r="I74" s="591">
        <f t="shared" si="6"/>
        <v>0</v>
      </c>
      <c r="J74" s="595">
        <f t="shared" si="6"/>
        <v>0.37333333333333352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IF(ISNA(VLOOKUP("DIJ606141000",Balance!C:G,5,FALSE))=TRUE,0,VLOOKUP("DIJ606141000",Balance!C:G,5,FALSE))</f>
        <v>0</v>
      </c>
      <c r="D75" s="117">
        <f>+[2]Dijon!$H75</f>
        <v>0</v>
      </c>
      <c r="E75" s="160"/>
      <c r="F75" s="368">
        <f>+C75+C75/6*(12-Clients!$I$14)</f>
        <v>0</v>
      </c>
      <c r="G75" s="368">
        <f t="shared" si="5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IF(ISNA(VLOOKUP("DIJ606310000",Balance!C:G,5,FALSE))=TRUE,0,VLOOKUP("DIJ606310000",Balance!C:G,5,FALSE))</f>
        <v>0</v>
      </c>
      <c r="D76" s="592">
        <f>+[2]Dijon!$H76</f>
        <v>200</v>
      </c>
      <c r="E76" s="113"/>
      <c r="F76" s="625">
        <f>+C76+C76/6*(12-Clients!$I$14)</f>
        <v>0</v>
      </c>
      <c r="G76" s="625">
        <f t="shared" si="5"/>
        <v>0</v>
      </c>
      <c r="H76" s="630"/>
      <c r="I76" s="591">
        <f t="shared" si="6"/>
        <v>0</v>
      </c>
      <c r="J76" s="595">
        <f t="shared" si="6"/>
        <v>0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IF(ISNA(VLOOKUP("DIJ606410000",Balance!C:G,5,FALSE))=TRUE,0,VLOOKUP("DIJ606410000",Balance!C:G,5,FALSE))</f>
        <v>1493.06</v>
      </c>
      <c r="D77" s="592">
        <f>+[2]Dijon!$H77</f>
        <v>900</v>
      </c>
      <c r="E77" s="113"/>
      <c r="F77" s="625">
        <f>+C77+C77/6*(12-Clients!$I$14)</f>
        <v>2239.59</v>
      </c>
      <c r="G77" s="625">
        <f t="shared" si="5"/>
        <v>3075.7036000000003</v>
      </c>
      <c r="H77" s="630"/>
      <c r="I77" s="591">
        <f t="shared" si="6"/>
        <v>0</v>
      </c>
      <c r="J77" s="595">
        <f t="shared" si="6"/>
        <v>0.37333333333333335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IF(ISNA(VLOOKUP("DIJ611000000",Balance!C:G,5,FALSE))=TRUE,0,VLOOKUP("DIJ611000000",Balance!C:G,5,FALSE))</f>
        <v>0</v>
      </c>
      <c r="D78" s="592">
        <f>+[2]Dijon!$H78</f>
        <v>585</v>
      </c>
      <c r="E78" s="113"/>
      <c r="F78" s="625">
        <f>+C78+C78/6*(12-Clients!$I$14)</f>
        <v>0</v>
      </c>
      <c r="G78" s="625">
        <f t="shared" si="5"/>
        <v>0</v>
      </c>
      <c r="H78" s="625"/>
      <c r="I78" s="591">
        <f t="shared" si="6"/>
        <v>0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IF(ISNA(VLOOKUP("DIJ613200000",Balance!C:G,5,FALSE))=TRUE,0,VLOOKUP("DIJ613200000",Balance!C:G,5,FALSE))</f>
        <v>15480</v>
      </c>
      <c r="D79" s="592">
        <f>+[2]Dijon!$H79</f>
        <v>23220</v>
      </c>
      <c r="E79" s="113"/>
      <c r="F79" s="620">
        <f>7740*3</f>
        <v>23220</v>
      </c>
      <c r="G79" s="620">
        <f>7740*4*1.05</f>
        <v>32508</v>
      </c>
      <c r="H79" s="974">
        <f>G79/G21</f>
        <v>4.9926664260537691E-2</v>
      </c>
      <c r="I79" s="591">
        <f t="shared" si="6"/>
        <v>0</v>
      </c>
      <c r="J79" s="595">
        <f t="shared" si="6"/>
        <v>0.4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IF(ISNA(VLOOKUP("DIJ614000000",Balance!C:G,5,FALSE))=TRUE,0,VLOOKUP("DIJ614000000",Balance!C:G,5,FALSE))</f>
        <v>0</v>
      </c>
      <c r="D80" s="117">
        <f>+[2]Dijon!$H80</f>
        <v>0</v>
      </c>
      <c r="E80" s="160"/>
      <c r="F80" s="368">
        <f>+C80+C80/6*(12-Clients!$I$14)</f>
        <v>0</v>
      </c>
      <c r="G80" s="368">
        <f t="shared" si="5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IF(ISNA(VLOOKUP("DIJ613510000",Balance!C:G,5,FALSE))=TRUE,0,VLOOKUP("DIJ613510000",Balance!C:G,5,FALSE))</f>
        <v>0</v>
      </c>
      <c r="D81" s="117">
        <f>+[2]Dijon!$H81</f>
        <v>0</v>
      </c>
      <c r="E81" s="160"/>
      <c r="F81" s="368">
        <f>+C81+C81/6*(12-Clients!$I$14)</f>
        <v>0</v>
      </c>
      <c r="G81" s="368">
        <f t="shared" si="5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IF(ISNA(VLOOKUP("DIJ613530000",Balance!C:G,5,FALSE))=TRUE,0,VLOOKUP("DIJ613530000",Balance!C:G,5,FALSE))</f>
        <v>398.88</v>
      </c>
      <c r="D82" s="592">
        <f>+[2]Dijon!$H82</f>
        <v>835</v>
      </c>
      <c r="E82" s="113"/>
      <c r="F82" s="625">
        <f>+C82+C82/6*(12-Clients!$I$14)</f>
        <v>598.31999999999994</v>
      </c>
      <c r="G82" s="625">
        <f t="shared" si="5"/>
        <v>821.69279999999992</v>
      </c>
      <c r="H82" s="630"/>
      <c r="I82" s="591">
        <f t="shared" si="6"/>
        <v>0</v>
      </c>
      <c r="J82" s="595">
        <f t="shared" si="6"/>
        <v>0.37333333333333335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IF(ISNA(VLOOKUP("DIJ613540000",Balance!C:G,5,FALSE))=TRUE,0,VLOOKUP("DIJ613540000",Balance!C:G,5,FALSE))</f>
        <v>0</v>
      </c>
      <c r="D83" s="592">
        <f>+[2]Dijon!$H83</f>
        <v>300</v>
      </c>
      <c r="E83" s="113"/>
      <c r="F83" s="625">
        <f>+C83+C83/6*(12-Clients!$I$14)</f>
        <v>0</v>
      </c>
      <c r="G83" s="625">
        <f t="shared" si="5"/>
        <v>0</v>
      </c>
      <c r="H83" s="630"/>
      <c r="I83" s="591">
        <f t="shared" si="6"/>
        <v>0</v>
      </c>
      <c r="J83" s="595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IF(ISNA(VLOOKUP("DIJ615200000",Balance!C:G,5,FALSE))=TRUE,0,VLOOKUP("DIJ615200000",Balance!C:G,5,FALSE))</f>
        <v>0</v>
      </c>
      <c r="D84" s="592">
        <f>+[2]Dijon!$H84</f>
        <v>600</v>
      </c>
      <c r="E84" s="113"/>
      <c r="F84" s="625">
        <f>+C84+C84/6*(12-Clients!$I$14)</f>
        <v>0</v>
      </c>
      <c r="G84" s="625">
        <f t="shared" si="5"/>
        <v>0</v>
      </c>
      <c r="H84" s="630"/>
      <c r="I84" s="591">
        <f t="shared" si="6"/>
        <v>0</v>
      </c>
      <c r="J84" s="595">
        <f t="shared" si="6"/>
        <v>0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IF(ISNA(VLOOKUP("DIJ615500000",Balance!C:G,5,FALSE))=TRUE,0,VLOOKUP("DIJ615500000",Balance!C:G,5,FALSE))</f>
        <v>420.89</v>
      </c>
      <c r="D85" s="592">
        <f>+[2]Dijon!$H85</f>
        <v>200</v>
      </c>
      <c r="E85" s="113"/>
      <c r="F85" s="625">
        <f>+C85+C85/6*(12-Clients!$I$14)</f>
        <v>631.33500000000004</v>
      </c>
      <c r="G85" s="625">
        <f t="shared" si="5"/>
        <v>867.03340000000014</v>
      </c>
      <c r="H85" s="630"/>
      <c r="I85" s="591">
        <f t="shared" si="6"/>
        <v>0</v>
      </c>
      <c r="J85" s="595">
        <f t="shared" si="6"/>
        <v>0.37333333333333346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IF(ISNA(VLOOKUP("DIJ615510000",Balance!C:G,5,FALSE))=TRUE,0,VLOOKUP("DIJ615510000",Balance!C:G,5,FALSE))</f>
        <v>130.84</v>
      </c>
      <c r="D86" s="592">
        <f>+[2]Dijon!$H86</f>
        <v>1125</v>
      </c>
      <c r="E86" s="113"/>
      <c r="F86" s="625">
        <f>+C86+C86/6*(12-Clients!$I$14)</f>
        <v>196.26</v>
      </c>
      <c r="G86" s="625">
        <f t="shared" si="5"/>
        <v>269.53039999999993</v>
      </c>
      <c r="H86" s="630"/>
      <c r="I86" s="591">
        <f t="shared" si="6"/>
        <v>0</v>
      </c>
      <c r="J86" s="595">
        <f t="shared" si="6"/>
        <v>0.37333333333333302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IF(ISNA(VLOOKUP("DIJ615530000",Balance!C:G,5,FALSE))=TRUE,0,VLOOKUP("DIJ615530000",Balance!C:G,5,FALSE))</f>
        <v>0</v>
      </c>
      <c r="D87" s="117">
        <f>+[2]Dijon!$H87</f>
        <v>0</v>
      </c>
      <c r="E87" s="160"/>
      <c r="F87" s="368">
        <f>+C87+C87/6*(12-Clients!$I$14)</f>
        <v>0</v>
      </c>
      <c r="G87" s="368">
        <f t="shared" si="5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IF(ISNA(VLOOKUP("DIJ616130000",Balance!C:G,5,FALSE))=TRUE,0,VLOOKUP("DIJ616130000",Balance!C:G,5,FALSE))</f>
        <v>900</v>
      </c>
      <c r="D88" s="592">
        <f>+[2]Dijon!$H88</f>
        <v>900</v>
      </c>
      <c r="E88" s="113"/>
      <c r="F88" s="625">
        <f>+C88+C88/6*(12-Clients!$I$14)</f>
        <v>1350</v>
      </c>
      <c r="G88" s="632">
        <f t="shared" si="5"/>
        <v>1854</v>
      </c>
      <c r="H88" s="632"/>
      <c r="I88" s="591">
        <f t="shared" ref="I88:J101" si="8">+IF((E88)=0,,(F88-E88)/E88)</f>
        <v>0</v>
      </c>
      <c r="J88" s="595">
        <f t="shared" si="8"/>
        <v>0.37333333333333335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+[2]Dijon!$H89</f>
        <v>0</v>
      </c>
      <c r="E89" s="160"/>
      <c r="F89" s="368">
        <f>+C89+C89/6*(12-Clients!$I$14)</f>
        <v>0</v>
      </c>
      <c r="G89" s="368">
        <f t="shared" si="5"/>
        <v>0</v>
      </c>
      <c r="H89" s="409"/>
      <c r="I89" s="149">
        <f t="shared" si="8"/>
        <v>0</v>
      </c>
      <c r="J89" s="271">
        <f t="shared" si="8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IF(ISNA(VLOOKUP("DIJ618100000",Balance!C:G,5,FALSE))=TRUE,0,VLOOKUP("DIJ618100000",Balance!C:G,5,FALSE))</f>
        <v>306</v>
      </c>
      <c r="D90" s="592">
        <f>+[2]Dijon!$H90</f>
        <v>100</v>
      </c>
      <c r="E90" s="113"/>
      <c r="F90" s="625">
        <f>+C90+C90/6*(12-Clients!$I$14)</f>
        <v>459</v>
      </c>
      <c r="G90" s="625">
        <f t="shared" si="5"/>
        <v>630.36</v>
      </c>
      <c r="H90" s="630"/>
      <c r="I90" s="591">
        <f t="shared" si="8"/>
        <v>0</v>
      </c>
      <c r="J90" s="595">
        <f t="shared" si="8"/>
        <v>0.37333333333333335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IF(ISNA(VLOOKUP("DIJ618500000",Balance!C:G,5,FALSE))=TRUE,0,VLOOKUP("DIJ618500000",Balance!C:G,5,FALSE))</f>
        <v>387.54</v>
      </c>
      <c r="D91" s="592">
        <f>+[2]Dijon!$H91</f>
        <v>0</v>
      </c>
      <c r="E91" s="113"/>
      <c r="F91" s="625">
        <f>+C91+C91/6*(12-Clients!$I$14)</f>
        <v>581.31000000000006</v>
      </c>
      <c r="G91" s="625">
        <f t="shared" si="5"/>
        <v>798.33240000000001</v>
      </c>
      <c r="H91" s="630"/>
      <c r="I91" s="591">
        <f t="shared" si="8"/>
        <v>0</v>
      </c>
      <c r="J91" s="595">
        <f t="shared" si="8"/>
        <v>0.37333333333333318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IF(ISNA(VLOOKUP("DIJ622200000",Balance!C:G,5,FALSE))=TRUE,0,VLOOKUP("DIJ622200000",Balance!C:G,5,FALSE))</f>
        <v>0</v>
      </c>
      <c r="D92" s="117">
        <f>+[2]Dijon!$H92</f>
        <v>0</v>
      </c>
      <c r="E92" s="160"/>
      <c r="F92" s="368">
        <f>+C92+C92/6*(12-Clients!$I$14)</f>
        <v>0</v>
      </c>
      <c r="G92" s="368">
        <f t="shared" si="5"/>
        <v>0</v>
      </c>
      <c r="H92" s="409"/>
      <c r="I92" s="149">
        <f t="shared" si="8"/>
        <v>0</v>
      </c>
      <c r="J92" s="271">
        <f t="shared" si="8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IF(ISNA(VLOOKUP("DIJ622600000",Balance!C:G,5,FALSE))=TRUE,0,VLOOKUP("DIJ622600000",Balance!C:G,5,FALSE))</f>
        <v>0</v>
      </c>
      <c r="D93" s="592">
        <f>+[2]Dijon!$H93</f>
        <v>400</v>
      </c>
      <c r="E93" s="113"/>
      <c r="F93" s="625">
        <f>+C93+C93/6*(12-Clients!$I$14)</f>
        <v>0</v>
      </c>
      <c r="G93" s="625">
        <f t="shared" si="5"/>
        <v>0</v>
      </c>
      <c r="H93" s="630"/>
      <c r="I93" s="591">
        <f t="shared" si="8"/>
        <v>0</v>
      </c>
      <c r="J93" s="595">
        <f t="shared" si="8"/>
        <v>0</v>
      </c>
      <c r="L93" s="17">
        <f t="shared" si="7"/>
        <v>1</v>
      </c>
    </row>
    <row r="94" spans="1:12">
      <c r="A94" s="590" t="s">
        <v>42</v>
      </c>
      <c r="B94" s="591"/>
      <c r="C94" s="311">
        <f>IF(ISNA(VLOOKUP("DIJ622710000",Balance!C:G,5,FALSE))=TRUE,0,VLOOKUP("DIJ622710000",Balance!C:G,5,FALSE))</f>
        <v>0</v>
      </c>
      <c r="D94" s="592">
        <f>+[2]Dijon!$H94</f>
        <v>500</v>
      </c>
      <c r="E94" s="113"/>
      <c r="F94" s="625">
        <f>+C94+C94/6*(12-Clients!$I$14)</f>
        <v>0</v>
      </c>
      <c r="G94" s="625">
        <f t="shared" si="5"/>
        <v>0</v>
      </c>
      <c r="H94" s="630"/>
      <c r="I94" s="591">
        <f t="shared" si="8"/>
        <v>0</v>
      </c>
      <c r="J94" s="595">
        <f t="shared" si="8"/>
        <v>0</v>
      </c>
      <c r="L94" s="17">
        <f t="shared" si="7"/>
        <v>1</v>
      </c>
    </row>
    <row r="95" spans="1:12">
      <c r="A95" s="590" t="s">
        <v>117</v>
      </c>
      <c r="B95" s="591">
        <f>+C95/$C$21</f>
        <v>2.0688916879297064E-2</v>
      </c>
      <c r="C95" s="311">
        <f>IF(ISNA(VLOOKUP("DIJ624200000",Balance!C:G,5,FALSE))=TRUE,0,VLOOKUP("DIJ624200000",Balance!C:G,5,FALSE))</f>
        <v>5167.76</v>
      </c>
      <c r="D95" s="592">
        <f>+[2]Dijon!$H95</f>
        <v>4122.4492193983442</v>
      </c>
      <c r="E95" s="113"/>
      <c r="F95" s="625">
        <f>+C95+C95/6*(12-Clients!$I$14)</f>
        <v>7751.64</v>
      </c>
      <c r="G95" s="625">
        <f>B95*G21</f>
        <v>13470.864113863508</v>
      </c>
      <c r="H95" s="633">
        <f>+G95/$G$21</f>
        <v>2.0688916879297064E-2</v>
      </c>
      <c r="I95" s="591">
        <f t="shared" si="8"/>
        <v>0</v>
      </c>
      <c r="J95" s="595">
        <f t="shared" si="8"/>
        <v>0.73780827203836963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IF(ISNA(VLOOKUP("DIJ625100000",Balance!C:G,5,FALSE))=TRUE,0,VLOOKUP("DIJ625100000",Balance!C:G,5,FALSE))</f>
        <v>5936.77</v>
      </c>
      <c r="D96" s="592">
        <f>+[2]Dijon!$H96</f>
        <v>18750</v>
      </c>
      <c r="E96" s="113"/>
      <c r="F96" s="625">
        <f>+C96+C96/6*(12-Clients!$I$14)</f>
        <v>8905.1550000000007</v>
      </c>
      <c r="G96" s="594">
        <f t="shared" si="5"/>
        <v>12229.746200000001</v>
      </c>
      <c r="H96" s="594"/>
      <c r="I96" s="591">
        <f t="shared" si="8"/>
        <v>0</v>
      </c>
      <c r="J96" s="595">
        <f t="shared" si="8"/>
        <v>0.37333333333333341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IF(ISNA(VLOOKUP("DIJ625200000",Balance!C:G,5,FALSE))=TRUE,0,VLOOKUP("DIJ625200000",Balance!C:G,5,FALSE))</f>
        <v>934.77</v>
      </c>
      <c r="D97" s="592">
        <f>+[2]Dijon!$H97</f>
        <v>0</v>
      </c>
      <c r="E97" s="113"/>
      <c r="F97" s="625">
        <f>+C97+C97/6*(12-Clients!$I$14)</f>
        <v>1402.155</v>
      </c>
      <c r="G97" s="594">
        <f t="shared" si="5"/>
        <v>1925.6261999999999</v>
      </c>
      <c r="H97" s="594"/>
      <c r="I97" s="591">
        <f t="shared" si="8"/>
        <v>0</v>
      </c>
      <c r="J97" s="595">
        <f t="shared" si="8"/>
        <v>0.37333333333333329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IF(ISNA(VLOOKUP("DIJ625510000",Balance!C:G,5,FALSE))=TRUE,0,VLOOKUP("DIJ625510000",Balance!C:G,5,FALSE))</f>
        <v>0</v>
      </c>
      <c r="D98" s="117">
        <f>+[2]Dijon!$H98</f>
        <v>0</v>
      </c>
      <c r="E98" s="160"/>
      <c r="F98" s="368">
        <f>+C98+C98/6*(12-Clients!$I$14)</f>
        <v>0</v>
      </c>
      <c r="G98" s="368">
        <f>+F98/9*12*1.03</f>
        <v>0</v>
      </c>
      <c r="H98" s="409"/>
      <c r="I98" s="149">
        <f t="shared" si="8"/>
        <v>0</v>
      </c>
      <c r="J98" s="271">
        <f t="shared" si="8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IF(ISNA(VLOOKUP("DIJ626000000",Balance!C:G,5,FALSE))=TRUE,0,VLOOKUP("DIJ626000000",Balance!C:G,5,FALSE))</f>
        <v>3967.62</v>
      </c>
      <c r="D99" s="592">
        <f>+[2]Dijon!$H99</f>
        <v>2500</v>
      </c>
      <c r="E99" s="113"/>
      <c r="F99" s="625">
        <f>+C99+C99/6*(12-Clients!$I$14)</f>
        <v>5951.43</v>
      </c>
      <c r="G99" s="625">
        <f>+F99</f>
        <v>5951.43</v>
      </c>
      <c r="H99" s="630"/>
      <c r="I99" s="591">
        <f t="shared" si="8"/>
        <v>0</v>
      </c>
      <c r="J99" s="595">
        <f t="shared" si="8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IF(ISNA(VLOOKUP("DIJ626100000",Balance!C:G,5,FALSE))=TRUE,0,VLOOKUP("DIJ626100000",Balance!C:G,5,FALSE))</f>
        <v>0</v>
      </c>
      <c r="D100" s="592">
        <f>+[2]Dijon!$H100</f>
        <v>500</v>
      </c>
      <c r="E100" s="113"/>
      <c r="F100" s="625">
        <f>+C100+C100/6*(12-Clients!$I$14)</f>
        <v>0</v>
      </c>
      <c r="G100" s="625">
        <f>+F100/9*12*1.03</f>
        <v>0</v>
      </c>
      <c r="H100" s="630"/>
      <c r="I100" s="591">
        <f t="shared" si="8"/>
        <v>0</v>
      </c>
      <c r="J100" s="595">
        <f t="shared" si="8"/>
        <v>0</v>
      </c>
      <c r="L100" s="17">
        <f t="shared" si="7"/>
        <v>1</v>
      </c>
    </row>
    <row r="101" spans="1:12" hidden="1">
      <c r="A101" s="5" t="s">
        <v>121</v>
      </c>
      <c r="B101" s="92"/>
      <c r="C101" s="160">
        <f>IF(ISNA(VLOOKUP("DIJ628400000",Balance!C:G,5,FALSE))=TRUE,0,VLOOKUP("DIJ628400000",Balance!C:G,5,FALSE))</f>
        <v>0</v>
      </c>
      <c r="D101" s="117">
        <f>+[2]Dijon!$H101</f>
        <v>0</v>
      </c>
      <c r="E101" s="160"/>
      <c r="F101" s="368">
        <f>+C101+C101/6*(12-Clients!$I$14)</f>
        <v>0</v>
      </c>
      <c r="G101" s="368">
        <f>+F101/9*12*1.03</f>
        <v>0</v>
      </c>
      <c r="H101" s="409"/>
      <c r="I101" s="149">
        <f t="shared" si="8"/>
        <v>0</v>
      </c>
      <c r="J101" s="271">
        <f t="shared" si="8"/>
        <v>0</v>
      </c>
      <c r="L101" s="17">
        <f t="shared" si="7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0.15223678476097627</v>
      </c>
      <c r="C103" s="305">
        <f>SUM(C70:C102)</f>
        <v>38026.31</v>
      </c>
      <c r="D103" s="312">
        <f>SUM(D70:D102)</f>
        <v>66041.066719398339</v>
      </c>
      <c r="E103" s="204">
        <f>SUM(E70:E102)</f>
        <v>0</v>
      </c>
      <c r="F103" s="312">
        <f>SUM(F70:F102)</f>
        <v>57039.464999999997</v>
      </c>
      <c r="G103" s="312">
        <f>SUM(G70:G102)</f>
        <v>79556.809913863515</v>
      </c>
      <c r="H103" s="421">
        <f>+G103/$G$21</f>
        <v>0.12218549705330628</v>
      </c>
      <c r="I103" s="598">
        <f>+IF((E103)=0,,(F103-E103)/E103)</f>
        <v>0</v>
      </c>
      <c r="J103" s="599">
        <f>+IF((F103)=0,,(G103-F103)/F103)</f>
        <v>0.39476781407159972</v>
      </c>
      <c r="K103" s="136">
        <f>(C103+(C103/3))</f>
        <v>50701.746666666666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IF(ISNA(VLOOKUP("DIJ623100000",Balance!C:G,5,FALSE))=TRUE,0,VLOOKUP("DIJ623100000",Balance!C:G,5,FALSE))</f>
        <v>0</v>
      </c>
      <c r="D105" s="592">
        <f>+[2]Dijon!$H105</f>
        <v>200</v>
      </c>
      <c r="E105" s="113"/>
      <c r="F105" s="625">
        <f>+C105+C105/6*(12-Clients!$I$14)</f>
        <v>0</v>
      </c>
      <c r="G105" s="594">
        <f t="shared" ref="G105:G114" si="9">+F105/9*12*1.03</f>
        <v>0</v>
      </c>
      <c r="H105" s="594"/>
      <c r="I105" s="591">
        <f t="shared" ref="I105:J114" si="10">+IF((E105)=0,,(F105-E105)/E105)</f>
        <v>0</v>
      </c>
      <c r="J105" s="595">
        <f t="shared" si="10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IF(ISNA(VLOOKUP("DIJ623200000",Balance!C:G,5,FALSE))=TRUE,0,VLOOKUP("DIJ623200000",Balance!C:G,5,FALSE))</f>
        <v>2033.41</v>
      </c>
      <c r="D106" s="592">
        <f>+[2]Dijon!$H106</f>
        <v>2500</v>
      </c>
      <c r="E106" s="113"/>
      <c r="F106" s="625">
        <f>+C106+C106/6*(12-Clients!$I$14)</f>
        <v>3050.1150000000002</v>
      </c>
      <c r="G106" s="594">
        <v>2500</v>
      </c>
      <c r="H106" s="594"/>
      <c r="I106" s="591">
        <f t="shared" si="10"/>
        <v>0</v>
      </c>
      <c r="J106" s="595">
        <f t="shared" si="10"/>
        <v>-0.18035877335772593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IF(ISNA(VLOOKUP("DIJ629000000",Balance!C:G,5,FALSE))=TRUE,0,VLOOKUP("DIJ629000000",Balance!C:G,5,FALSE))</f>
        <v>0</v>
      </c>
      <c r="D107" s="117">
        <f>+[2]Dijon!$H107</f>
        <v>0</v>
      </c>
      <c r="E107" s="160"/>
      <c r="F107" s="368">
        <f>+C107+C107/6*(12-Clients!$I$14)</f>
        <v>0</v>
      </c>
      <c r="G107" s="395">
        <f t="shared" si="9"/>
        <v>0</v>
      </c>
      <c r="H107" s="401"/>
      <c r="I107" s="149">
        <f t="shared" si="10"/>
        <v>0</v>
      </c>
      <c r="J107" s="271">
        <f t="shared" si="10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IF(ISNA(VLOOKUP("DIJ623300000",Balance!C:G,5,FALSE))=TRUE,0,VLOOKUP("DIJ623300000",Balance!C:G,5,FALSE))</f>
        <v>1196.6300000000001</v>
      </c>
      <c r="D108" s="592">
        <f>+[2]Dijon!$H108</f>
        <v>0</v>
      </c>
      <c r="E108" s="113"/>
      <c r="F108" s="625">
        <f>+C108+C108/6*(12-Clients!$I$14)</f>
        <v>1794.9450000000002</v>
      </c>
      <c r="G108" s="594">
        <v>2000</v>
      </c>
      <c r="H108" s="594"/>
      <c r="I108" s="591">
        <f t="shared" si="10"/>
        <v>0</v>
      </c>
      <c r="J108" s="595">
        <f t="shared" si="10"/>
        <v>0.11424026920044894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IF(ISNA(VLOOKUP("DIJ623700000",Balance!C:G,5,FALSE))=TRUE,0,VLOOKUP("DIJ623700000",Balance!C:G,5,FALSE))</f>
        <v>4253.0200000000004</v>
      </c>
      <c r="D109" s="592">
        <f>+[2]Dijon!$H109</f>
        <v>2000</v>
      </c>
      <c r="E109" s="113"/>
      <c r="F109" s="625">
        <f>+C109+C109/6*(12-Clients!$I$14)</f>
        <v>6379.5300000000007</v>
      </c>
      <c r="G109" s="594">
        <v>5000</v>
      </c>
      <c r="H109" s="594"/>
      <c r="I109" s="591">
        <f t="shared" si="10"/>
        <v>0</v>
      </c>
      <c r="J109" s="595">
        <f t="shared" si="10"/>
        <v>-0.21624320286917698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IF(ISNA(VLOOKUP("DIJ623410000",Balance!C:G,5,FALSE))=TRUE,0,VLOOKUP("DIJ623410000",Balance!C:G,5,FALSE))+IF(ISNA(VLOOKUP("DIJ623420000",Balance!C:G,5,FALSE))=TRUE,0,VLOOKUP("DIJ623420000",Balance!C:G,5,FALSE))</f>
        <v>2246.1999999999998</v>
      </c>
      <c r="D110" s="592">
        <f>+[2]Dijon!$H110</f>
        <v>3000</v>
      </c>
      <c r="E110" s="113"/>
      <c r="F110" s="625">
        <f>+C110+C110/6*(12-Clients!$I$14)</f>
        <v>3369.2999999999997</v>
      </c>
      <c r="G110" s="594">
        <v>3000</v>
      </c>
      <c r="H110" s="594"/>
      <c r="I110" s="591">
        <f t="shared" si="10"/>
        <v>0</v>
      </c>
      <c r="J110" s="595">
        <f t="shared" si="10"/>
        <v>-0.1096073368355444</v>
      </c>
      <c r="L110" s="17">
        <f t="shared" si="7"/>
        <v>1</v>
      </c>
    </row>
    <row r="111" spans="1:12" hidden="1">
      <c r="A111" s="5" t="s">
        <v>135</v>
      </c>
      <c r="B111" s="92"/>
      <c r="C111" s="160">
        <f>IF(ISNA(VLOOKUP("DIJ623800000",Balance!C:G,5,FALSE))=TRUE,0,VLOOKUP("DIJ623800000",Balance!C:G,5,FALSE))+IF(ISNA(VLOOKUP("DIJ623820000",Balance!C:G,5,FALSE))=TRUE,0,VLOOKUP("DIJ623820000",Balance!C:G,5,FALSE))</f>
        <v>0</v>
      </c>
      <c r="D111" s="117">
        <f>+[2]Dijon!$H111</f>
        <v>0</v>
      </c>
      <c r="E111" s="160"/>
      <c r="F111" s="368">
        <f>+C111+C111/6*(12-Clients!$I$14)</f>
        <v>0</v>
      </c>
      <c r="G111" s="395">
        <f t="shared" si="9"/>
        <v>0</v>
      </c>
      <c r="H111" s="401"/>
      <c r="I111" s="149">
        <f t="shared" si="10"/>
        <v>0</v>
      </c>
      <c r="J111" s="271">
        <f t="shared" si="10"/>
        <v>0</v>
      </c>
      <c r="L111" s="17">
        <f t="shared" si="7"/>
        <v>0</v>
      </c>
    </row>
    <row r="112" spans="1:12" hidden="1">
      <c r="A112" s="5" t="s">
        <v>136</v>
      </c>
      <c r="B112" s="92"/>
      <c r="C112" s="160">
        <f>IF(ISNA(VLOOKUP("DIJ625600000",Balance!C:G,5,FALSE))=TRUE,0,VLOOKUP("DIJ625600000",Balance!C:G,5,FALSE))</f>
        <v>0</v>
      </c>
      <c r="D112" s="117">
        <f>+[2]Dijon!$H112</f>
        <v>0</v>
      </c>
      <c r="E112" s="160"/>
      <c r="F112" s="368">
        <f>+C112+C112/6*(12-Clients!$I$14)</f>
        <v>0</v>
      </c>
      <c r="G112" s="395">
        <f t="shared" si="9"/>
        <v>0</v>
      </c>
      <c r="H112" s="401"/>
      <c r="I112" s="149">
        <f t="shared" si="10"/>
        <v>0</v>
      </c>
      <c r="J112" s="271">
        <f t="shared" si="10"/>
        <v>0</v>
      </c>
      <c r="L112" s="17">
        <f t="shared" si="7"/>
        <v>0</v>
      </c>
    </row>
    <row r="113" spans="1:12">
      <c r="A113" s="590" t="s">
        <v>137</v>
      </c>
      <c r="B113" s="591"/>
      <c r="C113" s="635">
        <f>IF(ISNA(VLOOKUP("DIJ625700000",Balance!C:G,5,FALSE))=TRUE,0,VLOOKUP("DIJ625700000",Balance!C:G,5,FALSE))+IF(ISNA(VLOOKUP("DIJ625710000",Balance!C:G,5,FALSE))=TRUE,0,VLOOKUP("DIJ625710000",Balance!C:G,5,FALSE))</f>
        <v>3350.91</v>
      </c>
      <c r="D113" s="592">
        <f>+[2]Dijon!$H113</f>
        <v>4000</v>
      </c>
      <c r="E113" s="113"/>
      <c r="F113" s="625">
        <v>1718.77</v>
      </c>
      <c r="G113" s="594">
        <v>2000</v>
      </c>
      <c r="H113" s="594"/>
      <c r="I113" s="591">
        <f t="shared" si="10"/>
        <v>0</v>
      </c>
      <c r="J113" s="595">
        <f t="shared" si="10"/>
        <v>0.16362282329805619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IF(ISNA(VLOOKUP("DIJ623810000",Balance!C:G,5,FALSE))=TRUE,0,VLOOKUP("DIJ623810000",Balance!C:G,5,FALSE))</f>
        <v>0</v>
      </c>
      <c r="D114" s="117">
        <f>+[2]Dijon!$H114</f>
        <v>0</v>
      </c>
      <c r="E114" s="160"/>
      <c r="F114" s="368">
        <f>+C114+C114/6*(12-Clients!$I$14)</f>
        <v>0</v>
      </c>
      <c r="G114" s="395">
        <f t="shared" si="9"/>
        <v>0</v>
      </c>
      <c r="H114" s="401"/>
      <c r="I114" s="149">
        <f t="shared" si="10"/>
        <v>0</v>
      </c>
      <c r="J114" s="271">
        <f t="shared" si="10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5.2365928351369856E-2</v>
      </c>
      <c r="C116" s="305">
        <f>SUM(C104:C115)</f>
        <v>13080.17</v>
      </c>
      <c r="D116" s="312">
        <f>SUM(D104:D115)</f>
        <v>11700</v>
      </c>
      <c r="E116" s="204">
        <f>SUM(E104:E115)</f>
        <v>0</v>
      </c>
      <c r="F116" s="312">
        <f>SUM(F104:F115)</f>
        <v>16312.66</v>
      </c>
      <c r="G116" s="312">
        <f>SUM(G104:G115)</f>
        <v>14500</v>
      </c>
      <c r="H116" s="421">
        <f>+G116/$G$21</f>
        <v>2.2269491564470178E-2</v>
      </c>
      <c r="I116" s="598">
        <f>+IF((E116)=0,,(F116-E116)/E116)</f>
        <v>0</v>
      </c>
      <c r="J116" s="599">
        <f>+IF((F116)=0,,(G116-F116)/F116)</f>
        <v>-0.11111982962925727</v>
      </c>
      <c r="K116" s="136">
        <f>(C116+(C116/3))</f>
        <v>17440.226666666666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IF(ISNA(VLOOKUP("DIJ633300000",Balance!C:G,5,FALSE))=TRUE,0,VLOOKUP("DIJ633300000",Balance!C:G,5,FALSE))</f>
        <v>803.48</v>
      </c>
      <c r="D118" s="592">
        <f>+[2]Dijon!$H118</f>
        <v>349.99999999999994</v>
      </c>
      <c r="E118" s="113"/>
      <c r="F118" s="625">
        <f>+C118+C118/6*(12-Clients!$I$14)</f>
        <v>1205.22</v>
      </c>
      <c r="G118" s="625">
        <f>+F118/9*12*1.03</f>
        <v>1655.1688000000001</v>
      </c>
      <c r="H118" s="630"/>
      <c r="I118" s="591">
        <f t="shared" ref="I118:J127" si="11">+IF((E118)=0,,(F118-E118)/E118)</f>
        <v>0</v>
      </c>
      <c r="J118" s="595">
        <f t="shared" si="11"/>
        <v>0.37333333333333341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IF(ISNA(VLOOKUP("DIJ633400000",Balance!C:G,5,FALSE))=TRUE,0,VLOOKUP("DIJ633400000",Balance!C:G,5,FALSE))</f>
        <v>0</v>
      </c>
      <c r="D119" s="592">
        <f>+[2]Dijon!$H119</f>
        <v>225.00000000000003</v>
      </c>
      <c r="E119" s="113"/>
      <c r="F119" s="625">
        <f>+C119+C119/6*(12-Clients!$I$14)</f>
        <v>0</v>
      </c>
      <c r="G119" s="625">
        <f>+F119/9*12*1.03</f>
        <v>0</v>
      </c>
      <c r="H119" s="630"/>
      <c r="I119" s="591">
        <f t="shared" si="11"/>
        <v>0</v>
      </c>
      <c r="J119" s="595">
        <f t="shared" si="11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IF(ISNA(VLOOKUP("DIJ633500000",Balance!C:G,5,FALSE))=TRUE,0,VLOOKUP("DIJ633500000",Balance!C:G,5,FALSE))</f>
        <v>0</v>
      </c>
      <c r="D120" s="592">
        <f>+[2]Dijon!$H120</f>
        <v>390</v>
      </c>
      <c r="E120" s="113"/>
      <c r="F120" s="625">
        <f>+C120+C120/6*(12-Clients!$I$14)</f>
        <v>0</v>
      </c>
      <c r="G120" s="625">
        <f>+F120/9*12*1.03</f>
        <v>0</v>
      </c>
      <c r="H120" s="630"/>
      <c r="I120" s="591">
        <f t="shared" si="11"/>
        <v>0</v>
      </c>
      <c r="J120" s="595">
        <f t="shared" si="11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IF(ISNA(VLOOKUP("DIJ635110000",Balance!C:G,5,FALSE))=TRUE,0,VLOOKUP("DIJ635110000",Balance!C:G,5,FALSE))</f>
        <v>1999.98</v>
      </c>
      <c r="D121" s="592">
        <f>+[2]Dijon!$H121</f>
        <v>3000</v>
      </c>
      <c r="E121" s="113"/>
      <c r="F121" s="632">
        <f>+C121+C121/6*(12-Clients!$I$14)</f>
        <v>2999.9700000000003</v>
      </c>
      <c r="G121" s="632">
        <f>+F121*1.05</f>
        <v>3149.9685000000004</v>
      </c>
      <c r="H121" s="632"/>
      <c r="I121" s="591">
        <f t="shared" si="11"/>
        <v>0</v>
      </c>
      <c r="J121" s="595">
        <f t="shared" si="11"/>
        <v>5.0000000000000044E-2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IF(ISNA(VLOOKUP("DIJ635120000",Balance!C:G,5,FALSE))=TRUE,0,VLOOKUP("DIJ635120000",Balance!C:G,5,FALSE))</f>
        <v>2334</v>
      </c>
      <c r="D122" s="592">
        <f>+[2]Dijon!$H122</f>
        <v>3500</v>
      </c>
      <c r="E122" s="113"/>
      <c r="F122" s="637">
        <v>780</v>
      </c>
      <c r="G122" s="637">
        <v>1087</v>
      </c>
      <c r="H122" s="632"/>
      <c r="I122" s="591">
        <f t="shared" si="11"/>
        <v>0</v>
      </c>
      <c r="J122" s="595">
        <f t="shared" si="11"/>
        <v>0.39358974358974358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IF(ISNA(VLOOKUP("DIJ635130000",Balance!C:G,5,FALSE))=TRUE,0,VLOOKUP("DIJ635130000",Balance!C:G,5,FALSE))</f>
        <v>0</v>
      </c>
      <c r="D123" s="592">
        <f>+[2]Dijon!$H123</f>
        <v>100</v>
      </c>
      <c r="E123" s="113"/>
      <c r="F123" s="637">
        <f>30*34.1</f>
        <v>1023</v>
      </c>
      <c r="G123" s="637">
        <f>+F123*1.03</f>
        <v>1053.69</v>
      </c>
      <c r="H123" s="632"/>
      <c r="I123" s="591">
        <f t="shared" si="11"/>
        <v>0</v>
      </c>
      <c r="J123" s="595">
        <f t="shared" si="11"/>
        <v>3.0000000000000054E-2</v>
      </c>
      <c r="L123" s="17">
        <f t="shared" si="7"/>
        <v>1</v>
      </c>
    </row>
    <row r="124" spans="1:12">
      <c r="A124" s="590" t="s">
        <v>145</v>
      </c>
      <c r="B124" s="591"/>
      <c r="C124" s="311">
        <f>IF(ISNA(VLOOKUP("DIJ635140000",Balance!C:G,5,FALSE))=TRUE,0,VLOOKUP("DIJ635140000",Balance!C:G,5,FALSE))</f>
        <v>232.5</v>
      </c>
      <c r="D124" s="592">
        <f>+[2]Dijon!$H124</f>
        <v>0</v>
      </c>
      <c r="E124" s="113"/>
      <c r="F124" s="625">
        <f>+C124+C124/6*(12-Clients!$I$14)</f>
        <v>348.75</v>
      </c>
      <c r="G124" s="632">
        <v>0</v>
      </c>
      <c r="H124" s="632"/>
      <c r="I124" s="591">
        <f t="shared" si="11"/>
        <v>0</v>
      </c>
      <c r="J124" s="595">
        <f t="shared" si="11"/>
        <v>-1</v>
      </c>
      <c r="L124" s="17">
        <f t="shared" si="7"/>
        <v>1</v>
      </c>
    </row>
    <row r="125" spans="1:12" hidden="1">
      <c r="A125" s="5" t="s">
        <v>286</v>
      </c>
      <c r="B125" s="92"/>
      <c r="C125" s="160">
        <f>IF(ISNA(VLOOKUP("DIJ635300000",Balance!C:G,5,FALSE))=TRUE,0,VLOOKUP("DIJ635300000",Balance!C:G,5,FALSE))</f>
        <v>0</v>
      </c>
      <c r="D125" s="117">
        <f>+[2]Dijon!$H125</f>
        <v>0</v>
      </c>
      <c r="E125" s="160"/>
      <c r="F125" s="368">
        <f>+C125+C125/6*(12-Clients!$I$14)</f>
        <v>0</v>
      </c>
      <c r="G125" s="397">
        <f>+F125*1.03</f>
        <v>0</v>
      </c>
      <c r="H125" s="413"/>
      <c r="I125" s="149">
        <f t="shared" si="11"/>
        <v>0</v>
      </c>
      <c r="J125" s="271">
        <f t="shared" si="11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IF(ISNA(VLOOKUP("DIJ635400000",Balance!C:G,5,FALSE))=TRUE,0,VLOOKUP("DIJ635400000",Balance!C:G,5,FALSE))</f>
        <v>0</v>
      </c>
      <c r="D126" s="117">
        <f>+[2]Dijon!$H126</f>
        <v>0</v>
      </c>
      <c r="E126" s="160"/>
      <c r="F126" s="368">
        <f>+C126+C126/6*(12-Clients!$I$14)</f>
        <v>0</v>
      </c>
      <c r="G126" s="397">
        <f>+F126*1.03</f>
        <v>0</v>
      </c>
      <c r="H126" s="413"/>
      <c r="I126" s="149">
        <f t="shared" si="11"/>
        <v>0</v>
      </c>
      <c r="J126" s="271">
        <f t="shared" si="11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IF(ISNA(VLOOKUP("DIJ637100000",Balance!C:G,5,FALSE))=TRUE,0,VLOOKUP("DIJ637100000",Balance!C:G,5,FALSE))</f>
        <v>460.54</v>
      </c>
      <c r="D127" s="592">
        <f>+[2]Dijon!$H127</f>
        <v>648</v>
      </c>
      <c r="E127" s="113"/>
      <c r="F127" s="625">
        <f>+F21*0.16%</f>
        <v>602.62263466666673</v>
      </c>
      <c r="G127" s="625">
        <f>+F127/9*12*1.03</f>
        <v>827.601751608889</v>
      </c>
      <c r="H127" s="630"/>
      <c r="I127" s="591">
        <f t="shared" si="11"/>
        <v>0</v>
      </c>
      <c r="J127" s="595">
        <f t="shared" si="11"/>
        <v>0.37333333333333341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2.3342169501823138E-2</v>
      </c>
      <c r="C129" s="305">
        <f>SUM(C117:C128)</f>
        <v>5830.5</v>
      </c>
      <c r="D129" s="312">
        <f>SUM(D117:D128)</f>
        <v>8213</v>
      </c>
      <c r="E129" s="204">
        <f>SUM(E117:E128)</f>
        <v>0</v>
      </c>
      <c r="F129" s="312">
        <f>SUM(F117:F128)</f>
        <v>6959.5626346666668</v>
      </c>
      <c r="G129" s="312">
        <f>SUM(G117:G128)</f>
        <v>7773.4290516088895</v>
      </c>
      <c r="H129" s="421">
        <f>+G129/$G$21</f>
        <v>1.1938642254607695E-2</v>
      </c>
      <c r="I129" s="598">
        <f>+IF((E129)=0,,(F129-E129)/E129)</f>
        <v>0</v>
      </c>
      <c r="J129" s="599">
        <f>+IF((F129)=0,,(G129-F129)/F129)</f>
        <v>0.11694217864901843</v>
      </c>
      <c r="K129" s="136">
        <f>(C129+(C129/3))</f>
        <v>7774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IF(ISNA(VLOOKUP("DIJ641100000",Balance!C:G,5,FALSE))=TRUE,0,VLOOKUP("DIJ641100000",Balance!C:G,5,FALSE))</f>
        <v>45262.68</v>
      </c>
      <c r="D131" s="592">
        <f>+[2]Dijon!$H131</f>
        <v>50000</v>
      </c>
      <c r="E131" s="113"/>
      <c r="F131" s="625">
        <f>+C131+C131/6*(12-Clients!$I$14)</f>
        <v>67894.02</v>
      </c>
      <c r="G131" s="594">
        <v>76577</v>
      </c>
      <c r="H131" s="594"/>
      <c r="I131" s="591">
        <f t="shared" ref="I131:J146" si="12">+IF((E131)=0,,(F131-E131)/E131)</f>
        <v>0</v>
      </c>
      <c r="J131" s="595">
        <f t="shared" si="12"/>
        <v>0.1278902029957866</v>
      </c>
      <c r="L131" s="17">
        <v>1</v>
      </c>
    </row>
    <row r="132" spans="1:12" hidden="1">
      <c r="A132" s="5" t="s">
        <v>149</v>
      </c>
      <c r="B132" s="92"/>
      <c r="C132" s="160">
        <f>IF(ISNA(VLOOKUP("DIJ641110000",Balance!C:G,5,FALSE))=TRUE,0,VLOOKUP("DIJ641110000",Balance!C:G,5,FALSE))</f>
        <v>0</v>
      </c>
      <c r="D132" s="117">
        <f>+[2]Dijon!$H132</f>
        <v>0</v>
      </c>
      <c r="E132" s="160"/>
      <c r="F132" s="368">
        <f>+C132+C132/6*(12-Clients!$I$14)</f>
        <v>0</v>
      </c>
      <c r="G132" s="395">
        <v>0</v>
      </c>
      <c r="H132" s="401"/>
      <c r="I132" s="149">
        <f t="shared" si="12"/>
        <v>0</v>
      </c>
      <c r="J132" s="271">
        <f t="shared" si="12"/>
        <v>0</v>
      </c>
      <c r="L132" s="17">
        <v>0</v>
      </c>
    </row>
    <row r="133" spans="1:12" hidden="1">
      <c r="A133" s="5" t="s">
        <v>150</v>
      </c>
      <c r="B133" s="92"/>
      <c r="C133" s="160">
        <f>IF(ISNA(VLOOKUP("DIJ641111000",Balance!C:G,5,FALSE))=TRUE,0,VLOOKUP("DIJ641111000",Balance!C:G,5,FALSE))</f>
        <v>0</v>
      </c>
      <c r="D133" s="117">
        <f>+[2]Dijon!$H133</f>
        <v>0</v>
      </c>
      <c r="E133" s="160"/>
      <c r="F133" s="368">
        <f>+C133+C133/6*(12-Clients!$I$14)</f>
        <v>0</v>
      </c>
      <c r="G133" s="395">
        <f t="shared" ref="G133:G140" si="13">+F133*1.03</f>
        <v>0</v>
      </c>
      <c r="H133" s="401"/>
      <c r="I133" s="149">
        <f t="shared" si="12"/>
        <v>0</v>
      </c>
      <c r="J133" s="271">
        <f t="shared" si="12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IF(ISNA(VLOOKUP("DIJ641200000",Balance!C:G,5,FALSE))=TRUE,0,VLOOKUP("DIJ641200000",Balance!C:G,5,FALSE))</f>
        <v>0</v>
      </c>
      <c r="D134" s="117">
        <f>+[2]Dijon!$H134</f>
        <v>0</v>
      </c>
      <c r="E134" s="160"/>
      <c r="F134" s="368">
        <f>+C134+C134/6*(12-Clients!$I$14)</f>
        <v>0</v>
      </c>
      <c r="G134" s="395">
        <f t="shared" si="13"/>
        <v>0</v>
      </c>
      <c r="H134" s="401"/>
      <c r="I134" s="149">
        <f t="shared" si="12"/>
        <v>0</v>
      </c>
      <c r="J134" s="271">
        <f t="shared" si="12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IF(ISNA(VLOOKUP("DIJ621100000",Balance!C:G,5,FALSE))=TRUE,0,VLOOKUP("DIJ621100000",Balance!C:G,5,FALSE))</f>
        <v>0</v>
      </c>
      <c r="D135" s="117">
        <f>+[2]Dijon!$H135</f>
        <v>0</v>
      </c>
      <c r="E135" s="160"/>
      <c r="F135" s="368">
        <f>+C135+C135/6*(12-Clients!$I$14)</f>
        <v>0</v>
      </c>
      <c r="G135" s="395">
        <f t="shared" si="13"/>
        <v>0</v>
      </c>
      <c r="H135" s="401"/>
      <c r="I135" s="149">
        <f t="shared" si="12"/>
        <v>0</v>
      </c>
      <c r="J135" s="271">
        <f t="shared" si="12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IF(ISNA(VLOOKUP("DIJ621200000",Balance!C:G,5,FALSE))=TRUE,0,VLOOKUP("DIJ621200000",Balance!C:G,5,FALSE))</f>
        <v>0</v>
      </c>
      <c r="D136" s="117">
        <f>+[2]Dijon!$H136</f>
        <v>0</v>
      </c>
      <c r="E136" s="160"/>
      <c r="F136" s="368">
        <f>+C136+C136/6*(12-Clients!$I$14)</f>
        <v>0</v>
      </c>
      <c r="G136" s="395">
        <f t="shared" si="13"/>
        <v>0</v>
      </c>
      <c r="H136" s="401"/>
      <c r="I136" s="149">
        <f t="shared" si="12"/>
        <v>0</v>
      </c>
      <c r="J136" s="271">
        <f t="shared" si="12"/>
        <v>0</v>
      </c>
      <c r="L136" s="17">
        <f t="shared" ref="L136:L197" si="14">IF(SUM(C136:J136)&lt;&gt;0,1,0)</f>
        <v>0</v>
      </c>
    </row>
    <row r="137" spans="1:12" hidden="1">
      <c r="A137" s="5" t="s">
        <v>87</v>
      </c>
      <c r="B137" s="92"/>
      <c r="C137" s="160">
        <f>IF(ISNA(VLOOKUP("DIJ706100000",Balance!C:G,5,FALSE))=TRUE,0,-VLOOKUP("DIJ706100000",Balance!C:G,5,FALSE))</f>
        <v>0</v>
      </c>
      <c r="D137" s="117">
        <f>+[2]Dijon!$H137</f>
        <v>0</v>
      </c>
      <c r="E137" s="160"/>
      <c r="F137" s="368">
        <f>+C137+C137/6*(12-Clients!$I$14)</f>
        <v>0</v>
      </c>
      <c r="G137" s="395">
        <f t="shared" si="13"/>
        <v>0</v>
      </c>
      <c r="H137" s="401"/>
      <c r="I137" s="149">
        <f t="shared" si="12"/>
        <v>0</v>
      </c>
      <c r="J137" s="271">
        <f t="shared" si="12"/>
        <v>0</v>
      </c>
      <c r="L137" s="17">
        <f t="shared" si="14"/>
        <v>0</v>
      </c>
    </row>
    <row r="138" spans="1:12" hidden="1">
      <c r="A138" s="5" t="s">
        <v>152</v>
      </c>
      <c r="B138" s="92"/>
      <c r="C138" s="160">
        <f>IF(ISNA(VLOOKUP("DIJ641210000",Balance!C:G,5,FALSE))=TRUE,0,VLOOKUP("DIJ641210000",Balance!C:G,5,FALSE))</f>
        <v>0</v>
      </c>
      <c r="D138" s="117">
        <f>+[2]Dijon!$H138</f>
        <v>0</v>
      </c>
      <c r="E138" s="160"/>
      <c r="F138" s="368">
        <f>+C138+C138/6*(12-Clients!$I$14)</f>
        <v>0</v>
      </c>
      <c r="G138" s="395">
        <f t="shared" si="13"/>
        <v>0</v>
      </c>
      <c r="H138" s="401"/>
      <c r="I138" s="149">
        <f t="shared" si="12"/>
        <v>0</v>
      </c>
      <c r="J138" s="271">
        <f t="shared" si="12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IF(ISNA(VLOOKUP("DIJ641400000",Balance!C:G,5,FALSE))=TRUE,0,VLOOKUP("DIJ641400000",Balance!C:G,5,FALSE))</f>
        <v>0</v>
      </c>
      <c r="D139" s="117">
        <f>+[2]Dijon!$H139</f>
        <v>0</v>
      </c>
      <c r="E139" s="160"/>
      <c r="F139" s="368">
        <f>+C139+C139/6*(12-Clients!$I$14)</f>
        <v>0</v>
      </c>
      <c r="G139" s="395">
        <f t="shared" si="13"/>
        <v>0</v>
      </c>
      <c r="H139" s="401"/>
      <c r="I139" s="149">
        <f t="shared" si="12"/>
        <v>0</v>
      </c>
      <c r="J139" s="271">
        <f t="shared" si="12"/>
        <v>0</v>
      </c>
      <c r="L139" s="17">
        <f t="shared" si="14"/>
        <v>0</v>
      </c>
    </row>
    <row r="140" spans="1:12" hidden="1">
      <c r="A140" s="5" t="s">
        <v>154</v>
      </c>
      <c r="B140" s="92"/>
      <c r="C140" s="160">
        <f>IF(ISNA(VLOOKUP("DIJ641600000",Balance!C:G,5,FALSE))=TRUE,0,VLOOKUP("DIJ641600000",Balance!C:G,5,FALSE))</f>
        <v>0</v>
      </c>
      <c r="D140" s="117">
        <f>+[2]Dijon!$H140</f>
        <v>0</v>
      </c>
      <c r="E140" s="160"/>
      <c r="F140" s="368">
        <f>+C140+C140/6*(12-Clients!$I$14)</f>
        <v>0</v>
      </c>
      <c r="G140" s="395">
        <f t="shared" si="13"/>
        <v>0</v>
      </c>
      <c r="H140" s="401"/>
      <c r="I140" s="149">
        <f t="shared" si="12"/>
        <v>0</v>
      </c>
      <c r="J140" s="271">
        <f t="shared" si="12"/>
        <v>0</v>
      </c>
      <c r="L140" s="17">
        <f t="shared" si="14"/>
        <v>0</v>
      </c>
    </row>
    <row r="141" spans="1:12">
      <c r="A141" s="590" t="s">
        <v>155</v>
      </c>
      <c r="B141" s="591"/>
      <c r="C141" s="311">
        <f>IF(ISNA(VLOOKUP("DIJ645100000",Balance!C:G,5,FALSE))=TRUE,0,VLOOKUP("DIJ645100000",Balance!C:G,5,FALSE))</f>
        <v>13299.45</v>
      </c>
      <c r="D141" s="592">
        <f>+[2]Dijon!$H141</f>
        <v>12385.69640287234</v>
      </c>
      <c r="E141" s="113"/>
      <c r="F141" s="625">
        <f t="shared" ref="F141:F146" si="15">+C141/$C$131*$F$131</f>
        <v>19949.175000000003</v>
      </c>
      <c r="G141" s="630">
        <f t="shared" ref="G141:G146" si="16">+($G$131/$C$131*C141)*1.01</f>
        <v>22725.483830751957</v>
      </c>
      <c r="H141" s="630"/>
      <c r="I141" s="591">
        <f t="shared" si="12"/>
        <v>0</v>
      </c>
      <c r="J141" s="595">
        <f t="shared" si="12"/>
        <v>0.13916910502574434</v>
      </c>
      <c r="L141" s="17">
        <f t="shared" si="14"/>
        <v>1</v>
      </c>
    </row>
    <row r="142" spans="1:12">
      <c r="A142" s="590" t="s">
        <v>156</v>
      </c>
      <c r="B142" s="591"/>
      <c r="C142" s="311">
        <f>IF(ISNA(VLOOKUP("DIJ645200000",Balance!C:G,5,FALSE))=TRUE,0,VLOOKUP("DIJ645200000",Balance!C:G,5,FALSE))</f>
        <v>1216.6600000000001</v>
      </c>
      <c r="D142" s="592">
        <f>+[2]Dijon!$H142</f>
        <v>1556.9310895161357</v>
      </c>
      <c r="E142" s="113"/>
      <c r="F142" s="625">
        <f t="shared" si="15"/>
        <v>1824.9900000000002</v>
      </c>
      <c r="G142" s="630">
        <f t="shared" si="16"/>
        <v>2078.9722249809338</v>
      </c>
      <c r="H142" s="630"/>
      <c r="I142" s="591">
        <f t="shared" si="12"/>
        <v>0</v>
      </c>
      <c r="J142" s="595">
        <f t="shared" si="12"/>
        <v>0.13916910502574453</v>
      </c>
      <c r="L142" s="17">
        <f t="shared" si="14"/>
        <v>1</v>
      </c>
    </row>
    <row r="143" spans="1:12">
      <c r="A143" s="590" t="s">
        <v>157</v>
      </c>
      <c r="B143" s="591"/>
      <c r="C143" s="311">
        <f>IF(ISNA(VLOOKUP("DIJ645300000",Balance!C:G,5,FALSE))=TRUE,0,VLOOKUP("DIJ645300000",Balance!C:G,5,FALSE))+IF(ISNA(VLOOKUP("DIJ645810000",Balance!C:G,5,FALSE))=TRUE,0,VLOOKUP("DIJ645810000",Balance!C:G,5,FALSE))</f>
        <v>2775.03</v>
      </c>
      <c r="D143" s="592">
        <f>+[2]Dijon!$H143</f>
        <v>3423.4066966842765</v>
      </c>
      <c r="E143" s="113"/>
      <c r="F143" s="625">
        <f t="shared" si="15"/>
        <v>4162.545000000001</v>
      </c>
      <c r="G143" s="630">
        <f t="shared" si="16"/>
        <v>4741.8426622793886</v>
      </c>
      <c r="H143" s="630"/>
      <c r="I143" s="591">
        <f t="shared" si="12"/>
        <v>0</v>
      </c>
      <c r="J143" s="595">
        <f t="shared" si="12"/>
        <v>0.13916910502574445</v>
      </c>
      <c r="L143" s="17">
        <f t="shared" si="14"/>
        <v>1</v>
      </c>
    </row>
    <row r="144" spans="1:12" hidden="1">
      <c r="A144" s="5" t="s">
        <v>326</v>
      </c>
      <c r="B144" s="92"/>
      <c r="C144" s="160">
        <f>IF(ISNA(VLOOKUP("DIJ645310000",Balance!C:G,5,FALSE))=TRUE,0,VLOOKUP("DIJ645310000",Balance!C:G,5,FALSE))</f>
        <v>0</v>
      </c>
      <c r="D144" s="117">
        <f>+[2]Dijon!$H144</f>
        <v>0</v>
      </c>
      <c r="E144" s="160"/>
      <c r="F144" s="368">
        <f t="shared" si="15"/>
        <v>0</v>
      </c>
      <c r="G144" s="396">
        <f t="shared" si="16"/>
        <v>0</v>
      </c>
      <c r="H144" s="409"/>
      <c r="I144" s="149">
        <f t="shared" si="12"/>
        <v>0</v>
      </c>
      <c r="J144" s="271">
        <f t="shared" si="12"/>
        <v>0</v>
      </c>
      <c r="L144" s="17">
        <f t="shared" si="14"/>
        <v>0</v>
      </c>
    </row>
    <row r="145" spans="1:12">
      <c r="A145" s="590" t="s">
        <v>158</v>
      </c>
      <c r="B145" s="591"/>
      <c r="C145" s="311">
        <f>IF(ISNA(VLOOKUP("DIJ645400000",Balance!C:G,5,FALSE))=TRUE,0,VLOOKUP("DIJ645400000",Balance!C:G,5,FALSE))</f>
        <v>1910.99</v>
      </c>
      <c r="D145" s="592">
        <f>+[2]Dijon!$H145</f>
        <v>2154.8882065008083</v>
      </c>
      <c r="E145" s="113"/>
      <c r="F145" s="625">
        <f t="shared" si="15"/>
        <v>2866.4850000000001</v>
      </c>
      <c r="G145" s="630">
        <f t="shared" si="16"/>
        <v>3265.4111520197216</v>
      </c>
      <c r="H145" s="630"/>
      <c r="I145" s="591">
        <f t="shared" si="12"/>
        <v>0</v>
      </c>
      <c r="J145" s="595">
        <f t="shared" si="12"/>
        <v>0.13916910502574459</v>
      </c>
      <c r="L145" s="17">
        <f t="shared" si="14"/>
        <v>1</v>
      </c>
    </row>
    <row r="146" spans="1:12" hidden="1">
      <c r="A146" s="5" t="s">
        <v>159</v>
      </c>
      <c r="B146" s="92"/>
      <c r="C146" s="160">
        <f>IF(ISNA(VLOOKUP("DIJ645800000",Balance!C:G,5,FALSE))=TRUE,0,VLOOKUP("DIJ645800000",Balance!C:G,5,FALSE))</f>
        <v>0</v>
      </c>
      <c r="D146" s="117">
        <f>+[2]Dijon!$H146</f>
        <v>0</v>
      </c>
      <c r="E146" s="160"/>
      <c r="F146" s="368">
        <f t="shared" si="15"/>
        <v>0</v>
      </c>
      <c r="G146" s="396">
        <f t="shared" si="16"/>
        <v>0</v>
      </c>
      <c r="H146" s="409"/>
      <c r="I146" s="149">
        <f t="shared" si="12"/>
        <v>0</v>
      </c>
      <c r="J146" s="271">
        <f t="shared" si="12"/>
        <v>0</v>
      </c>
      <c r="L146" s="17">
        <f t="shared" si="14"/>
        <v>0</v>
      </c>
    </row>
    <row r="147" spans="1:12">
      <c r="A147" s="590" t="s">
        <v>160</v>
      </c>
      <c r="B147" s="591"/>
      <c r="C147" s="311">
        <f>IF(ISNA(VLOOKUP("DIJ645900000",Balance!C:G,5,FALSE))=TRUE,0,VLOOKUP("DIJ645900000",Balance!C:G,5,FALSE))</f>
        <v>574.28</v>
      </c>
      <c r="D147" s="592">
        <f>+[2]Dijon!$H147</f>
        <v>0</v>
      </c>
      <c r="E147" s="113"/>
      <c r="F147" s="625">
        <f>+C147+C147/6*(12-Clients!$I$14)</f>
        <v>861.42</v>
      </c>
      <c r="G147" s="625">
        <f t="shared" ref="G147:G152" si="17">+F147/9*12*1.03</f>
        <v>1183.0167999999999</v>
      </c>
      <c r="H147" s="630"/>
      <c r="I147" s="591">
        <f t="shared" ref="I147:J152" si="18">+IF((E147)=0,,(F147-E147)/E147)</f>
        <v>0</v>
      </c>
      <c r="J147" s="595">
        <f t="shared" si="18"/>
        <v>0.37333333333333324</v>
      </c>
      <c r="L147" s="17">
        <f t="shared" si="14"/>
        <v>1</v>
      </c>
    </row>
    <row r="148" spans="1:12">
      <c r="A148" s="590" t="s">
        <v>161</v>
      </c>
      <c r="B148" s="591"/>
      <c r="C148" s="311">
        <f>IF(ISNA(VLOOKUP("DIJ647100000",Balance!C:G,5,FALSE))=TRUE,0,VLOOKUP("DIJ647100000",Balance!C:G,5,FALSE))</f>
        <v>0</v>
      </c>
      <c r="D148" s="592">
        <f>+[2]Dijon!$H148</f>
        <v>50</v>
      </c>
      <c r="E148" s="113"/>
      <c r="F148" s="625">
        <f>+C148+C148/6*(12-Clients!$I$14)</f>
        <v>0</v>
      </c>
      <c r="G148" s="625">
        <f t="shared" si="17"/>
        <v>0</v>
      </c>
      <c r="H148" s="630"/>
      <c r="I148" s="591">
        <f t="shared" si="18"/>
        <v>0</v>
      </c>
      <c r="J148" s="595">
        <f t="shared" si="18"/>
        <v>0</v>
      </c>
      <c r="L148" s="17">
        <f t="shared" si="14"/>
        <v>1</v>
      </c>
    </row>
    <row r="149" spans="1:12" hidden="1">
      <c r="A149" s="5" t="s">
        <v>162</v>
      </c>
      <c r="B149" s="92"/>
      <c r="C149" s="160">
        <f>IF(ISNA(VLOOKUP("DIJ647400000",Balance!C:G,5,FALSE))=TRUE,0,VLOOKUP("DIJ647400000",Balance!C:G,5,FALSE))</f>
        <v>0</v>
      </c>
      <c r="D149" s="117">
        <f>+[2]Dijon!$H149</f>
        <v>0</v>
      </c>
      <c r="E149" s="160"/>
      <c r="F149" s="368">
        <f>+C149+C149/6*(12-Clients!$I$14)</f>
        <v>0</v>
      </c>
      <c r="G149" s="368">
        <f t="shared" si="17"/>
        <v>0</v>
      </c>
      <c r="H149" s="409"/>
      <c r="I149" s="149">
        <f t="shared" si="18"/>
        <v>0</v>
      </c>
      <c r="J149" s="271">
        <f t="shared" si="18"/>
        <v>0</v>
      </c>
      <c r="L149" s="17">
        <f t="shared" si="14"/>
        <v>0</v>
      </c>
    </row>
    <row r="150" spans="1:12">
      <c r="A150" s="590" t="s">
        <v>163</v>
      </c>
      <c r="B150" s="591"/>
      <c r="C150" s="311">
        <f>IF(ISNA(VLOOKUP("DIJ647500000",Balance!C:G,5,FALSE))=TRUE,0,VLOOKUP("DIJ647500000",Balance!C:G,5,FALSE))</f>
        <v>0</v>
      </c>
      <c r="D150" s="592">
        <f>+[2]Dijon!$H150</f>
        <v>206.20089869251095</v>
      </c>
      <c r="E150" s="113"/>
      <c r="F150" s="625">
        <f>+C150+C150/6*(12-Clients!$I$14)</f>
        <v>0</v>
      </c>
      <c r="G150" s="625">
        <f t="shared" si="17"/>
        <v>0</v>
      </c>
      <c r="H150" s="630"/>
      <c r="I150" s="591">
        <f t="shared" si="18"/>
        <v>0</v>
      </c>
      <c r="J150" s="595">
        <f t="shared" si="18"/>
        <v>0</v>
      </c>
      <c r="L150" s="17">
        <f t="shared" si="14"/>
        <v>1</v>
      </c>
    </row>
    <row r="151" spans="1:12" hidden="1">
      <c r="A151" s="5" t="s">
        <v>570</v>
      </c>
      <c r="B151" s="92"/>
      <c r="C151" s="160"/>
      <c r="D151" s="117">
        <f>+[2]Dijon!$H151</f>
        <v>0</v>
      </c>
      <c r="E151" s="160"/>
      <c r="F151" s="368">
        <f>+C151+C151/6*(12-Clients!$I$14)</f>
        <v>0</v>
      </c>
      <c r="G151" s="368">
        <f t="shared" si="17"/>
        <v>0</v>
      </c>
      <c r="H151" s="409"/>
      <c r="I151" s="149"/>
      <c r="J151" s="271"/>
      <c r="L151" s="17">
        <f t="shared" si="14"/>
        <v>0</v>
      </c>
    </row>
    <row r="152" spans="1:12">
      <c r="A152" s="590" t="s">
        <v>58</v>
      </c>
      <c r="B152" s="591"/>
      <c r="C152" s="311">
        <f>IF(ISNA(VLOOKUP("DIJ648000000",Balance!C:G,5,FALSE))=TRUE,0,VLOOKUP("DIJ648000000",Balance!C:G,5,FALSE))</f>
        <v>0</v>
      </c>
      <c r="D152" s="592">
        <f>+[2]Dijon!$H152</f>
        <v>500</v>
      </c>
      <c r="E152" s="113"/>
      <c r="F152" s="625">
        <f>+C152+C152/6*(12-Clients!$I$14)</f>
        <v>0</v>
      </c>
      <c r="G152" s="625">
        <f t="shared" si="17"/>
        <v>0</v>
      </c>
      <c r="H152" s="630">
        <f>SUM(G141:G152)</f>
        <v>33994.726670031996</v>
      </c>
      <c r="I152" s="591">
        <f t="shared" si="18"/>
        <v>0</v>
      </c>
      <c r="J152" s="595">
        <f t="shared" si="18"/>
        <v>0</v>
      </c>
      <c r="L152" s="17">
        <f t="shared" si="14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13" t="s">
        <v>164</v>
      </c>
      <c r="B154" s="596">
        <f>+C154/$C$21</f>
        <v>0.26038135031718213</v>
      </c>
      <c r="C154" s="305">
        <f>SUM(C130:C153)</f>
        <v>65039.090000000004</v>
      </c>
      <c r="D154" s="312">
        <f>SUM(D130:D153)</f>
        <v>70277.123294266057</v>
      </c>
      <c r="E154" s="204">
        <f>SUM(E130:E153)</f>
        <v>0</v>
      </c>
      <c r="F154" s="312">
        <f>SUM(F130:F153)</f>
        <v>97558.635000000009</v>
      </c>
      <c r="G154" s="312">
        <f>SUM(G130:G153)</f>
        <v>110571.72667003199</v>
      </c>
      <c r="H154" s="421">
        <f>+G154/$G$21</f>
        <v>0.16981904374808135</v>
      </c>
      <c r="I154" s="598">
        <f>+IF((E154)=0,,(F154-E154)/E154)</f>
        <v>0</v>
      </c>
      <c r="J154" s="599">
        <f>+IF((F154)=0,,(G154-F154)/F154)</f>
        <v>0.13338738974804207</v>
      </c>
      <c r="K154" s="136">
        <f>(C154+(C154/3))</f>
        <v>86718.786666666667</v>
      </c>
      <c r="L154" s="17">
        <f t="shared" si="14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590" t="s">
        <v>545</v>
      </c>
      <c r="B156" s="591">
        <v>0.77270000000000005</v>
      </c>
      <c r="C156" s="311">
        <f>IF(ISNA(VLOOKUP("DIJ681740000",Balance!C:G,5,FALSE))=TRUE,0,VLOOKUP("DIJ681740000",Balance!C:G,5,FALSE))</f>
        <v>1596.5</v>
      </c>
      <c r="D156" s="592">
        <f>+[2]Dijon!$H156</f>
        <v>5195.5327450240229</v>
      </c>
      <c r="E156" s="113"/>
      <c r="F156" s="625">
        <f>+C156+C156/6*(12-Clients!$I$14)</f>
        <v>2394.75</v>
      </c>
      <c r="G156" s="637">
        <f>+G21*B156*1.62%</f>
        <v>8150.4882801000012</v>
      </c>
      <c r="H156" s="639"/>
      <c r="I156" s="591">
        <f t="shared" ref="I156:J166" si="19">+IF((E156)=0,,(F156-E156)/E156)</f>
        <v>0</v>
      </c>
      <c r="J156" s="595">
        <f t="shared" si="19"/>
        <v>2.403481900031319</v>
      </c>
      <c r="L156" s="17">
        <f t="shared" si="14"/>
        <v>1</v>
      </c>
    </row>
    <row r="157" spans="1:12" hidden="1">
      <c r="A157" s="5" t="s">
        <v>165</v>
      </c>
      <c r="B157" s="92"/>
      <c r="C157" s="160">
        <f>IF(ISNA(VLOOKUP("DIJ781740000",Balance!C:G,5,FALSE))=TRUE,0,VLOOKUP("DIJ781740000",Balance!C:G,5,FALSE))</f>
        <v>0</v>
      </c>
      <c r="D157" s="117">
        <f>+[2]Dijon!$H157</f>
        <v>0</v>
      </c>
      <c r="E157" s="160"/>
      <c r="F157" s="368">
        <f>+C157+C157/6*(12-Clients!$I$14)</f>
        <v>0</v>
      </c>
      <c r="G157" s="368">
        <f t="shared" ref="G157:G166" si="20">+F157/9*12*1.03</f>
        <v>0</v>
      </c>
      <c r="H157" s="409"/>
      <c r="I157" s="149">
        <f t="shared" si="19"/>
        <v>0</v>
      </c>
      <c r="J157" s="271">
        <f t="shared" si="19"/>
        <v>0</v>
      </c>
      <c r="L157" s="17">
        <f t="shared" si="14"/>
        <v>0</v>
      </c>
    </row>
    <row r="158" spans="1:12" hidden="1">
      <c r="A158" s="5" t="s">
        <v>166</v>
      </c>
      <c r="B158" s="92"/>
      <c r="C158" s="160">
        <f>IF(ISNA(VLOOKUP("DIJ654400000",Balance!C:G,5,FALSE))=TRUE,0,VLOOKUP("DIJ654400000",Balance!C:G,5,FALSE))</f>
        <v>0</v>
      </c>
      <c r="D158" s="117">
        <f>+[2]Dijon!$H158</f>
        <v>0</v>
      </c>
      <c r="E158" s="160"/>
      <c r="F158" s="368">
        <f>+C158+C158/6*(12-Clients!$I$14)</f>
        <v>0</v>
      </c>
      <c r="G158" s="368">
        <f t="shared" si="20"/>
        <v>0</v>
      </c>
      <c r="H158" s="409"/>
      <c r="I158" s="149">
        <f t="shared" si="19"/>
        <v>0</v>
      </c>
      <c r="J158" s="271">
        <f t="shared" si="19"/>
        <v>0</v>
      </c>
      <c r="L158" s="17">
        <f t="shared" si="14"/>
        <v>0</v>
      </c>
    </row>
    <row r="159" spans="1:12" hidden="1">
      <c r="A159" s="5" t="s">
        <v>60</v>
      </c>
      <c r="B159" s="92"/>
      <c r="C159" s="160">
        <f>IF(ISNA(VLOOKUP("DIJ791100000",Balance!C:G,5,FALSE))=TRUE,0,VLOOKUP("DIJ791100000",Balance!C:G,5,FALSE))</f>
        <v>0</v>
      </c>
      <c r="D159" s="117">
        <f>+[2]Dijon!$H159</f>
        <v>0</v>
      </c>
      <c r="E159" s="160"/>
      <c r="F159" s="368">
        <f>+C159+C159/6*(12-Clients!$I$14)</f>
        <v>0</v>
      </c>
      <c r="G159" s="368">
        <f t="shared" si="20"/>
        <v>0</v>
      </c>
      <c r="H159" s="409"/>
      <c r="I159" s="149">
        <f t="shared" si="19"/>
        <v>0</v>
      </c>
      <c r="J159" s="271">
        <f t="shared" si="19"/>
        <v>0</v>
      </c>
      <c r="L159" s="17">
        <f t="shared" si="14"/>
        <v>0</v>
      </c>
    </row>
    <row r="160" spans="1:12">
      <c r="A160" s="590" t="s">
        <v>199</v>
      </c>
      <c r="B160" s="591"/>
      <c r="C160" s="311">
        <f>IF(ISNA(VLOOKUP("DIJ654100000",Balance!C:G,5,FALSE))=TRUE,0,VLOOKUP("DIJ654100000",Balance!C:G,5,FALSE))</f>
        <v>-3.999999999999998E-2</v>
      </c>
      <c r="D160" s="592">
        <f>+[2]Dijon!$H160</f>
        <v>0</v>
      </c>
      <c r="E160" s="113"/>
      <c r="F160" s="625">
        <f>+C160+C160/6*(12-Clients!$I$14)</f>
        <v>-5.999999999999997E-2</v>
      </c>
      <c r="G160" s="625">
        <f t="shared" si="20"/>
        <v>-8.2399999999999959E-2</v>
      </c>
      <c r="H160" s="630"/>
      <c r="I160" s="591">
        <f t="shared" si="19"/>
        <v>0</v>
      </c>
      <c r="J160" s="595">
        <f t="shared" si="19"/>
        <v>0.37333333333333335</v>
      </c>
      <c r="L160" s="17">
        <f t="shared" si="14"/>
        <v>1</v>
      </c>
    </row>
    <row r="161" spans="1:12" hidden="1">
      <c r="A161" s="5" t="s">
        <v>41</v>
      </c>
      <c r="B161" s="92"/>
      <c r="C161" s="160">
        <f>IF(ISNA(VLOOKUP("DIJ622700000",Balance!C:G,5,FALSE))=TRUE,0,VLOOKUP("DIJ622700000",Balance!C:G,5,FALSE))</f>
        <v>0</v>
      </c>
      <c r="D161" s="117">
        <f>+[2]Dijon!$H161</f>
        <v>0</v>
      </c>
      <c r="E161" s="160"/>
      <c r="F161" s="368">
        <f>+C161+C161/6*(12-Clients!$I$14)</f>
        <v>0</v>
      </c>
      <c r="G161" s="368">
        <f t="shared" si="20"/>
        <v>0</v>
      </c>
      <c r="H161" s="409"/>
      <c r="I161" s="149">
        <f t="shared" si="19"/>
        <v>0</v>
      </c>
      <c r="J161" s="271">
        <f t="shared" si="19"/>
        <v>0</v>
      </c>
      <c r="L161" s="17">
        <f t="shared" si="14"/>
        <v>0</v>
      </c>
    </row>
    <row r="162" spans="1:12">
      <c r="A162" s="590" t="s">
        <v>355</v>
      </c>
      <c r="B162" s="591"/>
      <c r="C162" s="311">
        <f>IF(ISNA(VLOOKUP("DIJ654200000",Balance!C:G,5,FALSE))=TRUE,0,VLOOKUP("DIJ654200000",Balance!C:G,5,FALSE))</f>
        <v>10.77</v>
      </c>
      <c r="D162" s="592">
        <f>+[2]Dijon!$H162</f>
        <v>0</v>
      </c>
      <c r="E162" s="113"/>
      <c r="F162" s="625">
        <f>+C162+C162/6*(12-Clients!$I$14)</f>
        <v>16.155000000000001</v>
      </c>
      <c r="G162" s="625">
        <f t="shared" si="20"/>
        <v>22.186200000000003</v>
      </c>
      <c r="H162" s="630"/>
      <c r="I162" s="591">
        <f t="shared" si="19"/>
        <v>0</v>
      </c>
      <c r="J162" s="595">
        <f t="shared" si="19"/>
        <v>0.37333333333333341</v>
      </c>
      <c r="L162" s="17">
        <f t="shared" si="14"/>
        <v>1</v>
      </c>
    </row>
    <row r="163" spans="1:12">
      <c r="A163" s="590" t="s">
        <v>200</v>
      </c>
      <c r="B163" s="591"/>
      <c r="C163" s="311">
        <f>IF(ISNA(VLOOKUP("DIJ665000000",Balance!C:G,5,FALSE))=TRUE,0,VLOOKUP("DIJ665000000",Balance!C:G,5,FALSE))+IF(ISNA(VLOOKUP("DIJ665100000",Balance!C:G,5,FALSE))=TRUE,0,VLOOKUP("DIJ665100000",Balance!C:G,5,FALSE))</f>
        <v>40.53</v>
      </c>
      <c r="D163" s="592">
        <f>+[2]Dijon!$H163</f>
        <v>0</v>
      </c>
      <c r="E163" s="113"/>
      <c r="F163" s="625">
        <f>+C163+C163/6*(12-Clients!$I$14)</f>
        <v>60.795000000000002</v>
      </c>
      <c r="G163" s="625">
        <f t="shared" si="20"/>
        <v>83.491799999999998</v>
      </c>
      <c r="H163" s="630"/>
      <c r="I163" s="591">
        <f t="shared" si="19"/>
        <v>0</v>
      </c>
      <c r="J163" s="595">
        <f t="shared" si="19"/>
        <v>0.37333333333333324</v>
      </c>
      <c r="L163" s="17">
        <f t="shared" si="14"/>
        <v>1</v>
      </c>
    </row>
    <row r="164" spans="1:12" hidden="1">
      <c r="A164" s="5" t="s">
        <v>271</v>
      </c>
      <c r="B164" s="92"/>
      <c r="C164" s="160">
        <f>IF(ISNA(VLOOKUP("DIJ763000000",Balance!C:G,5,FALSE))=TRUE,0,VLOOKUP("DIJ763000000",Balance!C:G,5,FALSE))</f>
        <v>0</v>
      </c>
      <c r="D164" s="117">
        <f>+[2]Dijon!$H164</f>
        <v>0</v>
      </c>
      <c r="E164" s="160"/>
      <c r="F164" s="368">
        <f>+C164+C164/6*(12-Clients!$I$14)</f>
        <v>0</v>
      </c>
      <c r="G164" s="368">
        <f t="shared" si="20"/>
        <v>0</v>
      </c>
      <c r="H164" s="409"/>
      <c r="I164" s="149">
        <f t="shared" si="19"/>
        <v>0</v>
      </c>
      <c r="J164" s="271">
        <f t="shared" si="19"/>
        <v>0</v>
      </c>
      <c r="L164" s="17">
        <f t="shared" si="14"/>
        <v>0</v>
      </c>
    </row>
    <row r="165" spans="1:12" hidden="1">
      <c r="A165" s="5" t="s">
        <v>242</v>
      </c>
      <c r="B165" s="92"/>
      <c r="C165" s="160">
        <f>IF(ISNA(VLOOKUP("DIJ627520000",Balance!C:G,5,FALSE))=TRUE,0,VLOOKUP("DIJ627520000",Balance!C:G,5,FALSE))</f>
        <v>0</v>
      </c>
      <c r="D165" s="117">
        <f>+[2]Dijon!$H165</f>
        <v>0</v>
      </c>
      <c r="E165" s="160"/>
      <c r="F165" s="368">
        <f>+C165+C165/6*(12-Clients!$I$14)</f>
        <v>0</v>
      </c>
      <c r="G165" s="368">
        <f t="shared" si="20"/>
        <v>0</v>
      </c>
      <c r="H165" s="409"/>
      <c r="I165" s="149">
        <f t="shared" si="19"/>
        <v>0</v>
      </c>
      <c r="J165" s="271">
        <f t="shared" si="19"/>
        <v>0</v>
      </c>
      <c r="L165" s="17">
        <f t="shared" si="14"/>
        <v>0</v>
      </c>
    </row>
    <row r="166" spans="1:12" hidden="1">
      <c r="A166" s="5" t="s">
        <v>201</v>
      </c>
      <c r="B166" s="92"/>
      <c r="C166" s="160">
        <f>IF(ISNA(VLOOKUP("DIJ763100000",Balance!C:G,5,FALSE))=TRUE,0,VLOOKUP("DIJ763100000",Balance!C:G,5,FALSE))</f>
        <v>0</v>
      </c>
      <c r="D166" s="117">
        <f>+[2]Dijon!$H166</f>
        <v>0</v>
      </c>
      <c r="E166" s="160"/>
      <c r="F166" s="368">
        <f>+C166+C166/6*(12-Clients!$I$14)</f>
        <v>0</v>
      </c>
      <c r="G166" s="368">
        <f t="shared" si="20"/>
        <v>0</v>
      </c>
      <c r="H166" s="409"/>
      <c r="I166" s="149">
        <f t="shared" si="19"/>
        <v>0</v>
      </c>
      <c r="J166" s="271">
        <f t="shared" si="19"/>
        <v>0</v>
      </c>
      <c r="L166" s="17">
        <f t="shared" si="14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13" t="s">
        <v>74</v>
      </c>
      <c r="B168" s="596">
        <f>+C168/$C$21</f>
        <v>6.5967401111952824E-3</v>
      </c>
      <c r="C168" s="305">
        <f>SUM(C155:C167)</f>
        <v>1647.76</v>
      </c>
      <c r="D168" s="312">
        <f>SUM(D155:D167)</f>
        <v>5195.5327450240229</v>
      </c>
      <c r="E168" s="204">
        <f>SUM(E155:E167)</f>
        <v>0</v>
      </c>
      <c r="F168" s="312">
        <f>SUM(F155:F167)</f>
        <v>2471.6400000000003</v>
      </c>
      <c r="G168" s="312">
        <f>SUM(G155:G167)</f>
        <v>8256.0838801000009</v>
      </c>
      <c r="H168" s="421">
        <f>+G168/$G$21</f>
        <v>1.2679916574030703E-2</v>
      </c>
      <c r="I168" s="598">
        <f>+IF((E168)=0,,(F168-E168)/E168)</f>
        <v>0</v>
      </c>
      <c r="J168" s="599">
        <f>+IF((F168)=0,,(G168-F168)/F168)</f>
        <v>2.3403262125956852</v>
      </c>
      <c r="K168" s="136">
        <f>(C168+(C168/3))</f>
        <v>2197.0133333333333</v>
      </c>
      <c r="L168" s="17">
        <f t="shared" si="14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 hidden="1">
      <c r="A170" s="5" t="s">
        <v>167</v>
      </c>
      <c r="B170" s="92"/>
      <c r="C170" s="160">
        <f>IF(ISNA(VLOOKUP("DIJ651100000",Balance!C:G,5,FALSE))=TRUE,0,VLOOKUP("DIJ651100000",Balance!C:G,5,FALSE))</f>
        <v>0</v>
      </c>
      <c r="D170" s="117">
        <f>+[2]Dijon!$H170</f>
        <v>0</v>
      </c>
      <c r="E170" s="160"/>
      <c r="F170" s="368">
        <f>+C170+C170/6*(12-Clients!$I$14)</f>
        <v>0</v>
      </c>
      <c r="G170" s="368">
        <f t="shared" ref="G170:G183" si="21">+F170/9*12*1.03</f>
        <v>0</v>
      </c>
      <c r="H170" s="409"/>
      <c r="I170" s="149">
        <f t="shared" ref="I170:J183" si="22">+IF((E170)=0,,(F170-E170)/E170)</f>
        <v>0</v>
      </c>
      <c r="J170" s="271">
        <f t="shared" si="22"/>
        <v>0</v>
      </c>
      <c r="L170" s="17">
        <f t="shared" si="14"/>
        <v>0</v>
      </c>
    </row>
    <row r="171" spans="1:12" hidden="1">
      <c r="A171" s="5" t="s">
        <v>168</v>
      </c>
      <c r="B171" s="92"/>
      <c r="C171" s="160">
        <f>IF(ISNA(VLOOKUP("DIJ651600000",Balance!C:G,5,FALSE))=TRUE,0,VLOOKUP("DIJ651600000",Balance!C:G,5,FALSE))</f>
        <v>0</v>
      </c>
      <c r="D171" s="117">
        <f>+[2]Dijon!$H171</f>
        <v>0</v>
      </c>
      <c r="E171" s="160"/>
      <c r="F171" s="368">
        <f>+C171+C171/6*(12-Clients!$I$14)</f>
        <v>0</v>
      </c>
      <c r="G171" s="368">
        <f t="shared" si="21"/>
        <v>0</v>
      </c>
      <c r="H171" s="409"/>
      <c r="I171" s="149">
        <f t="shared" si="22"/>
        <v>0</v>
      </c>
      <c r="J171" s="271">
        <f t="shared" si="22"/>
        <v>0</v>
      </c>
      <c r="L171" s="17">
        <f t="shared" si="14"/>
        <v>0</v>
      </c>
    </row>
    <row r="172" spans="1:12" hidden="1">
      <c r="A172" s="5" t="s">
        <v>169</v>
      </c>
      <c r="B172" s="92"/>
      <c r="C172" s="160">
        <f>IF(ISNA(VLOOKUP("DIJ671200000",Balance!C:G,5,FALSE))=TRUE,0,VLOOKUP("DIJ671200000",Balance!C:G,5,FALSE))</f>
        <v>0</v>
      </c>
      <c r="D172" s="117">
        <f>+[2]Dijon!$H172</f>
        <v>0</v>
      </c>
      <c r="E172" s="160"/>
      <c r="F172" s="368">
        <f>+C172+C172/6*(12-Clients!$I$14)</f>
        <v>0</v>
      </c>
      <c r="G172" s="368">
        <f t="shared" si="21"/>
        <v>0</v>
      </c>
      <c r="H172" s="409"/>
      <c r="I172" s="149">
        <f t="shared" si="22"/>
        <v>0</v>
      </c>
      <c r="J172" s="271">
        <f t="shared" si="22"/>
        <v>0</v>
      </c>
      <c r="L172" s="17">
        <f t="shared" si="14"/>
        <v>0</v>
      </c>
    </row>
    <row r="173" spans="1:12">
      <c r="A173" s="590" t="s">
        <v>170</v>
      </c>
      <c r="B173" s="591"/>
      <c r="C173" s="311">
        <f>IF(ISNA(VLOOKUP("DIJ671800000",Balance!C:G,5,FALSE))=TRUE,0,VLOOKUP("DIJ671800000",Balance!C:G,5,FALSE))</f>
        <v>0</v>
      </c>
      <c r="D173" s="592">
        <f>+[2]Dijon!$H173</f>
        <v>2000</v>
      </c>
      <c r="E173" s="113"/>
      <c r="F173" s="625">
        <f>+C173+C173/6*(12-Clients!$I$14)</f>
        <v>0</v>
      </c>
      <c r="G173" s="625">
        <f t="shared" si="21"/>
        <v>0</v>
      </c>
      <c r="H173" s="630"/>
      <c r="I173" s="591">
        <f t="shared" si="22"/>
        <v>0</v>
      </c>
      <c r="J173" s="595">
        <f t="shared" si="22"/>
        <v>0</v>
      </c>
      <c r="L173" s="17">
        <f t="shared" si="14"/>
        <v>1</v>
      </c>
    </row>
    <row r="174" spans="1:12" hidden="1">
      <c r="A174" s="5" t="s">
        <v>341</v>
      </c>
      <c r="B174" s="92"/>
      <c r="C174" s="160">
        <f>IF(ISNA(VLOOKUP("DIJ672000000",Balance!C:G,5,FALSE))=TRUE,0,VLOOKUP("DIJ672000000",Balance!C:G,5,FALSE))</f>
        <v>0</v>
      </c>
      <c r="D174" s="117">
        <f>+[2]Dijon!$H174</f>
        <v>0</v>
      </c>
      <c r="E174" s="160"/>
      <c r="F174" s="368">
        <f>+C174+C174/6*(12-Clients!$I$14)</f>
        <v>0</v>
      </c>
      <c r="G174" s="368">
        <f t="shared" si="21"/>
        <v>0</v>
      </c>
      <c r="H174" s="409"/>
      <c r="I174" s="149">
        <f t="shared" si="22"/>
        <v>0</v>
      </c>
      <c r="J174" s="271">
        <f t="shared" si="22"/>
        <v>0</v>
      </c>
      <c r="L174" s="17">
        <f t="shared" si="14"/>
        <v>0</v>
      </c>
    </row>
    <row r="175" spans="1:12" hidden="1">
      <c r="A175" s="5" t="s">
        <v>308</v>
      </c>
      <c r="B175" s="92"/>
      <c r="C175" s="160">
        <f>IF(ISNA(VLOOKUP("DIJ691100000",Balance!C:G,5,FALSE))=TRUE,0,VLOOKUP("DIJ691100000",Balance!C:G,5,FALSE))</f>
        <v>0</v>
      </c>
      <c r="D175" s="117">
        <f>+[2]Dijon!$H175</f>
        <v>0</v>
      </c>
      <c r="E175" s="160"/>
      <c r="F175" s="368">
        <f>+C175+C175/6*(12-Clients!$I$14)</f>
        <v>0</v>
      </c>
      <c r="G175" s="368">
        <f t="shared" si="21"/>
        <v>0</v>
      </c>
      <c r="H175" s="409"/>
      <c r="I175" s="149">
        <f t="shared" si="22"/>
        <v>0</v>
      </c>
      <c r="J175" s="271">
        <f t="shared" si="22"/>
        <v>0</v>
      </c>
      <c r="L175" s="17">
        <f t="shared" si="14"/>
        <v>0</v>
      </c>
    </row>
    <row r="176" spans="1:12" hidden="1">
      <c r="A176" s="5" t="s">
        <v>172</v>
      </c>
      <c r="B176" s="92"/>
      <c r="C176" s="160">
        <f>IF(ISNA(VLOOKUP("DIJ675100000",Balance!C:G,5,FALSE))=TRUE,0,VLOOKUP("DIJ675100000",Balance!C:G,5,FALSE))</f>
        <v>0</v>
      </c>
      <c r="D176" s="117">
        <f>+[2]Dijon!$H176</f>
        <v>0</v>
      </c>
      <c r="E176" s="160"/>
      <c r="F176" s="368">
        <f>+C176+C176/6*(12-Clients!$I$14)</f>
        <v>0</v>
      </c>
      <c r="G176" s="368">
        <f t="shared" si="21"/>
        <v>0</v>
      </c>
      <c r="H176" s="409"/>
      <c r="I176" s="149">
        <f t="shared" si="22"/>
        <v>0</v>
      </c>
      <c r="J176" s="271">
        <f t="shared" si="22"/>
        <v>0</v>
      </c>
      <c r="L176" s="17">
        <f t="shared" si="14"/>
        <v>0</v>
      </c>
    </row>
    <row r="177" spans="1:12" hidden="1">
      <c r="A177" s="5" t="s">
        <v>173</v>
      </c>
      <c r="B177" s="92"/>
      <c r="C177" s="160">
        <f>IF(ISNA(VLOOKUP("DIJ675200000",Balance!C:G,5,FALSE))=TRUE,0,VLOOKUP("DIJ675200000",Balance!C:G,5,FALSE))</f>
        <v>0</v>
      </c>
      <c r="D177" s="117">
        <f>+[2]Dijon!$H177</f>
        <v>0</v>
      </c>
      <c r="E177" s="160"/>
      <c r="F177" s="368">
        <f>+C177+C177/6*(12-Clients!$I$14)</f>
        <v>0</v>
      </c>
      <c r="G177" s="368">
        <f t="shared" si="21"/>
        <v>0</v>
      </c>
      <c r="H177" s="409"/>
      <c r="I177" s="149">
        <f t="shared" si="22"/>
        <v>0</v>
      </c>
      <c r="J177" s="271">
        <f t="shared" si="22"/>
        <v>0</v>
      </c>
      <c r="L177" s="17">
        <f t="shared" si="14"/>
        <v>0</v>
      </c>
    </row>
    <row r="178" spans="1:12" hidden="1">
      <c r="A178" s="5" t="s">
        <v>174</v>
      </c>
      <c r="B178" s="92"/>
      <c r="C178" s="160">
        <f>IF(ISNA(VLOOKUP("DIJ681110000",Balance!C:G,5,FALSE))=TRUE,0,VLOOKUP("DIJ681110000",Balance!C:G,5,FALSE))</f>
        <v>0</v>
      </c>
      <c r="D178" s="117">
        <f>+[2]Dijon!$H178</f>
        <v>0</v>
      </c>
      <c r="E178" s="160"/>
      <c r="F178" s="368">
        <f>+C178+C178/6*(12-Clients!$I$14)</f>
        <v>0</v>
      </c>
      <c r="G178" s="368">
        <f t="shared" si="21"/>
        <v>0</v>
      </c>
      <c r="H178" s="409"/>
      <c r="I178" s="149">
        <f t="shared" si="22"/>
        <v>0</v>
      </c>
      <c r="J178" s="271">
        <f t="shared" si="22"/>
        <v>0</v>
      </c>
      <c r="L178" s="17">
        <f t="shared" si="14"/>
        <v>0</v>
      </c>
    </row>
    <row r="179" spans="1:12">
      <c r="A179" s="590" t="s">
        <v>175</v>
      </c>
      <c r="B179" s="591"/>
      <c r="C179" s="311">
        <f>IF(ISNA(VLOOKUP("DIJ681120000",Balance!C:G,5,FALSE))=TRUE,0,VLOOKUP("DIJ681120000",Balance!C:G,5,FALSE))</f>
        <v>3000</v>
      </c>
      <c r="D179" s="592">
        <f>+[2]Dijon!$H179</f>
        <v>4500</v>
      </c>
      <c r="E179" s="113"/>
      <c r="F179" s="620">
        <v>2449.86</v>
      </c>
      <c r="G179" s="637">
        <f>3379.99+500+G255/10</f>
        <v>3879.99</v>
      </c>
      <c r="H179" s="632"/>
      <c r="I179" s="591">
        <f t="shared" si="22"/>
        <v>0</v>
      </c>
      <c r="J179" s="595">
        <f t="shared" si="22"/>
        <v>0.58375988832014869</v>
      </c>
      <c r="L179" s="17">
        <f t="shared" si="14"/>
        <v>1</v>
      </c>
    </row>
    <row r="180" spans="1:12" hidden="1">
      <c r="A180" s="5" t="s">
        <v>78</v>
      </c>
      <c r="B180" s="92"/>
      <c r="C180" s="160">
        <f>IF(ISNA(VLOOKUP("DIJ687250000",Balance!C:G,5,FALSE))=TRUE,0,+VLOOKUP("DIJ687250000",Balance!C:G,5,FALSE))</f>
        <v>0</v>
      </c>
      <c r="D180" s="117">
        <f>+[2]Dijon!$H180</f>
        <v>0</v>
      </c>
      <c r="E180" s="160"/>
      <c r="F180" s="368">
        <f>+C180+C180/6*(12-Clients!$I$14)</f>
        <v>0</v>
      </c>
      <c r="G180" s="368">
        <f t="shared" si="21"/>
        <v>0</v>
      </c>
      <c r="H180" s="409"/>
      <c r="I180" s="149">
        <f t="shared" si="22"/>
        <v>0</v>
      </c>
      <c r="J180" s="271">
        <f t="shared" si="22"/>
        <v>0</v>
      </c>
      <c r="L180" s="17">
        <f t="shared" si="14"/>
        <v>0</v>
      </c>
    </row>
    <row r="181" spans="1:12" hidden="1">
      <c r="A181" s="5" t="s">
        <v>327</v>
      </c>
      <c r="B181" s="92"/>
      <c r="C181" s="160">
        <f>IF(ISNA(VLOOKUP("DIJ661880000",Balance!C:G,5,FALSE))=TRUE,0,+VLOOKUP("DIJ661880000",Balance!C:G,5,FALSE))</f>
        <v>0</v>
      </c>
      <c r="D181" s="117">
        <f>+[2]Dijon!$H181</f>
        <v>0</v>
      </c>
      <c r="E181" s="160"/>
      <c r="F181" s="368">
        <f>+C181+C181/6*(12-Clients!$I$14)</f>
        <v>0</v>
      </c>
      <c r="G181" s="368">
        <f t="shared" si="21"/>
        <v>0</v>
      </c>
      <c r="H181" s="409"/>
      <c r="I181" s="149">
        <f t="shared" si="22"/>
        <v>0</v>
      </c>
      <c r="J181" s="271">
        <f t="shared" si="22"/>
        <v>0</v>
      </c>
      <c r="L181" s="17">
        <f t="shared" si="14"/>
        <v>0</v>
      </c>
    </row>
    <row r="182" spans="1:12" hidden="1">
      <c r="A182" s="5" t="s">
        <v>82</v>
      </c>
      <c r="B182" s="92"/>
      <c r="C182" s="160"/>
      <c r="D182" s="117">
        <f>+[2]Dijon!$H182</f>
        <v>0</v>
      </c>
      <c r="E182" s="160"/>
      <c r="F182" s="368">
        <f>+C182+C182/6*(12-Clients!$I$14)</f>
        <v>0</v>
      </c>
      <c r="G182" s="368">
        <f t="shared" si="21"/>
        <v>0</v>
      </c>
      <c r="H182" s="409"/>
      <c r="I182" s="149">
        <f t="shared" si="22"/>
        <v>0</v>
      </c>
      <c r="J182" s="271">
        <f t="shared" si="22"/>
        <v>0</v>
      </c>
      <c r="L182" s="17">
        <f t="shared" si="14"/>
        <v>0</v>
      </c>
    </row>
    <row r="183" spans="1:12" hidden="1">
      <c r="A183" s="5" t="s">
        <v>331</v>
      </c>
      <c r="B183" s="92"/>
      <c r="C183" s="160">
        <f>IF(ISNA(VLOOKUP("DIJ681500000",Balance!C:G,5,FALSE))=TRUE,0,VLOOKUP("DIJ681500000",Balance!C:G,5,FALSE))</f>
        <v>0</v>
      </c>
      <c r="D183" s="117">
        <f>+[2]Dijon!$H183</f>
        <v>0</v>
      </c>
      <c r="E183" s="160"/>
      <c r="F183" s="368">
        <f>+C183+C183/6*(12-Clients!$I$14)</f>
        <v>0</v>
      </c>
      <c r="G183" s="368">
        <f t="shared" si="21"/>
        <v>0</v>
      </c>
      <c r="H183" s="409"/>
      <c r="I183" s="149">
        <f t="shared" si="22"/>
        <v>0</v>
      </c>
      <c r="J183" s="271">
        <f t="shared" si="22"/>
        <v>0</v>
      </c>
      <c r="L183" s="17">
        <f t="shared" si="14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3000</v>
      </c>
      <c r="D185" s="312">
        <f>SUM(D169:D184)</f>
        <v>6500</v>
      </c>
      <c r="E185" s="136">
        <f>SUM(E169:E184)</f>
        <v>0</v>
      </c>
      <c r="F185" s="312">
        <f>SUM(F169:F184)</f>
        <v>2449.86</v>
      </c>
      <c r="G185" s="312">
        <f>SUM(G169:G184)</f>
        <v>3879.99</v>
      </c>
      <c r="H185" s="421"/>
      <c r="I185" s="598">
        <f>+IF((E185)=0,,(F185-E185)/E185)</f>
        <v>0</v>
      </c>
      <c r="J185" s="599">
        <f>+IF((F185)=0,,(G185-F185)/F185)</f>
        <v>0.58375988832014869</v>
      </c>
      <c r="K185" s="136">
        <f>(C185+(C185/3))</f>
        <v>4000</v>
      </c>
      <c r="L185" s="17">
        <f t="shared" si="14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 hidden="1">
      <c r="A187" s="5" t="s">
        <v>179</v>
      </c>
      <c r="B187" s="92"/>
      <c r="C187" s="160">
        <f>IF(ISNA(VLOOKUP("DIJ740000000",Balance!C:G,5,FALSE))=TRUE,0,-VLOOKUP("DIJ740000000",Balance!C:G,5,FALSE))</f>
        <v>0</v>
      </c>
      <c r="D187" s="117">
        <f>+[2]Dijon!$H187</f>
        <v>0</v>
      </c>
      <c r="E187" s="160"/>
      <c r="F187" s="368">
        <f>+C187+C187/6*(12-Clients!$I$14)</f>
        <v>0</v>
      </c>
      <c r="G187" s="368">
        <f t="shared" ref="G187:G199" si="23">+F187/9*12*1.03</f>
        <v>0</v>
      </c>
      <c r="H187" s="410"/>
      <c r="I187" s="149">
        <f t="shared" ref="I187:J199" si="24">+IF((E187)=0,,(F187-E187)/E187)</f>
        <v>0</v>
      </c>
      <c r="J187" s="271">
        <f t="shared" si="24"/>
        <v>0</v>
      </c>
      <c r="L187" s="17">
        <f t="shared" si="14"/>
        <v>0</v>
      </c>
    </row>
    <row r="188" spans="1:12" hidden="1">
      <c r="A188" s="5" t="s">
        <v>167</v>
      </c>
      <c r="B188" s="92"/>
      <c r="C188" s="160">
        <f>IF(ISNA(VLOOKUP("DIJ751100000",Balance!C:G,5,FALSE))=TRUE,0,-VLOOKUP("DIJ751100000",Balance!C:G,5,FALSE))</f>
        <v>0</v>
      </c>
      <c r="D188" s="117">
        <f>+[2]Dijon!$H188</f>
        <v>0</v>
      </c>
      <c r="E188" s="160"/>
      <c r="F188" s="368">
        <f>+C188+C188/6*(12-Clients!$I$14)</f>
        <v>0</v>
      </c>
      <c r="G188" s="368">
        <f t="shared" si="23"/>
        <v>0</v>
      </c>
      <c r="H188" s="410"/>
      <c r="I188" s="149">
        <f t="shared" si="24"/>
        <v>0</v>
      </c>
      <c r="J188" s="271">
        <f t="shared" si="24"/>
        <v>0</v>
      </c>
      <c r="L188" s="17">
        <f t="shared" si="14"/>
        <v>0</v>
      </c>
    </row>
    <row r="189" spans="1:12" hidden="1">
      <c r="A189" s="5" t="s">
        <v>180</v>
      </c>
      <c r="B189" s="92"/>
      <c r="C189" s="160">
        <f>IF(ISNA(VLOOKUP("DIJ758100000",Balance!C:G,5,FALSE))=TRUE,0,-VLOOKUP("DIJ758100000",Balance!C:G,5,FALSE))</f>
        <v>0</v>
      </c>
      <c r="D189" s="117">
        <f>+[2]Dijon!$H189</f>
        <v>0</v>
      </c>
      <c r="E189" s="160"/>
      <c r="F189" s="368">
        <f>+C189+C189/6*(12-Clients!$I$14)</f>
        <v>0</v>
      </c>
      <c r="G189" s="368">
        <f t="shared" si="23"/>
        <v>0</v>
      </c>
      <c r="H189" s="410"/>
      <c r="I189" s="149">
        <f t="shared" si="24"/>
        <v>0</v>
      </c>
      <c r="J189" s="271">
        <f t="shared" si="24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IF(ISNA(VLOOKUP("DIJ763800000",Balance!C:G,5,FALSE))=TRUE,0,-VLOOKUP("DIJ763800000",Balance!C:G,5,FALSE))</f>
        <v>0</v>
      </c>
      <c r="D190" s="117">
        <f>+[2]Dijon!$H190</f>
        <v>0</v>
      </c>
      <c r="E190" s="160"/>
      <c r="F190" s="368">
        <f>+C190+C190/6*(12-Clients!$I$14)</f>
        <v>0</v>
      </c>
      <c r="G190" s="368">
        <f t="shared" si="23"/>
        <v>0</v>
      </c>
      <c r="H190" s="410"/>
      <c r="I190" s="149">
        <f t="shared" si="24"/>
        <v>0</v>
      </c>
      <c r="J190" s="271">
        <f t="shared" si="24"/>
        <v>0</v>
      </c>
      <c r="L190" s="17">
        <f t="shared" si="14"/>
        <v>0</v>
      </c>
    </row>
    <row r="191" spans="1:12" hidden="1">
      <c r="A191" s="5" t="s">
        <v>182</v>
      </c>
      <c r="B191" s="92"/>
      <c r="C191" s="160">
        <f>IF(ISNA(VLOOKUP("DIJ765000000",Balance!C:G,5,FALSE))=TRUE,0,-VLOOKUP("DIJ765000000",Balance!C:G,5,FALSE))</f>
        <v>0</v>
      </c>
      <c r="D191" s="117">
        <f>+[2]Dijon!$H191</f>
        <v>0</v>
      </c>
      <c r="E191" s="160"/>
      <c r="F191" s="368">
        <f>+C191+C191/6*(12-Clients!$I$14)</f>
        <v>0</v>
      </c>
      <c r="G191" s="368">
        <f t="shared" si="23"/>
        <v>0</v>
      </c>
      <c r="H191" s="410"/>
      <c r="I191" s="149">
        <f t="shared" si="24"/>
        <v>0</v>
      </c>
      <c r="J191" s="271">
        <f t="shared" si="24"/>
        <v>0</v>
      </c>
      <c r="L191" s="17">
        <f t="shared" si="14"/>
        <v>0</v>
      </c>
    </row>
    <row r="192" spans="1:12" hidden="1">
      <c r="A192" s="5" t="s">
        <v>183</v>
      </c>
      <c r="B192" s="92"/>
      <c r="C192" s="160">
        <f>IF(ISNA(VLOOKUP("DIJ771400000",Balance!C:G,5,FALSE))=TRUE,0,-VLOOKUP("DIJ771400000",Balance!C:G,5,FALSE))</f>
        <v>0</v>
      </c>
      <c r="D192" s="117">
        <f>+[2]Dijon!$H192</f>
        <v>0</v>
      </c>
      <c r="E192" s="160"/>
      <c r="F192" s="368">
        <f>+C192+C192/6*(12-Clients!$I$14)</f>
        <v>0</v>
      </c>
      <c r="G192" s="368">
        <f t="shared" si="23"/>
        <v>0</v>
      </c>
      <c r="H192" s="410"/>
      <c r="I192" s="149">
        <f t="shared" si="24"/>
        <v>0</v>
      </c>
      <c r="J192" s="271">
        <f t="shared" si="24"/>
        <v>0</v>
      </c>
      <c r="L192" s="17">
        <f t="shared" si="14"/>
        <v>0</v>
      </c>
    </row>
    <row r="193" spans="1:12" hidden="1">
      <c r="A193" s="5" t="s">
        <v>184</v>
      </c>
      <c r="B193" s="92"/>
      <c r="C193" s="160">
        <f>IF(ISNA(VLOOKUP("DIJ771800000",Balance!C:G,5,FALSE))=TRUE,0,-VLOOKUP("DIJ771800000",Balance!C:G,5,FALSE))</f>
        <v>0</v>
      </c>
      <c r="D193" s="117">
        <f>+[2]Dijon!$H193</f>
        <v>0</v>
      </c>
      <c r="E193" s="160"/>
      <c r="F193" s="368">
        <f>+C193+C193/6*(12-Clients!$I$14)</f>
        <v>0</v>
      </c>
      <c r="G193" s="368">
        <f t="shared" si="23"/>
        <v>0</v>
      </c>
      <c r="H193" s="410"/>
      <c r="I193" s="149">
        <f t="shared" si="24"/>
        <v>0</v>
      </c>
      <c r="J193" s="271">
        <f t="shared" si="24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IF(ISNA(VLOOKUP("DIJ758000000",Balance!C:G,5,FALSE))=TRUE,0,-VLOOKUP("DIJ758000000",Balance!C:G,5,FALSE))</f>
        <v>0</v>
      </c>
      <c r="D194" s="117">
        <f>+[2]Dijon!$H194</f>
        <v>0</v>
      </c>
      <c r="E194" s="160"/>
      <c r="F194" s="368">
        <f>+C194+C194/6*(12-Clients!$I$14)</f>
        <v>0</v>
      </c>
      <c r="G194" s="368">
        <f t="shared" si="23"/>
        <v>0</v>
      </c>
      <c r="H194" s="410"/>
      <c r="I194" s="149">
        <f t="shared" si="24"/>
        <v>0</v>
      </c>
      <c r="J194" s="271">
        <f t="shared" si="24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IF(ISNA(VLOOKUP("DIJ775100000",Balance!C:G,5,FALSE))=TRUE,0,-VLOOKUP("DIJ775100000",Balance!C:G,5,FALSE))</f>
        <v>0</v>
      </c>
      <c r="D195" s="117">
        <f>+[2]Dijon!$H195</f>
        <v>0</v>
      </c>
      <c r="E195" s="160"/>
      <c r="F195" s="368">
        <f>+C195+C195/6*(12-Clients!$I$14)</f>
        <v>0</v>
      </c>
      <c r="G195" s="368">
        <f t="shared" si="23"/>
        <v>0</v>
      </c>
      <c r="H195" s="410"/>
      <c r="I195" s="149">
        <f t="shared" si="24"/>
        <v>0</v>
      </c>
      <c r="J195" s="271">
        <f t="shared" si="24"/>
        <v>0</v>
      </c>
      <c r="L195" s="17">
        <f t="shared" si="14"/>
        <v>0</v>
      </c>
    </row>
    <row r="196" spans="1:12" hidden="1">
      <c r="A196" s="5" t="s">
        <v>187</v>
      </c>
      <c r="B196" s="92"/>
      <c r="C196" s="160">
        <f>IF(ISNA(VLOOKUP("DIJ775200000",Balance!C:G,5,FALSE))=TRUE,0,-VLOOKUP("DIJ775200000",Balance!C:G,5,FALSE))</f>
        <v>0</v>
      </c>
      <c r="D196" s="117">
        <f>+[2]Dijon!$H196</f>
        <v>0</v>
      </c>
      <c r="E196" s="160"/>
      <c r="F196" s="368">
        <f>+C196+C196/6*(12-Clients!$I$14)</f>
        <v>0</v>
      </c>
      <c r="G196" s="368">
        <f t="shared" si="23"/>
        <v>0</v>
      </c>
      <c r="H196" s="410"/>
      <c r="I196" s="149">
        <f t="shared" si="24"/>
        <v>0</v>
      </c>
      <c r="J196" s="271">
        <f t="shared" si="24"/>
        <v>0</v>
      </c>
      <c r="L196" s="17">
        <f t="shared" si="14"/>
        <v>0</v>
      </c>
    </row>
    <row r="197" spans="1:12" hidden="1">
      <c r="A197" s="5" t="s">
        <v>328</v>
      </c>
      <c r="B197" s="92"/>
      <c r="C197" s="160">
        <f>IF(ISNA(VLOOKUP("DIJ791000000",Balance!C:G,5,FALSE))=TRUE,0,-VLOOKUP("DIJ791000000",Balance!C:G,5,FALSE))</f>
        <v>0</v>
      </c>
      <c r="D197" s="117">
        <f>+[2]Dijon!$H197</f>
        <v>0</v>
      </c>
      <c r="E197" s="160"/>
      <c r="F197" s="368">
        <f>+C197+C197/6*(12-Clients!$I$14)</f>
        <v>0</v>
      </c>
      <c r="G197" s="368">
        <f t="shared" si="23"/>
        <v>0</v>
      </c>
      <c r="H197" s="410"/>
      <c r="I197" s="149">
        <f t="shared" si="24"/>
        <v>0</v>
      </c>
      <c r="J197" s="271">
        <f t="shared" si="24"/>
        <v>0</v>
      </c>
      <c r="L197" s="17">
        <f t="shared" si="14"/>
        <v>0</v>
      </c>
    </row>
    <row r="198" spans="1:12" hidden="1">
      <c r="A198" s="5" t="s">
        <v>344</v>
      </c>
      <c r="B198" s="92"/>
      <c r="C198" s="160">
        <f>IF(ISNA(VLOOKUP("DIJ781500000",Balance!C:G,5,FALSE))=TRUE,0,-VLOOKUP("DIJ781500000",Balance!C:G,5,FALSE))</f>
        <v>0</v>
      </c>
      <c r="D198" s="117">
        <f>+[2]Dijon!$H198</f>
        <v>0</v>
      </c>
      <c r="E198" s="160"/>
      <c r="F198" s="368">
        <f>+C198+C198/6*(12-Clients!$I$14)</f>
        <v>0</v>
      </c>
      <c r="G198" s="368">
        <f t="shared" si="23"/>
        <v>0</v>
      </c>
      <c r="H198" s="410"/>
      <c r="I198" s="149">
        <f t="shared" si="24"/>
        <v>0</v>
      </c>
      <c r="J198" s="271">
        <f t="shared" si="24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IF(ISNA(VLOOKUP("DIJ787250000",Balance!C:G,5,FALSE))=TRUE,0,-VLOOKUP("DIJ787250000",Balance!C:G,5,FALSE))</f>
        <v>0</v>
      </c>
      <c r="D199" s="117">
        <f>+[2]Dijon!$H199</f>
        <v>0</v>
      </c>
      <c r="E199" s="160"/>
      <c r="F199" s="368">
        <f>+C199+C199/6*(12-Clients!$I$14)</f>
        <v>0</v>
      </c>
      <c r="G199" s="368">
        <f t="shared" si="23"/>
        <v>0</v>
      </c>
      <c r="H199" s="410"/>
      <c r="I199" s="149">
        <f t="shared" si="24"/>
        <v>0</v>
      </c>
      <c r="J199" s="271">
        <f t="shared" si="24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5">IF(SUM(C200:J200)&lt;&gt;0,1,0)</f>
        <v>0</v>
      </c>
    </row>
    <row r="201" spans="1:12" s="33" customFormat="1" ht="15" hidden="1" customHeight="1">
      <c r="A201" s="13" t="s">
        <v>188</v>
      </c>
      <c r="B201" s="93"/>
      <c r="C201" s="163">
        <f>SUM(C186:C200)</f>
        <v>0</v>
      </c>
      <c r="D201" s="118">
        <f>SUM(D186:D200)</f>
        <v>0</v>
      </c>
      <c r="E201" s="163">
        <f>SUM(E186:E200)</f>
        <v>0</v>
      </c>
      <c r="F201" s="136">
        <f>SUM(F186:F200)</f>
        <v>0</v>
      </c>
      <c r="G201" s="136">
        <f>SUM(G186:G200)</f>
        <v>0</v>
      </c>
      <c r="H201" s="421"/>
      <c r="I201" s="272">
        <f>+IF((E201)=0,,(F201-E201)/E201)</f>
        <v>0</v>
      </c>
      <c r="J201" s="188">
        <f>+IF((F201)=0,,(G201-F201)/F201)</f>
        <v>0</v>
      </c>
      <c r="K201" s="136">
        <f>(C201+(C201/3))</f>
        <v>0</v>
      </c>
      <c r="L201" s="17">
        <f t="shared" si="25"/>
        <v>0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5"/>
        <v>0</v>
      </c>
    </row>
    <row r="203" spans="1:12" s="33" customFormat="1" ht="15" customHeight="1">
      <c r="A203" s="14" t="s">
        <v>189</v>
      </c>
      <c r="B203" s="363">
        <f>+C203/$C$21</f>
        <v>0.5069333509699061</v>
      </c>
      <c r="C203" s="313">
        <f>+C103+C116+C129+C154+C168+C185-C201</f>
        <v>126623.83</v>
      </c>
      <c r="D203" s="641">
        <f>+D103+D116+D129+D154+D168+D185-D201</f>
        <v>167926.72275868841</v>
      </c>
      <c r="E203" s="206">
        <f>+E103+E116+E129+E154+E168+E185-E201</f>
        <v>0</v>
      </c>
      <c r="F203" s="641">
        <f>+F103+F116+F129+F154+F168+F185-F201</f>
        <v>182791.82263466669</v>
      </c>
      <c r="G203" s="641">
        <f>+G103+G116+G129+G154+G168+G185-G201</f>
        <v>224538.03951560438</v>
      </c>
      <c r="H203" s="422">
        <f>+G203/$G$21</f>
        <v>0.34485158461347748</v>
      </c>
      <c r="I203" s="643">
        <f>+IF((E203)=0,,(F203-E203)/E203)</f>
        <v>0</v>
      </c>
      <c r="J203" s="644">
        <f>+IF((F203)=0,,(G203-F203)/F203)</f>
        <v>0.22838120589438485</v>
      </c>
      <c r="K203" s="145">
        <f>+K103+K116+K129+K154+K168+K185-K201</f>
        <v>168831.77333333335</v>
      </c>
      <c r="L203" s="17">
        <f t="shared" si="25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5"/>
        <v>0</v>
      </c>
    </row>
    <row r="205" spans="1:12" s="33" customFormat="1" ht="15" customHeight="1">
      <c r="A205" s="12" t="s">
        <v>228</v>
      </c>
      <c r="B205" s="366">
        <f>+C205/$C$21</f>
        <v>-0.15553335096990614</v>
      </c>
      <c r="C205" s="314">
        <f>+C62-C203</f>
        <v>-38849.739428000015</v>
      </c>
      <c r="D205" s="645">
        <f>+D62-D203</f>
        <v>-14026.722758688411</v>
      </c>
      <c r="E205" s="228">
        <f>+E53-E203</f>
        <v>0</v>
      </c>
      <c r="F205" s="645">
        <f>+F62-F203</f>
        <v>-50440.826496000023</v>
      </c>
      <c r="G205" s="645">
        <f>+G62-G203</f>
        <v>-2290.7532156044035</v>
      </c>
      <c r="H205" s="406">
        <f>+G205/$G$21</f>
        <v>-3.5182006490472552E-3</v>
      </c>
      <c r="I205" s="647">
        <f>+IF((E205)=0,,(F205-E205)/E205)</f>
        <v>0</v>
      </c>
      <c r="J205" s="648">
        <f>+IF((F205)=0,,(G205-F205)/F205)</f>
        <v>-0.95458533543683977</v>
      </c>
      <c r="L205" s="17">
        <f t="shared" si="25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5"/>
        <v>0</v>
      </c>
    </row>
    <row r="207" spans="1:12" ht="15" customHeight="1">
      <c r="A207" s="63" t="s">
        <v>251</v>
      </c>
      <c r="B207" s="649">
        <f>+C207/$C$21</f>
        <v>2.8478376077132853E-3</v>
      </c>
      <c r="C207" s="650">
        <f>+[2]Dijon!$C207</f>
        <v>711.34421204830301</v>
      </c>
      <c r="D207" s="315">
        <f>+[2]Dijon!$H207</f>
        <v>2000</v>
      </c>
      <c r="E207" s="150"/>
      <c r="F207" s="315">
        <f>+Repart!K27</f>
        <v>1063.7092636836524</v>
      </c>
      <c r="G207" s="315">
        <f>+Repart!Q27</f>
        <v>2464.6022468146016</v>
      </c>
      <c r="H207" s="423">
        <f>+G207/$G$21</f>
        <v>3.785202685876691E-3</v>
      </c>
      <c r="I207" s="643">
        <f>+IF((E207)=0,,(F207-E207)/E207)</f>
        <v>0</v>
      </c>
      <c r="J207" s="644">
        <f>+IF((F207)=0,,(G207-F207)/F207)</f>
        <v>1.316988608597448</v>
      </c>
      <c r="L207" s="17">
        <f t="shared" si="25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5"/>
        <v>0</v>
      </c>
    </row>
    <row r="209" spans="1:12" s="33" customFormat="1" ht="15" customHeight="1">
      <c r="A209" s="12" t="s">
        <v>190</v>
      </c>
      <c r="B209" s="366">
        <f>+C209/$C$21</f>
        <v>-0.15838118857761943</v>
      </c>
      <c r="C209" s="314">
        <f>+C205-C207</f>
        <v>-39561.083640048317</v>
      </c>
      <c r="D209" s="645">
        <f>+D205-D207</f>
        <v>-16026.722758688411</v>
      </c>
      <c r="E209" s="228">
        <f>+E205-E207</f>
        <v>0</v>
      </c>
      <c r="F209" s="645">
        <f>+F205-F207</f>
        <v>-51504.535759683677</v>
      </c>
      <c r="G209" s="645">
        <f>+G205-G207</f>
        <v>-4755.3554624190056</v>
      </c>
      <c r="H209" s="406">
        <f>+G209/$G$21</f>
        <v>-7.3034033349239471E-3</v>
      </c>
      <c r="I209" s="647">
        <f>+IF((E209)=0,,(F209-E209)/E209)</f>
        <v>0</v>
      </c>
      <c r="J209" s="648">
        <f>+IF((F209)=0,,(G209-F209)/F209)</f>
        <v>-0.90767113241041253</v>
      </c>
      <c r="L209" s="17">
        <f t="shared" si="25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5"/>
        <v>0</v>
      </c>
    </row>
    <row r="211" spans="1:12">
      <c r="A211" s="590" t="s">
        <v>191</v>
      </c>
      <c r="B211" s="591">
        <f>+C211/$C$21</f>
        <v>1.6992823769915802E-2</v>
      </c>
      <c r="C211" s="311">
        <f>+[2]Dijon!$C211</f>
        <v>4244.5351526881732</v>
      </c>
      <c r="D211" s="592">
        <f>+[2]Dijon!$H211</f>
        <v>6750</v>
      </c>
      <c r="E211" s="113"/>
      <c r="F211" s="625">
        <f>+Repart!I27</f>
        <v>6707.4334967741916</v>
      </c>
      <c r="G211" s="625">
        <f>+Repart!O27</f>
        <v>9644.6846793104778</v>
      </c>
      <c r="H211" s="625"/>
      <c r="I211" s="591">
        <f t="shared" ref="I211:J213" si="26">+IF((E211)=0,,(F211-E211)/E211)</f>
        <v>0</v>
      </c>
      <c r="J211" s="595">
        <f t="shared" si="26"/>
        <v>0.43790984792453025</v>
      </c>
      <c r="L211" s="17">
        <f t="shared" si="25"/>
        <v>1</v>
      </c>
    </row>
    <row r="212" spans="1:12">
      <c r="A212" s="590" t="s">
        <v>192</v>
      </c>
      <c r="B212" s="591">
        <f>+C212/$C$21</f>
        <v>3.5959918641871723E-2</v>
      </c>
      <c r="C212" s="311">
        <f>+[2]Dijon!$C212</f>
        <v>8982.2115988429123</v>
      </c>
      <c r="D212" s="592">
        <f>+[2]Dijon!$H212</f>
        <v>9000</v>
      </c>
      <c r="E212" s="113"/>
      <c r="F212" s="625">
        <f>+Repart!J27</f>
        <v>14892.784853046182</v>
      </c>
      <c r="G212" s="625">
        <f>+Repart!P27</f>
        <v>26554.221889868688</v>
      </c>
      <c r="H212" s="625"/>
      <c r="I212" s="591">
        <f t="shared" si="26"/>
        <v>0</v>
      </c>
      <c r="J212" s="595">
        <f t="shared" si="26"/>
        <v>0.78302595195533675</v>
      </c>
      <c r="L212" s="17">
        <f t="shared" si="25"/>
        <v>1</v>
      </c>
    </row>
    <row r="213" spans="1:12">
      <c r="A213" s="590" t="s">
        <v>193</v>
      </c>
      <c r="B213" s="591"/>
      <c r="C213" s="311">
        <f>+[2]Dijon!$C213</f>
        <v>-880.2</v>
      </c>
      <c r="D213" s="592">
        <f>+[2]Dijon!$H213</f>
        <v>-3000</v>
      </c>
      <c r="E213" s="113"/>
      <c r="F213" s="625">
        <f>+C213+C213/9*(12-Clients!$I$14)</f>
        <v>-1173.6000000000001</v>
      </c>
      <c r="G213" s="625">
        <f>+G253*-4%</f>
        <v>-6927.8636000000015</v>
      </c>
      <c r="H213" s="625"/>
      <c r="I213" s="591">
        <f t="shared" si="26"/>
        <v>0</v>
      </c>
      <c r="J213" s="595">
        <f t="shared" si="26"/>
        <v>4.9030875937286984</v>
      </c>
      <c r="L213" s="17">
        <f t="shared" si="25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5"/>
        <v>0</v>
      </c>
    </row>
    <row r="215" spans="1:12" s="33" customFormat="1" ht="15" customHeight="1">
      <c r="A215" s="20" t="s">
        <v>194</v>
      </c>
      <c r="B215" s="367">
        <f>+C215/$C$21</f>
        <v>4.9428897527900251E-2</v>
      </c>
      <c r="C215" s="316">
        <f>SUM(C210:C213)</f>
        <v>12346.546751531085</v>
      </c>
      <c r="D215" s="652">
        <f>SUM(D210:D213)</f>
        <v>12750</v>
      </c>
      <c r="E215" s="230">
        <f>SUM(E210:E213)</f>
        <v>0</v>
      </c>
      <c r="F215" s="652">
        <f>SUM(F210:F213)</f>
        <v>20426.618349820375</v>
      </c>
      <c r="G215" s="652">
        <f>SUM(G210:G213)</f>
        <v>29271.042969179161</v>
      </c>
      <c r="H215" s="424">
        <f>+G215/$G$21</f>
        <v>4.4955258240370999E-2</v>
      </c>
      <c r="I215" s="643">
        <f>+IF((E215)=0,,(F215-E215)/E215)</f>
        <v>0</v>
      </c>
      <c r="J215" s="644">
        <f>+IF((F215)=0,,(G215-F215)/F215)</f>
        <v>0.43298525815148259</v>
      </c>
      <c r="L215" s="17">
        <f t="shared" si="25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5"/>
        <v>0</v>
      </c>
    </row>
    <row r="217" spans="1:12" s="33" customFormat="1" ht="20.100000000000001" customHeight="1">
      <c r="A217" s="12" t="s">
        <v>86</v>
      </c>
      <c r="B217" s="366">
        <f>+C217/$C$21</f>
        <v>-0.20781008610551965</v>
      </c>
      <c r="C217" s="314">
        <f>+C209-C215</f>
        <v>-51907.630391579398</v>
      </c>
      <c r="D217" s="645">
        <f>+D209-D215</f>
        <v>-28776.722758688411</v>
      </c>
      <c r="E217" s="228">
        <f>+E209-E215</f>
        <v>0</v>
      </c>
      <c r="F217" s="645">
        <f>+F209-F215</f>
        <v>-71931.154109504045</v>
      </c>
      <c r="G217" s="645">
        <f>+G209-G215</f>
        <v>-34026.398431598165</v>
      </c>
      <c r="H217" s="406">
        <f>+G217/$G$21</f>
        <v>-5.2258661575294942E-2</v>
      </c>
      <c r="I217" s="647">
        <f>+IF((E217)=0,,(F217-E217)/E217)</f>
        <v>0</v>
      </c>
      <c r="J217" s="648">
        <f>+IF((F217)=0,,(G217-F217)/F217)</f>
        <v>-0.52695881426011537</v>
      </c>
      <c r="L217" s="17">
        <f t="shared" si="25"/>
        <v>1</v>
      </c>
    </row>
    <row r="218" spans="1:12" hidden="1">
      <c r="A218" s="2" t="s">
        <v>43</v>
      </c>
      <c r="C218" s="17">
        <f>+C225-C226-C215-C207-C53+C62-C38+C213</f>
        <v>-51907.630391579427</v>
      </c>
      <c r="D218" s="117">
        <f>+[2]Dijon!$H$217</f>
        <v>-28776.722758688411</v>
      </c>
      <c r="E218" s="17"/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138.96529309981784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+B220/(C21*1.196)*Clients!K41</f>
        <v>228.10215704028346</v>
      </c>
      <c r="L220" s="17">
        <v>0</v>
      </c>
    </row>
    <row r="221" spans="1:12" hidden="1">
      <c r="L221" s="17">
        <f t="shared" si="25"/>
        <v>0</v>
      </c>
    </row>
    <row r="222" spans="1:12">
      <c r="A222" s="654" t="s">
        <v>67</v>
      </c>
      <c r="B222" s="655"/>
      <c r="C222" s="655">
        <f>+(C215+C207+C203)/C60/Clients!$I$13*12</f>
        <v>530000.83841236727</v>
      </c>
      <c r="D222" s="655">
        <f>+(D215+D207+D203)/D60</f>
        <v>480728.21778602211</v>
      </c>
      <c r="E222" s="265"/>
      <c r="F222" s="655">
        <f>+(F215+F207+F203)/F60</f>
        <v>581337.9346846065</v>
      </c>
      <c r="G222" s="655">
        <f>+(G215+G207+G203)/G60</f>
        <v>741576.88716922584</v>
      </c>
      <c r="H222" s="655"/>
      <c r="I222" s="655"/>
      <c r="J222" s="655"/>
      <c r="L222" s="17">
        <f t="shared" si="25"/>
        <v>1</v>
      </c>
    </row>
    <row r="223" spans="1:12">
      <c r="A223" s="654" t="s">
        <v>66</v>
      </c>
      <c r="B223" s="655"/>
      <c r="C223" s="655">
        <f>+(C215+C207+C203)/C60/Clients!$I$13</f>
        <v>44166.736534363939</v>
      </c>
      <c r="D223" s="655">
        <f>+(D215+D207+D203)/D60/12</f>
        <v>40060.684815501845</v>
      </c>
      <c r="E223" s="265"/>
      <c r="F223" s="655">
        <f>+(F215+F207+F203)/F60/9</f>
        <v>64593.103853845168</v>
      </c>
      <c r="G223" s="655">
        <f>+(G215+G207+G203)/G60/12</f>
        <v>61798.07393076882</v>
      </c>
      <c r="H223" s="655"/>
      <c r="I223" s="655"/>
      <c r="J223" s="655"/>
      <c r="L223" s="17">
        <f t="shared" si="25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5"/>
        <v>0</v>
      </c>
    </row>
    <row r="225" spans="1:12" hidden="1">
      <c r="A225" s="2" t="s">
        <v>215</v>
      </c>
      <c r="C225" s="17">
        <f>+C51-C40-C157-C166+C201-C164-C159-C137</f>
        <v>249783.97999999998</v>
      </c>
      <c r="D225" s="17"/>
      <c r="E225" s="2">
        <f>+E51-E40-E157-E166+E201-E164-E159-E137</f>
        <v>0</v>
      </c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373915.13</v>
      </c>
      <c r="D226" s="17"/>
      <c r="E226" s="2">
        <f>+E44-E38-E40+E103+E116+E129+E154+E156+E158+E160+E161+E162+E163+E165+E185+E213</f>
        <v>0</v>
      </c>
      <c r="L226" s="17">
        <v>0</v>
      </c>
    </row>
    <row r="227" spans="1:12" hidden="1">
      <c r="L227" s="17">
        <f t="shared" si="25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5"/>
        <v>0</v>
      </c>
    </row>
    <row r="229" spans="1:12" ht="20.25" hidden="1" customHeight="1">
      <c r="A229" s="7" t="str">
        <f>+A4</f>
        <v>DIJON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5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5"/>
        <v>0</v>
      </c>
    </row>
    <row r="231" spans="1:12">
      <c r="A231" s="585"/>
      <c r="B231" s="589"/>
      <c r="C231" s="584">
        <v>2009</v>
      </c>
      <c r="D231" s="585">
        <v>2009</v>
      </c>
      <c r="E231" s="216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5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5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7">+C51</f>
        <v>249783.97999999998</v>
      </c>
      <c r="D233" s="313">
        <f t="shared" si="27"/>
        <v>405000</v>
      </c>
      <c r="E233" s="206">
        <f t="shared" si="27"/>
        <v>0</v>
      </c>
      <c r="F233" s="313">
        <f t="shared" si="27"/>
        <v>376639.14666666667</v>
      </c>
      <c r="G233" s="313">
        <f t="shared" si="27"/>
        <v>643115</v>
      </c>
      <c r="H233" s="313"/>
      <c r="I233" s="643">
        <f>+I51</f>
        <v>0</v>
      </c>
      <c r="J233" s="643">
        <f t="shared" si="27"/>
        <v>0.70750970973596083</v>
      </c>
      <c r="K233" s="58"/>
      <c r="L233" s="17">
        <f t="shared" si="25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5"/>
        <v>0</v>
      </c>
    </row>
    <row r="235" spans="1:12" s="33" customFormat="1" ht="15" customHeight="1">
      <c r="A235" s="12" t="s">
        <v>295</v>
      </c>
      <c r="B235" s="364"/>
      <c r="C235" s="15">
        <f>+C60</f>
        <v>0.35139999999999999</v>
      </c>
      <c r="D235" s="15">
        <f>+D60</f>
        <v>0.38</v>
      </c>
      <c r="E235" s="224">
        <f>+E60</f>
        <v>0.39227402729278038</v>
      </c>
      <c r="F235" s="15">
        <f>+F60</f>
        <v>0.35139999999999999</v>
      </c>
      <c r="G235" s="15">
        <f>+G60</f>
        <v>0.34557938517994446</v>
      </c>
      <c r="H235" s="15"/>
      <c r="I235" s="15"/>
      <c r="J235" s="15"/>
      <c r="L235" s="17">
        <f t="shared" si="25"/>
        <v>1</v>
      </c>
    </row>
    <row r="236" spans="1:12" s="33" customFormat="1" ht="15" customHeight="1">
      <c r="A236" s="12" t="s">
        <v>296</v>
      </c>
      <c r="B236" s="364"/>
      <c r="C236" s="309">
        <f>+C62</f>
        <v>87774.090571999986</v>
      </c>
      <c r="D236" s="309">
        <f>+D62</f>
        <v>153900</v>
      </c>
      <c r="E236" s="223">
        <f>+E62</f>
        <v>0</v>
      </c>
      <c r="F236" s="309">
        <f>+F62</f>
        <v>132350.99613866667</v>
      </c>
      <c r="G236" s="309">
        <f>+G62</f>
        <v>222247.28629999998</v>
      </c>
      <c r="H236" s="309"/>
      <c r="I236" s="647">
        <f>+IF((E236)=0,,(F236-E236)/E236)</f>
        <v>0</v>
      </c>
      <c r="J236" s="648">
        <f>+IF((F236)=0,,(G236-F236)/F236)</f>
        <v>0.67922639635554571</v>
      </c>
      <c r="L236" s="17">
        <f t="shared" si="25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5"/>
        <v>0</v>
      </c>
    </row>
    <row r="238" spans="1:12" s="298" customFormat="1" ht="15" customHeight="1">
      <c r="A238" s="662" t="s">
        <v>122</v>
      </c>
      <c r="B238" s="663"/>
      <c r="C238" s="664">
        <f>+C103</f>
        <v>38026.31</v>
      </c>
      <c r="D238" s="664">
        <f>+D103</f>
        <v>66041.066719398339</v>
      </c>
      <c r="E238" s="295">
        <f>+E103</f>
        <v>0</v>
      </c>
      <c r="F238" s="664">
        <f>+F103</f>
        <v>57039.464999999997</v>
      </c>
      <c r="G238" s="664">
        <f>+G103</f>
        <v>79556.809913863515</v>
      </c>
      <c r="H238" s="664"/>
      <c r="I238" s="666">
        <f t="shared" ref="I238:J243" si="28">+IF((E238)=0,,(F238-E238)/E238)</f>
        <v>0</v>
      </c>
      <c r="J238" s="666">
        <f t="shared" si="28"/>
        <v>0.39476781407159972</v>
      </c>
      <c r="L238" s="17">
        <f t="shared" si="25"/>
        <v>1</v>
      </c>
    </row>
    <row r="239" spans="1:12" s="298" customFormat="1" ht="15" customHeight="1">
      <c r="A239" s="662" t="s">
        <v>133</v>
      </c>
      <c r="B239" s="663"/>
      <c r="C239" s="664">
        <f>+C116</f>
        <v>13080.17</v>
      </c>
      <c r="D239" s="664">
        <f>+D116</f>
        <v>11700</v>
      </c>
      <c r="E239" s="295">
        <f>+E116</f>
        <v>0</v>
      </c>
      <c r="F239" s="664">
        <f>+F116</f>
        <v>16312.66</v>
      </c>
      <c r="G239" s="664">
        <f>+G116</f>
        <v>14500</v>
      </c>
      <c r="H239" s="664"/>
      <c r="I239" s="666">
        <f t="shared" si="28"/>
        <v>0</v>
      </c>
      <c r="J239" s="666">
        <f t="shared" si="28"/>
        <v>-0.11111982962925727</v>
      </c>
      <c r="L239" s="17">
        <f t="shared" si="25"/>
        <v>1</v>
      </c>
    </row>
    <row r="240" spans="1:12" s="298" customFormat="1" ht="15" customHeight="1">
      <c r="A240" s="662" t="s">
        <v>147</v>
      </c>
      <c r="B240" s="663"/>
      <c r="C240" s="664">
        <f>+C129</f>
        <v>5830.5</v>
      </c>
      <c r="D240" s="664">
        <f>+D129</f>
        <v>8213</v>
      </c>
      <c r="E240" s="295">
        <f>+E129</f>
        <v>0</v>
      </c>
      <c r="F240" s="664">
        <f>+F129</f>
        <v>6959.5626346666668</v>
      </c>
      <c r="G240" s="664">
        <f>+G129</f>
        <v>7773.4290516088895</v>
      </c>
      <c r="H240" s="664"/>
      <c r="I240" s="666">
        <f t="shared" si="28"/>
        <v>0</v>
      </c>
      <c r="J240" s="666">
        <f t="shared" si="28"/>
        <v>0.11694217864901843</v>
      </c>
      <c r="L240" s="17">
        <f t="shared" si="25"/>
        <v>1</v>
      </c>
    </row>
    <row r="241" spans="1:12" s="298" customFormat="1" ht="15" customHeight="1">
      <c r="A241" s="662" t="s">
        <v>164</v>
      </c>
      <c r="B241" s="663"/>
      <c r="C241" s="664">
        <f>+C154</f>
        <v>65039.090000000004</v>
      </c>
      <c r="D241" s="664">
        <f>+D154</f>
        <v>70277.123294266057</v>
      </c>
      <c r="E241" s="295">
        <f>+E154</f>
        <v>0</v>
      </c>
      <c r="F241" s="664">
        <f>+F154</f>
        <v>97558.635000000009</v>
      </c>
      <c r="G241" s="664">
        <f>+G154</f>
        <v>110571.72667003199</v>
      </c>
      <c r="H241" s="664"/>
      <c r="I241" s="666">
        <f t="shared" si="28"/>
        <v>0</v>
      </c>
      <c r="J241" s="666">
        <f t="shared" si="28"/>
        <v>0.13338738974804207</v>
      </c>
      <c r="L241" s="17">
        <f t="shared" si="25"/>
        <v>1</v>
      </c>
    </row>
    <row r="242" spans="1:12" s="298" customFormat="1" ht="15" customHeight="1">
      <c r="A242" s="662" t="s">
        <v>74</v>
      </c>
      <c r="B242" s="663"/>
      <c r="C242" s="664">
        <f>+C168</f>
        <v>1647.76</v>
      </c>
      <c r="D242" s="664">
        <f>+D168</f>
        <v>5195.5327450240229</v>
      </c>
      <c r="E242" s="295">
        <f>+E168</f>
        <v>0</v>
      </c>
      <c r="F242" s="664">
        <f>+F168</f>
        <v>2471.6400000000003</v>
      </c>
      <c r="G242" s="664">
        <f>+G168</f>
        <v>8256.0838801000009</v>
      </c>
      <c r="H242" s="664"/>
      <c r="I242" s="666">
        <f t="shared" si="28"/>
        <v>0</v>
      </c>
      <c r="J242" s="666">
        <f t="shared" si="28"/>
        <v>2.3403262125956852</v>
      </c>
      <c r="L242" s="17">
        <f t="shared" si="25"/>
        <v>1</v>
      </c>
    </row>
    <row r="243" spans="1:12" s="298" customFormat="1" ht="15" customHeight="1">
      <c r="A243" s="662" t="s">
        <v>369</v>
      </c>
      <c r="B243" s="663"/>
      <c r="C243" s="664">
        <f>+C185-C201</f>
        <v>3000</v>
      </c>
      <c r="D243" s="664">
        <f>+D185-D201</f>
        <v>6500</v>
      </c>
      <c r="E243" s="295">
        <f>+E185-E201</f>
        <v>0</v>
      </c>
      <c r="F243" s="664">
        <f>+F185-F201</f>
        <v>2449.86</v>
      </c>
      <c r="G243" s="664">
        <f>+G185-G201</f>
        <v>3879.99</v>
      </c>
      <c r="H243" s="664"/>
      <c r="I243" s="666">
        <f t="shared" si="28"/>
        <v>0</v>
      </c>
      <c r="J243" s="666">
        <f t="shared" si="28"/>
        <v>0.58375988832014869</v>
      </c>
      <c r="L243" s="17">
        <f t="shared" si="25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5"/>
        <v>0</v>
      </c>
    </row>
    <row r="245" spans="1:12" s="33" customFormat="1" ht="15" customHeight="1">
      <c r="A245" s="14" t="s">
        <v>189</v>
      </c>
      <c r="B245" s="363"/>
      <c r="C245" s="389">
        <f>+C203</f>
        <v>126623.83</v>
      </c>
      <c r="D245" s="389">
        <f>+D203</f>
        <v>167926.72275868841</v>
      </c>
      <c r="E245" s="301">
        <f>+E203</f>
        <v>0</v>
      </c>
      <c r="F245" s="389">
        <f>+F203</f>
        <v>182791.82263466669</v>
      </c>
      <c r="G245" s="389">
        <f>+G203</f>
        <v>224538.03951560438</v>
      </c>
      <c r="H245" s="389"/>
      <c r="I245" s="643">
        <f>+I63</f>
        <v>0</v>
      </c>
      <c r="J245" s="643">
        <f>+J63</f>
        <v>0</v>
      </c>
      <c r="K245" s="58"/>
      <c r="L245" s="17">
        <f t="shared" si="25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5"/>
        <v>0</v>
      </c>
    </row>
    <row r="247" spans="1:12" s="33" customFormat="1" ht="15" customHeight="1">
      <c r="A247" s="12" t="s">
        <v>228</v>
      </c>
      <c r="B247" s="366"/>
      <c r="C247" s="314">
        <f>+C205</f>
        <v>-38849.739428000015</v>
      </c>
      <c r="D247" s="314">
        <f>+D205</f>
        <v>-14026.722758688411</v>
      </c>
      <c r="E247" s="228">
        <f>+E205</f>
        <v>0</v>
      </c>
      <c r="F247" s="314">
        <f>+F205</f>
        <v>-50440.826496000023</v>
      </c>
      <c r="G247" s="314">
        <f>+G205</f>
        <v>-2290.7532156044035</v>
      </c>
      <c r="H247" s="314"/>
      <c r="I247" s="647">
        <f>+IF((E247)=0,,(F247-E247)/E247)</f>
        <v>0</v>
      </c>
      <c r="J247" s="648">
        <f>+IF((F247)=0,,(G247-F247)/F247)</f>
        <v>-0.95458533543683977</v>
      </c>
      <c r="L247" s="17">
        <f t="shared" si="25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5"/>
        <v>0</v>
      </c>
    </row>
    <row r="249" spans="1:12" s="33" customFormat="1" ht="15" customHeight="1">
      <c r="A249" s="20" t="s">
        <v>370</v>
      </c>
      <c r="B249" s="367"/>
      <c r="C249" s="316">
        <f>+C207+C215</f>
        <v>13057.890963579388</v>
      </c>
      <c r="D249" s="316">
        <f>+D207+D215</f>
        <v>14750</v>
      </c>
      <c r="E249" s="230">
        <f>+E207+E215</f>
        <v>0</v>
      </c>
      <c r="F249" s="316">
        <f>+F207+F215</f>
        <v>21490.327613504029</v>
      </c>
      <c r="G249" s="316">
        <f>+G207+G215</f>
        <v>31735.645215993762</v>
      </c>
      <c r="H249" s="316"/>
      <c r="I249" s="643">
        <f>+I67</f>
        <v>0</v>
      </c>
      <c r="J249" s="643">
        <f>+J67</f>
        <v>0.37333333333333329</v>
      </c>
      <c r="L249" s="17">
        <f t="shared" si="25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5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-51907.630391579398</v>
      </c>
      <c r="D251" s="314">
        <f>+D217</f>
        <v>-28776.722758688411</v>
      </c>
      <c r="E251" s="228">
        <f>+E217</f>
        <v>0</v>
      </c>
      <c r="F251" s="314">
        <f>+F217</f>
        <v>-71931.154109504045</v>
      </c>
      <c r="G251" s="314">
        <f>+G217</f>
        <v>-34026.398431598165</v>
      </c>
      <c r="H251" s="314"/>
      <c r="I251" s="647">
        <f>+IF((E251)=0,,(F251-E251)/E251)</f>
        <v>0</v>
      </c>
      <c r="J251" s="648">
        <f>+IF((F251)=0,,(G251-F251)/F251)</f>
        <v>-0.52695881426011537</v>
      </c>
      <c r="L251" s="17">
        <f t="shared" si="25"/>
        <v>1</v>
      </c>
    </row>
    <row r="252" spans="1:12" hidden="1">
      <c r="F252" s="2"/>
      <c r="G252" s="2"/>
      <c r="H252" s="5"/>
      <c r="I252" s="24"/>
      <c r="L252" s="17">
        <f t="shared" si="25"/>
        <v>0</v>
      </c>
    </row>
    <row r="253" spans="1:12" s="298" customFormat="1" ht="15" customHeight="1">
      <c r="A253" s="662" t="s">
        <v>95</v>
      </c>
      <c r="B253" s="663"/>
      <c r="C253" s="664">
        <f>+C28</f>
        <v>81334.679999999993</v>
      </c>
      <c r="D253" s="664">
        <v>215874</v>
      </c>
      <c r="E253" s="295">
        <f>+E28</f>
        <v>0</v>
      </c>
      <c r="F253" s="664"/>
      <c r="G253" s="669">
        <f>+G28</f>
        <v>173196.59000000003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530000.83841236727</v>
      </c>
      <c r="D254" s="664">
        <f>+D222</f>
        <v>480728.21778602211</v>
      </c>
      <c r="E254" s="295">
        <f>+E222</f>
        <v>0</v>
      </c>
      <c r="F254" s="664">
        <f>+F222</f>
        <v>581337.9346846065</v>
      </c>
      <c r="G254" s="664">
        <f>+G222</f>
        <v>741576.88716922584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3000</v>
      </c>
      <c r="E255" s="295"/>
      <c r="F255" s="664"/>
      <c r="G255" s="669"/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5"/>
        <v>0</v>
      </c>
    </row>
  </sheetData>
  <autoFilter ref="L1:L256">
    <filterColumn colId="0">
      <filters>
        <filter val="1"/>
        <filter val="#DIV/0!"/>
      </filters>
    </filterColumn>
  </autoFilter>
  <phoneticPr fontId="0" type="noConversion"/>
  <pageMargins left="0.82677165354330717" right="0.11811023622047245" top="0.19685039370078741" bottom="0.31496062992125984" header="7.874015748031496E-2" footer="0.19685039370078741"/>
  <pageSetup paperSize="9" scale="78" fitToHeight="2" orientation="landscape" horizont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FFFF00"/>
    <pageSetUpPr fitToPage="1"/>
  </sheetPr>
  <dimension ref="A1:L256"/>
  <sheetViews>
    <sheetView workbookViewId="0">
      <pane xSplit="2" ySplit="6" topLeftCell="D116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49.85546875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365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25214.353731537878</v>
      </c>
      <c r="F5" s="215">
        <f>F217</f>
        <v>-36092.190356462874</v>
      </c>
      <c r="G5" s="215">
        <f>G217</f>
        <v>-4997.9782953348622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-IF(ISNA(VLOOKUP("NAN707130000",Balance!C:G,5,FALSE))=TRUE,0,VLOOKUP("NAN707130000",Balance!C:G,5,FALSE))</f>
        <v>636568.70000000007</v>
      </c>
      <c r="D8" s="592">
        <f>+[2]Nancy!$H8</f>
        <v>997531</v>
      </c>
      <c r="E8" s="311">
        <f>-IF(ISNA(VLOOKUP("NAN707130000",Balanceanp!C:G,5,FALSE))=TRUE,0,VLOOKUP("NAN707130000",Balanceanp!C:G,5,FALSE))</f>
        <v>686776.7300000001</v>
      </c>
      <c r="F8" s="625">
        <f>+CA!G150</f>
        <v>860183.23680780421</v>
      </c>
      <c r="G8" s="594">
        <v>913405</v>
      </c>
      <c r="H8" s="594"/>
      <c r="I8" s="591">
        <f>+IF((E8)=0,,(F8-E8)/E8)</f>
        <v>0.25249327653807385</v>
      </c>
      <c r="J8" s="595">
        <f>+IF((F8)=0,,(G8-F8)/F8)</f>
        <v>6.1872588205398205E-2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-IF(ISNA(VLOOKUP("NAN707131000",Balance!C:G,5,FALSE))=TRUE,0,VLOOKUP("NAN707131000",Balance!C:G,5,FALSE))</f>
        <v>0</v>
      </c>
      <c r="D9" s="117">
        <f>+[2]Nancy!$H9</f>
        <v>0</v>
      </c>
      <c r="E9" s="160">
        <f>-IF(ISNA(VLOOKUP("NAN707131000",Balanceanp!C:G,5,FALSE))=TRUE,0,VLOOKUP("NAN707131000",Balanceanp!C:G,5,FALSE))</f>
        <v>241244.56</v>
      </c>
      <c r="F9" s="368">
        <f>+C9</f>
        <v>0</v>
      </c>
      <c r="G9" s="395"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-IF(ISNA(VLOOKUP("NAN707300000",Balance!C:G,5,FALSE))=TRUE,0,VLOOKUP("NAN707300000",Balance!C:G,5,FALSE))</f>
        <v>0</v>
      </c>
      <c r="D10" s="117">
        <f>+[2]Nancy!$H10</f>
        <v>0</v>
      </c>
      <c r="E10" s="160">
        <f>-IF(ISNA(VLOOKUP("NAN707300000",Balanceanp!C:G,5,FALSE))=TRUE,0,VLOOKUP("NAN707300000",Balanceanp!C:G,5,FALSE))</f>
        <v>0</v>
      </c>
      <c r="F10" s="368">
        <f t="shared" ref="F10:F19" si="2">+C10</f>
        <v>0</v>
      </c>
      <c r="G10" s="395">
        <v>0</v>
      </c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-IF(ISNA(VLOOKUP("NAN707110000",Balance!C:G,5,FALSE))=TRUE,0,VLOOKUP("NAN707110000",Balance!C:G,5,FALSE))</f>
        <v>0</v>
      </c>
      <c r="D11" s="117">
        <f>+[2]Nancy!$H11</f>
        <v>0</v>
      </c>
      <c r="E11" s="160">
        <f>-IF(ISNA(VLOOKUP("NAN707110000",Balanceanp!C:G,5,FALSE))=TRUE,0,VLOOKUP("NAN707110000",Balanceanp!C:G,5,FALSE))</f>
        <v>0</v>
      </c>
      <c r="F11" s="368">
        <f t="shared" si="2"/>
        <v>0</v>
      </c>
      <c r="G11" s="395">
        <v>0</v>
      </c>
      <c r="H11" s="401"/>
      <c r="I11" s="149">
        <f t="shared" si="1"/>
        <v>0</v>
      </c>
      <c r="J11" s="271">
        <f t="shared" si="1"/>
        <v>0</v>
      </c>
      <c r="L11" s="17">
        <v>0</v>
      </c>
    </row>
    <row r="12" spans="1:12" hidden="1">
      <c r="A12" s="5" t="s">
        <v>46</v>
      </c>
      <c r="B12" s="92"/>
      <c r="C12" s="160">
        <f>-IF(ISNA(VLOOKUP("NAN707120000",Balance!C:G,5,FALSE))=TRUE,0,VLOOKUP("NAN707120000",Balance!C:G,5,FALSE))</f>
        <v>0</v>
      </c>
      <c r="D12" s="117">
        <f>+[2]Nancy!$H12</f>
        <v>0</v>
      </c>
      <c r="E12" s="160">
        <f>-IF(ISNA(VLOOKUP("NAN707120000",Balanceanp!C:G,5,FALSE))=TRUE,0,VLOOKUP("NAN707120000",Balanceanp!C:G,5,FALSE))</f>
        <v>0</v>
      </c>
      <c r="F12" s="368">
        <f t="shared" si="2"/>
        <v>0</v>
      </c>
      <c r="G12" s="395">
        <v>0</v>
      </c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-IF(ISNA(VLOOKUP("NAN707230000",Balance!C:G,5,FALSE))=TRUE,0,VLOOKUP("NAN707230000",Balance!C:G,5,FALSE))</f>
        <v>11839.740000000002</v>
      </c>
      <c r="D13" s="117">
        <f>+[2]Nancy!$H13</f>
        <v>0</v>
      </c>
      <c r="E13" s="160">
        <f>-IF(ISNA(VLOOKUP("NAN707230000",Balanceanp!C:G,5,FALSE))=TRUE,0,VLOOKUP("NAN707230000",Balanceanp!C:G,5,FALSE))</f>
        <v>20642.23</v>
      </c>
      <c r="F13" s="368">
        <f t="shared" si="2"/>
        <v>11839.740000000002</v>
      </c>
      <c r="G13" s="395">
        <v>0</v>
      </c>
      <c r="H13" s="401"/>
      <c r="I13" s="149">
        <f t="shared" si="1"/>
        <v>-0.42643115593615605</v>
      </c>
      <c r="J13" s="271">
        <f t="shared" si="1"/>
        <v>-1</v>
      </c>
      <c r="L13" s="17">
        <v>0</v>
      </c>
    </row>
    <row r="14" spans="1:12" hidden="1">
      <c r="A14" s="5" t="s">
        <v>269</v>
      </c>
      <c r="B14" s="92"/>
      <c r="C14" s="160">
        <f>-IF(ISNA(VLOOKUP("NAN708820000",Balance!C:G,5,FALSE))=TRUE,0,VLOOKUP("NAN708820000",Balance!C:G,5,FALSE))</f>
        <v>0</v>
      </c>
      <c r="D14" s="117">
        <f>+[2]Nancy!$H14</f>
        <v>0</v>
      </c>
      <c r="E14" s="160">
        <f>-IF(ISNA(VLOOKUP("NAN708820000",Balanceanp!C:G,5,FALSE))=TRUE,0,VLOOKUP("NAN708820000",Balanceanp!C:G,5,FALSE))</f>
        <v>22</v>
      </c>
      <c r="F14" s="368">
        <f t="shared" si="2"/>
        <v>0</v>
      </c>
      <c r="G14" s="395">
        <v>0</v>
      </c>
      <c r="H14" s="401"/>
      <c r="I14" s="149">
        <f t="shared" si="1"/>
        <v>-1</v>
      </c>
      <c r="J14" s="271">
        <f t="shared" si="1"/>
        <v>0</v>
      </c>
      <c r="L14" s="17">
        <v>0</v>
      </c>
    </row>
    <row r="15" spans="1:12" hidden="1">
      <c r="A15" s="5" t="s">
        <v>270</v>
      </c>
      <c r="B15" s="92"/>
      <c r="C15" s="160">
        <f>-IF(ISNA(VLOOKUP("NAN708500000",Balance!C:G,5,FALSE))=TRUE,0,VLOOKUP("NAN708500000",Balance!C:G,5,FALSE))</f>
        <v>876</v>
      </c>
      <c r="D15" s="117">
        <f>+[2]Nancy!$H15</f>
        <v>0</v>
      </c>
      <c r="E15" s="160">
        <f>-IF(ISNA(VLOOKUP("NAN708500000",Balanceanp!C:G,5,FALSE))=TRUE,0,VLOOKUP("NAN708500000",Balanceanp!C:G,5,FALSE))</f>
        <v>1023</v>
      </c>
      <c r="F15" s="368">
        <f t="shared" si="2"/>
        <v>876</v>
      </c>
      <c r="G15" s="395">
        <v>0</v>
      </c>
      <c r="H15" s="401"/>
      <c r="I15" s="149">
        <f t="shared" si="1"/>
        <v>-0.14369501466275661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IF(ISNA(VLOOKUP("NAN706000000",Balance!C:G,5,FALSE))=TRUE,0,-VLOOKUP("NAN706000000",Balance!C:G,5,FALSE))+IF(ISNA(VLOOKUP("NAN706010000",Balance!C:G,5,FALSE))=TRUE,0,-VLOOKUP("NAN706010000",Balance!C:G,5,FALSE))</f>
        <v>0</v>
      </c>
      <c r="D16" s="117">
        <f>+[2]Nancy!$H16</f>
        <v>0</v>
      </c>
      <c r="E16" s="160">
        <f>IF(ISNA(VLOOKUP("NAN706000000",Balanceanp!C:G,5,FALSE))=TRUE,0,-VLOOKUP("NAN706000000",Balanceanp!C:G,5,FALSE))+IF(ISNA(VLOOKUP("NAN706010000",Balanceanp!C:G,5,FALSE))=TRUE,0,-VLOOKUP("NAN706010000",Balanceanp!C:G,5,FALSE))</f>
        <v>281.5</v>
      </c>
      <c r="F16" s="368">
        <f t="shared" si="2"/>
        <v>0</v>
      </c>
      <c r="G16" s="395">
        <v>0</v>
      </c>
      <c r="H16" s="401"/>
      <c r="I16" s="149">
        <f t="shared" si="1"/>
        <v>-1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IF(ISNA(VLOOKUP("NAN707500000",Balance!C:G,5,FALSE))=TRUE,0,-VLOOKUP("NAN707500000",Balance!C:G,5,FALSE))</f>
        <v>0</v>
      </c>
      <c r="D17" s="117">
        <f>+[2]Nancy!$H17</f>
        <v>0</v>
      </c>
      <c r="E17" s="160">
        <f>IF(ISNA(VLOOKUP("NAN707500000",Balanceanp!C:G,5,FALSE))=TRUE,0,-VLOOKUP("NAN707500000",Balanceanp!C:G,5,FALSE))</f>
        <v>0</v>
      </c>
      <c r="F17" s="368">
        <f t="shared" si="2"/>
        <v>0</v>
      </c>
      <c r="G17" s="395">
        <f>+F17*1.03</f>
        <v>0</v>
      </c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IF(ISNA(VLOOKUP("NAN707510000",Balance!C:G,5,FALSE))=TRUE,0,-VLOOKUP("NAN707510000",Balance!C:G,5,FALSE))</f>
        <v>0</v>
      </c>
      <c r="D18" s="117">
        <f>+[2]Nancy!$H18</f>
        <v>0</v>
      </c>
      <c r="E18" s="160">
        <f>IF(ISNA(VLOOKUP("NAN707510000",Balanceanp!C:G,5,FALSE))=TRUE,0,-VLOOKUP("NAN707510000",Balanceanp!C:G,5,FALSE))</f>
        <v>0</v>
      </c>
      <c r="F18" s="368">
        <f t="shared" si="2"/>
        <v>0</v>
      </c>
      <c r="G18" s="395">
        <f>+F18*1.03</f>
        <v>0</v>
      </c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IF(ISNA(VLOOKUP("NAN708300000",Balance!C:G,5,FALSE))=TRUE,0,-VLOOKUP("NAN708300000",Balance!C:G,5,FALSE))</f>
        <v>0</v>
      </c>
      <c r="D19" s="117">
        <f>+[2]Nancy!$H19</f>
        <v>0</v>
      </c>
      <c r="E19" s="160">
        <f>IF(ISNA(VLOOKUP("NAN708300000",Balanceanp!C:G,5,FALSE))=TRUE,0,-VLOOKUP("NAN708300000",Balanceanp!C:G,5,FALSE))</f>
        <v>0</v>
      </c>
      <c r="F19" s="368">
        <f t="shared" si="2"/>
        <v>0</v>
      </c>
      <c r="G19" s="395">
        <f>+F19*1.03</f>
        <v>0</v>
      </c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649284.44000000006</v>
      </c>
      <c r="D21" s="312">
        <f>SUM(D7:D20)</f>
        <v>997531</v>
      </c>
      <c r="E21" s="305">
        <f>SUM(E7:E20)</f>
        <v>949990.02</v>
      </c>
      <c r="F21" s="312">
        <f>SUM(F7:F20)</f>
        <v>872898.9768078042</v>
      </c>
      <c r="G21" s="312">
        <f>SUM(G7:G20)</f>
        <v>913405</v>
      </c>
      <c r="H21" s="312"/>
      <c r="I21" s="598">
        <f>+IF((E21)=0,,(F21-E21)/E21)</f>
        <v>-8.1149319013052182E-2</v>
      </c>
      <c r="J21" s="599">
        <f>+IF((F21)=0,,(G21-F21)/F21)</f>
        <v>4.64040218495003E-2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IF(ISNA(VLOOKUP("NAN602650000",Balance!C:G,5,FALSE))=TRUE,0,VLOOKUP("NAN602650000",Balance!C:G,5,FALSE))</f>
        <v>0</v>
      </c>
      <c r="D23" s="115"/>
      <c r="E23" s="160">
        <f>IF(ISNA(VLOOKUP("NAN602650000",Balanceanp!C:G,5,FALSE))=TRUE,0,VLOOKUP("NAN602650000",Balanceanp!C:G,5,FALSE))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IF(ISNA(VLOOKUP("NAN607100000",Balance!C:G,5,FALSE))=TRUE,0,VLOOKUP("NAN607100000",Balance!C:G,5,FALSE))</f>
        <v>245784.59</v>
      </c>
      <c r="D24" s="600"/>
      <c r="E24" s="311">
        <f>IF(ISNA(VLOOKUP("NAN607100000",Balanceanp!C:G,5,FALSE))=TRUE,0,VLOOKUP("NAN607100000",Balanceanp!C:G,5,FALSE))</f>
        <v>313948.24</v>
      </c>
      <c r="F24" s="600"/>
      <c r="G24" s="602">
        <f>H24*G30</f>
        <v>368102.21500000003</v>
      </c>
      <c r="H24" s="603">
        <f>1-H28</f>
        <v>0.65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IF(ISNA(VLOOKUP("NAN607110000",Balance!C:G,5,FALSE))=TRUE,0,VLOOKUP("NAN607110000",Balance!C:G,5,FALSE))+IF(ISNA(VLOOKUP("NAN607120000",Balance!C:G,5,FALSE))=TRUE,0,VLOOKUP("NAN607120000",Balance!C:G,5,FALSE))</f>
        <v>11215.67</v>
      </c>
      <c r="D25" s="115"/>
      <c r="E25" s="160">
        <f>IF(ISNA(VLOOKUP("NAN607110000",Balanceanp!C:G,5,FALSE))=TRUE,0,VLOOKUP("NAN607110000",Balanceanp!C:G,5,FALSE))+IF(ISNA(VLOOKUP("NAN607120000",Balanceanp!C:G,5,FALSE))=TRUE,0,VLOOKUP("NAN607120000",Balanceanp!C:G,5,FALSE))</f>
        <v>24061.57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IF(ISNA(VLOOKUP("NAN607130000",Balance!C:G,5,FALSE))=TRUE,0,VLOOKUP("NAN607130000",Balance!C:G,5,FALSE))</f>
        <v>10943.66</v>
      </c>
      <c r="D26" s="115"/>
      <c r="E26" s="160">
        <f>IF(ISNA(VLOOKUP("NAN607130000",Balanceanp!C:G,5,FALSE))=TRUE,0,VLOOKUP("NAN607130000",Balanceanp!C:G,5,FALSE))</f>
        <v>30633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IF(ISNA(VLOOKUP("NAN607140000",Balance!C:G,5,FALSE))=TRUE,0,VLOOKUP("NAN607140000",Balance!C:G,5,FALSE))</f>
        <v>-1424.95</v>
      </c>
      <c r="D27" s="115"/>
      <c r="E27" s="160">
        <f>IF(ISNA(VLOOKUP("NAN607140000",Balanceanp!C:G,5,FALSE))=TRUE,0,VLOOKUP("NAN607140000",Balanceanp!C:G,5,FALSE))</f>
        <v>-1730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IF(ISNA(VLOOKUP("NAN607200000",Balance!C:G,5,FALSE))=TRUE,0,VLOOKUP("NAN607200000",Balance!C:G,5,FALSE))</f>
        <v>136744.14000000001</v>
      </c>
      <c r="D28" s="600"/>
      <c r="E28" s="311">
        <f>IF(ISNA(VLOOKUP("NAN607200000",Balanceanp!C:G,5,FALSE))=TRUE,0,VLOOKUP("NAN607200000",Balanceanp!C:G,5,FALSE))</f>
        <v>215776.77</v>
      </c>
      <c r="F28" s="600"/>
      <c r="G28" s="602">
        <f>H28*G30</f>
        <v>198208.88499999998</v>
      </c>
      <c r="H28" s="604">
        <v>0.35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IF(ISNA(VLOOKUP("NAN607150000",Balance!C:G,5,FALSE))=TRUE,0,VLOOKUP("NAN607150000",Balance!C:G,5,FALSE))</f>
        <v>0</v>
      </c>
      <c r="D29" s="115"/>
      <c r="E29" s="357">
        <f>IF(ISNA(VLOOKUP("NAN607150000",Balanceanp!C:G,5,FALSE))=TRUE,0,VLOOKUP("NAN607150000",Balanceanp!C:G,5,FALSE))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403263.11</v>
      </c>
      <c r="D30" s="402"/>
      <c r="E30" s="306">
        <f>SUM(E23:E29)</f>
        <v>582689.57999999996</v>
      </c>
      <c r="F30" s="607">
        <f>1-(E30/E21)</f>
        <v>0.38663610381928015</v>
      </c>
      <c r="G30" s="402">
        <f>G21*(1-H30)</f>
        <v>566311.1</v>
      </c>
      <c r="H30" s="577">
        <v>0.38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232525.15000000008</v>
      </c>
      <c r="D32" s="403"/>
      <c r="E32" s="307">
        <f>+E21-E30-E38</f>
        <v>363172.58090000006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0.3581252463096144</v>
      </c>
      <c r="D33" s="403"/>
      <c r="E33" s="308"/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IF(ISNA(VLOOKUP("NAN607400000",Balance!C:G,5,FALSE))=TRUE,0,VLOOKUP("NAN607400000",Balance!C:G,5,FALSE))</f>
        <v>5345.19</v>
      </c>
      <c r="D35" s="600"/>
      <c r="E35" s="311">
        <f>IF(ISNA(VLOOKUP("NAN607400000",Balanceanp!C:G,5,FALSE))=TRUE,0,VLOOKUP("NAN607400000",Balanceanp!C:G,5,FALSE))</f>
        <v>7518.77</v>
      </c>
      <c r="F35" s="972">
        <f>E35/E30</f>
        <v>1.2903560073959108E-2</v>
      </c>
      <c r="G35" s="613">
        <f>F35*G30</f>
        <v>7307.4292993998633</v>
      </c>
      <c r="H35" s="600"/>
      <c r="I35" s="591" t="str">
        <f t="shared" si="3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IF(ISNA(VLOOKUP("NAN608000000",Balance!C:G,5,FALSE))=TRUE,0,VLOOKUP("NAN608000000",Balance!C:G,5,FALSE))</f>
        <v>1359.05</v>
      </c>
      <c r="D36" s="600"/>
      <c r="E36" s="311">
        <f>IF(ISNA(VLOOKUP("NAN608000000",Balanceanp!C:G,5,FALSE))=TRUE,0,VLOOKUP("NAN608000000",Balanceanp!C:G,5,FALSE))</f>
        <v>1375.83</v>
      </c>
      <c r="F36" s="972">
        <f>E36/E30</f>
        <v>2.3611714491273382E-3</v>
      </c>
      <c r="G36" s="613">
        <f>F36*G30</f>
        <v>1337.1576006438968</v>
      </c>
      <c r="H36" s="600"/>
      <c r="I36" s="591" t="str">
        <f t="shared" si="3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IF(ISNA(VLOOKUP("NAN608100000",Balance!C:G,5,FALSE))=TRUE,0,VLOOKUP("NAN608100000",Balance!C:G,5,FALSE))</f>
        <v>0</v>
      </c>
      <c r="D37" s="115"/>
      <c r="E37" s="160">
        <f>IF(ISNA(VLOOKUP("NAN608100000",Balanceanp!C:G,5,FALSE))=TRUE,0,VLOOKUP("NAN608100000",Balanceanp!C:G,5,FALSE))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13496.179999999993</v>
      </c>
      <c r="D38" s="115"/>
      <c r="E38" s="160">
        <f>+E56-E57</f>
        <v>4127.8591000000015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IF(ISNA(VLOOKUP("NAN681730000",Balance!C:G,5,FALSE))=TRUE,0,VLOOKUP("NAN681730000",Balance!C:G,5,FALSE))</f>
        <v>0</v>
      </c>
      <c r="D39" s="115"/>
      <c r="E39" s="160">
        <f>IF(ISNA(VLOOKUP("NAN681730000",Balanceanp!C:G,5,FALSE))=TRUE,0,VLOOKUP("NAN681730000",Balanceanp!C:G,5,FALSE))</f>
        <v>3525.46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IF(ISNA(VLOOKUP("NAN781730000",Balance!C:G,5,FALSE))=TRUE,0,VLOOKUP("NAN781730000",Balance!C:G,5,FALSE))</f>
        <v>-3525.46</v>
      </c>
      <c r="D40" s="115"/>
      <c r="E40" s="160">
        <f>IF(ISNA(VLOOKUP("NAN781730000",Balanceanp!C:G,5,FALSE))=TRUE,0,VLOOKUP("NAN781730000",Balanceanp!C:G,5,FALSE))</f>
        <v>-3604.22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IF(ISNA(VLOOKUP("NAN609110000",Balance!C:G,5,FALSE))=TRUE,0,VLOOKUP("NAN609110000",Balance!C:G,5,FALSE))</f>
        <v>-512.38</v>
      </c>
      <c r="D41" s="600"/>
      <c r="E41" s="311">
        <f>IF(ISNA(VLOOKUP("NAN609110000",Balanceanp!C:G,5,FALSE))=TRUE,0,VLOOKUP("NAN609110000",Balanceanp!C:G,5,FALSE))</f>
        <v>-7549.4</v>
      </c>
      <c r="F41" s="614">
        <f>E41/SUM(E24:E25)</f>
        <v>-2.2334854719157412E-2</v>
      </c>
      <c r="G41" s="615">
        <f>H41*(G24)</f>
        <v>-7362.0443000000005</v>
      </c>
      <c r="H41" s="616">
        <v>-0.02</v>
      </c>
      <c r="I41" s="591" t="str">
        <f t="shared" si="3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IF(ISNA(VLOOKUP("NAN609120000",Balance!C:G,5,FALSE))=TRUE,0,VLOOKUP("NAN609120000",Balance!C:G,5,FALSE))</f>
        <v>-8990.31</v>
      </c>
      <c r="D42" s="600"/>
      <c r="E42" s="311">
        <f>IF(ISNA(VLOOKUP("NAN609120000",Balanceanp!C:G,5,FALSE))=TRUE,0,VLOOKUP("NAN609120000",Balanceanp!C:G,5,FALSE))</f>
        <v>-15130.37</v>
      </c>
      <c r="F42" s="614">
        <f>E42/E28</f>
        <v>-7.0120476824266129E-2</v>
      </c>
      <c r="G42" s="615">
        <f>H42*G28</f>
        <v>-13874.621950000001</v>
      </c>
      <c r="H42" s="616">
        <v>-7.0000000000000007E-2</v>
      </c>
      <c r="I42" s="591" t="str">
        <f t="shared" si="3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410435.38</v>
      </c>
      <c r="D44" s="404"/>
      <c r="E44" s="305">
        <f>+E30+SUM(E34:E43)</f>
        <v>572953.50909999991</v>
      </c>
      <c r="F44" s="404"/>
      <c r="G44" s="618">
        <f>SUM(G35:G43)+G30</f>
        <v>553719.02065004373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238849.06000000006</v>
      </c>
      <c r="D46" s="120"/>
      <c r="E46" s="166">
        <f>+E21-E44</f>
        <v>377036.51090000011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0.36786506080447584</v>
      </c>
      <c r="D47" s="120"/>
      <c r="E47" s="196"/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1.2706295564390853E-2</v>
      </c>
      <c r="C49" s="311">
        <f>IF(ISNA(VLOOKUP("NAN709700000",Balance!C:G,5,FALSE))=TRUE,0,VLOOKUP("NAN709700000",Balance!C:G,5,FALSE))</f>
        <v>8250</v>
      </c>
      <c r="D49" s="592">
        <f>+[2]Nancy!$H49</f>
        <v>11000</v>
      </c>
      <c r="E49" s="311">
        <f>IF(ISNA(VLOOKUP("NAN709700000",Balanceanp!C:G,5,FALSE))=TRUE,0,VLOOKUP("NAN709700000",Balanceanp!C:G,5,FALSE))</f>
        <v>7207.36</v>
      </c>
      <c r="F49" s="592">
        <f>+C49+C49/9*(12-Clients!$I$14)</f>
        <v>11000</v>
      </c>
      <c r="G49" s="620">
        <v>11946</v>
      </c>
      <c r="H49" s="621">
        <f>G49/G21</f>
        <v>1.307853580832161E-2</v>
      </c>
      <c r="I49" s="591">
        <f>+IF((E49)=0,,(F49-E49)/E49)</f>
        <v>0.5262176441859433</v>
      </c>
      <c r="J49" s="595">
        <f>+IF((F49)=0,,(G49-F49)/F49)</f>
        <v>8.5999999999999993E-2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641034.44000000006</v>
      </c>
      <c r="D51" s="312">
        <f>+D21-D49</f>
        <v>986531</v>
      </c>
      <c r="E51" s="305">
        <f>+E21-E49</f>
        <v>942782.66</v>
      </c>
      <c r="F51" s="312">
        <f>+F21-F49</f>
        <v>861898.9768078042</v>
      </c>
      <c r="G51" s="312">
        <f>+G21-G49</f>
        <v>901459</v>
      </c>
      <c r="H51" s="312"/>
      <c r="I51" s="598">
        <f>+IF((E51)=0,,(F51-E51)/E51)</f>
        <v>-8.579250194545987E-2</v>
      </c>
      <c r="J51" s="599">
        <f>+IF((F51)=0,,(G51-F51)/F51)</f>
        <v>4.5898677521016874E-2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230599.06000000006</v>
      </c>
      <c r="D53" s="122"/>
      <c r="E53" s="169">
        <f>+E51-E44</f>
        <v>369829.15090000012</v>
      </c>
      <c r="F53" s="140"/>
      <c r="G53" s="140">
        <f>+G51-G44</f>
        <v>347739.97934995627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0.35972959580767616</v>
      </c>
      <c r="D54" s="123"/>
      <c r="E54" s="197">
        <f>+E53/E51</f>
        <v>0.39227402729278038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+[2]Nancy!$C56</f>
        <v>108044.18</v>
      </c>
      <c r="D56" s="115"/>
      <c r="E56" s="160">
        <f>+[1]Nancy!$G56</f>
        <v>109285.7445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+[2]Nancy!$C57</f>
        <v>94548</v>
      </c>
      <c r="D57" s="115"/>
      <c r="E57" s="160">
        <f>+[1]Nancy!$G57</f>
        <v>105157.8854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15">
        <f>+[2]Nancy!$C60</f>
        <v>0.38</v>
      </c>
      <c r="D60" s="406">
        <f>+[2]Nancy!$H60</f>
        <v>0.40844433677198183</v>
      </c>
      <c r="E60" s="15">
        <f>+[1]Nancy!$G$54</f>
        <v>0.39227402729278038</v>
      </c>
      <c r="F60" s="406">
        <f>+C60</f>
        <v>0.38</v>
      </c>
      <c r="G60" s="406">
        <f>G62/G51</f>
        <v>0.385752407319641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+[2]Nancy!$C61</f>
        <v>0.379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243593.08720000004</v>
      </c>
      <c r="D62" s="405">
        <f>D51*D60</f>
        <v>402943</v>
      </c>
      <c r="E62" s="309">
        <f>+E51*E60</f>
        <v>369829.15090000012</v>
      </c>
      <c r="F62" s="405">
        <f>+F51*F60</f>
        <v>327521.6111869656</v>
      </c>
      <c r="G62" s="405">
        <f>G51-G44</f>
        <v>347739.97934995627</v>
      </c>
      <c r="H62" s="405"/>
      <c r="I62" s="15">
        <f>+IF((E62)=0,,(F62-E62)/E62)</f>
        <v>-0.11439752547920232</v>
      </c>
      <c r="J62" s="406">
        <f>+IF((F62)=0,,(G62-F62)/F62)</f>
        <v>6.1731401753055665E-2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IF(ISNA(VLOOKUP("NAN613520000",Balance!C:G,5,FALSE))=TRUE,0,VLOOKUP("NAN613520000",Balance!C:G,5,FALSE))</f>
        <v>2722.99</v>
      </c>
      <c r="D64" s="592">
        <f>+[2]Nancy!$H64</f>
        <v>3678.3669</v>
      </c>
      <c r="E64" s="311">
        <f>IF(ISNA(VLOOKUP("NAN613520000",Balanceanp!C:G,5,FALSE))=TRUE,0,VLOOKUP("NAN613520000",Balanceanp!C:G,5,FALSE))</f>
        <v>3524.62</v>
      </c>
      <c r="F64" s="625">
        <f>+C64+C64/9*(12-Clients!$I$14)</f>
        <v>3630.6533333333327</v>
      </c>
      <c r="G64" s="594">
        <f>+F64*1.03</f>
        <v>3739.5729333333329</v>
      </c>
      <c r="H64" s="594"/>
      <c r="I64" s="591">
        <f t="shared" ref="I64:J68" si="4">+IF((E64)=0,,(F64-E64)/E64)</f>
        <v>3.0083621307639648E-2</v>
      </c>
      <c r="J64" s="595">
        <f t="shared" si="4"/>
        <v>3.0000000000000051E-2</v>
      </c>
      <c r="L64" s="17">
        <f t="shared" si="0"/>
        <v>1</v>
      </c>
    </row>
    <row r="65" spans="1:12" hidden="1">
      <c r="A65" s="5" t="s">
        <v>314</v>
      </c>
      <c r="B65" s="92"/>
      <c r="C65" s="160">
        <f>IF(ISNA(VLOOKUP("NAN612500000",Balance!C:G,5,FALSE))=TRUE,0,VLOOKUP("NAN612500000",Balance!C:G,5,FALSE))</f>
        <v>0</v>
      </c>
      <c r="D65" s="117">
        <f>+[2]Nancy!$H65</f>
        <v>0</v>
      </c>
      <c r="E65" s="160">
        <f>IF(ISNA(VLOOKUP("NAN612500000",Balanceanp!C:G,5,FALSE))=TRUE,0,VLOOKUP("NAN612500000",Balanceanp!C:G,5,FALSE))</f>
        <v>0</v>
      </c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IF(ISNA(VLOOKUP("NAN616120000",Balance!C:G,5,FALSE))=TRUE,0,VLOOKUP("NAN616120000",Balance!C:G,5,FALSE))</f>
        <v>1208.8599999999999</v>
      </c>
      <c r="D66" s="592">
        <f>+[2]Nancy!$H66</f>
        <v>1561.2534000000001</v>
      </c>
      <c r="E66" s="311">
        <f>IF(ISNA(VLOOKUP("NAN616120000",Balanceanp!C:G,5,FALSE))=TRUE,0,VLOOKUP("NAN616120000",Balanceanp!C:G,5,FALSE))</f>
        <v>1452.74</v>
      </c>
      <c r="F66" s="625">
        <f>+C66+C66/9*(12-Clients!$I$14)</f>
        <v>1611.813333333333</v>
      </c>
      <c r="G66" s="594">
        <f>+F66*1.03</f>
        <v>1660.167733333333</v>
      </c>
      <c r="H66" s="594"/>
      <c r="I66" s="591">
        <f t="shared" si="4"/>
        <v>0.10949883209200066</v>
      </c>
      <c r="J66" s="595">
        <f t="shared" si="4"/>
        <v>2.9999999999999968E-2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IF(ISNA(VLOOKUP("NAN615520000",Balance!C:G,5,FALSE))=TRUE,0,VLOOKUP("NAN615520000",Balance!C:G,5,FALSE))</f>
        <v>3042.17</v>
      </c>
      <c r="D67" s="592">
        <f>+[2]Nancy!$H67</f>
        <v>4219.4877000000006</v>
      </c>
      <c r="E67" s="311">
        <f>IF(ISNA(VLOOKUP("NAN615520000",Balanceanp!C:G,5,FALSE))=TRUE,0,VLOOKUP("NAN615520000",Balanceanp!C:G,5,FALSE))</f>
        <v>4026.84</v>
      </c>
      <c r="F67" s="625">
        <f>+C67+C67/9*(12-Clients!$I$14)</f>
        <v>4056.2266666666669</v>
      </c>
      <c r="G67" s="594">
        <f>+F67*1.03</f>
        <v>4177.9134666666669</v>
      </c>
      <c r="H67" s="594"/>
      <c r="I67" s="591">
        <f t="shared" si="4"/>
        <v>7.2976991056676625E-3</v>
      </c>
      <c r="J67" s="595">
        <f t="shared" si="4"/>
        <v>2.9999999999999985E-2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IF(ISNA(VLOOKUP("NAN606130000",Balance!C:G,5,FALSE))=TRUE,0,VLOOKUP("NAN606130000",Balance!C:G,5,FALSE))</f>
        <v>2254.33</v>
      </c>
      <c r="D68" s="592">
        <f>+[2]Nancy!$H68</f>
        <v>3158.7628000000004</v>
      </c>
      <c r="E68" s="311">
        <f>IF(ISNA(VLOOKUP("NAN606130000",Balanceanp!C:G,5,FALSE))=TRUE,0,VLOOKUP("NAN606130000",Balanceanp!C:G,5,FALSE))</f>
        <v>3312.92</v>
      </c>
      <c r="F68" s="625">
        <f>+C68+C68/9*(12-Clients!$I$14)</f>
        <v>3005.7733333333331</v>
      </c>
      <c r="G68" s="625">
        <f>+F68*1.03</f>
        <v>3095.9465333333333</v>
      </c>
      <c r="H68" s="625"/>
      <c r="I68" s="591">
        <f t="shared" si="4"/>
        <v>-9.2711766860252273E-2</v>
      </c>
      <c r="J68" s="595">
        <f t="shared" si="4"/>
        <v>3.0000000000000061E-2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9228.3499999999985</v>
      </c>
      <c r="D70" s="628">
        <f>SUM(D64:D69)</f>
        <v>12617.870800000001</v>
      </c>
      <c r="E70" s="311">
        <f>SUM(E64:E69)</f>
        <v>12317.12</v>
      </c>
      <c r="F70" s="973">
        <f>SUM(F64:F69)</f>
        <v>12304.466666666665</v>
      </c>
      <c r="G70" s="412">
        <f>SUM(G64:G69)</f>
        <v>12673.600666666667</v>
      </c>
      <c r="H70" s="412"/>
      <c r="I70" s="591">
        <f>+IF((E70)=0,,(F70-E70)/E70)</f>
        <v>-1.0272964242725138E-3</v>
      </c>
      <c r="J70" s="595">
        <f>+IF((F70)=0,,(G70-F70)/F70)</f>
        <v>3.0000000000000152E-2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IF(ISNA(VLOOKUP("NAN602220000",Balance!C:G,5,FALSE))=TRUE,0,VLOOKUP("NAN602220000",Balance!C:G,5,FALSE))</f>
        <v>57.31</v>
      </c>
      <c r="D72" s="592">
        <f>+[2]Nancy!$H72</f>
        <v>31.883611632499999</v>
      </c>
      <c r="E72" s="311">
        <f>IF(ISNA(VLOOKUP("NAN602220000",Balanceanp!C:G,5,FALSE))=TRUE,0,VLOOKUP("NAN602220000",Balanceanp!C:G,5,FALSE))</f>
        <v>263.52</v>
      </c>
      <c r="F72" s="625">
        <f>+C72+C72/9*(12-Clients!$I$14)</f>
        <v>76.413333333333341</v>
      </c>
      <c r="G72" s="630">
        <f>+F72*1.03</f>
        <v>78.705733333333342</v>
      </c>
      <c r="H72" s="630"/>
      <c r="I72" s="591">
        <f t="shared" ref="I72:J87" si="5">+IF((E72)=0,,(F72-E72)/E72)</f>
        <v>-0.71002833434527413</v>
      </c>
      <c r="J72" s="595">
        <f t="shared" si="5"/>
        <v>3.0000000000000006E-2</v>
      </c>
      <c r="L72" s="17">
        <f t="shared" ref="L72:L133" si="6">IF(SUM(C72:J72)&lt;&gt;0,1,0)</f>
        <v>1</v>
      </c>
    </row>
    <row r="73" spans="1:12">
      <c r="A73" s="590" t="s">
        <v>123</v>
      </c>
      <c r="B73" s="591"/>
      <c r="C73" s="311">
        <f>IF(ISNA(VLOOKUP("NAN606100000",Balance!C:G,5,FALSE))=TRUE,0,VLOOKUP("NAN606100000",Balance!C:G,5,FALSE))</f>
        <v>2826.6</v>
      </c>
      <c r="D73" s="592">
        <f>+[2]Nancy!$H73</f>
        <v>4319.2565844637502</v>
      </c>
      <c r="E73" s="311">
        <f>IF(ISNA(VLOOKUP("NAN606100000",Balanceanp!C:G,5,FALSE))=TRUE,0,VLOOKUP("NAN606100000",Balanceanp!C:G,5,FALSE))</f>
        <v>4557.51</v>
      </c>
      <c r="F73" s="625">
        <f>+C73+C73/9*(12-Clients!$I$14)</f>
        <v>3768.8</v>
      </c>
      <c r="G73" s="630">
        <f t="shared" ref="G73:G101" si="7">+F73*1.03</f>
        <v>3881.8640000000005</v>
      </c>
      <c r="H73" s="630"/>
      <c r="I73" s="591">
        <f t="shared" si="5"/>
        <v>-0.17305721764735568</v>
      </c>
      <c r="J73" s="595">
        <f t="shared" si="5"/>
        <v>3.0000000000000079E-2</v>
      </c>
      <c r="L73" s="17">
        <f t="shared" si="6"/>
        <v>1</v>
      </c>
    </row>
    <row r="74" spans="1:12">
      <c r="A74" s="590" t="s">
        <v>124</v>
      </c>
      <c r="B74" s="591"/>
      <c r="C74" s="311">
        <f>IF(ISNA(VLOOKUP("NAN606110000",Balance!C:G,5,FALSE))=TRUE,0,VLOOKUP("NAN606110000",Balance!C:G,5,FALSE))</f>
        <v>3492.73</v>
      </c>
      <c r="D74" s="592">
        <f>+[2]Nancy!$H74</f>
        <v>5497.2130000000006</v>
      </c>
      <c r="E74" s="311">
        <f>IF(ISNA(VLOOKUP("NAN606110000",Balanceanp!C:G,5,FALSE))=TRUE,0,VLOOKUP("NAN606110000",Balanceanp!C:G,5,FALSE))</f>
        <v>6567.2</v>
      </c>
      <c r="F74" s="625">
        <f>+C74+C74/9*(12-Clients!$I$14)</f>
        <v>4656.9733333333334</v>
      </c>
      <c r="G74" s="630">
        <f t="shared" si="7"/>
        <v>4796.6825333333336</v>
      </c>
      <c r="H74" s="630"/>
      <c r="I74" s="591">
        <f t="shared" si="5"/>
        <v>-0.29087383765785518</v>
      </c>
      <c r="J74" s="595">
        <f t="shared" si="5"/>
        <v>3.0000000000000051E-2</v>
      </c>
      <c r="L74" s="17">
        <f t="shared" si="6"/>
        <v>1</v>
      </c>
    </row>
    <row r="75" spans="1:12">
      <c r="A75" s="590" t="s">
        <v>360</v>
      </c>
      <c r="B75" s="591"/>
      <c r="C75" s="311">
        <f>IF(ISNA(VLOOKUP("NAN606141000",Balance!C:G,5,FALSE))=TRUE,0,VLOOKUP("NAN606141000",Balance!C:G,5,FALSE))</f>
        <v>0</v>
      </c>
      <c r="D75" s="592">
        <f>+[2]Nancy!$H75</f>
        <v>192.12384000000003</v>
      </c>
      <c r="E75" s="311">
        <f>IF(ISNA(VLOOKUP("NAN606141000",Balanceanp!C:G,5,FALSE))=TRUE,0,VLOOKUP("NAN606141000",Balanceanp!C:G,5,FALSE))</f>
        <v>147.80000000000001</v>
      </c>
      <c r="F75" s="625">
        <f>+C75+C75/9*(12-Clients!$I$14)</f>
        <v>0</v>
      </c>
      <c r="G75" s="630">
        <f t="shared" si="7"/>
        <v>0</v>
      </c>
      <c r="H75" s="630"/>
      <c r="I75" s="591">
        <f t="shared" si="5"/>
        <v>-1</v>
      </c>
      <c r="J75" s="595">
        <f t="shared" si="5"/>
        <v>0</v>
      </c>
      <c r="L75" s="17">
        <f t="shared" si="6"/>
        <v>1</v>
      </c>
    </row>
    <row r="76" spans="1:12">
      <c r="A76" s="590" t="s">
        <v>126</v>
      </c>
      <c r="B76" s="591"/>
      <c r="C76" s="311">
        <f>IF(ISNA(VLOOKUP("NAN606310000",Balance!C:G,5,FALSE))=TRUE,0,VLOOKUP("NAN606310000",Balance!C:G,5,FALSE))</f>
        <v>259.68</v>
      </c>
      <c r="D76" s="592">
        <f>+[2]Nancy!$H76</f>
        <v>114.67487749645834</v>
      </c>
      <c r="E76" s="311">
        <f>IF(ISNA(VLOOKUP("NAN606310000",Balanceanp!C:G,5,FALSE))=TRUE,0,VLOOKUP("NAN606310000",Balanceanp!C:G,5,FALSE))</f>
        <v>113.45</v>
      </c>
      <c r="F76" s="625">
        <f>+C76+C76/9*(12-Clients!$I$14)</f>
        <v>346.24</v>
      </c>
      <c r="G76" s="630">
        <f t="shared" si="7"/>
        <v>356.62720000000002</v>
      </c>
      <c r="H76" s="630"/>
      <c r="I76" s="591">
        <f t="shared" si="5"/>
        <v>2.0519171441163508</v>
      </c>
      <c r="J76" s="595">
        <f t="shared" si="5"/>
        <v>3.000000000000002E-2</v>
      </c>
      <c r="L76" s="17">
        <f t="shared" si="6"/>
        <v>1</v>
      </c>
    </row>
    <row r="77" spans="1:12">
      <c r="A77" s="590" t="s">
        <v>127</v>
      </c>
      <c r="B77" s="591"/>
      <c r="C77" s="311">
        <f>IF(ISNA(VLOOKUP("NAN606410000",Balance!C:G,5,FALSE))=TRUE,0,VLOOKUP("NAN606410000",Balance!C:G,5,FALSE))</f>
        <v>5580.33</v>
      </c>
      <c r="D77" s="592">
        <f>+[2]Nancy!$H77</f>
        <v>3047.5771540441665</v>
      </c>
      <c r="E77" s="311">
        <f>IF(ISNA(VLOOKUP("NAN606410000",Balanceanp!C:G,5,FALSE))=TRUE,0,VLOOKUP("NAN606410000",Balanceanp!C:G,5,FALSE))</f>
        <v>3654.33</v>
      </c>
      <c r="F77" s="625">
        <f>+C77+C77/9*(12-Clients!$I$14)</f>
        <v>7440.44</v>
      </c>
      <c r="G77" s="630">
        <f t="shared" si="7"/>
        <v>7663.6531999999997</v>
      </c>
      <c r="H77" s="630"/>
      <c r="I77" s="591">
        <f t="shared" si="5"/>
        <v>1.0360613299838821</v>
      </c>
      <c r="J77" s="595">
        <f t="shared" si="5"/>
        <v>3.000000000000002E-2</v>
      </c>
      <c r="L77" s="17">
        <f t="shared" si="6"/>
        <v>1</v>
      </c>
    </row>
    <row r="78" spans="1:12">
      <c r="A78" s="590" t="s">
        <v>101</v>
      </c>
      <c r="B78" s="591"/>
      <c r="C78" s="311">
        <f>IF(ISNA(VLOOKUP("NAN611000000",Balance!C:G,5,FALSE))=TRUE,0,VLOOKUP("NAN611000000",Balance!C:G,5,FALSE))</f>
        <v>0</v>
      </c>
      <c r="D78" s="592">
        <f>+[2]Nancy!$H78</f>
        <v>746.93194181791682</v>
      </c>
      <c r="E78" s="311">
        <f>IF(ISNA(VLOOKUP("NAN611000000",Balanceanp!C:G,5,FALSE))=TRUE,0,VLOOKUP("NAN611000000",Balanceanp!C:G,5,FALSE))</f>
        <v>546.32000000000005</v>
      </c>
      <c r="F78" s="625">
        <f>+C78+C78/9*(12-Clients!$I$14)</f>
        <v>0</v>
      </c>
      <c r="G78" s="625">
        <f t="shared" si="7"/>
        <v>0</v>
      </c>
      <c r="H78" s="625"/>
      <c r="I78" s="591">
        <f t="shared" si="5"/>
        <v>-1</v>
      </c>
      <c r="J78" s="595">
        <f t="shared" si="5"/>
        <v>0</v>
      </c>
      <c r="L78" s="17">
        <f t="shared" si="6"/>
        <v>1</v>
      </c>
    </row>
    <row r="79" spans="1:12">
      <c r="A79" s="590" t="s">
        <v>102</v>
      </c>
      <c r="B79" s="591"/>
      <c r="C79" s="311">
        <f>IF(ISNA(VLOOKUP("NAN613200000",Balance!C:G,5,FALSE))=TRUE,0,VLOOKUP("NAN613200000",Balance!C:G,5,FALSE))</f>
        <v>36749.97</v>
      </c>
      <c r="D79" s="592">
        <f>+[2]Nancy!$H79</f>
        <v>49000</v>
      </c>
      <c r="E79" s="311">
        <f>IF(ISNA(VLOOKUP("NAN613200000",Balanceanp!C:G,5,FALSE))=TRUE,0,VLOOKUP("NAN613200000",Balanceanp!C:G,5,FALSE))</f>
        <v>51956.88</v>
      </c>
      <c r="F79" s="620">
        <f>12250*4</f>
        <v>49000</v>
      </c>
      <c r="G79" s="620">
        <f>12250*4/1502*1517</f>
        <v>49489.347536617846</v>
      </c>
      <c r="H79" s="974">
        <f>G79/G21</f>
        <v>5.4181165569071599E-2</v>
      </c>
      <c r="I79" s="591">
        <f t="shared" si="5"/>
        <v>-5.6910268668942353E-2</v>
      </c>
      <c r="J79" s="595">
        <f t="shared" si="5"/>
        <v>9.9866844207723744E-3</v>
      </c>
      <c r="L79" s="17">
        <f t="shared" si="6"/>
        <v>1</v>
      </c>
    </row>
    <row r="80" spans="1:12">
      <c r="A80" s="590" t="s">
        <v>325</v>
      </c>
      <c r="B80" s="591"/>
      <c r="C80" s="311">
        <f>IF(ISNA(VLOOKUP("NAN614000000",Balance!C:G,5,FALSE))=TRUE,0,VLOOKUP("NAN614000000",Balance!C:G,5,FALSE))</f>
        <v>1643.25</v>
      </c>
      <c r="D80" s="592">
        <f>+[2]Nancy!$H80</f>
        <v>0</v>
      </c>
      <c r="E80" s="311">
        <f>IF(ISNA(VLOOKUP("NAN614000000",Balanceanp!C:G,5,FALSE))=TRUE,0,VLOOKUP("NAN614000000",Balanceanp!C:G,5,FALSE))</f>
        <v>0</v>
      </c>
      <c r="F80" s="625">
        <f>+C80+C80/9*(12-Clients!$I$14)</f>
        <v>2191</v>
      </c>
      <c r="G80" s="630">
        <f t="shared" si="7"/>
        <v>2256.73</v>
      </c>
      <c r="H80" s="630"/>
      <c r="I80" s="591">
        <f t="shared" si="5"/>
        <v>0</v>
      </c>
      <c r="J80" s="595">
        <f t="shared" si="5"/>
        <v>3.0000000000000009E-2</v>
      </c>
      <c r="L80" s="17">
        <f t="shared" si="6"/>
        <v>1</v>
      </c>
    </row>
    <row r="81" spans="1:12">
      <c r="A81" s="590" t="s">
        <v>103</v>
      </c>
      <c r="B81" s="591"/>
      <c r="C81" s="311">
        <f>IF(ISNA(VLOOKUP("NAN613510000",Balance!C:G,5,FALSE))=TRUE,0,VLOOKUP("NAN613510000",Balance!C:G,5,FALSE))</f>
        <v>0</v>
      </c>
      <c r="D81" s="592">
        <f>+[2]Nancy!$H81</f>
        <v>-660.50041476229171</v>
      </c>
      <c r="E81" s="311">
        <f>IF(ISNA(VLOOKUP("NAN613510000",Balanceanp!C:G,5,FALSE))=TRUE,0,VLOOKUP("NAN613510000",Balanceanp!C:G,5,FALSE))</f>
        <v>-691.32</v>
      </c>
      <c r="F81" s="625">
        <f>+C81+C81/9*(12-Clients!$I$14)</f>
        <v>0</v>
      </c>
      <c r="G81" s="630">
        <f t="shared" si="7"/>
        <v>0</v>
      </c>
      <c r="H81" s="630"/>
      <c r="I81" s="591">
        <f t="shared" si="5"/>
        <v>-1</v>
      </c>
      <c r="J81" s="595">
        <f t="shared" si="5"/>
        <v>0</v>
      </c>
      <c r="L81" s="17">
        <f t="shared" si="6"/>
        <v>1</v>
      </c>
    </row>
    <row r="82" spans="1:12">
      <c r="A82" s="590" t="s">
        <v>105</v>
      </c>
      <c r="B82" s="591"/>
      <c r="C82" s="311">
        <f>IF(ISNA(VLOOKUP("NAN613530000",Balance!C:G,5,FALSE))=TRUE,0,VLOOKUP("NAN613530000",Balance!C:G,5,FALSE))</f>
        <v>782.8</v>
      </c>
      <c r="D82" s="592">
        <f>+[2]Nancy!$H82</f>
        <v>724.23323437500005</v>
      </c>
      <c r="E82" s="311">
        <f>IF(ISNA(VLOOKUP("NAN613530000",Balanceanp!C:G,5,FALSE))=TRUE,0,VLOOKUP("NAN613530000",Balanceanp!C:G,5,FALSE))</f>
        <v>858.96</v>
      </c>
      <c r="F82" s="625">
        <f>+C82+C82/9*(12-Clients!$I$14)</f>
        <v>1043.7333333333333</v>
      </c>
      <c r="G82" s="630">
        <f t="shared" si="7"/>
        <v>1075.0453333333335</v>
      </c>
      <c r="H82" s="630"/>
      <c r="I82" s="591">
        <f t="shared" si="5"/>
        <v>0.21511284964763586</v>
      </c>
      <c r="J82" s="595">
        <f t="shared" si="5"/>
        <v>3.000000000000012E-2</v>
      </c>
      <c r="L82" s="17">
        <f t="shared" si="6"/>
        <v>1</v>
      </c>
    </row>
    <row r="83" spans="1:12">
      <c r="A83" s="590" t="s">
        <v>287</v>
      </c>
      <c r="B83" s="591"/>
      <c r="C83" s="311">
        <f>IF(ISNA(VLOOKUP("NAN613540000",Balance!C:G,5,FALSE))=TRUE,0,VLOOKUP("NAN613540000",Balance!C:G,5,FALSE))</f>
        <v>48.5</v>
      </c>
      <c r="D83" s="592">
        <f>+[2]Nancy!$H83</f>
        <v>852.00603329083333</v>
      </c>
      <c r="E83" s="311">
        <f>IF(ISNA(VLOOKUP("NAN613540000",Balanceanp!C:G,5,FALSE))=TRUE,0,VLOOKUP("NAN613540000",Balanceanp!C:G,5,FALSE))</f>
        <v>552.53</v>
      </c>
      <c r="F83" s="625">
        <f>+C83+C83/9*(12-Clients!$I$14)</f>
        <v>64.666666666666671</v>
      </c>
      <c r="G83" s="630">
        <f t="shared" si="7"/>
        <v>66.606666666666669</v>
      </c>
      <c r="H83" s="630"/>
      <c r="I83" s="591">
        <f t="shared" si="5"/>
        <v>-0.88296261439801149</v>
      </c>
      <c r="J83" s="595">
        <f t="shared" si="5"/>
        <v>2.9999999999999964E-2</v>
      </c>
      <c r="L83" s="17">
        <f t="shared" si="6"/>
        <v>1</v>
      </c>
    </row>
    <row r="84" spans="1:12">
      <c r="A84" s="590" t="s">
        <v>108</v>
      </c>
      <c r="B84" s="591"/>
      <c r="C84" s="311">
        <f>IF(ISNA(VLOOKUP("NAN615200000",Balance!C:G,5,FALSE))=TRUE,0,VLOOKUP("NAN615200000",Balance!C:G,5,FALSE))</f>
        <v>6081.27</v>
      </c>
      <c r="D84" s="592">
        <f>+[2]Nancy!$H84</f>
        <v>6184.0475641770836</v>
      </c>
      <c r="E84" s="311">
        <f>IF(ISNA(VLOOKUP("NAN615200000",Balanceanp!C:G,5,FALSE))=TRUE,0,VLOOKUP("NAN615200000",Balanceanp!C:G,5,FALSE))</f>
        <v>6137.76</v>
      </c>
      <c r="F84" s="625">
        <f>+C84+C84/9*(12-Clients!$I$14)</f>
        <v>8108.3600000000006</v>
      </c>
      <c r="G84" s="630">
        <f t="shared" si="7"/>
        <v>8351.6108000000004</v>
      </c>
      <c r="H84" s="630"/>
      <c r="I84" s="591">
        <f t="shared" si="5"/>
        <v>0.32106175542869064</v>
      </c>
      <c r="J84" s="595">
        <f t="shared" si="5"/>
        <v>2.9999999999999975E-2</v>
      </c>
      <c r="L84" s="17">
        <f t="shared" si="6"/>
        <v>1</v>
      </c>
    </row>
    <row r="85" spans="1:12">
      <c r="A85" s="590" t="s">
        <v>109</v>
      </c>
      <c r="B85" s="591"/>
      <c r="C85" s="311">
        <f>IF(ISNA(VLOOKUP("NAN615500000",Balance!C:G,5,FALSE))=TRUE,0,VLOOKUP("NAN615500000",Balance!C:G,5,FALSE))</f>
        <v>934</v>
      </c>
      <c r="D85" s="592">
        <f>+[2]Nancy!$H85</f>
        <v>1246.9889129464584</v>
      </c>
      <c r="E85" s="311">
        <f>IF(ISNA(VLOOKUP("NAN615500000",Balanceanp!C:G,5,FALSE))=TRUE,0,VLOOKUP("NAN615500000",Balanceanp!C:G,5,FALSE))</f>
        <v>920</v>
      </c>
      <c r="F85" s="625">
        <f>+C85+C85/9*(12-Clients!$I$14)</f>
        <v>1245.3333333333333</v>
      </c>
      <c r="G85" s="630">
        <f t="shared" si="7"/>
        <v>1282.6933333333334</v>
      </c>
      <c r="H85" s="630"/>
      <c r="I85" s="591">
        <f t="shared" si="5"/>
        <v>0.35362318840579704</v>
      </c>
      <c r="J85" s="595">
        <f t="shared" si="5"/>
        <v>3.0000000000000103E-2</v>
      </c>
      <c r="L85" s="17">
        <f t="shared" si="6"/>
        <v>1</v>
      </c>
    </row>
    <row r="86" spans="1:12">
      <c r="A86" s="590" t="s">
        <v>106</v>
      </c>
      <c r="B86" s="591"/>
      <c r="C86" s="311">
        <f>IF(ISNA(VLOOKUP("NAN615510000",Balance!C:G,5,FALSE))=TRUE,0,VLOOKUP("NAN615510000",Balance!C:G,5,FALSE))</f>
        <v>845.86</v>
      </c>
      <c r="D86" s="592">
        <f>+[2]Nancy!$H86</f>
        <v>1535.9065085893747</v>
      </c>
      <c r="E86" s="311">
        <f>IF(ISNA(VLOOKUP("NAN615510000",Balanceanp!C:G,5,FALSE))=TRUE,0,VLOOKUP("NAN615510000",Balanceanp!C:G,5,FALSE))</f>
        <v>1112.1199999999999</v>
      </c>
      <c r="F86" s="625">
        <f>+C86+C86/9*(12-Clients!$I$14)</f>
        <v>1127.8133333333335</v>
      </c>
      <c r="G86" s="630">
        <f t="shared" si="7"/>
        <v>1161.6477333333335</v>
      </c>
      <c r="H86" s="630"/>
      <c r="I86" s="591">
        <f t="shared" si="5"/>
        <v>1.4111187042165966E-2</v>
      </c>
      <c r="J86" s="595">
        <f t="shared" si="5"/>
        <v>2.9999999999999961E-2</v>
      </c>
      <c r="L86" s="17">
        <f t="shared" si="6"/>
        <v>1</v>
      </c>
    </row>
    <row r="87" spans="1:12">
      <c r="A87" s="590" t="s">
        <v>363</v>
      </c>
      <c r="B87" s="591"/>
      <c r="C87" s="311">
        <f>IF(ISNA(VLOOKUP("NAN615530000",Balance!C:G,5,FALSE))=TRUE,0,VLOOKUP("NAN615530000",Balance!C:G,5,FALSE))</f>
        <v>45.34</v>
      </c>
      <c r="D87" s="592">
        <f>+[2]Nancy!$H87</f>
        <v>4.3053999999999997</v>
      </c>
      <c r="E87" s="311">
        <f>IF(ISNA(VLOOKUP("NAN615530000",Balanceanp!C:G,5,FALSE))=TRUE,0,VLOOKUP("NAN615530000",Balanceanp!C:G,5,FALSE))</f>
        <v>4.18</v>
      </c>
      <c r="F87" s="625">
        <f>+C87+C87/9*(12-Clients!$I$14)</f>
        <v>60.45333333333334</v>
      </c>
      <c r="G87" s="630">
        <f t="shared" si="7"/>
        <v>62.266933333333341</v>
      </c>
      <c r="H87" s="630"/>
      <c r="I87" s="591">
        <f t="shared" si="5"/>
        <v>13.462519936204149</v>
      </c>
      <c r="J87" s="595">
        <f t="shared" si="5"/>
        <v>3.0000000000000013E-2</v>
      </c>
      <c r="L87" s="17">
        <f t="shared" si="6"/>
        <v>1</v>
      </c>
    </row>
    <row r="88" spans="1:12">
      <c r="A88" s="590" t="s">
        <v>111</v>
      </c>
      <c r="B88" s="591"/>
      <c r="C88" s="311">
        <f>IF(ISNA(VLOOKUP("NAN616130000",Balance!C:G,5,FALSE))=TRUE,0,VLOOKUP("NAN616130000",Balance!C:G,5,FALSE))</f>
        <v>4114.99</v>
      </c>
      <c r="D88" s="592">
        <f>+[2]Nancy!$H88</f>
        <v>4737.8834999999999</v>
      </c>
      <c r="E88" s="311">
        <f>IF(ISNA(VLOOKUP("NAN616130000",Balanceanp!C:G,5,FALSE))=TRUE,0,VLOOKUP("NAN616130000",Balanceanp!C:G,5,FALSE))</f>
        <v>4974.0700000000006</v>
      </c>
      <c r="F88" s="625">
        <f>+C88+C88/9*(12-Clients!$I$14)</f>
        <v>5486.6533333333336</v>
      </c>
      <c r="G88" s="632">
        <f>+E88*1.05*1.05</f>
        <v>5483.9121750000013</v>
      </c>
      <c r="H88" s="632"/>
      <c r="I88" s="591">
        <f t="shared" ref="I88:I101" si="8">+IF((E88)=0,,(F88-E88)/E88)</f>
        <v>0.10305108961742254</v>
      </c>
      <c r="J88" s="595">
        <f t="shared" ref="J88:J101" si="9">+IF((F88)=0,,(G88-F88)/F88)</f>
        <v>-4.9960479855340174E-4</v>
      </c>
      <c r="L88" s="17">
        <f t="shared" si="6"/>
        <v>1</v>
      </c>
    </row>
    <row r="89" spans="1:12" hidden="1">
      <c r="A89" s="5" t="s">
        <v>315</v>
      </c>
      <c r="B89" s="92"/>
      <c r="C89" s="160"/>
      <c r="D89" s="117">
        <f>+[2]Nancy!$H89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590" t="s">
        <v>112</v>
      </c>
      <c r="B90" s="591"/>
      <c r="C90" s="311">
        <f>IF(ISNA(VLOOKUP("NAN618100000",Balance!C:G,5,FALSE))=TRUE,0,VLOOKUP("NAN618100000",Balance!C:G,5,FALSE))</f>
        <v>296.97000000000003</v>
      </c>
      <c r="D90" s="592">
        <f>+[2]Nancy!$H90</f>
        <v>390.69745929520843</v>
      </c>
      <c r="E90" s="311">
        <f>IF(ISNA(VLOOKUP("NAN618100000",Balanceanp!C:G,5,FALSE))=TRUE,0,VLOOKUP("NAN618100000",Balanceanp!C:G,5,FALSE))</f>
        <v>371.47</v>
      </c>
      <c r="F90" s="625">
        <f>+C90+C90/9*(12-Clients!$I$14)</f>
        <v>395.96000000000004</v>
      </c>
      <c r="G90" s="630">
        <f t="shared" si="7"/>
        <v>407.83880000000005</v>
      </c>
      <c r="H90" s="630"/>
      <c r="I90" s="591">
        <f t="shared" si="8"/>
        <v>6.5927261959243033E-2</v>
      </c>
      <c r="J90" s="595">
        <f t="shared" si="9"/>
        <v>3.000000000000003E-2</v>
      </c>
      <c r="L90" s="17">
        <f t="shared" si="6"/>
        <v>1</v>
      </c>
    </row>
    <row r="91" spans="1:12">
      <c r="A91" s="590" t="s">
        <v>113</v>
      </c>
      <c r="B91" s="591"/>
      <c r="C91" s="311">
        <f>IF(ISNA(VLOOKUP("NAN618500000",Balance!C:G,5,FALSE))=TRUE,0,VLOOKUP("NAN618500000",Balance!C:G,5,FALSE))</f>
        <v>786.01</v>
      </c>
      <c r="D91" s="592">
        <f>+[2]Nancy!$H91</f>
        <v>440.57301595312504</v>
      </c>
      <c r="E91" s="311">
        <f>IF(ISNA(VLOOKUP("NAN618500000",Balanceanp!C:G,5,FALSE))=TRUE,0,VLOOKUP("NAN618500000",Balanceanp!C:G,5,FALSE))</f>
        <v>430.96</v>
      </c>
      <c r="F91" s="625">
        <f>+C91+C91/9*(12-Clients!$I$14)</f>
        <v>1048.0133333333333</v>
      </c>
      <c r="G91" s="630">
        <f t="shared" si="7"/>
        <v>1079.4537333333333</v>
      </c>
      <c r="H91" s="630"/>
      <c r="I91" s="591">
        <f t="shared" si="8"/>
        <v>1.4318111503001052</v>
      </c>
      <c r="J91" s="595">
        <f t="shared" si="9"/>
        <v>2.9999999999999957E-2</v>
      </c>
      <c r="L91" s="17">
        <f t="shared" si="6"/>
        <v>1</v>
      </c>
    </row>
    <row r="92" spans="1:12" hidden="1">
      <c r="A92" s="5" t="s">
        <v>309</v>
      </c>
      <c r="B92" s="92"/>
      <c r="C92" s="160">
        <f>IF(ISNA(VLOOKUP("NAN622200000",Balance!C:G,5,FALSE))=TRUE,0,VLOOKUP("NAN622200000",Balance!C:G,5,FALSE))</f>
        <v>0</v>
      </c>
      <c r="D92" s="117">
        <f>+[2]Nancy!$H92</f>
        <v>0</v>
      </c>
      <c r="E92" s="160">
        <f>IF(ISNA(VLOOKUP("NAN622200000",Balanceanp!C:G,5,FALSE))=TRUE,0,VLOOKUP("NAN622200000",Balanceanp!C:G,5,FALSE))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590" t="s">
        <v>115</v>
      </c>
      <c r="B93" s="591"/>
      <c r="C93" s="311">
        <f>IF(ISNA(VLOOKUP("NAN622600000",Balance!C:G,5,FALSE))=TRUE,0,VLOOKUP("NAN622600000",Balance!C:G,5,FALSE))</f>
        <v>0</v>
      </c>
      <c r="D93" s="592">
        <f>+[2]Nancy!$H93</f>
        <v>313.0207552083333</v>
      </c>
      <c r="E93" s="311">
        <f>IF(ISNA(VLOOKUP("NAN622600000",Balanceanp!C:G,5,FALSE))=TRUE,0,VLOOKUP("NAN622600000",Balanceanp!C:G,5,FALSE))</f>
        <v>0</v>
      </c>
      <c r="F93" s="625">
        <f>+C93+C93/9*(12-Clients!$I$14)</f>
        <v>0</v>
      </c>
      <c r="G93" s="630">
        <f t="shared" si="7"/>
        <v>0</v>
      </c>
      <c r="H93" s="630"/>
      <c r="I93" s="591">
        <f t="shared" si="8"/>
        <v>0</v>
      </c>
      <c r="J93" s="595">
        <f t="shared" si="9"/>
        <v>0</v>
      </c>
      <c r="L93" s="17">
        <f t="shared" si="6"/>
        <v>1</v>
      </c>
    </row>
    <row r="94" spans="1:12">
      <c r="A94" s="590" t="s">
        <v>42</v>
      </c>
      <c r="B94" s="591"/>
      <c r="C94" s="311">
        <f>IF(ISNA(VLOOKUP("NAN622710000",Balance!C:G,5,FALSE))=TRUE,0,VLOOKUP("NAN622710000",Balance!C:G,5,FALSE))</f>
        <v>0</v>
      </c>
      <c r="D94" s="592">
        <f>+[2]Nancy!$H94</f>
        <v>44.15446129145834</v>
      </c>
      <c r="E94" s="311">
        <f>IF(ISNA(VLOOKUP("NAN622710000",Balanceanp!C:G,5,FALSE))=TRUE,0,VLOOKUP("NAN622710000",Balanceanp!C:G,5,FALSE))</f>
        <v>0</v>
      </c>
      <c r="F94" s="625">
        <f>+C94+C94/9*(12-Clients!$I$14)</f>
        <v>0</v>
      </c>
      <c r="G94" s="630">
        <f t="shared" si="7"/>
        <v>0</v>
      </c>
      <c r="H94" s="630"/>
      <c r="I94" s="591">
        <f t="shared" si="8"/>
        <v>0</v>
      </c>
      <c r="J94" s="595">
        <f t="shared" si="9"/>
        <v>0</v>
      </c>
      <c r="L94" s="17">
        <f t="shared" si="6"/>
        <v>1</v>
      </c>
    </row>
    <row r="95" spans="1:12">
      <c r="A95" s="590" t="s">
        <v>117</v>
      </c>
      <c r="B95" s="591">
        <f>+C95/$C$21</f>
        <v>3.1567058653061205E-4</v>
      </c>
      <c r="C95" s="311">
        <f>IF(ISNA(VLOOKUP("NAN624200000",Balance!C:G,5,FALSE))=TRUE,0,VLOOKUP("NAN624200000",Balance!C:G,5,FALSE))</f>
        <v>204.96</v>
      </c>
      <c r="D95" s="592">
        <f>+[2]Nancy!$H95</f>
        <v>756.90283752244386</v>
      </c>
      <c r="E95" s="311">
        <f>IF(ISNA(VLOOKUP("NAN624200000",Balanceanp!C:G,5,FALSE))=TRUE,0,VLOOKUP("NAN624200000",Balanceanp!C:G,5,FALSE))</f>
        <v>270.41000000000003</v>
      </c>
      <c r="F95" s="625">
        <f>+C95+C95/9*(12-Clients!$I$14)</f>
        <v>273.27999999999997</v>
      </c>
      <c r="G95" s="630">
        <f>B95*G21</f>
        <v>288.33509208999368</v>
      </c>
      <c r="H95" s="633">
        <f>+G95/$G$21</f>
        <v>3.1567058653061205E-4</v>
      </c>
      <c r="I95" s="591">
        <f t="shared" si="8"/>
        <v>1.0613512813875032E-2</v>
      </c>
      <c r="J95" s="595">
        <f t="shared" si="9"/>
        <v>5.5090354544766205E-2</v>
      </c>
      <c r="L95" s="17">
        <f t="shared" si="6"/>
        <v>1</v>
      </c>
    </row>
    <row r="96" spans="1:12">
      <c r="A96" s="590" t="s">
        <v>118</v>
      </c>
      <c r="B96" s="591"/>
      <c r="C96" s="311">
        <f>IF(ISNA(VLOOKUP("NAN625100000",Balance!C:G,5,FALSE))=TRUE,0,VLOOKUP("NAN625100000",Balance!C:G,5,FALSE))</f>
        <v>5666.88</v>
      </c>
      <c r="D96" s="592">
        <f>+[2]Nancy!$H96</f>
        <v>6547.9365999999991</v>
      </c>
      <c r="E96" s="311">
        <f>IF(ISNA(VLOOKUP("NAN625100000",Balanceanp!C:G,5,FALSE))=TRUE,0,VLOOKUP("NAN625100000",Balanceanp!C:G,5,FALSE))</f>
        <v>7782.84</v>
      </c>
      <c r="F96" s="625">
        <f>+C96+C96/9*(12-Clients!$I$14)</f>
        <v>7555.84</v>
      </c>
      <c r="G96" s="594">
        <f t="shared" si="7"/>
        <v>7782.5152000000007</v>
      </c>
      <c r="H96" s="594"/>
      <c r="I96" s="591">
        <f t="shared" si="8"/>
        <v>-2.9166730910567349E-2</v>
      </c>
      <c r="J96" s="595">
        <f t="shared" si="9"/>
        <v>3.0000000000000079E-2</v>
      </c>
      <c r="L96" s="17">
        <f t="shared" si="6"/>
        <v>1</v>
      </c>
    </row>
    <row r="97" spans="1:12">
      <c r="A97" s="590" t="s">
        <v>7</v>
      </c>
      <c r="B97" s="591"/>
      <c r="C97" s="311">
        <f>IF(ISNA(VLOOKUP("NAN625200000",Balance!C:G,5,FALSE))=TRUE,0,VLOOKUP("NAN625200000",Balance!C:G,5,FALSE))</f>
        <v>201.27</v>
      </c>
      <c r="D97" s="592">
        <f>+[2]Nancy!$H97</f>
        <v>639.97365950000005</v>
      </c>
      <c r="E97" s="311">
        <f>IF(ISNA(VLOOKUP("NAN625200000",Balanceanp!C:G,5,FALSE))=TRUE,0,VLOOKUP("NAN625200000",Balanceanp!C:G,5,FALSE))</f>
        <v>454.42</v>
      </c>
      <c r="F97" s="625">
        <f>+C97+C97/9*(12-Clients!$I$14)</f>
        <v>268.36</v>
      </c>
      <c r="G97" s="594">
        <f t="shared" si="7"/>
        <v>276.41079999999999</v>
      </c>
      <c r="H97" s="594"/>
      <c r="I97" s="591">
        <f t="shared" si="8"/>
        <v>-0.40944500682188284</v>
      </c>
      <c r="J97" s="595">
        <f t="shared" si="9"/>
        <v>2.999999999999993E-2</v>
      </c>
      <c r="L97" s="17">
        <f t="shared" si="6"/>
        <v>1</v>
      </c>
    </row>
    <row r="98" spans="1:12" hidden="1">
      <c r="A98" s="5" t="s">
        <v>307</v>
      </c>
      <c r="B98" s="92"/>
      <c r="C98" s="160">
        <f>IF(ISNA(VLOOKUP("NAN625510000",Balance!C:G,5,FALSE))=TRUE,0,VLOOKUP("NAN625510000",Balance!C:G,5,FALSE))</f>
        <v>0</v>
      </c>
      <c r="D98" s="117">
        <f>+[2]Nancy!$H98</f>
        <v>0</v>
      </c>
      <c r="E98" s="160">
        <f>IF(ISNA(VLOOKUP("NAN625510000",Balanceanp!C:G,5,FALSE))=TRUE,0,VLOOKUP("NAN625510000",Balanceanp!C:G,5,FALSE))</f>
        <v>0</v>
      </c>
      <c r="F98" s="368">
        <f>+C98+C98/9*(12-Clients!$I$14)</f>
        <v>0</v>
      </c>
      <c r="G98" s="396">
        <f t="shared" si="7"/>
        <v>0</v>
      </c>
      <c r="H98" s="409"/>
      <c r="I98" s="149">
        <f t="shared" si="8"/>
        <v>0</v>
      </c>
      <c r="J98" s="271">
        <f t="shared" si="9"/>
        <v>0</v>
      </c>
      <c r="L98" s="17">
        <f t="shared" si="6"/>
        <v>0</v>
      </c>
    </row>
    <row r="99" spans="1:12">
      <c r="A99" s="590" t="s">
        <v>119</v>
      </c>
      <c r="B99" s="591"/>
      <c r="C99" s="311">
        <f>IF(ISNA(VLOOKUP("NAN626000000",Balance!C:G,5,FALSE))=TRUE,0,VLOOKUP("NAN626000000",Balance!C:G,5,FALSE))</f>
        <v>3888.48</v>
      </c>
      <c r="D99" s="592">
        <f>+[2]Nancy!$H99</f>
        <v>5408.2203993383337</v>
      </c>
      <c r="E99" s="311">
        <f>IF(ISNA(VLOOKUP("NAN626000000",Balanceanp!C:G,5,FALSE))=TRUE,0,VLOOKUP("NAN626000000",Balanceanp!C:G,5,FALSE))</f>
        <v>5661.04</v>
      </c>
      <c r="F99" s="625">
        <f>+C99+C99/9*(12-Clients!$I$14)</f>
        <v>5184.6400000000003</v>
      </c>
      <c r="G99" s="630">
        <f>+F99</f>
        <v>5184.6400000000003</v>
      </c>
      <c r="H99" s="630"/>
      <c r="I99" s="591">
        <f t="shared" si="8"/>
        <v>-8.4154148354365924E-2</v>
      </c>
      <c r="J99" s="595">
        <f t="shared" si="9"/>
        <v>0</v>
      </c>
      <c r="L99" s="17">
        <f t="shared" si="6"/>
        <v>1</v>
      </c>
    </row>
    <row r="100" spans="1:12">
      <c r="A100" s="590" t="s">
        <v>120</v>
      </c>
      <c r="B100" s="591"/>
      <c r="C100" s="311">
        <f>IF(ISNA(VLOOKUP("NAN626100000",Balance!C:G,5,FALSE))=TRUE,0,VLOOKUP("NAN626100000",Balance!C:G,5,FALSE))</f>
        <v>1216.98</v>
      </c>
      <c r="D100" s="592">
        <f>+[2]Nancy!$H100</f>
        <v>865.07115008999995</v>
      </c>
      <c r="E100" s="311">
        <f>IF(ISNA(VLOOKUP("NAN626100000",Balanceanp!C:G,5,FALSE))=TRUE,0,VLOOKUP("NAN626100000",Balanceanp!C:G,5,FALSE))</f>
        <v>788.79</v>
      </c>
      <c r="F100" s="625">
        <f>+C100+C100/9*(12-Clients!$I$14)</f>
        <v>1622.6399999999999</v>
      </c>
      <c r="G100" s="630">
        <f t="shared" si="7"/>
        <v>1671.3191999999999</v>
      </c>
      <c r="H100" s="630"/>
      <c r="I100" s="591">
        <f t="shared" si="8"/>
        <v>1.0571254706575894</v>
      </c>
      <c r="J100" s="595">
        <f t="shared" si="9"/>
        <v>3.0000000000000027E-2</v>
      </c>
      <c r="L100" s="17">
        <f t="shared" si="6"/>
        <v>1</v>
      </c>
    </row>
    <row r="101" spans="1:12">
      <c r="A101" s="590" t="s">
        <v>121</v>
      </c>
      <c r="B101" s="591"/>
      <c r="C101" s="311">
        <f>IF(ISNA(VLOOKUP("NAN628400000",Balance!C:G,5,FALSE))=TRUE,0,VLOOKUP("NAN628400000",Balance!C:G,5,FALSE))</f>
        <v>0</v>
      </c>
      <c r="D101" s="592">
        <f>+[2]Nancy!$H101</f>
        <v>38.802417500000004</v>
      </c>
      <c r="E101" s="311">
        <f>IF(ISNA(VLOOKUP("NAN628400000",Balanceanp!C:G,5,FALSE))=TRUE,0,VLOOKUP("NAN628400000",Balanceanp!C:G,5,FALSE))</f>
        <v>0</v>
      </c>
      <c r="F101" s="625">
        <f>+C101+C101/9*(12-Clients!$I$14)</f>
        <v>0</v>
      </c>
      <c r="G101" s="630">
        <f t="shared" si="7"/>
        <v>0</v>
      </c>
      <c r="H101" s="630"/>
      <c r="I101" s="591">
        <f t="shared" si="8"/>
        <v>0</v>
      </c>
      <c r="J101" s="595">
        <f t="shared" si="9"/>
        <v>0</v>
      </c>
      <c r="L101" s="17">
        <f t="shared" si="6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13" t="s">
        <v>122</v>
      </c>
      <c r="B103" s="596">
        <f>+C103/$C$21</f>
        <v>0.13084023698457953</v>
      </c>
      <c r="C103" s="305">
        <f>SUM(C70:C102)</f>
        <v>84952.530000000013</v>
      </c>
      <c r="D103" s="312">
        <f>SUM(D70:D102)</f>
        <v>105637.75530377016</v>
      </c>
      <c r="E103" s="305">
        <f>SUM(E70:E102)</f>
        <v>109752.35999999999</v>
      </c>
      <c r="F103" s="312">
        <f>SUM(F70:F102)</f>
        <v>113270.08000000003</v>
      </c>
      <c r="G103" s="312">
        <f>SUM(G70:G102)</f>
        <v>115371.50667037448</v>
      </c>
      <c r="H103" s="421">
        <f>+G103/$G$21</f>
        <v>0.12630925675945992</v>
      </c>
      <c r="I103" s="598">
        <f>+IF((E103)=0,,(F103-E103)/E103)</f>
        <v>3.2051429235781768E-2</v>
      </c>
      <c r="J103" s="599">
        <f>+IF((F103)=0,,(G103-F103)/F103)</f>
        <v>1.8552354429117117E-2</v>
      </c>
      <c r="K103" s="136">
        <f>(C103+(C103/3))</f>
        <v>113270.04000000002</v>
      </c>
      <c r="L103" s="17">
        <f t="shared" si="6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590" t="s">
        <v>129</v>
      </c>
      <c r="B105" s="591"/>
      <c r="C105" s="311">
        <f>IF(ISNA(VLOOKUP("NAN623100000",Balance!C:G,5,FALSE))=TRUE,0,VLOOKUP("NAN623100000",Balance!C:G,5,FALSE))</f>
        <v>0</v>
      </c>
      <c r="D105" s="592">
        <f>+[2]Nancy!$H105</f>
        <v>1600.8775000000001</v>
      </c>
      <c r="E105" s="311">
        <f>IF(ISNA(VLOOKUP("NAN623100000",Balanceanp!C:G,5,FALSE))=TRUE,0,VLOOKUP("NAN623100000",Balanceanp!C:G,5,FALSE))</f>
        <v>1302</v>
      </c>
      <c r="F105" s="625">
        <f>+C105+C105/9*(12-Clients!$I$14)</f>
        <v>0</v>
      </c>
      <c r="G105" s="594">
        <f t="shared" ref="G105:G114" si="10">+F105*1.03</f>
        <v>0</v>
      </c>
      <c r="H105" s="594"/>
      <c r="I105" s="591">
        <f t="shared" ref="I105:J114" si="11">+IF((E105)=0,,(F105-E105)/E105)</f>
        <v>-1</v>
      </c>
      <c r="J105" s="595">
        <f t="shared" si="11"/>
        <v>0</v>
      </c>
      <c r="L105" s="17">
        <f t="shared" si="6"/>
        <v>1</v>
      </c>
    </row>
    <row r="106" spans="1:12">
      <c r="A106" s="590" t="s">
        <v>130</v>
      </c>
      <c r="B106" s="591"/>
      <c r="C106" s="311">
        <f>IF(ISNA(VLOOKUP("NAN623200000",Balance!C:G,5,FALSE))=TRUE,0,VLOOKUP("NAN623200000",Balance!C:G,5,FALSE))</f>
        <v>3758.44</v>
      </c>
      <c r="D106" s="592">
        <f>+[2]Nancy!$H106</f>
        <v>7401.3328000000001</v>
      </c>
      <c r="E106" s="311">
        <f>IF(ISNA(VLOOKUP("NAN623200000",Balanceanp!C:G,5,FALSE))=TRUE,0,VLOOKUP("NAN623200000",Balanceanp!C:G,5,FALSE))</f>
        <v>5943.66</v>
      </c>
      <c r="F106" s="625">
        <f>+C106+C106/9*(12-Clients!$I$14)</f>
        <v>5011.2533333333331</v>
      </c>
      <c r="G106" s="594">
        <v>4000</v>
      </c>
      <c r="H106" s="594"/>
      <c r="I106" s="591">
        <f t="shared" si="11"/>
        <v>-0.15687415946852054</v>
      </c>
      <c r="J106" s="595">
        <f t="shared" si="11"/>
        <v>-0.2017964900330988</v>
      </c>
      <c r="L106" s="17">
        <f t="shared" si="6"/>
        <v>1</v>
      </c>
    </row>
    <row r="107" spans="1:12" hidden="1">
      <c r="A107" s="5" t="s">
        <v>131</v>
      </c>
      <c r="B107" s="92"/>
      <c r="C107" s="160">
        <f>IF(ISNA(VLOOKUP("NAN629000000",Balance!C:G,5,FALSE))=TRUE,0,VLOOKUP("NAN629000000",Balance!C:G,5,FALSE))</f>
        <v>0</v>
      </c>
      <c r="D107" s="117">
        <f>+[2]Nancy!$H107</f>
        <v>0</v>
      </c>
      <c r="E107" s="160">
        <f>IF(ISNA(VLOOKUP("NAN629000000",Balanceanp!C:G,5,FALSE))=TRUE,0,VLOOKUP("NAN629000000",Balanceanp!C:G,5,FALSE))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 hidden="1">
      <c r="A108" s="5" t="s">
        <v>132</v>
      </c>
      <c r="B108" s="92"/>
      <c r="C108" s="160">
        <f>IF(ISNA(VLOOKUP("NAN623300000",Balance!C:G,5,FALSE))=TRUE,0,VLOOKUP("NAN623300000",Balance!C:G,5,FALSE))</f>
        <v>0</v>
      </c>
      <c r="D108" s="117">
        <f>+[2]Nancy!$H108</f>
        <v>0</v>
      </c>
      <c r="E108" s="160">
        <f>IF(ISNA(VLOOKUP("NAN623300000",Balanceanp!C:G,5,FALSE))=TRUE,0,VLOOKUP("NAN623300000",Balanceanp!C:G,5,FALSE))</f>
        <v>0</v>
      </c>
      <c r="F108" s="368">
        <f>+C108+C108/9*(12-Clients!$I$14)</f>
        <v>0</v>
      </c>
      <c r="G108" s="395">
        <f t="shared" si="10"/>
        <v>0</v>
      </c>
      <c r="H108" s="401"/>
      <c r="I108" s="149">
        <f t="shared" si="11"/>
        <v>0</v>
      </c>
      <c r="J108" s="271">
        <f t="shared" si="11"/>
        <v>0</v>
      </c>
      <c r="L108" s="17">
        <f t="shared" si="6"/>
        <v>0</v>
      </c>
    </row>
    <row r="109" spans="1:12">
      <c r="A109" s="590" t="s">
        <v>133</v>
      </c>
      <c r="B109" s="591"/>
      <c r="C109" s="311">
        <f>IF(ISNA(VLOOKUP("NAN623700000",Balance!C:G,5,FALSE))=TRUE,0,VLOOKUP("NAN623700000",Balance!C:G,5,FALSE))</f>
        <v>2326.39</v>
      </c>
      <c r="D109" s="592">
        <f>+[2]Nancy!$H109</f>
        <v>2949.1680999999999</v>
      </c>
      <c r="E109" s="311">
        <f>IF(ISNA(VLOOKUP("NAN623700000",Balanceanp!C:G,5,FALSE))=TRUE,0,VLOOKUP("NAN623700000",Balanceanp!C:G,5,FALSE))</f>
        <v>1308.51</v>
      </c>
      <c r="F109" s="625">
        <f>+C109+C109/9*(12-Clients!$I$14)</f>
        <v>3101.853333333333</v>
      </c>
      <c r="G109" s="594">
        <v>3000</v>
      </c>
      <c r="H109" s="594"/>
      <c r="I109" s="591">
        <f t="shared" si="11"/>
        <v>1.3705232159733842</v>
      </c>
      <c r="J109" s="595">
        <f t="shared" si="11"/>
        <v>-3.2836282824461833E-2</v>
      </c>
      <c r="L109" s="17">
        <f t="shared" si="6"/>
        <v>1</v>
      </c>
    </row>
    <row r="110" spans="1:12">
      <c r="A110" s="590" t="s">
        <v>134</v>
      </c>
      <c r="B110" s="591"/>
      <c r="C110" s="311">
        <f>IF(ISNA(VLOOKUP("NAN623410000",Balance!C:G,5,FALSE))=TRUE,0,VLOOKUP("NAN623410000",Balance!C:G,5,FALSE))+IF(ISNA(VLOOKUP("NAN623420000",Balance!C:G,5,FALSE))=TRUE,0,VLOOKUP("NAN623420000",Balance!C:G,5,FALSE))</f>
        <v>3852.9</v>
      </c>
      <c r="D110" s="592">
        <f>+[2]Nancy!$H110</f>
        <v>5349.9744999999994</v>
      </c>
      <c r="E110" s="311">
        <f>IF(ISNA(VLOOKUP("NAN623410000",Balanceanp!C:G,5,FALSE))=TRUE,0,VLOOKUP("NAN623410000",Balanceanp!C:G,5,FALSE))+IF(ISNA(VLOOKUP("NAN623420000",Balanceanp!C:G,5,FALSE))=TRUE,0,VLOOKUP("NAN623420000",Balanceanp!C:G,5,FALSE))</f>
        <v>11180.810000000001</v>
      </c>
      <c r="F110" s="625">
        <f>+C110+C110/9*(12-Clients!$I$14)</f>
        <v>5137.2000000000007</v>
      </c>
      <c r="G110" s="594">
        <v>3000</v>
      </c>
      <c r="H110" s="594"/>
      <c r="I110" s="591">
        <f t="shared" si="11"/>
        <v>-0.54053418312268964</v>
      </c>
      <c r="J110" s="595">
        <f t="shared" si="11"/>
        <v>-0.41602429338939506</v>
      </c>
      <c r="L110" s="17">
        <f t="shared" si="6"/>
        <v>1</v>
      </c>
    </row>
    <row r="111" spans="1:12">
      <c r="A111" s="590" t="s">
        <v>135</v>
      </c>
      <c r="B111" s="591"/>
      <c r="C111" s="311">
        <f>IF(ISNA(VLOOKUP("nan623800000",Balance!C:G,5,FALSE))=TRUE,0,VLOOKUP("nan623800000",Balance!C:G,5,FALSE))+IF(ISNA(VLOOKUP("nan623820000",Balance!C:G,5,FALSE))=TRUE,0,VLOOKUP("nan623820000",Balance!C:G,5,FALSE))</f>
        <v>0</v>
      </c>
      <c r="D111" s="592">
        <f>+[2]Nancy!$H111</f>
        <v>3.8625000000000003</v>
      </c>
      <c r="E111" s="311">
        <f>IF(ISNA(VLOOKUP("nan623800000",Balanceanp!C:G,5,FALSE))=TRUE,0,VLOOKUP("nan623800000",Balanceanp!C:G,5,FALSE))+IF(ISNA(VLOOKUP("nan623820000",Balanceanp!C:G,5,FALSE))=TRUE,0,VLOOKUP("nan623820000",Balanceanp!C:G,5,FALSE))</f>
        <v>180</v>
      </c>
      <c r="F111" s="625">
        <f>+C111+C111/9*(12-Clients!$I$14)</f>
        <v>0</v>
      </c>
      <c r="G111" s="594">
        <f t="shared" si="10"/>
        <v>0</v>
      </c>
      <c r="H111" s="594"/>
      <c r="I111" s="591">
        <f t="shared" si="11"/>
        <v>-1</v>
      </c>
      <c r="J111" s="595">
        <f t="shared" si="11"/>
        <v>0</v>
      </c>
      <c r="L111" s="17">
        <f t="shared" si="6"/>
        <v>1</v>
      </c>
    </row>
    <row r="112" spans="1:12">
      <c r="A112" s="590" t="s">
        <v>136</v>
      </c>
      <c r="B112" s="591"/>
      <c r="C112" s="311">
        <f>IF(ISNA(VLOOKUP("NAN625600000",Balance!C:G,5,FALSE))=TRUE,0,VLOOKUP("NAN625600000",Balance!C:G,5,FALSE))</f>
        <v>19.5</v>
      </c>
      <c r="D112" s="592">
        <f>+[2]Nancy!$H112</f>
        <v>25.986900000000002</v>
      </c>
      <c r="E112" s="311">
        <f>IF(ISNA(VLOOKUP("NAN625600000",Balanceanp!C:G,5,FALSE))=TRUE,0,VLOOKUP("NAN625600000",Balanceanp!C:G,5,FALSE))</f>
        <v>25.23</v>
      </c>
      <c r="F112" s="625">
        <f>+C112+C112/9*(12-Clients!$I$14)</f>
        <v>26</v>
      </c>
      <c r="G112" s="594">
        <f t="shared" si="10"/>
        <v>26.78</v>
      </c>
      <c r="H112" s="594"/>
      <c r="I112" s="591">
        <f t="shared" si="11"/>
        <v>3.051922314704715E-2</v>
      </c>
      <c r="J112" s="595">
        <f t="shared" si="11"/>
        <v>3.0000000000000044E-2</v>
      </c>
      <c r="L112" s="17">
        <f t="shared" si="6"/>
        <v>1</v>
      </c>
    </row>
    <row r="113" spans="1:12">
      <c r="A113" s="590" t="s">
        <v>137</v>
      </c>
      <c r="B113" s="591"/>
      <c r="C113" s="635">
        <f>IF(ISNA(VLOOKUP("NAN625700000",Balance!C:G,5,FALSE))=TRUE,0,VLOOKUP("NAN625700000",Balance!C:G,5,FALSE))+IF(ISNA(VLOOKUP("NAN625710000",Balance!C:G,5,FALSE))=TRUE,0,VLOOKUP("NAN625710000",Balance!C:G,5,FALSE))</f>
        <v>12493.27</v>
      </c>
      <c r="D113" s="592">
        <f>+[2]Nancy!$H113</f>
        <v>12981.54</v>
      </c>
      <c r="E113" s="311">
        <f>IF(ISNA(VLOOKUP("NAN625700000",Balanceanp!C:G,5,FALSE))=TRUE,0,VLOOKUP("NAN625700000",Balanceanp!C:G,5,FALSE))+IF(ISNA(VLOOKUP("NAN625710000",Balanceanp!C:G,5,FALSE))=TRUE,0,VLOOKUP("NAN625710000",Balanceanp!C:G,5,FALSE))</f>
        <v>6715.05</v>
      </c>
      <c r="F113" s="625">
        <v>7015.15</v>
      </c>
      <c r="G113" s="594">
        <v>6000</v>
      </c>
      <c r="H113" s="594"/>
      <c r="I113" s="591">
        <f t="shared" si="11"/>
        <v>4.4690657552810396E-2</v>
      </c>
      <c r="J113" s="595">
        <f t="shared" si="11"/>
        <v>-0.14470823859789167</v>
      </c>
      <c r="L113" s="17">
        <f t="shared" si="6"/>
        <v>1</v>
      </c>
    </row>
    <row r="114" spans="1:12">
      <c r="A114" s="590" t="s">
        <v>138</v>
      </c>
      <c r="B114" s="591"/>
      <c r="C114" s="311">
        <f>IF(ISNA(VLOOKUP("NAN623810000",Balance!C:G,5,FALSE))=TRUE,0,VLOOKUP("NAN623810000",Balance!C:G,5,FALSE))</f>
        <v>0</v>
      </c>
      <c r="D114" s="592">
        <f>+[2]Nancy!$H114</f>
        <v>0</v>
      </c>
      <c r="E114" s="311">
        <f>IF(ISNA(VLOOKUP("NAN623810000",Balanceanp!C:G,5,FALSE))=TRUE,0,VLOOKUP("NAN623810000",Balanceanp!C:G,5,FALSE))</f>
        <v>-2833.16</v>
      </c>
      <c r="F114" s="625">
        <f>+C114+C114/9*(12-Clients!$I$14)</f>
        <v>0</v>
      </c>
      <c r="G114" s="594">
        <f t="shared" si="10"/>
        <v>0</v>
      </c>
      <c r="H114" s="594"/>
      <c r="I114" s="591">
        <f t="shared" si="11"/>
        <v>-1</v>
      </c>
      <c r="J114" s="595">
        <f t="shared" si="11"/>
        <v>0</v>
      </c>
      <c r="L114" s="17">
        <f t="shared" si="6"/>
        <v>1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13" t="s">
        <v>133</v>
      </c>
      <c r="B116" s="596">
        <f>+C116/$C$21</f>
        <v>3.4577295584043252E-2</v>
      </c>
      <c r="C116" s="305">
        <f>SUM(C104:C115)</f>
        <v>22450.5</v>
      </c>
      <c r="D116" s="312">
        <f>SUM(D104:D115)</f>
        <v>30312.742300000002</v>
      </c>
      <c r="E116" s="305">
        <f>SUM(E104:E115)</f>
        <v>23822.100000000002</v>
      </c>
      <c r="F116" s="312">
        <f>SUM(F104:F115)</f>
        <v>20291.456666666665</v>
      </c>
      <c r="G116" s="312">
        <f>SUM(G104:G115)</f>
        <v>16026.78</v>
      </c>
      <c r="H116" s="421">
        <f>+G116/$G$21</f>
        <v>1.7546192543285839E-2</v>
      </c>
      <c r="I116" s="598">
        <f>+IF((E116)=0,,(F116-E116)/E116)</f>
        <v>-0.14820873614556807</v>
      </c>
      <c r="J116" s="599">
        <f>+IF((F116)=0,,(G116-F116)/F116)</f>
        <v>-0.21017104571267012</v>
      </c>
      <c r="K116" s="136">
        <f>(C116+(C116/3))</f>
        <v>29934</v>
      </c>
      <c r="L116" s="17">
        <f t="shared" si="6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590" t="s">
        <v>139</v>
      </c>
      <c r="B118" s="591"/>
      <c r="C118" s="311">
        <f>IF(ISNA(VLOOKUP("NAN633300000",Balance!C:G,5,FALSE))=TRUE,0,VLOOKUP("NAN633300000",Balance!C:G,5,FALSE))</f>
        <v>2098.1799999999998</v>
      </c>
      <c r="D118" s="592">
        <f>+[2]Nancy!$H118</f>
        <v>832.2299999999999</v>
      </c>
      <c r="E118" s="311">
        <f>IF(ISNA(VLOOKUP("NAN633300000",Balanceanp!C:G,5,FALSE))=TRUE,0,VLOOKUP("NAN633300000",Balanceanp!C:G,5,FALSE))</f>
        <v>897</v>
      </c>
      <c r="F118" s="625">
        <f>+C118+C118/9*(12-Clients!$I$14)</f>
        <v>2797.5733333333333</v>
      </c>
      <c r="G118" s="630">
        <f>G131*(0.2+0.5)%</f>
        <v>730.07899999999995</v>
      </c>
      <c r="H118" s="630"/>
      <c r="I118" s="591">
        <f t="shared" ref="I118:J127" si="12">+IF((E118)=0,,(F118-E118)/E118)</f>
        <v>2.1188108509847638</v>
      </c>
      <c r="J118" s="595">
        <f t="shared" si="12"/>
        <v>-0.73903132715019682</v>
      </c>
      <c r="L118" s="17">
        <f t="shared" si="6"/>
        <v>1</v>
      </c>
    </row>
    <row r="119" spans="1:12">
      <c r="A119" s="590" t="s">
        <v>140</v>
      </c>
      <c r="B119" s="591"/>
      <c r="C119" s="311">
        <f>IF(ISNA(VLOOKUP("NAN633400000",Balance!C:G,5,FALSE))=TRUE,0,VLOOKUP("NAN633400000",Balance!C:G,5,FALSE))</f>
        <v>0</v>
      </c>
      <c r="D119" s="592">
        <f>+[2]Nancy!$H119</f>
        <v>535.00500000000011</v>
      </c>
      <c r="E119" s="311">
        <f>IF(ISNA(VLOOKUP("NAN633400000",Balanceanp!C:G,5,FALSE))=TRUE,0,VLOOKUP("NAN633400000",Balanceanp!C:G,5,FALSE))</f>
        <v>494</v>
      </c>
      <c r="F119" s="625">
        <f>+C119+C119/9*(12-Clients!$I$14)</f>
        <v>0</v>
      </c>
      <c r="G119" s="630">
        <f>+G131*0.45%</f>
        <v>469.33650000000006</v>
      </c>
      <c r="H119" s="630"/>
      <c r="I119" s="591">
        <f t="shared" si="12"/>
        <v>-1</v>
      </c>
      <c r="J119" s="595">
        <f t="shared" si="12"/>
        <v>0</v>
      </c>
      <c r="L119" s="17">
        <f t="shared" si="6"/>
        <v>1</v>
      </c>
    </row>
    <row r="120" spans="1:12">
      <c r="A120" s="590" t="s">
        <v>141</v>
      </c>
      <c r="B120" s="591"/>
      <c r="C120" s="311">
        <f>IF(ISNA(VLOOKUP("NAN633500000",Balance!C:G,5,FALSE))=TRUE,0,VLOOKUP("NAN633500000",Balance!C:G,5,FALSE))</f>
        <v>0</v>
      </c>
      <c r="D120" s="592">
        <f>+[2]Nancy!$H120</f>
        <v>927.3420000000001</v>
      </c>
      <c r="E120" s="311">
        <f>IF(ISNA(VLOOKUP("NAN633500000",Balanceanp!C:G,5,FALSE))=TRUE,0,VLOOKUP("NAN633500000",Balanceanp!C:G,5,FALSE))</f>
        <v>481</v>
      </c>
      <c r="F120" s="625">
        <f>+C120+C120/9*(12-Clients!$I$14)</f>
        <v>0</v>
      </c>
      <c r="G120" s="630">
        <f>+G131*(0.6+0.18)%</f>
        <v>813.51660000000004</v>
      </c>
      <c r="H120" s="630"/>
      <c r="I120" s="591">
        <f t="shared" si="12"/>
        <v>-1</v>
      </c>
      <c r="J120" s="595">
        <f t="shared" si="12"/>
        <v>0</v>
      </c>
      <c r="L120" s="17">
        <f t="shared" si="6"/>
        <v>1</v>
      </c>
    </row>
    <row r="121" spans="1:12">
      <c r="A121" s="590" t="s">
        <v>706</v>
      </c>
      <c r="B121" s="591"/>
      <c r="C121" s="311">
        <f>IF(ISNA(VLOOKUP("NAN635110000",Balance!C:G,5,FALSE))=TRUE,0,VLOOKUP("NAN635110000",Balance!C:G,5,FALSE))</f>
        <v>5801.49</v>
      </c>
      <c r="D121" s="592">
        <f>+[2]Nancy!$H121</f>
        <v>7735.35</v>
      </c>
      <c r="E121" s="311">
        <f>IF(ISNA(VLOOKUP("NAN635110000",Balanceanp!C:G,5,FALSE))=TRUE,0,VLOOKUP("NAN635110000",Balanceanp!C:G,5,FALSE))</f>
        <v>7367</v>
      </c>
      <c r="F121" s="637">
        <v>3653</v>
      </c>
      <c r="G121" s="637">
        <f>+F121*1.05</f>
        <v>3835.65</v>
      </c>
      <c r="H121" s="632"/>
      <c r="I121" s="591">
        <f t="shared" si="12"/>
        <v>-0.50414008415908784</v>
      </c>
      <c r="J121" s="595">
        <f t="shared" si="12"/>
        <v>5.0000000000000024E-2</v>
      </c>
      <c r="L121" s="17">
        <f t="shared" si="6"/>
        <v>1</v>
      </c>
    </row>
    <row r="122" spans="1:12">
      <c r="A122" s="590" t="s">
        <v>143</v>
      </c>
      <c r="B122" s="591"/>
      <c r="C122" s="311">
        <f>IF(ISNA(VLOOKUP("NAN635120000",Balance!C:G,5,FALSE))=TRUE,0,VLOOKUP("NAN635120000",Balance!C:G,5,FALSE))</f>
        <v>5176.26</v>
      </c>
      <c r="D122" s="592">
        <f>+[2]Nancy!$H122</f>
        <v>6901.6500000000005</v>
      </c>
      <c r="E122" s="311">
        <f>IF(ISNA(VLOOKUP("NAN635120000",Balanceanp!C:G,5,FALSE))=TRUE,0,VLOOKUP("NAN635120000",Balanceanp!C:G,5,FALSE))</f>
        <v>6573</v>
      </c>
      <c r="F122" s="620">
        <v>6691</v>
      </c>
      <c r="G122" s="620">
        <f>+F122*1.05</f>
        <v>7025.55</v>
      </c>
      <c r="H122" s="632"/>
      <c r="I122" s="591">
        <f t="shared" si="12"/>
        <v>1.7952228814848623E-2</v>
      </c>
      <c r="J122" s="595">
        <f t="shared" si="12"/>
        <v>5.0000000000000031E-2</v>
      </c>
      <c r="L122" s="17">
        <f t="shared" si="6"/>
        <v>1</v>
      </c>
    </row>
    <row r="123" spans="1:12">
      <c r="A123" s="590" t="s">
        <v>144</v>
      </c>
      <c r="B123" s="591"/>
      <c r="C123" s="311">
        <f>IF(ISNA(VLOOKUP("NAN635130000",Balance!C:G,5,FALSE))=TRUE,0,VLOOKUP("NAN635130000",Balance!C:G,5,FALSE))</f>
        <v>0</v>
      </c>
      <c r="D123" s="592">
        <f>+[2]Nancy!$H123</f>
        <v>50</v>
      </c>
      <c r="E123" s="311">
        <f>IF(ISNA(VLOOKUP("NAN635130000",Balanceanp!C:G,5,FALSE))=TRUE,0,VLOOKUP("NAN635130000",Balanceanp!C:G,5,FALSE))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2"/>
        <v>0</v>
      </c>
      <c r="J123" s="595">
        <f t="shared" si="12"/>
        <v>0</v>
      </c>
      <c r="L123" s="17">
        <f t="shared" si="6"/>
        <v>1</v>
      </c>
    </row>
    <row r="124" spans="1:12" hidden="1">
      <c r="A124" s="5" t="s">
        <v>145</v>
      </c>
      <c r="B124" s="92"/>
      <c r="C124" s="160">
        <f>IF(ISNA(VLOOKUP("NAN635140000",Balance!C:G,5,FALSE))=TRUE,0,VLOOKUP("NAN635140000",Balance!C:G,5,FALSE))</f>
        <v>0</v>
      </c>
      <c r="D124" s="117">
        <f>+[2]Nancy!$H124</f>
        <v>0</v>
      </c>
      <c r="E124" s="160">
        <f>IF(ISNA(VLOOKUP("NAN635140000",Balanceanp!C:G,5,FALSE))=TRUE,0,VLOOKUP("NAN635140000",Balanceanp!C:G,5,FALSE))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2"/>
        <v>0</v>
      </c>
      <c r="J124" s="271">
        <f t="shared" si="12"/>
        <v>0</v>
      </c>
      <c r="L124" s="17">
        <f t="shared" si="6"/>
        <v>0</v>
      </c>
    </row>
    <row r="125" spans="1:12">
      <c r="A125" s="590" t="s">
        <v>286</v>
      </c>
      <c r="B125" s="591"/>
      <c r="C125" s="311">
        <f>IF(ISNA(VLOOKUP("NAN635300000",Balance!C:G,5,FALSE))=TRUE,0,VLOOKUP("NAN635300000",Balance!C:G,5,FALSE))</f>
        <v>0</v>
      </c>
      <c r="D125" s="592">
        <f>+[2]Nancy!$H125</f>
        <v>180.22812764958334</v>
      </c>
      <c r="E125" s="311">
        <f>IF(ISNA(VLOOKUP("NAN635300000",Balanceanp!C:G,5,FALSE))=TRUE,0,VLOOKUP("NAN635300000",Balanceanp!C:G,5,FALSE))</f>
        <v>0</v>
      </c>
      <c r="F125" s="625">
        <f>+C125+C125/9*(12-Clients!$I$14)</f>
        <v>0</v>
      </c>
      <c r="G125" s="632">
        <f>+F125*1.03</f>
        <v>0</v>
      </c>
      <c r="H125" s="632"/>
      <c r="I125" s="591">
        <f t="shared" si="12"/>
        <v>0</v>
      </c>
      <c r="J125" s="595">
        <f t="shared" si="12"/>
        <v>0</v>
      </c>
      <c r="L125" s="17">
        <f t="shared" si="6"/>
        <v>1</v>
      </c>
    </row>
    <row r="126" spans="1:12" hidden="1">
      <c r="A126" s="5" t="s">
        <v>361</v>
      </c>
      <c r="B126" s="92"/>
      <c r="C126" s="160">
        <f>IF(ISNA(VLOOKUP("NAN635400000",Balance!C:G,5,FALSE))=TRUE,0,VLOOKUP("NAN635400000",Balance!C:G,5,FALSE))</f>
        <v>0</v>
      </c>
      <c r="D126" s="117">
        <f>+[2]Nancy!$H126</f>
        <v>0</v>
      </c>
      <c r="E126" s="160">
        <f>IF(ISNA(VLOOKUP("NAN635400000",Balanceanp!C:G,5,FALSE))=TRUE,0,VLOOKUP("NAN635400000",Balanceanp!C:G,5,FALSE))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590" t="s">
        <v>146</v>
      </c>
      <c r="B127" s="591"/>
      <c r="C127" s="311">
        <f>IF(ISNA(VLOOKUP("NAN637100000",Balance!C:G,5,FALSE))=TRUE,0,VLOOKUP("NAN637100000",Balance!C:G,5,FALSE))</f>
        <v>1125.54</v>
      </c>
      <c r="D127" s="592">
        <f>+[2]Nancy!$H127</f>
        <v>1578.4496000000001</v>
      </c>
      <c r="E127" s="311">
        <f>IF(ISNA(VLOOKUP("NAN637100000",Balanceanp!C:G,5,FALSE))=TRUE,0,VLOOKUP("NAN637100000",Balanceanp!C:G,5,FALSE))</f>
        <v>1511.25</v>
      </c>
      <c r="F127" s="625">
        <f>+C127+C127/9*(12-Clients!$I$14)</f>
        <v>1500.72</v>
      </c>
      <c r="G127" s="630">
        <f>+G51*0.16%</f>
        <v>1442.3344</v>
      </c>
      <c r="H127" s="630"/>
      <c r="I127" s="591">
        <f t="shared" si="12"/>
        <v>-6.9677419354838531E-3</v>
      </c>
      <c r="J127" s="595">
        <f t="shared" si="12"/>
        <v>-3.8905058905058951E-2</v>
      </c>
      <c r="L127" s="17">
        <f t="shared" si="6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13" t="s">
        <v>147</v>
      </c>
      <c r="B129" s="596">
        <f>+C129/$C$21</f>
        <v>2.1872493971979368E-2</v>
      </c>
      <c r="C129" s="305">
        <f>SUM(C117:C128)</f>
        <v>14201.470000000001</v>
      </c>
      <c r="D129" s="312">
        <f>SUM(D117:D128)</f>
        <v>18740.254727649586</v>
      </c>
      <c r="E129" s="305">
        <f>SUM(E117:E128)</f>
        <v>17323.25</v>
      </c>
      <c r="F129" s="312">
        <f>SUM(F117:F128)</f>
        <v>14642.293333333333</v>
      </c>
      <c r="G129" s="312">
        <f>SUM(G117:G128)</f>
        <v>14366.466499999999</v>
      </c>
      <c r="H129" s="421">
        <f>+G129/$G$21</f>
        <v>1.5728473678160288E-2</v>
      </c>
      <c r="I129" s="598">
        <f>+IF((E129)=0,,(F129-E129)/E129)</f>
        <v>-0.15476060592941088</v>
      </c>
      <c r="J129" s="599">
        <f>+IF((F129)=0,,(G129-F129)/F129)</f>
        <v>-1.8837679798792979E-2</v>
      </c>
      <c r="K129" s="136">
        <f>(C129+(C129/3))</f>
        <v>18935.293333333335</v>
      </c>
      <c r="L129" s="17">
        <f t="shared" si="6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590" t="s">
        <v>148</v>
      </c>
      <c r="B131" s="591"/>
      <c r="C131" s="311">
        <f>IF(ISNA(VLOOKUP("NAN641100000",Balance!C:G,5,FALSE))=TRUE,0,VLOOKUP("NAN641100000",Balance!C:G,5,FALSE))</f>
        <v>84890.83</v>
      </c>
      <c r="D131" s="592">
        <f>+[2]Nancy!$H131</f>
        <v>118890</v>
      </c>
      <c r="E131" s="311">
        <f>IF(ISNA(VLOOKUP("NAN641100000",Balanceanp!C:G,5,FALSE))=TRUE,0,VLOOKUP("NAN641100000",Balanceanp!C:G,5,FALSE))+IF(ISNA(VLOOKUP("NAN641112000",Balanceanp!C:G,5,FALSE))=TRUE,0,VLOOKUP("NAN641112000",Balanceanp!C:G,5,FALSE))</f>
        <v>113183.98</v>
      </c>
      <c r="F131" s="625">
        <f>+C131+C131/9*(12-Clients!$I$14)</f>
        <v>113187.77333333333</v>
      </c>
      <c r="G131" s="594">
        <v>104297</v>
      </c>
      <c r="H131" s="594"/>
      <c r="I131" s="591">
        <f t="shared" ref="I131:J146" si="13">+IF((E131)=0,,(F131-E131)/E131)</f>
        <v>3.3514754767723186E-5</v>
      </c>
      <c r="J131" s="595">
        <f t="shared" si="13"/>
        <v>-7.8548884490821896E-2</v>
      </c>
      <c r="L131" s="17">
        <v>1</v>
      </c>
    </row>
    <row r="132" spans="1:12" hidden="1">
      <c r="A132" s="5" t="s">
        <v>149</v>
      </c>
      <c r="B132" s="92"/>
      <c r="C132" s="160">
        <f>IF(ISNA(VLOOKUP("NAN641110000",Balance!C:G,5,FALSE))=TRUE,0,VLOOKUP("NAN641110000",Balance!C:G,5,FALSE))</f>
        <v>-200</v>
      </c>
      <c r="D132" s="117">
        <f>+[2]Nancy!$H132</f>
        <v>0</v>
      </c>
      <c r="E132" s="160">
        <f>IF(ISNA(VLOOKUP("NAN641110000",Balanceanp!C:G,5,FALSE))=TRUE,0,VLOOKUP("NAN641110000",Balanceanp!C:G,5,FALSE))</f>
        <v>0</v>
      </c>
      <c r="F132" s="368">
        <f>+C132+C132/9*(12-Clients!$I$14)</f>
        <v>-266.66666666666663</v>
      </c>
      <c r="G132" s="395">
        <v>0</v>
      </c>
      <c r="H132" s="401"/>
      <c r="I132" s="149">
        <f t="shared" si="13"/>
        <v>0</v>
      </c>
      <c r="J132" s="271">
        <f t="shared" si="13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IF(ISNA(VLOOKUP("NAN641111000",Balance!C:G,5,FALSE))=TRUE,0,VLOOKUP("NAN641111000",Balance!C:G,5,FALSE))</f>
        <v>0</v>
      </c>
      <c r="D133" s="117">
        <f>+[2]Nancy!$H133</f>
        <v>0</v>
      </c>
      <c r="E133" s="160">
        <f>IF(ISNA(VLOOKUP("NAN641111000",Balanceanp!C:G,5,FALSE))=TRUE,0,VLOOKUP("NAN641111000",Balanceanp!C:G,5,FALSE))</f>
        <v>0</v>
      </c>
      <c r="F133" s="368">
        <f>+C133+C133/9*(12-Clients!$I$14)</f>
        <v>0</v>
      </c>
      <c r="G133" s="395">
        <f t="shared" ref="G133:G140" si="14">+F133*1.03</f>
        <v>0</v>
      </c>
      <c r="H133" s="401"/>
      <c r="I133" s="149">
        <f t="shared" si="13"/>
        <v>0</v>
      </c>
      <c r="J133" s="271">
        <f t="shared" si="13"/>
        <v>0</v>
      </c>
      <c r="L133" s="17">
        <f t="shared" si="6"/>
        <v>0</v>
      </c>
    </row>
    <row r="134" spans="1:12" hidden="1">
      <c r="A134" s="5" t="s">
        <v>151</v>
      </c>
      <c r="B134" s="92"/>
      <c r="C134" s="160">
        <f>IF(ISNA(VLOOKUP("NAN641200000",Balance!C:G,5,FALSE))=TRUE,0,VLOOKUP("NAN641200000",Balance!C:G,5,FALSE))</f>
        <v>0</v>
      </c>
      <c r="D134" s="117">
        <f>+[2]Nancy!$H134</f>
        <v>0</v>
      </c>
      <c r="E134" s="160">
        <f>IF(ISNA(VLOOKUP("NAN641200000",Balanceanp!C:G,5,FALSE))=TRUE,0,VLOOKUP("NAN641200000",Balanceanp!C:G,5,FALSE))</f>
        <v>-9536.2099999999991</v>
      </c>
      <c r="F134" s="368">
        <f>+C134+C134/9*(12-Clients!$I$14)</f>
        <v>0</v>
      </c>
      <c r="G134" s="395">
        <f t="shared" si="14"/>
        <v>0</v>
      </c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IF(ISNA(VLOOKUP("NAN621100000",Balance!C:G,5,FALSE))=TRUE,0,VLOOKUP("NAN621100000",Balance!C:G,5,FALSE))</f>
        <v>0</v>
      </c>
      <c r="D135" s="117">
        <f>+[2]Nancy!$H135</f>
        <v>0</v>
      </c>
      <c r="E135" s="160">
        <f>IF(ISNA(VLOOKUP("NAN621100000",Balanceanp!C:G,5,FALSE))=TRUE,0,VLOOKUP("NAN621100000",Balanceanp!C:G,5,FALSE))</f>
        <v>0</v>
      </c>
      <c r="F135" s="368">
        <f>+C135+C135/9*(12-Clients!$I$14)</f>
        <v>0</v>
      </c>
      <c r="G135" s="395">
        <f t="shared" si="14"/>
        <v>0</v>
      </c>
      <c r="H135" s="401"/>
      <c r="I135" s="149">
        <f t="shared" si="13"/>
        <v>0</v>
      </c>
      <c r="J135" s="271">
        <f t="shared" si="13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IF(ISNA(VLOOKUP("NAN621200000",Balance!C:G,5,FALSE))=TRUE,0,VLOOKUP("NAN621200000",Balance!C:G,5,FALSE))</f>
        <v>0</v>
      </c>
      <c r="D136" s="117">
        <f>+[2]Nancy!$H136</f>
        <v>0</v>
      </c>
      <c r="E136" s="160">
        <f>IF(ISNA(VLOOKUP("NAN621200000",Balanceanp!C:G,5,FALSE))=TRUE,0,VLOOKUP("NAN621200000",Balanceanp!C:G,5,FALSE))</f>
        <v>0</v>
      </c>
      <c r="F136" s="368">
        <f>+C136+C136/9*(12-Clients!$I$14)</f>
        <v>0</v>
      </c>
      <c r="G136" s="395">
        <f t="shared" si="14"/>
        <v>0</v>
      </c>
      <c r="H136" s="401"/>
      <c r="I136" s="149">
        <f t="shared" si="13"/>
        <v>0</v>
      </c>
      <c r="J136" s="271">
        <f t="shared" si="13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IF(ISNA(VLOOKUP("NAN706100000",Balance!C:G,5,FALSE))=TRUE,0,-VLOOKUP("NAN706100000",Balance!C:G,5,FALSE))</f>
        <v>0</v>
      </c>
      <c r="D137" s="117">
        <f>+[2]Nancy!$H137</f>
        <v>0</v>
      </c>
      <c r="E137" s="160">
        <f>IF(ISNA(VLOOKUP("NAN706100000",Balanceanp!C:G,5,FALSE))=TRUE,0,-VLOOKUP("NAN706100000",Balanceanp!C:G,5,FALSE))</f>
        <v>0</v>
      </c>
      <c r="F137" s="368">
        <f>+C137+C137/9*(12-Clients!$I$14)</f>
        <v>0</v>
      </c>
      <c r="G137" s="395">
        <f t="shared" si="14"/>
        <v>0</v>
      </c>
      <c r="H137" s="401"/>
      <c r="I137" s="149">
        <f t="shared" si="13"/>
        <v>0</v>
      </c>
      <c r="J137" s="271">
        <f t="shared" si="13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IF(ISNA(VLOOKUP("NAN641210000",Balance!C:G,5,FALSE))=TRUE,0,VLOOKUP("NAN641210000",Balance!C:G,5,FALSE))</f>
        <v>0</v>
      </c>
      <c r="D138" s="117">
        <f>+[2]Nancy!$H138</f>
        <v>0</v>
      </c>
      <c r="E138" s="160">
        <f>IF(ISNA(VLOOKUP("NAN641210000",Balanceanp!C:G,5,FALSE))=TRUE,0,VLOOKUP("NAN641210000",Balanceanp!C:G,5,FALSE))</f>
        <v>-4283.3899999999994</v>
      </c>
      <c r="F138" s="368">
        <f>+C138+C138/9*(12-Clients!$I$14)</f>
        <v>0</v>
      </c>
      <c r="G138" s="395">
        <f t="shared" si="14"/>
        <v>0</v>
      </c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IF(ISNA(VLOOKUP("NAN641400000",Balance!C:G,5,FALSE))=TRUE,0,VLOOKUP("NAN641400000",Balance!C:G,5,FALSE))</f>
        <v>0</v>
      </c>
      <c r="D139" s="117">
        <f>+[2]Nancy!$H139</f>
        <v>0</v>
      </c>
      <c r="E139" s="160">
        <f>IF(ISNA(VLOOKUP("NAN641400000",Balanceanp!C:G,5,FALSE))=TRUE,0,VLOOKUP("NAN641400000",Balanceanp!C:G,5,FALSE))</f>
        <v>0</v>
      </c>
      <c r="F139" s="368">
        <f>+C139+C139/9*(12-Clients!$I$14)</f>
        <v>0</v>
      </c>
      <c r="G139" s="395">
        <f t="shared" si="14"/>
        <v>0</v>
      </c>
      <c r="H139" s="401"/>
      <c r="I139" s="149">
        <f t="shared" si="13"/>
        <v>0</v>
      </c>
      <c r="J139" s="271">
        <f t="shared" si="13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IF(ISNA(VLOOKUP("NAN641600000",Balance!C:G,5,FALSE))=TRUE,0,VLOOKUP("NAN641600000",Balance!C:G,5,FALSE))</f>
        <v>0</v>
      </c>
      <c r="D140" s="117">
        <f>+[2]Nancy!$H140</f>
        <v>0</v>
      </c>
      <c r="E140" s="160">
        <f>IF(ISNA(VLOOKUP("NAN641600000",Balanceanp!C:G,5,FALSE))=TRUE,0,VLOOKUP("NAN641600000",Balanceanp!C:G,5,FALSE))</f>
        <v>0</v>
      </c>
      <c r="F140" s="368">
        <f>+C140+C140/9*(12-Clients!$I$14)</f>
        <v>0</v>
      </c>
      <c r="G140" s="395">
        <f t="shared" si="14"/>
        <v>0</v>
      </c>
      <c r="H140" s="401"/>
      <c r="I140" s="149">
        <f t="shared" si="13"/>
        <v>0</v>
      </c>
      <c r="J140" s="271">
        <f t="shared" si="13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IF(ISNA(VLOOKUP("NAN645100000",Balance!C:G,5,FALSE))=TRUE,0,VLOOKUP("NAN645100000",Balance!C:G,5,FALSE))</f>
        <v>23873.93</v>
      </c>
      <c r="D141" s="592">
        <f>+[2]Nancy!$H141</f>
        <v>33651.680309703021</v>
      </c>
      <c r="E141" s="311">
        <f>IF(ISNA(VLOOKUP("NAN645100000",Balanceanp!C:G,5,FALSE))=TRUE,0,VLOOKUP("NAN645100000",Balanceanp!C:G,5,FALSE))</f>
        <v>31686.58</v>
      </c>
      <c r="F141" s="625">
        <f>+C141+C141/9*(12-Clients!$I$14)</f>
        <v>31831.906666666669</v>
      </c>
      <c r="G141" s="630">
        <f t="shared" ref="G141:G146" si="16">+($G$131/$C$131*C141)*1.01</f>
        <v>29624.861365851888</v>
      </c>
      <c r="H141" s="630"/>
      <c r="I141" s="591">
        <f t="shared" si="13"/>
        <v>4.586379049637661E-3</v>
      </c>
      <c r="J141" s="595">
        <f t="shared" si="13"/>
        <v>-6.933437333573006E-2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IF(ISNA(VLOOKUP("NAN645200000",Balance!C:G,5,FALSE))=TRUE,0,VLOOKUP("NAN645200000",Balance!C:G,5,FALSE))</f>
        <v>2287.11</v>
      </c>
      <c r="D142" s="592">
        <f>+[2]Nancy!$H142</f>
        <v>3410.3728619220478</v>
      </c>
      <c r="E142" s="311">
        <f>IF(ISNA(VLOOKUP("NAN645200000",Balanceanp!C:G,5,FALSE))=TRUE,0,VLOOKUP("NAN645200000",Balanceanp!C:G,5,FALSE))</f>
        <v>3228.88</v>
      </c>
      <c r="F142" s="625">
        <f>+C142+C142/9*(12-Clients!$I$14)</f>
        <v>3049.48</v>
      </c>
      <c r="G142" s="630">
        <f t="shared" si="16"/>
        <v>2838.0462152001578</v>
      </c>
      <c r="H142" s="630"/>
      <c r="I142" s="591">
        <f t="shared" si="13"/>
        <v>-5.5561061420678404E-2</v>
      </c>
      <c r="J142" s="595">
        <f t="shared" si="13"/>
        <v>-6.9334373335730101E-2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IF(ISNA(VLOOKUP("NAN645300000",Balance!C:G,5,FALSE))=TRUE,0,VLOOKUP("NAN645300000",Balance!C:G,5,FALSE))+IF(ISNA(VLOOKUP("NAN645810000",Balance!C:G,5,FALSE))=TRUE,0,VLOOKUP("NAN645810000",Balance!C:G,5,FALSE))</f>
        <v>5400.48</v>
      </c>
      <c r="D143" s="592">
        <f>+[2]Nancy!$H143</f>
        <v>7611.2781293195148</v>
      </c>
      <c r="E143" s="311">
        <f>IF(ISNA(VLOOKUP("NAN645300000",Balanceanp!C:G,5,FALSE))=TRUE,0,VLOOKUP("NAN645300000",Balanceanp!C:G,5,FALSE))+IF(ISNA(VLOOKUP("NAN645810000",Balanceanp!C:G,5,FALSE))=TRUE,0,VLOOKUP("NAN645810000",Balanceanp!C:G,5,FALSE))</f>
        <v>7193.54</v>
      </c>
      <c r="F143" s="625">
        <f>+C143+C143/9*(12-Clients!$I$14)</f>
        <v>7200.6399999999994</v>
      </c>
      <c r="G143" s="630">
        <f t="shared" si="16"/>
        <v>6701.3881379838085</v>
      </c>
      <c r="H143" s="630"/>
      <c r="I143" s="591">
        <f t="shared" si="13"/>
        <v>9.8699666645343668E-4</v>
      </c>
      <c r="J143" s="595">
        <f t="shared" si="13"/>
        <v>-6.9334373335730004E-2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IF(ISNA(VLOOKUP("NAN645310000",Balance!C:G,5,FALSE))=TRUE,0,VLOOKUP("NAN645310000",Balance!C:G,5,FALSE))</f>
        <v>0</v>
      </c>
      <c r="D144" s="117">
        <f>+[2]Nancy!$H144</f>
        <v>0</v>
      </c>
      <c r="E144" s="160">
        <f>IF(ISNA(VLOOKUP("NAN645310000",Balanceanp!C:G,5,FALSE))=TRUE,0,VLOOKUP("NAN645310000",Balanceanp!C:G,5,FALSE))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3"/>
        <v>0</v>
      </c>
      <c r="J144" s="271">
        <f t="shared" si="13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IF(ISNA(VLOOKUP("NAN645400000",Balance!C:G,5,FALSE))=TRUE,0,VLOOKUP("NAN645400000",Balance!C:G,5,FALSE))</f>
        <v>3614.35</v>
      </c>
      <c r="D145" s="592">
        <f>+[2]Nancy!$H145</f>
        <v>4888.1284217418388</v>
      </c>
      <c r="E145" s="311">
        <f>IF(ISNA(VLOOKUP("NAN645400000",Balanceanp!C:G,5,FALSE))=TRUE,0,VLOOKUP("NAN645400000",Balanceanp!C:G,5,FALSE))</f>
        <v>4664.04</v>
      </c>
      <c r="F145" s="625">
        <f>+C145+C145/9*(12-Clients!$I$14)</f>
        <v>4819.1333333333332</v>
      </c>
      <c r="G145" s="630">
        <f t="shared" si="16"/>
        <v>4485.0017436453381</v>
      </c>
      <c r="H145" s="630"/>
      <c r="I145" s="591">
        <f t="shared" si="13"/>
        <v>3.3253002404210349E-2</v>
      </c>
      <c r="J145" s="595">
        <f t="shared" si="13"/>
        <v>-6.9334373335730157E-2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IF(ISNA(VLOOKUP("NAN645800000",Balance!C:G,5,FALSE))=TRUE,0,VLOOKUP("NAN645800000",Balance!C:G,5,FALSE))</f>
        <v>0</v>
      </c>
      <c r="D146" s="117">
        <f>+[2]Nancy!$H146</f>
        <v>0</v>
      </c>
      <c r="E146" s="160">
        <f>IF(ISNA(VLOOKUP("NAN645800000",Balanceanp!C:G,5,FALSE))=TRUE,0,VLOOKUP("NAN645800000",Balanceanp!C:G,5,FALSE))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5"/>
        <v>0</v>
      </c>
    </row>
    <row r="147" spans="1:12">
      <c r="A147" s="590" t="s">
        <v>160</v>
      </c>
      <c r="B147" s="591"/>
      <c r="C147" s="311">
        <f>IF(ISNA(VLOOKUP("NAN645900000",Balance!C:G,5,FALSE))=TRUE,0,VLOOKUP("NAN645900000",Balance!C:G,5,FALSE))</f>
        <v>205.11</v>
      </c>
      <c r="D147" s="592">
        <f>+[2]Nancy!$H147</f>
        <v>-88.477000000000004</v>
      </c>
      <c r="E147" s="311">
        <f>IF(ISNA(VLOOKUP("NAN645900000",Balanceanp!C:G,5,FALSE))=TRUE,0,VLOOKUP("NAN645900000",Balanceanp!C:G,5,FALSE))</f>
        <v>-3.19</v>
      </c>
      <c r="F147" s="625">
        <f>+C147+C147/9*(12-Clients!$I$14)</f>
        <v>273.48</v>
      </c>
      <c r="G147" s="630">
        <f>+F147*1.03</f>
        <v>281.68440000000004</v>
      </c>
      <c r="H147" s="630"/>
      <c r="I147" s="591">
        <f t="shared" ref="I147:J152" si="17">+IF((E147)=0,,(F147-E147)/E147)</f>
        <v>-86.730407523510976</v>
      </c>
      <c r="J147" s="595">
        <f t="shared" si="17"/>
        <v>3.0000000000000075E-2</v>
      </c>
      <c r="L147" s="17">
        <f t="shared" si="15"/>
        <v>1</v>
      </c>
    </row>
    <row r="148" spans="1:12">
      <c r="A148" s="590" t="s">
        <v>161</v>
      </c>
      <c r="B148" s="591"/>
      <c r="C148" s="311">
        <f>IF(ISNA(VLOOKUP("NAN647100000",Balance!C:G,5,FALSE))=TRUE,0,VLOOKUP("NAN647100000",Balance!C:G,5,FALSE))</f>
        <v>0</v>
      </c>
      <c r="D148" s="592">
        <f>+[2]Nancy!$H148</f>
        <v>0</v>
      </c>
      <c r="E148" s="311">
        <f>IF(ISNA(VLOOKUP("NAN647100000",Balanceanp!C:G,5,FALSE))=TRUE,0,VLOOKUP("NAN647100000",Balanceanp!C:G,5,FALSE))</f>
        <v>61.63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311">
        <f>IF(ISNA(VLOOKUP("NAN647400000",Balance!C:G,5,FALSE))=TRUE,0,VLOOKUP("NAN647400000",Balance!C:G,5,FALSE))++IF(ISNA(VLOOKUP("NAN641420000",Balance!C:G,5,FALSE))=TRUE,0,VLOOKUP("NAN641420000",Balance!C:G,5,FALSE))</f>
        <v>55.85</v>
      </c>
      <c r="D149" s="592">
        <f>+[2]Nancy!$H149</f>
        <v>74.296595166666663</v>
      </c>
      <c r="E149" s="311">
        <f>IF(ISNA(VLOOKUP("NAN647400000",Balanceanp!C:G,5,FALSE))=TRUE,0,VLOOKUP("NAN647400000",Balanceanp!C:G,5,FALSE))</f>
        <v>41.23</v>
      </c>
      <c r="F149" s="625">
        <f>+C149+C149/9*(12-Clients!$I$14)</f>
        <v>74.466666666666669</v>
      </c>
      <c r="G149" s="630">
        <f>+F149*1.03</f>
        <v>76.700666666666677</v>
      </c>
      <c r="H149" s="630"/>
      <c r="I149" s="591">
        <f t="shared" si="17"/>
        <v>0.80612822378526983</v>
      </c>
      <c r="J149" s="595">
        <f t="shared" si="17"/>
        <v>3.0000000000000117E-2</v>
      </c>
      <c r="L149" s="17">
        <f t="shared" si="15"/>
        <v>1</v>
      </c>
    </row>
    <row r="150" spans="1:12">
      <c r="A150" s="590" t="s">
        <v>163</v>
      </c>
      <c r="B150" s="591"/>
      <c r="C150" s="311">
        <f>IF(ISNA(VLOOKUP("NAN647500000",Balance!C:G,5,FALSE))=TRUE,0,VLOOKUP("NAN647500000",Balance!C:G,5,FALSE))</f>
        <v>330.62</v>
      </c>
      <c r="D150" s="592">
        <f>+[2]Nancy!$H150</f>
        <v>465.84317586145841</v>
      </c>
      <c r="E150" s="311">
        <f>IF(ISNA(VLOOKUP("NAN647500000",Balanceanp!C:G,5,FALSE))=TRUE,0,VLOOKUP("NAN647500000",Balanceanp!C:G,5,FALSE))</f>
        <v>317.42</v>
      </c>
      <c r="F150" s="625">
        <f>+C150+C150/9*(12-Clients!$I$14)</f>
        <v>440.82666666666671</v>
      </c>
      <c r="G150" s="630">
        <f>+F150*1.03</f>
        <v>454.05146666666673</v>
      </c>
      <c r="H150" s="630"/>
      <c r="I150" s="591">
        <f t="shared" si="17"/>
        <v>0.38878037510763874</v>
      </c>
      <c r="J150" s="595">
        <f t="shared" si="17"/>
        <v>3.0000000000000034E-2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+[2]Nancy!$H151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IF(ISNA(VLOOKUP("NAN648000000",Balance!C:G,5,FALSE))=TRUE,0,VLOOKUP("NAN648000000",Balance!C:G,5,FALSE))</f>
        <v>0</v>
      </c>
      <c r="D152" s="592">
        <f>+[2]Nancy!$H152</f>
        <v>0</v>
      </c>
      <c r="E152" s="311">
        <f>IF(ISNA(VLOOKUP("NAN648000000",Balanceanp!C:G,5,FALSE))=TRUE,0,VLOOKUP("NAN648000000",Balanceanp!C:G,5,FALSE))</f>
        <v>2443.2331200000003</v>
      </c>
      <c r="F152" s="625">
        <f>+C152+C152/9*(12-Clients!$I$14)</f>
        <v>0</v>
      </c>
      <c r="G152" s="630">
        <f>+F152*1.03</f>
        <v>0</v>
      </c>
      <c r="H152" s="630">
        <f>SUM(G141:G152)</f>
        <v>44461.733996014518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0.18552466774038201</v>
      </c>
      <c r="C154" s="305">
        <f>SUM(C130:C153)</f>
        <v>120458.28000000001</v>
      </c>
      <c r="D154" s="312">
        <f>SUM(D130:D153)</f>
        <v>168903.12249371453</v>
      </c>
      <c r="E154" s="305">
        <f>SUM(E130:E153)</f>
        <v>148997.74312000003</v>
      </c>
      <c r="F154" s="312">
        <f>SUM(F130:F153)</f>
        <v>160611.04000000004</v>
      </c>
      <c r="G154" s="312">
        <f>SUM(G130:G153)</f>
        <v>148758.73399601452</v>
      </c>
      <c r="H154" s="421">
        <f>+G154/$G$21</f>
        <v>0.16286174697534447</v>
      </c>
      <c r="I154" s="598">
        <f>+IF((E154)=0,,(F154-E154)/E154)</f>
        <v>7.7942770385769369E-2</v>
      </c>
      <c r="J154" s="599">
        <f>+IF((F154)=0,,(G154-F154)/F154)</f>
        <v>-7.3795089079714049E-2</v>
      </c>
      <c r="K154" s="136">
        <f>(C154+(C154/3))</f>
        <v>160611.04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0.76549999999999996</v>
      </c>
      <c r="C156" s="311">
        <f>IF(ISNA(VLOOKUP("NAN681740000",Balance!C:G,5,FALSE))=TRUE,0,VLOOKUP("NAN681740000",Balance!C:G,5,FALSE))</f>
        <v>6604.56</v>
      </c>
      <c r="D156" s="592">
        <f>+[2]Nancy!$H156</f>
        <v>12157.608568700001</v>
      </c>
      <c r="E156" s="311">
        <f>IF(ISNA(VLOOKUP("NAN681740000",Balanceanp!C:G,5,FALSE))=TRUE,0,VLOOKUP("NAN681740000",Balanceanp!C:G,5,FALSE))</f>
        <v>9497.41</v>
      </c>
      <c r="F156" s="625">
        <f>+C156+C156/9*(12-Clients!$I$14)</f>
        <v>8806.08</v>
      </c>
      <c r="G156" s="637">
        <f>+G21*B156*1.62%</f>
        <v>11327.226745500002</v>
      </c>
      <c r="H156" s="639"/>
      <c r="I156" s="591">
        <f t="shared" ref="I156:J166" si="18">+IF((E156)=0,,(F156-E156)/E156)</f>
        <v>-7.2791424188278692E-2</v>
      </c>
      <c r="J156" s="595">
        <f t="shared" si="18"/>
        <v>0.28629614374386808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IF(ISNA(VLOOKUP("NAN781740000",Balance!C:G,5,FALSE))=TRUE,0,VLOOKUP("NAN781740000",Balance!C:G,5,FALSE))</f>
        <v>-4733.3900000000003</v>
      </c>
      <c r="D157" s="592">
        <f>+[2]Nancy!$H157</f>
        <v>0</v>
      </c>
      <c r="E157" s="311">
        <f>IF(ISNA(VLOOKUP("NAN781740000",Balanceanp!C:G,5,FALSE))=TRUE,0,VLOOKUP("NAN781740000",Balanceanp!C:G,5,FALSE))</f>
        <v>-7178.58</v>
      </c>
      <c r="F157" s="625">
        <f>+C157+C157/9*(12-Clients!$I$14)</f>
        <v>-6311.1866666666665</v>
      </c>
      <c r="G157" s="630">
        <v>0</v>
      </c>
      <c r="H157" s="630"/>
      <c r="I157" s="591">
        <f t="shared" si="18"/>
        <v>-0.12083076783059232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IF(ISNA(VLOOKUP("NAN654400000",Balance!C:G,5,FALSE))=TRUE,0,VLOOKUP("NAN654400000",Balance!C:G,5,FALSE))</f>
        <v>6427.8</v>
      </c>
      <c r="D158" s="592">
        <f>+[2]Nancy!$H158</f>
        <v>0</v>
      </c>
      <c r="E158" s="311">
        <f>IF(ISNA(VLOOKUP("NAN654400000",Balanceanp!C:G,5,FALSE))=TRUE,0,VLOOKUP("NAN654400000",Balanceanp!C:G,5,FALSE))</f>
        <v>3116.14</v>
      </c>
      <c r="F158" s="625">
        <f>+C158+C158/9*(12-Clients!$I$14)</f>
        <v>8570.4000000000015</v>
      </c>
      <c r="G158" s="630">
        <v>0</v>
      </c>
      <c r="H158" s="630"/>
      <c r="I158" s="591">
        <f t="shared" si="18"/>
        <v>1.750325723491243</v>
      </c>
      <c r="J158" s="595">
        <f t="shared" si="18"/>
        <v>-1</v>
      </c>
      <c r="L158" s="17">
        <f t="shared" si="15"/>
        <v>1</v>
      </c>
    </row>
    <row r="159" spans="1:12">
      <c r="A159" s="590" t="s">
        <v>60</v>
      </c>
      <c r="B159" s="591"/>
      <c r="C159" s="311">
        <f>IF(ISNA(VLOOKUP("NAN791100000",Balance!C:G,5,FALSE))=TRUE,0,VLOOKUP("NAN791100000",Balance!C:G,5,FALSE))</f>
        <v>0</v>
      </c>
      <c r="D159" s="592">
        <f>+[2]Nancy!$H159</f>
        <v>0</v>
      </c>
      <c r="E159" s="311">
        <f>IF(ISNA(VLOOKUP("NAN791100000",Balanceanp!C:G,5,FALSE))=TRUE,0,VLOOKUP("NAN791100000",Balanceanp!C:G,5,FALSE))</f>
        <v>-3023.32</v>
      </c>
      <c r="F159" s="625">
        <f>+C159+C159/9*(12-Clients!$I$14)</f>
        <v>0</v>
      </c>
      <c r="G159" s="630">
        <v>0</v>
      </c>
      <c r="H159" s="630"/>
      <c r="I159" s="591">
        <f t="shared" si="18"/>
        <v>-1</v>
      </c>
      <c r="J159" s="595">
        <f t="shared" si="18"/>
        <v>0</v>
      </c>
      <c r="L159" s="17">
        <f t="shared" si="15"/>
        <v>1</v>
      </c>
    </row>
    <row r="160" spans="1:12">
      <c r="A160" s="590" t="s">
        <v>199</v>
      </c>
      <c r="B160" s="591"/>
      <c r="C160" s="311">
        <f>IF(ISNA(VLOOKUP("NAN654100000",Balance!C:G,5,FALSE))=TRUE,0,VLOOKUP("NAN654100000",Balance!C:G,5,FALSE))</f>
        <v>45.42</v>
      </c>
      <c r="D160" s="592">
        <f>+[2]Nancy!$H160</f>
        <v>0</v>
      </c>
      <c r="E160" s="311">
        <f>IF(ISNA(VLOOKUP("NAN654100000",Balanceanp!C:G,5,FALSE))=TRUE,0,VLOOKUP("NAN654100000",Balanceanp!C:G,5,FALSE))</f>
        <v>60.37</v>
      </c>
      <c r="F160" s="625">
        <f>+C160+C160/9*(12-Clients!$I$14)</f>
        <v>60.56</v>
      </c>
      <c r="G160" s="630">
        <v>0</v>
      </c>
      <c r="H160" s="630"/>
      <c r="I160" s="591">
        <f t="shared" si="18"/>
        <v>3.1472585721385596E-3</v>
      </c>
      <c r="J160" s="595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IF(ISNA(VLOOKUP("NAN622700000",Balance!C:G,5,FALSE))=TRUE,0,VLOOKUP("NAN622700000",Balance!C:G,5,FALSE))</f>
        <v>95.5</v>
      </c>
      <c r="D161" s="592">
        <f>+[2]Nancy!$H161</f>
        <v>860.96754974999999</v>
      </c>
      <c r="E161" s="311">
        <f>IF(ISNA(VLOOKUP("NAN622700000",Balanceanp!C:G,5,FALSE))=TRUE,0,VLOOKUP("NAN622700000",Balanceanp!C:G,5,FALSE))</f>
        <v>475.41</v>
      </c>
      <c r="F161" s="625">
        <f>+C161+C161/9*(12-Clients!$I$14)</f>
        <v>127.33333333333333</v>
      </c>
      <c r="G161" s="630">
        <f t="shared" ref="G161:G166" si="19">+F161*1.03</f>
        <v>131.15333333333334</v>
      </c>
      <c r="H161" s="630"/>
      <c r="I161" s="591">
        <f t="shared" si="18"/>
        <v>-0.73216101189850169</v>
      </c>
      <c r="J161" s="595">
        <f t="shared" si="18"/>
        <v>3.0000000000000058E-2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IF(ISNA(VLOOKUP("NAN654200000",Balance!C:G,5,FALSE))=TRUE,0,VLOOKUP("NAN654200000",Balance!C:G,5,FALSE))</f>
        <v>41.91</v>
      </c>
      <c r="D162" s="592">
        <f>+[2]Nancy!$H162</f>
        <v>1.5860455000000004</v>
      </c>
      <c r="E162" s="311">
        <f>IF(ISNA(VLOOKUP("NAN654200000",Balanceanp!C:G,5,FALSE))=TRUE,0,VLOOKUP("NAN654200000",Balanceanp!C:G,5,FALSE))</f>
        <v>0</v>
      </c>
      <c r="F162" s="625">
        <f>+C162+C162/9*(12-Clients!$I$14)</f>
        <v>55.879999999999995</v>
      </c>
      <c r="G162" s="630">
        <f t="shared" si="19"/>
        <v>57.556399999999996</v>
      </c>
      <c r="H162" s="630"/>
      <c r="I162" s="591">
        <f t="shared" si="18"/>
        <v>0</v>
      </c>
      <c r="J162" s="595">
        <f t="shared" si="18"/>
        <v>3.000000000000002E-2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IF(ISNA(VLOOKUP("NAN665000000",Balance!C:G,5,FALSE))=TRUE,0,VLOOKUP("NAN665000000",Balance!C:G,5,FALSE))+IF(ISNA(VLOOKUP("NAN665100000",Balance!C:G,5,FALSE))=TRUE,0,VLOOKUP("NAN665100000",Balance!C:G,5,FALSE))</f>
        <v>116.28</v>
      </c>
      <c r="D163" s="592">
        <f>+[2]Nancy!$H163</f>
        <v>105.96385074999999</v>
      </c>
      <c r="E163" s="311">
        <f>IF(ISNA(VLOOKUP("NAN665000000",Balanceanp!C:G,5,FALSE))=TRUE,0,VLOOKUP("NAN665000000",Balanceanp!C:G,5,FALSE))+IF(ISNA(VLOOKUP("NAN665100000",Balanceanp!C:G,5,FALSE))=TRUE,0,VLOOKUP("NAN665100000",Balanceanp!C:G,5,FALSE))</f>
        <v>77.150000000000006</v>
      </c>
      <c r="F163" s="625">
        <f>+C163+C163/9*(12-Clients!$I$14)</f>
        <v>155.04</v>
      </c>
      <c r="G163" s="630">
        <f t="shared" si="19"/>
        <v>159.69120000000001</v>
      </c>
      <c r="H163" s="630"/>
      <c r="I163" s="591">
        <f t="shared" si="18"/>
        <v>1.0095917044718079</v>
      </c>
      <c r="J163" s="595">
        <f t="shared" si="18"/>
        <v>3.0000000000000113E-2</v>
      </c>
      <c r="L163" s="17">
        <f t="shared" si="15"/>
        <v>1</v>
      </c>
    </row>
    <row r="164" spans="1:12" hidden="1">
      <c r="A164" s="5" t="s">
        <v>271</v>
      </c>
      <c r="B164" s="92"/>
      <c r="C164" s="160">
        <f>IF(ISNA(VLOOKUP("NAN763000000",Balance!C:G,5,FALSE))=TRUE,0,VLOOKUP("NAN763000000",Balance!C:G,5,FALSE))</f>
        <v>0</v>
      </c>
      <c r="D164" s="117">
        <f>+[2]Nancy!$H164</f>
        <v>0</v>
      </c>
      <c r="E164" s="160">
        <f>IF(ISNA(VLOOKUP("NAN763000000",Balanceanp!C:G,5,FALSE))=TRUE,0,VLOOKUP("NAN763000000",Balanceanp!C:G,5,FALSE))</f>
        <v>0</v>
      </c>
      <c r="F164" s="368">
        <f>+C164+C164/9*(12-Clients!$I$14)</f>
        <v>0</v>
      </c>
      <c r="G164" s="396">
        <f t="shared" si="19"/>
        <v>0</v>
      </c>
      <c r="H164" s="409"/>
      <c r="I164" s="149">
        <f t="shared" si="18"/>
        <v>0</v>
      </c>
      <c r="J164" s="271">
        <f t="shared" si="18"/>
        <v>0</v>
      </c>
      <c r="L164" s="17">
        <f t="shared" si="15"/>
        <v>0</v>
      </c>
    </row>
    <row r="165" spans="1:12">
      <c r="A165" s="590" t="s">
        <v>242</v>
      </c>
      <c r="B165" s="591"/>
      <c r="C165" s="311">
        <f>IF(ISNA(VLOOKUP("NAN627520000",Balance!C:G,5,FALSE))=TRUE,0,VLOOKUP("NAN627520000",Balance!C:G,5,FALSE))</f>
        <v>63</v>
      </c>
      <c r="D165" s="592">
        <f>+[2]Nancy!$H165</f>
        <v>234.0924775</v>
      </c>
      <c r="E165" s="311">
        <f>IF(ISNA(VLOOKUP("NAN627520000",Balanceanp!C:G,5,FALSE))=TRUE,0,VLOOKUP("NAN627520000",Balanceanp!C:G,5,FALSE))</f>
        <v>334.9</v>
      </c>
      <c r="F165" s="625">
        <f>+C165+C165/9*(12-Clients!$I$14)</f>
        <v>84</v>
      </c>
      <c r="G165" s="630">
        <f t="shared" si="19"/>
        <v>86.52</v>
      </c>
      <c r="H165" s="630"/>
      <c r="I165" s="591">
        <f t="shared" si="18"/>
        <v>-0.74917885936100326</v>
      </c>
      <c r="J165" s="595">
        <f t="shared" si="18"/>
        <v>2.9999999999999954E-2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IF(ISNA(VLOOKUP("NAN763100000",Balance!C:G,5,FALSE))=TRUE,0,VLOOKUP("NAN763100000",Balance!C:G,5,FALSE))</f>
        <v>0</v>
      </c>
      <c r="D166" s="117">
        <f>+[2]Nancy!$H166</f>
        <v>0</v>
      </c>
      <c r="E166" s="160">
        <f>IF(ISNA(VLOOKUP("NAN763100000",Balanceanp!C:G,5,FALSE))=TRUE,0,VLOOKUP("NAN763100000",Balanceanp!C:G,5,FALSE))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1.3339423319616286E-2</v>
      </c>
      <c r="C168" s="305">
        <f>SUM(C155:C167)</f>
        <v>8661.0800000000017</v>
      </c>
      <c r="D168" s="312">
        <f>SUM(D155:D167)</f>
        <v>13360.218492200001</v>
      </c>
      <c r="E168" s="305">
        <f>SUM(E155:E167)</f>
        <v>3359.4799999999991</v>
      </c>
      <c r="F168" s="312">
        <f>SUM(F155:F167)</f>
        <v>11548.106666666668</v>
      </c>
      <c r="G168" s="312">
        <f>SUM(G155:G167)</f>
        <v>11762.147678833335</v>
      </c>
      <c r="H168" s="421">
        <f>+G168/$G$21</f>
        <v>1.2877253440514706E-2</v>
      </c>
      <c r="I168" s="598">
        <f>+IF((E168)=0,,(F168-E168)/E168)</f>
        <v>2.4374684971086809</v>
      </c>
      <c r="J168" s="599">
        <f>+IF((F168)=0,,(G168-F168)/F168)</f>
        <v>1.8534727669643945E-2</v>
      </c>
      <c r="K168" s="136">
        <f>(C168+(C168/3))</f>
        <v>11548.106666666668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IF(ISNA(VLOOKUP("NAN651100000",Balance!C:G,5,FALSE))=TRUE,0,VLOOKUP("NAN651100000",Balance!C:G,5,FALSE))</f>
        <v>0</v>
      </c>
      <c r="D170" s="117">
        <f>+[2]Nancy!$H170</f>
        <v>0</v>
      </c>
      <c r="E170" s="160">
        <f>IF(ISNA(VLOOKUP("NAN651100000",Balanceanp!C:G,5,FALSE))=TRUE,0,VLOOKUP("NAN651100000",Balanceanp!C:G,5,FALSE))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>
      <c r="A171" s="590" t="s">
        <v>168</v>
      </c>
      <c r="B171" s="591"/>
      <c r="C171" s="311">
        <f>IF(ISNA(VLOOKUP("NAN651600000",Balance!C:G,5,FALSE))=TRUE,0,VLOOKUP("NAN651600000",Balance!C:G,5,FALSE))</f>
        <v>222.58</v>
      </c>
      <c r="D171" s="592">
        <f>+[2]Nancy!$H171</f>
        <v>400.97312900000003</v>
      </c>
      <c r="E171" s="311">
        <f>IF(ISNA(VLOOKUP("NAN651600000",Balanceanp!C:G,5,FALSE))=TRUE,0,VLOOKUP("NAN651600000",Balanceanp!C:G,5,FALSE))</f>
        <v>317.39</v>
      </c>
      <c r="F171" s="625">
        <f>+C171+C171/9*(12-Clients!$I$14)</f>
        <v>296.77333333333331</v>
      </c>
      <c r="G171" s="630">
        <f t="shared" si="20"/>
        <v>305.67653333333334</v>
      </c>
      <c r="H171" s="630"/>
      <c r="I171" s="591">
        <f t="shared" si="21"/>
        <v>-6.4956887950681108E-2</v>
      </c>
      <c r="J171" s="595">
        <f t="shared" si="21"/>
        <v>3.0000000000000093E-2</v>
      </c>
      <c r="L171" s="17">
        <f t="shared" si="15"/>
        <v>1</v>
      </c>
    </row>
    <row r="172" spans="1:12" hidden="1">
      <c r="A172" s="5" t="s">
        <v>169</v>
      </c>
      <c r="B172" s="92"/>
      <c r="C172" s="160">
        <f>IF(ISNA(VLOOKUP("NAN671200000",Balance!C:G,5,FALSE))=TRUE,0,VLOOKUP("NAN671200000",Balance!C:G,5,FALSE))</f>
        <v>0</v>
      </c>
      <c r="D172" s="117">
        <f>+[2]Nancy!$H172</f>
        <v>0</v>
      </c>
      <c r="E172" s="160">
        <f>IF(ISNA(VLOOKUP("NAN671200000",Balanceanp!C:G,5,FALSE))=TRUE,0,VLOOKUP("NAN671200000",Balanceanp!C:G,5,FALSE))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IF(ISNA(VLOOKUP("NAN671800000",Balance!C:G,5,FALSE))=TRUE,0,VLOOKUP("NAN671800000",Balance!C:G,5,FALSE))</f>
        <v>0</v>
      </c>
      <c r="D173" s="592">
        <f>+[2]Nancy!$H173</f>
        <v>0</v>
      </c>
      <c r="E173" s="311">
        <f>IF(ISNA(VLOOKUP("NAN671800000",Balanceanp!C:G,5,FALSE))=TRUE,0,VLOOKUP("NAN671800000",Balanceanp!C:G,5,FALSE))+IF(ISNA(VLOOKUP("NAN658000000",Balanceanp!C:G,5,FALSE))=TRUE,0,VLOOKUP("NAN658000000",Balanceanp!C:G,5,FALSE))</f>
        <v>291.04000000000002</v>
      </c>
      <c r="F173" s="625">
        <f>+C173+C173/9*(12-Clients!$I$14)</f>
        <v>0</v>
      </c>
      <c r="G173" s="630">
        <f t="shared" si="20"/>
        <v>0</v>
      </c>
      <c r="H173" s="630"/>
      <c r="I173" s="591">
        <f t="shared" si="21"/>
        <v>-1</v>
      </c>
      <c r="J173" s="595">
        <f t="shared" si="21"/>
        <v>0</v>
      </c>
      <c r="L173" s="17">
        <f t="shared" si="15"/>
        <v>1</v>
      </c>
    </row>
    <row r="174" spans="1:12" hidden="1">
      <c r="A174" s="5" t="s">
        <v>341</v>
      </c>
      <c r="B174" s="92"/>
      <c r="C174" s="160">
        <f>IF(ISNA(VLOOKUP("NAN672000000",Balance!C:G,5,FALSE))=TRUE,0,VLOOKUP("NAN672000000",Balance!C:G,5,FALSE))</f>
        <v>0</v>
      </c>
      <c r="D174" s="117">
        <f>+[2]Nancy!$H174</f>
        <v>0</v>
      </c>
      <c r="E174" s="160">
        <f>IF(ISNA(VLOOKUP("NAN672000000",Balanceanp!C:G,5,FALSE))=TRUE,0,VLOOKUP("NAN672000000",Balanceanp!C:G,5,FALSE))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IF(ISNA(VLOOKUP("NAN691100000",Balance!C:G,5,FALSE))=TRUE,0,VLOOKUP("NAN691100000",Balance!C:G,5,FALSE))</f>
        <v>0</v>
      </c>
      <c r="D175" s="117">
        <f>+[2]Nancy!$H175</f>
        <v>0</v>
      </c>
      <c r="E175" s="160">
        <f>IF(ISNA(VLOOKUP("NAN691100000",Balanceanp!C:G,5,FALSE))=TRUE,0,VLOOKUP("NAN691100000",Balanceanp!C:G,5,FALSE))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IF(ISNA(VLOOKUP("NAN675100000",Balance!C:G,5,FALSE))=TRUE,0,VLOOKUP("NAN675100000",Balance!C:G,5,FALSE))</f>
        <v>0</v>
      </c>
      <c r="D176" s="117">
        <f>+[2]Nancy!$H176</f>
        <v>0</v>
      </c>
      <c r="E176" s="160">
        <f>IF(ISNA(VLOOKUP("NAN675100000",Balanceanp!C:G,5,FALSE))=TRUE,0,VLOOKUP("NAN675100000",Balanceanp!C:G,5,FALSE))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IF(ISNA(VLOOKUP("NAN675200000",Balance!C:G,5,FALSE))=TRUE,0,VLOOKUP("NAN675200000",Balance!C:G,5,FALSE))</f>
        <v>0</v>
      </c>
      <c r="D177" s="117">
        <f>+[2]Nancy!$H177</f>
        <v>0</v>
      </c>
      <c r="E177" s="160">
        <f>IF(ISNA(VLOOKUP("NAN675200000",Balanceanp!C:G,5,FALSE))=TRUE,0,VLOOKUP("NAN675200000",Balanceanp!C:G,5,FALSE))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IF(ISNA(VLOOKUP("NAN681110000",Balance!C:G,5,FALSE))=TRUE,0,VLOOKUP("NAN681110000",Balance!C:G,5,FALSE))</f>
        <v>0</v>
      </c>
      <c r="D178" s="117">
        <f>+[2]Nancy!$H178</f>
        <v>0</v>
      </c>
      <c r="E178" s="160">
        <f>IF(ISNA(VLOOKUP("NAN681110000",Balanceanp!C:G,5,FALSE))=TRUE,0,VLOOKUP("NAN681110000",Balanceanp!C:G,5,FALSE))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IF(ISNA(VLOOKUP("NAN681120000",Balance!C:G,5,FALSE))=TRUE,0,VLOOKUP("NAN681120000",Balance!C:G,5,FALSE))</f>
        <v>3674.97</v>
      </c>
      <c r="D179" s="592">
        <f>+[2]Nancy!$H179</f>
        <v>4900</v>
      </c>
      <c r="E179" s="311">
        <f>IF(ISNA(VLOOKUP("NAN681120000",Balanceanp!C:G,5,FALSE))=TRUE,0,VLOOKUP("NAN681120000",Balanceanp!C:G,5,FALSE))</f>
        <v>9820.4500000000007</v>
      </c>
      <c r="F179" s="620">
        <v>3128.84</v>
      </c>
      <c r="G179" s="637">
        <f>2621.78+500+G255/10</f>
        <v>3721.78</v>
      </c>
      <c r="H179" s="632"/>
      <c r="I179" s="591">
        <f t="shared" si="21"/>
        <v>-0.68139545540173818</v>
      </c>
      <c r="J179" s="595">
        <f t="shared" si="21"/>
        <v>0.1895079326523568</v>
      </c>
      <c r="L179" s="17">
        <f t="shared" si="15"/>
        <v>1</v>
      </c>
    </row>
    <row r="180" spans="1:12" hidden="1">
      <c r="A180" s="5" t="s">
        <v>78</v>
      </c>
      <c r="B180" s="92"/>
      <c r="C180" s="160">
        <f>IF(ISNA(VLOOKUP("NAN687250000",Balance!C:G,5,FALSE))=TRUE,0,+VLOOKUP("NAN687250000",Balance!C:G,5,FALSE))</f>
        <v>0</v>
      </c>
      <c r="D180" s="117">
        <f>+[2]Nancy!$H180</f>
        <v>0</v>
      </c>
      <c r="E180" s="160">
        <f>IF(ISNA(VLOOKUP("NAN687250000",Balanceanp!C:G,5,FALSE))=TRUE,0,+VLOOKUP("NAN687250000",Balanceanp!C:G,5,FALSE))</f>
        <v>0</v>
      </c>
      <c r="F180" s="368">
        <f>+C180+C180/9*(12-Clients!$I$14)</f>
        <v>0</v>
      </c>
      <c r="G180" s="396">
        <f t="shared" si="20"/>
        <v>0</v>
      </c>
      <c r="H180" s="409"/>
      <c r="I180" s="149">
        <f t="shared" si="21"/>
        <v>0</v>
      </c>
      <c r="J180" s="271">
        <f t="shared" si="21"/>
        <v>0</v>
      </c>
      <c r="L180" s="17">
        <f t="shared" si="15"/>
        <v>0</v>
      </c>
    </row>
    <row r="181" spans="1:12" hidden="1">
      <c r="A181" s="5" t="s">
        <v>327</v>
      </c>
      <c r="B181" s="92"/>
      <c r="C181" s="160">
        <f>IF(ISNA(VLOOKUP("NAN661880000",Balance!C:G,5,FALSE))=TRUE,0,+VLOOKUP("NAN661880000",Balance!C:G,5,FALSE))</f>
        <v>0</v>
      </c>
      <c r="D181" s="117">
        <f>+[2]Nancy!$H181</f>
        <v>0</v>
      </c>
      <c r="E181" s="160">
        <f>IF(ISNA(VLOOKUP("NAN661880000",Balanceanp!C:G,5,FALSE))=TRUE,0,+VLOOKUP("NAN661880000",Balanceanp!C:G,5,FALSE))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+[2]Nancy!$H182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 hidden="1">
      <c r="A183" s="5" t="s">
        <v>331</v>
      </c>
      <c r="B183" s="92"/>
      <c r="C183" s="160">
        <f>IF(ISNA(VLOOKUP("NAN681500000",Balance!C:G,5,FALSE))=TRUE,0,VLOOKUP("NAN681500000",Balance!C:G,5,FALSE))</f>
        <v>0</v>
      </c>
      <c r="D183" s="117">
        <f>+[2]Nancy!$H183</f>
        <v>0</v>
      </c>
      <c r="E183" s="160">
        <f>IF(ISNA(VLOOKUP("NAN681500000",Balanceanp!C:G,5,FALSE))=TRUE,0,VLOOKUP("NAN681500000",Balanceanp!C:G,5,FALSE))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3897.5499999999997</v>
      </c>
      <c r="D185" s="312">
        <f>SUM(D169:D184)</f>
        <v>5300.973129</v>
      </c>
      <c r="E185" s="312">
        <f>SUM(E169:E184)</f>
        <v>10428.880000000001</v>
      </c>
      <c r="F185" s="312">
        <f>SUM(F169:F184)</f>
        <v>3425.6133333333337</v>
      </c>
      <c r="G185" s="312">
        <f>SUM(G169:G184)</f>
        <v>4027.4565333333335</v>
      </c>
      <c r="H185" s="421"/>
      <c r="I185" s="598">
        <f>+IF((E185)=0,,(F185-E185)/E185)</f>
        <v>-0.6715262489036854</v>
      </c>
      <c r="J185" s="599">
        <f>+IF((F185)=0,,(G185-F185)/F185)</f>
        <v>0.17568918072092191</v>
      </c>
      <c r="K185" s="136">
        <f>(C185+(C185/3))</f>
        <v>5196.7333333333327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 hidden="1">
      <c r="A187" s="5" t="s">
        <v>179</v>
      </c>
      <c r="B187" s="92"/>
      <c r="C187" s="160">
        <f>IF(ISNA(VLOOKUP("NAN740000000",Balance!C:G,5,FALSE))=TRUE,0,-VLOOKUP("NAN740000000",Balance!C:G,5,FALSE))</f>
        <v>0</v>
      </c>
      <c r="D187" s="117">
        <f>+[2]Nancy!$H187</f>
        <v>0</v>
      </c>
      <c r="E187" s="160">
        <f>IF(ISNA(VLOOKUP("NAN740000000",Balanceanp!C:G,5,FALSE))=TRUE,0,-VLOOKUP("NAN740000000",Balanceanp!C:G,5,FALSE))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2">+IF((E187)=0,,(F187-E187)/E187)</f>
        <v>0</v>
      </c>
      <c r="J187" s="271">
        <f t="shared" si="22"/>
        <v>0</v>
      </c>
      <c r="L187" s="17">
        <f t="shared" si="15"/>
        <v>0</v>
      </c>
    </row>
    <row r="188" spans="1:12" hidden="1">
      <c r="A188" s="5" t="s">
        <v>167</v>
      </c>
      <c r="B188" s="92"/>
      <c r="C188" s="160">
        <f>IF(ISNA(VLOOKUP("NAN751100000",Balance!C:G,5,FALSE))=TRUE,0,-VLOOKUP("NAN751100000",Balance!C:G,5,FALSE))</f>
        <v>0</v>
      </c>
      <c r="D188" s="117">
        <f>+[2]Nancy!$H188</f>
        <v>0</v>
      </c>
      <c r="E188" s="160">
        <f>IF(ISNA(VLOOKUP("NAN751100000",Balanceanp!C:G,5,FALSE))=TRUE,0,-VLOOKUP("NAN751100000",Balanceanp!C:G,5,FALSE))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IF(ISNA(VLOOKUP("NAN758100000",Balance!C:G,5,FALSE))=TRUE,0,-VLOOKUP("NAN758100000",Balance!C:G,5,FALSE))</f>
        <v>0</v>
      </c>
      <c r="D189" s="117">
        <f>+[2]Nancy!$H189</f>
        <v>0</v>
      </c>
      <c r="E189" s="160">
        <f>IF(ISNA(VLOOKUP("NAN758100000",Balanceanp!C:G,5,FALSE))=TRUE,0,-VLOOKUP("NAN758100000",Balanceanp!C:G,5,FALSE))</f>
        <v>893.02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IF(ISNA(VLOOKUP("NAN763800000",Balance!C:G,5,FALSE))=TRUE,0,-VLOOKUP("NAN763800000",Balance!C:G,5,FALSE))</f>
        <v>0</v>
      </c>
      <c r="D190" s="117">
        <f>+[2]Nancy!$H190</f>
        <v>0</v>
      </c>
      <c r="E190" s="160">
        <f>IF(ISNA(VLOOKUP("NAN763800000",Balanceanp!C:G,5,FALSE))=TRUE,0,-VLOOKUP("NAN763800000",Balanceanp!C:G,5,FALSE))+IF(ISNA(VLOOKUP("NAN763110000",Balanceanp!C:G,5,FALSE))=TRUE,0,-VLOOKUP("NAN763110000",Balanceanp!C:G,5,FALSE))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IF(ISNA(VLOOKUP("NAN765000000",Balance!C:G,5,FALSE))=TRUE,0,-VLOOKUP("NAN765000000",Balance!C:G,5,FALSE))</f>
        <v>0</v>
      </c>
      <c r="D191" s="117">
        <f>+[2]Nancy!$H191</f>
        <v>0</v>
      </c>
      <c r="E191" s="160">
        <f>IF(ISNA(VLOOKUP("NAN765000000",Balanceanp!C:G,5,FALSE))=TRUE,0,-VLOOKUP("NAN765000000",Balanceanp!C:G,5,FALSE))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IF(ISNA(VLOOKUP("NAN771400000",Balance!C:G,5,FALSE))=TRUE,0,-VLOOKUP("NAN771400000",Balance!C:G,5,FALSE))</f>
        <v>0</v>
      </c>
      <c r="D192" s="117">
        <f>+[2]Nancy!$H192</f>
        <v>0</v>
      </c>
      <c r="E192" s="160">
        <f>IF(ISNA(VLOOKUP("NAN771400000",Balanceanp!C:G,5,FALSE))=TRUE,0,-VLOOKUP("NAN771400000",Balanceanp!C:G,5,FALSE))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IF(ISNA(VLOOKUP("NAN771800000",Balance!C:G,5,FALSE))=TRUE,0,-VLOOKUP("NAN771800000",Balance!C:G,5,FALSE))</f>
        <v>0</v>
      </c>
      <c r="D193" s="117">
        <f>+[2]Nancy!$H193</f>
        <v>0</v>
      </c>
      <c r="E193" s="160">
        <f>IF(ISNA(VLOOKUP("NAN771800000",Balanceanp!C:G,5,FALSE))=TRUE,0,-VLOOKUP("NAN771800000",Balanceanp!C:G,5,FALSE))</f>
        <v>1016.13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IF(ISNA(VLOOKUP("NAN758000000",Balance!C:G,5,FALSE))=TRUE,0,-VLOOKUP("NAN758000000",Balance!C:G,5,FALSE))</f>
        <v>0</v>
      </c>
      <c r="D194" s="117">
        <f>+[2]Nancy!$H194</f>
        <v>0</v>
      </c>
      <c r="E194" s="160">
        <f>IF(ISNA(VLOOKUP("NAN758000000",Balanceanp!C:G,5,FALSE))=TRUE,0,-VLOOKUP("NAN758000000",Balanceanp!C:G,5,FALSE))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IF(ISNA(VLOOKUP("NAN775100000",Balance!C:G,5,FALSE))=TRUE,0,-VLOOKUP("NAN775100000",Balance!C:G,5,FALSE))</f>
        <v>0</v>
      </c>
      <c r="D195" s="117">
        <f>+[2]Nancy!$H195</f>
        <v>0</v>
      </c>
      <c r="E195" s="160">
        <f>IF(ISNA(VLOOKUP("NAN775100000",Balanceanp!C:G,5,FALSE))=TRUE,0,-VLOOKUP("NAN775100000",Balanceanp!C:G,5,FALSE))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IF(ISNA(VLOOKUP("NAN775200000",Balance!C:G,5,FALSE))=TRUE,0,-VLOOKUP("NAN775200000",Balance!C:G,5,FALSE))</f>
        <v>0</v>
      </c>
      <c r="D196" s="117">
        <f>+[2]Nancy!$H196</f>
        <v>0</v>
      </c>
      <c r="E196" s="160">
        <f>IF(ISNA(VLOOKUP("NAN775200000",Balanceanp!C:G,5,FALSE))=TRUE,0,-VLOOKUP("NAN775200000",Balanceanp!C:G,5,FALSE))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IF(ISNA(VLOOKUP("NAN791000000",Balance!C:G,5,FALSE))=TRUE,0,-VLOOKUP("NAN791000000",Balance!C:G,5,FALSE))</f>
        <v>0</v>
      </c>
      <c r="D197" s="117">
        <f>+[2]Nancy!$H197</f>
        <v>0</v>
      </c>
      <c r="E197" s="160">
        <f>IF(ISNA(VLOOKUP("NAN791000000",Balanceanp!C:G,5,FALSE))=TRUE,0,-VLOOKUP("NAN791000000",Balanceanp!C:G,5,FALSE))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IF(ISNA(VLOOKUP("NAN781500000",Balance!C:G,5,FALSE))=TRUE,0,-VLOOKUP("NAN781500000",Balance!C:G,5,FALSE))</f>
        <v>0</v>
      </c>
      <c r="D198" s="117">
        <f>+[2]Nancy!$H198</f>
        <v>0</v>
      </c>
      <c r="E198" s="160">
        <f>IF(ISNA(VLOOKUP("NAN781500000",Balanceanp!C:G,5,FALSE))=TRUE,0,-VLOOKUP("NAN781500000",Balanceanp!C:G,5,FALSE))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IF(ISNA(VLOOKUP("NAN787250000",Balance!C:G,5,FALSE))=TRUE,0,-VLOOKUP("NAN787250000",Balance!C:G,5,FALSE))</f>
        <v>0</v>
      </c>
      <c r="D199" s="117">
        <f>+[2]Nancy!$H199</f>
        <v>0</v>
      </c>
      <c r="E199" s="160">
        <f>IF(ISNA(VLOOKUP("NAN787250000",Balanceanp!C:G,5,FALSE))=TRUE,0,-VLOOKUP("NAN787250000",Balanceanp!C:G,5,FALSE))</f>
        <v>2898.87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0</v>
      </c>
      <c r="D201" s="312">
        <f>SUM(D186:D200)</f>
        <v>0</v>
      </c>
      <c r="E201" s="305">
        <f>SUM(E186:E200)</f>
        <v>4808.0200000000004</v>
      </c>
      <c r="F201" s="312">
        <f>SUM(F186:F200)</f>
        <v>0</v>
      </c>
      <c r="G201" s="312">
        <f>SUM(G186:G200)</f>
        <v>0</v>
      </c>
      <c r="H201" s="421"/>
      <c r="I201" s="598">
        <f>+IF((E201)=0,,(F201-E201)/E201)</f>
        <v>-1</v>
      </c>
      <c r="J201" s="599">
        <f>+IF((F201)=0,,(G201-F201)/F201)</f>
        <v>0</v>
      </c>
      <c r="K201" s="136">
        <f>(C201+(C201/3))</f>
        <v>0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0.3921569566644782</v>
      </c>
      <c r="C203" s="313">
        <f>+C103+C116+C129+C154+C168+C185-C201</f>
        <v>254621.41000000003</v>
      </c>
      <c r="D203" s="641">
        <f>+D103+D116+D129+D154+D168+D185-D201</f>
        <v>342255.0664463343</v>
      </c>
      <c r="E203" s="313">
        <f>+E103+E116+E129+E154+E168+E185-E201</f>
        <v>308875.79311999999</v>
      </c>
      <c r="F203" s="641">
        <f>+F103+F116+F129+F154+F168+F185-F201</f>
        <v>323788.59000000008</v>
      </c>
      <c r="G203" s="641">
        <f>+G103+G116+G129+G154+G168+G185-G201</f>
        <v>310313.09137855569</v>
      </c>
      <c r="H203" s="422">
        <f>+G203/$G$21</f>
        <v>0.33973220135488169</v>
      </c>
      <c r="I203" s="643">
        <f>+IF((E203)=0,,(F203-E203)/E203)</f>
        <v>4.8280885754638569E-2</v>
      </c>
      <c r="J203" s="644">
        <f>+IF((F203)=0,,(G203-F203)/F203)</f>
        <v>-4.1618201004069939E-2</v>
      </c>
      <c r="K203" s="145">
        <f>+K103+K116+K129+K154+K168+K185-K201</f>
        <v>339495.21333333344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-1.698534897894672E-2</v>
      </c>
      <c r="C205" s="314">
        <f>+C62-C203</f>
        <v>-11028.322799999994</v>
      </c>
      <c r="D205" s="645">
        <f>+D62-D203</f>
        <v>60687.933553665702</v>
      </c>
      <c r="E205" s="314">
        <f>+E53-E203</f>
        <v>60953.357780000137</v>
      </c>
      <c r="F205" s="645">
        <f>+F62-F203</f>
        <v>3733.0211869655177</v>
      </c>
      <c r="G205" s="645">
        <f>+G62-G203</f>
        <v>37426.887971400574</v>
      </c>
      <c r="H205" s="406">
        <f>+G205/$G$21</f>
        <v>4.0975129292483155E-2</v>
      </c>
      <c r="I205" s="647">
        <f>+IF((E205)=0,,(F205-E205)/E205)</f>
        <v>-0.93875610265083076</v>
      </c>
      <c r="J205" s="648">
        <f>+IF((F205)=0,,(G205-F205)/F205)</f>
        <v>9.0258975497066452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2.7350073539629451E-3</v>
      </c>
      <c r="C207" s="650">
        <f>+[2]Nancy!$C207</f>
        <v>1775.7977182137129</v>
      </c>
      <c r="D207" s="315">
        <f>+[2]Nancy!$H207</f>
        <v>5948.011139082877</v>
      </c>
      <c r="E207" s="315">
        <f>+[1]Nancy!$G$207</f>
        <v>2219.9033510554341</v>
      </c>
      <c r="F207" s="315">
        <f>+Repart!K25</f>
        <v>2396.9308567301832</v>
      </c>
      <c r="G207" s="315">
        <f>+Repart!Q25</f>
        <v>3457.423059293199</v>
      </c>
      <c r="H207" s="423">
        <f>+G207/$G$21</f>
        <v>3.785202685876691E-3</v>
      </c>
      <c r="I207" s="643">
        <f>+IF((E207)=0,,(F207-E207)/E207)</f>
        <v>7.974559144234046E-2</v>
      </c>
      <c r="J207" s="644">
        <f>+IF((F207)=0,,(G207-F207)/F207)</f>
        <v>0.44243754448958345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-1.9720356332909666E-2</v>
      </c>
      <c r="C209" s="314">
        <f>+C205-C207</f>
        <v>-12804.120518213707</v>
      </c>
      <c r="D209" s="645">
        <f>+D205-D207</f>
        <v>54739.922414582827</v>
      </c>
      <c r="E209" s="314">
        <f>+E205-E207</f>
        <v>58733.4544289447</v>
      </c>
      <c r="F209" s="645">
        <f>+F205-F207</f>
        <v>1336.0903302353345</v>
      </c>
      <c r="G209" s="645">
        <f>+G205-G207</f>
        <v>33969.464912107374</v>
      </c>
      <c r="H209" s="406">
        <f>+G209/$G$21</f>
        <v>3.7189926606606458E-2</v>
      </c>
      <c r="I209" s="647">
        <f>+IF((E209)=0,,(F209-E209)/E209)</f>
        <v>-0.97725163038295793</v>
      </c>
      <c r="J209" s="648">
        <f>+IF((F209)=0,,(G209-F209)/F209)</f>
        <v>24.424527177083984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1.0065022379644333E-2</v>
      </c>
      <c r="C211" s="311">
        <f>+[2]Nancy!$C211</f>
        <v>6535.0624193548392</v>
      </c>
      <c r="D211" s="592">
        <f>+[2]Nancy!$H211</f>
        <v>9026.0372215405096</v>
      </c>
      <c r="E211" s="311">
        <f>+[1]Nancy!$G211</f>
        <v>8095.0860719999991</v>
      </c>
      <c r="F211" s="625">
        <f>+Repart!I25</f>
        <v>8997.9607634408567</v>
      </c>
      <c r="G211" s="625">
        <f>+Repart!O25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3.8290135748828398E-2</v>
      </c>
      <c r="C212" s="311">
        <f>+[2]Nancy!$C212</f>
        <v>24861.189347202031</v>
      </c>
      <c r="D212" s="592">
        <f>+[2]Nancy!$H212</f>
        <v>37675.066621403224</v>
      </c>
      <c r="E212" s="311">
        <f>+[1]Nancy!$G212</f>
        <v>34069.944625406824</v>
      </c>
      <c r="F212" s="625">
        <f>+Repart!J25</f>
        <v>35280.079923257348</v>
      </c>
      <c r="G212" s="625">
        <f>+Repart!P25</f>
        <v>37251.113928131759</v>
      </c>
      <c r="H212" s="625"/>
      <c r="I212" s="591">
        <f t="shared" si="24"/>
        <v>3.5519144840291145E-2</v>
      </c>
      <c r="J212" s="595">
        <f t="shared" si="24"/>
        <v>5.5868184232061933E-2</v>
      </c>
      <c r="L212" s="17">
        <f t="shared" si="23"/>
        <v>1</v>
      </c>
    </row>
    <row r="213" spans="1:12">
      <c r="A213" s="590" t="s">
        <v>193</v>
      </c>
      <c r="B213" s="591"/>
      <c r="C213" s="311">
        <f>+[2]Nancy!$C213</f>
        <v>-5137.32</v>
      </c>
      <c r="D213" s="592">
        <f>+[2]Nancy!$H213</f>
        <v>-8419.76</v>
      </c>
      <c r="E213" s="311">
        <f>+[1]Nancy!$G213</f>
        <v>-8645.93</v>
      </c>
      <c r="F213" s="625">
        <f>+C213+C213/9*(12-Clients!$I$14)</f>
        <v>-6849.7599999999993</v>
      </c>
      <c r="G213" s="625">
        <f>+G253*-4%</f>
        <v>-7928.3553999999995</v>
      </c>
      <c r="H213" s="625"/>
      <c r="I213" s="591">
        <f t="shared" si="24"/>
        <v>-0.20774746036574446</v>
      </c>
      <c r="J213" s="595">
        <f t="shared" si="24"/>
        <v>0.15746469949312097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4.0442878573459837E-2</v>
      </c>
      <c r="C215" s="316">
        <f>SUM(C210:C213)</f>
        <v>26258.931766556871</v>
      </c>
      <c r="D215" s="652">
        <f>SUM(D210:D213)</f>
        <v>38281.34384294373</v>
      </c>
      <c r="E215" s="316">
        <f>SUM(E210:E213)</f>
        <v>33519.100697406822</v>
      </c>
      <c r="F215" s="652">
        <f>SUM(F210:F213)</f>
        <v>37428.280686698206</v>
      </c>
      <c r="G215" s="652">
        <f>SUM(G210:G213)</f>
        <v>38967.443207442237</v>
      </c>
      <c r="H215" s="424">
        <f>+G215/$G$21</f>
        <v>4.2661736258770462E-2</v>
      </c>
      <c r="I215" s="643">
        <f>+IF((E215)=0,,(F215-E215)/E215)</f>
        <v>0.11662544364126734</v>
      </c>
      <c r="J215" s="644">
        <f>+IF((F215)=0,,(G215-F215)/F215)</f>
        <v>4.1122982207703697E-2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-6.0163234906369503E-2</v>
      </c>
      <c r="C217" s="314">
        <f>+C209-C215</f>
        <v>-39063.05228477058</v>
      </c>
      <c r="D217" s="645">
        <f>+D209-D215</f>
        <v>16458.578571639096</v>
      </c>
      <c r="E217" s="314">
        <f>+E209-E215</f>
        <v>25214.353731537878</v>
      </c>
      <c r="F217" s="645">
        <f>+F209-F215</f>
        <v>-36092.190356462874</v>
      </c>
      <c r="G217" s="645">
        <f>+G209-G215</f>
        <v>-4997.9782953348622</v>
      </c>
      <c r="H217" s="406">
        <f>+G217/$G$21</f>
        <v>-5.4718096521640044E-3</v>
      </c>
      <c r="I217" s="647">
        <f>+IF((E217)=0,,(F217-E217)/E217)</f>
        <v>-2.4314144530826938</v>
      </c>
      <c r="J217" s="648">
        <f>+IF((F217)=0,,(G217-F217)/F217)</f>
        <v>-0.86152189030445214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-39063.0522847709</v>
      </c>
      <c r="D218" s="117">
        <f>+[2]Nancy!$H$217</f>
        <v>16458.578571639096</v>
      </c>
      <c r="E218" s="17">
        <f>+[1]Nancy!$G$217</f>
        <v>25214.353731537878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62.197269640838464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+B220/(C21*1.196)*Clients!K41</f>
        <v>87.752394978242549</v>
      </c>
      <c r="L220" s="17">
        <v>0</v>
      </c>
    </row>
    <row r="221" spans="1:12" hidden="1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991775.92801673897</v>
      </c>
      <c r="D222" s="655">
        <f>+(D215+D207+D203)/D60</f>
        <v>946235.23117697123</v>
      </c>
      <c r="E222" s="655"/>
      <c r="F222" s="655">
        <f>+(F215+F207+F203)/F60</f>
        <v>956878.42511428532</v>
      </c>
      <c r="G222" s="655">
        <f>+(G215+G207+G203)/G60</f>
        <v>914415.44097223599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82647.994001394909</v>
      </c>
      <c r="D223" s="655">
        <f>+(D215+D207+D203)/D60/12</f>
        <v>78852.935931414264</v>
      </c>
      <c r="E223" s="655"/>
      <c r="F223" s="655">
        <f>+(F215+F207+F203)/F60/9</f>
        <v>106319.82501269836</v>
      </c>
      <c r="G223" s="655">
        <f>+(G215+G207+G203)/G60/12</f>
        <v>76201.286747686332</v>
      </c>
      <c r="H223" s="655"/>
      <c r="I223" s="655"/>
      <c r="J223" s="655"/>
      <c r="L223" s="17">
        <f t="shared" si="23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649293.29</v>
      </c>
      <c r="D225" s="17"/>
      <c r="E225" s="2">
        <f>+E51-E40-E157-E166+E201-E164-E159-E137</f>
        <v>961396.79999999993</v>
      </c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654682.14000000036</v>
      </c>
      <c r="D226" s="17"/>
      <c r="E226" s="2">
        <f>+E44-E38-E40+E103+E116+E129+E154+E156+E158+E160+E161+E162+E163+E165+E185+E213</f>
        <v>887669.65311999992</v>
      </c>
      <c r="L226" s="17">
        <v>0</v>
      </c>
    </row>
    <row r="227" spans="1:12" hidden="1"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NANCY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641034.44000000006</v>
      </c>
      <c r="D233" s="313">
        <f t="shared" si="25"/>
        <v>986531</v>
      </c>
      <c r="E233" s="313">
        <f t="shared" si="25"/>
        <v>942782.66</v>
      </c>
      <c r="F233" s="313">
        <f t="shared" si="25"/>
        <v>861898.9768078042</v>
      </c>
      <c r="G233" s="313">
        <f t="shared" si="25"/>
        <v>901459</v>
      </c>
      <c r="H233" s="313"/>
      <c r="I233" s="643">
        <f>+I51</f>
        <v>-8.579250194545987E-2</v>
      </c>
      <c r="J233" s="643">
        <f t="shared" si="25"/>
        <v>4.5898677521016874E-2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0.38</v>
      </c>
      <c r="D235" s="15">
        <f>+D60</f>
        <v>0.40844433677198183</v>
      </c>
      <c r="E235" s="15">
        <f>+E60</f>
        <v>0.39227402729278038</v>
      </c>
      <c r="F235" s="15">
        <f>+F60</f>
        <v>0.38</v>
      </c>
      <c r="G235" s="15">
        <f>+G60</f>
        <v>0.385752407319641</v>
      </c>
      <c r="H235" s="15"/>
      <c r="I235" s="15"/>
      <c r="J235" s="1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243593.08720000004</v>
      </c>
      <c r="D236" s="309">
        <f>+D62</f>
        <v>402943</v>
      </c>
      <c r="E236" s="309">
        <f>+E62</f>
        <v>369829.15090000012</v>
      </c>
      <c r="F236" s="309">
        <f>+F62</f>
        <v>327521.6111869656</v>
      </c>
      <c r="G236" s="309">
        <f>+G62</f>
        <v>347739.97934995627</v>
      </c>
      <c r="H236" s="309"/>
      <c r="I236" s="647">
        <f>+IF((E236)=0,,(F236-E236)/E236)</f>
        <v>-0.11439752547920232</v>
      </c>
      <c r="J236" s="648">
        <f>+IF((F236)=0,,(G236-F236)/F236)</f>
        <v>6.1731401753055665E-2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84952.530000000013</v>
      </c>
      <c r="D238" s="664">
        <f>+D103</f>
        <v>105637.75530377016</v>
      </c>
      <c r="E238" s="664">
        <f>+E103</f>
        <v>109752.35999999999</v>
      </c>
      <c r="F238" s="664">
        <f>+F103</f>
        <v>113270.08000000003</v>
      </c>
      <c r="G238" s="664">
        <f>+G103</f>
        <v>115371.50667037448</v>
      </c>
      <c r="H238" s="664"/>
      <c r="I238" s="666">
        <f t="shared" ref="I238:J243" si="26">+IF((E238)=0,,(F238-E238)/E238)</f>
        <v>3.2051429235781768E-2</v>
      </c>
      <c r="J238" s="666">
        <f t="shared" si="26"/>
        <v>1.8552354429117117E-2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22450.5</v>
      </c>
      <c r="D239" s="664">
        <f>+D116</f>
        <v>30312.742300000002</v>
      </c>
      <c r="E239" s="664">
        <f>+E116</f>
        <v>23822.100000000002</v>
      </c>
      <c r="F239" s="664">
        <f>+F116</f>
        <v>20291.456666666665</v>
      </c>
      <c r="G239" s="664">
        <f>+G116</f>
        <v>16026.78</v>
      </c>
      <c r="H239" s="664"/>
      <c r="I239" s="666">
        <f t="shared" si="26"/>
        <v>-0.14820873614556807</v>
      </c>
      <c r="J239" s="666">
        <f t="shared" si="26"/>
        <v>-0.21017104571267012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14201.470000000001</v>
      </c>
      <c r="D240" s="664">
        <f>+D129</f>
        <v>18740.254727649586</v>
      </c>
      <c r="E240" s="664">
        <f>+E129</f>
        <v>17323.25</v>
      </c>
      <c r="F240" s="664">
        <f>+F129</f>
        <v>14642.293333333333</v>
      </c>
      <c r="G240" s="664">
        <f>+G129</f>
        <v>14366.466499999999</v>
      </c>
      <c r="H240" s="664"/>
      <c r="I240" s="666">
        <f t="shared" si="26"/>
        <v>-0.15476060592941088</v>
      </c>
      <c r="J240" s="666">
        <f t="shared" si="26"/>
        <v>-1.8837679798792979E-2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120458.28000000001</v>
      </c>
      <c r="D241" s="664">
        <f>+D154</f>
        <v>168903.12249371453</v>
      </c>
      <c r="E241" s="664">
        <f>+E154</f>
        <v>148997.74312000003</v>
      </c>
      <c r="F241" s="664">
        <f>+F154</f>
        <v>160611.04000000004</v>
      </c>
      <c r="G241" s="664">
        <f>+G154</f>
        <v>148758.73399601452</v>
      </c>
      <c r="H241" s="664"/>
      <c r="I241" s="666">
        <f t="shared" si="26"/>
        <v>7.7942770385769369E-2</v>
      </c>
      <c r="J241" s="666">
        <f t="shared" si="26"/>
        <v>-7.3795089079714049E-2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8661.0800000000017</v>
      </c>
      <c r="D242" s="664">
        <f>+D168</f>
        <v>13360.218492200001</v>
      </c>
      <c r="E242" s="664">
        <f>+E168</f>
        <v>3359.4799999999991</v>
      </c>
      <c r="F242" s="664">
        <f>+F168</f>
        <v>11548.106666666668</v>
      </c>
      <c r="G242" s="664">
        <f>+G168</f>
        <v>11762.147678833335</v>
      </c>
      <c r="H242" s="664"/>
      <c r="I242" s="666">
        <f t="shared" si="26"/>
        <v>2.4374684971086809</v>
      </c>
      <c r="J242" s="666">
        <f t="shared" si="26"/>
        <v>1.8534727669643945E-2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3897.5499999999997</v>
      </c>
      <c r="D243" s="664">
        <f>+D185-D201</f>
        <v>5300.973129</v>
      </c>
      <c r="E243" s="664">
        <f>+E185-E201</f>
        <v>5620.8600000000006</v>
      </c>
      <c r="F243" s="664">
        <f>+F185-F201</f>
        <v>3425.6133333333337</v>
      </c>
      <c r="G243" s="664">
        <f>+G185-G201</f>
        <v>4027.4565333333335</v>
      </c>
      <c r="H243" s="664"/>
      <c r="I243" s="666">
        <f t="shared" si="26"/>
        <v>-0.39055352146587297</v>
      </c>
      <c r="J243" s="666">
        <f t="shared" si="26"/>
        <v>0.17568918072092191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254621.41000000003</v>
      </c>
      <c r="D245" s="389">
        <f>+D203</f>
        <v>342255.0664463343</v>
      </c>
      <c r="E245" s="389">
        <f>+E203</f>
        <v>308875.79311999999</v>
      </c>
      <c r="F245" s="389">
        <f>+F203</f>
        <v>323788.59000000008</v>
      </c>
      <c r="G245" s="389">
        <f>+G203</f>
        <v>310313.09137855569</v>
      </c>
      <c r="H245" s="389"/>
      <c r="I245" s="643">
        <f>+I63</f>
        <v>0</v>
      </c>
      <c r="J245" s="643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-11028.322799999994</v>
      </c>
      <c r="D247" s="314">
        <f>+D205</f>
        <v>60687.933553665702</v>
      </c>
      <c r="E247" s="314">
        <f>+E205</f>
        <v>60953.357780000137</v>
      </c>
      <c r="F247" s="314">
        <f>+F205</f>
        <v>3733.0211869655177</v>
      </c>
      <c r="G247" s="314">
        <f>+G205</f>
        <v>37426.887971400574</v>
      </c>
      <c r="H247" s="314"/>
      <c r="I247" s="647">
        <f>+IF((E247)=0,,(F247-E247)/E247)</f>
        <v>-0.93875610265083076</v>
      </c>
      <c r="J247" s="648">
        <f>+IF((F247)=0,,(G247-F247)/F247)</f>
        <v>9.0258975497066452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28034.729484770585</v>
      </c>
      <c r="D249" s="316">
        <f>+D207+D215</f>
        <v>44229.354982026605</v>
      </c>
      <c r="E249" s="316">
        <f>+E207+E215</f>
        <v>35739.004048462259</v>
      </c>
      <c r="F249" s="316">
        <f>+F207+F215</f>
        <v>39825.211543428391</v>
      </c>
      <c r="G249" s="316">
        <f>+G207+G215</f>
        <v>42424.866266735437</v>
      </c>
      <c r="H249" s="316"/>
      <c r="I249" s="643">
        <f>+I67</f>
        <v>7.2976991056676625E-3</v>
      </c>
      <c r="J249" s="643">
        <f>+J67</f>
        <v>2.9999999999999985E-2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-39063.05228477058</v>
      </c>
      <c r="D251" s="314">
        <f>+D217</f>
        <v>16458.578571639096</v>
      </c>
      <c r="E251" s="314">
        <f>+E217</f>
        <v>25214.353731537878</v>
      </c>
      <c r="F251" s="314">
        <f>+F217</f>
        <v>-36092.190356462874</v>
      </c>
      <c r="G251" s="314">
        <f>+G217</f>
        <v>-4997.9782953348622</v>
      </c>
      <c r="H251" s="314"/>
      <c r="I251" s="647">
        <f>+IF((E251)=0,,(F251-E251)/E251)</f>
        <v>-2.4314144530826938</v>
      </c>
      <c r="J251" s="648">
        <f>+IF((F251)=0,,(G251-F251)/F251)</f>
        <v>-0.86152189030445214</v>
      </c>
      <c r="L251" s="17">
        <f t="shared" si="23"/>
        <v>1</v>
      </c>
    </row>
    <row r="252" spans="1:12" hidden="1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136744.14000000001</v>
      </c>
      <c r="D253" s="664">
        <v>215874</v>
      </c>
      <c r="E253" s="664">
        <f>+E28</f>
        <v>215776.77</v>
      </c>
      <c r="F253" s="664"/>
      <c r="G253" s="669">
        <f>+G28</f>
        <v>198208.88499999998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991775.92801673897</v>
      </c>
      <c r="D254" s="664">
        <f>+D222</f>
        <v>946235.23117697123</v>
      </c>
      <c r="E254" s="664">
        <f>+E222</f>
        <v>0</v>
      </c>
      <c r="F254" s="664">
        <f>+F222</f>
        <v>956878.42511428532</v>
      </c>
      <c r="G254" s="664">
        <f>+G222</f>
        <v>914415.44097223599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3000</v>
      </c>
      <c r="E255" s="664"/>
      <c r="F255" s="664"/>
      <c r="G255" s="669">
        <v>6000</v>
      </c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33" type="noConversion"/>
  <pageMargins left="1.05" right="0" top="0.15748031496062992" bottom="0.31" header="3.937007874015748E-2" footer="0.19685039370078741"/>
  <pageSetup paperSize="9" scale="68" fitToHeight="2" orientation="landscape" horizont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 filterMode="1" enableFormatConditionsCalculation="0">
    <tabColor rgb="FFFFFF00"/>
    <pageSetUpPr fitToPage="1"/>
  </sheetPr>
  <dimension ref="A1:L256"/>
  <sheetViews>
    <sheetView workbookViewId="0">
      <pane xSplit="2" ySplit="6" topLeftCell="C129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435" customWidth="1"/>
    <col min="4" max="4" width="10.85546875" style="30" customWidth="1"/>
    <col min="5" max="5" width="11" style="30" customWidth="1"/>
    <col min="6" max="7" width="13.7109375" style="581" customWidth="1"/>
    <col min="8" max="8" width="8.42578125" style="581" customWidth="1"/>
    <col min="9" max="9" width="9.5703125" style="801" customWidth="1"/>
    <col min="10" max="10" width="9.140625" style="801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802" t="s">
        <v>299</v>
      </c>
    </row>
    <row r="2" spans="1:12" hidden="1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212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147367.0113925022</v>
      </c>
      <c r="F5" s="215">
        <f>F217</f>
        <v>111568.39239692139</v>
      </c>
      <c r="G5" s="215">
        <f>G217</f>
        <v>103837.48404453442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807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 s="30" customFormat="1" ht="18.75" customHeight="1">
      <c r="A8" s="1099" t="s">
        <v>221</v>
      </c>
      <c r="B8" s="1013"/>
      <c r="C8" s="805">
        <f>-IF(ISNA(VLOOKUP("ROA707130000",Balance!C:G,5,FALSE))=TRUE,0,VLOOKUP("ROA707130000",Balance!C:G,5,FALSE))</f>
        <v>1054447.67</v>
      </c>
      <c r="D8" s="619">
        <f>+[2]Roanne!$H8</f>
        <v>1609761</v>
      </c>
      <c r="E8" s="805">
        <f>-IF(ISNA(VLOOKUP("ROA707130000",Balanceanp!C:G,5,FALSE))=TRUE,0,VLOOKUP("ROA707130000",Balanceanp!C:G,5,FALSE))</f>
        <v>1017768.8500000001</v>
      </c>
      <c r="F8" s="593">
        <f>+CA!G126</f>
        <v>1376897.1257966673</v>
      </c>
      <c r="G8" s="1012">
        <v>1420317</v>
      </c>
      <c r="H8" s="1012"/>
      <c r="I8" s="1013">
        <f>+IF((E8)=0,,(F8-E8)/E8)</f>
        <v>0.35285838802854613</v>
      </c>
      <c r="J8" s="1014">
        <f>+IF((F8)=0,,(G8-F8)/F8)</f>
        <v>3.1534581189724055E-2</v>
      </c>
      <c r="L8" s="435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-IF(ISNA(VLOOKUP("ROA707131000",Balance!C:G,5,FALSE))=TRUE,0,VLOOKUP("ROA707131000",Balance!C:G,5,FALSE))</f>
        <v>0</v>
      </c>
      <c r="D9" s="117">
        <f>+[2]Roanne!$H9</f>
        <v>0</v>
      </c>
      <c r="E9" s="160">
        <f>-IF(ISNA(VLOOKUP("ROA707131000",Balanceanp!C:G,5,FALSE))=TRUE,0,VLOOKUP("ROA707131000",Balanceanp!C:G,5,FALSE))</f>
        <v>492295.45</v>
      </c>
      <c r="F9" s="368">
        <f>+C9</f>
        <v>0</v>
      </c>
      <c r="G9" s="395"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-IF(ISNA(VLOOKUP("ROA707300000",Balance!C:G,5,FALSE))=TRUE,0,VLOOKUP("ROA707300000",Balance!C:G,5,FALSE))</f>
        <v>0</v>
      </c>
      <c r="D10" s="117">
        <f>+[2]Roanne!$H10</f>
        <v>0</v>
      </c>
      <c r="E10" s="160">
        <f>-IF(ISNA(VLOOKUP("ROA707300000",Balanceanp!C:G,5,FALSE))=TRUE,0,VLOOKUP("ROA707300000",Balanceanp!C:G,5,FALSE))</f>
        <v>0</v>
      </c>
      <c r="F10" s="368">
        <f t="shared" ref="F10:F19" si="2">+C10</f>
        <v>0</v>
      </c>
      <c r="G10" s="395">
        <v>0</v>
      </c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-IF(ISNA(VLOOKUP("ROA707110000",Balance!C:G,5,FALSE))=TRUE,0,VLOOKUP("ROA707110000",Balance!C:G,5,FALSE))</f>
        <v>875</v>
      </c>
      <c r="D11" s="117">
        <f>+[2]Roanne!$H11</f>
        <v>0</v>
      </c>
      <c r="E11" s="160">
        <f>-IF(ISNA(VLOOKUP("ROA707110000",Balanceanp!C:G,5,FALSE))=TRUE,0,VLOOKUP("ROA707110000",Balanceanp!C:G,5,FALSE))</f>
        <v>-180</v>
      </c>
      <c r="F11" s="368">
        <f t="shared" si="2"/>
        <v>875</v>
      </c>
      <c r="G11" s="395">
        <v>0</v>
      </c>
      <c r="H11" s="401"/>
      <c r="I11" s="149">
        <f t="shared" si="1"/>
        <v>-5.8611111111111107</v>
      </c>
      <c r="J11" s="271">
        <f t="shared" si="1"/>
        <v>-1</v>
      </c>
      <c r="L11" s="17">
        <v>0</v>
      </c>
    </row>
    <row r="12" spans="1:12" hidden="1">
      <c r="A12" s="5" t="s">
        <v>46</v>
      </c>
      <c r="B12" s="92"/>
      <c r="C12" s="160">
        <f>-IF(ISNA(VLOOKUP("ROA707120000",Balance!C:G,5,FALSE))=TRUE,0,VLOOKUP("ROA707120000",Balance!C:G,5,FALSE))</f>
        <v>0</v>
      </c>
      <c r="D12" s="117">
        <f>+[2]Roanne!$H12</f>
        <v>0</v>
      </c>
      <c r="E12" s="160">
        <f>-IF(ISNA(VLOOKUP("ROA707120000",Balanceanp!C:G,5,FALSE))=TRUE,0,VLOOKUP("ROA707120000",Balanceanp!C:G,5,FALSE))</f>
        <v>0</v>
      </c>
      <c r="F12" s="368">
        <f t="shared" si="2"/>
        <v>0</v>
      </c>
      <c r="G12" s="395">
        <v>0</v>
      </c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-IF(ISNA(VLOOKUP("ROA707230000",Balance!C:G,5,FALSE))=TRUE,0,VLOOKUP("ROA707230000",Balance!C:G,5,FALSE))</f>
        <v>0</v>
      </c>
      <c r="D13" s="117">
        <f>+[2]Roanne!$H13</f>
        <v>0</v>
      </c>
      <c r="E13" s="160">
        <f>-IF(ISNA(VLOOKUP("ROA707230000",Balanceanp!C:G,5,FALSE))=TRUE,0,VLOOKUP("ROA707230000",Balanceanp!C:G,5,FALSE))</f>
        <v>0</v>
      </c>
      <c r="F13" s="368">
        <f t="shared" si="2"/>
        <v>0</v>
      </c>
      <c r="G13" s="395">
        <v>0</v>
      </c>
      <c r="H13" s="401"/>
      <c r="I13" s="149">
        <f t="shared" si="1"/>
        <v>0</v>
      </c>
      <c r="J13" s="271">
        <f t="shared" si="1"/>
        <v>0</v>
      </c>
      <c r="L13" s="17">
        <v>0</v>
      </c>
    </row>
    <row r="14" spans="1:12" hidden="1">
      <c r="A14" s="5" t="s">
        <v>269</v>
      </c>
      <c r="B14" s="92"/>
      <c r="C14" s="160">
        <f>-IF(ISNA(VLOOKUP("ROA708820000",Balance!C:G,5,FALSE))=TRUE,0,VLOOKUP("ROA708820000",Balance!C:G,5,FALSE))</f>
        <v>378.19</v>
      </c>
      <c r="D14" s="117">
        <f>+[2]Roanne!$H14</f>
        <v>0</v>
      </c>
      <c r="E14" s="160">
        <f>-IF(ISNA(VLOOKUP("ROA708820000",Balanceanp!C:G,5,FALSE))=TRUE,0,VLOOKUP("ROA708820000",Balanceanp!C:G,5,FALSE))</f>
        <v>181.22000000000003</v>
      </c>
      <c r="F14" s="368">
        <f t="shared" si="2"/>
        <v>378.19</v>
      </c>
      <c r="G14" s="395">
        <v>0</v>
      </c>
      <c r="H14" s="401"/>
      <c r="I14" s="149">
        <f t="shared" si="1"/>
        <v>1.0869109369826726</v>
      </c>
      <c r="J14" s="271">
        <f t="shared" si="1"/>
        <v>-1</v>
      </c>
      <c r="L14" s="17">
        <v>0</v>
      </c>
    </row>
    <row r="15" spans="1:12" hidden="1">
      <c r="A15" s="5" t="s">
        <v>270</v>
      </c>
      <c r="B15" s="92"/>
      <c r="C15" s="160">
        <f>-IF(ISNA(VLOOKUP("ROA708500000",Balance!C:G,5,FALSE))=TRUE,0,VLOOKUP("ROA708500000",Balance!C:G,5,FALSE))</f>
        <v>3000</v>
      </c>
      <c r="D15" s="117">
        <f>+[2]Roanne!$H15</f>
        <v>0</v>
      </c>
      <c r="E15" s="160">
        <f>-IF(ISNA(VLOOKUP("ROA708500000",Balanceanp!C:G,5,FALSE))=TRUE,0,VLOOKUP("ROA708500000",Balanceanp!C:G,5,FALSE))</f>
        <v>4164</v>
      </c>
      <c r="F15" s="368">
        <f t="shared" si="2"/>
        <v>3000</v>
      </c>
      <c r="G15" s="395">
        <v>0</v>
      </c>
      <c r="H15" s="401"/>
      <c r="I15" s="149">
        <f t="shared" si="1"/>
        <v>-0.27953890489913547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IF(ISNA(VLOOKUP("ROA706000000",Balance!C:G,5,FALSE))=TRUE,0,-VLOOKUP("ROA706000000",Balance!C:G,5,FALSE))+IF(ISNA(VLOOKUP("ROA706010000",Balance!C:G,5,FALSE))=TRUE,0,-VLOOKUP("ROA706010000",Balance!C:G,5,FALSE))</f>
        <v>0</v>
      </c>
      <c r="D16" s="117">
        <f>+[2]Roanne!$H16</f>
        <v>0</v>
      </c>
      <c r="E16" s="160">
        <f>IF(ISNA(VLOOKUP("ROA706000000",Balanceanp!C:G,5,FALSE))=TRUE,0,-VLOOKUP("ROA706000000",Balanceanp!C:G,5,FALSE))+IF(ISNA(VLOOKUP("ROA706010000",Balanceanp!C:G,5,FALSE))=TRUE,0,-VLOOKUP("ROA706010000",Balanceanp!C:G,5,FALSE))</f>
        <v>0</v>
      </c>
      <c r="F16" s="368">
        <f t="shared" si="2"/>
        <v>0</v>
      </c>
      <c r="G16" s="395">
        <f>+F16*1.03</f>
        <v>0</v>
      </c>
      <c r="H16" s="401"/>
      <c r="I16" s="149">
        <f t="shared" si="1"/>
        <v>0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IF(ISNA(VLOOKUP("ROA707500000",Balance!C:G,5,FALSE))=TRUE,0,-VLOOKUP("ROA707500000",Balance!C:G,5,FALSE))</f>
        <v>0</v>
      </c>
      <c r="D17" s="117">
        <f>+[2]Roanne!$H17</f>
        <v>0</v>
      </c>
      <c r="E17" s="160">
        <f>IF(ISNA(VLOOKUP("ROA707500000",Balanceanp!C:G,5,FALSE))=TRUE,0,-VLOOKUP("ROA707500000",Balanceanp!C:G,5,FALSE))</f>
        <v>0</v>
      </c>
      <c r="F17" s="368">
        <f t="shared" si="2"/>
        <v>0</v>
      </c>
      <c r="G17" s="395">
        <f>+F17*1.03</f>
        <v>0</v>
      </c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IF(ISNA(VLOOKUP("ROA707510000",Balance!C:G,5,FALSE))=TRUE,0,-VLOOKUP("ROA707510000",Balance!C:G,5,FALSE))</f>
        <v>0</v>
      </c>
      <c r="D18" s="117">
        <f>+[2]Roanne!$H18</f>
        <v>0</v>
      </c>
      <c r="E18" s="160">
        <f>IF(ISNA(VLOOKUP("ROA707510000",Balanceanp!C:G,5,FALSE))=TRUE,0,-VLOOKUP("ROA707510000",Balanceanp!C:G,5,FALSE))</f>
        <v>0</v>
      </c>
      <c r="F18" s="368">
        <f t="shared" si="2"/>
        <v>0</v>
      </c>
      <c r="G18" s="395">
        <f>+F18*1.03</f>
        <v>0</v>
      </c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IF(ISNA(VLOOKUP("ROA708300000",Balance!C:G,5,FALSE))=TRUE,0,-VLOOKUP("ROA708300000",Balance!C:G,5,FALSE))</f>
        <v>0</v>
      </c>
      <c r="D19" s="117">
        <f>+[2]Roanne!$H19</f>
        <v>0</v>
      </c>
      <c r="E19" s="160">
        <f>IF(ISNA(VLOOKUP("ROA708300000",Balanceanp!C:G,5,FALSE))=TRUE,0,-VLOOKUP("ROA708300000",Balanceanp!C:G,5,FALSE))</f>
        <v>0</v>
      </c>
      <c r="F19" s="368">
        <f t="shared" si="2"/>
        <v>0</v>
      </c>
      <c r="G19" s="395">
        <f>+F19*1.03</f>
        <v>0</v>
      </c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803">
        <f>SUM(C7:C20)</f>
        <v>1058700.8599999999</v>
      </c>
      <c r="D21" s="597">
        <f>SUM(D7:D20)</f>
        <v>1609761</v>
      </c>
      <c r="E21" s="803">
        <f>SUM(E7:E20)</f>
        <v>1514229.52</v>
      </c>
      <c r="F21" s="597">
        <f>SUM(F7:F20)</f>
        <v>1381150.3157966672</v>
      </c>
      <c r="G21" s="597">
        <f>SUM(G7:G20)</f>
        <v>1420317</v>
      </c>
      <c r="H21" s="597"/>
      <c r="I21" s="596">
        <f>+IF((E21)=0,,(F21-E21)/E21)</f>
        <v>-8.7885754732434998E-2</v>
      </c>
      <c r="J21" s="1015">
        <f>+IF((F21)=0,,(G21-F21)/F21)</f>
        <v>2.8358017049535156E-2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IF(ISNA(VLOOKUP("ROA602650000",Balance!C:G,5,FALSE))=TRUE,0,VLOOKUP("ROA602650000",Balance!C:G,5,FALSE))</f>
        <v>0</v>
      </c>
      <c r="D23" s="115"/>
      <c r="E23" s="160">
        <f>IF(ISNA(VLOOKUP("ROA602650000",Balanceanp!C:G,5,FALSE))=TRUE,0,VLOOKUP("ROA602650000",Balanceanp!C:G,5,FALSE))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805">
        <f>IF(ISNA(VLOOKUP("roa607100000",Balance!C:G,5,FALSE))=TRUE,0,VLOOKUP("roa607100000",Balance!C:G,5,FALSE))</f>
        <v>306906.53999999998</v>
      </c>
      <c r="D24" s="601"/>
      <c r="E24" s="805">
        <f>IF(ISNA(VLOOKUP("roa607100000",Balanceanp!C:G,5,FALSE))=TRUE,0,VLOOKUP("roa607100000",Balanceanp!C:G,5,FALSE))</f>
        <v>457548.68</v>
      </c>
      <c r="F24" s="601"/>
      <c r="G24" s="1016">
        <f>H24*G30</f>
        <v>481203.39960000006</v>
      </c>
      <c r="H24" s="1017">
        <f>1-H28</f>
        <v>0.55000000000000004</v>
      </c>
      <c r="I24" s="1013"/>
      <c r="J24" s="1014"/>
      <c r="L24" s="17">
        <f t="shared" si="0"/>
        <v>1</v>
      </c>
    </row>
    <row r="25" spans="1:12" hidden="1">
      <c r="A25" s="5" t="s">
        <v>94</v>
      </c>
      <c r="B25" s="92"/>
      <c r="C25" s="160">
        <f>IF(ISNA(VLOOKUP("roa607110000",Balance!C:G,5,FALSE))=TRUE,0,VLOOKUP("roa607110000",Balance!C:G,5,FALSE))+IF(ISNA(VLOOKUP("roa607120000",Balance!C:G,5,FALSE))=TRUE,0,VLOOKUP("roa607120000",Balance!C:G,5,FALSE))</f>
        <v>15876.300000000001</v>
      </c>
      <c r="D25" s="115"/>
      <c r="E25" s="160">
        <f>IF(ISNA(VLOOKUP("roa607110000",Balanceanp!C:G,5,FALSE))=TRUE,0,VLOOKUP("roa607110000",Balanceanp!C:G,5,FALSE))+IF(ISNA(VLOOKUP("roa607120000",Balanceanp!C:G,5,FALSE))=TRUE,0,VLOOKUP("roa607120000",Balanceanp!C:G,5,FALSE))</f>
        <v>30618.469999999998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IF(ISNA(VLOOKUP("roa607130000",Balance!C:G,5,FALSE))=TRUE,0,VLOOKUP("roa607130000",Balance!C:G,5,FALSE))</f>
        <v>23557.5</v>
      </c>
      <c r="D26" s="115"/>
      <c r="E26" s="160">
        <f>IF(ISNA(VLOOKUP("roa607130000",Balanceanp!C:G,5,FALSE))=TRUE,0,VLOOKUP("roa607130000",Balanceanp!C:G,5,FALSE))</f>
        <v>25367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IF(ISNA(VLOOKUP("roa607140000",Balance!C:G,5,FALSE))=TRUE,0,VLOOKUP("roa607140000",Balance!C:G,5,FALSE))</f>
        <v>-21212.92</v>
      </c>
      <c r="D27" s="115"/>
      <c r="E27" s="160">
        <f>IF(ISNA(VLOOKUP("roa607140000",Balanceanp!C:G,5,FALSE))=TRUE,0,VLOOKUP("roa607140000",Balanceanp!C:G,5,FALSE))</f>
        <v>-33950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805">
        <f>IF(ISNA(VLOOKUP("ROA607200000",Balance!C:G,5,FALSE))=TRUE,0,VLOOKUP("ROA607200000",Balance!C:G,5,FALSE))</f>
        <v>314381.23</v>
      </c>
      <c r="D28" s="1018">
        <f>C28/C30</f>
        <v>0.47645498208360171</v>
      </c>
      <c r="E28" s="805">
        <f>IF(ISNA(VLOOKUP("ROA607200000",Balanceanp!C:G,5,FALSE))=TRUE,0,VLOOKUP("ROA607200000",Balanceanp!C:G,5,FALSE))</f>
        <v>407683.27999999997</v>
      </c>
      <c r="F28" s="1018">
        <f>E28/E30</f>
        <v>0.44140370706404175</v>
      </c>
      <c r="G28" s="1016">
        <f>H28*G30</f>
        <v>393711.87239999999</v>
      </c>
      <c r="H28" s="1019">
        <v>0.45</v>
      </c>
      <c r="I28" s="1013"/>
      <c r="J28" s="1014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IF(ISNA(VLOOKUP("ROA607150000",Balance!C:G,5,FALSE))=TRUE,0,VLOOKUP("ROA607150000",Balance!C:G,5,FALSE))</f>
        <v>20325.419999999998</v>
      </c>
      <c r="D29" s="115"/>
      <c r="E29" s="357">
        <f>IF(ISNA(VLOOKUP("ROA607150000",Balanceanp!C:G,5,FALSE))=TRUE,0,VLOOKUP("ROA607150000",Balanceanp!C:G,5,FALSE))</f>
        <v>36338.949999999997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804">
        <f>SUM(C23:C29)</f>
        <v>659834.06999999995</v>
      </c>
      <c r="D30" s="1020"/>
      <c r="E30" s="804">
        <f>SUM(E23:E29)</f>
        <v>923606.37999999989</v>
      </c>
      <c r="F30" s="607">
        <f>1-(E30/E21)</f>
        <v>0.39004862354024117</v>
      </c>
      <c r="G30" s="1020">
        <f>G21*(1-H30)</f>
        <v>874915.272</v>
      </c>
      <c r="H30" s="812">
        <v>0.38400000000000001</v>
      </c>
      <c r="I30" s="606"/>
      <c r="J30" s="1021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1022">
        <f>+C21-C30-C38</f>
        <v>415173.0199999999</v>
      </c>
      <c r="D32" s="611"/>
      <c r="E32" s="1022">
        <f>+E21-E30-E38</f>
        <v>588713.50880000019</v>
      </c>
      <c r="F32" s="611"/>
      <c r="G32" s="611"/>
      <c r="H32" s="611"/>
      <c r="I32" s="606"/>
      <c r="J32" s="812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1023">
        <f>+C32/C21</f>
        <v>0.39215328492318402</v>
      </c>
      <c r="D33" s="611"/>
      <c r="E33" s="1023">
        <f>+E32/E21</f>
        <v>0.38878749953309599</v>
      </c>
      <c r="F33" s="611"/>
      <c r="G33" s="611"/>
      <c r="H33" s="611"/>
      <c r="I33" s="606"/>
      <c r="J33" s="812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805">
        <f>IF(ISNA(VLOOKUP("ROA607400000",Balance!C:G,5,FALSE))=TRUE,0,VLOOKUP("ROA607400000",Balance!C:G,5,FALSE))</f>
        <v>8201.89</v>
      </c>
      <c r="D35" s="601"/>
      <c r="E35" s="805">
        <f>IF(ISNA(VLOOKUP("ROA607400000",Balanceanp!C:G,5,FALSE))=TRUE,0,VLOOKUP("ROA607400000",Balanceanp!C:G,5,FALSE))</f>
        <v>7436.43</v>
      </c>
      <c r="F35" s="612">
        <f>E35/E30</f>
        <v>8.0515143258321816E-3</v>
      </c>
      <c r="G35" s="1024">
        <f>F35*G30</f>
        <v>7044.3928463973598</v>
      </c>
      <c r="H35" s="601"/>
      <c r="I35" s="1013" t="str">
        <f t="shared" si="3"/>
        <v/>
      </c>
      <c r="J35" s="1014"/>
      <c r="L35" s="17">
        <f t="shared" si="0"/>
        <v>1</v>
      </c>
    </row>
    <row r="36" spans="1:12">
      <c r="A36" s="590" t="s">
        <v>97</v>
      </c>
      <c r="B36" s="591"/>
      <c r="C36" s="805">
        <f>IF(ISNA(VLOOKUP("ROA608000000",Balance!C:G,5,FALSE))=TRUE,0,VLOOKUP("ROA608000000",Balance!C:G,5,FALSE))</f>
        <v>2921.47</v>
      </c>
      <c r="D36" s="601"/>
      <c r="E36" s="805">
        <f>IF(ISNA(VLOOKUP("ROA608000000",Balanceanp!C:G,5,FALSE))=TRUE,0,VLOOKUP("ROA608000000",Balanceanp!C:G,5,FALSE))</f>
        <v>3290.67</v>
      </c>
      <c r="F36" s="612">
        <f>E36/E30</f>
        <v>3.5628489270505045E-3</v>
      </c>
      <c r="G36" s="1024">
        <f>F36*G30</f>
        <v>3117.1909381053001</v>
      </c>
      <c r="H36" s="601"/>
      <c r="I36" s="1013" t="str">
        <f t="shared" si="3"/>
        <v/>
      </c>
      <c r="J36" s="1014"/>
      <c r="L36" s="17">
        <f t="shared" si="0"/>
        <v>1</v>
      </c>
    </row>
    <row r="37" spans="1:12" hidden="1">
      <c r="A37" s="5" t="s">
        <v>98</v>
      </c>
      <c r="B37" s="92"/>
      <c r="C37" s="160">
        <f>IF(ISNA(VLOOKUP("ROA608100000",Balance!C:G,5,FALSE))=TRUE,0,VLOOKUP("ROA608100000",Balance!C:G,5,FALSE))</f>
        <v>0</v>
      </c>
      <c r="D37" s="115"/>
      <c r="E37" s="160">
        <f>IF(ISNA(VLOOKUP("ROA608100000",Balanceanp!C:G,5,FALSE))=TRUE,0,VLOOKUP("ROA608100000",Balanceanp!C:G,5,FALSE))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-16306.23000000001</v>
      </c>
      <c r="D38" s="115"/>
      <c r="E38" s="160">
        <f>+E56-E57</f>
        <v>1909.6312000000034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IF(ISNA(VLOOKUP("ROA681730000",Balance!C:G,5,FALSE))=TRUE,0,VLOOKUP("ROA681730000",Balance!C:G,5,FALSE))</f>
        <v>0</v>
      </c>
      <c r="D39" s="115"/>
      <c r="E39" s="160">
        <f>IF(ISNA(VLOOKUP("ROA681730000",Balanceanp!C:G,5,FALSE))=TRUE,0,VLOOKUP("ROA681730000",Balanceanp!C:G,5,FALSE))</f>
        <v>9934.17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IF(ISNA(VLOOKUP("ROA781730000",Balance!C:G,5,FALSE))=TRUE,0,VLOOKUP("ROA781730000",Balance!C:G,5,FALSE))</f>
        <v>-4614.6899999999996</v>
      </c>
      <c r="D40" s="115"/>
      <c r="E40" s="160">
        <f>IF(ISNA(VLOOKUP("ROA781730000",Balanceanp!C:G,5,FALSE))=TRUE,0,VLOOKUP("ROA781730000",Balanceanp!C:G,5,FALSE))</f>
        <v>-8658.32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90" t="s">
        <v>317</v>
      </c>
      <c r="B41" s="591"/>
      <c r="C41" s="805">
        <f>IF(ISNA(VLOOKUP("roa609110000",Balance!C:G,5,FALSE))=TRUE,0,VLOOKUP("roa609110000",Balance!C:G,5,FALSE))</f>
        <v>-1891.77</v>
      </c>
      <c r="D41" s="601"/>
      <c r="E41" s="805">
        <f>IF(ISNA(VLOOKUP("roa609110000",Balanceanp!C:G,5,FALSE))=TRUE,0,VLOOKUP("roa609110000",Balanceanp!C:G,5,FALSE))</f>
        <v>-10477.120000000001</v>
      </c>
      <c r="F41" s="614">
        <f>E41/SUM(E24:E25)</f>
        <v>-2.1462156968161422E-2</v>
      </c>
      <c r="G41" s="1025">
        <f>H41*(G24)</f>
        <v>-9624.0679920000021</v>
      </c>
      <c r="H41" s="1026">
        <v>-0.02</v>
      </c>
      <c r="I41" s="1013" t="str">
        <f t="shared" si="3"/>
        <v/>
      </c>
      <c r="J41" s="1014"/>
      <c r="L41" s="17">
        <f t="shared" si="0"/>
        <v>1</v>
      </c>
    </row>
    <row r="42" spans="1:12">
      <c r="A42" s="590" t="s">
        <v>318</v>
      </c>
      <c r="B42" s="591"/>
      <c r="C42" s="805">
        <f>IF(ISNA(VLOOKUP("roa609120000",Balance!C:G,5,FALSE))=TRUE,0,VLOOKUP("roa609120000",Balance!C:G,5,FALSE))</f>
        <v>-21928.13</v>
      </c>
      <c r="D42" s="601"/>
      <c r="E42" s="805">
        <f>IF(ISNA(VLOOKUP("roa609120000",Balanceanp!C:G,5,FALSE))=TRUE,0,VLOOKUP("roa609120000",Balanceanp!C:G,5,FALSE))</f>
        <v>-28541.74</v>
      </c>
      <c r="F42" s="614">
        <f>E42/E28</f>
        <v>-7.0009591759563949E-2</v>
      </c>
      <c r="G42" s="1025">
        <f>H42*G28</f>
        <v>-27559.831068000003</v>
      </c>
      <c r="H42" s="1026">
        <v>-7.0000000000000007E-2</v>
      </c>
      <c r="I42" s="1013" t="str">
        <f t="shared" si="3"/>
        <v/>
      </c>
      <c r="J42" s="1014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803">
        <f>+C30+SUM(C34:C43)</f>
        <v>626216.61</v>
      </c>
      <c r="D44" s="617"/>
      <c r="E44" s="803">
        <f>+E30+SUM(E34:E43)</f>
        <v>898500.10119999992</v>
      </c>
      <c r="F44" s="617"/>
      <c r="G44" s="1027">
        <f>SUM(G35:G43)+G30</f>
        <v>847892.95672450261</v>
      </c>
      <c r="H44" s="617"/>
      <c r="I44" s="596"/>
      <c r="J44" s="1015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432484.24999999988</v>
      </c>
      <c r="D46" s="120"/>
      <c r="E46" s="166">
        <f>+E21-E44</f>
        <v>615729.4188000001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0.40850467430431664</v>
      </c>
      <c r="D47" s="120"/>
      <c r="E47" s="196">
        <f>+E46/E21</f>
        <v>0.40662885689878775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1.8879893986295623E-2</v>
      </c>
      <c r="C49" s="805">
        <f>IF(ISNA(VLOOKUP("ROA709700000",Balance!C:G,5,FALSE))=TRUE,0,VLOOKUP("ROA709700000",Balance!C:G,5,FALSE))</f>
        <v>19988.160000000003</v>
      </c>
      <c r="D49" s="619">
        <f>+[2]Roanne!$H49</f>
        <v>26018</v>
      </c>
      <c r="E49" s="805">
        <f>IF(ISNA(VLOOKUP("ROA709700000",Balanceanp!C:G,5,FALSE))=TRUE,0,VLOOKUP("ROA709700000",Balanceanp!C:G,5,FALSE))</f>
        <v>20338.599999999999</v>
      </c>
      <c r="F49" s="619">
        <f>+C49+C49/9*(12-Clients!$I$14)</f>
        <v>26650.880000000005</v>
      </c>
      <c r="G49" s="631">
        <v>25019</v>
      </c>
      <c r="H49" s="612">
        <f>G49/G21</f>
        <v>1.7615081703591523E-2</v>
      </c>
      <c r="I49" s="1013">
        <f>+IF((E49)=0,,(F49-E49)/E49)</f>
        <v>0.31035961177268873</v>
      </c>
      <c r="J49" s="1014">
        <f>+IF((F49)=0,,(G49-F49)/F49)</f>
        <v>-6.1231749195523912E-2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803">
        <f>+C21-C49</f>
        <v>1038712.6999999998</v>
      </c>
      <c r="D51" s="597">
        <f>+D21-D49</f>
        <v>1583743</v>
      </c>
      <c r="E51" s="803">
        <f>+E21-E49</f>
        <v>1493890.92</v>
      </c>
      <c r="F51" s="597">
        <f>+F21-F49</f>
        <v>1354499.4357966674</v>
      </c>
      <c r="G51" s="597">
        <f>+G21-G49</f>
        <v>1395298</v>
      </c>
      <c r="H51" s="597"/>
      <c r="I51" s="596">
        <f>+IF((E51)=0,,(F51-E51)/E51)</f>
        <v>-9.3307672158106814E-2</v>
      </c>
      <c r="J51" s="1015">
        <f>+IF((F51)=0,,(G51-F51)/F51)</f>
        <v>3.0120768695142654E-2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412496.08999999985</v>
      </c>
      <c r="D53" s="122"/>
      <c r="E53" s="169">
        <f>+E51-E44</f>
        <v>595390.81880000001</v>
      </c>
      <c r="F53" s="140"/>
      <c r="G53" s="140">
        <f>+G51-G44</f>
        <v>547405.04327549739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0.39712240930528714</v>
      </c>
      <c r="D54" s="123"/>
      <c r="E54" s="197">
        <f>+E53/E51</f>
        <v>0.39855039670500175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+[2]Roanne!$C56</f>
        <v>173305.77</v>
      </c>
      <c r="D56" s="115"/>
      <c r="E56" s="160">
        <f>+[1]Roanne!$G56</f>
        <v>170636.53810000001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+[2]Roanne!$C57</f>
        <v>189612</v>
      </c>
      <c r="D57" s="115"/>
      <c r="E57" s="160">
        <f>+[1]Roanne!$G57</f>
        <v>168726.9069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660">
        <f>+[2]Roanne!$C60</f>
        <v>0.39439999999999997</v>
      </c>
      <c r="D60" s="622">
        <f>+[2]Roanne!$H60</f>
        <v>0.39439227197847126</v>
      </c>
      <c r="E60" s="660">
        <f>+[1]Roanne!$G$54</f>
        <v>0.39855039670500175</v>
      </c>
      <c r="F60" s="622">
        <f>+C60</f>
        <v>0.39439999999999997</v>
      </c>
      <c r="G60" s="622">
        <f>G62/G51</f>
        <v>0.39232124125132939</v>
      </c>
      <c r="H60" s="622"/>
      <c r="I60" s="660"/>
      <c r="J60" s="622"/>
      <c r="L60" s="17">
        <f t="shared" si="0"/>
        <v>1</v>
      </c>
    </row>
    <row r="61" spans="1:12" hidden="1">
      <c r="A61" s="5" t="s">
        <v>65</v>
      </c>
      <c r="B61" s="92"/>
      <c r="C61" s="92">
        <f>+[2]Roanne!$C61</f>
        <v>0.378</v>
      </c>
      <c r="D61" s="117"/>
      <c r="E61" s="92">
        <f>+[1]Roanne!$G60</f>
        <v>0.38</v>
      </c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661">
        <f>+C51*C60</f>
        <v>409668.28887999989</v>
      </c>
      <c r="D62" s="624">
        <f>D51*D60</f>
        <v>624616</v>
      </c>
      <c r="E62" s="661">
        <f>+E51*E60</f>
        <v>595390.81880000001</v>
      </c>
      <c r="F62" s="624">
        <f>+F51*F60</f>
        <v>534214.57747820555</v>
      </c>
      <c r="G62" s="624">
        <f>G51-G44</f>
        <v>547405.04327549739</v>
      </c>
      <c r="H62" s="624"/>
      <c r="I62" s="660">
        <f>+IF((E62)=0,,(F62-E62)/E62)</f>
        <v>-0.10274972235059675</v>
      </c>
      <c r="J62" s="622">
        <f>+IF((F62)=0,,(G62-F62)/F62)</f>
        <v>2.4691325084310281E-2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805">
        <f>IF(ISNA(VLOOKUP("ROA613520000",Balance!C:G,5,FALSE))=TRUE,0,VLOOKUP("ROA613520000",Balance!C:G,5,FALSE))</f>
        <v>4850.6400000000003</v>
      </c>
      <c r="D64" s="619">
        <f>+[2]Roanne!$H64</f>
        <v>6807.0202250000011</v>
      </c>
      <c r="E64" s="805">
        <f>IF(ISNA(VLOOKUP("ROA613520000",Balanceanp!C:G,5,FALSE))=TRUE,0,VLOOKUP("ROA613520000",Balanceanp!C:G,5,FALSE))</f>
        <v>6467.52</v>
      </c>
      <c r="F64" s="593">
        <f>+C64+C64/9*(12-Clients!$I$14)</f>
        <v>6467.52</v>
      </c>
      <c r="G64" s="1012">
        <f>+F64*1.03</f>
        <v>6661.5456000000004</v>
      </c>
      <c r="H64" s="1012"/>
      <c r="I64" s="1013">
        <f t="shared" ref="I64:J68" si="4">+IF((E64)=0,,(F64-E64)/E64)</f>
        <v>0</v>
      </c>
      <c r="J64" s="1014">
        <f t="shared" si="4"/>
        <v>2.9999999999999988E-2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+[2]Roanne!$H65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0"/>
        <v>0</v>
      </c>
    </row>
    <row r="66" spans="1:12">
      <c r="A66" s="590" t="s">
        <v>110</v>
      </c>
      <c r="B66" s="591"/>
      <c r="C66" s="805">
        <f>IF(ISNA(VLOOKUP("ROA616120000",Balance!C:G,5,FALSE))=TRUE,0,VLOOKUP("ROA616120000",Balance!C:G,5,FALSE))</f>
        <v>1528.38</v>
      </c>
      <c r="D66" s="619">
        <f>+[2]Roanne!$H66</f>
        <v>1897.8059000000001</v>
      </c>
      <c r="E66" s="805">
        <f>IF(ISNA(VLOOKUP("ROA616120000",Balanceanp!C:G,5,FALSE))=TRUE,0,VLOOKUP("ROA616120000",Balanceanp!C:G,5,FALSE))</f>
        <v>2276.16</v>
      </c>
      <c r="F66" s="593">
        <f>+C66+C66/9*(12-Clients!$I$14)</f>
        <v>2037.8400000000001</v>
      </c>
      <c r="G66" s="1012">
        <f>+F66*1.03</f>
        <v>2098.9752000000003</v>
      </c>
      <c r="H66" s="1012"/>
      <c r="I66" s="1013">
        <f t="shared" si="4"/>
        <v>-0.10470265710670591</v>
      </c>
      <c r="J66" s="1014">
        <f t="shared" si="4"/>
        <v>3.0000000000000079E-2</v>
      </c>
      <c r="L66" s="17">
        <f t="shared" si="0"/>
        <v>1</v>
      </c>
    </row>
    <row r="67" spans="1:12">
      <c r="A67" s="590" t="s">
        <v>107</v>
      </c>
      <c r="B67" s="591"/>
      <c r="C67" s="805">
        <f>IF(ISNA(VLOOKUP("ROA615520000",Balance!C:G,5,FALSE))=TRUE,0,VLOOKUP("ROA615520000",Balance!C:G,5,FALSE))</f>
        <v>2598.17</v>
      </c>
      <c r="D67" s="619">
        <f>+[2]Roanne!$H67</f>
        <v>3084.4096750000003</v>
      </c>
      <c r="E67" s="805">
        <f>IF(ISNA(VLOOKUP("ROA615520000",Balanceanp!C:G,5,FALSE))=TRUE,0,VLOOKUP("ROA615520000",Balanceanp!C:G,5,FALSE))</f>
        <v>7585.74</v>
      </c>
      <c r="F67" s="593">
        <f>+C67+C67/9*(12-Clients!$I$14)</f>
        <v>3464.2266666666665</v>
      </c>
      <c r="G67" s="1012">
        <f>+F67*1.03</f>
        <v>3568.1534666666666</v>
      </c>
      <c r="H67" s="1012"/>
      <c r="I67" s="1013">
        <f t="shared" si="4"/>
        <v>-0.54332383305166454</v>
      </c>
      <c r="J67" s="1014">
        <f t="shared" si="4"/>
        <v>3.0000000000000054E-2</v>
      </c>
      <c r="L67" s="17">
        <f t="shared" si="0"/>
        <v>1</v>
      </c>
    </row>
    <row r="68" spans="1:12">
      <c r="A68" s="590" t="s">
        <v>125</v>
      </c>
      <c r="B68" s="591"/>
      <c r="C68" s="805">
        <f>IF(ISNA(VLOOKUP("ROA606130000",Balance!C:G,5,FALSE))=TRUE,0,VLOOKUP("ROA606130000",Balance!C:G,5,FALSE))</f>
        <v>2990.48</v>
      </c>
      <c r="D68" s="619">
        <f>+[2]Roanne!$H68</f>
        <v>5056.5146250000007</v>
      </c>
      <c r="E68" s="805">
        <f>IF(ISNA(VLOOKUP("ROA606130000",Balanceanp!C:G,5,FALSE))=TRUE,0,VLOOKUP("ROA606130000",Balanceanp!C:G,5,FALSE))</f>
        <v>5119.51</v>
      </c>
      <c r="F68" s="593">
        <f>+C68+C68/9*(12-Clients!$I$14)</f>
        <v>3987.3066666666668</v>
      </c>
      <c r="G68" s="593">
        <f>+F68*1.03</f>
        <v>4106.9258666666674</v>
      </c>
      <c r="H68" s="593"/>
      <c r="I68" s="1013">
        <f t="shared" si="4"/>
        <v>-0.2211546287307444</v>
      </c>
      <c r="J68" s="1014">
        <f t="shared" si="4"/>
        <v>3.0000000000000134E-2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1028">
        <f>SUM(C64:C69)</f>
        <v>11967.67</v>
      </c>
      <c r="D70" s="1029">
        <f>SUM(D64:D69)</f>
        <v>16845.750425000002</v>
      </c>
      <c r="E70" s="805">
        <f>SUM(E64:E69)</f>
        <v>21448.93</v>
      </c>
      <c r="F70" s="629">
        <f>SUM(F64:F69)</f>
        <v>15956.893333333333</v>
      </c>
      <c r="G70" s="813">
        <f>SUM(G64:G69)</f>
        <v>16435.600133333333</v>
      </c>
      <c r="H70" s="813"/>
      <c r="I70" s="1013">
        <f>+IF((E70)=0,,(F70-E70)/E70)</f>
        <v>-0.25605177818505009</v>
      </c>
      <c r="J70" s="1014">
        <f>+IF((F70)=0,,(G70-F70)/F70)</f>
        <v>2.9999999999999995E-2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805">
        <f>IF(ISNA(VLOOKUP("roa602220000",Balance!C:G,5,FALSE))=TRUE,0,VLOOKUP("roa602220000",Balance!C:G,5,FALSE))</f>
        <v>0</v>
      </c>
      <c r="D72" s="619">
        <f>+[2]Roanne!$H72</f>
        <v>5.0659884362499996</v>
      </c>
      <c r="E72" s="805">
        <f>IF(ISNA(VLOOKUP("roa602220000",Balanceanp!C:G,5,FALSE))=TRUE,0,VLOOKUP("roa602220000",Balanceanp!C:G,5,FALSE))</f>
        <v>4.1399999999999997</v>
      </c>
      <c r="F72" s="593">
        <f>+C72+C72/9*(12-Clients!$I$14)</f>
        <v>0</v>
      </c>
      <c r="G72" s="1030">
        <f>+F72*1.03</f>
        <v>0</v>
      </c>
      <c r="H72" s="1030"/>
      <c r="I72" s="1013">
        <f t="shared" ref="I72:J87" si="5">+IF((E72)=0,,(F72-E72)/E72)</f>
        <v>-1</v>
      </c>
      <c r="J72" s="1014">
        <f t="shared" si="5"/>
        <v>0</v>
      </c>
      <c r="L72" s="17">
        <f t="shared" ref="L72:L133" si="6">IF(SUM(C72:J72)&lt;&gt;0,1,0)</f>
        <v>1</v>
      </c>
    </row>
    <row r="73" spans="1:12">
      <c r="A73" s="590" t="s">
        <v>123</v>
      </c>
      <c r="B73" s="591"/>
      <c r="C73" s="805">
        <f>IF(ISNA(VLOOKUP("ROA606100000",Balance!C:G,5,FALSE))=TRUE,0,VLOOKUP("ROA606100000",Balance!C:G,5,FALSE))</f>
        <v>1149.46</v>
      </c>
      <c r="D73" s="619">
        <f>+[2]Roanne!$H73</f>
        <v>2234.442870541835</v>
      </c>
      <c r="E73" s="805">
        <f>IF(ISNA(VLOOKUP("ROA606100000",Balanceanp!C:G,5,FALSE))=TRUE,0,VLOOKUP("ROA606100000",Balanceanp!C:G,5,FALSE))</f>
        <v>2497.87</v>
      </c>
      <c r="F73" s="593">
        <f>+C73+C73/9*(12-Clients!$I$14)</f>
        <v>1532.6133333333335</v>
      </c>
      <c r="G73" s="1030">
        <f t="shared" ref="G73:G101" si="7">+F73*1.03</f>
        <v>1578.5917333333334</v>
      </c>
      <c r="H73" s="1030"/>
      <c r="I73" s="1013">
        <f t="shared" si="5"/>
        <v>-0.38643190665113336</v>
      </c>
      <c r="J73" s="1014">
        <f t="shared" si="5"/>
        <v>2.9999999999999975E-2</v>
      </c>
      <c r="L73" s="17">
        <f t="shared" si="6"/>
        <v>1</v>
      </c>
    </row>
    <row r="74" spans="1:12">
      <c r="A74" s="590" t="s">
        <v>124</v>
      </c>
      <c r="B74" s="591"/>
      <c r="C74" s="805">
        <f>IF(ISNA(VLOOKUP("ROA606110000",Balance!C:G,5,FALSE))=TRUE,0,VLOOKUP("ROA606110000",Balance!C:G,5,FALSE))</f>
        <v>3171.96</v>
      </c>
      <c r="D74" s="619">
        <f>+[2]Roanne!$H74</f>
        <v>4098.5841768828877</v>
      </c>
      <c r="E74" s="805">
        <f>IF(ISNA(VLOOKUP("ROA606110000",Balanceanp!C:G,5,FALSE))=TRUE,0,VLOOKUP("ROA606110000",Balanceanp!C:G,5,FALSE))</f>
        <v>2581.54</v>
      </c>
      <c r="F74" s="593">
        <f>+C74+C74/9*(12-Clients!$I$14)</f>
        <v>4229.28</v>
      </c>
      <c r="G74" s="1030">
        <f t="shared" si="7"/>
        <v>4356.1584000000003</v>
      </c>
      <c r="H74" s="1030"/>
      <c r="I74" s="1013">
        <f t="shared" si="5"/>
        <v>0.63827792712876807</v>
      </c>
      <c r="J74" s="1014">
        <f t="shared" si="5"/>
        <v>3.0000000000000124E-2</v>
      </c>
      <c r="L74" s="17">
        <f t="shared" si="6"/>
        <v>1</v>
      </c>
    </row>
    <row r="75" spans="1:12" hidden="1">
      <c r="A75" s="5" t="s">
        <v>360</v>
      </c>
      <c r="B75" s="92"/>
      <c r="C75" s="160">
        <f>IF(ISNA(VLOOKUP("roa606140000",Balance!C:G,5,FALSE))=TRUE,0,VLOOKUP("roa606140000",Balance!C:G,5,FALSE))</f>
        <v>0</v>
      </c>
      <c r="D75" s="117">
        <f>+[2]Roanne!$H75</f>
        <v>0</v>
      </c>
      <c r="E75" s="160">
        <f>IF(ISNA(VLOOKUP("roa606140000",Balanceanp!C:G,5,FALSE))=TRUE,0,VLOOKUP("roa606140000",Balanceanp!C:G,5,FALSE))</f>
        <v>0</v>
      </c>
      <c r="F75" s="368">
        <f>+C75+C75/9*(12-Clients!$I$14)</f>
        <v>0</v>
      </c>
      <c r="G75" s="396">
        <f t="shared" si="7"/>
        <v>0</v>
      </c>
      <c r="H75" s="409"/>
      <c r="I75" s="149">
        <f t="shared" si="5"/>
        <v>0</v>
      </c>
      <c r="J75" s="271">
        <f t="shared" si="5"/>
        <v>0</v>
      </c>
      <c r="L75" s="17">
        <f t="shared" si="6"/>
        <v>0</v>
      </c>
    </row>
    <row r="76" spans="1:12">
      <c r="A76" s="590" t="s">
        <v>126</v>
      </c>
      <c r="B76" s="591"/>
      <c r="C76" s="805">
        <f>IF(ISNA(VLOOKUP("ROA606310000",Balance!C:G,5,FALSE))=TRUE,0,VLOOKUP("ROA606310000",Balance!C:G,5,FALSE))</f>
        <v>49.82</v>
      </c>
      <c r="D76" s="619">
        <f>+[2]Roanne!$H76</f>
        <v>35.666408021004166</v>
      </c>
      <c r="E76" s="805">
        <f>IF(ISNA(VLOOKUP("ROA606310000",Balanceanp!C:G,5,FALSE))=TRUE,0,VLOOKUP("ROA606310000",Balanceanp!C:G,5,FALSE))</f>
        <v>9.68</v>
      </c>
      <c r="F76" s="593">
        <f>+C76+C76/9*(12-Clients!$I$14)</f>
        <v>66.426666666666677</v>
      </c>
      <c r="G76" s="1030">
        <f t="shared" si="7"/>
        <v>68.419466666666679</v>
      </c>
      <c r="H76" s="1030"/>
      <c r="I76" s="1013">
        <f t="shared" si="5"/>
        <v>5.8622589531680456</v>
      </c>
      <c r="J76" s="1014">
        <f t="shared" si="5"/>
        <v>3.0000000000000034E-2</v>
      </c>
      <c r="L76" s="17">
        <f t="shared" si="6"/>
        <v>1</v>
      </c>
    </row>
    <row r="77" spans="1:12">
      <c r="A77" s="590" t="s">
        <v>127</v>
      </c>
      <c r="B77" s="591"/>
      <c r="C77" s="805">
        <f>IF(ISNA(VLOOKUP("ROA606410000",Balance!C:G,5,FALSE))=TRUE,0,VLOOKUP("ROA606410000",Balance!C:G,5,FALSE))</f>
        <v>2139.0700000000002</v>
      </c>
      <c r="D77" s="619">
        <f>+[2]Roanne!$H77</f>
        <v>2564.1592486146501</v>
      </c>
      <c r="E77" s="805">
        <f>IF(ISNA(VLOOKUP("ROA606410000",Balanceanp!C:G,5,FALSE))=TRUE,0,VLOOKUP("ROA606410000",Balanceanp!C:G,5,FALSE))</f>
        <v>2941.26</v>
      </c>
      <c r="F77" s="593">
        <f>+C77+C77/9*(12-Clients!$I$14)</f>
        <v>2852.0933333333337</v>
      </c>
      <c r="G77" s="1030">
        <f t="shared" si="7"/>
        <v>2937.6561333333339</v>
      </c>
      <c r="H77" s="1030"/>
      <c r="I77" s="1013">
        <f t="shared" si="5"/>
        <v>-3.0315805697784796E-2</v>
      </c>
      <c r="J77" s="1014">
        <f t="shared" si="5"/>
        <v>3.0000000000000051E-2</v>
      </c>
      <c r="L77" s="17">
        <f t="shared" si="6"/>
        <v>1</v>
      </c>
    </row>
    <row r="78" spans="1:12">
      <c r="A78" s="590" t="s">
        <v>101</v>
      </c>
      <c r="B78" s="591"/>
      <c r="C78" s="805">
        <f>IF(ISNA(VLOOKUP("ROA611000000",Balance!C:G,5,FALSE))=TRUE,0,VLOOKUP("ROA611000000",Balance!C:G,5,FALSE))</f>
        <v>1355.81</v>
      </c>
      <c r="D78" s="619">
        <f>+[2]Roanne!$H78</f>
        <v>55.582262717731254</v>
      </c>
      <c r="E78" s="805">
        <f>IF(ISNA(VLOOKUP("ROA611000000",Balanceanp!C:G,5,FALSE))=TRUE,0,VLOOKUP("ROA611000000",Balanceanp!C:G,5,FALSE))</f>
        <v>105.42</v>
      </c>
      <c r="F78" s="593">
        <f>+C78+C78/9*(12-Clients!$I$14)</f>
        <v>1807.7466666666664</v>
      </c>
      <c r="G78" s="593">
        <f t="shared" si="7"/>
        <v>1861.9790666666665</v>
      </c>
      <c r="H78" s="593"/>
      <c r="I78" s="1013">
        <f t="shared" si="5"/>
        <v>16.148042749636371</v>
      </c>
      <c r="J78" s="1014">
        <f t="shared" si="5"/>
        <v>3.0000000000000058E-2</v>
      </c>
      <c r="L78" s="17">
        <f t="shared" si="6"/>
        <v>1</v>
      </c>
    </row>
    <row r="79" spans="1:12">
      <c r="A79" s="590" t="s">
        <v>102</v>
      </c>
      <c r="B79" s="591"/>
      <c r="C79" s="805">
        <f>IF(ISNA(VLOOKUP("ROA613200000",Balance!C:G,5,FALSE))=TRUE,0,VLOOKUP("ROA613200000",Balance!C:G,5,FALSE))</f>
        <v>26876.07</v>
      </c>
      <c r="D79" s="619">
        <f>+[2]Roanne!$H79</f>
        <v>35834.782916249998</v>
      </c>
      <c r="E79" s="805">
        <f>IF(ISNA(VLOOKUP("ROA613200000",Balanceanp!C:G,5,FALSE))=TRUE,0,VLOOKUP("ROA613200000",Balanceanp!C:G,5,FALSE))</f>
        <v>35349.79</v>
      </c>
      <c r="F79" s="631">
        <f>8791.75-217.8+8885.09*3</f>
        <v>35229.22</v>
      </c>
      <c r="G79" s="631">
        <f>8791.75/3*2+8791.75/3*10*1.05</f>
        <v>36632.291666666672</v>
      </c>
      <c r="H79" s="1149">
        <f>G79/G21</f>
        <v>2.5791630788525852E-2</v>
      </c>
      <c r="I79" s="1013">
        <f t="shared" si="5"/>
        <v>-3.4107699083926581E-3</v>
      </c>
      <c r="J79" s="1014">
        <f t="shared" si="5"/>
        <v>3.9826929652903763E-2</v>
      </c>
      <c r="L79" s="17">
        <f t="shared" si="6"/>
        <v>1</v>
      </c>
    </row>
    <row r="80" spans="1:12">
      <c r="A80" s="590" t="s">
        <v>325</v>
      </c>
      <c r="B80" s="591"/>
      <c r="C80" s="805">
        <f>IF(ISNA(VLOOKUP("roa614000000",Balance!C:G,5,FALSE))=TRUE,0,VLOOKUP("roa614000000",Balance!C:G,5,FALSE))</f>
        <v>1463.79</v>
      </c>
      <c r="D80" s="619">
        <f>+[2]Roanne!$H80</f>
        <v>2049.3191847737562</v>
      </c>
      <c r="E80" s="805">
        <f>IF(ISNA(VLOOKUP("roa614000000",Balanceanp!C:G,5,FALSE))=TRUE,0,VLOOKUP("roa614000000",Balanceanp!C:G,5,FALSE))</f>
        <v>2124.41</v>
      </c>
      <c r="F80" s="593">
        <f>+C80+C80/9*(12-Clients!$I$14)</f>
        <v>1951.7199999999998</v>
      </c>
      <c r="G80" s="1030">
        <f t="shared" si="7"/>
        <v>2010.2715999999998</v>
      </c>
      <c r="H80" s="1030"/>
      <c r="I80" s="1013">
        <f t="shared" si="5"/>
        <v>-8.1288451852514376E-2</v>
      </c>
      <c r="J80" s="1014">
        <f t="shared" si="5"/>
        <v>3.0000000000000006E-2</v>
      </c>
      <c r="L80" s="17">
        <f t="shared" si="6"/>
        <v>1</v>
      </c>
    </row>
    <row r="81" spans="1:12" hidden="1">
      <c r="A81" s="5" t="s">
        <v>103</v>
      </c>
      <c r="B81" s="92"/>
      <c r="C81" s="160">
        <f>IF(ISNA(VLOOKUP("ROA613510000",Balance!C:G,5,FALSE))=TRUE,0,VLOOKUP("ROA613510000",Balance!C:G,5,FALSE))</f>
        <v>0</v>
      </c>
      <c r="D81" s="117">
        <f>+[2]Roanne!$H81</f>
        <v>0</v>
      </c>
      <c r="E81" s="160">
        <f>IF(ISNA(VLOOKUP("ROA613510000",Balanceanp!C:G,5,FALSE))=TRUE,0,VLOOKUP("ROA613510000",Balanceanp!C:G,5,FALSE))</f>
        <v>0</v>
      </c>
      <c r="F81" s="368">
        <f>+C81+C81/9*(12-Clients!$I$14)</f>
        <v>0</v>
      </c>
      <c r="G81" s="396">
        <f t="shared" si="7"/>
        <v>0</v>
      </c>
      <c r="H81" s="409"/>
      <c r="I81" s="149">
        <f t="shared" si="5"/>
        <v>0</v>
      </c>
      <c r="J81" s="271">
        <f t="shared" si="5"/>
        <v>0</v>
      </c>
      <c r="L81" s="17">
        <f t="shared" si="6"/>
        <v>0</v>
      </c>
    </row>
    <row r="82" spans="1:12">
      <c r="A82" s="590" t="s">
        <v>105</v>
      </c>
      <c r="B82" s="591"/>
      <c r="C82" s="805">
        <f>IF(ISNA(VLOOKUP("ROA613530000",Balance!C:G,5,FALSE))=TRUE,0,VLOOKUP("ROA613530000",Balance!C:G,5,FALSE))</f>
        <v>135</v>
      </c>
      <c r="D82" s="619">
        <f>+[2]Roanne!$H82</f>
        <v>189.58670086875</v>
      </c>
      <c r="E82" s="805">
        <f>IF(ISNA(VLOOKUP("ROA613530000",Balanceanp!C:G,5,FALSE))=TRUE,0,VLOOKUP("ROA613530000",Balanceanp!C:G,5,FALSE))</f>
        <v>180</v>
      </c>
      <c r="F82" s="593">
        <f>+C82+C82/9*(12-Clients!$I$14)</f>
        <v>180</v>
      </c>
      <c r="G82" s="1030">
        <f t="shared" si="7"/>
        <v>185.4</v>
      </c>
      <c r="H82" s="1030"/>
      <c r="I82" s="1013">
        <f t="shared" si="5"/>
        <v>0</v>
      </c>
      <c r="J82" s="1014">
        <f t="shared" si="5"/>
        <v>3.000000000000003E-2</v>
      </c>
      <c r="L82" s="17">
        <f t="shared" si="6"/>
        <v>1</v>
      </c>
    </row>
    <row r="83" spans="1:12">
      <c r="A83" s="590" t="s">
        <v>287</v>
      </c>
      <c r="B83" s="591"/>
      <c r="C83" s="805">
        <f>IF(ISNA(VLOOKUP("roa613540000",Balance!C:G,5,FALSE))=TRUE,0,VLOOKUP("roa613540000",Balance!C:G,5,FALSE))</f>
        <v>318.89999999999998</v>
      </c>
      <c r="D83" s="619">
        <f>+[2]Roanne!$H83</f>
        <v>0.38700747916666678</v>
      </c>
      <c r="E83" s="805">
        <f>IF(ISNA(VLOOKUP("roa613540000",Balanceanp!C:G,5,FALSE))=TRUE,0,VLOOKUP("roa613540000",Balanceanp!C:G,5,FALSE))</f>
        <v>0</v>
      </c>
      <c r="F83" s="593">
        <f>+C83+C83/9*(12-Clients!$I$14)</f>
        <v>425.19999999999993</v>
      </c>
      <c r="G83" s="1030">
        <f t="shared" si="7"/>
        <v>437.95599999999996</v>
      </c>
      <c r="H83" s="1030"/>
      <c r="I83" s="1013">
        <f t="shared" si="5"/>
        <v>0</v>
      </c>
      <c r="J83" s="1014">
        <f t="shared" si="5"/>
        <v>3.0000000000000072E-2</v>
      </c>
      <c r="L83" s="17">
        <f t="shared" si="6"/>
        <v>1</v>
      </c>
    </row>
    <row r="84" spans="1:12">
      <c r="A84" s="590" t="s">
        <v>108</v>
      </c>
      <c r="B84" s="591"/>
      <c r="C84" s="805">
        <f>IF(ISNA(VLOOKUP("ROA615200000",Balance!C:G,5,FALSE))=TRUE,0,VLOOKUP("ROA615200000",Balance!C:G,5,FALSE))</f>
        <v>2112.8000000000002</v>
      </c>
      <c r="D84" s="619">
        <f>+[2]Roanne!$H84</f>
        <v>10482.317495066232</v>
      </c>
      <c r="E84" s="805">
        <f>IF(ISNA(VLOOKUP("ROA615200000",Balanceanp!C:G,5,FALSE))=TRUE,0,VLOOKUP("ROA615200000",Balanceanp!C:G,5,FALSE))</f>
        <v>9840.31</v>
      </c>
      <c r="F84" s="593">
        <f>+C84+C84/9*(12-Clients!$I$14)</f>
        <v>2817.0666666666671</v>
      </c>
      <c r="G84" s="1030">
        <f t="shared" si="7"/>
        <v>2901.5786666666672</v>
      </c>
      <c r="H84" s="1030"/>
      <c r="I84" s="1013">
        <f t="shared" si="5"/>
        <v>-0.71372175605578814</v>
      </c>
      <c r="J84" s="1014">
        <f t="shared" si="5"/>
        <v>3.0000000000000058E-2</v>
      </c>
      <c r="L84" s="17">
        <f t="shared" si="6"/>
        <v>1</v>
      </c>
    </row>
    <row r="85" spans="1:12">
      <c r="A85" s="590" t="s">
        <v>109</v>
      </c>
      <c r="B85" s="591"/>
      <c r="C85" s="805">
        <f>IF(ISNA(VLOOKUP("ROA615500000",Balance!C:G,5,FALSE))=TRUE,0,VLOOKUP("ROA615500000",Balance!C:G,5,FALSE))</f>
        <v>0</v>
      </c>
      <c r="D85" s="619">
        <f>+[2]Roanne!$H85</f>
        <v>684.96782071881262</v>
      </c>
      <c r="E85" s="805">
        <f>IF(ISNA(VLOOKUP("ROA615500000",Balanceanp!C:G,5,FALSE))=TRUE,0,VLOOKUP("ROA615500000",Balanceanp!C:G,5,FALSE))</f>
        <v>571.59</v>
      </c>
      <c r="F85" s="593">
        <f>+C85+C85/9*(12-Clients!$I$14)</f>
        <v>0</v>
      </c>
      <c r="G85" s="1030">
        <f t="shared" si="7"/>
        <v>0</v>
      </c>
      <c r="H85" s="1030"/>
      <c r="I85" s="1013">
        <f t="shared" si="5"/>
        <v>-1</v>
      </c>
      <c r="J85" s="1014">
        <f t="shared" si="5"/>
        <v>0</v>
      </c>
      <c r="L85" s="17">
        <f t="shared" si="6"/>
        <v>1</v>
      </c>
    </row>
    <row r="86" spans="1:12">
      <c r="A86" s="590" t="s">
        <v>106</v>
      </c>
      <c r="B86" s="591"/>
      <c r="C86" s="805">
        <f>IF(ISNA(VLOOKUP("ROA615510000",Balance!C:G,5,FALSE))=TRUE,0,VLOOKUP("ROA615510000",Balance!C:G,5,FALSE))</f>
        <v>1491.47</v>
      </c>
      <c r="D86" s="619">
        <f>+[2]Roanne!$H86</f>
        <v>2012.7388632997315</v>
      </c>
      <c r="E86" s="805">
        <f>IF(ISNA(VLOOKUP("ROA615510000",Balanceanp!C:G,5,FALSE))=TRUE,0,VLOOKUP("ROA615510000",Balanceanp!C:G,5,FALSE))</f>
        <v>2633.79</v>
      </c>
      <c r="F86" s="593">
        <f>+C86+C86/9*(12-Clients!$I$14)</f>
        <v>1988.6266666666668</v>
      </c>
      <c r="G86" s="1030">
        <f t="shared" si="7"/>
        <v>2048.2854666666667</v>
      </c>
      <c r="H86" s="1030"/>
      <c r="I86" s="1013">
        <f t="shared" si="5"/>
        <v>-0.24495625442170149</v>
      </c>
      <c r="J86" s="1014">
        <f t="shared" si="5"/>
        <v>2.9999999999999961E-2</v>
      </c>
      <c r="L86" s="17">
        <f t="shared" si="6"/>
        <v>1</v>
      </c>
    </row>
    <row r="87" spans="1:12" hidden="1">
      <c r="A87" s="5" t="s">
        <v>363</v>
      </c>
      <c r="B87" s="92"/>
      <c r="C87" s="160">
        <f>IF(ISNA(VLOOKUP("roa615530000",Balance!C:G,5,FALSE))=TRUE,0,VLOOKUP("roa615530000",Balance!C:G,5,FALSE))</f>
        <v>0</v>
      </c>
      <c r="D87" s="117">
        <f>+[2]Roanne!$H87</f>
        <v>0</v>
      </c>
      <c r="E87" s="160">
        <f>IF(ISNA(VLOOKUP("roa615530000",Balanceanp!C:G,5,FALSE))=TRUE,0,VLOOKUP("roa615530000",Balanceanp!C:G,5,FALSE))</f>
        <v>0</v>
      </c>
      <c r="F87" s="368">
        <f>+C87+C87/9*(12-Clients!$I$14)</f>
        <v>0</v>
      </c>
      <c r="G87" s="396">
        <f t="shared" si="7"/>
        <v>0</v>
      </c>
      <c r="H87" s="409"/>
      <c r="I87" s="149">
        <f t="shared" si="5"/>
        <v>0</v>
      </c>
      <c r="J87" s="271">
        <f t="shared" si="5"/>
        <v>0</v>
      </c>
      <c r="L87" s="17">
        <f t="shared" si="6"/>
        <v>0</v>
      </c>
    </row>
    <row r="88" spans="1:12">
      <c r="A88" s="590" t="s">
        <v>111</v>
      </c>
      <c r="B88" s="591"/>
      <c r="C88" s="805">
        <f>IF(ISNA(VLOOKUP("ROA616130000",Balance!C:G,5,FALSE))=TRUE,0,VLOOKUP("ROA616130000",Balance!C:G,5,FALSE))</f>
        <v>3437.75</v>
      </c>
      <c r="D88" s="619">
        <f>+[2]Roanne!$H88</f>
        <v>3720.07755</v>
      </c>
      <c r="E88" s="805">
        <f>IF(ISNA(VLOOKUP("ROA616130000",Balanceanp!C:G,5,FALSE))=TRUE,0,VLOOKUP("ROA616130000",Balanceanp!C:G,5,FALSE))</f>
        <v>4019.67</v>
      </c>
      <c r="F88" s="593">
        <f>+C88+C88/9*(12-Clients!$I$14)</f>
        <v>4583.666666666667</v>
      </c>
      <c r="G88" s="638">
        <f>+E88*1.05*1.05</f>
        <v>4431.6861750000007</v>
      </c>
      <c r="H88" s="638"/>
      <c r="I88" s="1013">
        <f t="shared" ref="I88:I101" si="8">+IF((E88)=0,,(F88-E88)/E88)</f>
        <v>0.14030919619438084</v>
      </c>
      <c r="J88" s="1014">
        <f t="shared" ref="J88:J101" si="9">+IF((F88)=0,,(G88-F88)/F88)</f>
        <v>-3.3156968584102879E-2</v>
      </c>
      <c r="L88" s="17">
        <f t="shared" si="6"/>
        <v>1</v>
      </c>
    </row>
    <row r="89" spans="1:12" hidden="1">
      <c r="A89" s="5" t="s">
        <v>315</v>
      </c>
      <c r="B89" s="92"/>
      <c r="C89" s="160"/>
      <c r="D89" s="117">
        <f>+[2]Roanne!$H89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590" t="s">
        <v>112</v>
      </c>
      <c r="B90" s="591"/>
      <c r="C90" s="805">
        <f>IF(ISNA(VLOOKUP("ROA618100000",Balance!C:G,5,FALSE))=TRUE,0,VLOOKUP("ROA618100000",Balance!C:G,5,FALSE))</f>
        <v>245.49</v>
      </c>
      <c r="D90" s="619">
        <f>+[2]Roanne!$H90</f>
        <v>424.67862803615418</v>
      </c>
      <c r="E90" s="805">
        <f>IF(ISNA(VLOOKUP("ROA618100000",Balanceanp!C:G,5,FALSE))=TRUE,0,VLOOKUP("ROA618100000",Balanceanp!C:G,5,FALSE))</f>
        <v>341.39</v>
      </c>
      <c r="F90" s="593">
        <f>+C90+C90/9*(12-Clients!$I$14)</f>
        <v>327.32</v>
      </c>
      <c r="G90" s="1030">
        <f t="shared" si="7"/>
        <v>337.13960000000003</v>
      </c>
      <c r="H90" s="1030"/>
      <c r="I90" s="1013">
        <f t="shared" si="8"/>
        <v>-4.1213860980110706E-2</v>
      </c>
      <c r="J90" s="1014">
        <f t="shared" si="9"/>
        <v>3.0000000000000113E-2</v>
      </c>
      <c r="L90" s="17">
        <f t="shared" si="6"/>
        <v>1</v>
      </c>
    </row>
    <row r="91" spans="1:12">
      <c r="A91" s="590" t="s">
        <v>113</v>
      </c>
      <c r="B91" s="591"/>
      <c r="C91" s="805">
        <f>IF(ISNA(VLOOKUP("ROA618500000",Balance!C:G,5,FALSE))=TRUE,0,VLOOKUP("ROA618500000",Balance!C:G,5,FALSE))</f>
        <v>1133.73</v>
      </c>
      <c r="D91" s="619">
        <f>+[2]Roanne!$H91</f>
        <v>942.69426597633333</v>
      </c>
      <c r="E91" s="805">
        <f>IF(ISNA(VLOOKUP("ROA618500000",Balanceanp!C:G,5,FALSE))=TRUE,0,VLOOKUP("ROA618500000",Balanceanp!C:G,5,FALSE))</f>
        <v>1003.21</v>
      </c>
      <c r="F91" s="593">
        <f>+C91+C91/9*(12-Clients!$I$14)</f>
        <v>1511.6399999999999</v>
      </c>
      <c r="G91" s="1030">
        <f t="shared" si="7"/>
        <v>1556.9892</v>
      </c>
      <c r="H91" s="1030"/>
      <c r="I91" s="1013">
        <f t="shared" si="8"/>
        <v>0.50680316185045982</v>
      </c>
      <c r="J91" s="1014">
        <f t="shared" si="9"/>
        <v>3.0000000000000075E-2</v>
      </c>
      <c r="L91" s="17">
        <f t="shared" si="6"/>
        <v>1</v>
      </c>
    </row>
    <row r="92" spans="1:12" hidden="1">
      <c r="A92" s="5" t="s">
        <v>309</v>
      </c>
      <c r="B92" s="92"/>
      <c r="C92" s="160">
        <f>IF(ISNA(VLOOKUP("ROA622200000",Balance!C:G,5,FALSE))=TRUE,0,VLOOKUP("ROA622200000",Balance!C:G,5,FALSE))</f>
        <v>0</v>
      </c>
      <c r="D92" s="117">
        <f>+[2]Roanne!$H92</f>
        <v>0</v>
      </c>
      <c r="E92" s="160">
        <f>IF(ISNA(VLOOKUP("ROA622200000",Balanceanp!C:G,5,FALSE))=TRUE,0,VLOOKUP("ROA622200000",Balanceanp!C:G,5,FALSE))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590" t="s">
        <v>115</v>
      </c>
      <c r="B93" s="591"/>
      <c r="C93" s="805">
        <f>IF(ISNA(VLOOKUP("ROA622600000",Balance!C:G,5,FALSE))=TRUE,0,VLOOKUP("ROA622600000",Balance!C:G,5,FALSE))</f>
        <v>0</v>
      </c>
      <c r="D93" s="619">
        <f>+[2]Roanne!$H93</f>
        <v>0.58051121875000011</v>
      </c>
      <c r="E93" s="805">
        <f>IF(ISNA(VLOOKUP("ROA622600000",Balanceanp!C:G,5,FALSE))=TRUE,0,VLOOKUP("ROA622600000",Balanceanp!C:G,5,FALSE))</f>
        <v>0</v>
      </c>
      <c r="F93" s="593">
        <f>+C93+C93/9*(12-Clients!$I$14)</f>
        <v>0</v>
      </c>
      <c r="G93" s="1030">
        <f t="shared" si="7"/>
        <v>0</v>
      </c>
      <c r="H93" s="1030"/>
      <c r="I93" s="1013">
        <f t="shared" si="8"/>
        <v>0</v>
      </c>
      <c r="J93" s="1014">
        <f t="shared" si="9"/>
        <v>0</v>
      </c>
      <c r="L93" s="17">
        <f t="shared" si="6"/>
        <v>1</v>
      </c>
    </row>
    <row r="94" spans="1:12">
      <c r="A94" s="590" t="s">
        <v>42</v>
      </c>
      <c r="B94" s="591"/>
      <c r="C94" s="805">
        <f>IF(ISNA(VLOOKUP("ROA622710000",Balance!C:G,5,FALSE))=TRUE,0,VLOOKUP("ROA622710000",Balance!C:G,5,FALSE))</f>
        <v>0</v>
      </c>
      <c r="D94" s="619">
        <f>+[2]Roanne!$H94</f>
        <v>42.776576581250005</v>
      </c>
      <c r="E94" s="805">
        <f>IF(ISNA(VLOOKUP("ROA622710000",Balanceanp!C:G,5,FALSE))=TRUE,0,VLOOKUP("ROA622710000",Balanceanp!C:G,5,FALSE))</f>
        <v>30</v>
      </c>
      <c r="F94" s="593">
        <f>+C94+C94/9*(12-Clients!$I$14)</f>
        <v>0</v>
      </c>
      <c r="G94" s="1030">
        <f t="shared" si="7"/>
        <v>0</v>
      </c>
      <c r="H94" s="1030"/>
      <c r="I94" s="1013">
        <f t="shared" si="8"/>
        <v>-1</v>
      </c>
      <c r="J94" s="1014">
        <f t="shared" si="9"/>
        <v>0</v>
      </c>
      <c r="L94" s="17">
        <f t="shared" si="6"/>
        <v>1</v>
      </c>
    </row>
    <row r="95" spans="1:12">
      <c r="A95" s="590" t="s">
        <v>117</v>
      </c>
      <c r="B95" s="591">
        <f>+C95/$C$21</f>
        <v>4.6687786765375831E-3</v>
      </c>
      <c r="C95" s="805">
        <f>IF(ISNA(VLOOKUP("ROA624200000",Balance!C:G,5,FALSE))=TRUE,0,VLOOKUP("ROA624200000",Balance!C:G,5,FALSE))</f>
        <v>4942.84</v>
      </c>
      <c r="D95" s="619">
        <f>+[2]Roanne!$H95</f>
        <v>5938.6223147643559</v>
      </c>
      <c r="E95" s="805">
        <f>IF(ISNA(VLOOKUP("ROA624200000",Balanceanp!C:G,5,FALSE))=TRUE,0,VLOOKUP("ROA624200000",Balanceanp!C:G,5,FALSE))</f>
        <v>6956.92</v>
      </c>
      <c r="F95" s="593">
        <f>+C95+C95/9*(12-Clients!$I$14)</f>
        <v>6590.4533333333329</v>
      </c>
      <c r="G95" s="1030">
        <f>B95*G21</f>
        <v>6631.1457235238304</v>
      </c>
      <c r="H95" s="1031">
        <f>+G95/$G$21</f>
        <v>4.6687786765375831E-3</v>
      </c>
      <c r="I95" s="1013">
        <f t="shared" si="8"/>
        <v>-5.2676567599838311E-2</v>
      </c>
      <c r="J95" s="1014">
        <f t="shared" si="9"/>
        <v>6.1744447813146088E-3</v>
      </c>
      <c r="L95" s="17">
        <f t="shared" si="6"/>
        <v>1</v>
      </c>
    </row>
    <row r="96" spans="1:12">
      <c r="A96" s="590" t="s">
        <v>118</v>
      </c>
      <c r="B96" s="591"/>
      <c r="C96" s="805">
        <f>IF(ISNA(VLOOKUP("ROA625100000",Balance!C:G,5,FALSE))=TRUE,0,VLOOKUP("ROA625100000",Balance!C:G,5,FALSE))</f>
        <v>4371.25</v>
      </c>
      <c r="D96" s="619">
        <f>+[2]Roanne!$H96</f>
        <v>6559.7635749999999</v>
      </c>
      <c r="E96" s="805">
        <f>IF(ISNA(VLOOKUP("ROA625100000",Balanceanp!C:G,5,FALSE))=TRUE,0,VLOOKUP("ROA625100000",Balanceanp!C:G,5,FALSE))</f>
        <v>6507.48</v>
      </c>
      <c r="F96" s="593">
        <f>+C96+C96/9*(12-Clients!$I$14)</f>
        <v>5828.3333333333339</v>
      </c>
      <c r="G96" s="1012">
        <f t="shared" si="7"/>
        <v>6003.1833333333343</v>
      </c>
      <c r="H96" s="1012"/>
      <c r="I96" s="1013">
        <f t="shared" si="8"/>
        <v>-0.10436400367986773</v>
      </c>
      <c r="J96" s="1014">
        <f t="shared" si="9"/>
        <v>3.0000000000000058E-2</v>
      </c>
      <c r="L96" s="17">
        <f t="shared" si="6"/>
        <v>1</v>
      </c>
    </row>
    <row r="97" spans="1:12">
      <c r="A97" s="590" t="s">
        <v>7</v>
      </c>
      <c r="B97" s="591"/>
      <c r="C97" s="805">
        <f>IF(ISNA(VLOOKUP("ROA625200000",Balance!C:G,5,FALSE))=TRUE,0,VLOOKUP("ROA625200000",Balance!C:G,5,FALSE))</f>
        <v>331.73</v>
      </c>
      <c r="D97" s="619">
        <f>+[2]Roanne!$H97</f>
        <v>734.67756692505623</v>
      </c>
      <c r="E97" s="805">
        <f>IF(ISNA(VLOOKUP("ROA625200000",Balanceanp!C:G,5,FALSE))=TRUE,0,VLOOKUP("ROA625200000",Balanceanp!C:G,5,FALSE))</f>
        <v>801.28</v>
      </c>
      <c r="F97" s="593">
        <f>+C97+C97/9*(12-Clients!$I$14)</f>
        <v>442.30666666666673</v>
      </c>
      <c r="G97" s="1012">
        <f t="shared" si="7"/>
        <v>455.57586666666674</v>
      </c>
      <c r="H97" s="1012"/>
      <c r="I97" s="1013">
        <f t="shared" si="8"/>
        <v>-0.44799986687965909</v>
      </c>
      <c r="J97" s="1014">
        <f t="shared" si="9"/>
        <v>3.0000000000000023E-2</v>
      </c>
      <c r="L97" s="17">
        <f t="shared" si="6"/>
        <v>1</v>
      </c>
    </row>
    <row r="98" spans="1:12" hidden="1">
      <c r="A98" s="5" t="s">
        <v>307</v>
      </c>
      <c r="B98" s="92"/>
      <c r="C98" s="160">
        <f>IF(ISNA(VLOOKUP("ROA625510000",Balance!C:G,5,FALSE))=TRUE,0,VLOOKUP("ROA625510000",Balance!C:G,5,FALSE))</f>
        <v>0</v>
      </c>
      <c r="D98" s="117">
        <f>+[2]Roanne!$H98</f>
        <v>0</v>
      </c>
      <c r="E98" s="160">
        <f>IF(ISNA(VLOOKUP("ROA625510000",Balanceanp!C:G,5,FALSE))=TRUE,0,VLOOKUP("ROA625510000",Balanceanp!C:G,5,FALSE))</f>
        <v>0</v>
      </c>
      <c r="F98" s="368">
        <f>+C98+C98/9*(12-Clients!$I$14)</f>
        <v>0</v>
      </c>
      <c r="G98" s="396">
        <f t="shared" si="7"/>
        <v>0</v>
      </c>
      <c r="H98" s="409"/>
      <c r="I98" s="149">
        <f t="shared" si="8"/>
        <v>0</v>
      </c>
      <c r="J98" s="271">
        <f t="shared" si="9"/>
        <v>0</v>
      </c>
      <c r="L98" s="17">
        <f t="shared" si="6"/>
        <v>0</v>
      </c>
    </row>
    <row r="99" spans="1:12">
      <c r="A99" s="590" t="s">
        <v>119</v>
      </c>
      <c r="B99" s="591"/>
      <c r="C99" s="805">
        <f>IF(ISNA(VLOOKUP("ROA626000000",Balance!C:G,5,FALSE))=TRUE,0,VLOOKUP("ROA626000000",Balance!C:G,5,FALSE))</f>
        <v>3367.73</v>
      </c>
      <c r="D99" s="619">
        <f>+[2]Roanne!$H99</f>
        <v>5667.7680251183256</v>
      </c>
      <c r="E99" s="805">
        <f>IF(ISNA(VLOOKUP("ROA626000000",Balanceanp!C:G,5,FALSE))=TRUE,0,VLOOKUP("ROA626000000",Balanceanp!C:G,5,FALSE))</f>
        <v>5582.29</v>
      </c>
      <c r="F99" s="593">
        <f>+C99+C99/9*(12-Clients!$I$14)</f>
        <v>4490.3066666666664</v>
      </c>
      <c r="G99" s="1030">
        <f>+F99</f>
        <v>4490.3066666666664</v>
      </c>
      <c r="H99" s="1030"/>
      <c r="I99" s="1013">
        <f t="shared" si="8"/>
        <v>-0.19561565832898928</v>
      </c>
      <c r="J99" s="1014">
        <f t="shared" si="9"/>
        <v>0</v>
      </c>
      <c r="L99" s="17">
        <f t="shared" si="6"/>
        <v>1</v>
      </c>
    </row>
    <row r="100" spans="1:12">
      <c r="A100" s="590" t="s">
        <v>120</v>
      </c>
      <c r="B100" s="591"/>
      <c r="C100" s="805">
        <f>IF(ISNA(VLOOKUP("ROA626100000",Balance!C:G,5,FALSE))=TRUE,0,VLOOKUP("ROA626100000",Balance!C:G,5,FALSE))</f>
        <v>2619.0100000000002</v>
      </c>
      <c r="D100" s="619">
        <f>+[2]Roanne!$H100</f>
        <v>1340.8821300443894</v>
      </c>
      <c r="E100" s="805">
        <f>IF(ISNA(VLOOKUP("ROA626100000",Balanceanp!C:G,5,FALSE))=TRUE,0,VLOOKUP("ROA626100000",Balanceanp!C:G,5,FALSE))</f>
        <v>1254.51</v>
      </c>
      <c r="F100" s="593">
        <f>+C100+C100/9*(12-Clients!$I$14)</f>
        <v>3492.0133333333333</v>
      </c>
      <c r="G100" s="1030">
        <f t="shared" si="7"/>
        <v>3596.7737333333334</v>
      </c>
      <c r="H100" s="1030"/>
      <c r="I100" s="1013">
        <f t="shared" si="8"/>
        <v>1.7835675549284846</v>
      </c>
      <c r="J100" s="1014">
        <f t="shared" si="9"/>
        <v>3.0000000000000034E-2</v>
      </c>
      <c r="L100" s="17">
        <f t="shared" si="6"/>
        <v>1</v>
      </c>
    </row>
    <row r="101" spans="1:12" hidden="1">
      <c r="A101" s="5" t="s">
        <v>121</v>
      </c>
      <c r="B101" s="92"/>
      <c r="C101" s="160">
        <f>IF(ISNA(VLOOKUP("ROA628400000",Balance!C:G,5,FALSE))=TRUE,0,VLOOKUP("ROA628400000",Balance!C:G,5,FALSE))</f>
        <v>0</v>
      </c>
      <c r="D101" s="117">
        <f>+[2]Roanne!$H101</f>
        <v>0</v>
      </c>
      <c r="E101" s="160">
        <f>IF(ISNA(VLOOKUP("ROA628400000",Balanceanp!C:G,5,FALSE))=TRUE,0,VLOOKUP("ROA628400000",Balanceanp!C:G,5,FALSE))</f>
        <v>0</v>
      </c>
      <c r="F101" s="368">
        <f>+C101+C101/9*(12-Clients!$I$14)</f>
        <v>0</v>
      </c>
      <c r="G101" s="396">
        <f t="shared" si="7"/>
        <v>0</v>
      </c>
      <c r="H101" s="409"/>
      <c r="I101" s="149">
        <f t="shared" si="8"/>
        <v>0</v>
      </c>
      <c r="J101" s="271">
        <f t="shared" si="9"/>
        <v>0</v>
      </c>
      <c r="L101" s="17">
        <f t="shared" si="6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13" t="s">
        <v>122</v>
      </c>
      <c r="B103" s="596">
        <f>+C103/$C$21</f>
        <v>6.8651450797914723E-2</v>
      </c>
      <c r="C103" s="803">
        <f>SUM(C70:C102)</f>
        <v>72681.349999999991</v>
      </c>
      <c r="D103" s="597">
        <f>SUM(D70:D102)</f>
        <v>102465.87251233542</v>
      </c>
      <c r="E103" s="803">
        <f>SUM(E70:E102)</f>
        <v>106785.47999999997</v>
      </c>
      <c r="F103" s="597">
        <f>SUM(F70:F102)</f>
        <v>96302.926666666681</v>
      </c>
      <c r="G103" s="597">
        <f>SUM(G70:G102)</f>
        <v>98956.988631857166</v>
      </c>
      <c r="H103" s="814">
        <f>+G103/$G$21</f>
        <v>6.9672466521105619E-2</v>
      </c>
      <c r="I103" s="596">
        <f>+IF((E103)=0,,(F103-E103)/E103)</f>
        <v>-9.816459441239847E-2</v>
      </c>
      <c r="J103" s="1015">
        <f>+IF((F103)=0,,(G103-F103)/F103)</f>
        <v>2.7559515136824347E-2</v>
      </c>
      <c r="K103" s="136">
        <f>(C103+(C103/3))</f>
        <v>96908.46666666666</v>
      </c>
      <c r="L103" s="17">
        <f t="shared" si="6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590" t="s">
        <v>129</v>
      </c>
      <c r="B105" s="591"/>
      <c r="C105" s="805">
        <f>IF(ISNA(VLOOKUP("ROA623100000",Balance!C:G,5,FALSE))=TRUE,0,VLOOKUP("ROA623100000",Balance!C:G,5,FALSE))</f>
        <v>70</v>
      </c>
      <c r="D105" s="619">
        <f>+[2]Roanne!$H105</f>
        <v>1041.3815</v>
      </c>
      <c r="E105" s="805">
        <f>IF(ISNA(VLOOKUP("ROA623100000",Balanceanp!C:G,5,FALSE))=TRUE,0,VLOOKUP("ROA623100000",Balanceanp!C:G,5,FALSE))</f>
        <v>774.3</v>
      </c>
      <c r="F105" s="593">
        <f>+C105+C105/9*(12-Clients!$I$14)</f>
        <v>93.333333333333329</v>
      </c>
      <c r="G105" s="1012">
        <f t="shared" ref="G105:G114" si="10">+F105*1.03</f>
        <v>96.133333333333326</v>
      </c>
      <c r="H105" s="1012"/>
      <c r="I105" s="1013">
        <f t="shared" ref="I105:J114" si="11">+IF((E105)=0,,(F105-E105)/E105)</f>
        <v>-0.87946101855439318</v>
      </c>
      <c r="J105" s="1014">
        <f t="shared" si="11"/>
        <v>2.9999999999999971E-2</v>
      </c>
      <c r="L105" s="17">
        <f t="shared" si="6"/>
        <v>1</v>
      </c>
    </row>
    <row r="106" spans="1:12">
      <c r="A106" s="590" t="s">
        <v>130</v>
      </c>
      <c r="B106" s="591"/>
      <c r="C106" s="805">
        <f>IF(ISNA(VLOOKUP("ROA623200000",Balance!C:G,5,FALSE))=TRUE,0,VLOOKUP("ROA623200000",Balance!C:G,5,FALSE))</f>
        <v>6006.58</v>
      </c>
      <c r="D106" s="619">
        <f>+[2]Roanne!$H106</f>
        <v>9908.6412000000018</v>
      </c>
      <c r="E106" s="805">
        <f>IF(ISNA(VLOOKUP("ROA623200000",Balanceanp!C:G,5,FALSE))=TRUE,0,VLOOKUP("ROA623200000",Balanceanp!C:G,5,FALSE))</f>
        <v>11074.03</v>
      </c>
      <c r="F106" s="593">
        <f>+C106+C106/9*(12-Clients!$I$14)</f>
        <v>8008.7733333333326</v>
      </c>
      <c r="G106" s="1012">
        <f t="shared" si="10"/>
        <v>8249.036533333332</v>
      </c>
      <c r="H106" s="1012"/>
      <c r="I106" s="1013">
        <f t="shared" si="11"/>
        <v>-0.27679685414132593</v>
      </c>
      <c r="J106" s="1014">
        <f t="shared" si="11"/>
        <v>2.999999999999993E-2</v>
      </c>
      <c r="L106" s="17">
        <f t="shared" si="6"/>
        <v>1</v>
      </c>
    </row>
    <row r="107" spans="1:12" hidden="1">
      <c r="A107" s="5" t="s">
        <v>131</v>
      </c>
      <c r="B107" s="92"/>
      <c r="C107" s="160">
        <f>IF(ISNA(VLOOKUP("ROA629000000",Balance!C:G,5,FALSE))=TRUE,0,VLOOKUP("ROA629000000",Balance!C:G,5,FALSE))</f>
        <v>0</v>
      </c>
      <c r="D107" s="117">
        <f>+[2]Roanne!$H107</f>
        <v>0</v>
      </c>
      <c r="E107" s="160">
        <f>IF(ISNA(VLOOKUP("ROA629000000",Balanceanp!C:G,5,FALSE))=TRUE,0,VLOOKUP("ROA629000000",Balanceanp!C:G,5,FALSE))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>
      <c r="A108" s="590" t="s">
        <v>132</v>
      </c>
      <c r="B108" s="591"/>
      <c r="C108" s="805">
        <f>IF(ISNA(VLOOKUP("ROA623300000",Balance!C:G,5,FALSE))=TRUE,0,VLOOKUP("ROA623300000",Balance!C:G,5,FALSE))</f>
        <v>4206.0599999999995</v>
      </c>
      <c r="D108" s="619">
        <f>+[2]Roanne!$H108</f>
        <v>64.89</v>
      </c>
      <c r="E108" s="805">
        <f>IF(ISNA(VLOOKUP("ROA623300000",Balanceanp!C:G,5,FALSE))=TRUE,0,VLOOKUP("ROA623300000",Balanceanp!C:G,5,FALSE))</f>
        <v>0</v>
      </c>
      <c r="F108" s="593">
        <f>+C108+C108/9*(12-Clients!$I$14)</f>
        <v>5608.079999999999</v>
      </c>
      <c r="G108" s="1012">
        <f t="shared" si="10"/>
        <v>5776.3223999999991</v>
      </c>
      <c r="H108" s="1012"/>
      <c r="I108" s="1013">
        <f t="shared" si="11"/>
        <v>0</v>
      </c>
      <c r="J108" s="1014">
        <f t="shared" si="11"/>
        <v>3.000000000000002E-2</v>
      </c>
      <c r="L108" s="17">
        <f t="shared" si="6"/>
        <v>1</v>
      </c>
    </row>
    <row r="109" spans="1:12">
      <c r="A109" s="590" t="s">
        <v>133</v>
      </c>
      <c r="B109" s="591"/>
      <c r="C109" s="805">
        <f>IF(ISNA(VLOOKUP("ROA623700000",Balance!C:G,5,FALSE))=TRUE,0,VLOOKUP("ROA623700000",Balance!C:G,5,FALSE))</f>
        <v>3630.57</v>
      </c>
      <c r="D109" s="619">
        <f>+[2]Roanne!$H109</f>
        <v>7460.0118999999995</v>
      </c>
      <c r="E109" s="805">
        <f>IF(ISNA(VLOOKUP("ROA623700000",Balanceanp!C:G,5,FALSE))=TRUE,0,VLOOKUP("ROA623700000",Balanceanp!C:G,5,FALSE))</f>
        <v>2895.1</v>
      </c>
      <c r="F109" s="593">
        <f>+C109+C109/9*(12-Clients!$I$14)</f>
        <v>4840.76</v>
      </c>
      <c r="G109" s="1012">
        <f t="shared" si="10"/>
        <v>4985.9828000000007</v>
      </c>
      <c r="H109" s="1012"/>
      <c r="I109" s="1013">
        <f t="shared" si="11"/>
        <v>0.67205277883320103</v>
      </c>
      <c r="J109" s="1014">
        <f t="shared" si="11"/>
        <v>3.0000000000000093E-2</v>
      </c>
      <c r="L109" s="17">
        <f t="shared" si="6"/>
        <v>1</v>
      </c>
    </row>
    <row r="110" spans="1:12">
      <c r="A110" s="590" t="s">
        <v>134</v>
      </c>
      <c r="B110" s="591"/>
      <c r="C110" s="805">
        <f>IF(ISNA(VLOOKUP("ROA623410000",Balance!C:G,5,FALSE))=TRUE,0,VLOOKUP("ROA623410000",Balance!C:G,5,FALSE))+IF(ISNA(VLOOKUP("ROA623420000",Balance!C:G,5,FALSE))=TRUE,0,VLOOKUP("ROA623420000",Balance!C:G,5,FALSE))</f>
        <v>13090.69</v>
      </c>
      <c r="D110" s="619">
        <f>+[2]Roanne!$H110</f>
        <v>17682.133600000005</v>
      </c>
      <c r="E110" s="805">
        <f>IF(ISNA(VLOOKUP("ROA623410000",Balanceanp!C:G,5,FALSE))=TRUE,0,VLOOKUP("ROA623410000",Balanceanp!C:G,5,FALSE))+IF(ISNA(VLOOKUP("ROA623420000",Balanceanp!C:G,5,FALSE))=TRUE,0,VLOOKUP("ROA623420000",Balanceanp!C:G,5,FALSE))</f>
        <v>10623.41</v>
      </c>
      <c r="F110" s="593">
        <f>+C110+C110/9*(12-Clients!$I$14)</f>
        <v>17454.253333333334</v>
      </c>
      <c r="G110" s="1156">
        <v>12000</v>
      </c>
      <c r="H110" s="1012"/>
      <c r="I110" s="1013">
        <f t="shared" si="11"/>
        <v>0.64299912488865008</v>
      </c>
      <c r="J110" s="1014">
        <f t="shared" si="11"/>
        <v>-0.31248849373104093</v>
      </c>
      <c r="L110" s="17">
        <f t="shared" si="6"/>
        <v>1</v>
      </c>
    </row>
    <row r="111" spans="1:12">
      <c r="A111" s="590" t="s">
        <v>135</v>
      </c>
      <c r="B111" s="591"/>
      <c r="C111" s="805">
        <f>IF(ISNA(VLOOKUP("Roa623800000",Balance!C:G,5,FALSE))=TRUE,0,VLOOKUP("Roa623800000",Balance!C:G,5,FALSE))+IF(ISNA(VLOOKUP("Roa623820000",Balance!C:G,5,FALSE))=TRUE,0,VLOOKUP("Roa623820000",Balance!C:G,5,FALSE))</f>
        <v>0</v>
      </c>
      <c r="D111" s="619">
        <f>+[2]Roanne!$H111</f>
        <v>14.6775</v>
      </c>
      <c r="E111" s="805">
        <f>IF(ISNA(VLOOKUP("ROA623800000",Balanceanp!C:G,5,FALSE))=TRUE,0,VLOOKUP("ROA623800000",Balanceanp!C:G,5,FALSE))</f>
        <v>10</v>
      </c>
      <c r="F111" s="593">
        <f>+C111+C111/9*(12-Clients!$I$14)</f>
        <v>0</v>
      </c>
      <c r="G111" s="1012">
        <f t="shared" si="10"/>
        <v>0</v>
      </c>
      <c r="H111" s="1012"/>
      <c r="I111" s="1013">
        <f t="shared" si="11"/>
        <v>-1</v>
      </c>
      <c r="J111" s="1014">
        <f t="shared" si="11"/>
        <v>0</v>
      </c>
      <c r="L111" s="17">
        <f t="shared" si="6"/>
        <v>1</v>
      </c>
    </row>
    <row r="112" spans="1:12">
      <c r="A112" s="590" t="s">
        <v>136</v>
      </c>
      <c r="B112" s="591"/>
      <c r="C112" s="805">
        <f>IF(ISNA(VLOOKUP("ROA625600000",Balance!C:G,5,FALSE))=TRUE,0,VLOOKUP("ROA625600000",Balance!C:G,5,FALSE))</f>
        <v>772.5</v>
      </c>
      <c r="D112" s="619">
        <f>+[2]Roanne!$H112</f>
        <v>1030</v>
      </c>
      <c r="E112" s="805">
        <f>IF(ISNA(VLOOKUP("ROA625600000",Balanceanp!C:G,5,FALSE))=TRUE,0,VLOOKUP("ROA625600000",Balanceanp!C:G,5,FALSE))</f>
        <v>25.23</v>
      </c>
      <c r="F112" s="593">
        <f>+C112+C112/9*(12-Clients!$I$14)</f>
        <v>1030</v>
      </c>
      <c r="G112" s="1012">
        <f t="shared" si="10"/>
        <v>1060.9000000000001</v>
      </c>
      <c r="H112" s="1012"/>
      <c r="I112" s="1013">
        <f t="shared" si="11"/>
        <v>39.824415378517635</v>
      </c>
      <c r="J112" s="1014">
        <f t="shared" si="11"/>
        <v>3.0000000000000089E-2</v>
      </c>
      <c r="L112" s="17">
        <f t="shared" si="6"/>
        <v>1</v>
      </c>
    </row>
    <row r="113" spans="1:12">
      <c r="A113" s="590" t="s">
        <v>137</v>
      </c>
      <c r="B113" s="591"/>
      <c r="C113" s="1033">
        <f>IF(ISNA(VLOOKUP("roa625700000",Balance!C:G,5,FALSE))=TRUE,0,VLOOKUP("roa625700000",Balance!C:G,5,FALSE))+IF(ISNA(VLOOKUP("roa625710000",Balance!C:G,5,FALSE))=TRUE,0,VLOOKUP("roa625710000",Balance!C:G,5,FALSE))</f>
        <v>5297.27</v>
      </c>
      <c r="D113" s="619">
        <f>+[2]Roanne!$H113</f>
        <v>7942.78</v>
      </c>
      <c r="E113" s="805">
        <f>IF(ISNA(VLOOKUP("roa625700000",Balanceanp!C:G,5,FALSE))=TRUE,0,VLOOKUP("roa625700000",Balanceanp!C:G,5,FALSE))+IF(ISNA(VLOOKUP("roa625710000",Balanceanp!C:G,5,FALSE))=TRUE,0,VLOOKUP("roa625710000",Balanceanp!C:G,5,FALSE))</f>
        <v>6488.75</v>
      </c>
      <c r="F113" s="593">
        <v>4902.99</v>
      </c>
      <c r="G113" s="1012">
        <v>2000</v>
      </c>
      <c r="H113" s="1012"/>
      <c r="I113" s="1013">
        <f t="shared" si="11"/>
        <v>-0.24438605278366407</v>
      </c>
      <c r="J113" s="1014">
        <f t="shared" si="11"/>
        <v>-0.59208564569782929</v>
      </c>
      <c r="L113" s="17">
        <f t="shared" si="6"/>
        <v>1</v>
      </c>
    </row>
    <row r="114" spans="1:12">
      <c r="A114" s="590" t="s">
        <v>138</v>
      </c>
      <c r="B114" s="591"/>
      <c r="C114" s="805">
        <f>IF(ISNA(VLOOKUP("ROA623810000",Balance!C:G,5,FALSE))=TRUE,0,VLOOKUP("ROA623810000",Balance!C:G,5,FALSE))</f>
        <v>-1294.33</v>
      </c>
      <c r="D114" s="619">
        <f>+[2]Roanne!$H114</f>
        <v>-666.58510000000001</v>
      </c>
      <c r="E114" s="805">
        <f>IF(ISNA(VLOOKUP("ROA623810000",Balanceanp!C:G,5,FALSE))=TRUE,0,VLOOKUP("ROA623810000",Balanceanp!C:G,5,FALSE))</f>
        <v>-647.16999999999996</v>
      </c>
      <c r="F114" s="593">
        <f>+C114+C114/9*(12-Clients!$I$14)</f>
        <v>-1725.7733333333331</v>
      </c>
      <c r="G114" s="1012">
        <f t="shared" si="10"/>
        <v>-1777.5465333333332</v>
      </c>
      <c r="H114" s="1012"/>
      <c r="I114" s="1013">
        <f t="shared" si="11"/>
        <v>1.666646064145948</v>
      </c>
      <c r="J114" s="1014">
        <f t="shared" si="11"/>
        <v>3.0000000000000054E-2</v>
      </c>
      <c r="L114" s="17">
        <f t="shared" si="6"/>
        <v>1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13" t="s">
        <v>133</v>
      </c>
      <c r="B116" s="596">
        <f>+C116/$C$21</f>
        <v>3.0017298748581351E-2</v>
      </c>
      <c r="C116" s="803">
        <f>SUM(C104:C115)</f>
        <v>31779.339999999997</v>
      </c>
      <c r="D116" s="597">
        <f>SUM(D104:D115)</f>
        <v>44477.9306</v>
      </c>
      <c r="E116" s="803">
        <f>SUM(E104:E115)</f>
        <v>31243.65</v>
      </c>
      <c r="F116" s="597">
        <f>SUM(F104:F115)</f>
        <v>40212.416666666664</v>
      </c>
      <c r="G116" s="597">
        <f>SUM(G104:G115)</f>
        <v>32390.828533333333</v>
      </c>
      <c r="H116" s="814">
        <f>+G116/$G$21</f>
        <v>2.2805351575270402E-2</v>
      </c>
      <c r="I116" s="596">
        <f>+IF((E116)=0,,(F116-E116)/E116)</f>
        <v>0.2870588636944359</v>
      </c>
      <c r="J116" s="1015">
        <f>+IF((F116)=0,,(G116-F116)/F116)</f>
        <v>-0.19450679122741935</v>
      </c>
      <c r="K116" s="136">
        <f>(C116+(C116/3))</f>
        <v>42372.453333333331</v>
      </c>
      <c r="L116" s="17">
        <f t="shared" si="6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590" t="s">
        <v>139</v>
      </c>
      <c r="B118" s="591"/>
      <c r="C118" s="805">
        <f>IF(ISNA(VLOOKUP("ROA633300000",Balance!C:G,5,FALSE))=TRUE,0,VLOOKUP("ROA633300000",Balance!C:G,5,FALSE))</f>
        <v>1967.42</v>
      </c>
      <c r="D118" s="619">
        <f>+[2]Roanne!$H118</f>
        <v>1182.9999999999998</v>
      </c>
      <c r="E118" s="805">
        <f>IF(ISNA(VLOOKUP("ROA633300000",Balanceanp!C:G,5,FALSE))=TRUE,0,VLOOKUP("ROA633300000",Balanceanp!C:G,5,FALSE))</f>
        <v>1419</v>
      </c>
      <c r="F118" s="593">
        <f>+C118+C118/9*(12-Clients!$I$14)</f>
        <v>2623.2266666666665</v>
      </c>
      <c r="G118" s="1030">
        <f>G131*(0.2+0.5)%</f>
        <v>1062.838</v>
      </c>
      <c r="H118" s="1030"/>
      <c r="I118" s="1013">
        <f t="shared" ref="I118:J127" si="12">+IF((E118)=0,,(F118-E118)/E118)</f>
        <v>0.8486445853887713</v>
      </c>
      <c r="J118" s="1014">
        <f t="shared" si="12"/>
        <v>-0.59483562228705611</v>
      </c>
      <c r="L118" s="17">
        <f t="shared" si="6"/>
        <v>1</v>
      </c>
    </row>
    <row r="119" spans="1:12">
      <c r="A119" s="590" t="s">
        <v>140</v>
      </c>
      <c r="B119" s="591"/>
      <c r="C119" s="805">
        <f>IF(ISNA(VLOOKUP("ROA633400000",Balance!C:G,5,FALSE))=TRUE,0,VLOOKUP("ROA633400000",Balance!C:G,5,FALSE))</f>
        <v>0</v>
      </c>
      <c r="D119" s="619">
        <f>+[2]Roanne!$H119</f>
        <v>760.50000000000011</v>
      </c>
      <c r="E119" s="805">
        <f>IF(ISNA(VLOOKUP("ROA633400000",Balanceanp!C:G,5,FALSE))=TRUE,0,VLOOKUP("ROA633400000",Balanceanp!C:G,5,FALSE))</f>
        <v>765</v>
      </c>
      <c r="F119" s="593">
        <f>+C119+C119/9*(12-Clients!$I$14)</f>
        <v>0</v>
      </c>
      <c r="G119" s="1030">
        <f>+G131*0.45%</f>
        <v>683.25300000000004</v>
      </c>
      <c r="H119" s="1030"/>
      <c r="I119" s="1013">
        <f t="shared" si="12"/>
        <v>-1</v>
      </c>
      <c r="J119" s="1014">
        <f t="shared" si="12"/>
        <v>0</v>
      </c>
      <c r="L119" s="17">
        <f t="shared" si="6"/>
        <v>1</v>
      </c>
    </row>
    <row r="120" spans="1:12">
      <c r="A120" s="590" t="s">
        <v>141</v>
      </c>
      <c r="B120" s="591"/>
      <c r="C120" s="805">
        <f>IF(ISNA(VLOOKUP("ROA633500000",Balance!C:G,5,FALSE))=TRUE,0,VLOOKUP("ROA633500000",Balance!C:G,5,FALSE))</f>
        <v>0</v>
      </c>
      <c r="D120" s="619">
        <f>+[2]Roanne!$H120</f>
        <v>1318.2</v>
      </c>
      <c r="E120" s="805">
        <f>IF(ISNA(VLOOKUP("ROA633500000",Balanceanp!C:G,5,FALSE))=TRUE,0,VLOOKUP("ROA633500000",Balanceanp!C:G,5,FALSE))</f>
        <v>1157</v>
      </c>
      <c r="F120" s="593">
        <f>+C120+C120/9*(12-Clients!$I$14)</f>
        <v>0</v>
      </c>
      <c r="G120" s="1030">
        <f>+G131*(0.6+0.18)%</f>
        <v>1184.3052</v>
      </c>
      <c r="H120" s="1030"/>
      <c r="I120" s="1013">
        <f t="shared" si="12"/>
        <v>-1</v>
      </c>
      <c r="J120" s="1014">
        <f t="shared" si="12"/>
        <v>0</v>
      </c>
      <c r="L120" s="17">
        <f t="shared" si="6"/>
        <v>1</v>
      </c>
    </row>
    <row r="121" spans="1:12">
      <c r="A121" s="590" t="s">
        <v>706</v>
      </c>
      <c r="B121" s="591"/>
      <c r="C121" s="805">
        <f>IF(ISNA(VLOOKUP("ROA635110000",Balance!C:G,5,FALSE))=TRUE,0,VLOOKUP("ROA635110000",Balance!C:G,5,FALSE))</f>
        <v>6245.64</v>
      </c>
      <c r="D121" s="619">
        <f>+[2]Roanne!$H121</f>
        <v>8327.5500000000011</v>
      </c>
      <c r="E121" s="805">
        <f>IF(ISNA(VLOOKUP("ROA635110000",Balanceanp!C:G,5,FALSE))=TRUE,0,VLOOKUP("ROA635110000",Balanceanp!C:G,5,FALSE))</f>
        <v>7931</v>
      </c>
      <c r="F121" s="636">
        <v>2759</v>
      </c>
      <c r="G121" s="636">
        <f>+F121*1.05</f>
        <v>2896.9500000000003</v>
      </c>
      <c r="H121" s="638"/>
      <c r="I121" s="1013">
        <f t="shared" si="12"/>
        <v>-0.65212457445467154</v>
      </c>
      <c r="J121" s="1014">
        <f t="shared" si="12"/>
        <v>5.00000000000001E-2</v>
      </c>
      <c r="L121" s="17">
        <f t="shared" si="6"/>
        <v>1</v>
      </c>
    </row>
    <row r="122" spans="1:12">
      <c r="A122" s="590" t="s">
        <v>143</v>
      </c>
      <c r="B122" s="591"/>
      <c r="C122" s="805">
        <f>IF(ISNA(VLOOKUP("ROA635120000",Balance!C:G,5,FALSE))=TRUE,0,VLOOKUP("ROA635120000",Balance!C:G,5,FALSE))</f>
        <v>3590.37</v>
      </c>
      <c r="D122" s="619">
        <f>+[2]Roanne!$H122</f>
        <v>4787.1390000000001</v>
      </c>
      <c r="E122" s="805">
        <f>IF(ISNA(VLOOKUP("ROA635120000",Balanceanp!C:G,5,FALSE))=TRUE,0,VLOOKUP("ROA635120000",Balanceanp!C:G,5,FALSE))</f>
        <v>4785</v>
      </c>
      <c r="F122" s="631">
        <v>4887</v>
      </c>
      <c r="G122" s="631">
        <f>+F122*1.05</f>
        <v>5131.3500000000004</v>
      </c>
      <c r="H122" s="638"/>
      <c r="I122" s="1013">
        <f t="shared" si="12"/>
        <v>2.1316614420062698E-2</v>
      </c>
      <c r="J122" s="1014">
        <f t="shared" si="12"/>
        <v>5.0000000000000072E-2</v>
      </c>
      <c r="L122" s="17">
        <f t="shared" si="6"/>
        <v>1</v>
      </c>
    </row>
    <row r="123" spans="1:12">
      <c r="A123" s="590" t="s">
        <v>144</v>
      </c>
      <c r="B123" s="591"/>
      <c r="C123" s="805">
        <f>IF(ISNA(VLOOKUP("ROA635130000",Balance!C:G,5,FALSE))=TRUE,0,VLOOKUP("ROA635130000",Balance!C:G,5,FALSE))</f>
        <v>1272</v>
      </c>
      <c r="D123" s="619">
        <f>+[2]Roanne!$H123</f>
        <v>1310.1600000000001</v>
      </c>
      <c r="E123" s="805">
        <f>IF(ISNA(VLOOKUP("ROA635130000",Balanceanp!C:G,5,FALSE))=TRUE,0,VLOOKUP("ROA635130000",Balanceanp!C:G,5,FALSE))</f>
        <v>1272</v>
      </c>
      <c r="F123" s="631">
        <v>1272</v>
      </c>
      <c r="G123" s="631">
        <f>+F123*1.05</f>
        <v>1335.6000000000001</v>
      </c>
      <c r="H123" s="638"/>
      <c r="I123" s="1013">
        <f t="shared" si="12"/>
        <v>0</v>
      </c>
      <c r="J123" s="1014">
        <f t="shared" si="12"/>
        <v>5.0000000000000107E-2</v>
      </c>
      <c r="L123" s="17">
        <f t="shared" si="6"/>
        <v>1</v>
      </c>
    </row>
    <row r="124" spans="1:12" hidden="1">
      <c r="A124" s="5" t="s">
        <v>145</v>
      </c>
      <c r="B124" s="92"/>
      <c r="C124" s="160">
        <f>IF(ISNA(VLOOKUP("ROA635140000",Balance!C:G,5,FALSE))=TRUE,0,VLOOKUP("ROA635140000",Balance!C:G,5,FALSE))</f>
        <v>0</v>
      </c>
      <c r="D124" s="117">
        <f>+[2]Roanne!$H124</f>
        <v>0</v>
      </c>
      <c r="E124" s="160">
        <f>IF(ISNA(VLOOKUP("ROA635140000",Balanceanp!C:G,5,FALSE))=TRUE,0,VLOOKUP("ROA635140000",Balanceanp!C:G,5,FALSE))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2"/>
        <v>0</v>
      </c>
      <c r="J124" s="271">
        <f t="shared" si="12"/>
        <v>0</v>
      </c>
      <c r="L124" s="17">
        <f t="shared" si="6"/>
        <v>0</v>
      </c>
    </row>
    <row r="125" spans="1:12" hidden="1">
      <c r="A125" s="5" t="s">
        <v>286</v>
      </c>
      <c r="B125" s="92"/>
      <c r="C125" s="160">
        <f>IF(ISNA(VLOOKUP("ROA635300000",Balance!C:G,5,FALSE))=TRUE,0,VLOOKUP("ROA635300000",Balance!C:G,5,FALSE))</f>
        <v>0</v>
      </c>
      <c r="D125" s="117">
        <f>+[2]Roanne!$H125</f>
        <v>0</v>
      </c>
      <c r="E125" s="160">
        <f>IF(ISNA(VLOOKUP("ROA635300000",Balanceanp!C:G,5,FALSE))=TRUE,0,VLOOKUP("ROA635300000",Balanceanp!C:G,5,FALSE))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2"/>
        <v>0</v>
      </c>
      <c r="J125" s="271">
        <f t="shared" si="12"/>
        <v>0</v>
      </c>
      <c r="L125" s="17">
        <f t="shared" si="6"/>
        <v>0</v>
      </c>
    </row>
    <row r="126" spans="1:12" hidden="1">
      <c r="A126" s="5" t="s">
        <v>361</v>
      </c>
      <c r="B126" s="92"/>
      <c r="C126" s="160">
        <f>IF(ISNA(VLOOKUP("roa635400000",Balance!C:G,5,FALSE))=TRUE,0,VLOOKUP("roa635400000",Balance!C:G,5,FALSE))</f>
        <v>0</v>
      </c>
      <c r="D126" s="117">
        <f>+[2]Roanne!$H126</f>
        <v>0</v>
      </c>
      <c r="E126" s="160">
        <f>IF(ISNA(VLOOKUP("roa635400000",Balanceanp!C:G,5,FALSE))=TRUE,0,VLOOKUP("roa635400000",Balanceanp!C:G,5,FALSE))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590" t="s">
        <v>146</v>
      </c>
      <c r="B127" s="591"/>
      <c r="C127" s="805">
        <f>IF(ISNA(VLOOKUP("ROA637100000",Balance!C:G,5,FALSE))=TRUE,0,VLOOKUP("ROA637100000",Balance!C:G,5,FALSE))</f>
        <v>2607.0100000000002</v>
      </c>
      <c r="D127" s="619">
        <f>+[2]Roanne!$H127</f>
        <v>3539.2687999999998</v>
      </c>
      <c r="E127" s="805">
        <f>IF(ISNA(VLOOKUP("ROA637100000",Balanceanp!C:G,5,FALSE))=TRUE,0,VLOOKUP("ROA637100000",Balanceanp!C:G,5,FALSE))</f>
        <v>3364.37</v>
      </c>
      <c r="F127" s="593">
        <f>+C127+C127/9*(12-Clients!$I$14)</f>
        <v>3476.0133333333338</v>
      </c>
      <c r="G127" s="1030">
        <f>+G51*0.16%+976*1.03</f>
        <v>3237.7568000000001</v>
      </c>
      <c r="H127" s="1030"/>
      <c r="I127" s="1013">
        <f t="shared" si="12"/>
        <v>3.3184023556664069E-2</v>
      </c>
      <c r="J127" s="1014">
        <f t="shared" si="12"/>
        <v>-6.854304356331592E-2</v>
      </c>
      <c r="L127" s="17">
        <f t="shared" si="6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13" t="s">
        <v>147</v>
      </c>
      <c r="B129" s="596">
        <f>+C129/$C$21</f>
        <v>1.4812909474731137E-2</v>
      </c>
      <c r="C129" s="803">
        <f>SUM(C117:C128)</f>
        <v>15682.44</v>
      </c>
      <c r="D129" s="597">
        <f>SUM(D117:D128)</f>
        <v>21225.817799999997</v>
      </c>
      <c r="E129" s="803">
        <f>SUM(E117:E128)</f>
        <v>20693.37</v>
      </c>
      <c r="F129" s="597">
        <f>SUM(F117:F128)</f>
        <v>15017.24</v>
      </c>
      <c r="G129" s="597">
        <f>SUM(G117:G128)</f>
        <v>15532.053</v>
      </c>
      <c r="H129" s="814">
        <f>+G129/$G$21</f>
        <v>1.0935624230365475E-2</v>
      </c>
      <c r="I129" s="596">
        <f>+IF((E129)=0,,(F129-E129)/E129)</f>
        <v>-0.27429703330100413</v>
      </c>
      <c r="J129" s="1015">
        <f>+IF((F129)=0,,(G129-F129)/F129)</f>
        <v>3.4281465835266672E-2</v>
      </c>
      <c r="K129" s="136">
        <f>(C129+(C129/3))</f>
        <v>20909.920000000002</v>
      </c>
      <c r="L129" s="17">
        <f t="shared" si="6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590" t="s">
        <v>148</v>
      </c>
      <c r="B131" s="591"/>
      <c r="C131" s="805">
        <f>IF(ISNA(VLOOKUP("ROA641100000",Balance!C:G,5,FALSE))=TRUE,0,VLOOKUP("ROA641100000",Balance!C:G,5,FALSE))+IF(ISNA(VLOOKUP("ROA641112000",Balance!C:G,5,FALSE))=TRUE,0,VLOOKUP("ROA641112000",Balance!C:G,5,FALSE))</f>
        <v>109643.28</v>
      </c>
      <c r="D131" s="619">
        <f>+[2]Roanne!$H131</f>
        <v>169000</v>
      </c>
      <c r="E131" s="805">
        <f>IF(ISNA(VLOOKUP("ROA641100000",Balanceanp!C:G,5,FALSE))=TRUE,0,VLOOKUP("ROA641100000",Balanceanp!C:G,5,FALSE))+IF(ISNA(VLOOKUP("ROA641112000",Balanceanp!C:G,5,FALSE))=TRUE,0,VLOOKUP("ROA641112000",Balanceanp!C:G,5,FALSE))</f>
        <v>181539.13999999998</v>
      </c>
      <c r="F131" s="593">
        <f>+C131+C131/9*(12-Clients!$I$14)</f>
        <v>146191.03999999998</v>
      </c>
      <c r="G131" s="1012">
        <v>151834</v>
      </c>
      <c r="H131" s="1012"/>
      <c r="I131" s="1013">
        <f t="shared" ref="I131:J146" si="13">+IF((E131)=0,,(F131-E131)/E131)</f>
        <v>-0.19471338246947742</v>
      </c>
      <c r="J131" s="1014">
        <f t="shared" si="13"/>
        <v>3.859990324988468E-2</v>
      </c>
      <c r="L131" s="17">
        <v>1</v>
      </c>
    </row>
    <row r="132" spans="1:12" hidden="1">
      <c r="A132" s="5" t="s">
        <v>149</v>
      </c>
      <c r="B132" s="92"/>
      <c r="C132" s="160">
        <f>IF(ISNA(VLOOKUP("ROA641110000",Balance!C:G,5,FALSE))=TRUE,0,VLOOKUP("ROA641110000",Balance!C:G,5,FALSE))</f>
        <v>-3800</v>
      </c>
      <c r="D132" s="117">
        <f>+[2]Roanne!$H132</f>
        <v>0</v>
      </c>
      <c r="E132" s="160">
        <f>IF(ISNA(VLOOKUP("ROA641110000",Balanceanp!C:G,5,FALSE))=TRUE,0,VLOOKUP("ROA641110000",Balanceanp!C:G,5,FALSE))</f>
        <v>1255</v>
      </c>
      <c r="F132" s="368">
        <f>+C132+C132/9*(12-Clients!$I$14)</f>
        <v>-5066.666666666667</v>
      </c>
      <c r="G132" s="395"/>
      <c r="H132" s="401"/>
      <c r="I132" s="149">
        <f t="shared" si="13"/>
        <v>-5.0371845949535192</v>
      </c>
      <c r="J132" s="271">
        <f t="shared" si="13"/>
        <v>-1</v>
      </c>
      <c r="L132" s="17">
        <v>0</v>
      </c>
    </row>
    <row r="133" spans="1:12">
      <c r="A133" s="590" t="s">
        <v>150</v>
      </c>
      <c r="B133" s="591"/>
      <c r="C133" s="805">
        <f>IF(ISNA(VLOOKUP("ROA641111000",Balance!C:G,5,FALSE))=TRUE,0,VLOOKUP("ROA641111000",Balance!C:G,5,FALSE))</f>
        <v>150</v>
      </c>
      <c r="D133" s="619">
        <f>+[2]Roanne!$H133</f>
        <v>0</v>
      </c>
      <c r="E133" s="805">
        <f>IF(ISNA(VLOOKUP("ROA641111000",Balanceanp!C:G,5,FALSE))=TRUE,0,VLOOKUP("ROA641111000",Balanceanp!C:G,5,FALSE))</f>
        <v>0</v>
      </c>
      <c r="F133" s="593">
        <f>+C133+C133/9*(12-Clients!$I$14)</f>
        <v>200</v>
      </c>
      <c r="G133" s="1012"/>
      <c r="H133" s="1012"/>
      <c r="I133" s="1013">
        <f t="shared" si="13"/>
        <v>0</v>
      </c>
      <c r="J133" s="1014">
        <f t="shared" si="13"/>
        <v>-1</v>
      </c>
      <c r="L133" s="17">
        <f t="shared" si="6"/>
        <v>1</v>
      </c>
    </row>
    <row r="134" spans="1:12" hidden="1">
      <c r="A134" s="5" t="s">
        <v>151</v>
      </c>
      <c r="B134" s="92"/>
      <c r="C134" s="160">
        <f>IF(ISNA(VLOOKUP("ROA641200000",Balance!C:G,5,FALSE))=TRUE,0,VLOOKUP("ROA641200000",Balance!C:G,5,FALSE))</f>
        <v>0</v>
      </c>
      <c r="D134" s="117">
        <f>+[2]Roanne!$H134</f>
        <v>0</v>
      </c>
      <c r="E134" s="160">
        <f>IF(ISNA(VLOOKUP("ROA641200000",Balanceanp!C:G,5,FALSE))=TRUE,0,VLOOKUP("ROA641200000",Balanceanp!C:G,5,FALSE))</f>
        <v>-1718.9400000000005</v>
      </c>
      <c r="F134" s="368">
        <f>+C134+C134/9*(12-Clients!$I$14)</f>
        <v>0</v>
      </c>
      <c r="G134" s="395"/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IF(ISNA(VLOOKUP("ROA621100000",Balance!C:G,5,FALSE))=TRUE,0,VLOOKUP("ROA621100000",Balance!C:G,5,FALSE))</f>
        <v>0</v>
      </c>
      <c r="D135" s="117">
        <f>+[2]Roanne!$H135</f>
        <v>0</v>
      </c>
      <c r="E135" s="160">
        <f>IF(ISNA(VLOOKUP("ROA621100000",Balanceanp!C:G,5,FALSE))=TRUE,0,VLOOKUP("ROA621100000",Balanceanp!C:G,5,FALSE))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3"/>
        <v>0</v>
      </c>
      <c r="J135" s="271">
        <f t="shared" si="13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IF(ISNA(VLOOKUP("ROA621200000",Balance!C:G,5,FALSE))=TRUE,0,VLOOKUP("ROA621200000",Balance!C:G,5,FALSE))</f>
        <v>0</v>
      </c>
      <c r="D136" s="117">
        <f>+[2]Roanne!$H136</f>
        <v>0</v>
      </c>
      <c r="E136" s="160">
        <f>IF(ISNA(VLOOKUP("ROA621200000",Balanceanp!C:G,5,FALSE))=TRUE,0,VLOOKUP("ROA621200000",Balanceanp!C:G,5,FALSE))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3"/>
        <v>0</v>
      </c>
      <c r="J136" s="271">
        <f t="shared" si="13"/>
        <v>0</v>
      </c>
      <c r="L136" s="17">
        <f t="shared" ref="L136:L197" si="14">IF(SUM(C136:J136)&lt;&gt;0,1,0)</f>
        <v>0</v>
      </c>
    </row>
    <row r="137" spans="1:12" hidden="1">
      <c r="A137" s="5" t="s">
        <v>87</v>
      </c>
      <c r="B137" s="92"/>
      <c r="C137" s="160">
        <f>-IF(ISNA(VLOOKUP("ROA706100000",Balance!C:G,5,FALSE))=TRUE,0,-VLOOKUP("ROA706100000",Balance!C:G,5,FALSE))</f>
        <v>0</v>
      </c>
      <c r="D137" s="117">
        <f>+[2]Roanne!$H137</f>
        <v>0</v>
      </c>
      <c r="E137" s="160">
        <f>-IF(ISNA(VLOOKUP("ROA706100000",Balanceanp!C:G,5,FALSE))=TRUE,0,-VLOOKUP("ROA706100000",Balanceanp!C:G,5,FALSE))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3"/>
        <v>0</v>
      </c>
      <c r="J137" s="271">
        <f t="shared" si="13"/>
        <v>0</v>
      </c>
      <c r="L137" s="17">
        <f t="shared" si="14"/>
        <v>0</v>
      </c>
    </row>
    <row r="138" spans="1:12" hidden="1">
      <c r="A138" s="5" t="s">
        <v>152</v>
      </c>
      <c r="B138" s="92"/>
      <c r="C138" s="160">
        <f>IF(ISNA(VLOOKUP("ROA641210000",Balance!C:G,5,FALSE))=TRUE,0,VLOOKUP("ROA641210000",Balance!C:G,5,FALSE))</f>
        <v>0</v>
      </c>
      <c r="D138" s="117">
        <f>+[2]Roanne!$H138</f>
        <v>0</v>
      </c>
      <c r="E138" s="160">
        <f>IF(ISNA(VLOOKUP("ROA641210000",Balanceanp!C:G,5,FALSE))=TRUE,0,VLOOKUP("ROA641210000",Balanceanp!C:G,5,FALSE))</f>
        <v>59.599999999999454</v>
      </c>
      <c r="F138" s="368">
        <f>+C138+C138/9*(12-Clients!$I$14)</f>
        <v>0</v>
      </c>
      <c r="G138" s="395"/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IF(ISNA(VLOOKUP("ROA641400000",Balance!C:G,5,FALSE))=TRUE,0,VLOOKUP("ROA641400000",Balance!C:G,5,FALSE))</f>
        <v>0</v>
      </c>
      <c r="D139" s="117">
        <f>+[2]Roanne!$H139</f>
        <v>0</v>
      </c>
      <c r="E139" s="160">
        <f>IF(ISNA(VLOOKUP("ROA641400000",Balanceanp!C:G,5,FALSE))=TRUE,0,VLOOKUP("ROA641400000",Balanceanp!C:G,5,FALSE))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3"/>
        <v>0</v>
      </c>
      <c r="J139" s="271">
        <f t="shared" si="13"/>
        <v>0</v>
      </c>
      <c r="L139" s="17">
        <f t="shared" si="14"/>
        <v>0</v>
      </c>
    </row>
    <row r="140" spans="1:12" hidden="1">
      <c r="A140" s="5" t="s">
        <v>154</v>
      </c>
      <c r="B140" s="92"/>
      <c r="C140" s="160">
        <f>IF(ISNA(VLOOKUP("ROA641600000",Balance!C:G,5,FALSE))=TRUE,0,VLOOKUP("ROA641600000",Balance!C:G,5,FALSE))</f>
        <v>0</v>
      </c>
      <c r="D140" s="117">
        <f>+[2]Roanne!$H140</f>
        <v>0</v>
      </c>
      <c r="E140" s="160">
        <f>IF(ISNA(VLOOKUP("ROA641600000",Balanceanp!C:G,5,FALSE))=TRUE,0,VLOOKUP("ROA641600000",Balanceanp!C:G,5,FALSE))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3"/>
        <v>0</v>
      </c>
      <c r="J140" s="271">
        <f t="shared" si="13"/>
        <v>0</v>
      </c>
      <c r="L140" s="17">
        <f t="shared" si="14"/>
        <v>0</v>
      </c>
    </row>
    <row r="141" spans="1:12">
      <c r="A141" s="590" t="s">
        <v>155</v>
      </c>
      <c r="B141" s="591"/>
      <c r="C141" s="805">
        <f>IF(ISNA(VLOOKUP("ROA645100000",Balance!C:G,5,FALSE))=TRUE,0,VLOOKUP("ROA645100000",Balance!C:G,5,FALSE))</f>
        <v>28894.030000000002</v>
      </c>
      <c r="D141" s="619">
        <f>+[2]Roanne!$H141</f>
        <v>40985.62944905628</v>
      </c>
      <c r="E141" s="805">
        <f>IF(ISNA(VLOOKUP("ROA645100000",Balanceanp!C:G,5,FALSE))=TRUE,0,VLOOKUP("ROA645100000",Balanceanp!C:G,5,FALSE))</f>
        <v>44163.049999999996</v>
      </c>
      <c r="F141" s="593">
        <f>+C141+C141/9*(12-Clients!$I$14)</f>
        <v>38525.373333333337</v>
      </c>
      <c r="G141" s="1030">
        <f t="shared" ref="G141:G146" si="15">+($G$131/$C$131*C141)*1.01</f>
        <v>40412.573506832348</v>
      </c>
      <c r="H141" s="1030"/>
      <c r="I141" s="1013">
        <f t="shared" si="13"/>
        <v>-0.12765596277129093</v>
      </c>
      <c r="J141" s="1014">
        <f t="shared" si="13"/>
        <v>4.8985902282383545E-2</v>
      </c>
      <c r="L141" s="17">
        <f t="shared" si="14"/>
        <v>1</v>
      </c>
    </row>
    <row r="142" spans="1:12">
      <c r="A142" s="590" t="s">
        <v>156</v>
      </c>
      <c r="B142" s="591"/>
      <c r="C142" s="805">
        <f>IF(ISNA(VLOOKUP("ROA645200000",Balance!C:G,5,FALSE))=TRUE,0,VLOOKUP("ROA645200000",Balance!C:G,5,FALSE))</f>
        <v>3454.63</v>
      </c>
      <c r="D142" s="619">
        <f>+[2]Roanne!$H142</f>
        <v>4464.5750182109305</v>
      </c>
      <c r="E142" s="805">
        <f>IF(ISNA(VLOOKUP("ROA645200000",Balanceanp!C:G,5,FALSE))=TRUE,0,VLOOKUP("ROA645200000",Balanceanp!C:G,5,FALSE))</f>
        <v>4901.42</v>
      </c>
      <c r="F142" s="593">
        <f>+C142+C142/9*(12-Clients!$I$14)</f>
        <v>4606.1733333333332</v>
      </c>
      <c r="G142" s="1030">
        <f t="shared" si="15"/>
        <v>4831.8108901357209</v>
      </c>
      <c r="H142" s="1030"/>
      <c r="I142" s="1013">
        <f t="shared" si="13"/>
        <v>-6.0236965342016578E-2</v>
      </c>
      <c r="J142" s="1014">
        <f t="shared" si="13"/>
        <v>4.8985902282383587E-2</v>
      </c>
      <c r="L142" s="17">
        <f t="shared" si="14"/>
        <v>1</v>
      </c>
    </row>
    <row r="143" spans="1:12">
      <c r="A143" s="590" t="s">
        <v>157</v>
      </c>
      <c r="B143" s="591"/>
      <c r="C143" s="805">
        <f>IF(ISNA(VLOOKUP("ROA645300000",Balance!C:G,5,FALSE))=TRUE,0,VLOOKUP("ROA645300000",Balance!C:G,5,FALSE))</f>
        <v>7202.04</v>
      </c>
      <c r="D143" s="619">
        <f>+[2]Roanne!$H143</f>
        <v>10330.399702855329</v>
      </c>
      <c r="E143" s="805">
        <f>IF(ISNA(VLOOKUP("ROA645300000",Balanceanp!C:G,5,FALSE))=TRUE,0,VLOOKUP("ROA645300000",Balanceanp!C:G,5,FALSE))</f>
        <v>11177.92</v>
      </c>
      <c r="F143" s="593">
        <f>+C143+C143/9*(12-Clients!$I$14)</f>
        <v>9602.7200000000012</v>
      </c>
      <c r="G143" s="1030">
        <f t="shared" si="15"/>
        <v>10073.117903565088</v>
      </c>
      <c r="H143" s="1030"/>
      <c r="I143" s="1013">
        <f t="shared" si="13"/>
        <v>-0.14092067218230214</v>
      </c>
      <c r="J143" s="1014">
        <f t="shared" si="13"/>
        <v>4.8985902282383149E-2</v>
      </c>
      <c r="L143" s="17">
        <f t="shared" si="14"/>
        <v>1</v>
      </c>
    </row>
    <row r="144" spans="1:12">
      <c r="A144" s="590" t="s">
        <v>326</v>
      </c>
      <c r="B144" s="591"/>
      <c r="C144" s="805">
        <f>IF(ISNA(VLOOKUP("ROA645310000",Balance!C:G,5,FALSE))=TRUE,0,VLOOKUP("ROA645310000",Balance!C:G,5,FALSE))</f>
        <v>0</v>
      </c>
      <c r="D144" s="619">
        <f>+[2]Roanne!$H144</f>
        <v>278.76778720979718</v>
      </c>
      <c r="E144" s="805">
        <f>IF(ISNA(VLOOKUP("ROA645310000",Balanceanp!C:G,5,FALSE))=TRUE,0,VLOOKUP("ROA645310000",Balanceanp!C:G,5,FALSE))</f>
        <v>270.33</v>
      </c>
      <c r="F144" s="593">
        <f>+C144+C144/9*(12-Clients!$I$14)</f>
        <v>0</v>
      </c>
      <c r="G144" s="1030">
        <f t="shared" si="15"/>
        <v>0</v>
      </c>
      <c r="H144" s="1030"/>
      <c r="I144" s="1013">
        <f t="shared" si="13"/>
        <v>-1</v>
      </c>
      <c r="J144" s="1014">
        <f t="shared" si="13"/>
        <v>0</v>
      </c>
      <c r="L144" s="17">
        <f t="shared" si="14"/>
        <v>1</v>
      </c>
    </row>
    <row r="145" spans="1:12">
      <c r="A145" s="590" t="s">
        <v>158</v>
      </c>
      <c r="B145" s="591"/>
      <c r="C145" s="805">
        <f>IF(ISNA(VLOOKUP("ROA645400000",Balance!C:G,5,FALSE))=TRUE,0,VLOOKUP("ROA645400000",Balance!C:G,5,FALSE))</f>
        <v>4679.26</v>
      </c>
      <c r="D145" s="619">
        <f>+[2]Roanne!$H145</f>
        <v>6668.1703244790951</v>
      </c>
      <c r="E145" s="805">
        <f>IF(ISNA(VLOOKUP("ROA645400000",Balanceanp!C:G,5,FALSE))=TRUE,0,VLOOKUP("ROA645400000",Balanceanp!C:G,5,FALSE))</f>
        <v>7226.95</v>
      </c>
      <c r="F145" s="593">
        <f>+C145+C145/9*(12-Clients!$I$14)</f>
        <v>6239.0133333333342</v>
      </c>
      <c r="G145" s="1030">
        <f t="shared" si="15"/>
        <v>6544.6370308184878</v>
      </c>
      <c r="H145" s="1030"/>
      <c r="I145" s="1013">
        <f t="shared" si="13"/>
        <v>-0.13670174370469779</v>
      </c>
      <c r="J145" s="1014">
        <f t="shared" si="13"/>
        <v>4.8985902282383358E-2</v>
      </c>
      <c r="L145" s="17">
        <f t="shared" si="14"/>
        <v>1</v>
      </c>
    </row>
    <row r="146" spans="1:12" hidden="1">
      <c r="A146" s="5" t="s">
        <v>159</v>
      </c>
      <c r="B146" s="92"/>
      <c r="C146" s="160">
        <f>IF(ISNA(VLOOKUP("ROA645800000",Balance!C:G,5,FALSE))=TRUE,0,VLOOKUP("ROA645800000",Balance!C:G,5,FALSE))</f>
        <v>0</v>
      </c>
      <c r="D146" s="117">
        <f>+[2]Roanne!$H146</f>
        <v>0</v>
      </c>
      <c r="E146" s="160">
        <f>IF(ISNA(VLOOKUP("ROA645800000",Balanceanp!C:G,5,FALSE))=TRUE,0,VLOOKUP("ROA645800000",Balanceanp!C:G,5,FALSE))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4"/>
        <v>0</v>
      </c>
    </row>
    <row r="147" spans="1:12">
      <c r="A147" s="590" t="s">
        <v>160</v>
      </c>
      <c r="B147" s="591"/>
      <c r="C147" s="805">
        <f>IF(ISNA(VLOOKUP("ROA645900000",Balance!C:G,5,FALSE))=TRUE,0,VLOOKUP("ROA645900000",Balance!C:G,5,FALSE))</f>
        <v>-846.16</v>
      </c>
      <c r="D147" s="619">
        <f>+[2]Roanne!$H147</f>
        <v>-400.72150000000005</v>
      </c>
      <c r="E147" s="805">
        <f>IF(ISNA(VLOOKUP("ROA645900000",Balanceanp!C:G,5,FALSE))=TRUE,0,VLOOKUP("ROA645900000",Balanceanp!C:G,5,FALSE))</f>
        <v>670.92</v>
      </c>
      <c r="F147" s="593">
        <f>+C147+C147/9*(12-Clients!$I$14)</f>
        <v>-1128.2133333333334</v>
      </c>
      <c r="G147" s="1030">
        <f>+F147*1.03</f>
        <v>-1162.0597333333335</v>
      </c>
      <c r="H147" s="1030"/>
      <c r="I147" s="1013">
        <f t="shared" ref="I147:J152" si="16">+IF((E147)=0,,(F147-E147)/E147)</f>
        <v>-2.6815914465708777</v>
      </c>
      <c r="J147" s="1014">
        <f t="shared" si="16"/>
        <v>3.0000000000000113E-2</v>
      </c>
      <c r="L147" s="17">
        <f t="shared" si="14"/>
        <v>1</v>
      </c>
    </row>
    <row r="148" spans="1:12">
      <c r="A148" s="590" t="s">
        <v>161</v>
      </c>
      <c r="B148" s="591"/>
      <c r="C148" s="805">
        <f>IF(ISNA(VLOOKUP("ROA647100000",Balance!C:G,5,FALSE))=TRUE,0,VLOOKUP("ROA647100000",Balance!C:G,5,FALSE))</f>
        <v>8.74</v>
      </c>
      <c r="D148" s="619">
        <f>+[2]Roanne!$H148</f>
        <v>32.971072500000005</v>
      </c>
      <c r="E148" s="805">
        <f>IF(ISNA(VLOOKUP("ROA647100000",Balanceanp!C:G,5,FALSE))=TRUE,0,VLOOKUP("ROA647100000",Balanceanp!C:G,5,FALSE))</f>
        <v>55.62</v>
      </c>
      <c r="F148" s="593">
        <f>+C148+C148/9*(12-Clients!$I$14)</f>
        <v>11.653333333333334</v>
      </c>
      <c r="G148" s="1030">
        <f>+F148*1.03</f>
        <v>12.002933333333335</v>
      </c>
      <c r="H148" s="1030"/>
      <c r="I148" s="1013">
        <f t="shared" si="16"/>
        <v>-0.79048303967397815</v>
      </c>
      <c r="J148" s="1014">
        <f t="shared" si="16"/>
        <v>3.0000000000000047E-2</v>
      </c>
      <c r="L148" s="17">
        <f t="shared" si="14"/>
        <v>1</v>
      </c>
    </row>
    <row r="149" spans="1:12">
      <c r="A149" s="590" t="s">
        <v>162</v>
      </c>
      <c r="B149" s="591"/>
      <c r="C149" s="805">
        <f>IF(ISNA(VLOOKUP("ROA647400000",Balance!C:G,5,FALSE))=TRUE,0,VLOOKUP("ROA647400000",Balance!C:G,5,FALSE))</f>
        <v>0</v>
      </c>
      <c r="D149" s="619">
        <f>+[2]Roanne!$H149</f>
        <v>120.25215301874998</v>
      </c>
      <c r="E149" s="805">
        <f>IF(ISNA(VLOOKUP("ROA647400000",Balanceanp!C:G,5,FALSE))=TRUE,0,VLOOKUP("ROA647400000",Balanceanp!C:G,5,FALSE))</f>
        <v>59.7</v>
      </c>
      <c r="F149" s="593">
        <f>+C149+C149/9*(12-Clients!$I$14)</f>
        <v>0</v>
      </c>
      <c r="G149" s="1030">
        <f>+F149*1.03</f>
        <v>0</v>
      </c>
      <c r="H149" s="1030"/>
      <c r="I149" s="1013">
        <f t="shared" si="16"/>
        <v>-1</v>
      </c>
      <c r="J149" s="1014">
        <f t="shared" si="16"/>
        <v>0</v>
      </c>
      <c r="L149" s="17">
        <f t="shared" si="14"/>
        <v>1</v>
      </c>
    </row>
    <row r="150" spans="1:12">
      <c r="A150" s="590" t="s">
        <v>163</v>
      </c>
      <c r="B150" s="591"/>
      <c r="C150" s="805">
        <f>IF(ISNA(VLOOKUP("ROA647500000",Balance!C:G,5,FALSE))=TRUE,0,VLOOKUP("ROA647500000",Balance!C:G,5,FALSE))</f>
        <v>452</v>
      </c>
      <c r="D150" s="619">
        <f>+[2]Roanne!$H150</f>
        <v>580.00920533333328</v>
      </c>
      <c r="E150" s="805">
        <f>IF(ISNA(VLOOKUP("ROA647500000",Balanceanp!C:G,5,FALSE))=TRUE,0,VLOOKUP("ROA647500000",Balanceanp!C:G,5,FALSE))</f>
        <v>436</v>
      </c>
      <c r="F150" s="593">
        <f>+C150+C150/9*(12-Clients!$I$14)</f>
        <v>602.66666666666663</v>
      </c>
      <c r="G150" s="1030">
        <f>+F150*1.03</f>
        <v>620.74666666666667</v>
      </c>
      <c r="H150" s="1030"/>
      <c r="I150" s="1013">
        <f t="shared" si="16"/>
        <v>0.38226299694189592</v>
      </c>
      <c r="J150" s="1014">
        <f t="shared" si="16"/>
        <v>3.0000000000000068E-2</v>
      </c>
      <c r="L150" s="17">
        <f t="shared" si="14"/>
        <v>1</v>
      </c>
    </row>
    <row r="151" spans="1:12" hidden="1">
      <c r="A151" s="5" t="s">
        <v>570</v>
      </c>
      <c r="B151" s="92"/>
      <c r="C151" s="160"/>
      <c r="D151" s="117">
        <f>+[2]Roanne!$H151</f>
        <v>0</v>
      </c>
      <c r="E151" s="160"/>
      <c r="F151" s="368"/>
      <c r="G151" s="395"/>
      <c r="H151" s="409"/>
      <c r="I151" s="149"/>
      <c r="J151" s="271"/>
      <c r="L151" s="17">
        <f t="shared" si="14"/>
        <v>0</v>
      </c>
    </row>
    <row r="152" spans="1:12">
      <c r="A152" s="590" t="s">
        <v>58</v>
      </c>
      <c r="B152" s="591"/>
      <c r="C152" s="805">
        <f>IF(ISNA(VLOOKUP("ROA648000000",Balance!C:G,5,FALSE))=TRUE,0,VLOOKUP("ROA648000000",Balance!C:G,5,FALSE))</f>
        <v>0</v>
      </c>
      <c r="D152" s="619">
        <f>+[2]Roanne!$H152</f>
        <v>2135.5967470000005</v>
      </c>
      <c r="E152" s="805">
        <f>IF(ISNA(VLOOKUP("ROA648000000",Balanceanp!C:G,5,FALSE))=TRUE,0,VLOOKUP("ROA648000000",Balanceanp!C:G,5,FALSE))</f>
        <v>18270.128320000003</v>
      </c>
      <c r="F152" s="593">
        <f>+C152+C152/9*(12-Clients!$I$14)</f>
        <v>0</v>
      </c>
      <c r="G152" s="1030">
        <f>+F152*1.03</f>
        <v>0</v>
      </c>
      <c r="H152" s="1030">
        <f>SUM(G141:G152)</f>
        <v>61332.829198018306</v>
      </c>
      <c r="I152" s="1013">
        <f t="shared" si="16"/>
        <v>-1</v>
      </c>
      <c r="J152" s="1014">
        <f t="shared" si="16"/>
        <v>0</v>
      </c>
      <c r="L152" s="17">
        <f t="shared" si="14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13" t="s">
        <v>164</v>
      </c>
      <c r="B154" s="596">
        <f>+C154/$C$21</f>
        <v>0.14152989353385434</v>
      </c>
      <c r="C154" s="803">
        <f>SUM(C130:C153)</f>
        <v>149837.82</v>
      </c>
      <c r="D154" s="597">
        <f>SUM(D130:D153)</f>
        <v>234195.64995966348</v>
      </c>
      <c r="E154" s="803">
        <f>SUM(E130:E153)</f>
        <v>268366.83832000004</v>
      </c>
      <c r="F154" s="597">
        <f>SUM(F130:F153)</f>
        <v>199783.75999999995</v>
      </c>
      <c r="G154" s="597">
        <f>SUM(G130:G153)</f>
        <v>213166.82919801836</v>
      </c>
      <c r="H154" s="814">
        <f>+G154/$G$21</f>
        <v>0.15008398068742285</v>
      </c>
      <c r="I154" s="596">
        <f>+IF((E154)=0,,(F154-E154)/E154)</f>
        <v>-0.2555572020348571</v>
      </c>
      <c r="J154" s="1015">
        <f>+IF((F154)=0,,(G154-F154)/F154)</f>
        <v>6.6987773170443923E-2</v>
      </c>
      <c r="K154" s="136">
        <f>(C154+(C154/3))</f>
        <v>199783.76</v>
      </c>
      <c r="L154" s="17">
        <f t="shared" si="14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590" t="s">
        <v>545</v>
      </c>
      <c r="B156" s="591">
        <v>0.65269999999999995</v>
      </c>
      <c r="C156" s="805">
        <f>IF(ISNA(VLOOKUP("ROA681740000",Balance!C:G,5,FALSE))=TRUE,0,VLOOKUP("ROA681740000",Balance!C:G,5,FALSE))</f>
        <v>7742.25</v>
      </c>
      <c r="D156" s="619">
        <f>+[2]Roanne!$H156</f>
        <v>17566.64569338</v>
      </c>
      <c r="E156" s="805">
        <f>IF(ISNA(VLOOKUP("ROA681740000",Balanceanp!C:G,5,FALSE))=TRUE,0,VLOOKUP("ROA681740000",Balanceanp!C:G,5,FALSE))</f>
        <v>6193.16</v>
      </c>
      <c r="F156" s="593">
        <f>+C156+C156/9*(12-Clients!$I$14)</f>
        <v>10323</v>
      </c>
      <c r="G156" s="636">
        <f>+G21*B156*1.62%</f>
        <v>15018.06267558</v>
      </c>
      <c r="H156" s="1034"/>
      <c r="I156" s="1013">
        <f t="shared" ref="I156:J166" si="17">+IF((E156)=0,,(F156-E156)/E156)</f>
        <v>0.66683889968933474</v>
      </c>
      <c r="J156" s="1014">
        <f t="shared" si="17"/>
        <v>0.45481571980819535</v>
      </c>
      <c r="L156" s="17">
        <f t="shared" si="14"/>
        <v>1</v>
      </c>
    </row>
    <row r="157" spans="1:12">
      <c r="A157" s="590" t="s">
        <v>165</v>
      </c>
      <c r="B157" s="591"/>
      <c r="C157" s="805">
        <f>IF(ISNA(VLOOKUP("ROA781740000",Balance!C:G,5,FALSE))=TRUE,0,VLOOKUP("ROA781740000",Balance!C:G,5,FALSE))</f>
        <v>-2880.3</v>
      </c>
      <c r="D157" s="619">
        <f>+[2]Roanne!$H157</f>
        <v>0</v>
      </c>
      <c r="E157" s="805">
        <f>IF(ISNA(VLOOKUP("ROA781740000",Balanceanp!C:G,5,FALSE))=TRUE,0,VLOOKUP("ROA781740000",Balanceanp!C:G,5,FALSE))</f>
        <v>-1207.32</v>
      </c>
      <c r="F157" s="593">
        <f>+C157+C157/9*(12-Clients!$I$14)</f>
        <v>-3840.4000000000005</v>
      </c>
      <c r="G157" s="1030">
        <v>0</v>
      </c>
      <c r="H157" s="1030"/>
      <c r="I157" s="1013">
        <f t="shared" si="17"/>
        <v>2.1809296623927383</v>
      </c>
      <c r="J157" s="1014">
        <f t="shared" si="17"/>
        <v>-1</v>
      </c>
      <c r="L157" s="17">
        <f t="shared" si="14"/>
        <v>1</v>
      </c>
    </row>
    <row r="158" spans="1:12">
      <c r="A158" s="590" t="s">
        <v>166</v>
      </c>
      <c r="B158" s="591"/>
      <c r="C158" s="805">
        <f>IF(ISNA(VLOOKUP("ROA654400000",Balance!C:G,5,FALSE))=TRUE,0,VLOOKUP("ROA654400000",Balance!C:G,5,FALSE))</f>
        <v>5185.18</v>
      </c>
      <c r="D158" s="619">
        <f>+[2]Roanne!$H158</f>
        <v>0</v>
      </c>
      <c r="E158" s="805">
        <f>IF(ISNA(VLOOKUP("ROA654400000",Balanceanp!C:G,5,FALSE))=TRUE,0,VLOOKUP("ROA654400000",Balanceanp!C:G,5,FALSE))</f>
        <v>499</v>
      </c>
      <c r="F158" s="593">
        <f>+C158+C158/9*(12-Clients!$I$14)</f>
        <v>6913.5733333333337</v>
      </c>
      <c r="G158" s="1030">
        <v>0</v>
      </c>
      <c r="H158" s="1030"/>
      <c r="I158" s="1013">
        <f t="shared" si="17"/>
        <v>12.854856379425518</v>
      </c>
      <c r="J158" s="1014">
        <f t="shared" si="17"/>
        <v>-1</v>
      </c>
      <c r="L158" s="17">
        <f t="shared" si="14"/>
        <v>1</v>
      </c>
    </row>
    <row r="159" spans="1:12">
      <c r="A159" s="590" t="s">
        <v>60</v>
      </c>
      <c r="B159" s="591"/>
      <c r="C159" s="805">
        <f>IF(ISNA(VLOOKUP("ROA791100000",Balance!C:G,5,FALSE))=TRUE,0,VLOOKUP("ROA791100000",Balance!C:G,5,FALSE))</f>
        <v>-2304.88</v>
      </c>
      <c r="D159" s="619">
        <f>+[2]Roanne!$H159</f>
        <v>0</v>
      </c>
      <c r="E159" s="805">
        <f>IF(ISNA(VLOOKUP("ROA791100000",Balanceanp!C:G,5,FALSE))=TRUE,0,VLOOKUP("ROA791100000",Balanceanp!C:G,5,FALSE))</f>
        <v>0</v>
      </c>
      <c r="F159" s="593">
        <f>+C159+C159/9*(12-Clients!$I$14)</f>
        <v>-3073.1733333333332</v>
      </c>
      <c r="G159" s="1030">
        <v>0</v>
      </c>
      <c r="H159" s="1030"/>
      <c r="I159" s="1013">
        <f t="shared" si="17"/>
        <v>0</v>
      </c>
      <c r="J159" s="1014">
        <f t="shared" si="17"/>
        <v>-1</v>
      </c>
      <c r="L159" s="17">
        <f t="shared" si="14"/>
        <v>1</v>
      </c>
    </row>
    <row r="160" spans="1:12">
      <c r="A160" s="590" t="s">
        <v>199</v>
      </c>
      <c r="B160" s="591"/>
      <c r="C160" s="805">
        <f>IF(ISNA(VLOOKUP("ROA654100000",Balance!C:G,5,FALSE))=TRUE,0,VLOOKUP("ROA654100000",Balance!C:G,5,FALSE))</f>
        <v>33.989999999999995</v>
      </c>
      <c r="D160" s="619">
        <f>+[2]Roanne!$H160</f>
        <v>0</v>
      </c>
      <c r="E160" s="805">
        <f>IF(ISNA(VLOOKUP("ROA654100000",Balanceanp!C:G,5,FALSE))=TRUE,0,VLOOKUP("ROA654100000",Balanceanp!C:G,5,FALSE))</f>
        <v>66.760000000000005</v>
      </c>
      <c r="F160" s="593">
        <f>+C160+C160/9*(12-Clients!$I$14)</f>
        <v>45.319999999999993</v>
      </c>
      <c r="G160" s="1030">
        <v>0</v>
      </c>
      <c r="H160" s="1030"/>
      <c r="I160" s="1013">
        <f t="shared" si="17"/>
        <v>-0.32115038945476349</v>
      </c>
      <c r="J160" s="1014">
        <f t="shared" si="17"/>
        <v>-1</v>
      </c>
      <c r="L160" s="17">
        <f t="shared" si="14"/>
        <v>1</v>
      </c>
    </row>
    <row r="161" spans="1:12">
      <c r="A161" s="590" t="s">
        <v>41</v>
      </c>
      <c r="B161" s="591"/>
      <c r="C161" s="805">
        <f>IF(ISNA(VLOOKUP("ROA622700000",Balance!C:G,5,FALSE))=TRUE,0,VLOOKUP("ROA622700000",Balance!C:G,5,FALSE))</f>
        <v>765.91000000000008</v>
      </c>
      <c r="D161" s="619">
        <f>+[2]Roanne!$H161</f>
        <v>128.21294440732606</v>
      </c>
      <c r="E161" s="805">
        <f>IF(ISNA(VLOOKUP("ROA622700000",Balanceanp!C:G,5,FALSE))=TRUE,0,VLOOKUP("ROA622700000",Balanceanp!C:G,5,FALSE))</f>
        <v>303.08999999999997</v>
      </c>
      <c r="F161" s="593">
        <f>+C161+C161/9*(12-Clients!$I$14)</f>
        <v>1021.2133333333335</v>
      </c>
      <c r="G161" s="1030">
        <f t="shared" ref="G161:G166" si="18">+F161*1.03</f>
        <v>1051.8497333333335</v>
      </c>
      <c r="H161" s="1030"/>
      <c r="I161" s="1013">
        <f t="shared" si="17"/>
        <v>2.3693402399727259</v>
      </c>
      <c r="J161" s="1014">
        <f t="shared" si="17"/>
        <v>2.9999999999999978E-2</v>
      </c>
      <c r="L161" s="17">
        <f t="shared" si="14"/>
        <v>1</v>
      </c>
    </row>
    <row r="162" spans="1:12">
      <c r="A162" s="590" t="s">
        <v>355</v>
      </c>
      <c r="B162" s="591"/>
      <c r="C162" s="805">
        <f>IF(ISNA(VLOOKUP("ROA654200000",Balance!C:G,5,FALSE))=TRUE,0,VLOOKUP("ROA654200000",Balance!C:G,5,FALSE))</f>
        <v>57.34</v>
      </c>
      <c r="D162" s="619">
        <f>+[2]Roanne!$H162</f>
        <v>29.220732632868408</v>
      </c>
      <c r="E162" s="805">
        <f>IF(ISNA(VLOOKUP("ROA654200000",Balanceanp!C:G,5,FALSE))=TRUE,0,VLOOKUP("ROA654200000",Balanceanp!C:G,5,FALSE))</f>
        <v>17.96</v>
      </c>
      <c r="F162" s="593">
        <f>+C162+C162/9*(12-Clients!$I$14)</f>
        <v>76.453333333333333</v>
      </c>
      <c r="G162" s="1030">
        <f t="shared" si="18"/>
        <v>78.746933333333331</v>
      </c>
      <c r="H162" s="1030"/>
      <c r="I162" s="1013">
        <f t="shared" si="17"/>
        <v>3.2568671121009647</v>
      </c>
      <c r="J162" s="1014">
        <f t="shared" si="17"/>
        <v>2.9999999999999971E-2</v>
      </c>
      <c r="L162" s="17">
        <f t="shared" si="14"/>
        <v>1</v>
      </c>
    </row>
    <row r="163" spans="1:12">
      <c r="A163" s="590" t="s">
        <v>200</v>
      </c>
      <c r="B163" s="591"/>
      <c r="C163" s="805">
        <f>IF(ISNA(VLOOKUP("ROA665000000",Balance!C:G,5,FALSE))=TRUE,0,VLOOKUP("ROA665000000",Balance!C:G,5,FALSE))+IF(ISNA(VLOOKUP("ROA665100000",Balance!C:G,5,FALSE))=TRUE,0,VLOOKUP("ROA665100000",Balance!C:G,5,FALSE))</f>
        <v>1277.03</v>
      </c>
      <c r="D163" s="619">
        <f>+[2]Roanne!$H163</f>
        <v>2155.2783104622372</v>
      </c>
      <c r="E163" s="805">
        <f>IF(ISNA(VLOOKUP("ROA665000000",Balanceanp!C:G,5,FALSE))=TRUE,0,VLOOKUP("ROA665000000",Balanceanp!C:G,5,FALSE))+IF(ISNA(VLOOKUP("ROA665100000",Balanceanp!C:G,5,FALSE))=TRUE,0,VLOOKUP("ROA665100000",Balanceanp!C:G,5,FALSE))</f>
        <v>1955.14</v>
      </c>
      <c r="F163" s="593">
        <f>+C163+C163/9*(12-Clients!$I$14)</f>
        <v>1702.7066666666665</v>
      </c>
      <c r="G163" s="1030">
        <f t="shared" si="18"/>
        <v>1753.7878666666666</v>
      </c>
      <c r="H163" s="1030"/>
      <c r="I163" s="1013">
        <f t="shared" si="17"/>
        <v>-0.12911266371376659</v>
      </c>
      <c r="J163" s="1014">
        <f t="shared" si="17"/>
        <v>3.0000000000000051E-2</v>
      </c>
      <c r="L163" s="17">
        <f t="shared" si="14"/>
        <v>1</v>
      </c>
    </row>
    <row r="164" spans="1:12">
      <c r="A164" s="590" t="s">
        <v>271</v>
      </c>
      <c r="B164" s="591"/>
      <c r="C164" s="805">
        <f>IF(ISNA(VLOOKUP("ROA763000000",Balance!C:G,5,FALSE))=TRUE,0,VLOOKUP("ROA763000000",Balance!C:G,5,FALSE))+IF(ISNA(VLOOKUP("ROA763110000",Balance!C:G,5,FALSE))=TRUE,0,VLOOKUP("ROA763110000",Balance!C:G,5,FALSE))</f>
        <v>-30.689999999999998</v>
      </c>
      <c r="D164" s="619">
        <f>+[2]Roanne!$H164</f>
        <v>-109.93956488984377</v>
      </c>
      <c r="E164" s="805">
        <f>IF(ISNA(VLOOKUP("ROA763000000",Balanceanp!C:G,5,FALSE))=TRUE,0,VLOOKUP("ROA763000000",Balanceanp!C:G,5,FALSE))</f>
        <v>-125.81</v>
      </c>
      <c r="F164" s="593">
        <f>+C164+C164/9*(12-Clients!$I$14)</f>
        <v>-40.919999999999995</v>
      </c>
      <c r="G164" s="1030">
        <f t="shared" si="18"/>
        <v>-42.147599999999997</v>
      </c>
      <c r="H164" s="1030"/>
      <c r="I164" s="1013">
        <f t="shared" si="17"/>
        <v>-0.67474763532310633</v>
      </c>
      <c r="J164" s="1014">
        <f t="shared" si="17"/>
        <v>3.0000000000000065E-2</v>
      </c>
      <c r="L164" s="17">
        <f t="shared" si="14"/>
        <v>1</v>
      </c>
    </row>
    <row r="165" spans="1:12">
      <c r="A165" s="590" t="s">
        <v>242</v>
      </c>
      <c r="B165" s="591"/>
      <c r="C165" s="805">
        <f>IF(ISNA(VLOOKUP("ROA627520000",Balance!C:G,5,FALSE))=TRUE,0,VLOOKUP("ROA627520000",Balance!C:G,5,FALSE))</f>
        <v>286.5</v>
      </c>
      <c r="D165" s="619">
        <f>+[2]Roanne!$H165</f>
        <v>361.01661239526044</v>
      </c>
      <c r="E165" s="805">
        <f>IF(ISNA(VLOOKUP("ROA627520000",Balanceanp!C:G,5,FALSE))=TRUE,0,VLOOKUP("ROA627520000",Balanceanp!C:G,5,FALSE))</f>
        <v>316.89999999999998</v>
      </c>
      <c r="F165" s="593">
        <f>+C165+C165/9*(12-Clients!$I$14)</f>
        <v>382</v>
      </c>
      <c r="G165" s="1030">
        <f t="shared" si="18"/>
        <v>393.46000000000004</v>
      </c>
      <c r="H165" s="1030"/>
      <c r="I165" s="1013">
        <f t="shared" si="17"/>
        <v>0.20542757967813199</v>
      </c>
      <c r="J165" s="1014">
        <f t="shared" si="17"/>
        <v>3.0000000000000096E-2</v>
      </c>
      <c r="L165" s="17">
        <f t="shared" si="14"/>
        <v>1</v>
      </c>
    </row>
    <row r="166" spans="1:12">
      <c r="A166" s="590" t="s">
        <v>201</v>
      </c>
      <c r="B166" s="591"/>
      <c r="C166" s="805">
        <f>IF(ISNA(VLOOKUP("ROA763100000",Balance!C:G,5,FALSE))=TRUE,0,VLOOKUP("ROA763100000",Balance!C:G,5,FALSE))</f>
        <v>0</v>
      </c>
      <c r="D166" s="619">
        <f>+[2]Roanne!$H166</f>
        <v>-6.8295437500000007E-4</v>
      </c>
      <c r="E166" s="805">
        <f>IF(ISNA(VLOOKUP("ROA763100000",Balanceanp!C:G,5,FALSE))=TRUE,0,VLOOKUP("ROA763100000",Balanceanp!C:G,5,FALSE))</f>
        <v>0</v>
      </c>
      <c r="F166" s="593">
        <f>+C166+C166/9*(12-Clients!$I$14)</f>
        <v>0</v>
      </c>
      <c r="G166" s="1030">
        <f t="shared" si="18"/>
        <v>0</v>
      </c>
      <c r="H166" s="1030"/>
      <c r="I166" s="1013">
        <f t="shared" si="17"/>
        <v>0</v>
      </c>
      <c r="J166" s="1014">
        <f t="shared" si="17"/>
        <v>0</v>
      </c>
      <c r="L166" s="17">
        <f t="shared" si="14"/>
        <v>1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13" t="s">
        <v>74</v>
      </c>
      <c r="B168" s="596">
        <f>+C168/$C$21</f>
        <v>9.5705315663954429E-3</v>
      </c>
      <c r="C168" s="803">
        <f>SUM(C155:C167)</f>
        <v>10132.330000000002</v>
      </c>
      <c r="D168" s="597">
        <f>SUM(D155:D167)</f>
        <v>20130.434045433474</v>
      </c>
      <c r="E168" s="803">
        <f>SUM(E155:E167)</f>
        <v>8018.88</v>
      </c>
      <c r="F168" s="597">
        <f>SUM(F155:F167)</f>
        <v>13509.773333333333</v>
      </c>
      <c r="G168" s="597">
        <f>SUM(G155:G167)</f>
        <v>18253.759608913333</v>
      </c>
      <c r="H168" s="814">
        <f>+G168/$G$21</f>
        <v>1.2851891239007441E-2</v>
      </c>
      <c r="I168" s="596">
        <f>+IF((E168)=0,,(F168-E168)/E168)</f>
        <v>0.68474566689279959</v>
      </c>
      <c r="J168" s="1015">
        <f>+IF((F168)=0,,(G168-F168)/F168)</f>
        <v>0.3511521739506116</v>
      </c>
      <c r="K168" s="136">
        <f>(C168+(C168/3))</f>
        <v>13509.773333333336</v>
      </c>
      <c r="L168" s="17">
        <f t="shared" si="14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 hidden="1">
      <c r="A170" s="5" t="s">
        <v>230</v>
      </c>
      <c r="B170" s="92"/>
      <c r="C170" s="160">
        <f>IF(ISNA(VLOOKUP("ROA651100000",Balance!C:G,5,FALSE))=TRUE,0,VLOOKUP("ROA651100000",Balance!C:G,5,FALSE))</f>
        <v>0</v>
      </c>
      <c r="D170" s="117">
        <f>+[2]Roanne!$H170</f>
        <v>0</v>
      </c>
      <c r="E170" s="160">
        <f>IF(ISNA(VLOOKUP("ROA651100000",Balanceanp!C:G,5,FALSE))=TRUE,0,VLOOKUP("ROA651100000",Balanceanp!C:G,5,FALSE))</f>
        <v>0</v>
      </c>
      <c r="F170" s="368">
        <f>+C170+C170/9*(12-Clients!$I$14)</f>
        <v>0</v>
      </c>
      <c r="G170" s="396">
        <f t="shared" ref="G170:G183" si="19">+F170*1.03</f>
        <v>0</v>
      </c>
      <c r="H170" s="409"/>
      <c r="I170" s="149">
        <f t="shared" ref="I170:J183" si="20">+IF((E170)=0,,(F170-E170)/E170)</f>
        <v>0</v>
      </c>
      <c r="J170" s="271">
        <f t="shared" si="20"/>
        <v>0</v>
      </c>
      <c r="L170" s="17">
        <f t="shared" si="14"/>
        <v>0</v>
      </c>
    </row>
    <row r="171" spans="1:12" hidden="1">
      <c r="A171" s="5" t="s">
        <v>168</v>
      </c>
      <c r="B171" s="92"/>
      <c r="C171" s="160">
        <f>IF(ISNA(VLOOKUP("ROA651600000",Balance!C:G,5,FALSE))=TRUE,0,VLOOKUP("ROA651600000",Balance!C:G,5,FALSE))</f>
        <v>0</v>
      </c>
      <c r="D171" s="117">
        <f>+[2]Roanne!$H171</f>
        <v>0</v>
      </c>
      <c r="E171" s="160">
        <f>IF(ISNA(VLOOKUP("ROA651600000",Balanceanp!C:G,5,FALSE))=TRUE,0,VLOOKUP("ROA651600000",Balanceanp!C:G,5,FALSE))</f>
        <v>0</v>
      </c>
      <c r="F171" s="368">
        <f>+C171+C171/9*(12-Clients!$I$14)</f>
        <v>0</v>
      </c>
      <c r="G171" s="396">
        <f t="shared" si="19"/>
        <v>0</v>
      </c>
      <c r="H171" s="409"/>
      <c r="I171" s="149">
        <f t="shared" si="20"/>
        <v>0</v>
      </c>
      <c r="J171" s="271">
        <f t="shared" si="20"/>
        <v>0</v>
      </c>
      <c r="L171" s="17">
        <f t="shared" si="14"/>
        <v>0</v>
      </c>
    </row>
    <row r="172" spans="1:12" hidden="1">
      <c r="A172" s="5" t="s">
        <v>169</v>
      </c>
      <c r="B172" s="92"/>
      <c r="C172" s="160">
        <f>IF(ISNA(VLOOKUP("ROA671200000",Balance!C:G,5,FALSE))=TRUE,0,VLOOKUP("ROA671200000",Balance!C:G,5,FALSE))</f>
        <v>0</v>
      </c>
      <c r="D172" s="117">
        <f>+[2]Roanne!$H172</f>
        <v>0</v>
      </c>
      <c r="E172" s="160">
        <f>IF(ISNA(VLOOKUP("ROA671200000",Balanceanp!C:G,5,FALSE))=TRUE,0,VLOOKUP("ROA671200000",Balanceanp!C:G,5,FALSE))</f>
        <v>0</v>
      </c>
      <c r="F172" s="368">
        <f>+C172+C172/9*(12-Clients!$I$14)</f>
        <v>0</v>
      </c>
      <c r="G172" s="396">
        <f t="shared" si="19"/>
        <v>0</v>
      </c>
      <c r="H172" s="409"/>
      <c r="I172" s="149">
        <f t="shared" si="20"/>
        <v>0</v>
      </c>
      <c r="J172" s="271">
        <f t="shared" si="20"/>
        <v>0</v>
      </c>
      <c r="L172" s="17">
        <f t="shared" si="14"/>
        <v>0</v>
      </c>
    </row>
    <row r="173" spans="1:12">
      <c r="A173" s="590" t="s">
        <v>170</v>
      </c>
      <c r="B173" s="591"/>
      <c r="C173" s="805">
        <f>IF(ISNA(VLOOKUP("ROA671800000",Balance!C:G,5,FALSE))=TRUE,0,VLOOKUP("ROA671800000",Balance!C:G,5,FALSE))</f>
        <v>58</v>
      </c>
      <c r="D173" s="619">
        <f>+[2]Roanne!$H173</f>
        <v>2203.1390999999999</v>
      </c>
      <c r="E173" s="805">
        <f>IF(ISNA(VLOOKUP("ROA671800000",Balanceanp!C:G,5,FALSE))=TRUE,0,VLOOKUP("ROA671800000",Balanceanp!C:G,5,FALSE))+IF(ISNA(VLOOKUP("ROA658000000",Balanceanp!C:G,5,FALSE))=TRUE,0,VLOOKUP("ROA658000000",Balanceanp!C:G,5,FALSE))</f>
        <v>2138.9699999999998</v>
      </c>
      <c r="F173" s="593">
        <f>+C173+C173/9*(12-Clients!$I$14)</f>
        <v>77.333333333333343</v>
      </c>
      <c r="G173" s="1030">
        <f t="shared" si="19"/>
        <v>79.65333333333335</v>
      </c>
      <c r="H173" s="1030"/>
      <c r="I173" s="1013">
        <f t="shared" si="20"/>
        <v>-0.96384552689690206</v>
      </c>
      <c r="J173" s="1014">
        <f t="shared" si="20"/>
        <v>3.0000000000000093E-2</v>
      </c>
      <c r="L173" s="17">
        <f t="shared" si="14"/>
        <v>1</v>
      </c>
    </row>
    <row r="174" spans="1:12" hidden="1">
      <c r="A174" s="5" t="s">
        <v>171</v>
      </c>
      <c r="B174" s="92"/>
      <c r="C174" s="160">
        <f>IF(ISNA(VLOOKUP("ROA672000000",Balance!C:G,5,FALSE))=TRUE,0,VLOOKUP("ROA672000000",Balance!C:G,5,FALSE))</f>
        <v>0</v>
      </c>
      <c r="D174" s="117">
        <f>+[2]Roanne!$H174</f>
        <v>0</v>
      </c>
      <c r="E174" s="160">
        <f>IF(ISNA(VLOOKUP("ROA672000000",Balanceanp!C:G,5,FALSE))=TRUE,0,VLOOKUP("ROA672000000",Balanceanp!C:G,5,FALSE))</f>
        <v>0</v>
      </c>
      <c r="F174" s="368">
        <f>+C174+C174/9*(12-Clients!$I$14)</f>
        <v>0</v>
      </c>
      <c r="G174" s="396">
        <f t="shared" si="19"/>
        <v>0</v>
      </c>
      <c r="H174" s="409"/>
      <c r="I174" s="149">
        <f t="shared" si="20"/>
        <v>0</v>
      </c>
      <c r="J174" s="271">
        <f t="shared" si="20"/>
        <v>0</v>
      </c>
      <c r="L174" s="17">
        <f t="shared" si="14"/>
        <v>0</v>
      </c>
    </row>
    <row r="175" spans="1:12" hidden="1">
      <c r="A175" s="5" t="s">
        <v>308</v>
      </c>
      <c r="B175" s="92"/>
      <c r="C175" s="160">
        <f>IF(ISNA(VLOOKUP("ROA691100000",Balance!C:G,5,FALSE))=TRUE,0,VLOOKUP("ROA691100000",Balance!C:G,5,FALSE))</f>
        <v>0</v>
      </c>
      <c r="D175" s="117">
        <f>+[2]Roanne!$H175</f>
        <v>0</v>
      </c>
      <c r="E175" s="160">
        <f>IF(ISNA(VLOOKUP("ROA691100000",Balanceanp!C:G,5,FALSE))=TRUE,0,VLOOKUP("ROA691100000",Balanceanp!C:G,5,FALSE))</f>
        <v>0</v>
      </c>
      <c r="F175" s="368">
        <f>+C175+C175/9*(12-Clients!$I$14)</f>
        <v>0</v>
      </c>
      <c r="G175" s="396">
        <f t="shared" si="19"/>
        <v>0</v>
      </c>
      <c r="H175" s="409"/>
      <c r="I175" s="149">
        <f t="shared" si="20"/>
        <v>0</v>
      </c>
      <c r="J175" s="271">
        <f t="shared" si="20"/>
        <v>0</v>
      </c>
      <c r="L175" s="17">
        <f t="shared" si="14"/>
        <v>0</v>
      </c>
    </row>
    <row r="176" spans="1:12" hidden="1">
      <c r="A176" s="5" t="s">
        <v>172</v>
      </c>
      <c r="B176" s="92"/>
      <c r="C176" s="160">
        <f>IF(ISNA(VLOOKUP("ROA675100000",Balance!C:G,5,FALSE))=TRUE,0,VLOOKUP("ROA675100000",Balance!C:G,5,FALSE))</f>
        <v>0</v>
      </c>
      <c r="D176" s="117">
        <f>+[2]Roanne!$H176</f>
        <v>0</v>
      </c>
      <c r="E176" s="160">
        <f>IF(ISNA(VLOOKUP("ROA675100000",Balanceanp!C:G,5,FALSE))=TRUE,0,VLOOKUP("ROA675100000",Balanceanp!C:G,5,FALSE))</f>
        <v>0</v>
      </c>
      <c r="F176" s="368">
        <f>+C176+C176/9*(12-Clients!$I$14)</f>
        <v>0</v>
      </c>
      <c r="G176" s="396">
        <f t="shared" si="19"/>
        <v>0</v>
      </c>
      <c r="H176" s="409"/>
      <c r="I176" s="149">
        <f t="shared" si="20"/>
        <v>0</v>
      </c>
      <c r="J176" s="271">
        <f t="shared" si="20"/>
        <v>0</v>
      </c>
      <c r="L176" s="17">
        <f t="shared" si="14"/>
        <v>0</v>
      </c>
    </row>
    <row r="177" spans="1:12">
      <c r="A177" s="590" t="s">
        <v>173</v>
      </c>
      <c r="B177" s="591"/>
      <c r="C177" s="805">
        <f>IF(ISNA(VLOOKUP("ROA675200000",Balance!C:G,5,FALSE))=TRUE,0,VLOOKUP("ROA675200000",Balance!C:G,5,FALSE))</f>
        <v>0</v>
      </c>
      <c r="D177" s="619">
        <f>+[2]Roanne!$H177</f>
        <v>0</v>
      </c>
      <c r="E177" s="805">
        <f>IF(ISNA(VLOOKUP("ROA675200000",Balanceanp!C:G,5,FALSE))=TRUE,0,VLOOKUP("ROA675200000",Balanceanp!C:G,5,FALSE))</f>
        <v>1377.78</v>
      </c>
      <c r="F177" s="593">
        <f>+C177+C177/9*(12-Clients!$I$14)</f>
        <v>0</v>
      </c>
      <c r="G177" s="1030">
        <f t="shared" si="19"/>
        <v>0</v>
      </c>
      <c r="H177" s="1030"/>
      <c r="I177" s="1013">
        <f t="shared" si="20"/>
        <v>-1</v>
      </c>
      <c r="J177" s="1014">
        <f t="shared" si="20"/>
        <v>0</v>
      </c>
      <c r="L177" s="17">
        <f t="shared" si="14"/>
        <v>1</v>
      </c>
    </row>
    <row r="178" spans="1:12" hidden="1">
      <c r="A178" s="5" t="s">
        <v>174</v>
      </c>
      <c r="B178" s="92"/>
      <c r="C178" s="160">
        <f>IF(ISNA(VLOOKUP("ROA681110000",Balance!C:G,5,FALSE))=TRUE,0,VLOOKUP("ROA681110000",Balance!C:G,5,FALSE))</f>
        <v>0</v>
      </c>
      <c r="D178" s="117">
        <f>+[2]Roanne!$H178</f>
        <v>0</v>
      </c>
      <c r="E178" s="160">
        <f>IF(ISNA(VLOOKUP("ROA681110000",Balanceanp!C:G,5,FALSE))=TRUE,0,VLOOKUP("ROA681110000",Balanceanp!C:G,5,FALSE))</f>
        <v>0</v>
      </c>
      <c r="F178" s="368">
        <f>+C178+C178/9*(12-Clients!$I$14)</f>
        <v>0</v>
      </c>
      <c r="G178" s="396">
        <f t="shared" si="19"/>
        <v>0</v>
      </c>
      <c r="H178" s="409"/>
      <c r="I178" s="149">
        <f t="shared" si="20"/>
        <v>0</v>
      </c>
      <c r="J178" s="271">
        <f t="shared" si="20"/>
        <v>0</v>
      </c>
      <c r="L178" s="17">
        <f t="shared" si="14"/>
        <v>0</v>
      </c>
    </row>
    <row r="179" spans="1:12">
      <c r="A179" s="590" t="s">
        <v>175</v>
      </c>
      <c r="B179" s="591"/>
      <c r="C179" s="805">
        <f>IF(ISNA(VLOOKUP("ROA681120000",Balance!C:G,5,FALSE))=TRUE,0,VLOOKUP("ROA681120000",Balance!C:G,5,FALSE))</f>
        <v>6525</v>
      </c>
      <c r="D179" s="619">
        <f>+[2]Roanne!$H179</f>
        <v>8700</v>
      </c>
      <c r="E179" s="805">
        <f>IF(ISNA(VLOOKUP("ROA681120000",Balanceanp!C:G,5,FALSE))=TRUE,0,VLOOKUP("ROA681120000",Balanceanp!C:G,5,FALSE))</f>
        <v>14657.84</v>
      </c>
      <c r="F179" s="631">
        <v>7684.72</v>
      </c>
      <c r="G179" s="636">
        <f>6490.7+500+G255/10</f>
        <v>7990.7</v>
      </c>
      <c r="H179" s="638"/>
      <c r="I179" s="1013">
        <f t="shared" si="20"/>
        <v>-0.47572630073735284</v>
      </c>
      <c r="J179" s="1014">
        <f t="shared" si="20"/>
        <v>3.9816675168386037E-2</v>
      </c>
      <c r="L179" s="17">
        <f t="shared" si="14"/>
        <v>1</v>
      </c>
    </row>
    <row r="180" spans="1:12">
      <c r="A180" s="590" t="s">
        <v>78</v>
      </c>
      <c r="B180" s="591"/>
      <c r="C180" s="805">
        <f>IF(ISNA(VLOOKUP("ROA687250000",Balance!C:G,5,FALSE))=TRUE,0,+VLOOKUP("ROA687250000",Balance!C:G,5,FALSE))</f>
        <v>0</v>
      </c>
      <c r="D180" s="619">
        <f>+[2]Roanne!$H180</f>
        <v>0</v>
      </c>
      <c r="E180" s="805">
        <f>IF(ISNA(VLOOKUP("ROA687250000",Balanceanp!C:G,5,FALSE))=TRUE,0,+VLOOKUP("ROA687250000",Balanceanp!C:G,5,FALSE))</f>
        <v>2486.96</v>
      </c>
      <c r="F180" s="593">
        <f>+C180+C180/9*(12-Clients!$I$14)</f>
        <v>0</v>
      </c>
      <c r="G180" s="1030">
        <f t="shared" si="19"/>
        <v>0</v>
      </c>
      <c r="H180" s="1030"/>
      <c r="I180" s="1013">
        <f t="shared" si="20"/>
        <v>-1</v>
      </c>
      <c r="J180" s="1014">
        <f t="shared" si="20"/>
        <v>0</v>
      </c>
      <c r="L180" s="17">
        <f t="shared" si="14"/>
        <v>1</v>
      </c>
    </row>
    <row r="181" spans="1:12" hidden="1">
      <c r="A181" s="5" t="s">
        <v>327</v>
      </c>
      <c r="B181" s="92"/>
      <c r="C181" s="160">
        <f>IF(ISNA(VLOOKUP("ROA661880000",Balance!C:G,5,FALSE))=TRUE,0,+VLOOKUP("ROA661880000",Balance!C:G,5,FALSE))</f>
        <v>0</v>
      </c>
      <c r="D181" s="117">
        <f>+[2]Roanne!$H181</f>
        <v>0</v>
      </c>
      <c r="E181" s="160">
        <f>IF(ISNA(VLOOKUP("ROA661880000",Balanceanp!C:G,5,FALSE))=TRUE,0,+VLOOKUP("ROA661880000",Balanceanp!C:G,5,FALSE))</f>
        <v>0</v>
      </c>
      <c r="F181" s="368">
        <f>+C181+C181/9*(12-Clients!$I$14)</f>
        <v>0</v>
      </c>
      <c r="G181" s="396">
        <f t="shared" si="19"/>
        <v>0</v>
      </c>
      <c r="H181" s="409"/>
      <c r="I181" s="149">
        <f t="shared" si="20"/>
        <v>0</v>
      </c>
      <c r="J181" s="271">
        <f t="shared" si="20"/>
        <v>0</v>
      </c>
      <c r="L181" s="17">
        <f t="shared" si="14"/>
        <v>0</v>
      </c>
    </row>
    <row r="182" spans="1:12" hidden="1">
      <c r="A182" s="5" t="s">
        <v>82</v>
      </c>
      <c r="B182" s="92"/>
      <c r="C182" s="160"/>
      <c r="D182" s="117">
        <f>+[2]Roanne!$H182</f>
        <v>0</v>
      </c>
      <c r="E182" s="160"/>
      <c r="F182" s="368">
        <f>+C182+C182/9*(12-Clients!$I$14)</f>
        <v>0</v>
      </c>
      <c r="G182" s="396">
        <f t="shared" si="19"/>
        <v>0</v>
      </c>
      <c r="H182" s="409"/>
      <c r="I182" s="149">
        <f t="shared" si="20"/>
        <v>0</v>
      </c>
      <c r="J182" s="271">
        <f t="shared" si="20"/>
        <v>0</v>
      </c>
      <c r="L182" s="17">
        <f t="shared" si="14"/>
        <v>0</v>
      </c>
    </row>
    <row r="183" spans="1:12" hidden="1">
      <c r="A183" s="5" t="s">
        <v>331</v>
      </c>
      <c r="B183" s="92"/>
      <c r="C183" s="160">
        <f>IF(ISNA(VLOOKUP("roa681500000",Balance!C:G,5,FALSE))=TRUE,0,VLOOKUP("roa681500000",Balance!C:G,5,FALSE))</f>
        <v>0</v>
      </c>
      <c r="D183" s="117">
        <f>+[2]Roanne!$H183</f>
        <v>0</v>
      </c>
      <c r="E183" s="160">
        <f>IF(ISNA(VLOOKUP("roa681500000",Balanceanp!C:G,5,FALSE))=TRUE,0,VLOOKUP("roa681500000",Balanceanp!C:G,5,FALSE))</f>
        <v>0</v>
      </c>
      <c r="F183" s="368">
        <f>+C183+C183/9*(12-Clients!$I$14)</f>
        <v>0</v>
      </c>
      <c r="G183" s="396">
        <f t="shared" si="19"/>
        <v>0</v>
      </c>
      <c r="H183" s="409"/>
      <c r="I183" s="149">
        <f t="shared" si="20"/>
        <v>0</v>
      </c>
      <c r="J183" s="271">
        <f t="shared" si="20"/>
        <v>0</v>
      </c>
      <c r="L183" s="17">
        <f t="shared" si="14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13" t="s">
        <v>178</v>
      </c>
      <c r="B185" s="596"/>
      <c r="C185" s="803">
        <f>SUM(C169:C184)</f>
        <v>6583</v>
      </c>
      <c r="D185" s="597">
        <f>SUM(D169:D184)</f>
        <v>10903.1391</v>
      </c>
      <c r="E185" s="597">
        <f>SUM(E169:E184)</f>
        <v>20661.55</v>
      </c>
      <c r="F185" s="597">
        <f>SUM(F169:F184)</f>
        <v>7762.0533333333333</v>
      </c>
      <c r="G185" s="597">
        <f>SUM(G169:G184)</f>
        <v>8070.3533333333335</v>
      </c>
      <c r="H185" s="814"/>
      <c r="I185" s="596">
        <f>+IF((E185)=0,,(F185-E185)/E185)</f>
        <v>-0.62432376402867484</v>
      </c>
      <c r="J185" s="1015">
        <f>+IF((F185)=0,,(G185-F185)/F185)</f>
        <v>3.9718871638776021E-2</v>
      </c>
      <c r="K185" s="136">
        <f>(C185+(C185/3))</f>
        <v>8777.3333333333339</v>
      </c>
      <c r="L185" s="17">
        <f t="shared" si="14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>
      <c r="A187" s="590" t="s">
        <v>179</v>
      </c>
      <c r="B187" s="591"/>
      <c r="C187" s="805">
        <f>IF(ISNA(VLOOKUP("ROA740000000",Balance!C:G,5,FALSE))=TRUE,0,-VLOOKUP("ROA740000000",Balance!C:G,5,FALSE))</f>
        <v>1000</v>
      </c>
      <c r="D187" s="619">
        <f>+[2]Roanne!$H187</f>
        <v>0</v>
      </c>
      <c r="E187" s="805">
        <f>IF(ISNA(VLOOKUP("ROA740000000",Balanceanp!C:G,5,FALSE))=TRUE,0,-VLOOKUP("ROA740000000",Balanceanp!C:G,5,FALSE))</f>
        <v>0</v>
      </c>
      <c r="F187" s="593">
        <f>+C187+C187/9*(12-Clients!$I$14)</f>
        <v>1333.3333333333335</v>
      </c>
      <c r="G187" s="593">
        <v>0</v>
      </c>
      <c r="H187" s="593"/>
      <c r="I187" s="1013">
        <f t="shared" ref="I187:J199" si="21">+IF((E187)=0,,(F187-E187)/E187)</f>
        <v>0</v>
      </c>
      <c r="J187" s="1014">
        <f t="shared" si="21"/>
        <v>-1</v>
      </c>
      <c r="L187" s="17">
        <f t="shared" si="14"/>
        <v>1</v>
      </c>
    </row>
    <row r="188" spans="1:12" hidden="1">
      <c r="A188" s="5" t="s">
        <v>230</v>
      </c>
      <c r="B188" s="92"/>
      <c r="C188" s="160">
        <f>IF(ISNA(VLOOKUP("ROA751100000",Balance!C:G,5,FALSE))=TRUE,0,-VLOOKUP("ROA751100000",Balance!C:G,5,FALSE))</f>
        <v>0</v>
      </c>
      <c r="D188" s="117">
        <f>+[2]Roanne!$H188</f>
        <v>0</v>
      </c>
      <c r="E188" s="160">
        <f>IF(ISNA(VLOOKUP("ROA751100000",Balanceanp!C:G,5,FALSE))=TRUE,0,-VLOOKUP("ROA751100000",Balanceanp!C:G,5,FALSE))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1"/>
        <v>0</v>
      </c>
      <c r="J188" s="271">
        <f t="shared" si="21"/>
        <v>0</v>
      </c>
      <c r="L188" s="17">
        <f t="shared" si="14"/>
        <v>0</v>
      </c>
    </row>
    <row r="189" spans="1:12" hidden="1">
      <c r="A189" s="5" t="s">
        <v>180</v>
      </c>
      <c r="B189" s="92"/>
      <c r="C189" s="160">
        <f>IF(ISNA(VLOOKUP("ROA758100000",Balance!C:G,5,FALSE))=TRUE,0,-VLOOKUP("ROA758100000",Balance!C:G,5,FALSE))</f>
        <v>469.38</v>
      </c>
      <c r="D189" s="117">
        <f>+[2]Roanne!$H189</f>
        <v>0</v>
      </c>
      <c r="E189" s="160">
        <f>IF(ISNA(VLOOKUP("ROA758100000",Balanceanp!C:G,5,FALSE))=TRUE,0,-VLOOKUP("ROA758100000",Balanceanp!C:G,5,FALSE))</f>
        <v>4221.1899999999996</v>
      </c>
      <c r="F189" s="368">
        <f>+C189+C189/9*(12-Clients!$I$14)</f>
        <v>625.84</v>
      </c>
      <c r="G189" s="368">
        <v>0</v>
      </c>
      <c r="H189" s="410"/>
      <c r="I189" s="149">
        <f t="shared" si="21"/>
        <v>-0.85173849080472563</v>
      </c>
      <c r="J189" s="271">
        <f t="shared" si="21"/>
        <v>-1</v>
      </c>
      <c r="L189" s="17">
        <v>0</v>
      </c>
    </row>
    <row r="190" spans="1:12" hidden="1">
      <c r="A190" s="5" t="s">
        <v>181</v>
      </c>
      <c r="B190" s="92"/>
      <c r="C190" s="160">
        <f>IF(ISNA(VLOOKUP("ROA763800000",Balance!C:G,5,FALSE))=TRUE,0,-VLOOKUP("ROA763800000",Balance!C:G,5,FALSE))</f>
        <v>0</v>
      </c>
      <c r="D190" s="117">
        <f>+[2]Roanne!$H190</f>
        <v>0</v>
      </c>
      <c r="E190" s="160">
        <f>IF(ISNA(VLOOKUP("ROA763800000",Balanceanp!C:G,5,FALSE))=TRUE,0,-VLOOKUP("ROA763800000",Balanceanp!C:G,5,FALSE))+IF(ISNA(VLOOKUP("ROA763110000",Balanceanp!C:G,5,FALSE))=TRUE,0,-VLOOKUP("ROA763110000",Balanceanp!C:G,5,FALSE))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1"/>
        <v>0</v>
      </c>
      <c r="J190" s="271">
        <f t="shared" si="21"/>
        <v>0</v>
      </c>
      <c r="L190" s="17">
        <f t="shared" si="14"/>
        <v>0</v>
      </c>
    </row>
    <row r="191" spans="1:12" hidden="1">
      <c r="A191" s="5" t="s">
        <v>182</v>
      </c>
      <c r="B191" s="92"/>
      <c r="C191" s="160">
        <f>IF(ISNA(VLOOKUP("ROA765000000",Balance!C:G,5,FALSE))=TRUE,0,-VLOOKUP("ROA765000000",Balance!C:G,5,FALSE))</f>
        <v>0</v>
      </c>
      <c r="D191" s="117">
        <f>+[2]Roanne!$H191</f>
        <v>0</v>
      </c>
      <c r="E191" s="160">
        <f>IF(ISNA(VLOOKUP("ROA765000000",Balanceanp!C:G,5,FALSE))=TRUE,0,-VLOOKUP("ROA765000000",Balanceanp!C:G,5,FALSE))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1"/>
        <v>0</v>
      </c>
      <c r="J191" s="271">
        <f t="shared" si="21"/>
        <v>0</v>
      </c>
      <c r="L191" s="17">
        <f t="shared" si="14"/>
        <v>0</v>
      </c>
    </row>
    <row r="192" spans="1:12">
      <c r="A192" s="590" t="s">
        <v>183</v>
      </c>
      <c r="B192" s="591"/>
      <c r="C192" s="805">
        <f>IF(ISNA(VLOOKUP("ROA771400000",Balance!C:G,5,FALSE))=TRUE,0,-VLOOKUP("ROA771400000",Balance!C:G,5,FALSE))</f>
        <v>0</v>
      </c>
      <c r="D192" s="619">
        <f>+[2]Roanne!$H192</f>
        <v>0</v>
      </c>
      <c r="E192" s="805">
        <f>IF(ISNA(VLOOKUP("ROA771400000",Balanceanp!C:G,5,FALSE))=TRUE,0,-VLOOKUP("ROA771400000",Balanceanp!C:G,5,FALSE))</f>
        <v>109.8</v>
      </c>
      <c r="F192" s="593">
        <f>+C192+C192/9*(12-Clients!$I$14)</f>
        <v>0</v>
      </c>
      <c r="G192" s="593">
        <v>0</v>
      </c>
      <c r="H192" s="593"/>
      <c r="I192" s="1013">
        <f t="shared" si="21"/>
        <v>-1</v>
      </c>
      <c r="J192" s="1014">
        <f t="shared" si="21"/>
        <v>0</v>
      </c>
      <c r="L192" s="17">
        <f t="shared" si="14"/>
        <v>1</v>
      </c>
    </row>
    <row r="193" spans="1:12" hidden="1">
      <c r="A193" s="5" t="s">
        <v>184</v>
      </c>
      <c r="B193" s="92"/>
      <c r="C193" s="160">
        <f>IF(ISNA(VLOOKUP("ROA771800000",Balance!C:G,5,FALSE))=TRUE,0,-VLOOKUP("ROA771800000",Balance!C:G,5,FALSE))</f>
        <v>0</v>
      </c>
      <c r="D193" s="117">
        <f>+[2]Roanne!$H193</f>
        <v>0</v>
      </c>
      <c r="E193" s="160">
        <f>IF(ISNA(VLOOKUP("ROA771800000",Balanceanp!C:G,5,FALSE))=TRUE,0,-VLOOKUP("ROA771800000",Balanceanp!C:G,5,FALSE))</f>
        <v>14048.96</v>
      </c>
      <c r="F193" s="368">
        <f>+C193+C193/9*(12-Clients!$I$14)</f>
        <v>0</v>
      </c>
      <c r="G193" s="368">
        <v>0</v>
      </c>
      <c r="H193" s="410"/>
      <c r="I193" s="149">
        <f t="shared" si="21"/>
        <v>-1</v>
      </c>
      <c r="J193" s="271">
        <f t="shared" si="21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IF(ISNA(VLOOKUP("ROA758000000",Balance!C:G,5,FALSE))=TRUE,0,-VLOOKUP("ROA758000000",Balance!C:G,5,FALSE))</f>
        <v>0</v>
      </c>
      <c r="D194" s="117">
        <f>+[2]Roanne!$H194</f>
        <v>0</v>
      </c>
      <c r="E194" s="160">
        <f>IF(ISNA(VLOOKUP("ROA758000000",Balanceanp!C:G,5,FALSE))=TRUE,0,-VLOOKUP("ROA758000000",Balanceanp!C:G,5,FALSE))</f>
        <v>522.91999999999996</v>
      </c>
      <c r="F194" s="368">
        <f>+C194+C194/9*(12-Clients!$I$14)</f>
        <v>0</v>
      </c>
      <c r="G194" s="368">
        <v>0</v>
      </c>
      <c r="H194" s="410"/>
      <c r="I194" s="149">
        <f t="shared" si="21"/>
        <v>-1</v>
      </c>
      <c r="J194" s="271">
        <f t="shared" si="21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IF(ISNA(VLOOKUP("ROA775100000",Balance!C:G,5,FALSE))=TRUE,0,-VLOOKUP("ROA775100000",Balance!C:G,5,FALSE))</f>
        <v>0</v>
      </c>
      <c r="D195" s="117">
        <f>+[2]Roanne!$H195</f>
        <v>0</v>
      </c>
      <c r="E195" s="160">
        <f>IF(ISNA(VLOOKUP("ROA775100000",Balanceanp!C:G,5,FALSE))=TRUE,0,-VLOOKUP("ROA775100000",Balanceanp!C:G,5,FALSE))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1"/>
        <v>0</v>
      </c>
      <c r="J195" s="271">
        <f t="shared" si="21"/>
        <v>0</v>
      </c>
      <c r="L195" s="17">
        <f t="shared" si="14"/>
        <v>0</v>
      </c>
    </row>
    <row r="196" spans="1:12" hidden="1">
      <c r="A196" s="5" t="s">
        <v>187</v>
      </c>
      <c r="B196" s="92"/>
      <c r="C196" s="160">
        <f>IF(ISNA(VLOOKUP("ROA775200000",Balance!C:G,5,FALSE))=TRUE,0,-VLOOKUP("ROA775200000",Balance!C:G,5,FALSE))</f>
        <v>0</v>
      </c>
      <c r="D196" s="117">
        <f>+[2]Roanne!$H196</f>
        <v>0</v>
      </c>
      <c r="E196" s="160">
        <f>IF(ISNA(VLOOKUP("ROA775200000",Balanceanp!C:G,5,FALSE))=TRUE,0,-VLOOKUP("ROA775200000",Balanceanp!C:G,5,FALSE))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1"/>
        <v>0</v>
      </c>
      <c r="J196" s="271">
        <f t="shared" si="21"/>
        <v>0</v>
      </c>
      <c r="L196" s="17">
        <f t="shared" si="14"/>
        <v>0</v>
      </c>
    </row>
    <row r="197" spans="1:12">
      <c r="A197" s="590" t="s">
        <v>328</v>
      </c>
      <c r="B197" s="591"/>
      <c r="C197" s="805">
        <f>IF(ISNA(VLOOKUP("ROA791000000",Balance!C:G,5,FALSE))=TRUE,0,-VLOOKUP("ROA791000000",Balance!C:G,5,FALSE))</f>
        <v>0</v>
      </c>
      <c r="D197" s="619">
        <f>+[2]Roanne!$H197</f>
        <v>0</v>
      </c>
      <c r="E197" s="805">
        <f>IF(ISNA(VLOOKUP("ROA791000000",Balanceanp!C:G,5,FALSE))=TRUE,0,-VLOOKUP("ROA791000000",Balanceanp!C:G,5,FALSE))</f>
        <v>33792.559999999998</v>
      </c>
      <c r="F197" s="593">
        <f>+C197+C197/9*(12-Clients!$I$14)</f>
        <v>0</v>
      </c>
      <c r="G197" s="593">
        <v>0</v>
      </c>
      <c r="H197" s="593"/>
      <c r="I197" s="1013">
        <f t="shared" si="21"/>
        <v>-1</v>
      </c>
      <c r="J197" s="1014">
        <f t="shared" si="21"/>
        <v>0</v>
      </c>
      <c r="L197" s="17">
        <f t="shared" si="14"/>
        <v>1</v>
      </c>
    </row>
    <row r="198" spans="1:12" hidden="1">
      <c r="A198" s="5" t="s">
        <v>344</v>
      </c>
      <c r="B198" s="92"/>
      <c r="C198" s="160">
        <f>IF(ISNA(VLOOKUP("roa781500000",Balance!C:G,5,FALSE))=TRUE,0,-VLOOKUP("roa781500000",Balance!C:G,5,FALSE))</f>
        <v>0</v>
      </c>
      <c r="D198" s="117">
        <f>+[2]Roanne!$H198</f>
        <v>0</v>
      </c>
      <c r="E198" s="160">
        <f>IF(ISNA(VLOOKUP("roa781500000",Balanceanp!C:G,5,FALSE))=TRUE,0,-VLOOKUP("roa781500000",Balanceanp!C:G,5,FALSE))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1"/>
        <v>0</v>
      </c>
      <c r="J198" s="271">
        <f t="shared" si="21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IF(ISNA(VLOOKUP("ROA787250000",Balance!C:G,5,FALSE))=TRUE,0,-VLOOKUP("ROA787250000",Balance!C:G,5,FALSE))</f>
        <v>0</v>
      </c>
      <c r="D199" s="117">
        <f>+[2]Roanne!$H199</f>
        <v>0</v>
      </c>
      <c r="E199" s="160">
        <f>IF(ISNA(VLOOKUP("ROA787250000",Balanceanp!C:G,5,FALSE))=TRUE,0,-VLOOKUP("ROA787250000",Balanceanp!C:G,5,FALSE))</f>
        <v>4679.99</v>
      </c>
      <c r="F199" s="368">
        <f>+C199+C199/9*(12-Clients!$I$14)</f>
        <v>0</v>
      </c>
      <c r="G199" s="368">
        <v>0</v>
      </c>
      <c r="H199" s="410"/>
      <c r="I199" s="149">
        <f t="shared" si="21"/>
        <v>-1</v>
      </c>
      <c r="J199" s="271">
        <f t="shared" si="21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2">IF(SUM(C200:J200)&lt;&gt;0,1,0)</f>
        <v>0</v>
      </c>
    </row>
    <row r="201" spans="1:12" s="33" customFormat="1" ht="15" customHeight="1">
      <c r="A201" s="13" t="s">
        <v>188</v>
      </c>
      <c r="B201" s="596"/>
      <c r="C201" s="803">
        <f>SUM(C186:C200)</f>
        <v>1469.38</v>
      </c>
      <c r="D201" s="597">
        <f>SUM(D186:D200)</f>
        <v>0</v>
      </c>
      <c r="E201" s="803">
        <f>SUM(E186:E200)</f>
        <v>57375.419999999991</v>
      </c>
      <c r="F201" s="597">
        <f>SUM(F186:F200)</f>
        <v>1959.1733333333336</v>
      </c>
      <c r="G201" s="597">
        <f>SUM(G186:G200)</f>
        <v>0</v>
      </c>
      <c r="H201" s="814"/>
      <c r="I201" s="596">
        <f>+IF((E201)=0,,(F201-E201)/E201)</f>
        <v>-0.96585343805181156</v>
      </c>
      <c r="J201" s="1015">
        <f>+IF((F201)=0,,(G201-F201)/F201)</f>
        <v>-1</v>
      </c>
      <c r="K201" s="136">
        <f>(C201+(C201/3))</f>
        <v>1959.1733333333334</v>
      </c>
      <c r="L201" s="17">
        <f t="shared" si="22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2"/>
        <v>0</v>
      </c>
    </row>
    <row r="203" spans="1:12" s="33" customFormat="1" ht="15" customHeight="1">
      <c r="A203" s="14" t="s">
        <v>189</v>
      </c>
      <c r="B203" s="363">
        <f>+C203/$C$21</f>
        <v>0.26941217370882276</v>
      </c>
      <c r="C203" s="659">
        <f>+C103+C116+C129+C154+C168+C185-C201</f>
        <v>285226.90000000002</v>
      </c>
      <c r="D203" s="642">
        <f>+D103+D116+D129+D154+D168+D185-D201</f>
        <v>433398.8440174323</v>
      </c>
      <c r="E203" s="659">
        <f>+E103+E116+E129+E154+E168+E185-E201</f>
        <v>398394.34831999999</v>
      </c>
      <c r="F203" s="642">
        <f>+F103+F116+F129+F154+F168+F185-F201</f>
        <v>370628.99666666659</v>
      </c>
      <c r="G203" s="642">
        <f>+G103+G116+G129+G154+G168+G185-G201</f>
        <v>386370.8123054555</v>
      </c>
      <c r="H203" s="815">
        <f>+G203/$G$21</f>
        <v>0.27203139320690767</v>
      </c>
      <c r="I203" s="363">
        <f>+IF((E203)=0,,(F203-E203)/E203)</f>
        <v>-6.9693136387144736E-2</v>
      </c>
      <c r="J203" s="1035">
        <f>+IF((F203)=0,,(G203-F203)/F203)</f>
        <v>4.247324354102458E-2</v>
      </c>
      <c r="K203" s="145">
        <f>+K103+K116+K129+K154+K168+K185-K201</f>
        <v>380302.53333333327</v>
      </c>
      <c r="L203" s="17">
        <f t="shared" si="22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2"/>
        <v>0</v>
      </c>
    </row>
    <row r="205" spans="1:12" s="33" customFormat="1" ht="15" customHeight="1">
      <c r="A205" s="12" t="s">
        <v>228</v>
      </c>
      <c r="B205" s="366">
        <f>+C205/$C$21</f>
        <v>0.11754159610298218</v>
      </c>
      <c r="C205" s="667">
        <f>+C62-C203</f>
        <v>124441.38887999987</v>
      </c>
      <c r="D205" s="646">
        <f>+D62-D203</f>
        <v>191217.1559825677</v>
      </c>
      <c r="E205" s="667">
        <f>+E53-E203</f>
        <v>196996.47048000002</v>
      </c>
      <c r="F205" s="646">
        <f>+F62-F203</f>
        <v>163585.58081153897</v>
      </c>
      <c r="G205" s="646">
        <f>+G62-G203</f>
        <v>161034.23097004188</v>
      </c>
      <c r="H205" s="622">
        <f>+G205/$G$21</f>
        <v>0.11337907732572509</v>
      </c>
      <c r="I205" s="366">
        <f>+IF((E205)=0,,(F205-E205)/E205)</f>
        <v>-0.16960146335136028</v>
      </c>
      <c r="J205" s="1036">
        <f>+IF((F205)=0,,(G205-F205)/F205)</f>
        <v>-1.5596422550447155E-2</v>
      </c>
      <c r="L205" s="17">
        <f t="shared" si="22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2"/>
        <v>0</v>
      </c>
    </row>
    <row r="207" spans="1:12" ht="15" customHeight="1">
      <c r="A207" s="63" t="s">
        <v>251</v>
      </c>
      <c r="B207" s="649">
        <f>+C207/$C$21</f>
        <v>2.6732878811469344E-3</v>
      </c>
      <c r="C207" s="112">
        <f>+[2]Roanne!$C207</f>
        <v>2830.2121787978367</v>
      </c>
      <c r="D207" s="651">
        <f>+[2]Roanne!$H207</f>
        <v>9598.5752415325351</v>
      </c>
      <c r="E207" s="651">
        <f>+[1]Roanne!$G$207</f>
        <v>3538.3984199276761</v>
      </c>
      <c r="F207" s="651">
        <f>+Repart!K21</f>
        <v>3725.878647315737</v>
      </c>
      <c r="G207" s="651">
        <f>+Repart!Q21</f>
        <v>5376.1877231963244</v>
      </c>
      <c r="H207" s="816">
        <f>+G207/$G$21</f>
        <v>3.785202685876691E-3</v>
      </c>
      <c r="I207" s="363">
        <f>+IF((E207)=0,,(F207-E207)/E207)</f>
        <v>5.2984487651871887E-2</v>
      </c>
      <c r="J207" s="1035">
        <f>+IF((F207)=0,,(G207-F207)/F207)</f>
        <v>0.44293151551501336</v>
      </c>
      <c r="L207" s="17">
        <f t="shared" si="22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2"/>
        <v>0</v>
      </c>
    </row>
    <row r="209" spans="1:12" s="33" customFormat="1" ht="15" customHeight="1">
      <c r="A209" s="12" t="s">
        <v>190</v>
      </c>
      <c r="B209" s="366">
        <f>+C209/$C$21</f>
        <v>0.11486830822183525</v>
      </c>
      <c r="C209" s="667">
        <f>+C205-C207</f>
        <v>121611.17670120203</v>
      </c>
      <c r="D209" s="646">
        <f>+D205-D207</f>
        <v>181618.58074103517</v>
      </c>
      <c r="E209" s="667">
        <f>+E205-E207</f>
        <v>193458.07206007233</v>
      </c>
      <c r="F209" s="646">
        <f>+F205-F207</f>
        <v>159859.70216422324</v>
      </c>
      <c r="G209" s="646">
        <f>+G205-G207</f>
        <v>155658.04324684557</v>
      </c>
      <c r="H209" s="622">
        <f>+G209/$G$21</f>
        <v>0.1095938746398484</v>
      </c>
      <c r="I209" s="366">
        <f>+IF((E209)=0,,(F209-E209)/E209)</f>
        <v>-0.17367261824782462</v>
      </c>
      <c r="J209" s="1036">
        <f>+IF((F209)=0,,(G209-F209)/F209)</f>
        <v>-2.628341514774828E-2</v>
      </c>
      <c r="L209" s="17">
        <f t="shared" si="22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2"/>
        <v>0</v>
      </c>
    </row>
    <row r="211" spans="1:12">
      <c r="A211" s="590" t="s">
        <v>191</v>
      </c>
      <c r="B211" s="591">
        <f>+C211/$C$21</f>
        <v>6.1727185329336935E-3</v>
      </c>
      <c r="C211" s="805">
        <f>+[2]Roanne!$C211</f>
        <v>6535.0624193548392</v>
      </c>
      <c r="D211" s="619">
        <f>+[2]Roanne!$H211</f>
        <v>9026.0372215405096</v>
      </c>
      <c r="E211" s="805">
        <f>+[1]Roanne!$G211</f>
        <v>8095.0860719999991</v>
      </c>
      <c r="F211" s="593">
        <f>+Repart!I21</f>
        <v>8997.9607634408567</v>
      </c>
      <c r="G211" s="593">
        <f>+Repart!O21</f>
        <v>9644.6846793104778</v>
      </c>
      <c r="H211" s="593"/>
      <c r="I211" s="1013">
        <f t="shared" ref="I211:J213" si="23">+IF((E211)=0,,(F211-E211)/E211)</f>
        <v>0.11153367405984731</v>
      </c>
      <c r="J211" s="1014">
        <f t="shared" si="23"/>
        <v>7.1874498330476308E-2</v>
      </c>
      <c r="L211" s="17">
        <f t="shared" si="22"/>
        <v>1</v>
      </c>
    </row>
    <row r="212" spans="1:12">
      <c r="A212" s="590" t="s">
        <v>192</v>
      </c>
      <c r="B212" s="591">
        <f>+C212/$C$21</f>
        <v>3.8704588899448007E-2</v>
      </c>
      <c r="C212" s="805">
        <f>+[2]Roanne!$C212</f>
        <v>40976.581553792057</v>
      </c>
      <c r="D212" s="619">
        <f>+[2]Roanne!$H212</f>
        <v>60797.963090406891</v>
      </c>
      <c r="E212" s="805">
        <f>+[1]Roanne!$G212</f>
        <v>54305.534595570127</v>
      </c>
      <c r="F212" s="593">
        <f>+Repart!J21</f>
        <v>56000.495670527664</v>
      </c>
      <c r="G212" s="593">
        <f>+Repart!P21</f>
        <v>57924.349419000675</v>
      </c>
      <c r="H212" s="593"/>
      <c r="I212" s="1013">
        <f t="shared" si="23"/>
        <v>3.1211571483098891E-2</v>
      </c>
      <c r="J212" s="1014">
        <f t="shared" si="23"/>
        <v>3.4354227144555625E-2</v>
      </c>
      <c r="L212" s="17">
        <f t="shared" si="22"/>
        <v>1</v>
      </c>
    </row>
    <row r="213" spans="1:12">
      <c r="A213" s="590" t="s">
        <v>193</v>
      </c>
      <c r="B213" s="591"/>
      <c r="C213" s="805">
        <f>+[2]Roanne!$C213</f>
        <v>-12530.36</v>
      </c>
      <c r="D213" s="619">
        <f>+[2]Roanne!$H213</f>
        <v>-16606.240000000002</v>
      </c>
      <c r="E213" s="805">
        <f>+[1]Roanne!$G213</f>
        <v>-16309.56</v>
      </c>
      <c r="F213" s="593">
        <f>+C213+C213/9*(12-Clients!$I$14)</f>
        <v>-16707.146666666667</v>
      </c>
      <c r="G213" s="593">
        <f>+G253*-4%</f>
        <v>-15748.474896</v>
      </c>
      <c r="H213" s="593"/>
      <c r="I213" s="1013">
        <f t="shared" si="23"/>
        <v>2.4377522549147122E-2</v>
      </c>
      <c r="J213" s="1014">
        <f t="shared" si="23"/>
        <v>-5.7380939414350483E-2</v>
      </c>
      <c r="L213" s="17">
        <f t="shared" si="22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2"/>
        <v>0</v>
      </c>
    </row>
    <row r="215" spans="1:12" s="33" customFormat="1" ht="15" customHeight="1">
      <c r="A215" s="20" t="s">
        <v>194</v>
      </c>
      <c r="B215" s="367">
        <f>+C215/$C$21</f>
        <v>3.3041707336619056E-2</v>
      </c>
      <c r="C215" s="653">
        <f>SUM(C210:C213)</f>
        <v>34981.283973146899</v>
      </c>
      <c r="D215" s="653">
        <f>SUM(D210:D213)</f>
        <v>53217.760311947393</v>
      </c>
      <c r="E215" s="668">
        <f>SUM(E210:E213)</f>
        <v>46091.060667570127</v>
      </c>
      <c r="F215" s="653">
        <f>SUM(F210:F213)</f>
        <v>48291.309767301849</v>
      </c>
      <c r="G215" s="653">
        <f>SUM(G210:G213)</f>
        <v>51820.559202311153</v>
      </c>
      <c r="H215" s="817">
        <f>+G215/$G$21</f>
        <v>3.6485206613953894E-2</v>
      </c>
      <c r="I215" s="363">
        <f>+IF((E215)=0,,(F215-E215)/E215)</f>
        <v>4.773700296465138E-2</v>
      </c>
      <c r="J215" s="1035">
        <f>+IF((F215)=0,,(G215-F215)/F215)</f>
        <v>7.3082495629451044E-2</v>
      </c>
      <c r="L215" s="17">
        <f t="shared" si="22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2"/>
        <v>0</v>
      </c>
    </row>
    <row r="217" spans="1:12" s="33" customFormat="1" ht="20.100000000000001" customHeight="1">
      <c r="A217" s="12" t="s">
        <v>86</v>
      </c>
      <c r="B217" s="366">
        <f>+C217/$C$21</f>
        <v>8.1826600885216191E-2</v>
      </c>
      <c r="C217" s="667">
        <f>+C209-C215</f>
        <v>86629.892728055129</v>
      </c>
      <c r="D217" s="646">
        <f>+D209-D215</f>
        <v>128400.82042908778</v>
      </c>
      <c r="E217" s="667">
        <f>+E209-E215</f>
        <v>147367.0113925022</v>
      </c>
      <c r="F217" s="646">
        <f>+F209-F215</f>
        <v>111568.39239692139</v>
      </c>
      <c r="G217" s="646">
        <f>+G209-G215</f>
        <v>103837.48404453442</v>
      </c>
      <c r="H217" s="622">
        <f>+G217/$G$21</f>
        <v>7.310866802589451E-2</v>
      </c>
      <c r="I217" s="366">
        <f>+IF((E217)=0,,(F217-E217)/E217)</f>
        <v>-0.24292152400535269</v>
      </c>
      <c r="J217" s="1036">
        <f>+IF((F217)=0,,(G217-F217)/F217)</f>
        <v>-6.9292997651907579E-2</v>
      </c>
      <c r="L217" s="17">
        <f t="shared" si="22"/>
        <v>1</v>
      </c>
    </row>
    <row r="218" spans="1:12" hidden="1">
      <c r="A218" s="2" t="s">
        <v>43</v>
      </c>
      <c r="C218" s="17">
        <f>+C225-C226-C215-C207-C53+C62-C38+C213</f>
        <v>86629.892728055143</v>
      </c>
      <c r="D218" s="117">
        <f>+[2]Roanne!$H$217</f>
        <v>128400.82042908778</v>
      </c>
      <c r="E218" s="17">
        <f>+[1]Roanne!$G$217</f>
        <v>147367.0113925022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81.753245095175615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+B220/(C21*1.196)*Clients!K28</f>
        <v>70.674092799062223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C221" s="17"/>
      <c r="D221" s="2"/>
      <c r="E221" s="2"/>
      <c r="F221" s="58"/>
      <c r="G221" s="58"/>
      <c r="H221" s="58"/>
      <c r="I221" s="66"/>
      <c r="J221" s="66"/>
      <c r="L221" s="17">
        <f t="shared" si="22"/>
        <v>0</v>
      </c>
    </row>
    <row r="222" spans="1:12">
      <c r="A222" s="654" t="s">
        <v>67</v>
      </c>
      <c r="B222" s="655"/>
      <c r="C222" s="656">
        <f>+(C215+C207+C203)/C60/Clients!$I$13*12</f>
        <v>1092083.8274237486</v>
      </c>
      <c r="D222" s="656">
        <f>+(D215+D207+D203)/D60</f>
        <v>1258176.7312063335</v>
      </c>
      <c r="E222" s="656">
        <f>+(E215+E207+E203)/E60/Clients!$I$13*12</f>
        <v>1498844.5162318752</v>
      </c>
      <c r="F222" s="656">
        <f>+(F215+F207+F203)/F60</f>
        <v>1071618.1163318565</v>
      </c>
      <c r="G222" s="656">
        <f>+(G215+G207+G203)/G60</f>
        <v>1130623.35808324</v>
      </c>
      <c r="H222" s="656"/>
      <c r="I222" s="656"/>
      <c r="J222" s="656"/>
      <c r="L222" s="17">
        <f t="shared" si="22"/>
        <v>1</v>
      </c>
    </row>
    <row r="223" spans="1:12">
      <c r="A223" s="654" t="s">
        <v>66</v>
      </c>
      <c r="B223" s="655"/>
      <c r="C223" s="656">
        <f>+(C215+C207+C203)/C60/Clients!$I$13</f>
        <v>91006.985618645704</v>
      </c>
      <c r="D223" s="656">
        <f>+(D215+D207+D203)/D60/12</f>
        <v>104848.06093386112</v>
      </c>
      <c r="E223" s="656">
        <f>+(E215+E207+E203)/E60/Clients!$I$13</f>
        <v>124903.7096859896</v>
      </c>
      <c r="F223" s="656">
        <f>+(F215+F207+F203)/F60/9</f>
        <v>119068.6795924285</v>
      </c>
      <c r="G223" s="656">
        <f>+(G215+G207+G203)/G60/12</f>
        <v>94218.613173603328</v>
      </c>
      <c r="H223" s="656"/>
      <c r="I223" s="656"/>
      <c r="J223" s="656"/>
      <c r="L223" s="17">
        <f t="shared" si="22"/>
        <v>1</v>
      </c>
    </row>
    <row r="224" spans="1:12" hidden="1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2"/>
        <v>0</v>
      </c>
    </row>
    <row r="225" spans="1:12" hidden="1">
      <c r="A225" s="2" t="s">
        <v>215</v>
      </c>
      <c r="C225" s="17">
        <f>+C51-C40-C157-C166+C201-C164-C159-C137</f>
        <v>1050012.6399999997</v>
      </c>
      <c r="D225" s="17"/>
      <c r="E225" s="2"/>
      <c r="F225" s="58"/>
      <c r="G225" s="58"/>
      <c r="H225" s="58"/>
      <c r="I225" s="66"/>
      <c r="J225" s="66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+C44-C38-C40+C103+C116+C129+C154+C156+C158+C160+C161+C162+C163+C165+C185+C213-C137</f>
        <v>926519.31999999983</v>
      </c>
      <c r="D226" s="17"/>
      <c r="E226" s="2"/>
      <c r="F226" s="58"/>
      <c r="G226" s="58"/>
      <c r="H226" s="58"/>
      <c r="I226" s="66"/>
      <c r="J226" s="66"/>
      <c r="L226" s="17">
        <v>0</v>
      </c>
    </row>
    <row r="227" spans="1:12" hidden="1">
      <c r="C227" s="17"/>
      <c r="D227" s="2"/>
      <c r="E227" s="2"/>
      <c r="F227" s="58"/>
      <c r="G227" s="58"/>
      <c r="H227" s="58"/>
      <c r="I227" s="66"/>
      <c r="J227" s="66"/>
      <c r="L227" s="17">
        <f t="shared" si="22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2"/>
        <v>0</v>
      </c>
    </row>
    <row r="229" spans="1:12" ht="20.25" hidden="1" customHeight="1">
      <c r="A229" s="7" t="str">
        <f>+A4</f>
        <v>ROANNE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2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2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2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2"/>
        <v>0</v>
      </c>
    </row>
    <row r="233" spans="1:12" s="33" customFormat="1" ht="15" customHeight="1">
      <c r="A233" s="14" t="s">
        <v>223</v>
      </c>
      <c r="B233" s="363"/>
      <c r="C233" s="659">
        <f t="shared" ref="C233:J233" si="24">+C51</f>
        <v>1038712.6999999998</v>
      </c>
      <c r="D233" s="659">
        <f t="shared" si="24"/>
        <v>1583743</v>
      </c>
      <c r="E233" s="659">
        <f t="shared" si="24"/>
        <v>1493890.92</v>
      </c>
      <c r="F233" s="659">
        <f t="shared" si="24"/>
        <v>1354499.4357966674</v>
      </c>
      <c r="G233" s="659">
        <f t="shared" si="24"/>
        <v>1395298</v>
      </c>
      <c r="H233" s="659"/>
      <c r="I233" s="363">
        <f>+I51</f>
        <v>-9.3307672158106814E-2</v>
      </c>
      <c r="J233" s="363">
        <f t="shared" si="24"/>
        <v>3.0120768695142654E-2</v>
      </c>
      <c r="K233" s="58"/>
      <c r="L233" s="17">
        <f t="shared" si="22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2"/>
        <v>0</v>
      </c>
    </row>
    <row r="235" spans="1:12" s="33" customFormat="1" ht="15" customHeight="1">
      <c r="A235" s="12" t="s">
        <v>295</v>
      </c>
      <c r="B235" s="364"/>
      <c r="C235" s="660">
        <f>+C60</f>
        <v>0.39439999999999997</v>
      </c>
      <c r="D235" s="660">
        <f>+D60</f>
        <v>0.39439227197847126</v>
      </c>
      <c r="E235" s="660">
        <f>+E60</f>
        <v>0.39855039670500175</v>
      </c>
      <c r="F235" s="660">
        <f>+F60</f>
        <v>0.39439999999999997</v>
      </c>
      <c r="G235" s="660">
        <f>+G60</f>
        <v>0.39232124125132939</v>
      </c>
      <c r="H235" s="660"/>
      <c r="I235" s="660"/>
      <c r="J235" s="660"/>
      <c r="L235" s="17">
        <f t="shared" si="22"/>
        <v>1</v>
      </c>
    </row>
    <row r="236" spans="1:12" s="33" customFormat="1" ht="15" customHeight="1">
      <c r="A236" s="12" t="s">
        <v>296</v>
      </c>
      <c r="B236" s="364"/>
      <c r="C236" s="661">
        <f>+C62</f>
        <v>409668.28887999989</v>
      </c>
      <c r="D236" s="661">
        <f>+D62</f>
        <v>624616</v>
      </c>
      <c r="E236" s="661">
        <f>+E62</f>
        <v>595390.81880000001</v>
      </c>
      <c r="F236" s="661">
        <f>+F62</f>
        <v>534214.57747820555</v>
      </c>
      <c r="G236" s="661">
        <f>+G62</f>
        <v>547405.04327549739</v>
      </c>
      <c r="H236" s="661"/>
      <c r="I236" s="366">
        <f>+IF((E236)=0,,(F236-E236)/E236)</f>
        <v>-0.10274972235059675</v>
      </c>
      <c r="J236" s="1036">
        <f>+IF((F236)=0,,(G236-F236)/F236)</f>
        <v>2.4691325084310281E-2</v>
      </c>
      <c r="L236" s="17">
        <f t="shared" si="22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2"/>
        <v>0</v>
      </c>
    </row>
    <row r="238" spans="1:12" s="298" customFormat="1" ht="15" customHeight="1">
      <c r="A238" s="662" t="s">
        <v>122</v>
      </c>
      <c r="B238" s="663"/>
      <c r="C238" s="665">
        <f>+C103</f>
        <v>72681.349999999991</v>
      </c>
      <c r="D238" s="665">
        <f>+D103</f>
        <v>102465.87251233542</v>
      </c>
      <c r="E238" s="665">
        <f>+E103</f>
        <v>106785.47999999997</v>
      </c>
      <c r="F238" s="665">
        <f>+F103</f>
        <v>96302.926666666681</v>
      </c>
      <c r="G238" s="665">
        <f>+G103</f>
        <v>98956.988631857166</v>
      </c>
      <c r="H238" s="665"/>
      <c r="I238" s="663">
        <f t="shared" ref="I238:J243" si="25">+IF((E238)=0,,(F238-E238)/E238)</f>
        <v>-9.816459441239847E-2</v>
      </c>
      <c r="J238" s="663">
        <f t="shared" si="25"/>
        <v>2.7559515136824347E-2</v>
      </c>
      <c r="L238" s="17">
        <f t="shared" si="22"/>
        <v>1</v>
      </c>
    </row>
    <row r="239" spans="1:12" s="298" customFormat="1" ht="15" customHeight="1">
      <c r="A239" s="662" t="s">
        <v>133</v>
      </c>
      <c r="B239" s="663"/>
      <c r="C239" s="665">
        <f>+C116</f>
        <v>31779.339999999997</v>
      </c>
      <c r="D239" s="665">
        <f>+D116</f>
        <v>44477.9306</v>
      </c>
      <c r="E239" s="665">
        <f>+E116</f>
        <v>31243.65</v>
      </c>
      <c r="F239" s="665">
        <f>+F116</f>
        <v>40212.416666666664</v>
      </c>
      <c r="G239" s="665">
        <f>+G116</f>
        <v>32390.828533333333</v>
      </c>
      <c r="H239" s="665"/>
      <c r="I239" s="663">
        <f t="shared" si="25"/>
        <v>0.2870588636944359</v>
      </c>
      <c r="J239" s="663">
        <f t="shared" si="25"/>
        <v>-0.19450679122741935</v>
      </c>
      <c r="L239" s="17">
        <f t="shared" si="22"/>
        <v>1</v>
      </c>
    </row>
    <row r="240" spans="1:12" s="298" customFormat="1" ht="15" customHeight="1">
      <c r="A240" s="662" t="s">
        <v>147</v>
      </c>
      <c r="B240" s="663"/>
      <c r="C240" s="665">
        <f>+C129</f>
        <v>15682.44</v>
      </c>
      <c r="D240" s="665">
        <f>+D129</f>
        <v>21225.817799999997</v>
      </c>
      <c r="E240" s="665">
        <f>+E129</f>
        <v>20693.37</v>
      </c>
      <c r="F240" s="665">
        <f>+F129</f>
        <v>15017.24</v>
      </c>
      <c r="G240" s="665">
        <f>+G129</f>
        <v>15532.053</v>
      </c>
      <c r="H240" s="665"/>
      <c r="I240" s="663">
        <f t="shared" si="25"/>
        <v>-0.27429703330100413</v>
      </c>
      <c r="J240" s="663">
        <f t="shared" si="25"/>
        <v>3.4281465835266672E-2</v>
      </c>
      <c r="L240" s="17">
        <f t="shared" si="22"/>
        <v>1</v>
      </c>
    </row>
    <row r="241" spans="1:12" s="298" customFormat="1" ht="15" customHeight="1">
      <c r="A241" s="662" t="s">
        <v>164</v>
      </c>
      <c r="B241" s="663"/>
      <c r="C241" s="665">
        <f>+C154</f>
        <v>149837.82</v>
      </c>
      <c r="D241" s="665">
        <f>+D154</f>
        <v>234195.64995966348</v>
      </c>
      <c r="E241" s="665">
        <f>+E154</f>
        <v>268366.83832000004</v>
      </c>
      <c r="F241" s="665">
        <f>+F154</f>
        <v>199783.75999999995</v>
      </c>
      <c r="G241" s="665">
        <f>+G154</f>
        <v>213166.82919801836</v>
      </c>
      <c r="H241" s="665"/>
      <c r="I241" s="663">
        <f t="shared" si="25"/>
        <v>-0.2555572020348571</v>
      </c>
      <c r="J241" s="663">
        <f t="shared" si="25"/>
        <v>6.6987773170443923E-2</v>
      </c>
      <c r="L241" s="17">
        <f t="shared" si="22"/>
        <v>1</v>
      </c>
    </row>
    <row r="242" spans="1:12" s="298" customFormat="1" ht="15" customHeight="1">
      <c r="A242" s="662" t="s">
        <v>74</v>
      </c>
      <c r="B242" s="663"/>
      <c r="C242" s="665">
        <f>+C168</f>
        <v>10132.330000000002</v>
      </c>
      <c r="D242" s="665">
        <f>+D168</f>
        <v>20130.434045433474</v>
      </c>
      <c r="E242" s="665">
        <f>+E168</f>
        <v>8018.88</v>
      </c>
      <c r="F242" s="665">
        <f>+F168</f>
        <v>13509.773333333333</v>
      </c>
      <c r="G242" s="665">
        <f>+G168</f>
        <v>18253.759608913333</v>
      </c>
      <c r="H242" s="665"/>
      <c r="I242" s="663">
        <f t="shared" si="25"/>
        <v>0.68474566689279959</v>
      </c>
      <c r="J242" s="663">
        <f t="shared" si="25"/>
        <v>0.3511521739506116</v>
      </c>
      <c r="L242" s="17">
        <f t="shared" si="22"/>
        <v>1</v>
      </c>
    </row>
    <row r="243" spans="1:12" s="298" customFormat="1" ht="15" customHeight="1">
      <c r="A243" s="662" t="s">
        <v>369</v>
      </c>
      <c r="B243" s="663"/>
      <c r="C243" s="665">
        <f>+C185-C201</f>
        <v>5113.62</v>
      </c>
      <c r="D243" s="665">
        <f>+D185-D201</f>
        <v>10903.1391</v>
      </c>
      <c r="E243" s="665">
        <f>+E185-E201</f>
        <v>-36713.869999999995</v>
      </c>
      <c r="F243" s="665">
        <f>+F185-F201</f>
        <v>5802.8799999999992</v>
      </c>
      <c r="G243" s="665">
        <f>+G185-G201</f>
        <v>8070.3533333333335</v>
      </c>
      <c r="H243" s="665"/>
      <c r="I243" s="663">
        <f t="shared" si="25"/>
        <v>-1.1580568869476304</v>
      </c>
      <c r="J243" s="663">
        <f t="shared" si="25"/>
        <v>0.39074965074813445</v>
      </c>
      <c r="L243" s="17">
        <f t="shared" si="22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2"/>
        <v>0</v>
      </c>
    </row>
    <row r="245" spans="1:12" s="33" customFormat="1" ht="15" customHeight="1">
      <c r="A245" s="14" t="s">
        <v>189</v>
      </c>
      <c r="B245" s="363"/>
      <c r="C245" s="659">
        <f>+C203</f>
        <v>285226.90000000002</v>
      </c>
      <c r="D245" s="659">
        <f>+D203</f>
        <v>433398.8440174323</v>
      </c>
      <c r="E245" s="659">
        <f>+E203</f>
        <v>398394.34831999999</v>
      </c>
      <c r="F245" s="659">
        <f>+F203</f>
        <v>370628.99666666659</v>
      </c>
      <c r="G245" s="659">
        <f>+G203</f>
        <v>386370.8123054555</v>
      </c>
      <c r="H245" s="659"/>
      <c r="I245" s="363">
        <f>+I63</f>
        <v>0</v>
      </c>
      <c r="J245" s="363">
        <f>+J63</f>
        <v>0</v>
      </c>
      <c r="K245" s="58"/>
      <c r="L245" s="17">
        <f t="shared" si="22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2"/>
        <v>0</v>
      </c>
    </row>
    <row r="247" spans="1:12" s="33" customFormat="1" ht="15" customHeight="1">
      <c r="A247" s="12" t="s">
        <v>228</v>
      </c>
      <c r="B247" s="366"/>
      <c r="C247" s="667">
        <f>+C205</f>
        <v>124441.38887999987</v>
      </c>
      <c r="D247" s="667">
        <f>+D205</f>
        <v>191217.1559825677</v>
      </c>
      <c r="E247" s="667">
        <f>+E205</f>
        <v>196996.47048000002</v>
      </c>
      <c r="F247" s="667">
        <f>+F205</f>
        <v>163585.58081153897</v>
      </c>
      <c r="G247" s="667">
        <f>+G205</f>
        <v>161034.23097004188</v>
      </c>
      <c r="H247" s="667"/>
      <c r="I247" s="366">
        <f>+IF((E247)=0,,(F247-E247)/E247)</f>
        <v>-0.16960146335136028</v>
      </c>
      <c r="J247" s="1036">
        <f>+IF((F247)=0,,(G247-F247)/F247)</f>
        <v>-1.5596422550447155E-2</v>
      </c>
      <c r="L247" s="17">
        <f t="shared" si="22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2"/>
        <v>0</v>
      </c>
    </row>
    <row r="249" spans="1:12" s="33" customFormat="1" ht="15" customHeight="1">
      <c r="A249" s="20" t="s">
        <v>370</v>
      </c>
      <c r="B249" s="367"/>
      <c r="C249" s="668">
        <f>+C207+C215</f>
        <v>37811.496151944739</v>
      </c>
      <c r="D249" s="668">
        <f>+D207+D215</f>
        <v>62816.335553479927</v>
      </c>
      <c r="E249" s="668">
        <f>+E207+E215</f>
        <v>49629.459087497802</v>
      </c>
      <c r="F249" s="668">
        <f>+F207+F215</f>
        <v>52017.188414617587</v>
      </c>
      <c r="G249" s="668">
        <f>+G207+G215</f>
        <v>57196.746925507476</v>
      </c>
      <c r="H249" s="668"/>
      <c r="I249" s="363">
        <f>+I67</f>
        <v>-0.54332383305166454</v>
      </c>
      <c r="J249" s="363">
        <f>+J67</f>
        <v>3.0000000000000054E-2</v>
      </c>
      <c r="L249" s="17">
        <f t="shared" si="22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2"/>
        <v>0</v>
      </c>
    </row>
    <row r="251" spans="1:12" s="33" customFormat="1" ht="20.100000000000001" customHeight="1">
      <c r="A251" s="12" t="s">
        <v>86</v>
      </c>
      <c r="B251" s="366"/>
      <c r="C251" s="667">
        <f>+C217</f>
        <v>86629.892728055129</v>
      </c>
      <c r="D251" s="667">
        <f>+D217</f>
        <v>128400.82042908778</v>
      </c>
      <c r="E251" s="667">
        <f>+E217</f>
        <v>147367.0113925022</v>
      </c>
      <c r="F251" s="667">
        <f>+F217</f>
        <v>111568.39239692139</v>
      </c>
      <c r="G251" s="667">
        <f>+G217</f>
        <v>103837.48404453442</v>
      </c>
      <c r="H251" s="667"/>
      <c r="I251" s="366">
        <f>+IF((E251)=0,,(F251-E251)/E251)</f>
        <v>-0.24292152400535269</v>
      </c>
      <c r="J251" s="1036">
        <f>+IF((F251)=0,,(G251-F251)/F251)</f>
        <v>-6.9292997651907579E-2</v>
      </c>
      <c r="L251" s="17">
        <f t="shared" si="22"/>
        <v>1</v>
      </c>
    </row>
    <row r="252" spans="1:12" hidden="1">
      <c r="C252" s="17"/>
      <c r="D252" s="2"/>
      <c r="E252" s="2"/>
      <c r="F252" s="2"/>
      <c r="G252" s="2"/>
      <c r="H252" s="5"/>
      <c r="I252" s="24"/>
      <c r="J252" s="66"/>
      <c r="L252" s="17">
        <f t="shared" si="22"/>
        <v>0</v>
      </c>
    </row>
    <row r="253" spans="1:12" s="298" customFormat="1" ht="15" customHeight="1">
      <c r="A253" s="662" t="s">
        <v>95</v>
      </c>
      <c r="B253" s="663"/>
      <c r="C253" s="665">
        <f>+C28</f>
        <v>314381.23</v>
      </c>
      <c r="D253" s="665">
        <v>417389</v>
      </c>
      <c r="E253" s="665">
        <f>+E28</f>
        <v>407683.27999999997</v>
      </c>
      <c r="F253" s="665"/>
      <c r="G253" s="1157">
        <f>+G28</f>
        <v>393711.87239999999</v>
      </c>
      <c r="H253" s="1037"/>
      <c r="I253" s="663"/>
      <c r="J253" s="663"/>
      <c r="L253" s="17">
        <v>1</v>
      </c>
    </row>
    <row r="254" spans="1:12" s="298" customFormat="1" ht="15" customHeight="1">
      <c r="A254" s="662" t="s">
        <v>371</v>
      </c>
      <c r="B254" s="663"/>
      <c r="C254" s="665">
        <f>+C222</f>
        <v>1092083.8274237486</v>
      </c>
      <c r="D254" s="665">
        <f>+D222</f>
        <v>1258176.7312063335</v>
      </c>
      <c r="E254" s="665">
        <f>+E222</f>
        <v>1498844.5162318752</v>
      </c>
      <c r="F254" s="665">
        <f>+F222</f>
        <v>1071618.1163318565</v>
      </c>
      <c r="G254" s="665">
        <f>+G222</f>
        <v>1130623.35808324</v>
      </c>
      <c r="H254" s="665"/>
      <c r="I254" s="663"/>
      <c r="J254" s="663"/>
      <c r="L254" s="17">
        <v>1</v>
      </c>
    </row>
    <row r="255" spans="1:12" s="298" customFormat="1" ht="15" customHeight="1">
      <c r="A255" s="662" t="s">
        <v>372</v>
      </c>
      <c r="B255" s="663"/>
      <c r="C255" s="665"/>
      <c r="D255" s="665">
        <v>6000</v>
      </c>
      <c r="E255" s="665"/>
      <c r="F255" s="665"/>
      <c r="G255" s="1037">
        <v>10000</v>
      </c>
      <c r="H255" s="1037"/>
      <c r="I255" s="663"/>
      <c r="J255" s="663"/>
      <c r="L255" s="17">
        <v>1</v>
      </c>
    </row>
    <row r="256" spans="1:12" hidden="1">
      <c r="C256" s="17"/>
      <c r="D256" s="2"/>
      <c r="E256" s="2"/>
      <c r="F256" s="2"/>
      <c r="G256" s="2"/>
      <c r="H256" s="2"/>
      <c r="I256" s="24"/>
      <c r="J256" s="66"/>
      <c r="L256" s="17">
        <f t="shared" si="22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97" right="0.39370078740157483" top="0.11811023622047245" bottom="0.11811023622047245" header="3.937007874015748E-2" footer="7.874015748031496E-2"/>
  <pageSetup paperSize="9" scale="68" fitToHeight="2" orientation="landscape" horizontalDpi="4294967293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 enableFormatConditionsCalculation="0">
    <tabColor rgb="FFFF0000"/>
    <pageSetUpPr fitToPage="1"/>
  </sheetPr>
  <dimension ref="A1:L256"/>
  <sheetViews>
    <sheetView workbookViewId="0">
      <pane xSplit="2" ySplit="6" topLeftCell="C7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69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-24.187403035706666</v>
      </c>
      <c r="F5" s="132"/>
      <c r="G5" s="215">
        <f>G217</f>
        <v>7310.5567400139626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-IF(ISNA(VLOOKUP("MAD707130000",Balance!C:G,5,FALSE))=TRUE,0,VLOOKUP("MAD707130000",Balance!C:G,5,FALSE))</f>
        <v>717278.28</v>
      </c>
      <c r="D8" s="592">
        <f>+[2]Madeleine!$H8</f>
        <v>950432</v>
      </c>
      <c r="E8" s="311">
        <f>-IF(ISNA(VLOOKUP("MAD707130000",Balanceanp!C:G,5,FALSE))=TRUE,0,VLOOKUP("MAD707130000",Balanceanp!C:G,5,FALSE))</f>
        <v>893779.65</v>
      </c>
      <c r="F8" s="625">
        <f>+CA!G100</f>
        <v>916763.42838217632</v>
      </c>
      <c r="G8" s="594">
        <v>1019084</v>
      </c>
      <c r="H8" s="594"/>
      <c r="I8" s="591">
        <f>+IF((E8)=0,,(F8-E8)/E8)</f>
        <v>2.5715262573024904E-2</v>
      </c>
      <c r="J8" s="595">
        <f>+IF((F8)=0,,(G8-F8)/F8)</f>
        <v>0.1116106603405745</v>
      </c>
      <c r="L8" s="17">
        <f t="shared" ref="L8:L71" si="0">IF(SUM(C8:J8)&lt;&gt;0,1,0)</f>
        <v>1</v>
      </c>
    </row>
    <row r="9" spans="1:12">
      <c r="A9" s="5" t="s">
        <v>422</v>
      </c>
      <c r="B9" s="92"/>
      <c r="C9" s="160">
        <f>-IF(ISNA(VLOOKUP("MAD707131000",Balance!C:G,5,FALSE))=TRUE,0,VLOOKUP("MAD707131000",Balance!C:G,5,FALSE))</f>
        <v>0</v>
      </c>
      <c r="D9" s="117">
        <f>+[2]Madeleine!$H9</f>
        <v>0</v>
      </c>
      <c r="E9" s="160">
        <f>-IF(ISNA(VLOOKUP("MAD707131000",Balanceanp!C:G,5,FALSE))=TRUE,0,VLOOKUP("MAD707131000",Balanceanp!C:G,5,FALSE))</f>
        <v>56942.49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>
      <c r="A10" s="5" t="s">
        <v>84</v>
      </c>
      <c r="B10" s="92"/>
      <c r="C10" s="160">
        <f>-IF(ISNA(VLOOKUP("MAD707300000",Balance!C:G,5,FALSE))=TRUE,0,VLOOKUP("MAD707300000",Balance!C:G,5,FALSE))</f>
        <v>0</v>
      </c>
      <c r="D10" s="117">
        <f>+[2]Madeleine!$H10</f>
        <v>0</v>
      </c>
      <c r="E10" s="160">
        <f>-IF(ISNA(VLOOKUP("MAD707300000",Balanceanp!C:G,5,FALSE))=TRUE,0,VLOOKUP("MAD707300000",Balanceanp!C:G,5,FALSE))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>
      <c r="A11" s="5" t="s">
        <v>267</v>
      </c>
      <c r="B11" s="92"/>
      <c r="C11" s="160">
        <f>-IF(ISNA(VLOOKUP("MAD707110000",Balance!C:G,5,FALSE))=TRUE,0,VLOOKUP("MAD707110000",Balance!C:G,5,FALSE))</f>
        <v>0</v>
      </c>
      <c r="D11" s="117">
        <f>+[2]Madeleine!$H11</f>
        <v>0</v>
      </c>
      <c r="E11" s="160">
        <f>-IF(ISNA(VLOOKUP("MAD707110000",Balanceanp!C:G,5,FALSE))=TRUE,0,VLOOKUP("MAD707110000",Balanceanp!C:G,5,FALSE))</f>
        <v>257.08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-1</v>
      </c>
      <c r="J11" s="271">
        <f t="shared" si="2"/>
        <v>0</v>
      </c>
      <c r="L11" s="17">
        <v>0</v>
      </c>
    </row>
    <row r="12" spans="1:12">
      <c r="A12" s="5" t="s">
        <v>46</v>
      </c>
      <c r="B12" s="92"/>
      <c r="C12" s="160">
        <f>-IF(ISNA(VLOOKUP("MAD707120000",Balance!C:G,5,FALSE))=TRUE,0,VLOOKUP("MAD707120000",Balance!C:G,5,FALSE))</f>
        <v>0</v>
      </c>
      <c r="D12" s="117">
        <f>+[2]Madeleine!$H12</f>
        <v>0</v>
      </c>
      <c r="E12" s="160">
        <f>-IF(ISNA(VLOOKUP("MAD707120000",Balanceanp!C:G,5,FALSE))=TRUE,0,VLOOKUP("MAD707120000",Balanceanp!C:G,5,FALSE))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>
      <c r="A13" s="5" t="s">
        <v>268</v>
      </c>
      <c r="B13" s="92"/>
      <c r="C13" s="160">
        <f>-IF(ISNA(VLOOKUP("MAD707230000",Balance!C:G,5,FALSE))=TRUE,0,VLOOKUP("MAD707230000",Balance!C:G,5,FALSE))</f>
        <v>0</v>
      </c>
      <c r="D13" s="117">
        <f>+[2]Madeleine!$H13</f>
        <v>0</v>
      </c>
      <c r="E13" s="160">
        <f>-IF(ISNA(VLOOKUP("MAD707230000",Balanceanp!C:G,5,FALSE))=TRUE,0,VLOOKUP("MAD707230000",Balanceanp!C:G,5,FALSE))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>
      <c r="A14" s="5" t="s">
        <v>269</v>
      </c>
      <c r="B14" s="92"/>
      <c r="C14" s="160">
        <f>-IF(ISNA(VLOOKUP("MAD708820000",Balance!C:G,5,FALSE))=TRUE,0,VLOOKUP("MAD708820000",Balance!C:G,5,FALSE))</f>
        <v>409.7</v>
      </c>
      <c r="D14" s="117">
        <f>+[2]Madeleine!$H14</f>
        <v>0</v>
      </c>
      <c r="E14" s="160">
        <f>-IF(ISNA(VLOOKUP("MAD708820000",Balanceanp!C:G,5,FALSE))=TRUE,0,VLOOKUP("MAD708820000",Balanceanp!C:G,5,FALSE))</f>
        <v>287.89</v>
      </c>
      <c r="F14" s="368">
        <f t="shared" si="3"/>
        <v>409.7</v>
      </c>
      <c r="G14" s="395">
        <v>0</v>
      </c>
      <c r="H14" s="401"/>
      <c r="I14" s="149">
        <f t="shared" si="2"/>
        <v>0.42311299454652823</v>
      </c>
      <c r="J14" s="271">
        <f t="shared" si="2"/>
        <v>-1</v>
      </c>
      <c r="L14" s="17">
        <v>0</v>
      </c>
    </row>
    <row r="15" spans="1:12">
      <c r="A15" s="5" t="s">
        <v>270</v>
      </c>
      <c r="B15" s="92"/>
      <c r="C15" s="160">
        <f>-IF(ISNA(VLOOKUP("MAD708500000",Balance!C:G,5,FALSE))=TRUE,0,VLOOKUP("MAD708500000",Balance!C:G,5,FALSE))</f>
        <v>717</v>
      </c>
      <c r="D15" s="117">
        <f>+[2]Madeleine!$H15</f>
        <v>0</v>
      </c>
      <c r="E15" s="160">
        <f>-IF(ISNA(VLOOKUP("MAD708500000",Balanceanp!C:G,5,FALSE))=TRUE,0,VLOOKUP("MAD708500000",Balanceanp!C:G,5,FALSE))</f>
        <v>861</v>
      </c>
      <c r="F15" s="368">
        <f t="shared" si="3"/>
        <v>717</v>
      </c>
      <c r="G15" s="395">
        <v>0</v>
      </c>
      <c r="H15" s="401"/>
      <c r="I15" s="149">
        <f t="shared" si="2"/>
        <v>-0.1672473867595819</v>
      </c>
      <c r="J15" s="271">
        <f t="shared" si="2"/>
        <v>-1</v>
      </c>
      <c r="L15" s="17">
        <v>0</v>
      </c>
    </row>
    <row r="16" spans="1:12">
      <c r="A16" s="5" t="s">
        <v>85</v>
      </c>
      <c r="B16" s="92"/>
      <c r="C16" s="160">
        <f>IF(ISNA(VLOOKUP("MAD706000000",Balance!C:G,5,FALSE))=TRUE,0,-VLOOKUP("MAD706000000",Balance!C:G,5,FALSE))+IF(ISNA(VLOOKUP("MAD706010000",Balance!C:G,5,FALSE))=TRUE,0,-VLOOKUP("MAD706010000",Balance!C:G,5,FALSE))</f>
        <v>0</v>
      </c>
      <c r="D16" s="117">
        <f>+[2]Madeleine!$H16</f>
        <v>0</v>
      </c>
      <c r="E16" s="160">
        <f>IF(ISNA(VLOOKUP("MAD706000000",Balanceanp!C:G,5,FALSE))=TRUE,0,-VLOOKUP("MAD706000000",Balanceanp!C:G,5,FALSE))+IF(ISNA(VLOOKUP("MAD706010000",Balanceanp!C:G,5,FALSE))=TRUE,0,-VLOOKUP("MAD706010000",Balanceanp!C:G,5,FALSE))</f>
        <v>-80</v>
      </c>
      <c r="F16" s="368">
        <f t="shared" si="3"/>
        <v>0</v>
      </c>
      <c r="G16" s="395">
        <v>0</v>
      </c>
      <c r="H16" s="401"/>
      <c r="I16" s="149">
        <f t="shared" si="2"/>
        <v>-1</v>
      </c>
      <c r="J16" s="271">
        <f t="shared" si="2"/>
        <v>0</v>
      </c>
      <c r="L16" s="17">
        <v>0</v>
      </c>
    </row>
    <row r="17" spans="1:12">
      <c r="A17" s="5" t="s">
        <v>88</v>
      </c>
      <c r="B17" s="92"/>
      <c r="C17" s="160">
        <f>IF(ISNA(VLOOKUP("MAD707500000",Balance!C:G,5,FALSE))=TRUE,0,-VLOOKUP("MAD707500000",Balance!C:G,5,FALSE))</f>
        <v>0</v>
      </c>
      <c r="D17" s="117">
        <f>+[2]Madeleine!$H17</f>
        <v>0</v>
      </c>
      <c r="E17" s="160">
        <f>IF(ISNA(VLOOKUP("MAD707500000",Balanceanp!C:G,5,FALSE))=TRUE,0,-VLOOKUP("MAD707500000",Balanceanp!C:G,5,FALSE))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>
      <c r="A18" s="5" t="s">
        <v>89</v>
      </c>
      <c r="B18" s="92"/>
      <c r="C18" s="160">
        <f>IF(ISNA(VLOOKUP("MAD707510000",Balance!C:G,5,FALSE))=TRUE,0,-VLOOKUP("MAD707510000",Balance!C:G,5,FALSE))</f>
        <v>0</v>
      </c>
      <c r="D18" s="117">
        <f>+[2]Madeleine!$H18</f>
        <v>0</v>
      </c>
      <c r="E18" s="160">
        <f>IF(ISNA(VLOOKUP("MAD707510000",Balanceanp!C:G,5,FALSE))=TRUE,0,-VLOOKUP("MAD707510000",Balanceanp!C:G,5,FALSE))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>
      <c r="A19" s="5" t="s">
        <v>90</v>
      </c>
      <c r="B19" s="92"/>
      <c r="C19" s="160">
        <f>IF(ISNA(VLOOKUP("MAD708300000",Balance!C:G,5,FALSE))=TRUE,0,-VLOOKUP("MAD708300000",Balance!C:G,5,FALSE))</f>
        <v>0</v>
      </c>
      <c r="D19" s="117">
        <f>+[2]Madeleine!$H19</f>
        <v>0</v>
      </c>
      <c r="E19" s="160">
        <f>IF(ISNA(VLOOKUP("MAD708300000",Balanceanp!C:G,5,FALSE))=TRUE,0,-VLOOKUP("MAD708300000",Balanceanp!C:G,5,FALSE))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718404.98</v>
      </c>
      <c r="D21" s="312">
        <f>SUM(D7:D20)</f>
        <v>950432</v>
      </c>
      <c r="E21" s="305">
        <f>SUM(E7:E20)</f>
        <v>952048.11</v>
      </c>
      <c r="F21" s="312">
        <f>SUM(F7:F20)</f>
        <v>917890.12838217628</v>
      </c>
      <c r="G21" s="312">
        <f>SUM(G7:G20)</f>
        <v>1019084</v>
      </c>
      <c r="H21" s="312"/>
      <c r="I21" s="598">
        <f>+IF((E21)=0,,(F21-E21)/E21)</f>
        <v>-3.5878419650267161E-2</v>
      </c>
      <c r="J21" s="599">
        <f>+IF((F21)=0,,(G21-F21)/F21)</f>
        <v>0.11024617052607658</v>
      </c>
      <c r="L21" s="17">
        <f t="shared" si="0"/>
        <v>1</v>
      </c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>
      <c r="A23" s="590" t="s">
        <v>92</v>
      </c>
      <c r="B23" s="591"/>
      <c r="C23" s="311">
        <f>IF(ISNA(VLOOKUP("MAD602650000",Balance!C:G,5,FALSE))=TRUE,0,VLOOKUP("MAD602650000",Balance!C:G,5,FALSE))</f>
        <v>179.92</v>
      </c>
      <c r="D23" s="600"/>
      <c r="E23" s="311">
        <f>IF(ISNA(VLOOKUP("MAD602650000",Balanceanp!C:G,5,FALSE))=TRUE,0,VLOOKUP("MAD602650000",Balanceanp!C:G,5,FALSE))</f>
        <v>164.7</v>
      </c>
      <c r="F23" s="600"/>
      <c r="G23" s="600"/>
      <c r="H23" s="600"/>
      <c r="I23" s="591"/>
      <c r="J23" s="595"/>
      <c r="L23" s="17">
        <f t="shared" si="0"/>
        <v>1</v>
      </c>
    </row>
    <row r="24" spans="1:12">
      <c r="A24" s="590" t="s">
        <v>93</v>
      </c>
      <c r="B24" s="591"/>
      <c r="C24" s="311">
        <f>IF(ISNA(VLOOKUP("mad607100000",Balance!C:G,5,FALSE))=TRUE,0,VLOOKUP("mad607100000",Balance!C:G,5,FALSE))</f>
        <v>310696.35000000003</v>
      </c>
      <c r="D24" s="600"/>
      <c r="E24" s="311">
        <f>IF(ISNA(VLOOKUP("mad607100000",Balanceanp!C:G,5,FALSE))=TRUE,0,VLOOKUP("mad607100000",Balanceanp!C:G,5,FALSE))</f>
        <v>452955.29</v>
      </c>
      <c r="F24" s="600"/>
      <c r="G24" s="602">
        <f>H24*G30</f>
        <v>369927.49200000003</v>
      </c>
      <c r="H24" s="603">
        <f>1-H28</f>
        <v>0.55000000000000004</v>
      </c>
      <c r="I24" s="591"/>
      <c r="J24" s="595"/>
      <c r="L24" s="17">
        <f t="shared" si="0"/>
        <v>1</v>
      </c>
    </row>
    <row r="25" spans="1:12">
      <c r="A25" s="5" t="s">
        <v>94</v>
      </c>
      <c r="B25" s="92"/>
      <c r="C25" s="160">
        <f>IF(ISNA(VLOOKUP("mad607110000",Balance!C:G,5,FALSE))=TRUE,0,VLOOKUP("mad607110000",Balance!C:G,5,FALSE))+IF(ISNA(VLOOKUP("mad607120000",Balance!C:G,5,FALSE))=TRUE,0,VLOOKUP("mad607120000",Balance!C:G,5,FALSE))</f>
        <v>69441.86</v>
      </c>
      <c r="D25" s="115"/>
      <c r="E25" s="160">
        <f>IF(ISNA(VLOOKUP("mad607110000",Balanceanp!C:G,5,FALSE))=TRUE,0,VLOOKUP("mad607110000",Balanceanp!C:G,5,FALSE))+IF(ISNA(VLOOKUP("mad607120000",Balanceanp!C:G,5,FALSE))=TRUE,0,VLOOKUP("mad607120000",Balanceanp!C:G,5,FALSE))</f>
        <v>53884.19</v>
      </c>
      <c r="F25" s="134"/>
      <c r="G25" s="134"/>
      <c r="H25" s="400"/>
      <c r="I25" s="149"/>
      <c r="J25" s="271"/>
      <c r="L25" s="17">
        <v>0</v>
      </c>
    </row>
    <row r="26" spans="1:12">
      <c r="A26" s="5" t="s">
        <v>288</v>
      </c>
      <c r="B26" s="92"/>
      <c r="C26" s="160">
        <f>IF(ISNA(VLOOKUP("MAD607130000",Balance!C:G,5,FALSE))=TRUE,0,VLOOKUP("MAD607130000",Balance!C:G,5,FALSE))</f>
        <v>136153.76</v>
      </c>
      <c r="D26" s="115"/>
      <c r="E26" s="160">
        <f>IF(ISNA(VLOOKUP("MAD607130000",Balanceanp!C:G,5,FALSE))=TRUE,0,VLOOKUP("MAD607130000",Balanceanp!C:G,5,FALSE))</f>
        <v>115416</v>
      </c>
      <c r="F26" s="134"/>
      <c r="G26" s="134"/>
      <c r="H26" s="400"/>
      <c r="I26" s="149"/>
      <c r="J26" s="271"/>
      <c r="L26" s="17">
        <v>0</v>
      </c>
    </row>
    <row r="27" spans="1:12">
      <c r="A27" s="5" t="s">
        <v>289</v>
      </c>
      <c r="B27" s="92"/>
      <c r="C27" s="160">
        <f>IF(ISNA(VLOOKUP("MAD607140000",Balance!C:G,5,FALSE))=TRUE,0,VLOOKUP("MAD607140000",Balance!C:G,5,FALSE))</f>
        <v>-271850.78000000003</v>
      </c>
      <c r="D27" s="115"/>
      <c r="E27" s="160">
        <f>IF(ISNA(VLOOKUP("MAD607140000",Balanceanp!C:G,5,FALSE))=TRUE,0,VLOOKUP("MAD607140000",Balanceanp!C:G,5,FALSE))</f>
        <v>-309562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IF(ISNA(VLOOKUP("MAD607200000",Balance!C:G,5,FALSE))=TRUE,0,VLOOKUP("MAD607200000",Balance!C:G,5,FALSE))</f>
        <v>205895.87</v>
      </c>
      <c r="D28" s="971">
        <f>C28/C30</f>
        <v>0.43858257408104351</v>
      </c>
      <c r="E28" s="311">
        <f>IF(ISNA(VLOOKUP("MAD607200000",Balanceanp!C:G,5,FALSE))=TRUE,0,VLOOKUP("MAD607200000",Balanceanp!C:G,5,FALSE))</f>
        <v>325045.37</v>
      </c>
      <c r="F28" s="1018">
        <f>E28/E30</f>
        <v>0.50955253345117779</v>
      </c>
      <c r="G28" s="602">
        <f>H28*G30</f>
        <v>302667.94799999997</v>
      </c>
      <c r="H28" s="604">
        <v>0.45</v>
      </c>
      <c r="I28" s="591"/>
      <c r="J28" s="595"/>
      <c r="L28" s="17">
        <f t="shared" si="0"/>
        <v>1</v>
      </c>
    </row>
    <row r="29" spans="1:12">
      <c r="A29" s="5" t="s">
        <v>293</v>
      </c>
      <c r="B29" s="92"/>
      <c r="C29" s="160">
        <f>IF(ISNA(VLOOKUP("MAD607150000",Balance!C:G,5,FALSE))=TRUE,0,VLOOKUP("MAD607150000",Balance!C:G,5,FALSE))</f>
        <v>18940.5</v>
      </c>
      <c r="D29" s="115"/>
      <c r="E29" s="357">
        <f>IF(ISNA(VLOOKUP("MAD607150000",Balanceanp!C:G,5,FALSE))=TRUE,0,VLOOKUP("MAD607150000",Balanceanp!C:G,5,FALSE))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469457.48</v>
      </c>
      <c r="D30" s="402"/>
      <c r="E30" s="306">
        <f>SUM(E23:E29)</f>
        <v>637903.54999999993</v>
      </c>
      <c r="F30" s="607">
        <f>1-(E30/E21)</f>
        <v>0.32996710638919291</v>
      </c>
      <c r="G30" s="402">
        <f>G21*(1-H30)</f>
        <v>672595.44</v>
      </c>
      <c r="H30" s="577">
        <v>0.34</v>
      </c>
      <c r="I30" s="608"/>
      <c r="J30" s="609"/>
      <c r="L30" s="17">
        <f t="shared" si="0"/>
        <v>1</v>
      </c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274218.93</v>
      </c>
      <c r="D32" s="403"/>
      <c r="E32" s="307">
        <f>+E21-E30-E38</f>
        <v>311594.09890000004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0.38170521869155194</v>
      </c>
      <c r="D33" s="403"/>
      <c r="E33" s="308">
        <f>+E32/E21</f>
        <v>0.32728818599303772</v>
      </c>
      <c r="F33" s="403"/>
      <c r="G33" s="403"/>
      <c r="H33" s="403"/>
      <c r="I33" s="608"/>
      <c r="J33" s="577"/>
      <c r="L33" s="17">
        <f t="shared" si="0"/>
        <v>1</v>
      </c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IF(ISNA(VLOOKUP("MAD607400000",Balance!C:G,5,FALSE))=TRUE,0,VLOOKUP("MAD607400000",Balance!C:G,5,FALSE))</f>
        <v>2567.4</v>
      </c>
      <c r="D35" s="600"/>
      <c r="E35" s="311">
        <f>IF(ISNA(VLOOKUP("MAD607400000",Balanceanp!C:G,5,FALSE))=TRUE,0,VLOOKUP("MAD607400000",Balanceanp!C:G,5,FALSE))</f>
        <v>3023.94</v>
      </c>
      <c r="F35" s="972">
        <f>E35/E30</f>
        <v>4.7404345061255737E-3</v>
      </c>
      <c r="G35" s="613">
        <f>F35*G30</f>
        <v>3188.3946324387125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IF(ISNA(VLOOKUP("MAD608000000",Balance!C:G,5,FALSE))=TRUE,0,VLOOKUP("MAD608000000",Balance!C:G,5,FALSE))</f>
        <v>1080.74</v>
      </c>
      <c r="D36" s="600"/>
      <c r="E36" s="311">
        <f>IF(ISNA(VLOOKUP("MAD608000000",Balanceanp!C:G,5,FALSE))=TRUE,0,VLOOKUP("MAD608000000",Balanceanp!C:G,5,FALSE))</f>
        <v>913.17</v>
      </c>
      <c r="F36" s="972">
        <f>E36/E30</f>
        <v>1.431517350859703E-3</v>
      </c>
      <c r="G36" s="613">
        <f>F36*G30</f>
        <v>962.83204246911623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>
      <c r="A37" s="5" t="s">
        <v>98</v>
      </c>
      <c r="B37" s="92"/>
      <c r="C37" s="160">
        <f>IF(ISNA(VLOOKUP("MAD608100000",Balance!C:G,5,FALSE))=TRUE,0,VLOOKUP("MAD608100000",Balance!C:G,5,FALSE))</f>
        <v>0</v>
      </c>
      <c r="D37" s="115"/>
      <c r="E37" s="160">
        <f>IF(ISNA(VLOOKUP("MAD608100000",Balanceanp!C:G,5,FALSE))=TRUE,0,VLOOKUP("MAD608100000",Balanceanp!C:G,5,FALSE))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>
      <c r="A38" s="5" t="s">
        <v>99</v>
      </c>
      <c r="B38" s="92"/>
      <c r="C38" s="160">
        <f>+C56-C57</f>
        <v>-25271.429999999993</v>
      </c>
      <c r="D38" s="115"/>
      <c r="E38" s="160">
        <f>+E56-E57</f>
        <v>2550.4611000000004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>
      <c r="A39" s="5" t="s">
        <v>177</v>
      </c>
      <c r="B39" s="92"/>
      <c r="C39" s="160">
        <f>IF(ISNA(VLOOKUP("MAD681730000",Balance!C:G,5,FALSE))=TRUE,0,VLOOKUP("MAD681730000",Balance!C:G,5,FALSE))</f>
        <v>0</v>
      </c>
      <c r="D39" s="115"/>
      <c r="E39" s="160">
        <f>IF(ISNA(VLOOKUP("MAD681730000",Balanceanp!C:G,5,FALSE))=TRUE,0,VLOOKUP("MAD681730000",Balanceanp!C:G,5,FALSE))</f>
        <v>5530.79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>
      <c r="A40" s="5" t="s">
        <v>176</v>
      </c>
      <c r="B40" s="92"/>
      <c r="C40" s="160">
        <f>IF(ISNA(VLOOKUP("MAD781730000",Balance!C:G,5,FALSE))=TRUE,0,VLOOKUP("MAD781730000",Balance!C:G,5,FALSE))</f>
        <v>-4601.1400000000003</v>
      </c>
      <c r="D40" s="115"/>
      <c r="E40" s="160">
        <f>IF(ISNA(VLOOKUP("MAD781730000",Balanceanp!C:G,5,FALSE))=TRUE,0,VLOOKUP("MAD781730000",Balanceanp!C:G,5,FALSE))</f>
        <v>-3770.25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IF(ISNA(VLOOKUP("MAD609110000",Balance!C:G,5,FALSE))=TRUE,0,VLOOKUP("MAD609110000",Balance!C:G,5,FALSE))</f>
        <v>26.2</v>
      </c>
      <c r="D41" s="600"/>
      <c r="E41" s="311">
        <f>IF(ISNA(VLOOKUP("MAD609110000",Balanceanp!C:G,5,FALSE))=TRUE,0,VLOOKUP("MAD609110000",Balanceanp!C:G,5,FALSE))</f>
        <v>-13864.9</v>
      </c>
      <c r="F41" s="614">
        <f>E41/SUM(E24:E25)</f>
        <v>-2.7355603789981003E-2</v>
      </c>
      <c r="G41" s="615">
        <f>H41*(G24)</f>
        <v>-7398.5498400000006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IF(ISNA(VLOOKUP("MAD609120000",Balance!C:G,5,FALSE))=TRUE,0,VLOOKUP("MAD609120000",Balance!C:G,5,FALSE))</f>
        <v>-14956.76</v>
      </c>
      <c r="D42" s="600"/>
      <c r="E42" s="311">
        <f>IF(ISNA(VLOOKUP("MAD609120000",Balanceanp!C:G,5,FALSE))=TRUE,0,VLOOKUP("MAD609120000",Balanceanp!C:G,5,FALSE))</f>
        <v>-22037.33</v>
      </c>
      <c r="F42" s="614">
        <f>E42/E28</f>
        <v>-6.779770467119714E-2</v>
      </c>
      <c r="G42" s="615">
        <f>H42*G28</f>
        <v>-21186.756359999999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428302.49</v>
      </c>
      <c r="D44" s="404"/>
      <c r="E44" s="305">
        <f>+E30+SUM(E34:E43)</f>
        <v>610249.43109999993</v>
      </c>
      <c r="F44" s="404"/>
      <c r="G44" s="618">
        <f>SUM(G35:G43)+G30</f>
        <v>648161.36047490779</v>
      </c>
      <c r="H44" s="404"/>
      <c r="I44" s="598"/>
      <c r="J44" s="599"/>
      <c r="L44" s="17">
        <f t="shared" si="0"/>
        <v>1</v>
      </c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customHeight="1">
      <c r="A46" s="56" t="s">
        <v>339</v>
      </c>
      <c r="B46" s="95"/>
      <c r="C46" s="166">
        <f>+C21-C44</f>
        <v>290102.49</v>
      </c>
      <c r="D46" s="120"/>
      <c r="E46" s="166">
        <f>+E21-E44</f>
        <v>341798.67890000006</v>
      </c>
      <c r="F46" s="138"/>
      <c r="G46" s="138"/>
      <c r="H46" s="403"/>
      <c r="I46" s="273"/>
      <c r="J46" s="274"/>
      <c r="L46" s="17">
        <v>0</v>
      </c>
    </row>
    <row r="47" spans="1:12" s="33" customFormat="1" ht="15" customHeight="1">
      <c r="A47" s="56" t="s">
        <v>340</v>
      </c>
      <c r="B47" s="95"/>
      <c r="C47" s="196">
        <f>+C46/C21</f>
        <v>0.40381469794376984</v>
      </c>
      <c r="D47" s="120"/>
      <c r="E47" s="196">
        <f>+E46/E21</f>
        <v>0.35901408270218621</v>
      </c>
      <c r="F47" s="138"/>
      <c r="G47" s="138"/>
      <c r="H47" s="403"/>
      <c r="I47" s="273"/>
      <c r="J47" s="274"/>
      <c r="L47" s="17">
        <v>0</v>
      </c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1.3095705433445076E-2</v>
      </c>
      <c r="C49" s="311">
        <f>IF(ISNA(VLOOKUP("MAD709700000",Balance!C:G,5,FALSE))=TRUE,0,VLOOKUP("MAD709700000",Balance!C:G,5,FALSE))</f>
        <v>9408.02</v>
      </c>
      <c r="D49" s="592">
        <f>+[2]Madeleine!$H49</f>
        <v>22000</v>
      </c>
      <c r="E49" s="311">
        <f>IF(ISNA(VLOOKUP("MAD709700000",Balanceanp!C:G,5,FALSE))=TRUE,0,VLOOKUP("MAD709700000",Balanceanp!C:G,5,FALSE))</f>
        <v>16569.39</v>
      </c>
      <c r="F49" s="592">
        <f>+C49+C49/9*(12-Clients!$I$14)</f>
        <v>12544.026666666668</v>
      </c>
      <c r="G49" s="620">
        <v>18121</v>
      </c>
      <c r="H49" s="621">
        <f>G49/G21</f>
        <v>1.7781654897927945E-2</v>
      </c>
      <c r="I49" s="591">
        <f>+IF((E49)=0,,(F49-E49)/E49)</f>
        <v>-0.24293974209873334</v>
      </c>
      <c r="J49" s="595">
        <f>+IF((F49)=0,,(G49-F49)/F49)</f>
        <v>0.44459195452390599</v>
      </c>
      <c r="L49" s="17">
        <f t="shared" si="0"/>
        <v>1</v>
      </c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708996.96</v>
      </c>
      <c r="D51" s="312">
        <f>+D21-D49</f>
        <v>928432</v>
      </c>
      <c r="E51" s="305">
        <f>+E21-E49</f>
        <v>935478.72</v>
      </c>
      <c r="F51" s="312">
        <f>+F21-F49</f>
        <v>905346.10171550966</v>
      </c>
      <c r="G51" s="312">
        <f>+G21-G49</f>
        <v>1000963</v>
      </c>
      <c r="H51" s="312"/>
      <c r="I51" s="598">
        <f>+IF((E51)=0,,(F51-E51)/E51)</f>
        <v>-3.221090725023687E-2</v>
      </c>
      <c r="J51" s="599">
        <f>+IF((F51)=0,,(G51-F51)/F51)</f>
        <v>0.10561364112940798</v>
      </c>
      <c r="L51" s="17">
        <f t="shared" si="0"/>
        <v>1</v>
      </c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customHeight="1">
      <c r="A53" s="16" t="s">
        <v>3</v>
      </c>
      <c r="B53" s="96"/>
      <c r="C53" s="169">
        <f>+C51-C44</f>
        <v>280694.46999999997</v>
      </c>
      <c r="D53" s="122"/>
      <c r="E53" s="169">
        <f>+E51-E44</f>
        <v>325229.28890000004</v>
      </c>
      <c r="F53" s="140"/>
      <c r="G53" s="140">
        <f>+G51-G44</f>
        <v>352801.63952509221</v>
      </c>
      <c r="H53" s="405"/>
      <c r="I53" s="224"/>
      <c r="J53" s="123"/>
      <c r="K53" s="2"/>
      <c r="L53" s="17">
        <v>0</v>
      </c>
    </row>
    <row r="54" spans="1:12" s="33" customFormat="1" ht="15" customHeight="1">
      <c r="A54" s="16" t="s">
        <v>4</v>
      </c>
      <c r="B54" s="96"/>
      <c r="C54" s="197">
        <f>+C53/C51</f>
        <v>0.39590362982656513</v>
      </c>
      <c r="D54" s="123"/>
      <c r="E54" s="197">
        <f>+E53/E51</f>
        <v>0.3476608093233805</v>
      </c>
      <c r="F54" s="141"/>
      <c r="G54" s="141"/>
      <c r="H54" s="406"/>
      <c r="I54" s="224"/>
      <c r="J54" s="123"/>
      <c r="K54" s="2"/>
      <c r="L54" s="17">
        <v>0</v>
      </c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>
      <c r="A56" s="5" t="s">
        <v>290</v>
      </c>
      <c r="B56" s="92"/>
      <c r="C56" s="160">
        <f>+[2]Madeleine!$C56</f>
        <v>117034.57</v>
      </c>
      <c r="D56" s="115"/>
      <c r="E56" s="160">
        <f>+[1]Madeleine!$G56</f>
        <v>116627.4933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>
      <c r="A57" s="5" t="s">
        <v>100</v>
      </c>
      <c r="B57" s="92"/>
      <c r="C57" s="160">
        <f>+[2]Madeleine!$C57</f>
        <v>142306</v>
      </c>
      <c r="D57" s="115"/>
      <c r="E57" s="160">
        <f>+[1]Madeleine!$G57</f>
        <v>114077.0322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15">
        <f>+[2]Madeleine!$C60</f>
        <v>0.3599</v>
      </c>
      <c r="D60" s="406">
        <f>+[2]Madeleine!$H60</f>
        <v>0.35993804608199631</v>
      </c>
      <c r="E60" s="15">
        <f>+[1]Madeleine!$G$54</f>
        <v>0.3476608093233805</v>
      </c>
      <c r="F60" s="406">
        <f>+C60</f>
        <v>0.3599</v>
      </c>
      <c r="G60" s="406">
        <f>G62/G51</f>
        <v>0.35246221840876457</v>
      </c>
      <c r="H60" s="406"/>
      <c r="I60" s="15"/>
      <c r="J60" s="406"/>
      <c r="L60" s="17">
        <f t="shared" si="0"/>
        <v>1</v>
      </c>
    </row>
    <row r="61" spans="1:12">
      <c r="A61" s="5" t="s">
        <v>65</v>
      </c>
      <c r="B61" s="92"/>
      <c r="C61" s="92">
        <f>+[2]Madeleine!$C61</f>
        <v>0.33800000000000002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255168.00590399999</v>
      </c>
      <c r="D62" s="405">
        <f>D51*D60</f>
        <v>334178</v>
      </c>
      <c r="E62" s="309">
        <f>+E51*E60</f>
        <v>325229.28890000004</v>
      </c>
      <c r="F62" s="405">
        <f>+F51*F60</f>
        <v>325834.06200741191</v>
      </c>
      <c r="G62" s="405">
        <f>G51-G44</f>
        <v>352801.63952509221</v>
      </c>
      <c r="H62" s="405"/>
      <c r="I62" s="15">
        <f>+IF((E62)=0,,(F62-E62)/E62)</f>
        <v>1.8595284251837986E-3</v>
      </c>
      <c r="J62" s="406">
        <f>+IF((F62)=0,,(G62-F62)/F62)</f>
        <v>8.276475869814634E-2</v>
      </c>
      <c r="L62" s="17">
        <f t="shared" si="0"/>
        <v>1</v>
      </c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IF(ISNA(VLOOKUP("MAD613520000",Balance!C:G,5,FALSE))=TRUE,0,VLOOKUP("MAD613520000",Balance!C:G,5,FALSE))</f>
        <v>506.98</v>
      </c>
      <c r="D64" s="592">
        <f>+[2]Madeleine!$H64</f>
        <v>299.933425</v>
      </c>
      <c r="E64" s="311">
        <f>IF(ISNA(VLOOKUP("MAD613520000",Balanceanp!C:G,5,FALSE))=TRUE,0,VLOOKUP("MAD613520000",Balanceanp!C:G,5,FALSE))</f>
        <v>230.44</v>
      </c>
      <c r="F64" s="625">
        <f>+C64+C64/9*(12-Clients!$I$14)</f>
        <v>675.97333333333336</v>
      </c>
      <c r="G64" s="594">
        <f>+F64*1.03</f>
        <v>696.25253333333342</v>
      </c>
      <c r="H64" s="594"/>
      <c r="I64" s="591">
        <f t="shared" ref="I64:J68" si="5">+IF((E64)=0,,(F64-E64)/E64)</f>
        <v>1.9334027657235435</v>
      </c>
      <c r="J64" s="595">
        <f t="shared" si="5"/>
        <v>3.0000000000000089E-2</v>
      </c>
      <c r="L64" s="17">
        <f t="shared" si="0"/>
        <v>1</v>
      </c>
    </row>
    <row r="65" spans="1:12">
      <c r="A65" s="5" t="s">
        <v>314</v>
      </c>
      <c r="B65" s="92"/>
      <c r="C65" s="160"/>
      <c r="D65" s="117">
        <f>+[2]Madeleine!$H65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IF(ISNA(VLOOKUP("MAD616120000",Balance!C:G,5,FALSE))=TRUE,0,VLOOKUP("MAD616120000",Balance!C:G,5,FALSE))</f>
        <v>504.38</v>
      </c>
      <c r="D66" s="592">
        <f>+[2]Madeleine!$H66</f>
        <v>660.49522500000012</v>
      </c>
      <c r="E66" s="311">
        <f>IF(ISNA(VLOOKUP("MAD616120000",Balanceanp!C:G,5,FALSE))=TRUE,0,VLOOKUP("MAD616120000",Balanceanp!C:G,5,FALSE))</f>
        <v>1171.48</v>
      </c>
      <c r="F66" s="625">
        <f>+C66+C66/9*(12-Clients!$I$14)</f>
        <v>672.50666666666666</v>
      </c>
      <c r="G66" s="594">
        <f>+F66*1.03</f>
        <v>692.68186666666668</v>
      </c>
      <c r="H66" s="594"/>
      <c r="I66" s="591">
        <f t="shared" si="5"/>
        <v>-0.42593414598058299</v>
      </c>
      <c r="J66" s="595">
        <f t="shared" si="5"/>
        <v>3.0000000000000027E-2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IF(ISNA(VLOOKUP("MAD615520000",Balance!C:G,5,FALSE))=TRUE,0,VLOOKUP("MAD615520000",Balance!C:G,5,FALSE))</f>
        <v>443.28</v>
      </c>
      <c r="D67" s="592">
        <f>+[2]Madeleine!$H67</f>
        <v>847.80329999999992</v>
      </c>
      <c r="E67" s="311">
        <f>IF(ISNA(VLOOKUP("MAD615520000",Balanceanp!C:G,5,FALSE))=TRUE,0,VLOOKUP("MAD615520000",Balanceanp!C:G,5,FALSE))</f>
        <v>1698.5</v>
      </c>
      <c r="F67" s="625">
        <f>+C67+C67/9*(12-Clients!$I$14)</f>
        <v>591.04</v>
      </c>
      <c r="G67" s="594">
        <f>+F67*1.03</f>
        <v>608.77120000000002</v>
      </c>
      <c r="H67" s="594"/>
      <c r="I67" s="591">
        <f t="shared" si="5"/>
        <v>-0.6520223726817781</v>
      </c>
      <c r="J67" s="595">
        <f t="shared" si="5"/>
        <v>3.00000000000001E-2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IF(ISNA(VLOOKUP("MAD606130000",Balance!C:G,5,FALSE))=TRUE,0,VLOOKUP("MAD606130000",Balance!C:G,5,FALSE))</f>
        <v>1095.8699999999999</v>
      </c>
      <c r="D68" s="592">
        <f>+[2]Madeleine!$H68</f>
        <v>2112.4991000000005</v>
      </c>
      <c r="E68" s="311">
        <f>IF(ISNA(VLOOKUP("MAD606130000",Balanceanp!C:G,5,FALSE))=TRUE,0,VLOOKUP("MAD606130000",Balanceanp!C:G,5,FALSE))</f>
        <v>2368.33</v>
      </c>
      <c r="F68" s="625">
        <f>+C68+C68/9*(12-Clients!$I$14)</f>
        <v>1461.1599999999999</v>
      </c>
      <c r="G68" s="625">
        <f>+F68*1.03</f>
        <v>1504.9947999999999</v>
      </c>
      <c r="H68" s="625"/>
      <c r="I68" s="591">
        <f t="shared" si="5"/>
        <v>-0.38304205917249712</v>
      </c>
      <c r="J68" s="595">
        <f t="shared" si="5"/>
        <v>3.0000000000000061E-2</v>
      </c>
      <c r="L68" s="17">
        <f t="shared" si="0"/>
        <v>1</v>
      </c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2550.5099999999998</v>
      </c>
      <c r="D70" s="628">
        <f>SUM(D64:D69)</f>
        <v>3920.7310500000003</v>
      </c>
      <c r="E70" s="311">
        <f>SUM(E64:E69)</f>
        <v>5468.75</v>
      </c>
      <c r="F70" s="973">
        <f>SUM(F64:F69)</f>
        <v>3400.68</v>
      </c>
      <c r="G70" s="412">
        <f>SUM(G64:G69)</f>
        <v>3502.7004000000002</v>
      </c>
      <c r="H70" s="412"/>
      <c r="I70" s="591">
        <f>+IF((E70)=0,,(F70-E70)/E70)</f>
        <v>-0.37816137142857148</v>
      </c>
      <c r="J70" s="595">
        <f>+IF((F70)=0,,(G70-F70)/F70)</f>
        <v>3.00000000000001E-2</v>
      </c>
      <c r="L70" s="17">
        <f t="shared" si="0"/>
        <v>1</v>
      </c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IF(ISNA(VLOOKUP("MAD602220000",Balance!C:G,5,FALSE))=TRUE,0,VLOOKUP("MAD602220000",Balance!C:G,5,FALSE))</f>
        <v>0.98</v>
      </c>
      <c r="D72" s="592">
        <f>+[2]Madeleine!$H72</f>
        <v>6.2851365881177088</v>
      </c>
      <c r="E72" s="311">
        <f>IF(ISNA(VLOOKUP("MAD602220000",Balanceanp!C:G,5,FALSE))=TRUE,0,VLOOKUP("MAD602220000",Balanceanp!C:G,5,FALSE))</f>
        <v>25.42</v>
      </c>
      <c r="F72" s="625">
        <f>+C72+C72/9*(12-Clients!$I$14)</f>
        <v>1.3066666666666666</v>
      </c>
      <c r="G72" s="630">
        <f>+F72*1.03</f>
        <v>1.3458666666666668</v>
      </c>
      <c r="H72" s="630"/>
      <c r="I72" s="591">
        <f t="shared" ref="I72:J87" si="6">+IF((E72)=0,,(F72-E72)/E72)</f>
        <v>-0.94859690532389207</v>
      </c>
      <c r="J72" s="595">
        <f t="shared" si="6"/>
        <v>3.0000000000000096E-2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IF(ISNA(VLOOKUP("MAD606100000",Balance!C:G,5,FALSE))=TRUE,0,VLOOKUP("MAD606100000",Balance!C:G,5,FALSE))</f>
        <v>1948.85</v>
      </c>
      <c r="D73" s="592">
        <f>+[2]Madeleine!$H73</f>
        <v>2241.9681016254008</v>
      </c>
      <c r="E73" s="311">
        <f>IF(ISNA(VLOOKUP("MAD606100000",Balanceanp!C:G,5,FALSE))=TRUE,0,VLOOKUP("MAD606100000",Balanceanp!C:G,5,FALSE))</f>
        <v>2289.4499999999998</v>
      </c>
      <c r="F73" s="625">
        <f>+C73+C73/9*(12-Clients!$I$14)</f>
        <v>2598.4666666666667</v>
      </c>
      <c r="G73" s="630">
        <f t="shared" ref="G73:G101" si="8">+F73*1.03</f>
        <v>2676.4206666666669</v>
      </c>
      <c r="H73" s="630"/>
      <c r="I73" s="591">
        <f t="shared" si="6"/>
        <v>0.13497419321962345</v>
      </c>
      <c r="J73" s="595">
        <f t="shared" si="6"/>
        <v>3.0000000000000068E-2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IF(ISNA(VLOOKUP("MAD606110000",Balance!C:G,5,FALSE))=TRUE,0,VLOOKUP("MAD606110000",Balance!C:G,5,FALSE))</f>
        <v>-377.39</v>
      </c>
      <c r="D74" s="592">
        <f>+[2]Madeleine!$H74</f>
        <v>3055.4803391142937</v>
      </c>
      <c r="E74" s="311">
        <f>IF(ISNA(VLOOKUP("MAD606110000",Balanceanp!C:G,5,FALSE))=TRUE,0,VLOOKUP("MAD606110000",Balanceanp!C:G,5,FALSE))</f>
        <v>2733.16</v>
      </c>
      <c r="F74" s="625">
        <f>+C74+C74/9*(12-Clients!$I$14)</f>
        <v>-503.18666666666667</v>
      </c>
      <c r="G74" s="630">
        <f t="shared" si="8"/>
        <v>-518.28226666666671</v>
      </c>
      <c r="H74" s="630"/>
      <c r="I74" s="591">
        <f t="shared" si="6"/>
        <v>-1.1841043578373263</v>
      </c>
      <c r="J74" s="595">
        <f t="shared" si="6"/>
        <v>3.0000000000000093E-2</v>
      </c>
      <c r="L74" s="17">
        <f t="shared" si="7"/>
        <v>1</v>
      </c>
    </row>
    <row r="75" spans="1:12">
      <c r="A75" s="5" t="s">
        <v>360</v>
      </c>
      <c r="B75" s="92"/>
      <c r="C75" s="160">
        <f>IF(ISNA(VLOOKUP("MAD606140000",Balance!C:G,5,FALSE))=TRUE,0,VLOOKUP("MAD606140000",Balance!C:G,5,FALSE))</f>
        <v>0</v>
      </c>
      <c r="D75" s="117">
        <f>+[2]Madeleine!$H75</f>
        <v>0</v>
      </c>
      <c r="E75" s="160">
        <f>IF(ISNA(VLOOKUP("MAD606140000",Balanceanp!C:G,5,FALSE))=TRUE,0,VLOOKUP("MAD606140000",Balanceanp!C:G,5,FALSE))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IF(ISNA(VLOOKUP("MAD606310000",Balance!C:G,5,FALSE))=TRUE,0,VLOOKUP("MAD606310000",Balance!C:G,5,FALSE))</f>
        <v>0</v>
      </c>
      <c r="D76" s="592">
        <f>+[2]Madeleine!$H76</f>
        <v>79.012373201347231</v>
      </c>
      <c r="E76" s="311">
        <f>IF(ISNA(VLOOKUP("MAD606310000",Balanceanp!C:G,5,FALSE))=TRUE,0,VLOOKUP("MAD606310000",Balanceanp!C:G,5,FALSE))</f>
        <v>75.510000000000005</v>
      </c>
      <c r="F76" s="625">
        <f>+C76+C76/9*(12-Clients!$I$14)</f>
        <v>0</v>
      </c>
      <c r="G76" s="630">
        <f t="shared" si="8"/>
        <v>0</v>
      </c>
      <c r="H76" s="630"/>
      <c r="I76" s="591">
        <f t="shared" si="6"/>
        <v>-1</v>
      </c>
      <c r="J76" s="595">
        <f t="shared" si="6"/>
        <v>0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IF(ISNA(VLOOKUP("MAD606410000",Balance!C:G,5,FALSE))=TRUE,0,VLOOKUP("MAD606410000",Balance!C:G,5,FALSE))</f>
        <v>1159.2</v>
      </c>
      <c r="D77" s="592">
        <f>+[2]Madeleine!$H77</f>
        <v>1735.2505433004148</v>
      </c>
      <c r="E77" s="311">
        <f>IF(ISNA(VLOOKUP("MAD606410000",Balanceanp!C:G,5,FALSE))=TRUE,0,VLOOKUP("MAD606410000",Balanceanp!C:G,5,FALSE))</f>
        <v>2487.81</v>
      </c>
      <c r="F77" s="625">
        <f>+C77+C77/9*(12-Clients!$I$14)</f>
        <v>1545.6000000000001</v>
      </c>
      <c r="G77" s="630">
        <f t="shared" si="8"/>
        <v>1591.9680000000001</v>
      </c>
      <c r="H77" s="630"/>
      <c r="I77" s="591">
        <f t="shared" si="6"/>
        <v>-0.37873069084857758</v>
      </c>
      <c r="J77" s="595">
        <f t="shared" si="6"/>
        <v>2.9999999999999957E-2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IF(ISNA(VLOOKUP("MAD611000000",Balance!C:G,5,FALSE))=TRUE,0,VLOOKUP("MAD611000000",Balance!C:G,5,FALSE))</f>
        <v>0</v>
      </c>
      <c r="D78" s="592">
        <f>+[2]Madeleine!$H78</f>
        <v>31.862275676470841</v>
      </c>
      <c r="E78" s="311">
        <f>IF(ISNA(VLOOKUP("MAD611000000",Balanceanp!C:G,5,FALSE))=TRUE,0,VLOOKUP("MAD611000000",Balanceanp!C:G,5,FALSE))</f>
        <v>0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0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IF(ISNA(VLOOKUP("MAD613200000",Balance!C:G,5,FALSE))=TRUE,0,VLOOKUP("MAD613200000",Balance!C:G,5,FALSE))</f>
        <v>27543.06</v>
      </c>
      <c r="D79" s="592">
        <f>+[2]Madeleine!$H79</f>
        <v>34750.345999999998</v>
      </c>
      <c r="E79" s="311">
        <f>IF(ISNA(VLOOKUP("MAD613200000",Balanceanp!C:G,5,FALSE))=TRUE,0,VLOOKUP("MAD613200000",Balanceanp!C:G,5,FALSE))</f>
        <v>33738.199999999997</v>
      </c>
      <c r="F79" s="620">
        <f>8435.55+9181.02*3+746.47</f>
        <v>36725.08</v>
      </c>
      <c r="G79" s="620">
        <f>7500*4/1276*1498</f>
        <v>35219.435736677115</v>
      </c>
      <c r="H79" s="974">
        <f>G79/G21</f>
        <v>3.4559894706105793E-2</v>
      </c>
      <c r="I79" s="591">
        <f t="shared" si="6"/>
        <v>8.8531101244287036E-2</v>
      </c>
      <c r="J79" s="595">
        <f t="shared" si="6"/>
        <v>-4.0997712280623676E-2</v>
      </c>
      <c r="L79" s="17">
        <f t="shared" si="7"/>
        <v>1</v>
      </c>
    </row>
    <row r="80" spans="1:12">
      <c r="A80" s="590" t="s">
        <v>325</v>
      </c>
      <c r="B80" s="591"/>
      <c r="C80" s="311">
        <f>IF(ISNA(VLOOKUP("MAD614000000",Balance!C:G,5,FALSE))=TRUE,0,VLOOKUP("MAD614000000",Balance!C:G,5,FALSE))</f>
        <v>5505.42</v>
      </c>
      <c r="D80" s="592">
        <f>+[2]Madeleine!$H80</f>
        <v>5910.5522327146591</v>
      </c>
      <c r="E80" s="311">
        <f>IF(ISNA(VLOOKUP("MAD614000000",Balanceanp!C:G,5,FALSE))=TRUE,0,VLOOKUP("MAD614000000",Balanceanp!C:G,5,FALSE))</f>
        <v>6505.42</v>
      </c>
      <c r="F80" s="625">
        <f>+C80+C80/9*(12-Clients!$I$14)</f>
        <v>7340.56</v>
      </c>
      <c r="G80" s="630">
        <f t="shared" si="8"/>
        <v>7560.7768000000005</v>
      </c>
      <c r="H80" s="630"/>
      <c r="I80" s="591">
        <f t="shared" si="6"/>
        <v>0.12837603106332879</v>
      </c>
      <c r="J80" s="595">
        <f t="shared" si="6"/>
        <v>3.000000000000002E-2</v>
      </c>
      <c r="L80" s="17">
        <f t="shared" si="7"/>
        <v>1</v>
      </c>
    </row>
    <row r="81" spans="1:12">
      <c r="A81" s="590" t="s">
        <v>103</v>
      </c>
      <c r="B81" s="591"/>
      <c r="C81" s="311">
        <f>IF(ISNA(VLOOKUP("MAD613510000",Balance!C:G,5,FALSE))=TRUE,0,VLOOKUP("MAD613510000",Balance!C:G,5,FALSE))</f>
        <v>0</v>
      </c>
      <c r="D81" s="592">
        <f>+[2]Madeleine!$H81</f>
        <v>1.270105427951389</v>
      </c>
      <c r="E81" s="311">
        <f>IF(ISNA(VLOOKUP("MAD613510000",Balanceanp!C:G,5,FALSE))=TRUE,0,VLOOKUP("MAD613510000",Balanceanp!C:G,5,FALSE))</f>
        <v>0</v>
      </c>
      <c r="F81" s="625">
        <f>+C81+C81/9*(12-Clients!$I$14)</f>
        <v>0</v>
      </c>
      <c r="G81" s="630">
        <f t="shared" si="8"/>
        <v>0</v>
      </c>
      <c r="H81" s="630"/>
      <c r="I81" s="591">
        <f t="shared" si="6"/>
        <v>0</v>
      </c>
      <c r="J81" s="595">
        <f t="shared" si="6"/>
        <v>0</v>
      </c>
      <c r="L81" s="17">
        <f t="shared" si="7"/>
        <v>1</v>
      </c>
    </row>
    <row r="82" spans="1:12">
      <c r="A82" s="590" t="s">
        <v>105</v>
      </c>
      <c r="B82" s="591"/>
      <c r="C82" s="311">
        <f>IF(ISNA(VLOOKUP("MAD613530000",Balance!C:G,5,FALSE))=TRUE,0,VLOOKUP("MAD613530000",Balance!C:G,5,FALSE))</f>
        <v>242</v>
      </c>
      <c r="D82" s="592">
        <f>+[2]Madeleine!$H82</f>
        <v>214.87135427187499</v>
      </c>
      <c r="E82" s="311">
        <f>IF(ISNA(VLOOKUP("MAD613530000",Balanceanp!C:G,5,FALSE))=TRUE,0,VLOOKUP("MAD613530000",Balanceanp!C:G,5,FALSE))</f>
        <v>180</v>
      </c>
      <c r="F82" s="625">
        <f>+C82+C82/9*(12-Clients!$I$14)</f>
        <v>322.66666666666669</v>
      </c>
      <c r="G82" s="630">
        <f t="shared" si="8"/>
        <v>332.34666666666669</v>
      </c>
      <c r="H82" s="630"/>
      <c r="I82" s="591">
        <f t="shared" si="6"/>
        <v>0.79259259259259274</v>
      </c>
      <c r="J82" s="595">
        <f t="shared" si="6"/>
        <v>3.000000000000002E-2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IF(ISNA(VLOOKUP("MAD613540000",Balance!C:G,5,FALSE))=TRUE,0,VLOOKUP("MAD613540000",Balance!C:G,5,FALSE))</f>
        <v>258.01</v>
      </c>
      <c r="D83" s="592">
        <f>+[2]Madeleine!$H83</f>
        <v>443.37177210213162</v>
      </c>
      <c r="E83" s="311">
        <f>IF(ISNA(VLOOKUP("MAD613540000",Balanceanp!C:G,5,FALSE))=TRUE,0,VLOOKUP("MAD613540000",Balanceanp!C:G,5,FALSE))</f>
        <v>515</v>
      </c>
      <c r="F83" s="625">
        <f>+C83+C83/9*(12-Clients!$I$14)</f>
        <v>344.01333333333332</v>
      </c>
      <c r="G83" s="630">
        <f t="shared" si="8"/>
        <v>354.33373333333333</v>
      </c>
      <c r="H83" s="630"/>
      <c r="I83" s="591">
        <f t="shared" si="6"/>
        <v>-0.33201294498381878</v>
      </c>
      <c r="J83" s="595">
        <f t="shared" si="6"/>
        <v>3.000000000000002E-2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IF(ISNA(VLOOKUP("MAD615200000",Balance!C:G,5,FALSE))=TRUE,0,VLOOKUP("MAD615200000",Balance!C:G,5,FALSE))</f>
        <v>1282.81</v>
      </c>
      <c r="D84" s="592">
        <f>+[2]Madeleine!$H84</f>
        <v>1858.0984460754783</v>
      </c>
      <c r="E84" s="311">
        <f>IF(ISNA(VLOOKUP("MAD615200000",Balanceanp!C:G,5,FALSE))=TRUE,0,VLOOKUP("MAD615200000",Balanceanp!C:G,5,FALSE))</f>
        <v>2060.2399999999998</v>
      </c>
      <c r="F84" s="625">
        <f>+C84+C84/9*(12-Clients!$I$14)</f>
        <v>1710.4133333333332</v>
      </c>
      <c r="G84" s="630">
        <f t="shared" si="8"/>
        <v>1761.7257333333332</v>
      </c>
      <c r="H84" s="630"/>
      <c r="I84" s="591">
        <f t="shared" si="6"/>
        <v>-0.16979898782018921</v>
      </c>
      <c r="J84" s="595">
        <f t="shared" si="6"/>
        <v>3.0000000000000016E-2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IF(ISNA(VLOOKUP("MAD615500000",Balance!C:G,5,FALSE))=TRUE,0,VLOOKUP("MAD615500000",Balance!C:G,5,FALSE))</f>
        <v>736.8</v>
      </c>
      <c r="D85" s="592">
        <f>+[2]Madeleine!$H85</f>
        <v>1115.5123898395834</v>
      </c>
      <c r="E85" s="311">
        <f>IF(ISNA(VLOOKUP("MAD615500000",Balanceanp!C:G,5,FALSE))=TRUE,0,VLOOKUP("MAD615500000",Balanceanp!C:G,5,FALSE))</f>
        <v>725.59999999999991</v>
      </c>
      <c r="F85" s="625">
        <f>+C85+C85/9*(12-Clients!$I$14)</f>
        <v>982.39999999999986</v>
      </c>
      <c r="G85" s="630">
        <f t="shared" si="8"/>
        <v>1011.8719999999998</v>
      </c>
      <c r="H85" s="630"/>
      <c r="I85" s="591">
        <f t="shared" si="6"/>
        <v>0.35391400220507163</v>
      </c>
      <c r="J85" s="595">
        <f t="shared" si="6"/>
        <v>2.9999999999999985E-2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IF(ISNA(VLOOKUP("MAD615510000",Balance!C:G,5,FALSE))=TRUE,0,VLOOKUP("MAD615510000",Balance!C:G,5,FALSE))</f>
        <v>348.47</v>
      </c>
      <c r="D86" s="592">
        <f>+[2]Madeleine!$H86</f>
        <v>329.71784509491221</v>
      </c>
      <c r="E86" s="311">
        <f>IF(ISNA(VLOOKUP("MAD615510000",Balanceanp!C:G,5,FALSE))=TRUE,0,VLOOKUP("MAD615510000",Balanceanp!C:G,5,FALSE))</f>
        <v>0</v>
      </c>
      <c r="F86" s="625">
        <f>+C86+C86/9*(12-Clients!$I$14)</f>
        <v>464.62666666666667</v>
      </c>
      <c r="G86" s="630">
        <f t="shared" si="8"/>
        <v>478.56546666666668</v>
      </c>
      <c r="H86" s="630"/>
      <c r="I86" s="591">
        <f t="shared" si="6"/>
        <v>0</v>
      </c>
      <c r="J86" s="595">
        <f t="shared" si="6"/>
        <v>3.000000000000003E-2</v>
      </c>
      <c r="L86" s="17">
        <f t="shared" si="7"/>
        <v>1</v>
      </c>
    </row>
    <row r="87" spans="1:12">
      <c r="A87" s="5" t="s">
        <v>363</v>
      </c>
      <c r="B87" s="92"/>
      <c r="C87" s="160">
        <f>IF(ISNA(VLOOKUP("MAD615530000",Balance!C:G,5,FALSE))=TRUE,0,VLOOKUP("MAD615530000",Balance!C:G,5,FALSE))</f>
        <v>0</v>
      </c>
      <c r="D87" s="117">
        <f>+[2]Madeleine!$H87</f>
        <v>0</v>
      </c>
      <c r="E87" s="160">
        <f>IF(ISNA(VLOOKUP("MAD615530000",Balanceanp!C:G,5,FALSE))=TRUE,0,VLOOKUP("MAD615530000",Balanceanp!C:G,5,FALSE))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IF(ISNA(VLOOKUP("MAD616130000",Balance!C:G,5,FALSE))=TRUE,0,VLOOKUP("MAD616130000",Balance!C:G,5,FALSE))</f>
        <v>2084.7600000000002</v>
      </c>
      <c r="D88" s="592">
        <f>+[2]Madeleine!$H88</f>
        <v>2779.6340250000003</v>
      </c>
      <c r="E88" s="311">
        <f>IF(ISNA(VLOOKUP("MAD616130000",Balanceanp!C:G,5,FALSE))=TRUE,0,VLOOKUP("MAD616130000",Balanceanp!C:G,5,FALSE))</f>
        <v>2549.5100000000002</v>
      </c>
      <c r="F88" s="625">
        <f>+C88+C88/9*(12-Clients!$I$14)</f>
        <v>2779.6800000000003</v>
      </c>
      <c r="G88" s="632">
        <f>+E88*1.05*1.05</f>
        <v>2810.8347750000003</v>
      </c>
      <c r="H88" s="632"/>
      <c r="I88" s="591">
        <f t="shared" ref="I88:I101" si="9">+IF((E88)=0,,(F88-E88)/E88)</f>
        <v>9.0280093037485659E-2</v>
      </c>
      <c r="J88" s="595">
        <f t="shared" ref="J88:J101" si="10">+IF((F88)=0,,(G88-F88)/F88)</f>
        <v>1.1208043731652554E-2</v>
      </c>
      <c r="L88" s="17">
        <f t="shared" si="7"/>
        <v>1</v>
      </c>
    </row>
    <row r="89" spans="1:12">
      <c r="A89" s="5" t="s">
        <v>315</v>
      </c>
      <c r="B89" s="92"/>
      <c r="C89" s="160"/>
      <c r="D89" s="117">
        <f>+[2]Madeleine!$H89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IF(ISNA(VLOOKUP("MAD618100000",Balance!C:G,5,FALSE))=TRUE,0,VLOOKUP("MAD618100000",Balance!C:G,5,FALSE))</f>
        <v>206</v>
      </c>
      <c r="D90" s="592">
        <f>+[2]Madeleine!$H90</f>
        <v>498.17572255471879</v>
      </c>
      <c r="E90" s="311">
        <f>IF(ISNA(VLOOKUP("MAD618100000",Balanceanp!C:G,5,FALSE))=TRUE,0,VLOOKUP("MAD618100000",Balanceanp!C:G,5,FALSE))</f>
        <v>431.1</v>
      </c>
      <c r="F90" s="625">
        <f>+C90+C90/9*(12-Clients!$I$14)</f>
        <v>274.66666666666669</v>
      </c>
      <c r="G90" s="630">
        <f t="shared" si="8"/>
        <v>282.90666666666669</v>
      </c>
      <c r="H90" s="630"/>
      <c r="I90" s="591">
        <f t="shared" si="9"/>
        <v>-0.36287017706641922</v>
      </c>
      <c r="J90" s="595">
        <f t="shared" si="10"/>
        <v>3.000000000000003E-2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IF(ISNA(VLOOKUP("MAD618500000",Balance!C:G,5,FALSE))=TRUE,0,VLOOKUP("MAD618500000",Balance!C:G,5,FALSE))</f>
        <v>1198.74</v>
      </c>
      <c r="D91" s="592">
        <f>+[2]Madeleine!$H91</f>
        <v>1503.5632889960232</v>
      </c>
      <c r="E91" s="311">
        <f>IF(ISNA(VLOOKUP("MAD618500000",Balanceanp!C:G,5,FALSE))=TRUE,0,VLOOKUP("MAD618500000",Balanceanp!C:G,5,FALSE))</f>
        <v>1097.83</v>
      </c>
      <c r="F91" s="625">
        <f>+C91+C91/9*(12-Clients!$I$14)</f>
        <v>1598.32</v>
      </c>
      <c r="G91" s="630">
        <f t="shared" si="8"/>
        <v>1646.2696000000001</v>
      </c>
      <c r="H91" s="630"/>
      <c r="I91" s="591">
        <f t="shared" si="9"/>
        <v>0.45589025623275009</v>
      </c>
      <c r="J91" s="595">
        <f t="shared" si="10"/>
        <v>3.0000000000000093E-2</v>
      </c>
      <c r="L91" s="17">
        <f t="shared" si="7"/>
        <v>1</v>
      </c>
    </row>
    <row r="92" spans="1:12">
      <c r="A92" s="5" t="s">
        <v>309</v>
      </c>
      <c r="B92" s="92"/>
      <c r="C92" s="160">
        <f>IF(ISNA(VLOOKUP("MAD622200000",Balance!C:G,5,FALSE))=TRUE,0,VLOOKUP("MAD622200000",Balance!C:G,5,FALSE))</f>
        <v>0</v>
      </c>
      <c r="D92" s="117">
        <f>+[2]Madeleine!$H92</f>
        <v>0</v>
      </c>
      <c r="E92" s="160">
        <f>IF(ISNA(VLOOKUP("MAD622200000",Balanceanp!C:G,5,FALSE))=TRUE,0,VLOOKUP("MAD622200000",Balanceanp!C:G,5,FALSE))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IF(ISNA(VLOOKUP("MAD622600000",Balance!C:G,5,FALSE))=TRUE,0,VLOOKUP("MAD622600000",Balance!C:G,5,FALSE))</f>
        <v>0</v>
      </c>
      <c r="D93" s="592">
        <f>+[2]Madeleine!$H93</f>
        <v>837.68523966493069</v>
      </c>
      <c r="E93" s="311">
        <f>IF(ISNA(VLOOKUP("MAD622600000",Balanceanp!C:G,5,FALSE))=TRUE,0,VLOOKUP("MAD622600000",Balanceanp!C:G,5,FALSE))</f>
        <v>758.84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-1</v>
      </c>
      <c r="J93" s="595">
        <f t="shared" si="10"/>
        <v>0</v>
      </c>
      <c r="L93" s="17">
        <f t="shared" si="7"/>
        <v>1</v>
      </c>
    </row>
    <row r="94" spans="1:12">
      <c r="A94" s="590" t="s">
        <v>42</v>
      </c>
      <c r="B94" s="591"/>
      <c r="C94" s="311">
        <f>IF(ISNA(VLOOKUP("MAD622710000",Balance!C:G,5,FALSE))=TRUE,0,VLOOKUP("MAD622710000",Balance!C:G,5,FALSE))</f>
        <v>0</v>
      </c>
      <c r="D94" s="592">
        <f>+[2]Madeleine!$H94</f>
        <v>7.5927486788343748</v>
      </c>
      <c r="E94" s="311">
        <f>IF(ISNA(VLOOKUP("MAD622710000",Balanceanp!C:G,5,FALSE))=TRUE,0,VLOOKUP("MAD622710000",Balanceanp!C:G,5,FALSE))</f>
        <v>0</v>
      </c>
      <c r="F94" s="625">
        <f>+C94+C94/9*(12-Clients!$I$14)</f>
        <v>0</v>
      </c>
      <c r="G94" s="630">
        <f t="shared" si="8"/>
        <v>0</v>
      </c>
      <c r="H94" s="630"/>
      <c r="I94" s="591">
        <f t="shared" si="9"/>
        <v>0</v>
      </c>
      <c r="J94" s="595">
        <f t="shared" si="10"/>
        <v>0</v>
      </c>
      <c r="L94" s="17">
        <f t="shared" si="7"/>
        <v>1</v>
      </c>
    </row>
    <row r="95" spans="1:12">
      <c r="A95" s="590" t="s">
        <v>117</v>
      </c>
      <c r="B95" s="591">
        <f>+C95/$C$21</f>
        <v>6.923921936064531E-3</v>
      </c>
      <c r="C95" s="311">
        <f>IF(ISNA(VLOOKUP("MAD624200000",Balance!C:G,5,FALSE))=TRUE,0,VLOOKUP("MAD624200000",Balance!C:G,5,FALSE))</f>
        <v>4974.18</v>
      </c>
      <c r="D95" s="592">
        <f>+[2]Madeleine!$H95</f>
        <v>7276.7254050335132</v>
      </c>
      <c r="E95" s="311">
        <f>IF(ISNA(VLOOKUP("MAD624200000",Balanceanp!C:G,5,FALSE))=TRUE,0,VLOOKUP("MAD624200000",Balanceanp!C:G,5,FALSE))</f>
        <v>7338.94</v>
      </c>
      <c r="F95" s="625">
        <f>+C95+C95/9*(12-Clients!$I$14)</f>
        <v>6632.2400000000007</v>
      </c>
      <c r="G95" s="630">
        <f>B95*G21</f>
        <v>7056.0580622923862</v>
      </c>
      <c r="H95" s="633">
        <f>+G95/$G$21</f>
        <v>6.923921936064531E-3</v>
      </c>
      <c r="I95" s="591">
        <f t="shared" si="9"/>
        <v>-9.6294560249845201E-2</v>
      </c>
      <c r="J95" s="595">
        <f t="shared" si="10"/>
        <v>6.3902702901641906E-2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IF(ISNA(VLOOKUP("MAD625100000",Balance!C:G,5,FALSE))=TRUE,0,VLOOKUP("MAD625100000",Balance!C:G,5,FALSE))</f>
        <v>12207.4</v>
      </c>
      <c r="D96" s="592">
        <f>+[2]Madeleine!$H96</f>
        <v>15043.031550000003</v>
      </c>
      <c r="E96" s="311">
        <f>IF(ISNA(VLOOKUP("MAD625100000",Balanceanp!C:G,5,FALSE))=TRUE,0,VLOOKUP("MAD625100000",Balanceanp!C:G,5,FALSE))</f>
        <v>14026.55</v>
      </c>
      <c r="F96" s="625">
        <f>+C96+C96/9*(12-Clients!$I$14)</f>
        <v>16276.533333333333</v>
      </c>
      <c r="G96" s="594">
        <f t="shared" si="8"/>
        <v>16764.829333333335</v>
      </c>
      <c r="H96" s="594"/>
      <c r="I96" s="591">
        <f t="shared" si="9"/>
        <v>0.1604088912336486</v>
      </c>
      <c r="J96" s="595">
        <f t="shared" si="10"/>
        <v>3.0000000000000131E-2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IF(ISNA(VLOOKUP("MAD625200000",Balance!C:G,5,FALSE))=TRUE,0,VLOOKUP("MAD625200000",Balance!C:G,5,FALSE))</f>
        <v>179.72</v>
      </c>
      <c r="D97" s="592">
        <f>+[2]Madeleine!$H97</f>
        <v>243.00141081749689</v>
      </c>
      <c r="E97" s="311">
        <f>IF(ISNA(VLOOKUP("MAD625200000",Balanceanp!C:G,5,FALSE))=TRUE,0,VLOOKUP("MAD625200000",Balanceanp!C:G,5,FALSE))</f>
        <v>133.22</v>
      </c>
      <c r="F97" s="625">
        <f>+C97+C97/9*(12-Clients!$I$14)</f>
        <v>239.62666666666667</v>
      </c>
      <c r="G97" s="594">
        <f t="shared" si="8"/>
        <v>246.81546666666668</v>
      </c>
      <c r="H97" s="594"/>
      <c r="I97" s="591">
        <f t="shared" si="9"/>
        <v>0.79872891958164438</v>
      </c>
      <c r="J97" s="595">
        <f t="shared" si="10"/>
        <v>3.0000000000000061E-2</v>
      </c>
      <c r="L97" s="17">
        <f t="shared" si="7"/>
        <v>1</v>
      </c>
    </row>
    <row r="98" spans="1:12">
      <c r="A98" s="5" t="s">
        <v>307</v>
      </c>
      <c r="B98" s="92"/>
      <c r="C98" s="160">
        <f>IF(ISNA(VLOOKUP("MAD625510000",Balance!C:G,5,FALSE))=TRUE,0,VLOOKUP("MAD625510000",Balance!C:G,5,FALSE))</f>
        <v>0</v>
      </c>
      <c r="D98" s="117">
        <f>+[2]Madeleine!$H98</f>
        <v>0</v>
      </c>
      <c r="E98" s="160">
        <f>IF(ISNA(VLOOKUP("MAD625510000",Balanceanp!C:G,5,FALSE))=TRUE,0,VLOOKUP("MAD625510000",Balanceanp!C:G,5,FALSE))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IF(ISNA(VLOOKUP("MAD626000000",Balance!C:G,5,FALSE))=TRUE,0,VLOOKUP("MAD626000000",Balance!C:G,5,FALSE))</f>
        <v>4102.55</v>
      </c>
      <c r="D99" s="592">
        <f>+[2]Madeleine!$H99</f>
        <v>7747.9423883264271</v>
      </c>
      <c r="E99" s="311">
        <f>IF(ISNA(VLOOKUP("MAD626000000",Balanceanp!C:G,5,FALSE))=TRUE,0,VLOOKUP("MAD626000000",Balanceanp!C:G,5,FALSE))</f>
        <v>6354.17</v>
      </c>
      <c r="F99" s="625">
        <f>+C99+C99/9*(12-Clients!$I$14)</f>
        <v>5470.0666666666666</v>
      </c>
      <c r="G99" s="630">
        <f>+F99</f>
        <v>5470.0666666666666</v>
      </c>
      <c r="H99" s="630"/>
      <c r="I99" s="591">
        <f t="shared" si="9"/>
        <v>-0.13913750078032747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IF(ISNA(VLOOKUP("MAD626100000",Balance!C:G,5,FALSE))=TRUE,0,VLOOKUP("MAD626100000",Balance!C:G,5,FALSE))</f>
        <v>237.68</v>
      </c>
      <c r="D100" s="592">
        <f>+[2]Madeleine!$H100</f>
        <v>530.43333186449172</v>
      </c>
      <c r="E100" s="311">
        <f>IF(ISNA(VLOOKUP("MAD626100000",Balanceanp!C:G,5,FALSE))=TRUE,0,VLOOKUP("MAD626100000",Balanceanp!C:G,5,FALSE))</f>
        <v>507.86</v>
      </c>
      <c r="F100" s="625">
        <f>+C100+C100/9*(12-Clients!$I$14)</f>
        <v>316.90666666666664</v>
      </c>
      <c r="G100" s="630">
        <f t="shared" si="8"/>
        <v>326.41386666666665</v>
      </c>
      <c r="H100" s="630"/>
      <c r="I100" s="591">
        <f t="shared" si="9"/>
        <v>-0.37599600939891581</v>
      </c>
      <c r="J100" s="595">
        <f t="shared" si="10"/>
        <v>3.0000000000000041E-2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IF(ISNA(VLOOKUP("MAD628400000",Balance!C:G,5,FALSE))=TRUE,0,VLOOKUP("MAD628400000",Balance!C:G,5,FALSE))</f>
        <v>0</v>
      </c>
      <c r="D101" s="592">
        <f>+[2]Madeleine!$H101</f>
        <v>14.42</v>
      </c>
      <c r="E101" s="311">
        <f>IF(ISNA(VLOOKUP("MAD628400000",Balanceanp!C:G,5,FALSE))=TRUE,0,VLOOKUP("MAD628400000",Balanceanp!C:G,5,FALSE))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9.241270849764989E-2</v>
      </c>
      <c r="C103" s="305">
        <f>SUM(C70:C102)</f>
        <v>66389.75</v>
      </c>
      <c r="D103" s="312">
        <f>SUM(D70:D102)</f>
        <v>92176.535075969077</v>
      </c>
      <c r="E103" s="305">
        <f>SUM(E70:E102)</f>
        <v>90002.579999999987</v>
      </c>
      <c r="F103" s="312">
        <f>SUM(F70:F102)</f>
        <v>88520.666666666642</v>
      </c>
      <c r="G103" s="312">
        <f>SUM(G70:G102)</f>
        <v>88577.403240636166</v>
      </c>
      <c r="H103" s="421">
        <f>+G103/$G$21</f>
        <v>8.6918647766657281E-2</v>
      </c>
      <c r="I103" s="598">
        <f>+IF((E103)=0,,(F103-E103)/E103)</f>
        <v>-1.6465231700395089E-2</v>
      </c>
      <c r="J103" s="599">
        <f>+IF((F103)=0,,(G103-F103)/F103)</f>
        <v>6.4094155755932685E-4</v>
      </c>
      <c r="K103" s="136">
        <f>(C103+(C103/3))</f>
        <v>88519.666666666672</v>
      </c>
      <c r="L103" s="17">
        <f t="shared" si="7"/>
        <v>1</v>
      </c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IF(ISNA(VLOOKUP("MAD623100000",Balance!C:G,5,FALSE))=TRUE,0,VLOOKUP("MAD623100000",Balance!C:G,5,FALSE))</f>
        <v>0</v>
      </c>
      <c r="D105" s="592">
        <f>+[2]Madeleine!$H105</f>
        <v>922.93150000000003</v>
      </c>
      <c r="E105" s="311">
        <f>IF(ISNA(VLOOKUP("MAD623100000",Balanceanp!C:G,5,FALSE))=TRUE,0,VLOOKUP("MAD623100000",Balanceanp!C:G,5,FALSE))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IF(ISNA(VLOOKUP("MAD623200000",Balance!C:G,5,FALSE))=TRUE,0,VLOOKUP("MAD623200000",Balance!C:G,5,FALSE))</f>
        <v>15090.25</v>
      </c>
      <c r="D106" s="592">
        <f>+[2]Madeleine!$H106</f>
        <v>5387.0339000000004</v>
      </c>
      <c r="E106" s="311">
        <f>IF(ISNA(VLOOKUP("MAD623200000",Balanceanp!C:G,5,FALSE))=TRUE,0,VLOOKUP("MAD623200000",Balanceanp!C:G,5,FALSE))</f>
        <v>4964.03</v>
      </c>
      <c r="F106" s="625">
        <f>+C106+C106/9*(12-Clients!$I$14)</f>
        <v>20120.333333333332</v>
      </c>
      <c r="G106" s="594">
        <v>6000</v>
      </c>
      <c r="H106" s="594"/>
      <c r="I106" s="591">
        <f t="shared" si="12"/>
        <v>3.0532255714275163</v>
      </c>
      <c r="J106" s="595">
        <f t="shared" si="12"/>
        <v>-0.7017942048673812</v>
      </c>
      <c r="L106" s="17">
        <f t="shared" si="7"/>
        <v>1</v>
      </c>
    </row>
    <row r="107" spans="1:12">
      <c r="A107" s="590" t="s">
        <v>131</v>
      </c>
      <c r="B107" s="591"/>
      <c r="C107" s="311">
        <f>IF(ISNA(VLOOKUP("MAD629000000",Balance!C:G,5,FALSE))=TRUE,0,VLOOKUP("MAD629000000",Balance!C:G,5,FALSE))</f>
        <v>-2658</v>
      </c>
      <c r="D107" s="592">
        <f>+[2]Madeleine!$H107</f>
        <v>0</v>
      </c>
      <c r="E107" s="311">
        <f>IF(ISNA(VLOOKUP("MAD629000000",Balanceanp!C:G,5,FALSE))=TRUE,0,VLOOKUP("MAD629000000",Balanceanp!C:G,5,FALSE))</f>
        <v>0</v>
      </c>
      <c r="F107" s="625">
        <f>+C107+C107/9*(12-Clients!$I$14)</f>
        <v>-3544</v>
      </c>
      <c r="G107" s="594">
        <v>0</v>
      </c>
      <c r="H107" s="594"/>
      <c r="I107" s="591">
        <f t="shared" si="12"/>
        <v>0</v>
      </c>
      <c r="J107" s="595">
        <f t="shared" si="12"/>
        <v>-1</v>
      </c>
      <c r="L107" s="17">
        <f t="shared" si="7"/>
        <v>1</v>
      </c>
    </row>
    <row r="108" spans="1:12">
      <c r="A108" s="590" t="s">
        <v>132</v>
      </c>
      <c r="B108" s="591"/>
      <c r="C108" s="311">
        <f>IF(ISNA(VLOOKUP("MAD623300000",Balance!C:G,5,FALSE))=TRUE,0,VLOOKUP("MAD623300000",Balance!C:G,5,FALSE))</f>
        <v>2544.5000000000005</v>
      </c>
      <c r="D108" s="592">
        <f>+[2]Madeleine!$H108</f>
        <v>450</v>
      </c>
      <c r="E108" s="311">
        <f>IF(ISNA(VLOOKUP("MAD623300000",Balanceanp!C:G,5,FALSE))=TRUE,0,VLOOKUP("MAD623300000",Balanceanp!C:G,5,FALSE))</f>
        <v>130.91999999999999</v>
      </c>
      <c r="F108" s="625">
        <f>+C108+C108/9*(12-Clients!$I$14)</f>
        <v>3392.6666666666674</v>
      </c>
      <c r="G108" s="594">
        <v>450</v>
      </c>
      <c r="H108" s="594"/>
      <c r="I108" s="591">
        <f t="shared" si="12"/>
        <v>24.914044200020378</v>
      </c>
      <c r="J108" s="595">
        <f t="shared" si="12"/>
        <v>-0.86736097465120854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IF(ISNA(VLOOKUP("MAD623700000",Balance!C:G,5,FALSE))=TRUE,0,VLOOKUP("MAD623700000",Balance!C:G,5,FALSE))</f>
        <v>4477.32</v>
      </c>
      <c r="D109" s="592">
        <f>+[2]Madeleine!$H109</f>
        <v>3580.5272</v>
      </c>
      <c r="E109" s="311">
        <f>IF(ISNA(VLOOKUP("MAD623700000",Balanceanp!C:G,5,FALSE))=TRUE,0,VLOOKUP("MAD623700000",Balanceanp!C:G,5,FALSE))</f>
        <v>1143.8600000000001</v>
      </c>
      <c r="F109" s="625">
        <f>+C109+C109/9*(12-Clients!$I$14)</f>
        <v>5969.7599999999993</v>
      </c>
      <c r="G109" s="594">
        <f t="shared" si="11"/>
        <v>6148.8527999999997</v>
      </c>
      <c r="H109" s="594"/>
      <c r="I109" s="591">
        <f t="shared" si="12"/>
        <v>4.2189603622820968</v>
      </c>
      <c r="J109" s="595">
        <f t="shared" si="12"/>
        <v>3.0000000000000061E-2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IF(ISNA(VLOOKUP("MAD623410000",Balance!C:G,5,FALSE))=TRUE,0,VLOOKUP("MAD623410000",Balance!C:G,5,FALSE))+IF(ISNA(VLOOKUP("MAD623420000",Balance!C:G,5,FALSE))=TRUE,0,VLOOKUP("MAD623420000",Balance!C:G,5,FALSE))</f>
        <v>10224.879999999999</v>
      </c>
      <c r="D110" s="592">
        <f>+[2]Madeleine!$H110</f>
        <v>13787.374</v>
      </c>
      <c r="E110" s="311">
        <f>IF(ISNA(VLOOKUP("MAD623410000",Balanceanp!C:G,5,FALSE))=TRUE,0,VLOOKUP("MAD623410000",Balanceanp!C:G,5,FALSE))+IF(ISNA(VLOOKUP("MAD623420000",Balanceanp!C:G,5,FALSE))=TRUE,0,VLOOKUP("MAD623420000",Balanceanp!C:G,5,FALSE))</f>
        <v>27736.33</v>
      </c>
      <c r="F110" s="625">
        <f>+C110+C110/9*(12-Clients!$I$14)</f>
        <v>13633.173333333332</v>
      </c>
      <c r="G110" s="594">
        <v>12000</v>
      </c>
      <c r="H110" s="594"/>
      <c r="I110" s="591">
        <f t="shared" si="12"/>
        <v>-0.50847234175057299</v>
      </c>
      <c r="J110" s="595">
        <f t="shared" si="12"/>
        <v>-0.11979407093286173</v>
      </c>
      <c r="L110" s="17">
        <f t="shared" si="7"/>
        <v>1</v>
      </c>
    </row>
    <row r="111" spans="1:12">
      <c r="A111" s="590" t="s">
        <v>135</v>
      </c>
      <c r="B111" s="591"/>
      <c r="C111" s="311">
        <f>IF(ISNA(VLOOKUP("MAD623800000",Balance!C:G,5,FALSE))=TRUE,0,VLOOKUP("MAD623800000",Balance!C:G,5,FALSE))+IF(ISNA(VLOOKUP("MAD623820000",Balance!C:G,5,FALSE))=TRUE,0,VLOOKUP("MAD623820000",Balance!C:G,5,FALSE))</f>
        <v>0</v>
      </c>
      <c r="D111" s="592">
        <f>+[2]Madeleine!$H111</f>
        <v>0</v>
      </c>
      <c r="E111" s="311">
        <f>IF(ISNA(VLOOKUP("MAD623800000",Balanceanp!C:G,5,FALSE))=TRUE,0,VLOOKUP("MAD623800000",Balanceanp!C:G,5,FALSE))</f>
        <v>10</v>
      </c>
      <c r="F111" s="620">
        <f>+C111+C111/9*(12-Clients!$I$14)</f>
        <v>0</v>
      </c>
      <c r="G111" s="620">
        <f t="shared" si="11"/>
        <v>0</v>
      </c>
      <c r="H111" s="594"/>
      <c r="I111" s="591">
        <f t="shared" si="12"/>
        <v>-1</v>
      </c>
      <c r="J111" s="595">
        <f t="shared" si="12"/>
        <v>0</v>
      </c>
      <c r="L111" s="17">
        <f t="shared" si="7"/>
        <v>1</v>
      </c>
    </row>
    <row r="112" spans="1:12">
      <c r="A112" s="590" t="s">
        <v>136</v>
      </c>
      <c r="B112" s="591"/>
      <c r="C112" s="311">
        <f>IF(ISNA(VLOOKUP("MAD625600000",Balance!C:G,5,FALSE))=TRUE,0,VLOOKUP("MAD625600000",Balance!C:G,5,FALSE))</f>
        <v>19.5</v>
      </c>
      <c r="D112" s="592">
        <f>+[2]Madeleine!$H112</f>
        <v>25.986900000000002</v>
      </c>
      <c r="E112" s="311">
        <f>IF(ISNA(VLOOKUP("MAD625600000",Balanceanp!C:G,5,FALSE))=TRUE,0,VLOOKUP("MAD625600000",Balanceanp!C:G,5,FALSE))</f>
        <v>25.23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3.051922314704715E-2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IF(ISNA(VLOOKUP("mad625700000",Balance!C:G,5,FALSE))=TRUE,0,VLOOKUP("mad625700000",Balance!C:G,5,FALSE))+IF(ISNA(VLOOKUP("mad625710000",Balance!C:G,5,FALSE))=TRUE,0,VLOOKUP("mad625710000",Balance!C:G,5,FALSE))</f>
        <v>10904.75</v>
      </c>
      <c r="D113" s="592">
        <f>+[2]Madeleine!$H113</f>
        <v>7401.4943999999996</v>
      </c>
      <c r="E113" s="311">
        <f>IF(ISNA(VLOOKUP("mad625700000",Balanceanp!C:G,5,FALSE))=TRUE,0,VLOOKUP("mad625700000",Balanceanp!C:G,5,FALSE))+IF(ISNA(VLOOKUP("mad625710000",Balanceanp!C:G,5,FALSE))=TRUE,0,VLOOKUP("mad625710000",Balanceanp!C:G,5,FALSE))</f>
        <v>6470.04</v>
      </c>
      <c r="F113" s="625">
        <v>5737.6</v>
      </c>
      <c r="G113" s="594">
        <v>2000</v>
      </c>
      <c r="H113" s="594"/>
      <c r="I113" s="591">
        <f t="shared" si="12"/>
        <v>-0.11320486426668144</v>
      </c>
      <c r="J113" s="595">
        <f t="shared" si="12"/>
        <v>-0.65142219743446739</v>
      </c>
      <c r="L113" s="17">
        <f t="shared" si="7"/>
        <v>1</v>
      </c>
    </row>
    <row r="114" spans="1:12">
      <c r="A114" s="5" t="s">
        <v>138</v>
      </c>
      <c r="B114" s="92"/>
      <c r="C114" s="160">
        <f>IF(ISNA(VLOOKUP("MAD623810000",Balance!C:G,5,FALSE))=TRUE,0,VLOOKUP("MAD623810000",Balance!C:G,5,FALSE))</f>
        <v>0</v>
      </c>
      <c r="D114" s="117">
        <f>+[2]Madeleine!$H114</f>
        <v>0</v>
      </c>
      <c r="E114" s="160">
        <f>IF(ISNA(VLOOKUP("MAD623810000",Balanceanp!C:G,5,FALSE))=TRUE,0,VLOOKUP("MAD623810000",Balanceanp!C:G,5,FALSE))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5.6518539167142189E-2</v>
      </c>
      <c r="C116" s="305">
        <f>SUM(C104:C115)</f>
        <v>40603.199999999997</v>
      </c>
      <c r="D116" s="312">
        <f>SUM(D104:D115)</f>
        <v>31555.347900000001</v>
      </c>
      <c r="E116" s="305">
        <f>SUM(E104:E115)</f>
        <v>41254.710000000006</v>
      </c>
      <c r="F116" s="312">
        <f>SUM(F104:F115)</f>
        <v>45335.533333333333</v>
      </c>
      <c r="G116" s="312">
        <f>SUM(G104:G115)</f>
        <v>26625.632799999999</v>
      </c>
      <c r="H116" s="421">
        <f>+G116/$G$21</f>
        <v>2.6127024661362557E-2</v>
      </c>
      <c r="I116" s="598">
        <f>+IF((E116)=0,,(F116-E116)/E116)</f>
        <v>9.8917755895831669E-2</v>
      </c>
      <c r="J116" s="599">
        <f>+IF((F116)=0,,(G116-F116)/F116)</f>
        <v>-0.41269836610870353</v>
      </c>
      <c r="K116" s="136">
        <f>(C116+(C116/3))</f>
        <v>54137.599999999999</v>
      </c>
      <c r="L116" s="17">
        <f t="shared" si="7"/>
        <v>1</v>
      </c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IF(ISNA(VLOOKUP("MAD633300000",Balance!C:G,5,FALSE))=TRUE,0,VLOOKUP("MAD633300000",Balance!C:G,5,FALSE))</f>
        <v>1657.44</v>
      </c>
      <c r="D118" s="592">
        <f>+[2]Madeleine!$H118</f>
        <v>839.99999999999989</v>
      </c>
      <c r="E118" s="311">
        <f>IF(ISNA(VLOOKUP("MAD633300000",Balanceanp!C:G,5,FALSE))=TRUE,0,VLOOKUP("MAD633300000",Balanceanp!C:G,5,FALSE))</f>
        <v>1104</v>
      </c>
      <c r="F118" s="625">
        <f>+C118+C118/9*(12-Clients!$I$14)</f>
        <v>2209.92</v>
      </c>
      <c r="G118" s="630">
        <f>G131*(0.2+0.5)%</f>
        <v>754.47399999999993</v>
      </c>
      <c r="H118" s="630"/>
      <c r="I118" s="591">
        <f t="shared" ref="I118:J127" si="13">+IF((E118)=0,,(F118-E118)/E118)</f>
        <v>1.0017391304347827</v>
      </c>
      <c r="J118" s="595">
        <f t="shared" si="13"/>
        <v>-0.6585966912829424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IF(ISNA(VLOOKUP("MAD633400000",Balance!C:G,5,FALSE))=TRUE,0,VLOOKUP("MAD633400000",Balance!C:G,5,FALSE))</f>
        <v>0</v>
      </c>
      <c r="D119" s="592">
        <f>+[2]Madeleine!$H119</f>
        <v>540.00000000000011</v>
      </c>
      <c r="E119" s="311">
        <f>IF(ISNA(VLOOKUP("MAD633400000",Balanceanp!C:G,5,FALSE))=TRUE,0,VLOOKUP("MAD633400000",Balanceanp!C:G,5,FALSE))</f>
        <v>608</v>
      </c>
      <c r="F119" s="625">
        <f>+C119+C119/9*(12-Clients!$I$14)</f>
        <v>0</v>
      </c>
      <c r="G119" s="630">
        <f>+G131*0.45%</f>
        <v>485.01900000000006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IF(ISNA(VLOOKUP("MAD633500000",Balance!C:G,5,FALSE))=TRUE,0,VLOOKUP("MAD633500000",Balance!C:G,5,FALSE))</f>
        <v>0</v>
      </c>
      <c r="D120" s="592">
        <f>+[2]Madeleine!$H120</f>
        <v>936.00000000000011</v>
      </c>
      <c r="E120" s="311">
        <f>IF(ISNA(VLOOKUP("MAD633500000",Balanceanp!C:G,5,FALSE))=TRUE,0,VLOOKUP("MAD633500000",Balanceanp!C:G,5,FALSE))</f>
        <v>919</v>
      </c>
      <c r="F120" s="625">
        <f>+C120+C120/9*(12-Clients!$I$14)</f>
        <v>0</v>
      </c>
      <c r="G120" s="630">
        <f>+G131*(0.6+0.18)%</f>
        <v>840.69960000000003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IF(ISNA(VLOOKUP("MAD635110000",Balance!C:G,5,FALSE))=TRUE,0,VLOOKUP("MAD635110000",Balance!C:G,5,FALSE))</f>
        <v>6169.86</v>
      </c>
      <c r="D121" s="592">
        <f>+[2]Madeleine!$H121</f>
        <v>8226.4875000000011</v>
      </c>
      <c r="E121" s="311">
        <f>IF(ISNA(VLOOKUP("MAD635110000",Balanceanp!C:G,5,FALSE))=TRUE,0,VLOOKUP("MAD635110000",Balanceanp!C:G,5,FALSE))</f>
        <v>8069</v>
      </c>
      <c r="F121" s="637">
        <v>2719</v>
      </c>
      <c r="G121" s="637">
        <f>+F121*1.05</f>
        <v>2854.9500000000003</v>
      </c>
      <c r="H121" s="632"/>
      <c r="I121" s="591">
        <f t="shared" si="13"/>
        <v>-0.6630313545668608</v>
      </c>
      <c r="J121" s="595">
        <f t="shared" si="13"/>
        <v>5.00000000000001E-2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IF(ISNA(VLOOKUP("MAD635120000",Balance!C:G,5,FALSE))=TRUE,0,VLOOKUP("MAD635120000",Balance!C:G,5,FALSE))</f>
        <v>4533.75</v>
      </c>
      <c r="D122" s="592">
        <f>+[2]Madeleine!$H122</f>
        <v>6045.0269809125002</v>
      </c>
      <c r="E122" s="311">
        <f>IF(ISNA(VLOOKUP("MAD635120000",Balanceanp!C:G,5,FALSE))=TRUE,0,VLOOKUP("MAD635120000",Balanceanp!C:G,5,FALSE))</f>
        <v>0</v>
      </c>
      <c r="F122" s="632">
        <f>+C122+C122/9*(12-Clients!$I$14)</f>
        <v>6045</v>
      </c>
      <c r="G122" s="632">
        <f>+F122*1.05</f>
        <v>6347.25</v>
      </c>
      <c r="H122" s="632"/>
      <c r="I122" s="591">
        <f t="shared" si="13"/>
        <v>0</v>
      </c>
      <c r="J122" s="595">
        <f t="shared" si="13"/>
        <v>0.05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IF(ISNA(VLOOKUP("MAD635130000",Balance!C:G,5,FALSE))=TRUE,0,VLOOKUP("MAD635130000",Balance!C:G,5,FALSE))</f>
        <v>0</v>
      </c>
      <c r="D123" s="592">
        <f>+[2]Madeleine!$H123</f>
        <v>50</v>
      </c>
      <c r="E123" s="311">
        <f>IF(ISNA(VLOOKUP("MAD635130000",Balanceanp!C:G,5,FALSE))=TRUE,0,VLOOKUP("MAD635130000",Balanceanp!C:G,5,FALSE))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>
      <c r="A124" s="5" t="s">
        <v>145</v>
      </c>
      <c r="B124" s="92"/>
      <c r="C124" s="160">
        <f>IF(ISNA(VLOOKUP("MAD635140000",Balance!C:G,5,FALSE))=TRUE,0,VLOOKUP("MAD635140000",Balance!C:G,5,FALSE))</f>
        <v>0</v>
      </c>
      <c r="D124" s="117">
        <f>+[2]Madeleine!$H124</f>
        <v>0</v>
      </c>
      <c r="E124" s="160">
        <f>IF(ISNA(VLOOKUP("MAD635140000",Balanceanp!C:G,5,FALSE))=TRUE,0,VLOOKUP("MAD635140000",Balanceanp!C:G,5,FALSE))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>
      <c r="A125" s="590" t="s">
        <v>286</v>
      </c>
      <c r="B125" s="591"/>
      <c r="C125" s="311">
        <f>IF(ISNA(VLOOKUP("MAD635300000",Balance!C:G,5,FALSE))=TRUE,0,VLOOKUP("MAD635300000",Balance!C:G,5,FALSE))</f>
        <v>0</v>
      </c>
      <c r="D125" s="592">
        <f>+[2]Madeleine!$H125</f>
        <v>0.39080167013888889</v>
      </c>
      <c r="E125" s="311">
        <f>IF(ISNA(VLOOKUP("MAD635300000",Balanceanp!C:G,5,FALSE))=TRUE,0,VLOOKUP("MAD635300000",Balanceanp!C:G,5,FALSE))</f>
        <v>0</v>
      </c>
      <c r="F125" s="625">
        <f>+C125+C125/9*(12-Clients!$I$14)</f>
        <v>0</v>
      </c>
      <c r="G125" s="632">
        <f>+F125*1.03</f>
        <v>0</v>
      </c>
      <c r="H125" s="632"/>
      <c r="I125" s="591">
        <f t="shared" si="13"/>
        <v>0</v>
      </c>
      <c r="J125" s="595">
        <f t="shared" si="13"/>
        <v>0</v>
      </c>
      <c r="L125" s="17">
        <f t="shared" si="7"/>
        <v>1</v>
      </c>
    </row>
    <row r="126" spans="1:12">
      <c r="A126" s="5" t="s">
        <v>361</v>
      </c>
      <c r="B126" s="92"/>
      <c r="C126" s="160">
        <f>IF(ISNA(VLOOKUP("MAD635400000",Balance!C:G,5,FALSE))=TRUE,0,VLOOKUP("MAD635400000",Balance!C:G,5,FALSE))</f>
        <v>0</v>
      </c>
      <c r="D126" s="117">
        <f>+[2]Madeleine!$H126</f>
        <v>0</v>
      </c>
      <c r="E126" s="160">
        <f>IF(ISNA(VLOOKUP("MAD635400000",Balanceanp!C:G,5,FALSE))=TRUE,0,VLOOKUP("MAD635400000",Balanceanp!C:G,5,FALSE))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IF(ISNA(VLOOKUP("MAD637100000",Balance!C:G,5,FALSE))=TRUE,0,VLOOKUP("MAD637100000",Balance!C:G,5,FALSE))</f>
        <v>1198.45</v>
      </c>
      <c r="D127" s="592">
        <f>+[2]Madeleine!$H127</f>
        <v>1485.4912000000002</v>
      </c>
      <c r="E127" s="311">
        <f>IF(ISNA(VLOOKUP("MAD637100000",Balanceanp!C:G,5,FALSE))=TRUE,0,VLOOKUP("MAD637100000",Balanceanp!C:G,5,FALSE))</f>
        <v>1496.77</v>
      </c>
      <c r="F127" s="625">
        <f>+C127+C127/9*(12-Clients!$I$14)</f>
        <v>1597.9333333333334</v>
      </c>
      <c r="G127" s="630">
        <f>+G51*0.16%</f>
        <v>1601.5408</v>
      </c>
      <c r="H127" s="630"/>
      <c r="I127" s="591">
        <f t="shared" si="13"/>
        <v>6.7587761201342494E-2</v>
      </c>
      <c r="J127" s="595">
        <f t="shared" si="13"/>
        <v>2.2575827110016666E-3</v>
      </c>
      <c r="L127" s="17">
        <f t="shared" si="7"/>
        <v>1</v>
      </c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1.8874451566301784E-2</v>
      </c>
      <c r="C129" s="305">
        <f>SUM(C117:C128)</f>
        <v>13559.5</v>
      </c>
      <c r="D129" s="312">
        <f>SUM(D117:D128)</f>
        <v>18123.396482582641</v>
      </c>
      <c r="E129" s="305">
        <f>SUM(E117:E128)</f>
        <v>12196.77</v>
      </c>
      <c r="F129" s="312">
        <f>SUM(F117:F128)</f>
        <v>12571.853333333333</v>
      </c>
      <c r="G129" s="312">
        <f>SUM(G117:G128)</f>
        <v>12933.9334</v>
      </c>
      <c r="H129" s="421">
        <f>+G129/$G$21</f>
        <v>1.2691724529086906E-2</v>
      </c>
      <c r="I129" s="598">
        <f>+IF((E129)=0,,(F129-E129)/E129)</f>
        <v>3.0752677416507165E-2</v>
      </c>
      <c r="J129" s="599">
        <f>+IF((F129)=0,,(G129-F129)/F129)</f>
        <v>2.8800850365207412E-2</v>
      </c>
      <c r="K129" s="136">
        <f>(C129+(C129/3))</f>
        <v>18079.333333333332</v>
      </c>
      <c r="L129" s="17">
        <f t="shared" si="7"/>
        <v>1</v>
      </c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IF(ISNA(VLOOKUP("MAD641100000",Balance!C:G,5,FALSE))=TRUE,0,VLOOKUP("MAD641100000",Balance!C:G,5,FALSE))</f>
        <v>86137.42</v>
      </c>
      <c r="D131" s="592">
        <f>+[2]Madeleine!$H131</f>
        <v>120000</v>
      </c>
      <c r="E131" s="311">
        <f>IF(ISNA(VLOOKUP("MAD641100000",Balanceanp!C:G,5,FALSE))=TRUE,0,VLOOKUP("MAD641100000",Balanceanp!C:G,5,FALSE))</f>
        <v>109504.42000000001</v>
      </c>
      <c r="F131" s="625">
        <f>+C131+C131/9*(12-Clients!$I$14)</f>
        <v>114849.89333333334</v>
      </c>
      <c r="G131" s="594">
        <v>107782</v>
      </c>
      <c r="H131" s="594"/>
      <c r="I131" s="591">
        <f t="shared" ref="I131:J146" si="14">+IF((E131)=0,,(F131-E131)/E131)</f>
        <v>4.8815137629452103E-2</v>
      </c>
      <c r="J131" s="595">
        <f t="shared" si="14"/>
        <v>-6.1540269025935596E-2</v>
      </c>
      <c r="L131" s="17">
        <v>1</v>
      </c>
    </row>
    <row r="132" spans="1:12">
      <c r="A132" s="5" t="s">
        <v>149</v>
      </c>
      <c r="B132" s="92"/>
      <c r="C132" s="160">
        <f>IF(ISNA(VLOOKUP("MAD641110000",Balance!C:G,5,FALSE))=TRUE,0,VLOOKUP("MAD641110000",Balance!C:G,5,FALSE))</f>
        <v>-3000</v>
      </c>
      <c r="D132" s="117">
        <f>+[2]Madeleine!$H132</f>
        <v>0</v>
      </c>
      <c r="E132" s="160">
        <f>IF(ISNA(VLOOKUP("MAD641110000",Balanceanp!C:G,5,FALSE))=TRUE,0,VLOOKUP("MAD641110000",Balanceanp!C:G,5,FALSE))</f>
        <v>3000</v>
      </c>
      <c r="F132" s="368">
        <f>+C132+C132/9*(12-Clients!$I$14)</f>
        <v>-4000</v>
      </c>
      <c r="G132" s="395"/>
      <c r="H132" s="401"/>
      <c r="I132" s="149">
        <f t="shared" si="14"/>
        <v>-2.3333333333333335</v>
      </c>
      <c r="J132" s="271">
        <f t="shared" si="14"/>
        <v>-1</v>
      </c>
      <c r="L132" s="17">
        <v>0</v>
      </c>
    </row>
    <row r="133" spans="1:12">
      <c r="A133" s="590" t="s">
        <v>150</v>
      </c>
      <c r="B133" s="591"/>
      <c r="C133" s="311">
        <f>IF(ISNA(VLOOKUP("MAD641111000",Balance!C:G,5,FALSE))=TRUE,0,VLOOKUP("MAD641111000",Balance!C:G,5,FALSE))</f>
        <v>250</v>
      </c>
      <c r="D133" s="592">
        <f>+[2]Madeleine!$H133</f>
        <v>0</v>
      </c>
      <c r="E133" s="311">
        <f>IF(ISNA(VLOOKUP("MAD641111000",Balanceanp!C:G,5,FALSE))=TRUE,0,VLOOKUP("MAD641111000",Balanceanp!C:G,5,FALSE))</f>
        <v>0</v>
      </c>
      <c r="F133" s="625">
        <f>+C133+C133/9*(12-Clients!$I$14)</f>
        <v>333.33333333333337</v>
      </c>
      <c r="G133" s="594"/>
      <c r="H133" s="594"/>
      <c r="I133" s="591">
        <f t="shared" si="14"/>
        <v>0</v>
      </c>
      <c r="J133" s="595">
        <f t="shared" si="14"/>
        <v>-1</v>
      </c>
      <c r="L133" s="17">
        <f t="shared" si="7"/>
        <v>1</v>
      </c>
    </row>
    <row r="134" spans="1:12">
      <c r="A134" s="5" t="s">
        <v>151</v>
      </c>
      <c r="B134" s="92"/>
      <c r="C134" s="160">
        <f>IF(ISNA(VLOOKUP("MAD641200000",Balance!C:G,5,FALSE))=TRUE,0,VLOOKUP("MAD641200000",Balance!C:G,5,FALSE))</f>
        <v>0</v>
      </c>
      <c r="D134" s="117">
        <f>+[2]Madeleine!$H134</f>
        <v>0</v>
      </c>
      <c r="E134" s="160">
        <f>IF(ISNA(VLOOKUP("MAD641200000",Balanceanp!C:G,5,FALSE))=TRUE,0,VLOOKUP("MAD641200000",Balanceanp!C:G,5,FALSE))</f>
        <v>-1542.4099999999999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>
      <c r="A135" s="5" t="s">
        <v>114</v>
      </c>
      <c r="B135" s="92"/>
      <c r="C135" s="160">
        <f>IF(ISNA(VLOOKUP("MAD621100000",Balance!C:G,5,FALSE))=TRUE,0,VLOOKUP("MAD621100000",Balance!C:G,5,FALSE))</f>
        <v>0</v>
      </c>
      <c r="D135" s="117">
        <f>+[2]Madeleine!$H135</f>
        <v>0</v>
      </c>
      <c r="E135" s="160">
        <f>IF(ISNA(VLOOKUP("MAD621100000",Balanceanp!C:G,5,FALSE))=TRUE,0,VLOOKUP("MAD621100000",Balanceanp!C:G,5,FALSE))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>
      <c r="A136" s="590" t="s">
        <v>338</v>
      </c>
      <c r="B136" s="591"/>
      <c r="C136" s="311">
        <f>IF(ISNA(VLOOKUP("MAD621200000",Balance!C:G,5,FALSE))=TRUE,0,VLOOKUP("MAD621200000",Balance!C:G,5,FALSE))</f>
        <v>5550</v>
      </c>
      <c r="D136" s="592">
        <f>+[2]Madeleine!$H136</f>
        <v>1227.8624498512502</v>
      </c>
      <c r="E136" s="311">
        <f>IF(ISNA(VLOOKUP("MAD621200000",Balanceanp!C:G,5,FALSE))=TRUE,0,VLOOKUP("MAD621200000",Balanceanp!C:G,5,FALSE))</f>
        <v>121.78</v>
      </c>
      <c r="F136" s="625">
        <f>+C136+C136/9*(12-Clients!$I$14)</f>
        <v>7400</v>
      </c>
      <c r="G136" s="594"/>
      <c r="H136" s="594"/>
      <c r="I136" s="591">
        <f t="shared" si="14"/>
        <v>59.765314501560191</v>
      </c>
      <c r="J136" s="595">
        <f t="shared" si="14"/>
        <v>-1</v>
      </c>
      <c r="L136" s="17">
        <f t="shared" ref="L136:L197" si="15">IF(SUM(C136:J136)&lt;&gt;0,1,0)</f>
        <v>1</v>
      </c>
    </row>
    <row r="137" spans="1:12">
      <c r="A137" s="590" t="s">
        <v>87</v>
      </c>
      <c r="B137" s="591"/>
      <c r="C137" s="311">
        <f>-IF(ISNA(VLOOKUP("MAD706100000",Balance!C:G,5,FALSE))=TRUE,0,-VLOOKUP("MAD706100000",Balance!C:G,5,FALSE))</f>
        <v>-21073.03</v>
      </c>
      <c r="D137" s="592">
        <f>+[2]Madeleine!$H137</f>
        <v>-22865.021499999999</v>
      </c>
      <c r="E137" s="311">
        <f>-IF(ISNA(VLOOKUP("MAD706100000",Balanceanp!C:G,5,FALSE))=TRUE,0,-VLOOKUP("MAD706100000",Balanceanp!C:G,5,FALSE))</f>
        <v>-9439.7000000000007</v>
      </c>
      <c r="F137" s="625">
        <f>+C137+C137/9*(12-Clients!$I$14)</f>
        <v>-28097.373333333329</v>
      </c>
      <c r="G137" s="594"/>
      <c r="H137" s="594"/>
      <c r="I137" s="591">
        <f t="shared" si="14"/>
        <v>1.9765112591854961</v>
      </c>
      <c r="J137" s="595">
        <f t="shared" si="14"/>
        <v>-1</v>
      </c>
      <c r="L137" s="17">
        <f t="shared" si="15"/>
        <v>1</v>
      </c>
    </row>
    <row r="138" spans="1:12">
      <c r="A138" s="5" t="s">
        <v>152</v>
      </c>
      <c r="B138" s="92"/>
      <c r="C138" s="160">
        <f>IF(ISNA(VLOOKUP("MAD641210000",Balance!C:G,5,FALSE))=TRUE,0,VLOOKUP("MAD641210000",Balance!C:G,5,FALSE))</f>
        <v>0</v>
      </c>
      <c r="D138" s="117">
        <f>+[2]Madeleine!$H138</f>
        <v>0</v>
      </c>
      <c r="E138" s="160">
        <f>IF(ISNA(VLOOKUP("MAD641210000",Balanceanp!C:G,5,FALSE))=TRUE,0,VLOOKUP("MAD641210000",Balanceanp!C:G,5,FALSE))</f>
        <v>-791.52999999999975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>
      <c r="A139" s="5" t="s">
        <v>153</v>
      </c>
      <c r="B139" s="92"/>
      <c r="C139" s="160">
        <f>IF(ISNA(VLOOKUP("MAD641400000",Balance!C:G,5,FALSE))=TRUE,0,VLOOKUP("MAD641400000",Balance!C:G,5,FALSE))</f>
        <v>0</v>
      </c>
      <c r="D139" s="117">
        <f>+[2]Madeleine!$H139</f>
        <v>0</v>
      </c>
      <c r="E139" s="160">
        <f>IF(ISNA(VLOOKUP("MAD641400000",Balanceanp!C:G,5,FALSE))=TRUE,0,VLOOKUP("MAD641400000",Balanceanp!C:G,5,FALSE))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>
      <c r="A140" s="5" t="s">
        <v>154</v>
      </c>
      <c r="B140" s="92"/>
      <c r="C140" s="160">
        <f>IF(ISNA(VLOOKUP("MAD641600000",Balance!C:G,5,FALSE))=TRUE,0,VLOOKUP("MAD641600000",Balance!C:G,5,FALSE))</f>
        <v>0</v>
      </c>
      <c r="D140" s="117">
        <f>+[2]Madeleine!$H140</f>
        <v>0</v>
      </c>
      <c r="E140" s="160">
        <f>IF(ISNA(VLOOKUP("MAD641600000",Balanceanp!C:G,5,FALSE))=TRUE,0,VLOOKUP("MAD641600000",Balanceanp!C:G,5,FALSE))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IF(ISNA(VLOOKUP("MAD645100000",Balance!C:G,5,FALSE))=TRUE,0,VLOOKUP("MAD645100000",Balance!C:G,5,FALSE))</f>
        <v>21594.29</v>
      </c>
      <c r="D141" s="592">
        <f>+[2]Madeleine!$H141</f>
        <v>26436.010305821921</v>
      </c>
      <c r="E141" s="311">
        <f>IF(ISNA(VLOOKUP("MAD645100000",Balanceanp!C:G,5,FALSE))=TRUE,0,VLOOKUP("MAD645100000",Balanceanp!C:G,5,FALSE))</f>
        <v>24028.289999999997</v>
      </c>
      <c r="F141" s="625">
        <f>+C141+C141/9*(12-Clients!$I$14)</f>
        <v>28792.386666666665</v>
      </c>
      <c r="G141" s="630">
        <f t="shared" ref="G141:G146" si="16">+($G$131/$C$131*C141)*1.01</f>
        <v>27290.700399754252</v>
      </c>
      <c r="H141" s="630"/>
      <c r="I141" s="591">
        <f t="shared" si="14"/>
        <v>0.19827031664203607</v>
      </c>
      <c r="J141" s="595">
        <f t="shared" si="14"/>
        <v>-5.2155671716194875E-2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IF(ISNA(VLOOKUP("MAD645200000",Balance!C:G,5,FALSE))=TRUE,0,VLOOKUP("MAD645200000",Balance!C:G,5,FALSE))</f>
        <v>2567.94</v>
      </c>
      <c r="D142" s="592">
        <f>+[2]Madeleine!$H142</f>
        <v>4267.5520693813987</v>
      </c>
      <c r="E142" s="311">
        <f>IF(ISNA(VLOOKUP("MAD645200000",Balanceanp!C:G,5,FALSE))=TRUE,0,VLOOKUP("MAD645200000",Balanceanp!C:G,5,FALSE))</f>
        <v>3801.76</v>
      </c>
      <c r="F142" s="625">
        <f>+C142+C142/9*(12-Clients!$I$14)</f>
        <v>3423.92</v>
      </c>
      <c r="G142" s="630">
        <f t="shared" si="16"/>
        <v>3245.3431524974862</v>
      </c>
      <c r="H142" s="630"/>
      <c r="I142" s="591">
        <f t="shared" si="14"/>
        <v>-9.9385547746307007E-2</v>
      </c>
      <c r="J142" s="595">
        <f t="shared" si="14"/>
        <v>-5.2155671716194833E-2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IF(ISNA(VLOOKUP("MAD645300000",Balance!C:G,5,FALSE))=TRUE,0,VLOOKUP("MAD645300000",Balance!C:G,5,FALSE))</f>
        <v>6174.2</v>
      </c>
      <c r="D143" s="592">
        <f>+[2]Madeleine!$H143</f>
        <v>10459.030401979313</v>
      </c>
      <c r="E143" s="311">
        <f>IF(ISNA(VLOOKUP("MAD645300000",Balanceanp!C:G,5,FALSE))=TRUE,0,VLOOKUP("MAD645300000",Balanceanp!C:G,5,FALSE))</f>
        <v>9293.49</v>
      </c>
      <c r="F143" s="625">
        <f>+C143+C143/9*(12-Clients!$I$14)</f>
        <v>8232.2666666666664</v>
      </c>
      <c r="G143" s="630">
        <f t="shared" si="16"/>
        <v>7802.9072689198256</v>
      </c>
      <c r="H143" s="630"/>
      <c r="I143" s="591">
        <f t="shared" si="14"/>
        <v>-0.11418996882046824</v>
      </c>
      <c r="J143" s="595">
        <f t="shared" si="14"/>
        <v>-5.2155671716194917E-2</v>
      </c>
      <c r="L143" s="17">
        <f t="shared" si="15"/>
        <v>1</v>
      </c>
    </row>
    <row r="144" spans="1:12">
      <c r="A144" s="5" t="s">
        <v>326</v>
      </c>
      <c r="B144" s="92"/>
      <c r="C144" s="160">
        <f>IF(ISNA(VLOOKUP("MAD645310000",Balance!C:G,5,FALSE))=TRUE,0,VLOOKUP("MAD645310000",Balance!C:G,5,FALSE))</f>
        <v>0</v>
      </c>
      <c r="D144" s="117">
        <f>+[2]Madeleine!$H144</f>
        <v>0</v>
      </c>
      <c r="E144" s="160">
        <f>IF(ISNA(VLOOKUP("MAD645310000",Balanceanp!C:G,5,FALSE))=TRUE,0,VLOOKUP("MAD645310000",Balanceanp!C:G,5,FALSE))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IF(ISNA(VLOOKUP("MAD645400000",Balance!C:G,5,FALSE))=TRUE,0,VLOOKUP("MAD645400000",Balance!C:G,5,FALSE))</f>
        <v>3830.23</v>
      </c>
      <c r="D145" s="592">
        <f>+[2]Madeleine!$H145</f>
        <v>6344.2523993562154</v>
      </c>
      <c r="E145" s="311">
        <f>IF(ISNA(VLOOKUP("MAD645400000",Balanceanp!C:G,5,FALSE))=TRUE,0,VLOOKUP("MAD645400000",Balanceanp!C:G,5,FALSE))</f>
        <v>5743.75</v>
      </c>
      <c r="F145" s="625">
        <f>+C145+C145/9*(12-Clients!$I$14)</f>
        <v>5106.9733333333334</v>
      </c>
      <c r="G145" s="630">
        <f t="shared" si="16"/>
        <v>4840.6157086966386</v>
      </c>
      <c r="H145" s="630"/>
      <c r="I145" s="591">
        <f t="shared" si="14"/>
        <v>-0.11086427276024664</v>
      </c>
      <c r="J145" s="595">
        <f t="shared" si="14"/>
        <v>-5.2155671716194861E-2</v>
      </c>
      <c r="L145" s="17">
        <f t="shared" si="15"/>
        <v>1</v>
      </c>
    </row>
    <row r="146" spans="1:12">
      <c r="A146" s="5" t="s">
        <v>159</v>
      </c>
      <c r="B146" s="92"/>
      <c r="C146" s="160">
        <f>IF(ISNA(VLOOKUP("MAD645800000",Balance!C:G,5,FALSE))=TRUE,0,VLOOKUP("MAD645800000",Balance!C:G,5,FALSE))</f>
        <v>0</v>
      </c>
      <c r="D146" s="117">
        <f>+[2]Madeleine!$H146</f>
        <v>0</v>
      </c>
      <c r="E146" s="160">
        <f>IF(ISNA(VLOOKUP("MAD645800000",Balanceanp!C:G,5,FALSE))=TRUE,0,VLOOKUP("MAD645800000",Balanceanp!C:G,5,FALSE))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311">
        <f>IF(ISNA(VLOOKUP("MAD645900000",Balance!C:G,5,FALSE))=TRUE,0,VLOOKUP("MAD645900000",Balance!C:G,5,FALSE))</f>
        <v>-1217.0999999999999</v>
      </c>
      <c r="D147" s="592">
        <f>+[2]Madeleine!$H147</f>
        <v>74.5411</v>
      </c>
      <c r="E147" s="311">
        <f>IF(ISNA(VLOOKUP("MAD645900000",Balanceanp!C:G,5,FALSE))=TRUE,0,VLOOKUP("MAD645900000",Balanceanp!C:G,5,FALSE))</f>
        <v>1217.0999999999999</v>
      </c>
      <c r="F147" s="625">
        <f>+C147+C147/9*(12-Clients!$I$14)</f>
        <v>-1622.7999999999997</v>
      </c>
      <c r="G147" s="630">
        <f>+F147*1.03</f>
        <v>-1671.4839999999997</v>
      </c>
      <c r="H147" s="630"/>
      <c r="I147" s="591">
        <f t="shared" ref="I147:J152" si="17">+IF((E147)=0,,(F147-E147)/E147)</f>
        <v>-2.333333333333333</v>
      </c>
      <c r="J147" s="595">
        <f t="shared" si="17"/>
        <v>2.9999999999999985E-2</v>
      </c>
      <c r="L147" s="17">
        <f t="shared" si="15"/>
        <v>1</v>
      </c>
    </row>
    <row r="148" spans="1:12">
      <c r="A148" s="590" t="s">
        <v>161</v>
      </c>
      <c r="B148" s="591"/>
      <c r="C148" s="311">
        <f>IF(ISNA(VLOOKUP("MAD647100000",Balance!C:G,5,FALSE))=TRUE,0,VLOOKUP("MAD647100000",Balance!C:G,5,FALSE))</f>
        <v>0</v>
      </c>
      <c r="D148" s="592">
        <f>+[2]Madeleine!$H148</f>
        <v>46.149149999999999</v>
      </c>
      <c r="E148" s="311">
        <f>IF(ISNA(VLOOKUP("MAD647100000",Balanceanp!C:G,5,FALSE))=TRUE,0,VLOOKUP("MAD647100000",Balanceanp!C:G,5,FALSE))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311">
        <f>IF(ISNA(VLOOKUP("MAD647400000",Balance!C:G,5,FALSE))=TRUE,0,VLOOKUP("MAD647400000",Balance!C:G,5,FALSE))+IF(ISNA(VLOOKUP("MAD641420000",Balance!C:G,5,FALSE))=TRUE,0,VLOOKUP("MAD641420000",Balance!C:G,5,FALSE))</f>
        <v>160.4</v>
      </c>
      <c r="D149" s="592">
        <f>+[2]Madeleine!$H149</f>
        <v>207.89514850000006</v>
      </c>
      <c r="E149" s="311">
        <f>IF(ISNA(VLOOKUP("MAD647400000",Balanceanp!C:G,5,FALSE))=TRUE,0,VLOOKUP("MAD647400000",Balanceanp!C:G,5,FALSE))+IF(ISNA(VLOOKUP("MAD641420000",Balanceanp!C:G,5,FALSE))=TRUE,0,VLOOKUP("MAD641420000",Balanceanp!C:G,5,FALSE))</f>
        <v>287.35000000000002</v>
      </c>
      <c r="F149" s="625">
        <f>+C149+C149/9*(12-Clients!$I$14)</f>
        <v>213.86666666666667</v>
      </c>
      <c r="G149" s="630">
        <f>+F149*1.03</f>
        <v>220.28266666666667</v>
      </c>
      <c r="H149" s="630"/>
      <c r="I149" s="591">
        <f t="shared" si="17"/>
        <v>-0.25572762600777221</v>
      </c>
      <c r="J149" s="595">
        <f t="shared" si="17"/>
        <v>2.9999999999999985E-2</v>
      </c>
      <c r="L149" s="17">
        <f t="shared" si="15"/>
        <v>1</v>
      </c>
    </row>
    <row r="150" spans="1:12">
      <c r="A150" s="590" t="s">
        <v>163</v>
      </c>
      <c r="B150" s="591"/>
      <c r="C150" s="311">
        <f>IF(ISNA(VLOOKUP("MAD647500000",Balance!C:G,5,FALSE))=TRUE,0,VLOOKUP("MAD647500000",Balance!C:G,5,FALSE))</f>
        <v>160.72</v>
      </c>
      <c r="D150" s="592">
        <f>+[2]Madeleine!$H150</f>
        <v>262.28009588541664</v>
      </c>
      <c r="E150" s="311">
        <f>IF(ISNA(VLOOKUP("MAD647500000",Balanceanp!C:G,5,FALSE))=TRUE,0,VLOOKUP("MAD647500000",Balanceanp!C:G,5,FALSE))</f>
        <v>474.14</v>
      </c>
      <c r="F150" s="625">
        <f>+C150+C150/9*(12-Clients!$I$14)</f>
        <v>214.29333333333332</v>
      </c>
      <c r="G150" s="630">
        <f>+F150*1.03</f>
        <v>220.72213333333332</v>
      </c>
      <c r="H150" s="630"/>
      <c r="I150" s="591">
        <f t="shared" si="17"/>
        <v>-0.54803785098634727</v>
      </c>
      <c r="J150" s="595">
        <f t="shared" si="17"/>
        <v>2.9999999999999982E-2</v>
      </c>
      <c r="L150" s="17">
        <f t="shared" si="15"/>
        <v>1</v>
      </c>
    </row>
    <row r="151" spans="1:12">
      <c r="A151" s="5" t="s">
        <v>570</v>
      </c>
      <c r="B151" s="92"/>
      <c r="C151" s="160"/>
      <c r="D151" s="117">
        <f>+[2]Madeleine!$H151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IF(ISNA(VLOOKUP("MAD648000000",Balance!C:G,5,FALSE))=TRUE,0,VLOOKUP("MAD648000000",Balance!C:G,5,FALSE))</f>
        <v>0</v>
      </c>
      <c r="D152" s="592">
        <f>+[2]Madeleine!$H152</f>
        <v>0</v>
      </c>
      <c r="E152" s="311">
        <f>IF(ISNA(VLOOKUP("MAD648000000",Balanceanp!C:G,5,FALSE))=TRUE,0,VLOOKUP("MAD648000000",Balanceanp!C:G,5,FALSE))</f>
        <v>160.28271999999998</v>
      </c>
      <c r="F152" s="625">
        <f>+C152+C152/9*(12-Clients!$I$14)</f>
        <v>0</v>
      </c>
      <c r="G152" s="630">
        <f>+F152*1.03</f>
        <v>0</v>
      </c>
      <c r="H152" s="630">
        <f>SUM(G141:G152)</f>
        <v>41949.087329868213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0.14077723960098382</v>
      </c>
      <c r="C154" s="305">
        <f>SUM(C130:C153)</f>
        <v>101135.06999999998</v>
      </c>
      <c r="D154" s="312">
        <f>SUM(D130:D153)</f>
        <v>146460.55162077557</v>
      </c>
      <c r="E154" s="305">
        <f>SUM(E130:E153)</f>
        <v>145898.32272000003</v>
      </c>
      <c r="F154" s="312">
        <f>SUM(F130:F153)</f>
        <v>134846.76</v>
      </c>
      <c r="G154" s="312">
        <f>SUM(G130:G153)</f>
        <v>149731.0873298682</v>
      </c>
      <c r="H154" s="421">
        <f>+G154/$G$21</f>
        <v>0.14692712998130497</v>
      </c>
      <c r="I154" s="598">
        <f>+IF((E154)=0,,(F154-E154)/E154)</f>
        <v>-7.5748387739930104E-2</v>
      </c>
      <c r="J154" s="599">
        <f>+IF((F154)=0,,(G154-F154)/F154)</f>
        <v>0.11037956959342729</v>
      </c>
      <c r="K154" s="136">
        <f>(C154+(C154/3))</f>
        <v>134846.75999999998</v>
      </c>
      <c r="L154" s="17">
        <f t="shared" si="15"/>
        <v>1</v>
      </c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0.91910000000000003</v>
      </c>
      <c r="C156" s="311">
        <f>IF(ISNA(VLOOKUP("MAD681740000",Balance!C:G,5,FALSE))=TRUE,0,VLOOKUP("MAD681740000",Balance!C:G,5,FALSE))</f>
        <v>9753.7800000000007</v>
      </c>
      <c r="D156" s="592">
        <f>+[2]Madeleine!$H156</f>
        <v>14428.213558079999</v>
      </c>
      <c r="E156" s="311">
        <f>IF(ISNA(VLOOKUP("MAD681740000",Balanceanp!C:G,5,FALSE))=TRUE,0,VLOOKUP("MAD681740000",Balanceanp!C:G,5,FALSE))</f>
        <v>5976.77</v>
      </c>
      <c r="F156" s="625">
        <f>+C156+C156/9*(12-Clients!$I$14)</f>
        <v>13005.04</v>
      </c>
      <c r="G156" s="637">
        <f>+G21*B156*1.62%</f>
        <v>15173.569691280003</v>
      </c>
      <c r="H156" s="639"/>
      <c r="I156" s="591">
        <f t="shared" ref="I156:J166" si="18">+IF((E156)=0,,(F156-E156)/E156)</f>
        <v>1.1759311467565257</v>
      </c>
      <c r="J156" s="595">
        <f t="shared" si="18"/>
        <v>0.16674533037037964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IF(ISNA(VLOOKUP("MAD781740000",Balance!C:G,5,FALSE))=TRUE,0,VLOOKUP("MAD781740000",Balance!C:G,5,FALSE))</f>
        <v>-57658.21</v>
      </c>
      <c r="D157" s="592">
        <f>+[2]Madeleine!$H157</f>
        <v>0</v>
      </c>
      <c r="E157" s="311">
        <f>IF(ISNA(VLOOKUP("MAD781740000",Balanceanp!C:G,5,FALSE))=TRUE,0,VLOOKUP("MAD781740000",Balanceanp!C:G,5,FALSE))</f>
        <v>-4529.2</v>
      </c>
      <c r="F157" s="625">
        <f>+C157+C157/9*(12-Clients!$I$14)</f>
        <v>-76877.613333333342</v>
      </c>
      <c r="G157" s="630">
        <v>0</v>
      </c>
      <c r="H157" s="630"/>
      <c r="I157" s="591">
        <f t="shared" si="18"/>
        <v>15.973773146103804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IF(ISNA(VLOOKUP("MAD654400000",Balance!C:G,5,FALSE))=TRUE,0,VLOOKUP("MAD654400000",Balance!C:G,5,FALSE))</f>
        <v>101315.24</v>
      </c>
      <c r="D158" s="592">
        <f>+[2]Madeleine!$H158</f>
        <v>0</v>
      </c>
      <c r="E158" s="311">
        <f>IF(ISNA(VLOOKUP("MAD654400000",Balanceanp!C:G,5,FALSE))=TRUE,0,VLOOKUP("MAD654400000",Balanceanp!C:G,5,FALSE))</f>
        <v>3185.8</v>
      </c>
      <c r="F158" s="625">
        <f>+C158+C158/9*(12-Clients!$I$14)</f>
        <v>135086.98666666666</v>
      </c>
      <c r="G158" s="630">
        <v>0</v>
      </c>
      <c r="H158" s="630"/>
      <c r="I158" s="591">
        <f t="shared" si="18"/>
        <v>41.402845962291003</v>
      </c>
      <c r="J158" s="595">
        <f t="shared" si="18"/>
        <v>-1</v>
      </c>
      <c r="L158" s="17">
        <f t="shared" si="15"/>
        <v>1</v>
      </c>
    </row>
    <row r="159" spans="1:12">
      <c r="A159" s="590" t="s">
        <v>60</v>
      </c>
      <c r="B159" s="591"/>
      <c r="C159" s="311">
        <f>IF(ISNA(VLOOKUP("MAD791100000",Balance!C:G,5,FALSE))=TRUE,0,VLOOKUP("MAD791100000",Balance!C:G,5,FALSE))</f>
        <v>-45000</v>
      </c>
      <c r="D159" s="592">
        <f>+[2]Madeleine!$H159</f>
        <v>0</v>
      </c>
      <c r="E159" s="311">
        <f>IF(ISNA(VLOOKUP("MAD791100000",Balanceanp!C:G,5,FALSE))=TRUE,0,VLOOKUP("MAD791100000",Balanceanp!C:G,5,FALSE))</f>
        <v>338.83</v>
      </c>
      <c r="F159" s="625">
        <f>+C159+C159/9*(12-Clients!$I$14)</f>
        <v>-60000</v>
      </c>
      <c r="G159" s="630">
        <v>0</v>
      </c>
      <c r="H159" s="630"/>
      <c r="I159" s="591">
        <f t="shared" si="18"/>
        <v>-178.07995159814658</v>
      </c>
      <c r="J159" s="595">
        <f t="shared" si="18"/>
        <v>-1</v>
      </c>
      <c r="L159" s="17">
        <f t="shared" si="15"/>
        <v>1</v>
      </c>
    </row>
    <row r="160" spans="1:12">
      <c r="A160" s="590" t="s">
        <v>199</v>
      </c>
      <c r="B160" s="591"/>
      <c r="C160" s="311">
        <f>IF(ISNA(VLOOKUP("MAD654100000",Balance!C:G,5,FALSE))=TRUE,0,VLOOKUP("MAD654100000",Balance!C:G,5,FALSE))</f>
        <v>0.2799999999999998</v>
      </c>
      <c r="D160" s="592">
        <f>+[2]Madeleine!$H160</f>
        <v>0</v>
      </c>
      <c r="E160" s="311">
        <f>IF(ISNA(VLOOKUP("MAD654100000",Balanceanp!C:G,5,FALSE))=TRUE,0,VLOOKUP("MAD654100000",Balanceanp!C:G,5,FALSE))</f>
        <v>3.79</v>
      </c>
      <c r="F160" s="625">
        <f>+C160+C160/9*(12-Clients!$I$14)</f>
        <v>0.37333333333333307</v>
      </c>
      <c r="G160" s="630">
        <v>0</v>
      </c>
      <c r="H160" s="630"/>
      <c r="I160" s="591">
        <f t="shared" si="18"/>
        <v>-0.90149516270888308</v>
      </c>
      <c r="J160" s="595">
        <f t="shared" si="18"/>
        <v>-1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IF(ISNA(VLOOKUP("MAD622700000",Balance!C:G,5,FALSE))=TRUE,0,VLOOKUP("MAD622700000",Balance!C:G,5,FALSE))</f>
        <v>77.56</v>
      </c>
      <c r="D161" s="592">
        <f>+[2]Madeleine!$H161</f>
        <v>77.982898115419104</v>
      </c>
      <c r="E161" s="311">
        <f>IF(ISNA(VLOOKUP("MAD622700000",Balanceanp!C:G,5,FALSE))=TRUE,0,VLOOKUP("MAD622700000",Balanceanp!C:G,5,FALSE))</f>
        <v>-1.35</v>
      </c>
      <c r="F161" s="625">
        <f>+C161+C161/9*(12-Clients!$I$14)</f>
        <v>103.41333333333334</v>
      </c>
      <c r="G161" s="630">
        <f t="shared" ref="G161:G166" si="19">+F161*1.03</f>
        <v>106.51573333333334</v>
      </c>
      <c r="H161" s="630"/>
      <c r="I161" s="591">
        <f t="shared" si="18"/>
        <v>-77.602469135802465</v>
      </c>
      <c r="J161" s="595">
        <f t="shared" si="18"/>
        <v>3.0000000000000027E-2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IF(ISNA(VLOOKUP("MAD654200000",Balance!C:G,5,FALSE))=TRUE,0,VLOOKUP("MAD654200000",Balance!C:G,5,FALSE))</f>
        <v>0</v>
      </c>
      <c r="D162" s="592">
        <f>+[2]Madeleine!$H162</f>
        <v>3.2871369594017366</v>
      </c>
      <c r="E162" s="311">
        <f>IF(ISNA(VLOOKUP("MAD654200000",Balanceanp!C:G,5,FALSE))=TRUE,0,VLOOKUP("MAD654200000",Balanceanp!C:G,5,FALSE))</f>
        <v>0</v>
      </c>
      <c r="F162" s="625">
        <f>+C162+C162/9*(12-Clients!$I$14)</f>
        <v>0</v>
      </c>
      <c r="G162" s="630">
        <f t="shared" si="19"/>
        <v>0</v>
      </c>
      <c r="H162" s="630"/>
      <c r="I162" s="591">
        <f t="shared" si="18"/>
        <v>0</v>
      </c>
      <c r="J162" s="595">
        <f t="shared" si="18"/>
        <v>0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IF(ISNA(VLOOKUP("MAD665000000",Balance!C:G,5,FALSE))=TRUE,0,VLOOKUP("MAD665000000",Balance!C:G,5,FALSE))+IF(ISNA(VLOOKUP("MAD665100000",Balance!C:G,5,FALSE))=TRUE,0,VLOOKUP("MAD665100000",Balance!C:G,5,FALSE))</f>
        <v>632.85</v>
      </c>
      <c r="D163" s="592">
        <f>+[2]Madeleine!$H163</f>
        <v>280.22093796964617</v>
      </c>
      <c r="E163" s="311">
        <f>IF(ISNA(VLOOKUP("MAD665000000",Balanceanp!C:G,5,FALSE))=TRUE,0,VLOOKUP("MAD665000000",Balanceanp!C:G,5,FALSE))+IF(ISNA(VLOOKUP("MAD665100000",Balanceanp!C:G,5,FALSE))=TRUE,0,VLOOKUP("MAD665100000",Balanceanp!C:G,5,FALSE))</f>
        <v>673.27</v>
      </c>
      <c r="F163" s="625">
        <f>+C163+C163/9*(12-Clients!$I$14)</f>
        <v>843.8</v>
      </c>
      <c r="G163" s="630">
        <f t="shared" si="19"/>
        <v>869.11399999999992</v>
      </c>
      <c r="H163" s="630"/>
      <c r="I163" s="591">
        <f t="shared" si="18"/>
        <v>0.25328620018714626</v>
      </c>
      <c r="J163" s="595">
        <f t="shared" si="18"/>
        <v>2.9999999999999961E-2</v>
      </c>
      <c r="L163" s="17">
        <f t="shared" si="15"/>
        <v>1</v>
      </c>
    </row>
    <row r="164" spans="1:12">
      <c r="A164" s="590" t="s">
        <v>271</v>
      </c>
      <c r="B164" s="591"/>
      <c r="C164" s="311">
        <f>IF(ISNA(VLOOKUP("MAD763000000",Balance!C:G,5,FALSE))=TRUE,0,VLOOKUP("MAD763000000",Balance!C:G,5,FALSE))</f>
        <v>-16.5</v>
      </c>
      <c r="D164" s="592">
        <f>+[2]Madeleine!$H164</f>
        <v>-0.68807653281250003</v>
      </c>
      <c r="E164" s="311">
        <f>IF(ISNA(VLOOKUP("MAD763000000",Balanceanp!C:G,5,FALSE))=TRUE,0,VLOOKUP("MAD763000000",Balanceanp!C:G,5,FALSE))</f>
        <v>-25.500000000000004</v>
      </c>
      <c r="F164" s="625">
        <f>+C164+C164/9*(12-Clients!$I$14)</f>
        <v>-22</v>
      </c>
      <c r="G164" s="630">
        <f t="shared" si="19"/>
        <v>-22.66</v>
      </c>
      <c r="H164" s="630"/>
      <c r="I164" s="591">
        <f t="shared" si="18"/>
        <v>-0.13725490196078444</v>
      </c>
      <c r="J164" s="595">
        <f t="shared" si="18"/>
        <v>3.0000000000000006E-2</v>
      </c>
      <c r="L164" s="17">
        <f t="shared" si="15"/>
        <v>1</v>
      </c>
    </row>
    <row r="165" spans="1:12">
      <c r="A165" s="590" t="s">
        <v>242</v>
      </c>
      <c r="B165" s="591"/>
      <c r="C165" s="311">
        <f>IF(ISNA(VLOOKUP("MAD627520000",Balance!C:G,5,FALSE))=TRUE,0,VLOOKUP("MAD627520000",Balance!C:G,5,FALSE))</f>
        <v>76.3</v>
      </c>
      <c r="D165" s="592">
        <f>+[2]Madeleine!$H165</f>
        <v>31.545926818093751</v>
      </c>
      <c r="E165" s="311">
        <f>IF(ISNA(VLOOKUP("MAD627520000",Balanceanp!C:G,5,FALSE))=TRUE,0,VLOOKUP("MAD627520000",Balanceanp!C:G,5,FALSE))</f>
        <v>96.9</v>
      </c>
      <c r="F165" s="625">
        <f>+C165+C165/9*(12-Clients!$I$14)</f>
        <v>101.73333333333333</v>
      </c>
      <c r="G165" s="630">
        <f t="shared" si="19"/>
        <v>104.78533333333334</v>
      </c>
      <c r="H165" s="630"/>
      <c r="I165" s="591">
        <f t="shared" si="18"/>
        <v>4.9879600963192244E-2</v>
      </c>
      <c r="J165" s="595">
        <f t="shared" si="18"/>
        <v>3.0000000000000065E-2</v>
      </c>
      <c r="L165" s="17">
        <f t="shared" si="15"/>
        <v>1</v>
      </c>
    </row>
    <row r="166" spans="1:12">
      <c r="A166" s="590" t="s">
        <v>201</v>
      </c>
      <c r="B166" s="591"/>
      <c r="C166" s="311">
        <f>IF(ISNA(VLOOKUP("MAD763100000",Balance!C:G,5,FALSE))=TRUE,0,VLOOKUP("MAD763100000",Balance!C:G,5,FALSE))</f>
        <v>0</v>
      </c>
      <c r="D166" s="592">
        <f>+[2]Madeleine!$H166</f>
        <v>-1.1724050104166669E-4</v>
      </c>
      <c r="E166" s="311">
        <f>IF(ISNA(VLOOKUP("MAD763100000",Balanceanp!C:G,5,FALSE))=TRUE,0,VLOOKUP("MAD763100000",Balanceanp!C:G,5,FALSE))</f>
        <v>0</v>
      </c>
      <c r="F166" s="625">
        <f>+C166+C166/9*(12-Clients!$I$14)</f>
        <v>0</v>
      </c>
      <c r="G166" s="630">
        <f t="shared" si="19"/>
        <v>0</v>
      </c>
      <c r="H166" s="630"/>
      <c r="I166" s="591">
        <f t="shared" si="18"/>
        <v>0</v>
      </c>
      <c r="J166" s="595">
        <f t="shared" si="18"/>
        <v>0</v>
      </c>
      <c r="L166" s="17">
        <f t="shared" si="15"/>
        <v>1</v>
      </c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1.2780117420678243E-2</v>
      </c>
      <c r="C168" s="305">
        <f>SUM(C155:C167)</f>
        <v>9181.3000000000047</v>
      </c>
      <c r="D168" s="312">
        <f>SUM(D155:D167)</f>
        <v>14820.562264169244</v>
      </c>
      <c r="E168" s="305">
        <f>SUM(E155:E167)</f>
        <v>5719.3099999999995</v>
      </c>
      <c r="F168" s="312">
        <f>SUM(F155:F167)</f>
        <v>12241.73333333333</v>
      </c>
      <c r="G168" s="312">
        <f>SUM(G155:G167)</f>
        <v>16231.32475794667</v>
      </c>
      <c r="H168" s="421">
        <f>+G168/$G$21</f>
        <v>1.5927366888251283E-2</v>
      </c>
      <c r="I168" s="598">
        <f>+IF((E168)=0,,(F168-E168)/E168)</f>
        <v>1.1404213678456547</v>
      </c>
      <c r="J168" s="599">
        <f>+IF((F168)=0,,(G168-F168)/F168)</f>
        <v>0.32590086027686771</v>
      </c>
      <c r="K168" s="136">
        <f>(C168+(C168/3))</f>
        <v>12241.733333333339</v>
      </c>
      <c r="L168" s="17">
        <f t="shared" si="15"/>
        <v>1</v>
      </c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>
      <c r="A170" s="5" t="s">
        <v>167</v>
      </c>
      <c r="B170" s="92"/>
      <c r="C170" s="160">
        <f>IF(ISNA(VLOOKUP("MAD651100000",Balance!C:G,5,FALSE))=TRUE,0,VLOOKUP("MAD651100000",Balance!C:G,5,FALSE))</f>
        <v>0</v>
      </c>
      <c r="D170" s="117">
        <f>+[2]Madeleine!$H170</f>
        <v>0</v>
      </c>
      <c r="E170" s="160">
        <f>IF(ISNA(VLOOKUP("MAD651100000",Balanceanp!C:G,5,FALSE))=TRUE,0,VLOOKUP("MAD651100000",Balanceanp!C:G,5,FALSE))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>
      <c r="A171" s="5" t="s">
        <v>168</v>
      </c>
      <c r="B171" s="92"/>
      <c r="C171" s="160">
        <f>IF(ISNA(VLOOKUP("MAD651600000",Balance!C:G,5,FALSE))=TRUE,0,VLOOKUP("MAD651600000",Balance!C:G,5,FALSE))</f>
        <v>0</v>
      </c>
      <c r="D171" s="117">
        <f>+[2]Madeleine!$H171</f>
        <v>0</v>
      </c>
      <c r="E171" s="160">
        <f>IF(ISNA(VLOOKUP("MAD651600000",Balanceanp!C:G,5,FALSE))=TRUE,0,VLOOKUP("MAD651600000",Balanceanp!C:G,5,FALSE))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>
      <c r="A172" s="5" t="s">
        <v>169</v>
      </c>
      <c r="B172" s="92"/>
      <c r="C172" s="160">
        <f>IF(ISNA(VLOOKUP("MAD671200000",Balance!C:G,5,FALSE))=TRUE,0,VLOOKUP("MAD671200000",Balance!C:G,5,FALSE))</f>
        <v>0</v>
      </c>
      <c r="D172" s="117">
        <f>+[2]Madeleine!$H172</f>
        <v>0</v>
      </c>
      <c r="E172" s="160">
        <f>IF(ISNA(VLOOKUP("MAD671200000",Balanceanp!C:G,5,FALSE))=TRUE,0,VLOOKUP("MAD671200000",Balanceanp!C:G,5,FALSE))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IF(ISNA(VLOOKUP("MAD671800000",Balance!C:G,5,FALSE))=TRUE,0,VLOOKUP("MAD671800000",Balance!C:G,5,FALSE))</f>
        <v>46.01</v>
      </c>
      <c r="D173" s="592">
        <f>+[2]Madeleine!$H173</f>
        <v>1425.8470249999998</v>
      </c>
      <c r="E173" s="311">
        <f>IF(ISNA(VLOOKUP("MAD671800000",Balanceanp!C:G,5,FALSE))=TRUE,0,VLOOKUP("MAD671800000",Balanceanp!C:G,5,FALSE))+IF(ISNA(VLOOKUP("MAD658000000",Balanceanp!C:G,5,FALSE))=TRUE,0,VLOOKUP("MAD658000000",Balanceanp!C:G,5,FALSE))</f>
        <v>903.55</v>
      </c>
      <c r="F173" s="625">
        <f>+C173+C173/9*(12-Clients!$I$14)</f>
        <v>61.346666666666664</v>
      </c>
      <c r="G173" s="630">
        <f t="shared" si="20"/>
        <v>63.187066666666666</v>
      </c>
      <c r="H173" s="630"/>
      <c r="I173" s="591">
        <f t="shared" si="21"/>
        <v>-0.93210484570121555</v>
      </c>
      <c r="J173" s="595">
        <f t="shared" si="21"/>
        <v>3.0000000000000041E-2</v>
      </c>
      <c r="L173" s="17">
        <f t="shared" si="15"/>
        <v>1</v>
      </c>
    </row>
    <row r="174" spans="1:12">
      <c r="A174" s="5" t="s">
        <v>171</v>
      </c>
      <c r="B174" s="92"/>
      <c r="C174" s="160">
        <f>IF(ISNA(VLOOKUP("MAD672000000",Balance!C:G,5,FALSE))=TRUE,0,VLOOKUP("MAD672000000",Balance!C:G,5,FALSE))</f>
        <v>0</v>
      </c>
      <c r="D174" s="117">
        <f>+[2]Madeleine!$H174</f>
        <v>0</v>
      </c>
      <c r="E174" s="160">
        <f>IF(ISNA(VLOOKUP("MAD672000000",Balanceanp!C:G,5,FALSE))=TRUE,0,VLOOKUP("MAD672000000",Balanceanp!C:G,5,FALSE))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>
      <c r="A175" s="5" t="s">
        <v>308</v>
      </c>
      <c r="B175" s="92"/>
      <c r="C175" s="160">
        <f>IF(ISNA(VLOOKUP("MAD691100000",Balance!C:G,5,FALSE))=TRUE,0,VLOOKUP("MAD691100000",Balance!C:G,5,FALSE))</f>
        <v>0</v>
      </c>
      <c r="D175" s="117">
        <f>+[2]Madeleine!$H175</f>
        <v>0</v>
      </c>
      <c r="E175" s="160">
        <f>IF(ISNA(VLOOKUP("MAD691100000",Balanceanp!C:G,5,FALSE))=TRUE,0,VLOOKUP("MAD691100000",Balanceanp!C:G,5,FALSE))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>
      <c r="A176" s="5" t="s">
        <v>172</v>
      </c>
      <c r="B176" s="92"/>
      <c r="C176" s="160">
        <f>IF(ISNA(VLOOKUP("MAD675100000",Balance!C:G,5,FALSE))=TRUE,0,VLOOKUP("MAD675100000",Balance!C:G,5,FALSE))</f>
        <v>0</v>
      </c>
      <c r="D176" s="117">
        <f>+[2]Madeleine!$H176</f>
        <v>0</v>
      </c>
      <c r="E176" s="160">
        <f>IF(ISNA(VLOOKUP("MAD675100000",Balanceanp!C:G,5,FALSE))=TRUE,0,VLOOKUP("MAD675100000",Balanceanp!C:G,5,FALSE))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>
      <c r="A177" s="590" t="s">
        <v>173</v>
      </c>
      <c r="B177" s="591"/>
      <c r="C177" s="311">
        <f>IF(ISNA(VLOOKUP("MAD675200000",Balance!C:G,5,FALSE))=TRUE,0,VLOOKUP("MAD675200000",Balance!C:G,5,FALSE))</f>
        <v>0</v>
      </c>
      <c r="D177" s="592">
        <f>+[2]Madeleine!$H177</f>
        <v>0</v>
      </c>
      <c r="E177" s="311">
        <f>IF(ISNA(VLOOKUP("MAD675200000",Balanceanp!C:G,5,FALSE))=TRUE,0,VLOOKUP("MAD675200000",Balanceanp!C:G,5,FALSE))</f>
        <v>929.52</v>
      </c>
      <c r="F177" s="625">
        <f>+C177+C177/9*(12-Clients!$I$14)</f>
        <v>0</v>
      </c>
      <c r="G177" s="630">
        <f t="shared" si="20"/>
        <v>0</v>
      </c>
      <c r="H177" s="630"/>
      <c r="I177" s="591">
        <f t="shared" si="21"/>
        <v>-1</v>
      </c>
      <c r="J177" s="595">
        <f t="shared" si="21"/>
        <v>0</v>
      </c>
      <c r="L177" s="17">
        <f t="shared" si="15"/>
        <v>1</v>
      </c>
    </row>
    <row r="178" spans="1:12">
      <c r="A178" s="5" t="s">
        <v>174</v>
      </c>
      <c r="B178" s="92"/>
      <c r="C178" s="160">
        <f>IF(ISNA(VLOOKUP("MAD681110000",Balance!C:G,5,FALSE))=TRUE,0,VLOOKUP("MAD681110000",Balance!C:G,5,FALSE))</f>
        <v>0</v>
      </c>
      <c r="D178" s="117">
        <f>+[2]Madeleine!$H178</f>
        <v>0</v>
      </c>
      <c r="E178" s="160">
        <f>IF(ISNA(VLOOKUP("MAD681110000",Balanceanp!C:G,5,FALSE))=TRUE,0,VLOOKUP("MAD681110000",Balanceanp!C:G,5,FALSE))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IF(ISNA(VLOOKUP("MAD681120000",Balance!C:G,5,FALSE))=TRUE,0,VLOOKUP("MAD681120000",Balance!C:G,5,FALSE))</f>
        <v>6675.03</v>
      </c>
      <c r="D179" s="592">
        <f>+[2]Madeleine!$H179</f>
        <v>8900</v>
      </c>
      <c r="E179" s="311">
        <f>IF(ISNA(VLOOKUP("MAD681120000",Balanceanp!C:G,5,FALSE))=TRUE,0,VLOOKUP("MAD681120000",Balanceanp!C:G,5,FALSE))</f>
        <v>10321.1</v>
      </c>
      <c r="F179" s="620">
        <v>8490.64</v>
      </c>
      <c r="G179" s="637">
        <f>7872.12+500+G255/10</f>
        <v>8372.119999999999</v>
      </c>
      <c r="H179" s="632"/>
      <c r="I179" s="591">
        <f t="shared" si="21"/>
        <v>-0.17735125132011131</v>
      </c>
      <c r="J179" s="595">
        <f t="shared" si="21"/>
        <v>-1.3958900624687944E-2</v>
      </c>
      <c r="L179" s="17">
        <f t="shared" si="15"/>
        <v>1</v>
      </c>
    </row>
    <row r="180" spans="1:12">
      <c r="A180" s="590" t="s">
        <v>78</v>
      </c>
      <c r="B180" s="591"/>
      <c r="C180" s="311">
        <f>IF(ISNA(VLOOKUP("MAD687250000",Balance!C:G,5,FALSE))=TRUE,0,+VLOOKUP("MAD687250000",Balance!C:G,5,FALSE))</f>
        <v>0</v>
      </c>
      <c r="D180" s="592">
        <f>+[2]Madeleine!$H180</f>
        <v>0</v>
      </c>
      <c r="E180" s="311">
        <f>IF(ISNA(VLOOKUP("MAD687250000",Balanceanp!C:G,5,FALSE))=TRUE,0,+VLOOKUP("MAD687250000",Balanceanp!C:G,5,FALSE))</f>
        <v>2262.91</v>
      </c>
      <c r="F180" s="625">
        <f>+C180+C180/9*(12-Clients!$I$14)</f>
        <v>0</v>
      </c>
      <c r="G180" s="630">
        <f t="shared" si="20"/>
        <v>0</v>
      </c>
      <c r="H180" s="630"/>
      <c r="I180" s="591">
        <f t="shared" si="21"/>
        <v>-1</v>
      </c>
      <c r="J180" s="595">
        <f t="shared" si="21"/>
        <v>0</v>
      </c>
      <c r="L180" s="17">
        <f t="shared" si="15"/>
        <v>1</v>
      </c>
    </row>
    <row r="181" spans="1:12">
      <c r="A181" s="5" t="s">
        <v>327</v>
      </c>
      <c r="B181" s="92"/>
      <c r="C181" s="160">
        <f>IF(ISNA(VLOOKUP("MAD661880000",Balance!C:G,5,FALSE))=TRUE,0,+VLOOKUP("MAD661880000",Balance!C:G,5,FALSE))</f>
        <v>0</v>
      </c>
      <c r="D181" s="117">
        <f>+[2]Madeleine!$H181</f>
        <v>0</v>
      </c>
      <c r="E181" s="160">
        <f>IF(ISNA(VLOOKUP("MAD661880000",Balanceanp!C:G,5,FALSE))=TRUE,0,+VLOOKUP("MAD661880000",Balanceanp!C:G,5,FALSE))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>
      <c r="A182" s="5" t="s">
        <v>82</v>
      </c>
      <c r="B182" s="92"/>
      <c r="C182" s="160"/>
      <c r="D182" s="117">
        <f>+[2]Madeleine!$H182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>
      <c r="A183" s="5" t="s">
        <v>331</v>
      </c>
      <c r="B183" s="92"/>
      <c r="C183" s="160">
        <f>IF(ISNA(VLOOKUP("MAD681500000",Balance!C:G,5,FALSE))=TRUE,0,VLOOKUP("MAD681500000",Balance!C:G,5,FALSE))</f>
        <v>0</v>
      </c>
      <c r="D183" s="117">
        <f>+[2]Madeleine!$H183</f>
        <v>0</v>
      </c>
      <c r="E183" s="160">
        <f>IF(ISNA(VLOOKUP("MAD681500000",Balanceanp!C:G,5,FALSE))=TRUE,0,VLOOKUP("MAD681500000",Balanceanp!C:G,5,FALSE))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6721.04</v>
      </c>
      <c r="D185" s="312">
        <f>SUM(D169:D184)</f>
        <v>10325.847024999999</v>
      </c>
      <c r="E185" s="312">
        <f>SUM(E169:E184)</f>
        <v>14417.08</v>
      </c>
      <c r="F185" s="312">
        <f>SUM(F169:F184)</f>
        <v>8551.9866666666658</v>
      </c>
      <c r="G185" s="312">
        <f>SUM(G169:G184)</f>
        <v>8435.3070666666663</v>
      </c>
      <c r="H185" s="421"/>
      <c r="I185" s="598">
        <f>+IF((E185)=0,,(F185-E185)/E185)</f>
        <v>-0.40681561962154156</v>
      </c>
      <c r="J185" s="599">
        <f>+IF((F185)=0,,(G185-F185)/F185)</f>
        <v>-1.364356664104553E-2</v>
      </c>
      <c r="K185" s="136">
        <f>(C185+(C185/3))</f>
        <v>8961.3866666666672</v>
      </c>
      <c r="L185" s="17">
        <f t="shared" si="15"/>
        <v>1</v>
      </c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>
      <c r="A187" s="590" t="s">
        <v>179</v>
      </c>
      <c r="B187" s="591"/>
      <c r="C187" s="311">
        <f>IF(ISNA(VLOOKUP("MAD740000000",Balance!C:G,5,FALSE))=TRUE,0,-VLOOKUP("MAD740000000",Balance!C:G,5,FALSE))</f>
        <v>0</v>
      </c>
      <c r="D187" s="592">
        <f>+[2]Madeleine!$H187</f>
        <v>0</v>
      </c>
      <c r="E187" s="311">
        <f>IF(ISNA(VLOOKUP("MAD740000000",Balanceanp!C:G,5,FALSE))=TRUE,0,-VLOOKUP("MAD740000000",Balanceanp!C:G,5,FALSE))</f>
        <v>1700</v>
      </c>
      <c r="F187" s="625">
        <f>+C187+C187/9*(12-Clients!$I$14)</f>
        <v>0</v>
      </c>
      <c r="G187" s="625">
        <v>0</v>
      </c>
      <c r="H187" s="625"/>
      <c r="I187" s="591">
        <f t="shared" ref="I187:J199" si="22">+IF((E187)=0,,(F187-E187)/E187)</f>
        <v>-1</v>
      </c>
      <c r="J187" s="595">
        <f t="shared" si="22"/>
        <v>0</v>
      </c>
      <c r="L187" s="17">
        <f t="shared" si="15"/>
        <v>1</v>
      </c>
    </row>
    <row r="188" spans="1:12">
      <c r="A188" s="5" t="s">
        <v>167</v>
      </c>
      <c r="B188" s="92"/>
      <c r="C188" s="160">
        <f>IF(ISNA(VLOOKUP("MAD751100000",Balance!C:G,5,FALSE))=TRUE,0,-VLOOKUP("MAD751100000",Balance!C:G,5,FALSE))</f>
        <v>0</v>
      </c>
      <c r="D188" s="117">
        <f>+[2]Madeleine!$H188</f>
        <v>0</v>
      </c>
      <c r="E188" s="160">
        <f>IF(ISNA(VLOOKUP("MAD751100000",Balanceanp!C:G,5,FALSE))=TRUE,0,-VLOOKUP("MAD751100000",Balanceanp!C:G,5,FALSE))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>
      <c r="A189" s="5" t="s">
        <v>180</v>
      </c>
      <c r="B189" s="92"/>
      <c r="C189" s="160">
        <f>IF(ISNA(VLOOKUP("MAD758100000",Balance!C:G,5,FALSE))=TRUE,0,-VLOOKUP("MAD758100000",Balance!C:G,5,FALSE))</f>
        <v>0</v>
      </c>
      <c r="D189" s="117">
        <f>+[2]Madeleine!$H189</f>
        <v>0</v>
      </c>
      <c r="E189" s="160">
        <f>IF(ISNA(VLOOKUP("MAD758100000",Balanceanp!C:G,5,FALSE))=TRUE,0,-VLOOKUP("MAD758100000",Balanceanp!C:G,5,FALSE))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22"/>
        <v>0</v>
      </c>
      <c r="J189" s="271">
        <f t="shared" si="22"/>
        <v>0</v>
      </c>
      <c r="L189" s="17">
        <v>0</v>
      </c>
    </row>
    <row r="190" spans="1:12">
      <c r="A190" s="5" t="s">
        <v>181</v>
      </c>
      <c r="B190" s="92"/>
      <c r="C190" s="160">
        <f>IF(ISNA(VLOOKUP("MAD763800000",Balance!C:G,5,FALSE))=TRUE,0,-VLOOKUP("MAD763800000",Balance!C:G,5,FALSE))</f>
        <v>0</v>
      </c>
      <c r="D190" s="117">
        <f>+[2]Madeleine!$H190</f>
        <v>0</v>
      </c>
      <c r="E190" s="160">
        <f>IF(ISNA(VLOOKUP("MAD763800000",Balanceanp!C:G,5,FALSE))=TRUE,0,-VLOOKUP("MAD763800000",Balanceanp!C:G,5,FALSE))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>
      <c r="A191" s="5" t="s">
        <v>182</v>
      </c>
      <c r="B191" s="92"/>
      <c r="C191" s="160">
        <f>IF(ISNA(VLOOKUP("MAD765000000",Balance!C:G,5,FALSE))=TRUE,0,-VLOOKUP("MAD765000000",Balance!C:G,5,FALSE))</f>
        <v>0</v>
      </c>
      <c r="D191" s="117">
        <f>+[2]Madeleine!$H191</f>
        <v>0</v>
      </c>
      <c r="E191" s="160">
        <f>IF(ISNA(VLOOKUP("MAD765000000",Balanceanp!C:G,5,FALSE))=TRUE,0,-VLOOKUP("MAD765000000",Balanceanp!C:G,5,FALSE))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>
      <c r="A192" s="5" t="s">
        <v>183</v>
      </c>
      <c r="B192" s="92"/>
      <c r="C192" s="160">
        <f>IF(ISNA(VLOOKUP("MAD771400000",Balance!C:G,5,FALSE))=TRUE,0,-VLOOKUP("MAD771400000",Balance!C:G,5,FALSE))</f>
        <v>0</v>
      </c>
      <c r="D192" s="117">
        <f>+[2]Madeleine!$H192</f>
        <v>0</v>
      </c>
      <c r="E192" s="160">
        <f>IF(ISNA(VLOOKUP("MAD771400000",Balanceanp!C:G,5,FALSE))=TRUE,0,-VLOOKUP("MAD771400000",Balanceanp!C:G,5,FALSE))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>
      <c r="A193" s="5" t="s">
        <v>184</v>
      </c>
      <c r="B193" s="92"/>
      <c r="C193" s="160">
        <f>IF(ISNA(VLOOKUP("MAD771800000",Balance!C:G,5,FALSE))=TRUE,0,-VLOOKUP("MAD771800000",Balance!C:G,5,FALSE))</f>
        <v>0</v>
      </c>
      <c r="D193" s="117">
        <f>+[2]Madeleine!$H193</f>
        <v>0</v>
      </c>
      <c r="E193" s="160">
        <f>IF(ISNA(VLOOKUP("MAD771800000",Balanceanp!C:G,5,FALSE))=TRUE,0,-VLOOKUP("MAD771800000",Balanceanp!C:G,5,FALSE))</f>
        <v>10607.99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>
      <c r="A194" s="5" t="s">
        <v>185</v>
      </c>
      <c r="B194" s="92"/>
      <c r="C194" s="160">
        <f>IF(ISNA(VLOOKUP("MAD758000000",Balance!C:G,5,FALSE))=TRUE,0,-VLOOKUP("MAD758000000",Balance!C:G,5,FALSE))</f>
        <v>0</v>
      </c>
      <c r="D194" s="117">
        <f>+[2]Madeleine!$H194</f>
        <v>0</v>
      </c>
      <c r="E194" s="160">
        <f>IF(ISNA(VLOOKUP("MAD772000000",Balanceanp!C:G,5,FALSE))=TRUE,0,-VLOOKUP("MAD772000000",Balanceanp!C:G,5,FALSE))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2"/>
        <v>0</v>
      </c>
      <c r="L194" s="17">
        <v>0</v>
      </c>
    </row>
    <row r="195" spans="1:12">
      <c r="A195" s="5" t="s">
        <v>186</v>
      </c>
      <c r="B195" s="92"/>
      <c r="C195" s="160">
        <f>IF(ISNA(VLOOKUP("MAD775100000",Balance!C:G,5,FALSE))=TRUE,0,-VLOOKUP("MAD775100000",Balance!C:G,5,FALSE))</f>
        <v>0</v>
      </c>
      <c r="D195" s="117">
        <f>+[2]Madeleine!$H195</f>
        <v>0</v>
      </c>
      <c r="E195" s="160">
        <f>IF(ISNA(VLOOKUP("MAD775100000",Balanceanp!C:G,5,FALSE))=TRUE,0,-VLOOKUP("MAD775100000",Balanceanp!C:G,5,FALSE))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>
      <c r="A196" s="5" t="s">
        <v>187</v>
      </c>
      <c r="B196" s="92"/>
      <c r="C196" s="160">
        <f>IF(ISNA(VLOOKUP("MAD775200000",Balance!C:G,5,FALSE))=TRUE,0,-VLOOKUP("MAD775200000",Balance!C:G,5,FALSE))</f>
        <v>0</v>
      </c>
      <c r="D196" s="117">
        <f>+[2]Madeleine!$H196</f>
        <v>0</v>
      </c>
      <c r="E196" s="160">
        <f>IF(ISNA(VLOOKUP("MAD775200000",Balanceanp!C:G,5,FALSE))=TRUE,0,-VLOOKUP("MAD775200000",Balanceanp!C:G,5,FALSE))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>
      <c r="A197" s="5" t="s">
        <v>328</v>
      </c>
      <c r="B197" s="92"/>
      <c r="C197" s="160">
        <f>IF(ISNA(VLOOKUP("MAD791000000",Balance!C:G,5,FALSE))=TRUE,0,-VLOOKUP("MAD791000000",Balance!C:G,5,FALSE))</f>
        <v>0</v>
      </c>
      <c r="D197" s="117">
        <f>+[2]Madeleine!$H197</f>
        <v>0</v>
      </c>
      <c r="E197" s="160">
        <f>IF(ISNA(VLOOKUP("MAD791000000",Balanceanp!C:G,5,FALSE))=TRUE,0,-VLOOKUP("MAD791000000",Balanceanp!C:G,5,FALSE))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>
      <c r="A198" s="5" t="s">
        <v>344</v>
      </c>
      <c r="B198" s="92"/>
      <c r="C198" s="160">
        <f>IF(ISNA(VLOOKUP("MAD781500000",Balance!C:G,5,FALSE))=TRUE,0,-VLOOKUP("MAD781500000",Balance!C:G,5,FALSE))</f>
        <v>0</v>
      </c>
      <c r="D198" s="117">
        <f>+[2]Madeleine!$H198</f>
        <v>0</v>
      </c>
      <c r="E198" s="160">
        <f>IF(ISNA(VLOOKUP("MAD781500000",Balanceanp!C:G,5,FALSE))=TRUE,0,-VLOOKUP("MAD781500000",Balanceanp!C:G,5,FALSE))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>
      <c r="A199" s="5" t="s">
        <v>77</v>
      </c>
      <c r="B199" s="92"/>
      <c r="C199" s="160">
        <f>IF(ISNA(VLOOKUP("MAD787250000",Balance!C:G,5,FALSE))=TRUE,0,-VLOOKUP("MAD787250000",Balance!C:G,5,FALSE))</f>
        <v>0</v>
      </c>
      <c r="D199" s="117">
        <f>+[2]Madeleine!$H199</f>
        <v>0</v>
      </c>
      <c r="E199" s="160">
        <f>IF(ISNA(VLOOKUP("MAD787250000",Balanceanp!C:G,5,FALSE))=TRUE,0,-VLOOKUP("MAD787250000",Balanceanp!C:G,5,FALSE))</f>
        <v>3798.1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0</v>
      </c>
      <c r="D201" s="312">
        <f>SUM(D186:D200)</f>
        <v>0</v>
      </c>
      <c r="E201" s="305">
        <f>SUM(E186:E200)</f>
        <v>16106.09</v>
      </c>
      <c r="F201" s="312">
        <f>SUM(F186:F200)</f>
        <v>0</v>
      </c>
      <c r="G201" s="312">
        <f>SUM(G186:G200)</f>
        <v>0</v>
      </c>
      <c r="H201" s="421"/>
      <c r="I201" s="598">
        <f>+IF((E201)=0,,(F201-E201)/E201)</f>
        <v>-1</v>
      </c>
      <c r="J201" s="599">
        <f>+IF((F201)=0,,(G201-F201)/F201)</f>
        <v>0</v>
      </c>
      <c r="K201" s="136">
        <f>(C201+(C201/3))</f>
        <v>0</v>
      </c>
      <c r="L201" s="17">
        <f t="shared" si="23"/>
        <v>1</v>
      </c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0.33071855932847233</v>
      </c>
      <c r="C203" s="313">
        <f>+C103+C116+C129+C154+C168+C185-C201</f>
        <v>237589.86</v>
      </c>
      <c r="D203" s="641">
        <f>+D103+D116+D129+D154+D168+D185-D201</f>
        <v>313462.24036849651</v>
      </c>
      <c r="E203" s="313">
        <f>+E103+E116+E129+E154+E168+E185-E201</f>
        <v>293382.68271999998</v>
      </c>
      <c r="F203" s="641">
        <f>+F103+F116+F129+F154+F168+F185-F201</f>
        <v>302068.53333333338</v>
      </c>
      <c r="G203" s="641">
        <f>+G103+G116+G129+G154+G168+G185-G201</f>
        <v>302534.68859511765</v>
      </c>
      <c r="H203" s="422">
        <f>+G203/$G$21</f>
        <v>0.29686923609350913</v>
      </c>
      <c r="I203" s="643">
        <f>+IF((E203)=0,,(F203-E203)/E203)</f>
        <v>2.9605873573741386E-2</v>
      </c>
      <c r="J203" s="644">
        <f>+IF((F203)=0,,(G203-F203)/F203)</f>
        <v>1.5432102663598679E-3</v>
      </c>
      <c r="K203" s="145">
        <f>+K103+K116+K129+K154+K168+K185-K201</f>
        <v>316786.48</v>
      </c>
      <c r="L203" s="17">
        <f t="shared" si="23"/>
        <v>1</v>
      </c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2.4468296286030762E-2</v>
      </c>
      <c r="C205" s="314">
        <f>+C62-C203</f>
        <v>17578.145904000005</v>
      </c>
      <c r="D205" s="645">
        <f>+D62-D203</f>
        <v>20715.75963150349</v>
      </c>
      <c r="E205" s="314">
        <f>+E53-E203</f>
        <v>31846.606180000061</v>
      </c>
      <c r="F205" s="645">
        <f>+F62-F203</f>
        <v>23765.528674078523</v>
      </c>
      <c r="G205" s="645">
        <f>+G62-G203</f>
        <v>50266.950929974555</v>
      </c>
      <c r="H205" s="406">
        <f>+G205/$G$21</f>
        <v>4.9325620782952689E-2</v>
      </c>
      <c r="I205" s="647">
        <f>+IF((E205)=0,,(F205-E205)/E205)</f>
        <v>-0.25375003729585865</v>
      </c>
      <c r="J205" s="648">
        <f>+IF((F205)=0,,(G205-F205)/F205)</f>
        <v>1.1151202491363719</v>
      </c>
      <c r="L205" s="17">
        <f t="shared" si="23"/>
        <v>1</v>
      </c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2.7117137436035118E-3</v>
      </c>
      <c r="C207" s="650">
        <f>+[2]Madeleine!$C207</f>
        <v>1948.1086577392059</v>
      </c>
      <c r="D207" s="315">
        <f>+[2]Madeleine!$H207</f>
        <v>5667.1723715261151</v>
      </c>
      <c r="E207" s="315">
        <f>+[1]Madeleine!$G$207</f>
        <v>2224.7126235652377</v>
      </c>
      <c r="F207" s="315">
        <f>+Repart!K38</f>
        <v>2502.2176976561523</v>
      </c>
      <c r="G207" s="315">
        <f>+Repart!Q38</f>
        <v>3857.4394939339618</v>
      </c>
      <c r="H207" s="423">
        <f>+G207/$G$21</f>
        <v>3.785202685876691E-3</v>
      </c>
      <c r="I207" s="643">
        <f>+IF((E207)=0,,(F207-E207)/E207)</f>
        <v>0.12473749245248396</v>
      </c>
      <c r="J207" s="644">
        <f>+IF((F207)=0,,(G207-F207)/F207)</f>
        <v>0.54160826915550031</v>
      </c>
      <c r="L207" s="17">
        <f t="shared" si="23"/>
        <v>1</v>
      </c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2.1756582542427252E-2</v>
      </c>
      <c r="C209" s="314">
        <f>+C205-C207</f>
        <v>15630.037246260799</v>
      </c>
      <c r="D209" s="645">
        <f>+D205-D207</f>
        <v>15048.587259977376</v>
      </c>
      <c r="E209" s="314">
        <f>+E205-E207</f>
        <v>29621.893556434821</v>
      </c>
      <c r="F209" s="645">
        <f>+F205-F207</f>
        <v>21263.31097642237</v>
      </c>
      <c r="G209" s="645">
        <f>+G205-G207</f>
        <v>46409.511436040593</v>
      </c>
      <c r="H209" s="406">
        <f>+G209/$G$21</f>
        <v>4.5540418097075992E-2</v>
      </c>
      <c r="I209" s="647">
        <f>+IF((E209)=0,,(F209-E209)/E209)</f>
        <v>-0.28217583606152347</v>
      </c>
      <c r="J209" s="648">
        <f>+IF((F209)=0,,(G209-F209)/F209)</f>
        <v>1.1826098243825414</v>
      </c>
      <c r="L209" s="17">
        <f t="shared" si="23"/>
        <v>1</v>
      </c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9.0966273916347849E-3</v>
      </c>
      <c r="C211" s="311">
        <f>+[2]Madeleine!$C211</f>
        <v>6535.0624193548392</v>
      </c>
      <c r="D211" s="592">
        <f>+[2]Madeleine!$H211</f>
        <v>9026.0372215405096</v>
      </c>
      <c r="E211" s="311">
        <f>+[1]Madeleine!$G211</f>
        <v>8095.0860719999991</v>
      </c>
      <c r="F211" s="625">
        <f>+Repart!I38</f>
        <v>8997.9607634408567</v>
      </c>
      <c r="G211" s="625">
        <f>+Repart!O38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3.8918285900040761E-2</v>
      </c>
      <c r="C212" s="311">
        <f>+[2]Madeleine!$C212</f>
        <v>27959.090403653063</v>
      </c>
      <c r="D212" s="592">
        <f>+[2]Madeleine!$H212</f>
        <v>35896.216678091718</v>
      </c>
      <c r="E212" s="311">
        <f>+[1]Madeleine!$G212</f>
        <v>34143.754887470532</v>
      </c>
      <c r="F212" s="625">
        <f>+Repart!J38</f>
        <v>37253.718392567942</v>
      </c>
      <c r="G212" s="625">
        <f>+Repart!P38</f>
        <v>41560.987936716156</v>
      </c>
      <c r="H212" s="625"/>
      <c r="I212" s="591">
        <f t="shared" si="24"/>
        <v>9.1084402267620823E-2</v>
      </c>
      <c r="J212" s="595">
        <f t="shared" si="24"/>
        <v>0.11561985568150715</v>
      </c>
      <c r="L212" s="17">
        <f t="shared" si="23"/>
        <v>1</v>
      </c>
    </row>
    <row r="213" spans="1:12">
      <c r="A213" s="590" t="s">
        <v>193</v>
      </c>
      <c r="B213" s="591"/>
      <c r="C213" s="311">
        <f>+[2]Madeleine!$C213</f>
        <v>-8546.7199999999993</v>
      </c>
      <c r="D213" s="592">
        <f>+[2]Madeleine!$H213</f>
        <v>-9105.880000000001</v>
      </c>
      <c r="E213" s="311">
        <f>+[1]Madeleine!$G213</f>
        <v>-12592.76</v>
      </c>
      <c r="F213" s="625">
        <f>+C213+C213/9*(12-Clients!$I$14)</f>
        <v>-11395.626666666665</v>
      </c>
      <c r="G213" s="625">
        <f>+G253*-4%</f>
        <v>-12106.717919999999</v>
      </c>
      <c r="H213" s="625"/>
      <c r="I213" s="591">
        <f t="shared" si="24"/>
        <v>-9.5065206780192354E-2</v>
      </c>
      <c r="J213" s="595">
        <f t="shared" si="24"/>
        <v>6.2400364116292628E-2</v>
      </c>
      <c r="L213" s="17">
        <f t="shared" si="23"/>
        <v>1</v>
      </c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3.6118113801226572E-2</v>
      </c>
      <c r="C215" s="316">
        <f>SUM(C210:C213)</f>
        <v>25947.432823007897</v>
      </c>
      <c r="D215" s="652">
        <f>SUM(D210:D213)</f>
        <v>35816.373899632221</v>
      </c>
      <c r="E215" s="316">
        <f>SUM(E210:E213)</f>
        <v>29646.080959470528</v>
      </c>
      <c r="F215" s="652">
        <f>SUM(F210:F213)</f>
        <v>34856.052489342139</v>
      </c>
      <c r="G215" s="652">
        <f>SUM(G210:G213)</f>
        <v>39098.954696026631</v>
      </c>
      <c r="H215" s="424">
        <f>+G215/$G$21</f>
        <v>3.8366763383613743E-2</v>
      </c>
      <c r="I215" s="643">
        <f>+IF((E215)=0,,(F215-E215)/E215)</f>
        <v>0.17573896317001286</v>
      </c>
      <c r="J215" s="644">
        <f>+IF((F215)=0,,(G215-F215)/F215)</f>
        <v>0.12172641201931386</v>
      </c>
      <c r="L215" s="17">
        <f t="shared" si="23"/>
        <v>1</v>
      </c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-1.4361531258799317E-2</v>
      </c>
      <c r="C217" s="314">
        <f>+C209-C215</f>
        <v>-10317.395576747098</v>
      </c>
      <c r="D217" s="645">
        <f>+D209-D215</f>
        <v>-20767.786639654845</v>
      </c>
      <c r="E217" s="314">
        <f>+E209-E215</f>
        <v>-24.187403035706666</v>
      </c>
      <c r="F217" s="645">
        <f>+F209-F215</f>
        <v>-13592.741512919769</v>
      </c>
      <c r="G217" s="645">
        <f>+G209-G215</f>
        <v>7310.5567400139626</v>
      </c>
      <c r="H217" s="406">
        <f>+G217/$G$21</f>
        <v>7.1736547134622491E-3</v>
      </c>
      <c r="I217" s="647">
        <f>+IF((E217)=0,,(F217-E217)/E217)</f>
        <v>560.9760622028532</v>
      </c>
      <c r="J217" s="648">
        <f>+IF((F217)=0,,(G217-F217)/F217)</f>
        <v>-1.5378279821671992</v>
      </c>
      <c r="L217" s="17">
        <f t="shared" si="23"/>
        <v>1</v>
      </c>
    </row>
    <row r="218" spans="1:12">
      <c r="A218" s="2" t="s">
        <v>43</v>
      </c>
      <c r="C218" s="17">
        <f>+C225-C226-C215-C207-C53+C62-C38+C213</f>
        <v>-10317.395576747307</v>
      </c>
      <c r="D218" s="117">
        <f>+[2]Madeleine!$H$217</f>
        <v>-20767.786639654845</v>
      </c>
      <c r="E218" s="17">
        <f>+[1]Madeleine!$G$217</f>
        <v>-24.187403035706666</v>
      </c>
      <c r="F218" s="87"/>
      <c r="G218" s="398"/>
      <c r="H218" s="414"/>
      <c r="L218" s="17">
        <v>0</v>
      </c>
    </row>
    <row r="219" spans="1:12">
      <c r="A219" s="2" t="s">
        <v>346</v>
      </c>
      <c r="B219" s="58">
        <f>+Clients!K13</f>
        <v>270</v>
      </c>
      <c r="C219" s="17">
        <f>+B219/C44*C57</f>
        <v>89.709074537484</v>
      </c>
      <c r="L219" s="17">
        <v>0</v>
      </c>
    </row>
    <row r="220" spans="1:12">
      <c r="A220" s="2" t="s">
        <v>354</v>
      </c>
      <c r="B220" s="58">
        <f>+Clients!K13</f>
        <v>270</v>
      </c>
      <c r="C220" s="17">
        <f>+B220/(C21*1.196)*Clients!K37</f>
        <v>96.138565763722468</v>
      </c>
      <c r="L220" s="17">
        <v>0</v>
      </c>
    </row>
    <row r="221" spans="1:12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983552.47376399778</v>
      </c>
      <c r="D222" s="655">
        <f>+(D215+D207+D203)/D60</f>
        <v>986130.22575222794</v>
      </c>
      <c r="E222" s="655">
        <f>+(E215+E207+E203)/E60/Clients!$I$13*12</f>
        <v>1247397.7224565363</v>
      </c>
      <c r="F222" s="655">
        <f>+(F215+F207+F203)/F60</f>
        <v>943114.20816985739</v>
      </c>
      <c r="G222" s="655">
        <f>+(G215+G207+G203)/G60</f>
        <v>980221.6088431878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81962.706146999815</v>
      </c>
      <c r="D223" s="655">
        <f>+(D215+D207+D203)/D60/12</f>
        <v>82177.518812685666</v>
      </c>
      <c r="E223" s="655">
        <f>+(E215+E207+E203)/E60/Clients!$I$13</f>
        <v>103949.81020471135</v>
      </c>
      <c r="F223" s="655">
        <f>+(F215+F207+F203)/F60/9</f>
        <v>104790.46757442859</v>
      </c>
      <c r="G223" s="655">
        <f>+(G215+G207+G203)/G60/12</f>
        <v>81685.134070265645</v>
      </c>
      <c r="H223" s="655"/>
      <c r="I223" s="655"/>
      <c r="J223" s="655"/>
      <c r="L223" s="17">
        <f t="shared" si="23"/>
        <v>1</v>
      </c>
    </row>
    <row r="224" spans="1:12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>
      <c r="A225" s="2" t="s">
        <v>215</v>
      </c>
      <c r="C225" s="17">
        <f>+C51-C40-C157-C166+C201-C164-C159-C137</f>
        <v>837345.84</v>
      </c>
      <c r="D225" s="17"/>
      <c r="L225" s="17">
        <v>0</v>
      </c>
    </row>
    <row r="226" spans="1:12">
      <c r="A226" s="2" t="s">
        <v>216</v>
      </c>
      <c r="C226" s="17">
        <f>+C44-C38-C40+C103+C116+C129+C154+C156+C158+C160+C161+C162+C163+C165+C185+C213-C137</f>
        <v>810965.94000000018</v>
      </c>
      <c r="D226" s="17"/>
      <c r="L226" s="17">
        <v>0</v>
      </c>
    </row>
    <row r="227" spans="1:12" ht="10.5" customHeight="1">
      <c r="L227" s="17">
        <f t="shared" si="23"/>
        <v>0</v>
      </c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customHeight="1">
      <c r="A229" s="7" t="str">
        <f>+A4</f>
        <v>VILLENEUVE D'ASCQ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708996.96</v>
      </c>
      <c r="D233" s="313">
        <f t="shared" si="25"/>
        <v>928432</v>
      </c>
      <c r="E233" s="313">
        <f t="shared" si="25"/>
        <v>935478.72</v>
      </c>
      <c r="F233" s="313">
        <f t="shared" si="25"/>
        <v>905346.10171550966</v>
      </c>
      <c r="G233" s="313">
        <f t="shared" si="25"/>
        <v>1000963</v>
      </c>
      <c r="H233" s="313"/>
      <c r="I233" s="643">
        <f>+I51</f>
        <v>-3.221090725023687E-2</v>
      </c>
      <c r="J233" s="643">
        <f t="shared" si="25"/>
        <v>0.10561364112940798</v>
      </c>
      <c r="K233" s="58"/>
      <c r="L233" s="17">
        <f t="shared" si="23"/>
        <v>1</v>
      </c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0.3599</v>
      </c>
      <c r="D235" s="15">
        <f>+D60</f>
        <v>0.35993804608199631</v>
      </c>
      <c r="E235" s="15">
        <f>+E60</f>
        <v>0.3476608093233805</v>
      </c>
      <c r="F235" s="15">
        <f>+F60</f>
        <v>0.3599</v>
      </c>
      <c r="G235" s="15">
        <f>+G60</f>
        <v>0.35246221840876457</v>
      </c>
      <c r="H235" s="15"/>
      <c r="I235" s="15"/>
      <c r="J235" s="15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255168.00590399999</v>
      </c>
      <c r="D236" s="309">
        <f>+D62</f>
        <v>334178</v>
      </c>
      <c r="E236" s="309">
        <f>+E62</f>
        <v>325229.28890000004</v>
      </c>
      <c r="F236" s="309">
        <f>+F62</f>
        <v>325834.06200741191</v>
      </c>
      <c r="G236" s="309">
        <f>+G62</f>
        <v>352801.63952509221</v>
      </c>
      <c r="H236" s="309"/>
      <c r="I236" s="647">
        <f>+IF((E236)=0,,(F236-E236)/E236)</f>
        <v>1.8595284251837986E-3</v>
      </c>
      <c r="J236" s="648">
        <f>+IF((F236)=0,,(G236-F236)/F236)</f>
        <v>8.276475869814634E-2</v>
      </c>
      <c r="L236" s="17">
        <f t="shared" si="23"/>
        <v>1</v>
      </c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66389.75</v>
      </c>
      <c r="D238" s="664">
        <f>+D103</f>
        <v>92176.535075969077</v>
      </c>
      <c r="E238" s="664">
        <f>+E103</f>
        <v>90002.579999999987</v>
      </c>
      <c r="F238" s="664">
        <f>+F103</f>
        <v>88520.666666666642</v>
      </c>
      <c r="G238" s="664">
        <f>+G103</f>
        <v>88577.403240636166</v>
      </c>
      <c r="H238" s="664"/>
      <c r="I238" s="666">
        <f t="shared" ref="I238:J243" si="26">+IF((E238)=0,,(F238-E238)/E238)</f>
        <v>-1.6465231700395089E-2</v>
      </c>
      <c r="J238" s="666">
        <f t="shared" si="26"/>
        <v>6.4094155755932685E-4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40603.199999999997</v>
      </c>
      <c r="D239" s="664">
        <f>+D116</f>
        <v>31555.347900000001</v>
      </c>
      <c r="E239" s="664">
        <f>+E116</f>
        <v>41254.710000000006</v>
      </c>
      <c r="F239" s="664">
        <f>+F116</f>
        <v>45335.533333333333</v>
      </c>
      <c r="G239" s="664">
        <f>+G116</f>
        <v>26625.632799999999</v>
      </c>
      <c r="H239" s="664"/>
      <c r="I239" s="666">
        <f t="shared" si="26"/>
        <v>9.8917755895831669E-2</v>
      </c>
      <c r="J239" s="666">
        <f t="shared" si="26"/>
        <v>-0.41269836610870353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13559.5</v>
      </c>
      <c r="D240" s="664">
        <f>+D129</f>
        <v>18123.396482582641</v>
      </c>
      <c r="E240" s="664">
        <f>+E129</f>
        <v>12196.77</v>
      </c>
      <c r="F240" s="664">
        <f>+F129</f>
        <v>12571.853333333333</v>
      </c>
      <c r="G240" s="664">
        <f>+G129</f>
        <v>12933.9334</v>
      </c>
      <c r="H240" s="664"/>
      <c r="I240" s="666">
        <f t="shared" si="26"/>
        <v>3.0752677416507165E-2</v>
      </c>
      <c r="J240" s="666">
        <f t="shared" si="26"/>
        <v>2.8800850365207412E-2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101135.06999999998</v>
      </c>
      <c r="D241" s="664">
        <f>+D154</f>
        <v>146460.55162077557</v>
      </c>
      <c r="E241" s="664">
        <f>+E154</f>
        <v>145898.32272000003</v>
      </c>
      <c r="F241" s="664">
        <f>+F154</f>
        <v>134846.76</v>
      </c>
      <c r="G241" s="664">
        <f>+G154</f>
        <v>149731.0873298682</v>
      </c>
      <c r="H241" s="664"/>
      <c r="I241" s="666">
        <f t="shared" si="26"/>
        <v>-7.5748387739930104E-2</v>
      </c>
      <c r="J241" s="666">
        <f t="shared" si="26"/>
        <v>0.11037956959342729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9181.3000000000047</v>
      </c>
      <c r="D242" s="664">
        <f>+D168</f>
        <v>14820.562264169244</v>
      </c>
      <c r="E242" s="664">
        <f>+E168</f>
        <v>5719.3099999999995</v>
      </c>
      <c r="F242" s="664">
        <f>+F168</f>
        <v>12241.73333333333</v>
      </c>
      <c r="G242" s="664">
        <f>+G168</f>
        <v>16231.32475794667</v>
      </c>
      <c r="H242" s="664"/>
      <c r="I242" s="666">
        <f t="shared" si="26"/>
        <v>1.1404213678456547</v>
      </c>
      <c r="J242" s="666">
        <f t="shared" si="26"/>
        <v>0.32590086027686771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6721.04</v>
      </c>
      <c r="D243" s="664">
        <f>+D185-D201</f>
        <v>10325.847024999999</v>
      </c>
      <c r="E243" s="664">
        <f>+E185-E201</f>
        <v>-1689.0100000000002</v>
      </c>
      <c r="F243" s="664">
        <f>+F185-F201</f>
        <v>8551.9866666666658</v>
      </c>
      <c r="G243" s="664">
        <f>+G185-G201</f>
        <v>8435.3070666666663</v>
      </c>
      <c r="H243" s="664"/>
      <c r="I243" s="666">
        <f t="shared" si="26"/>
        <v>-6.0633132229333544</v>
      </c>
      <c r="J243" s="666">
        <f t="shared" si="26"/>
        <v>-1.364356664104553E-2</v>
      </c>
      <c r="L243" s="17">
        <f t="shared" si="23"/>
        <v>1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237589.86</v>
      </c>
      <c r="D245" s="389">
        <f>+D203</f>
        <v>313462.24036849651</v>
      </c>
      <c r="E245" s="389">
        <f>+E203</f>
        <v>293382.68271999998</v>
      </c>
      <c r="F245" s="389">
        <f>+F203</f>
        <v>302068.53333333338</v>
      </c>
      <c r="G245" s="389">
        <f>+G203</f>
        <v>302534.68859511765</v>
      </c>
      <c r="H245" s="389"/>
      <c r="I245" s="643">
        <f>+I63</f>
        <v>0</v>
      </c>
      <c r="J245" s="643">
        <f>+J63</f>
        <v>0</v>
      </c>
      <c r="K245" s="58"/>
      <c r="L245" s="17">
        <f t="shared" si="23"/>
        <v>1</v>
      </c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17578.145904000005</v>
      </c>
      <c r="D247" s="314">
        <f>+D205</f>
        <v>20715.75963150349</v>
      </c>
      <c r="E247" s="314">
        <f>+E205</f>
        <v>31846.606180000061</v>
      </c>
      <c r="F247" s="314">
        <f>+F205</f>
        <v>23765.528674078523</v>
      </c>
      <c r="G247" s="314">
        <f>+G205</f>
        <v>50266.950929974555</v>
      </c>
      <c r="H247" s="314"/>
      <c r="I247" s="647">
        <f>+IF((E247)=0,,(F247-E247)/E247)</f>
        <v>-0.25375003729585865</v>
      </c>
      <c r="J247" s="648">
        <f>+IF((F247)=0,,(G247-F247)/F247)</f>
        <v>1.1151202491363719</v>
      </c>
      <c r="L247" s="17">
        <f t="shared" si="23"/>
        <v>1</v>
      </c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27895.541480747102</v>
      </c>
      <c r="D249" s="316">
        <f>+D207+D215</f>
        <v>41483.546271158339</v>
      </c>
      <c r="E249" s="316">
        <f>+E207+E215</f>
        <v>31870.793583035767</v>
      </c>
      <c r="F249" s="316">
        <f>+F207+F215</f>
        <v>37358.270186998292</v>
      </c>
      <c r="G249" s="316">
        <f>+G207+G215</f>
        <v>42956.394189960592</v>
      </c>
      <c r="H249" s="316"/>
      <c r="I249" s="643">
        <f>+I67</f>
        <v>-0.6520223726817781</v>
      </c>
      <c r="J249" s="643">
        <f>+J67</f>
        <v>3.00000000000001E-2</v>
      </c>
      <c r="L249" s="17">
        <f t="shared" si="23"/>
        <v>1</v>
      </c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-10317.395576747098</v>
      </c>
      <c r="D251" s="314">
        <f>+D217</f>
        <v>-20767.786639654845</v>
      </c>
      <c r="E251" s="314">
        <f>+E217</f>
        <v>-24.187403035706666</v>
      </c>
      <c r="F251" s="314">
        <f>+F217</f>
        <v>-13592.741512919769</v>
      </c>
      <c r="G251" s="314">
        <f>+G217</f>
        <v>7310.5567400139626</v>
      </c>
      <c r="H251" s="314"/>
      <c r="I251" s="647">
        <f>+IF((E251)=0,,(F251-E251)/E251)</f>
        <v>560.9760622028532</v>
      </c>
      <c r="J251" s="648">
        <f>+IF((F251)=0,,(G251-F251)/F251)</f>
        <v>-1.5378279821671992</v>
      </c>
      <c r="L251" s="17">
        <f t="shared" si="23"/>
        <v>1</v>
      </c>
    </row>
    <row r="252" spans="1:12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205895.87</v>
      </c>
      <c r="D253" s="664">
        <v>244542</v>
      </c>
      <c r="E253" s="664">
        <f>+E28</f>
        <v>325045.37</v>
      </c>
      <c r="F253" s="664"/>
      <c r="G253" s="669">
        <f>+G28</f>
        <v>302667.94799999997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983552.47376399778</v>
      </c>
      <c r="D254" s="664">
        <f>+D222</f>
        <v>986130.22575222794</v>
      </c>
      <c r="E254" s="664">
        <f>+E222</f>
        <v>1247397.7224565363</v>
      </c>
      <c r="F254" s="664">
        <f>+F222</f>
        <v>943114.20816985739</v>
      </c>
      <c r="G254" s="664">
        <f>+G222</f>
        <v>980221.6088431878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0</v>
      </c>
      <c r="E255" s="664"/>
      <c r="F255" s="664"/>
      <c r="G255" s="669">
        <v>0</v>
      </c>
      <c r="H255" s="669"/>
      <c r="I255" s="666"/>
      <c r="J255" s="666"/>
      <c r="L255" s="17">
        <v>1</v>
      </c>
    </row>
    <row r="256" spans="1:12">
      <c r="F256" s="2"/>
      <c r="G256" s="2"/>
      <c r="H256" s="2"/>
      <c r="I256" s="24"/>
      <c r="L256" s="17">
        <f t="shared" si="23"/>
        <v>0</v>
      </c>
    </row>
  </sheetData>
  <autoFilter ref="L1:L256"/>
  <phoneticPr fontId="0" type="noConversion"/>
  <hyperlinks>
    <hyperlink ref="C1" location="Sommaire!A1" display="Retour au sommaire"/>
  </hyperlinks>
  <pageMargins left="0.98425196850393704" right="0" top="0.23622047244094491" bottom="0.23622047244094491" header="0" footer="7.874015748031496E-2"/>
  <pageSetup paperSize="9" scale="65" fitToHeight="2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0"/>
    <pageSetUpPr fitToPage="1"/>
  </sheetPr>
  <dimension ref="A1:N2847"/>
  <sheetViews>
    <sheetView topLeftCell="A64" workbookViewId="0">
      <selection sqref="A1:IV65536"/>
    </sheetView>
  </sheetViews>
  <sheetFormatPr baseColWidth="10" defaultRowHeight="12.75"/>
  <cols>
    <col min="3" max="3" width="18.28515625" customWidth="1"/>
    <col min="5" max="6" width="12.7109375" style="330" bestFit="1" customWidth="1"/>
    <col min="7" max="7" width="13.7109375" style="330" bestFit="1" customWidth="1"/>
    <col min="8" max="8" width="13.28515625" bestFit="1" customWidth="1"/>
  </cols>
  <sheetData>
    <row r="1" spans="1:7">
      <c r="B1" s="55" t="s">
        <v>299</v>
      </c>
      <c r="D1" t="s">
        <v>253</v>
      </c>
    </row>
    <row r="2" spans="1:7">
      <c r="A2" t="s">
        <v>553</v>
      </c>
      <c r="B2" t="s">
        <v>554</v>
      </c>
      <c r="C2" t="s">
        <v>555</v>
      </c>
      <c r="E2" t="s">
        <v>557</v>
      </c>
      <c r="F2" t="s">
        <v>558</v>
      </c>
      <c r="G2" t="s">
        <v>559</v>
      </c>
    </row>
    <row r="3" spans="1:7">
      <c r="A3" t="str">
        <f>"BET"</f>
        <v>BET</v>
      </c>
      <c r="B3" t="str">
        <f t="shared" ref="B3:B17" si="0">"60222000"</f>
        <v>60222000</v>
      </c>
      <c r="C3" t="str">
        <f t="shared" ref="C3:C66" si="1">+A3&amp;B3*10</f>
        <v>BET602220000</v>
      </c>
      <c r="E3">
        <v>18.13</v>
      </c>
      <c r="F3">
        <v>0</v>
      </c>
      <c r="G3">
        <f t="shared" ref="G3:G66" si="2">+E3-F3</f>
        <v>18.13</v>
      </c>
    </row>
    <row r="4" spans="1:7">
      <c r="A4" t="str">
        <f>"BOS"</f>
        <v>BOS</v>
      </c>
      <c r="B4" t="str">
        <f t="shared" si="0"/>
        <v>60222000</v>
      </c>
      <c r="C4" t="str">
        <f t="shared" si="1"/>
        <v>BOS602220000</v>
      </c>
      <c r="E4">
        <v>0</v>
      </c>
      <c r="F4">
        <v>0</v>
      </c>
      <c r="G4">
        <f t="shared" si="2"/>
        <v>0</v>
      </c>
    </row>
    <row r="5" spans="1:7">
      <c r="A5" t="str">
        <f>"BOU"</f>
        <v>BOU</v>
      </c>
      <c r="B5" t="str">
        <f t="shared" si="0"/>
        <v>60222000</v>
      </c>
      <c r="C5" t="str">
        <f t="shared" si="1"/>
        <v>BOU602220000</v>
      </c>
      <c r="E5">
        <v>0</v>
      </c>
      <c r="F5">
        <v>0</v>
      </c>
      <c r="G5">
        <f t="shared" si="2"/>
        <v>0</v>
      </c>
    </row>
    <row r="6" spans="1:7">
      <c r="A6" t="str">
        <f>"CAL"</f>
        <v>CAL</v>
      </c>
      <c r="B6" t="str">
        <f t="shared" si="0"/>
        <v>60222000</v>
      </c>
      <c r="C6" t="str">
        <f t="shared" si="1"/>
        <v>CAL602220000</v>
      </c>
      <c r="E6">
        <v>0</v>
      </c>
      <c r="F6">
        <v>0</v>
      </c>
      <c r="G6">
        <f t="shared" si="2"/>
        <v>0</v>
      </c>
    </row>
    <row r="7" spans="1:7">
      <c r="A7" t="str">
        <f>"CAM"</f>
        <v>CAM</v>
      </c>
      <c r="B7" t="str">
        <f t="shared" si="0"/>
        <v>60222000</v>
      </c>
      <c r="C7" t="str">
        <f t="shared" si="1"/>
        <v>CAM602220000</v>
      </c>
      <c r="E7">
        <v>14.38</v>
      </c>
      <c r="F7">
        <v>0</v>
      </c>
      <c r="G7">
        <f t="shared" si="2"/>
        <v>14.38</v>
      </c>
    </row>
    <row r="8" spans="1:7">
      <c r="A8" t="str">
        <f>"CHA"</f>
        <v>CHA</v>
      </c>
      <c r="B8" t="str">
        <f t="shared" si="0"/>
        <v>60222000</v>
      </c>
      <c r="C8" t="str">
        <f t="shared" si="1"/>
        <v>CHA602220000</v>
      </c>
      <c r="E8">
        <v>12.19</v>
      </c>
      <c r="F8">
        <v>0</v>
      </c>
      <c r="G8">
        <f t="shared" si="2"/>
        <v>12.19</v>
      </c>
    </row>
    <row r="9" spans="1:7">
      <c r="A9" t="str">
        <f>"CLE"</f>
        <v>CLE</v>
      </c>
      <c r="B9" t="str">
        <f t="shared" si="0"/>
        <v>60222000</v>
      </c>
      <c r="C9" t="str">
        <f t="shared" si="1"/>
        <v>CLE602220000</v>
      </c>
      <c r="E9">
        <v>1018.47</v>
      </c>
      <c r="F9">
        <v>0</v>
      </c>
      <c r="G9">
        <f t="shared" si="2"/>
        <v>1018.47</v>
      </c>
    </row>
    <row r="10" spans="1:7">
      <c r="A10" t="str">
        <f>"COM"</f>
        <v>COM</v>
      </c>
      <c r="B10" t="str">
        <f t="shared" si="0"/>
        <v>60222000</v>
      </c>
      <c r="C10" t="str">
        <f t="shared" si="1"/>
        <v>COM602220000</v>
      </c>
      <c r="E10">
        <v>8.11</v>
      </c>
      <c r="F10">
        <v>0</v>
      </c>
      <c r="G10">
        <f t="shared" si="2"/>
        <v>8.11</v>
      </c>
    </row>
    <row r="11" spans="1:7">
      <c r="A11" t="str">
        <f>"EU"</f>
        <v>EU</v>
      </c>
      <c r="B11" t="str">
        <f t="shared" si="0"/>
        <v>60222000</v>
      </c>
      <c r="C11" t="str">
        <f t="shared" si="1"/>
        <v>EU602220000</v>
      </c>
      <c r="E11">
        <v>28.5</v>
      </c>
      <c r="F11">
        <v>0</v>
      </c>
      <c r="G11">
        <f t="shared" si="2"/>
        <v>28.5</v>
      </c>
    </row>
    <row r="12" spans="1:7">
      <c r="A12" t="str">
        <f>"MAD"</f>
        <v>MAD</v>
      </c>
      <c r="B12" t="str">
        <f t="shared" si="0"/>
        <v>60222000</v>
      </c>
      <c r="C12" t="str">
        <f t="shared" si="1"/>
        <v>MAD602220000</v>
      </c>
      <c r="E12">
        <v>0.98</v>
      </c>
      <c r="F12">
        <v>0</v>
      </c>
      <c r="G12">
        <f t="shared" si="2"/>
        <v>0.98</v>
      </c>
    </row>
    <row r="13" spans="1:7">
      <c r="A13" t="str">
        <f>"MON"</f>
        <v>MON</v>
      </c>
      <c r="B13" t="str">
        <f t="shared" si="0"/>
        <v>60222000</v>
      </c>
      <c r="C13" t="str">
        <f t="shared" si="1"/>
        <v>MON602220000</v>
      </c>
      <c r="E13">
        <v>6.28</v>
      </c>
      <c r="F13">
        <v>0</v>
      </c>
      <c r="G13">
        <f t="shared" si="2"/>
        <v>6.28</v>
      </c>
    </row>
    <row r="14" spans="1:7">
      <c r="A14" t="str">
        <f>"NAN"</f>
        <v>NAN</v>
      </c>
      <c r="B14" t="str">
        <f t="shared" si="0"/>
        <v>60222000</v>
      </c>
      <c r="C14" t="str">
        <f t="shared" si="1"/>
        <v>NAN602220000</v>
      </c>
      <c r="E14">
        <v>57.31</v>
      </c>
      <c r="F14">
        <v>0</v>
      </c>
      <c r="G14">
        <f t="shared" si="2"/>
        <v>57.31</v>
      </c>
    </row>
    <row r="15" spans="1:7">
      <c r="A15" t="str">
        <f>"SAU"</f>
        <v>SAU</v>
      </c>
      <c r="B15" t="str">
        <f t="shared" si="0"/>
        <v>60222000</v>
      </c>
      <c r="C15" t="str">
        <f t="shared" si="1"/>
        <v>SAU602220000</v>
      </c>
      <c r="E15">
        <v>59.04</v>
      </c>
      <c r="F15">
        <v>0</v>
      </c>
      <c r="G15">
        <f t="shared" si="2"/>
        <v>59.04</v>
      </c>
    </row>
    <row r="16" spans="1:7">
      <c r="A16" t="str">
        <f>"SOM"</f>
        <v>SOM</v>
      </c>
      <c r="B16" t="str">
        <f t="shared" si="0"/>
        <v>60222000</v>
      </c>
      <c r="C16" t="str">
        <f t="shared" si="1"/>
        <v>SOM602220000</v>
      </c>
      <c r="E16">
        <v>44.83</v>
      </c>
      <c r="F16">
        <v>0</v>
      </c>
      <c r="G16">
        <f t="shared" si="2"/>
        <v>44.83</v>
      </c>
    </row>
    <row r="17" spans="1:7">
      <c r="A17" t="str">
        <f>"THO"</f>
        <v>THO</v>
      </c>
      <c r="B17" t="str">
        <f t="shared" si="0"/>
        <v>60222000</v>
      </c>
      <c r="C17" t="str">
        <f t="shared" si="1"/>
        <v>THO602220000</v>
      </c>
      <c r="E17">
        <v>24.64</v>
      </c>
      <c r="F17">
        <v>0</v>
      </c>
      <c r="G17">
        <f t="shared" si="2"/>
        <v>24.64</v>
      </c>
    </row>
    <row r="18" spans="1:7">
      <c r="A18" t="str">
        <f>"BOS"</f>
        <v>BOS</v>
      </c>
      <c r="B18" t="str">
        <f t="shared" ref="B18:B24" si="3">"60265000"</f>
        <v>60265000</v>
      </c>
      <c r="C18" t="str">
        <f t="shared" si="1"/>
        <v>BOS602650000</v>
      </c>
      <c r="E18">
        <v>30.48</v>
      </c>
      <c r="F18">
        <v>0</v>
      </c>
      <c r="G18">
        <f t="shared" si="2"/>
        <v>30.48</v>
      </c>
    </row>
    <row r="19" spans="1:7">
      <c r="A19" t="str">
        <f>"CAM"</f>
        <v>CAM</v>
      </c>
      <c r="B19" t="str">
        <f t="shared" si="3"/>
        <v>60265000</v>
      </c>
      <c r="C19" t="str">
        <f t="shared" si="1"/>
        <v>CAM602650000</v>
      </c>
      <c r="E19">
        <v>116.86</v>
      </c>
      <c r="F19">
        <v>0</v>
      </c>
      <c r="G19">
        <f t="shared" si="2"/>
        <v>116.86</v>
      </c>
    </row>
    <row r="20" spans="1:7">
      <c r="A20" t="str">
        <f>"CAU"</f>
        <v>CAU</v>
      </c>
      <c r="B20" t="str">
        <f t="shared" si="3"/>
        <v>60265000</v>
      </c>
      <c r="C20" t="str">
        <f t="shared" si="1"/>
        <v>CAU602650000</v>
      </c>
      <c r="E20">
        <v>288.62</v>
      </c>
      <c r="F20">
        <v>0</v>
      </c>
      <c r="G20">
        <f t="shared" si="2"/>
        <v>288.62</v>
      </c>
    </row>
    <row r="21" spans="1:7">
      <c r="A21" t="str">
        <f>"CLE"</f>
        <v>CLE</v>
      </c>
      <c r="B21" t="str">
        <f t="shared" si="3"/>
        <v>60265000</v>
      </c>
      <c r="C21" t="str">
        <f t="shared" si="1"/>
        <v>CLE602650000</v>
      </c>
      <c r="E21">
        <v>27.44</v>
      </c>
      <c r="F21">
        <v>0</v>
      </c>
      <c r="G21">
        <f t="shared" si="2"/>
        <v>27.44</v>
      </c>
    </row>
    <row r="22" spans="1:7">
      <c r="A22" t="str">
        <f>"GRE"</f>
        <v>GRE</v>
      </c>
      <c r="B22" t="str">
        <f t="shared" si="3"/>
        <v>60265000</v>
      </c>
      <c r="C22" t="str">
        <f t="shared" si="1"/>
        <v>GRE602650000</v>
      </c>
      <c r="E22">
        <v>88.2</v>
      </c>
      <c r="F22">
        <v>0</v>
      </c>
      <c r="G22">
        <f t="shared" si="2"/>
        <v>88.2</v>
      </c>
    </row>
    <row r="23" spans="1:7">
      <c r="A23" t="str">
        <f>"MAD"</f>
        <v>MAD</v>
      </c>
      <c r="B23" t="str">
        <f t="shared" si="3"/>
        <v>60265000</v>
      </c>
      <c r="C23" t="str">
        <f t="shared" si="1"/>
        <v>MAD602650000</v>
      </c>
      <c r="E23">
        <v>179.92</v>
      </c>
      <c r="F23">
        <v>0</v>
      </c>
      <c r="G23">
        <f t="shared" si="2"/>
        <v>179.92</v>
      </c>
    </row>
    <row r="24" spans="1:7">
      <c r="A24" t="str">
        <f>"TOURC"</f>
        <v>TOURC</v>
      </c>
      <c r="B24" t="str">
        <f t="shared" si="3"/>
        <v>60265000</v>
      </c>
      <c r="C24" t="str">
        <f t="shared" si="1"/>
        <v>TOURC602650000</v>
      </c>
      <c r="E24">
        <v>0</v>
      </c>
      <c r="F24">
        <v>0</v>
      </c>
      <c r="G24">
        <f t="shared" si="2"/>
        <v>0</v>
      </c>
    </row>
    <row r="25" spans="1:7">
      <c r="A25" t="str">
        <f>"AMI"</f>
        <v>AMI</v>
      </c>
      <c r="B25" t="str">
        <f t="shared" ref="B25:B54" si="4">"60610000"</f>
        <v>60610000</v>
      </c>
      <c r="C25" t="str">
        <f t="shared" si="1"/>
        <v>AMI606100000</v>
      </c>
      <c r="E25">
        <v>6915.56</v>
      </c>
      <c r="F25">
        <v>0</v>
      </c>
      <c r="G25">
        <f t="shared" si="2"/>
        <v>6915.56</v>
      </c>
    </row>
    <row r="26" spans="1:7">
      <c r="A26" t="str">
        <f>"ANG"</f>
        <v>ANG</v>
      </c>
      <c r="B26" t="str">
        <f t="shared" si="4"/>
        <v>60610000</v>
      </c>
      <c r="C26" t="str">
        <f t="shared" si="1"/>
        <v>ANG606100000</v>
      </c>
      <c r="E26">
        <v>2452.59</v>
      </c>
      <c r="F26">
        <v>0</v>
      </c>
      <c r="G26">
        <f t="shared" si="2"/>
        <v>2452.59</v>
      </c>
    </row>
    <row r="27" spans="1:7">
      <c r="A27" t="str">
        <f>"BET"</f>
        <v>BET</v>
      </c>
      <c r="B27" t="str">
        <f t="shared" si="4"/>
        <v>60610000</v>
      </c>
      <c r="C27" t="str">
        <f t="shared" si="1"/>
        <v>BET606100000</v>
      </c>
      <c r="E27">
        <v>701.1</v>
      </c>
      <c r="F27">
        <v>0</v>
      </c>
      <c r="G27">
        <f t="shared" si="2"/>
        <v>701.1</v>
      </c>
    </row>
    <row r="28" spans="1:7">
      <c r="A28" t="str">
        <f>"BOS"</f>
        <v>BOS</v>
      </c>
      <c r="B28" t="str">
        <f t="shared" si="4"/>
        <v>60610000</v>
      </c>
      <c r="C28" t="str">
        <f t="shared" si="1"/>
        <v>BOS606100000</v>
      </c>
      <c r="E28">
        <v>2209.9</v>
      </c>
      <c r="F28">
        <v>0</v>
      </c>
      <c r="G28">
        <f t="shared" si="2"/>
        <v>2209.9</v>
      </c>
    </row>
    <row r="29" spans="1:7">
      <c r="A29" t="str">
        <f>"BOU"</f>
        <v>BOU</v>
      </c>
      <c r="B29" t="str">
        <f t="shared" si="4"/>
        <v>60610000</v>
      </c>
      <c r="C29" t="str">
        <f t="shared" si="1"/>
        <v>BOU606100000</v>
      </c>
      <c r="E29">
        <v>6072.71</v>
      </c>
      <c r="F29">
        <v>0</v>
      </c>
      <c r="G29">
        <f t="shared" si="2"/>
        <v>6072.71</v>
      </c>
    </row>
    <row r="30" spans="1:7">
      <c r="A30" t="str">
        <f>"CAL"</f>
        <v>CAL</v>
      </c>
      <c r="B30" t="str">
        <f t="shared" si="4"/>
        <v>60610000</v>
      </c>
      <c r="C30" t="str">
        <f t="shared" si="1"/>
        <v>CAL606100000</v>
      </c>
      <c r="E30">
        <v>1413.01</v>
      </c>
      <c r="F30">
        <v>0</v>
      </c>
      <c r="G30">
        <f t="shared" si="2"/>
        <v>1413.01</v>
      </c>
    </row>
    <row r="31" spans="1:7">
      <c r="A31" t="str">
        <f>"CAM"</f>
        <v>CAM</v>
      </c>
      <c r="B31" t="str">
        <f t="shared" si="4"/>
        <v>60610000</v>
      </c>
      <c r="C31" t="str">
        <f t="shared" si="1"/>
        <v>CAM606100000</v>
      </c>
      <c r="E31">
        <v>1967.98</v>
      </c>
      <c r="F31">
        <v>0</v>
      </c>
      <c r="G31">
        <f t="shared" si="2"/>
        <v>1967.98</v>
      </c>
    </row>
    <row r="32" spans="1:7">
      <c r="A32" t="str">
        <f>"CAU"</f>
        <v>CAU</v>
      </c>
      <c r="B32" t="str">
        <f t="shared" si="4"/>
        <v>60610000</v>
      </c>
      <c r="C32" t="str">
        <f t="shared" si="1"/>
        <v>CAU606100000</v>
      </c>
      <c r="E32">
        <v>2045.97</v>
      </c>
      <c r="F32">
        <v>0</v>
      </c>
      <c r="G32">
        <f t="shared" si="2"/>
        <v>2045.97</v>
      </c>
    </row>
    <row r="33" spans="1:7">
      <c r="A33" t="str">
        <f>"CHA"</f>
        <v>CHA</v>
      </c>
      <c r="B33" t="str">
        <f t="shared" si="4"/>
        <v>60610000</v>
      </c>
      <c r="C33" t="str">
        <f t="shared" si="1"/>
        <v>CHA606100000</v>
      </c>
      <c r="E33">
        <v>4054.36</v>
      </c>
      <c r="F33">
        <v>0</v>
      </c>
      <c r="G33">
        <f t="shared" si="2"/>
        <v>4054.36</v>
      </c>
    </row>
    <row r="34" spans="1:7">
      <c r="A34" t="str">
        <f>"CHAM"</f>
        <v>CHAM</v>
      </c>
      <c r="B34" t="str">
        <f t="shared" si="4"/>
        <v>60610000</v>
      </c>
      <c r="C34" t="str">
        <f t="shared" si="1"/>
        <v>CHAM606100000</v>
      </c>
      <c r="E34">
        <v>3197.2</v>
      </c>
      <c r="F34">
        <v>0</v>
      </c>
      <c r="G34">
        <f t="shared" si="2"/>
        <v>3197.2</v>
      </c>
    </row>
    <row r="35" spans="1:7">
      <c r="A35" t="str">
        <f>"CHART"</f>
        <v>CHART</v>
      </c>
      <c r="B35" t="str">
        <f t="shared" si="4"/>
        <v>60610000</v>
      </c>
      <c r="C35" t="str">
        <f t="shared" si="1"/>
        <v>CHART606100000</v>
      </c>
      <c r="E35">
        <v>1374.17</v>
      </c>
      <c r="F35">
        <v>0</v>
      </c>
      <c r="G35">
        <f t="shared" si="2"/>
        <v>1374.17</v>
      </c>
    </row>
    <row r="36" spans="1:7">
      <c r="A36" t="str">
        <f>"CLE"</f>
        <v>CLE</v>
      </c>
      <c r="B36" t="str">
        <f t="shared" si="4"/>
        <v>60610000</v>
      </c>
      <c r="C36" t="str">
        <f t="shared" si="1"/>
        <v>CLE606100000</v>
      </c>
      <c r="E36">
        <v>12011.33</v>
      </c>
      <c r="F36">
        <v>0</v>
      </c>
      <c r="G36">
        <f t="shared" si="2"/>
        <v>12011.33</v>
      </c>
    </row>
    <row r="37" spans="1:7">
      <c r="A37" t="str">
        <f>"COM"</f>
        <v>COM</v>
      </c>
      <c r="B37" t="str">
        <f t="shared" si="4"/>
        <v>60610000</v>
      </c>
      <c r="C37" t="str">
        <f t="shared" si="1"/>
        <v>COM606100000</v>
      </c>
      <c r="E37">
        <v>3752.58</v>
      </c>
      <c r="F37">
        <v>0</v>
      </c>
      <c r="G37">
        <f t="shared" si="2"/>
        <v>3752.58</v>
      </c>
    </row>
    <row r="38" spans="1:7">
      <c r="A38" t="str">
        <f>"CST"</f>
        <v>CST</v>
      </c>
      <c r="B38" t="str">
        <f t="shared" si="4"/>
        <v>60610000</v>
      </c>
      <c r="C38" t="str">
        <f t="shared" si="1"/>
        <v>CST606100000</v>
      </c>
      <c r="E38">
        <v>2167.08</v>
      </c>
      <c r="F38">
        <v>0</v>
      </c>
      <c r="G38">
        <f t="shared" si="2"/>
        <v>2167.08</v>
      </c>
    </row>
    <row r="39" spans="1:7">
      <c r="A39" t="str">
        <f>"DIJ"</f>
        <v>DIJ</v>
      </c>
      <c r="B39" t="str">
        <f t="shared" si="4"/>
        <v>60610000</v>
      </c>
      <c r="C39" t="str">
        <f t="shared" si="1"/>
        <v>DIJ606100000</v>
      </c>
      <c r="E39">
        <v>154.87</v>
      </c>
      <c r="F39">
        <v>0</v>
      </c>
      <c r="G39">
        <f t="shared" si="2"/>
        <v>154.87</v>
      </c>
    </row>
    <row r="40" spans="1:7">
      <c r="A40" t="str">
        <f>"EU"</f>
        <v>EU</v>
      </c>
      <c r="B40" t="str">
        <f t="shared" si="4"/>
        <v>60610000</v>
      </c>
      <c r="C40" t="str">
        <f t="shared" si="1"/>
        <v>EU606100000</v>
      </c>
      <c r="E40">
        <v>4935.6400000000003</v>
      </c>
      <c r="F40">
        <v>0</v>
      </c>
      <c r="G40">
        <f t="shared" si="2"/>
        <v>4935.6400000000003</v>
      </c>
    </row>
    <row r="41" spans="1:7">
      <c r="A41" t="str">
        <f>"GRE"</f>
        <v>GRE</v>
      </c>
      <c r="B41" t="str">
        <f t="shared" si="4"/>
        <v>60610000</v>
      </c>
      <c r="C41" t="str">
        <f t="shared" si="1"/>
        <v>GRE606100000</v>
      </c>
      <c r="E41">
        <v>4477.62</v>
      </c>
      <c r="F41">
        <v>0</v>
      </c>
      <c r="G41">
        <f t="shared" si="2"/>
        <v>4477.62</v>
      </c>
    </row>
    <row r="42" spans="1:7">
      <c r="A42" t="str">
        <f>"LEN"</f>
        <v>LEN</v>
      </c>
      <c r="B42" t="str">
        <f t="shared" si="4"/>
        <v>60610000</v>
      </c>
      <c r="C42" t="str">
        <f t="shared" si="1"/>
        <v>LEN606100000</v>
      </c>
      <c r="E42">
        <v>635.64</v>
      </c>
      <c r="F42">
        <v>0</v>
      </c>
      <c r="G42">
        <f t="shared" si="2"/>
        <v>635.64</v>
      </c>
    </row>
    <row r="43" spans="1:7">
      <c r="A43" t="str">
        <f>"MAD"</f>
        <v>MAD</v>
      </c>
      <c r="B43" t="str">
        <f t="shared" si="4"/>
        <v>60610000</v>
      </c>
      <c r="C43" t="str">
        <f t="shared" si="1"/>
        <v>MAD606100000</v>
      </c>
      <c r="E43">
        <v>1948.85</v>
      </c>
      <c r="F43">
        <v>0</v>
      </c>
      <c r="G43">
        <f t="shared" si="2"/>
        <v>1948.85</v>
      </c>
    </row>
    <row r="44" spans="1:7">
      <c r="A44" t="str">
        <f>"MAR"</f>
        <v>MAR</v>
      </c>
      <c r="B44" t="str">
        <f t="shared" si="4"/>
        <v>60610000</v>
      </c>
      <c r="C44" t="str">
        <f t="shared" si="1"/>
        <v>MAR606100000</v>
      </c>
      <c r="E44">
        <v>620.99</v>
      </c>
      <c r="F44">
        <v>420</v>
      </c>
      <c r="G44">
        <f t="shared" si="2"/>
        <v>200.99</v>
      </c>
    </row>
    <row r="45" spans="1:7">
      <c r="A45" t="str">
        <f>"MON"</f>
        <v>MON</v>
      </c>
      <c r="B45" t="str">
        <f t="shared" si="4"/>
        <v>60610000</v>
      </c>
      <c r="C45" t="str">
        <f t="shared" si="1"/>
        <v>MON606100000</v>
      </c>
      <c r="E45">
        <v>2814.23</v>
      </c>
      <c r="F45">
        <v>0</v>
      </c>
      <c r="G45">
        <f t="shared" si="2"/>
        <v>2814.23</v>
      </c>
    </row>
    <row r="46" spans="1:7">
      <c r="A46" t="str">
        <f>"NAN"</f>
        <v>NAN</v>
      </c>
      <c r="B46" t="str">
        <f t="shared" si="4"/>
        <v>60610000</v>
      </c>
      <c r="C46" t="str">
        <f t="shared" si="1"/>
        <v>NAN606100000</v>
      </c>
      <c r="E46">
        <v>2826.6</v>
      </c>
      <c r="F46">
        <v>0</v>
      </c>
      <c r="G46">
        <f t="shared" si="2"/>
        <v>2826.6</v>
      </c>
    </row>
    <row r="47" spans="1:7">
      <c r="A47" t="str">
        <f>"ORL"</f>
        <v>ORL</v>
      </c>
      <c r="B47" t="str">
        <f t="shared" si="4"/>
        <v>60610000</v>
      </c>
      <c r="C47" t="str">
        <f t="shared" si="1"/>
        <v>ORL606100000</v>
      </c>
      <c r="E47">
        <v>1056.18</v>
      </c>
      <c r="F47">
        <v>0</v>
      </c>
      <c r="G47">
        <f t="shared" si="2"/>
        <v>1056.18</v>
      </c>
    </row>
    <row r="48" spans="1:7">
      <c r="A48" t="str">
        <f>"REN"</f>
        <v>REN</v>
      </c>
      <c r="B48" t="str">
        <f t="shared" si="4"/>
        <v>60610000</v>
      </c>
      <c r="C48" t="str">
        <f t="shared" si="1"/>
        <v>REN606100000</v>
      </c>
      <c r="E48">
        <v>684.33</v>
      </c>
      <c r="F48">
        <v>0</v>
      </c>
      <c r="G48">
        <f t="shared" si="2"/>
        <v>684.33</v>
      </c>
    </row>
    <row r="49" spans="1:7">
      <c r="A49" t="str">
        <f>"ROA"</f>
        <v>ROA</v>
      </c>
      <c r="B49" t="str">
        <f t="shared" si="4"/>
        <v>60610000</v>
      </c>
      <c r="C49" t="str">
        <f t="shared" si="1"/>
        <v>ROA606100000</v>
      </c>
      <c r="E49">
        <v>1149.46</v>
      </c>
      <c r="F49">
        <v>0</v>
      </c>
      <c r="G49">
        <f t="shared" si="2"/>
        <v>1149.46</v>
      </c>
    </row>
    <row r="50" spans="1:7">
      <c r="A50" t="str">
        <f>"SAU"</f>
        <v>SAU</v>
      </c>
      <c r="B50" t="str">
        <f t="shared" si="4"/>
        <v>60610000</v>
      </c>
      <c r="C50" t="str">
        <f t="shared" si="1"/>
        <v>SAU606100000</v>
      </c>
      <c r="E50">
        <v>3789.74</v>
      </c>
      <c r="F50">
        <v>0</v>
      </c>
      <c r="G50">
        <f t="shared" si="2"/>
        <v>3789.74</v>
      </c>
    </row>
    <row r="51" spans="1:7">
      <c r="A51" t="str">
        <f>"SOM"</f>
        <v>SOM</v>
      </c>
      <c r="B51" t="str">
        <f t="shared" si="4"/>
        <v>60610000</v>
      </c>
      <c r="C51" t="str">
        <f t="shared" si="1"/>
        <v>SOM606100000</v>
      </c>
      <c r="E51">
        <v>3687.45</v>
      </c>
      <c r="F51">
        <v>0</v>
      </c>
      <c r="G51">
        <f t="shared" si="2"/>
        <v>3687.45</v>
      </c>
    </row>
    <row r="52" spans="1:7">
      <c r="A52" t="str">
        <f>"THO"</f>
        <v>THO</v>
      </c>
      <c r="B52" t="str">
        <f t="shared" si="4"/>
        <v>60610000</v>
      </c>
      <c r="C52" t="str">
        <f t="shared" si="1"/>
        <v>THO606100000</v>
      </c>
      <c r="E52">
        <v>1295.3</v>
      </c>
      <c r="F52">
        <v>0</v>
      </c>
      <c r="G52">
        <f t="shared" si="2"/>
        <v>1295.3</v>
      </c>
    </row>
    <row r="53" spans="1:7">
      <c r="A53" t="str">
        <f>"TOURC"</f>
        <v>TOURC</v>
      </c>
      <c r="B53" t="str">
        <f t="shared" si="4"/>
        <v>60610000</v>
      </c>
      <c r="C53" t="str">
        <f t="shared" si="1"/>
        <v>TOURC606100000</v>
      </c>
      <c r="E53">
        <v>1795.2</v>
      </c>
      <c r="F53">
        <v>0</v>
      </c>
      <c r="G53">
        <f t="shared" si="2"/>
        <v>1795.2</v>
      </c>
    </row>
    <row r="54" spans="1:7">
      <c r="A54" t="str">
        <f>"VAN"</f>
        <v>VAN</v>
      </c>
      <c r="B54" t="str">
        <f t="shared" si="4"/>
        <v>60610000</v>
      </c>
      <c r="C54" t="str">
        <f t="shared" si="1"/>
        <v>VAN606100000</v>
      </c>
      <c r="E54">
        <v>2270.2800000000002</v>
      </c>
      <c r="F54">
        <v>0</v>
      </c>
      <c r="G54">
        <f t="shared" si="2"/>
        <v>2270.2800000000002</v>
      </c>
    </row>
    <row r="55" spans="1:7">
      <c r="A55" t="str">
        <f>"ANG"</f>
        <v>ANG</v>
      </c>
      <c r="B55" t="str">
        <f t="shared" ref="B55:B76" si="5">"60611000"</f>
        <v>60611000</v>
      </c>
      <c r="C55" t="str">
        <f t="shared" si="1"/>
        <v>ANG606110000</v>
      </c>
      <c r="E55">
        <v>2449.04</v>
      </c>
      <c r="F55">
        <v>0</v>
      </c>
      <c r="G55">
        <f t="shared" si="2"/>
        <v>2449.04</v>
      </c>
    </row>
    <row r="56" spans="1:7">
      <c r="A56" t="str">
        <f>"BET"</f>
        <v>BET</v>
      </c>
      <c r="B56" t="str">
        <f t="shared" si="5"/>
        <v>60611000</v>
      </c>
      <c r="C56" t="str">
        <f t="shared" si="1"/>
        <v>BET606110000</v>
      </c>
      <c r="E56">
        <v>327.06</v>
      </c>
      <c r="F56">
        <v>0</v>
      </c>
      <c r="G56">
        <f t="shared" si="2"/>
        <v>327.06</v>
      </c>
    </row>
    <row r="57" spans="1:7">
      <c r="A57" t="str">
        <f>"BOS"</f>
        <v>BOS</v>
      </c>
      <c r="B57" t="str">
        <f t="shared" si="5"/>
        <v>60611000</v>
      </c>
      <c r="C57" t="str">
        <f t="shared" si="1"/>
        <v>BOS606110000</v>
      </c>
      <c r="E57">
        <v>1443.96</v>
      </c>
      <c r="F57">
        <v>0</v>
      </c>
      <c r="G57">
        <f t="shared" si="2"/>
        <v>1443.96</v>
      </c>
    </row>
    <row r="58" spans="1:7">
      <c r="A58" t="str">
        <f>"CAL"</f>
        <v>CAL</v>
      </c>
      <c r="B58" t="str">
        <f t="shared" si="5"/>
        <v>60611000</v>
      </c>
      <c r="C58" t="str">
        <f t="shared" si="1"/>
        <v>CAL606110000</v>
      </c>
      <c r="E58">
        <v>2341.13</v>
      </c>
      <c r="F58">
        <v>0</v>
      </c>
      <c r="G58">
        <f t="shared" si="2"/>
        <v>2341.13</v>
      </c>
    </row>
    <row r="59" spans="1:7">
      <c r="A59" t="str">
        <f>"CAM"</f>
        <v>CAM</v>
      </c>
      <c r="B59" t="str">
        <f t="shared" si="5"/>
        <v>60611000</v>
      </c>
      <c r="C59" t="str">
        <f t="shared" si="1"/>
        <v>CAM606110000</v>
      </c>
      <c r="E59">
        <v>3035.22</v>
      </c>
      <c r="F59">
        <v>0</v>
      </c>
      <c r="G59">
        <f t="shared" si="2"/>
        <v>3035.22</v>
      </c>
    </row>
    <row r="60" spans="1:7">
      <c r="A60" t="str">
        <f>"CAU"</f>
        <v>CAU</v>
      </c>
      <c r="B60" t="str">
        <f t="shared" si="5"/>
        <v>60611000</v>
      </c>
      <c r="C60" t="str">
        <f t="shared" si="1"/>
        <v>CAU606110000</v>
      </c>
      <c r="E60">
        <v>3966.81</v>
      </c>
      <c r="F60">
        <v>0</v>
      </c>
      <c r="G60">
        <f t="shared" si="2"/>
        <v>3966.81</v>
      </c>
    </row>
    <row r="61" spans="1:7">
      <c r="A61" t="str">
        <f>"CHAM"</f>
        <v>CHAM</v>
      </c>
      <c r="B61" t="str">
        <f t="shared" si="5"/>
        <v>60611000</v>
      </c>
      <c r="C61" t="str">
        <f t="shared" si="1"/>
        <v>CHAM606110000</v>
      </c>
      <c r="E61">
        <v>2439.52</v>
      </c>
      <c r="F61">
        <v>0</v>
      </c>
      <c r="G61">
        <f t="shared" si="2"/>
        <v>2439.52</v>
      </c>
    </row>
    <row r="62" spans="1:7">
      <c r="A62" t="str">
        <f>"CHART"</f>
        <v>CHART</v>
      </c>
      <c r="B62" t="str">
        <f t="shared" si="5"/>
        <v>60611000</v>
      </c>
      <c r="C62" t="str">
        <f t="shared" si="1"/>
        <v>CHART606110000</v>
      </c>
      <c r="E62">
        <v>3784.87</v>
      </c>
      <c r="F62">
        <v>0</v>
      </c>
      <c r="G62">
        <f t="shared" si="2"/>
        <v>3784.87</v>
      </c>
    </row>
    <row r="63" spans="1:7">
      <c r="A63" t="str">
        <f>"CLE"</f>
        <v>CLE</v>
      </c>
      <c r="B63" t="str">
        <f t="shared" si="5"/>
        <v>60611000</v>
      </c>
      <c r="C63" t="str">
        <f t="shared" si="1"/>
        <v>CLE606110000</v>
      </c>
      <c r="E63">
        <v>2200.6799999999998</v>
      </c>
      <c r="F63">
        <v>0</v>
      </c>
      <c r="G63">
        <f t="shared" si="2"/>
        <v>2200.6799999999998</v>
      </c>
    </row>
    <row r="64" spans="1:7">
      <c r="A64" t="str">
        <f>"COM"</f>
        <v>COM</v>
      </c>
      <c r="B64" t="str">
        <f t="shared" si="5"/>
        <v>60611000</v>
      </c>
      <c r="C64" t="str">
        <f t="shared" si="1"/>
        <v>COM606110000</v>
      </c>
      <c r="E64">
        <v>1161.45</v>
      </c>
      <c r="F64">
        <v>0</v>
      </c>
      <c r="G64">
        <f t="shared" si="2"/>
        <v>1161.45</v>
      </c>
    </row>
    <row r="65" spans="1:7">
      <c r="A65" t="str">
        <f>"DIJ"</f>
        <v>DIJ</v>
      </c>
      <c r="B65" t="str">
        <f t="shared" si="5"/>
        <v>60611000</v>
      </c>
      <c r="C65" t="str">
        <f t="shared" si="1"/>
        <v>DIJ606110000</v>
      </c>
      <c r="E65">
        <v>631.65</v>
      </c>
      <c r="F65">
        <v>0</v>
      </c>
      <c r="G65">
        <f t="shared" si="2"/>
        <v>631.65</v>
      </c>
    </row>
    <row r="66" spans="1:7">
      <c r="A66" t="str">
        <f>"EU"</f>
        <v>EU</v>
      </c>
      <c r="B66" t="str">
        <f t="shared" si="5"/>
        <v>60611000</v>
      </c>
      <c r="C66" t="str">
        <f t="shared" si="1"/>
        <v>EU606110000</v>
      </c>
      <c r="E66">
        <v>12117.87</v>
      </c>
      <c r="F66">
        <v>0</v>
      </c>
      <c r="G66">
        <f t="shared" si="2"/>
        <v>12117.87</v>
      </c>
    </row>
    <row r="67" spans="1:7">
      <c r="A67" t="str">
        <f>"GRE"</f>
        <v>GRE</v>
      </c>
      <c r="B67" t="str">
        <f t="shared" si="5"/>
        <v>60611000</v>
      </c>
      <c r="C67" t="str">
        <f t="shared" ref="C67:C130" si="6">+A67&amp;B67*10</f>
        <v>GRE606110000</v>
      </c>
      <c r="E67">
        <v>2526.9299999999998</v>
      </c>
      <c r="F67">
        <v>0</v>
      </c>
      <c r="G67">
        <f t="shared" ref="G67:G130" si="7">+E67-F67</f>
        <v>2526.9299999999998</v>
      </c>
    </row>
    <row r="68" spans="1:7">
      <c r="A68" t="str">
        <f>"LEN"</f>
        <v>LEN</v>
      </c>
      <c r="B68" t="str">
        <f t="shared" si="5"/>
        <v>60611000</v>
      </c>
      <c r="C68" t="str">
        <f t="shared" si="6"/>
        <v>LEN606110000</v>
      </c>
      <c r="E68">
        <v>3942.97</v>
      </c>
      <c r="F68">
        <v>0</v>
      </c>
      <c r="G68">
        <f t="shared" si="7"/>
        <v>3942.97</v>
      </c>
    </row>
    <row r="69" spans="1:7">
      <c r="A69" t="str">
        <f>"LIL"</f>
        <v>LIL</v>
      </c>
      <c r="B69" t="str">
        <f t="shared" si="5"/>
        <v>60611000</v>
      </c>
      <c r="C69" t="str">
        <f t="shared" si="6"/>
        <v>LIL606110000</v>
      </c>
      <c r="E69">
        <v>-1384.93</v>
      </c>
      <c r="F69">
        <v>0</v>
      </c>
      <c r="G69">
        <f t="shared" si="7"/>
        <v>-1384.93</v>
      </c>
    </row>
    <row r="70" spans="1:7">
      <c r="A70" t="str">
        <f>"MAD"</f>
        <v>MAD</v>
      </c>
      <c r="B70" t="str">
        <f t="shared" si="5"/>
        <v>60611000</v>
      </c>
      <c r="C70" t="str">
        <f t="shared" si="6"/>
        <v>MAD606110000</v>
      </c>
      <c r="E70">
        <v>-377.39</v>
      </c>
      <c r="F70">
        <v>0</v>
      </c>
      <c r="G70">
        <f t="shared" si="7"/>
        <v>-377.39</v>
      </c>
    </row>
    <row r="71" spans="1:7">
      <c r="A71" t="str">
        <f>"MAR"</f>
        <v>MAR</v>
      </c>
      <c r="B71" t="str">
        <f t="shared" si="5"/>
        <v>60611000</v>
      </c>
      <c r="C71" t="str">
        <f t="shared" si="6"/>
        <v>MAR606110000</v>
      </c>
      <c r="E71">
        <v>1863.87</v>
      </c>
      <c r="F71">
        <v>0</v>
      </c>
      <c r="G71">
        <f t="shared" si="7"/>
        <v>1863.87</v>
      </c>
    </row>
    <row r="72" spans="1:7">
      <c r="A72" t="str">
        <f>"NAN"</f>
        <v>NAN</v>
      </c>
      <c r="B72" t="str">
        <f t="shared" si="5"/>
        <v>60611000</v>
      </c>
      <c r="C72" t="str">
        <f t="shared" si="6"/>
        <v>NAN606110000</v>
      </c>
      <c r="E72">
        <v>3492.73</v>
      </c>
      <c r="F72">
        <v>0</v>
      </c>
      <c r="G72">
        <f t="shared" si="7"/>
        <v>3492.73</v>
      </c>
    </row>
    <row r="73" spans="1:7">
      <c r="A73" t="str">
        <f>"ROA"</f>
        <v>ROA</v>
      </c>
      <c r="B73" t="str">
        <f t="shared" si="5"/>
        <v>60611000</v>
      </c>
      <c r="C73" t="str">
        <f t="shared" si="6"/>
        <v>ROA606110000</v>
      </c>
      <c r="E73">
        <v>3171.96</v>
      </c>
      <c r="F73">
        <v>0</v>
      </c>
      <c r="G73">
        <f t="shared" si="7"/>
        <v>3171.96</v>
      </c>
    </row>
    <row r="74" spans="1:7">
      <c r="A74" t="str">
        <f>"SOM"</f>
        <v>SOM</v>
      </c>
      <c r="B74" t="str">
        <f t="shared" si="5"/>
        <v>60611000</v>
      </c>
      <c r="C74" t="str">
        <f t="shared" si="6"/>
        <v>SOM606110000</v>
      </c>
      <c r="E74">
        <v>3590.09</v>
      </c>
      <c r="F74">
        <v>0</v>
      </c>
      <c r="G74">
        <f t="shared" si="7"/>
        <v>3590.09</v>
      </c>
    </row>
    <row r="75" spans="1:7">
      <c r="A75" t="str">
        <f>"THO"</f>
        <v>THO</v>
      </c>
      <c r="B75" t="str">
        <f t="shared" si="5"/>
        <v>60611000</v>
      </c>
      <c r="C75" t="str">
        <f t="shared" si="6"/>
        <v>THO606110000</v>
      </c>
      <c r="E75">
        <v>1634.47</v>
      </c>
      <c r="F75">
        <v>0</v>
      </c>
      <c r="G75">
        <f t="shared" si="7"/>
        <v>1634.47</v>
      </c>
    </row>
    <row r="76" spans="1:7">
      <c r="A76" t="str">
        <f>"TOURC"</f>
        <v>TOURC</v>
      </c>
      <c r="B76" t="str">
        <f t="shared" si="5"/>
        <v>60611000</v>
      </c>
      <c r="C76" t="str">
        <f t="shared" si="6"/>
        <v>TOURC606110000</v>
      </c>
      <c r="E76">
        <v>5400.23</v>
      </c>
      <c r="F76">
        <v>0</v>
      </c>
      <c r="G76">
        <f t="shared" si="7"/>
        <v>5400.23</v>
      </c>
    </row>
    <row r="77" spans="1:7">
      <c r="A77" t="str">
        <f>"ANG"</f>
        <v>ANG</v>
      </c>
      <c r="B77" t="str">
        <f t="shared" ref="B77:B107" si="8">"60613000"</f>
        <v>60613000</v>
      </c>
      <c r="C77" t="str">
        <f t="shared" si="6"/>
        <v>ANG606130000</v>
      </c>
      <c r="E77">
        <v>1947.64</v>
      </c>
      <c r="F77">
        <v>0</v>
      </c>
      <c r="G77">
        <f t="shared" si="7"/>
        <v>1947.64</v>
      </c>
    </row>
    <row r="78" spans="1:7">
      <c r="A78" t="str">
        <f>"BET"</f>
        <v>BET</v>
      </c>
      <c r="B78" t="str">
        <f t="shared" si="8"/>
        <v>60613000</v>
      </c>
      <c r="C78" t="str">
        <f t="shared" si="6"/>
        <v>BET606130000</v>
      </c>
      <c r="E78">
        <v>714.76</v>
      </c>
      <c r="F78">
        <v>0</v>
      </c>
      <c r="G78">
        <f t="shared" si="7"/>
        <v>714.76</v>
      </c>
    </row>
    <row r="79" spans="1:7">
      <c r="A79" t="str">
        <f>"BOI"</f>
        <v>BOI</v>
      </c>
      <c r="B79" t="str">
        <f t="shared" si="8"/>
        <v>60613000</v>
      </c>
      <c r="C79" t="str">
        <f t="shared" si="6"/>
        <v>BOI606130000</v>
      </c>
      <c r="E79">
        <v>468.9</v>
      </c>
      <c r="F79">
        <v>0</v>
      </c>
      <c r="G79">
        <f t="shared" si="7"/>
        <v>468.9</v>
      </c>
    </row>
    <row r="80" spans="1:7">
      <c r="A80" t="str">
        <f>"BOS"</f>
        <v>BOS</v>
      </c>
      <c r="B80" t="str">
        <f t="shared" si="8"/>
        <v>60613000</v>
      </c>
      <c r="C80" t="str">
        <f t="shared" si="6"/>
        <v>BOS606130000</v>
      </c>
      <c r="E80">
        <v>2047.96</v>
      </c>
      <c r="F80">
        <v>0</v>
      </c>
      <c r="G80">
        <f t="shared" si="7"/>
        <v>2047.96</v>
      </c>
    </row>
    <row r="81" spans="1:7">
      <c r="A81" t="str">
        <f>"BOU"</f>
        <v>BOU</v>
      </c>
      <c r="B81" t="str">
        <f t="shared" si="8"/>
        <v>60613000</v>
      </c>
      <c r="C81" t="str">
        <f t="shared" si="6"/>
        <v>BOU606130000</v>
      </c>
      <c r="E81">
        <v>4860.1499999999996</v>
      </c>
      <c r="F81">
        <v>0</v>
      </c>
      <c r="G81">
        <f t="shared" si="7"/>
        <v>4860.1499999999996</v>
      </c>
    </row>
    <row r="82" spans="1:7">
      <c r="A82" t="str">
        <f>"CAL"</f>
        <v>CAL</v>
      </c>
      <c r="B82" t="str">
        <f t="shared" si="8"/>
        <v>60613000</v>
      </c>
      <c r="C82" t="str">
        <f t="shared" si="6"/>
        <v>CAL606130000</v>
      </c>
      <c r="E82">
        <v>3107.25</v>
      </c>
      <c r="F82">
        <v>0</v>
      </c>
      <c r="G82">
        <f t="shared" si="7"/>
        <v>3107.25</v>
      </c>
    </row>
    <row r="83" spans="1:7">
      <c r="A83" t="str">
        <f>"CAM"</f>
        <v>CAM</v>
      </c>
      <c r="B83" t="str">
        <f t="shared" si="8"/>
        <v>60613000</v>
      </c>
      <c r="C83" t="str">
        <f t="shared" si="6"/>
        <v>CAM606130000</v>
      </c>
      <c r="E83">
        <v>2772.26</v>
      </c>
      <c r="F83">
        <v>0</v>
      </c>
      <c r="G83">
        <f t="shared" si="7"/>
        <v>2772.26</v>
      </c>
    </row>
    <row r="84" spans="1:7">
      <c r="A84" t="str">
        <f>"CAU"</f>
        <v>CAU</v>
      </c>
      <c r="B84" t="str">
        <f t="shared" si="8"/>
        <v>60613000</v>
      </c>
      <c r="C84" t="str">
        <f t="shared" si="6"/>
        <v>CAU606130000</v>
      </c>
      <c r="E84">
        <v>1989.68</v>
      </c>
      <c r="F84">
        <v>0</v>
      </c>
      <c r="G84">
        <f t="shared" si="7"/>
        <v>1989.68</v>
      </c>
    </row>
    <row r="85" spans="1:7">
      <c r="A85" t="str">
        <f>"CHA"</f>
        <v>CHA</v>
      </c>
      <c r="B85" t="str">
        <f t="shared" si="8"/>
        <v>60613000</v>
      </c>
      <c r="C85" t="str">
        <f t="shared" si="6"/>
        <v>CHA606130000</v>
      </c>
      <c r="E85">
        <v>382.82</v>
      </c>
      <c r="F85">
        <v>0</v>
      </c>
      <c r="G85">
        <f t="shared" si="7"/>
        <v>382.82</v>
      </c>
    </row>
    <row r="86" spans="1:7">
      <c r="A86" t="str">
        <f>"CHAM"</f>
        <v>CHAM</v>
      </c>
      <c r="B86" t="str">
        <f t="shared" si="8"/>
        <v>60613000</v>
      </c>
      <c r="C86" t="str">
        <f t="shared" si="6"/>
        <v>CHAM606130000</v>
      </c>
      <c r="E86">
        <v>2297.86</v>
      </c>
      <c r="F86">
        <v>0</v>
      </c>
      <c r="G86">
        <f t="shared" si="7"/>
        <v>2297.86</v>
      </c>
    </row>
    <row r="87" spans="1:7">
      <c r="A87" t="str">
        <f>"CHART"</f>
        <v>CHART</v>
      </c>
      <c r="B87" t="str">
        <f t="shared" si="8"/>
        <v>60613000</v>
      </c>
      <c r="C87" t="str">
        <f t="shared" si="6"/>
        <v>CHART606130000</v>
      </c>
      <c r="E87">
        <v>3332.54</v>
      </c>
      <c r="F87">
        <v>0</v>
      </c>
      <c r="G87">
        <f t="shared" si="7"/>
        <v>3332.54</v>
      </c>
    </row>
    <row r="88" spans="1:7">
      <c r="A88" t="str">
        <f>"CLE"</f>
        <v>CLE</v>
      </c>
      <c r="B88" t="str">
        <f t="shared" si="8"/>
        <v>60613000</v>
      </c>
      <c r="C88" t="str">
        <f t="shared" si="6"/>
        <v>CLE606130000</v>
      </c>
      <c r="E88">
        <v>3553.26</v>
      </c>
      <c r="F88">
        <v>0</v>
      </c>
      <c r="G88">
        <f t="shared" si="7"/>
        <v>3553.26</v>
      </c>
    </row>
    <row r="89" spans="1:7">
      <c r="A89" t="str">
        <f>"COM"</f>
        <v>COM</v>
      </c>
      <c r="B89" t="str">
        <f t="shared" si="8"/>
        <v>60613000</v>
      </c>
      <c r="C89" t="str">
        <f t="shared" si="6"/>
        <v>COM606130000</v>
      </c>
      <c r="E89">
        <v>2092.5300000000002</v>
      </c>
      <c r="F89">
        <v>0</v>
      </c>
      <c r="G89">
        <f t="shared" si="7"/>
        <v>2092.5300000000002</v>
      </c>
    </row>
    <row r="90" spans="1:7">
      <c r="A90" t="str">
        <f>"CST"</f>
        <v>CST</v>
      </c>
      <c r="B90" t="str">
        <f t="shared" si="8"/>
        <v>60613000</v>
      </c>
      <c r="C90" t="str">
        <f t="shared" si="6"/>
        <v>CST606130000</v>
      </c>
      <c r="E90">
        <v>4842.1000000000004</v>
      </c>
      <c r="F90">
        <v>0</v>
      </c>
      <c r="G90">
        <f t="shared" si="7"/>
        <v>4842.1000000000004</v>
      </c>
    </row>
    <row r="91" spans="1:7">
      <c r="A91" t="str">
        <f>"DIJ"</f>
        <v>DIJ</v>
      </c>
      <c r="B91" t="str">
        <f t="shared" si="8"/>
        <v>60613000</v>
      </c>
      <c r="C91" t="str">
        <f t="shared" si="6"/>
        <v>DIJ606130000</v>
      </c>
      <c r="E91">
        <v>20.9</v>
      </c>
      <c r="F91">
        <v>0</v>
      </c>
      <c r="G91">
        <f t="shared" si="7"/>
        <v>20.9</v>
      </c>
    </row>
    <row r="92" spans="1:7">
      <c r="A92" t="str">
        <f>"EU"</f>
        <v>EU</v>
      </c>
      <c r="B92" t="str">
        <f t="shared" si="8"/>
        <v>60613000</v>
      </c>
      <c r="C92" t="str">
        <f t="shared" si="6"/>
        <v>EU606130000</v>
      </c>
      <c r="E92">
        <v>1245.4000000000001</v>
      </c>
      <c r="F92">
        <v>0</v>
      </c>
      <c r="G92">
        <f t="shared" si="7"/>
        <v>1245.4000000000001</v>
      </c>
    </row>
    <row r="93" spans="1:7">
      <c r="A93" t="str">
        <f>"GRE"</f>
        <v>GRE</v>
      </c>
      <c r="B93" t="str">
        <f t="shared" si="8"/>
        <v>60613000</v>
      </c>
      <c r="C93" t="str">
        <f t="shared" si="6"/>
        <v>GRE606130000</v>
      </c>
      <c r="E93">
        <v>4683.6899999999996</v>
      </c>
      <c r="F93">
        <v>0</v>
      </c>
      <c r="G93">
        <f t="shared" si="7"/>
        <v>4683.6899999999996</v>
      </c>
    </row>
    <row r="94" spans="1:7">
      <c r="A94" t="str">
        <f>"LEN"</f>
        <v>LEN</v>
      </c>
      <c r="B94" t="str">
        <f t="shared" si="8"/>
        <v>60613000</v>
      </c>
      <c r="C94" t="str">
        <f t="shared" si="6"/>
        <v>LEN606130000</v>
      </c>
      <c r="E94">
        <v>982.71</v>
      </c>
      <c r="F94">
        <v>0</v>
      </c>
      <c r="G94">
        <f t="shared" si="7"/>
        <v>982.71</v>
      </c>
    </row>
    <row r="95" spans="1:7">
      <c r="A95" t="str">
        <f>"LIL"</f>
        <v>LIL</v>
      </c>
      <c r="B95" t="str">
        <f t="shared" si="8"/>
        <v>60613000</v>
      </c>
      <c r="C95" t="str">
        <f t="shared" si="6"/>
        <v>LIL606130000</v>
      </c>
      <c r="E95">
        <v>3968.24</v>
      </c>
      <c r="F95">
        <v>0</v>
      </c>
      <c r="G95">
        <f t="shared" si="7"/>
        <v>3968.24</v>
      </c>
    </row>
    <row r="96" spans="1:7">
      <c r="A96" t="str">
        <f>"MAD"</f>
        <v>MAD</v>
      </c>
      <c r="B96" t="str">
        <f t="shared" si="8"/>
        <v>60613000</v>
      </c>
      <c r="C96" t="str">
        <f t="shared" si="6"/>
        <v>MAD606130000</v>
      </c>
      <c r="E96">
        <v>1095.8699999999999</v>
      </c>
      <c r="F96">
        <v>0</v>
      </c>
      <c r="G96">
        <f t="shared" si="7"/>
        <v>1095.8699999999999</v>
      </c>
    </row>
    <row r="97" spans="1:9">
      <c r="A97" t="str">
        <f>"MAR"</f>
        <v>MAR</v>
      </c>
      <c r="B97" t="str">
        <f t="shared" si="8"/>
        <v>60613000</v>
      </c>
      <c r="C97" t="str">
        <f t="shared" si="6"/>
        <v>MAR606130000</v>
      </c>
      <c r="E97">
        <v>188.89</v>
      </c>
      <c r="F97">
        <v>0</v>
      </c>
      <c r="G97">
        <f t="shared" si="7"/>
        <v>188.89</v>
      </c>
    </row>
    <row r="98" spans="1:9">
      <c r="A98" t="str">
        <f>"MON"</f>
        <v>MON</v>
      </c>
      <c r="B98" t="str">
        <f t="shared" si="8"/>
        <v>60613000</v>
      </c>
      <c r="C98" t="str">
        <f t="shared" si="6"/>
        <v>MON606130000</v>
      </c>
      <c r="E98">
        <v>3016.81</v>
      </c>
      <c r="F98">
        <v>0</v>
      </c>
      <c r="G98">
        <f t="shared" si="7"/>
        <v>3016.81</v>
      </c>
    </row>
    <row r="99" spans="1:9">
      <c r="A99" t="str">
        <f>"NAN"</f>
        <v>NAN</v>
      </c>
      <c r="B99" t="str">
        <f t="shared" si="8"/>
        <v>60613000</v>
      </c>
      <c r="C99" t="str">
        <f t="shared" si="6"/>
        <v>NAN606130000</v>
      </c>
      <c r="E99">
        <v>2254.33</v>
      </c>
      <c r="F99">
        <v>0</v>
      </c>
      <c r="G99">
        <f t="shared" si="7"/>
        <v>2254.33</v>
      </c>
    </row>
    <row r="100" spans="1:9">
      <c r="A100" t="str">
        <f>"ORL"</f>
        <v>ORL</v>
      </c>
      <c r="B100" t="str">
        <f t="shared" si="8"/>
        <v>60613000</v>
      </c>
      <c r="C100" t="str">
        <f t="shared" si="6"/>
        <v>ORL606130000</v>
      </c>
      <c r="E100">
        <v>2884.39</v>
      </c>
      <c r="F100">
        <v>0</v>
      </c>
      <c r="G100">
        <f t="shared" si="7"/>
        <v>2884.39</v>
      </c>
    </row>
    <row r="101" spans="1:9">
      <c r="A101" t="str">
        <f>"REN"</f>
        <v>REN</v>
      </c>
      <c r="B101" t="str">
        <f t="shared" si="8"/>
        <v>60613000</v>
      </c>
      <c r="C101" t="str">
        <f t="shared" si="6"/>
        <v>REN606130000</v>
      </c>
      <c r="E101">
        <v>667.85</v>
      </c>
      <c r="F101">
        <v>0</v>
      </c>
      <c r="G101">
        <f t="shared" si="7"/>
        <v>667.85</v>
      </c>
    </row>
    <row r="102" spans="1:9">
      <c r="A102" t="str">
        <f>"ROA"</f>
        <v>ROA</v>
      </c>
      <c r="B102" t="str">
        <f t="shared" si="8"/>
        <v>60613000</v>
      </c>
      <c r="C102" t="str">
        <f t="shared" si="6"/>
        <v>ROA606130000</v>
      </c>
      <c r="E102">
        <v>2990.48</v>
      </c>
      <c r="F102">
        <v>0</v>
      </c>
      <c r="G102">
        <f t="shared" si="7"/>
        <v>2990.48</v>
      </c>
      <c r="H102" s="433"/>
      <c r="I102" s="113"/>
    </row>
    <row r="103" spans="1:9">
      <c r="A103" t="str">
        <f>"SAU"</f>
        <v>SAU</v>
      </c>
      <c r="B103" t="str">
        <f t="shared" si="8"/>
        <v>60613000</v>
      </c>
      <c r="C103" t="str">
        <f t="shared" si="6"/>
        <v>SAU606130000</v>
      </c>
      <c r="E103">
        <v>1012.44</v>
      </c>
      <c r="F103">
        <v>0</v>
      </c>
      <c r="G103">
        <f t="shared" si="7"/>
        <v>1012.44</v>
      </c>
    </row>
    <row r="104" spans="1:9">
      <c r="A104" t="str">
        <f>"SOM"</f>
        <v>SOM</v>
      </c>
      <c r="B104" t="str">
        <f t="shared" si="8"/>
        <v>60613000</v>
      </c>
      <c r="C104" t="str">
        <f t="shared" si="6"/>
        <v>SOM606130000</v>
      </c>
      <c r="E104">
        <v>1238.56</v>
      </c>
      <c r="F104">
        <v>0</v>
      </c>
      <c r="G104">
        <f t="shared" si="7"/>
        <v>1238.56</v>
      </c>
    </row>
    <row r="105" spans="1:9">
      <c r="A105" t="str">
        <f>"THO"</f>
        <v>THO</v>
      </c>
      <c r="B105" t="str">
        <f t="shared" si="8"/>
        <v>60613000</v>
      </c>
      <c r="C105" t="str">
        <f t="shared" si="6"/>
        <v>THO606130000</v>
      </c>
      <c r="E105">
        <v>1948.76</v>
      </c>
      <c r="F105">
        <v>0</v>
      </c>
      <c r="G105">
        <f t="shared" si="7"/>
        <v>1948.76</v>
      </c>
    </row>
    <row r="106" spans="1:9">
      <c r="A106" t="str">
        <f>"TOURC"</f>
        <v>TOURC</v>
      </c>
      <c r="B106" t="str">
        <f t="shared" si="8"/>
        <v>60613000</v>
      </c>
      <c r="C106" t="str">
        <f t="shared" si="6"/>
        <v>TOURC606130000</v>
      </c>
      <c r="E106">
        <v>496.99</v>
      </c>
      <c r="F106">
        <v>0</v>
      </c>
      <c r="G106">
        <f t="shared" si="7"/>
        <v>496.99</v>
      </c>
    </row>
    <row r="107" spans="1:9">
      <c r="A107" t="str">
        <f>"VAN"</f>
        <v>VAN</v>
      </c>
      <c r="B107" t="str">
        <f t="shared" si="8"/>
        <v>60613000</v>
      </c>
      <c r="C107" t="str">
        <f t="shared" si="6"/>
        <v>VAN606130000</v>
      </c>
      <c r="E107">
        <v>936.62</v>
      </c>
      <c r="F107">
        <v>0</v>
      </c>
      <c r="G107">
        <f t="shared" si="7"/>
        <v>936.62</v>
      </c>
    </row>
    <row r="108" spans="1:9">
      <c r="A108" t="str">
        <f>"AMI"</f>
        <v>AMI</v>
      </c>
      <c r="B108" t="str">
        <f t="shared" ref="B108:B130" si="9">"60631000"</f>
        <v>60631000</v>
      </c>
      <c r="C108" t="str">
        <f t="shared" si="6"/>
        <v>AMI606310000</v>
      </c>
      <c r="E108">
        <v>10.3</v>
      </c>
      <c r="F108">
        <v>0</v>
      </c>
      <c r="G108">
        <f t="shared" si="7"/>
        <v>10.3</v>
      </c>
    </row>
    <row r="109" spans="1:9">
      <c r="A109" t="str">
        <f>"ANG"</f>
        <v>ANG</v>
      </c>
      <c r="B109" t="str">
        <f t="shared" si="9"/>
        <v>60631000</v>
      </c>
      <c r="C109" t="str">
        <f t="shared" si="6"/>
        <v>ANG606310000</v>
      </c>
      <c r="E109">
        <v>70.11</v>
      </c>
      <c r="F109">
        <v>0</v>
      </c>
      <c r="G109">
        <f t="shared" si="7"/>
        <v>70.11</v>
      </c>
    </row>
    <row r="110" spans="1:9">
      <c r="A110" t="str">
        <f>"BET"</f>
        <v>BET</v>
      </c>
      <c r="B110" t="str">
        <f t="shared" si="9"/>
        <v>60631000</v>
      </c>
      <c r="C110" t="str">
        <f t="shared" si="6"/>
        <v>BET606310000</v>
      </c>
      <c r="E110">
        <v>105.36</v>
      </c>
      <c r="F110">
        <v>0</v>
      </c>
      <c r="G110">
        <f t="shared" si="7"/>
        <v>105.36</v>
      </c>
    </row>
    <row r="111" spans="1:9">
      <c r="A111" t="str">
        <f>"BOI"</f>
        <v>BOI</v>
      </c>
      <c r="B111" t="str">
        <f t="shared" si="9"/>
        <v>60631000</v>
      </c>
      <c r="C111" t="str">
        <f t="shared" si="6"/>
        <v>BOI606310000</v>
      </c>
      <c r="E111">
        <v>7.48</v>
      </c>
      <c r="F111">
        <v>0</v>
      </c>
      <c r="G111">
        <f t="shared" si="7"/>
        <v>7.48</v>
      </c>
    </row>
    <row r="112" spans="1:9">
      <c r="A112" t="str">
        <f>"BOS"</f>
        <v>BOS</v>
      </c>
      <c r="B112" t="str">
        <f t="shared" si="9"/>
        <v>60631000</v>
      </c>
      <c r="C112" t="str">
        <f t="shared" si="6"/>
        <v>BOS606310000</v>
      </c>
      <c r="E112">
        <v>7.49</v>
      </c>
      <c r="F112">
        <v>0</v>
      </c>
      <c r="G112">
        <f t="shared" si="7"/>
        <v>7.49</v>
      </c>
    </row>
    <row r="113" spans="1:7">
      <c r="A113" t="str">
        <f>"BOU"</f>
        <v>BOU</v>
      </c>
      <c r="B113" t="str">
        <f t="shared" si="9"/>
        <v>60631000</v>
      </c>
      <c r="C113" t="str">
        <f t="shared" si="6"/>
        <v>BOU606310000</v>
      </c>
      <c r="E113">
        <v>110.92</v>
      </c>
      <c r="F113">
        <v>0</v>
      </c>
      <c r="G113">
        <f t="shared" si="7"/>
        <v>110.92</v>
      </c>
    </row>
    <row r="114" spans="1:7">
      <c r="A114" t="str">
        <f>"CAL"</f>
        <v>CAL</v>
      </c>
      <c r="B114" t="str">
        <f t="shared" si="9"/>
        <v>60631000</v>
      </c>
      <c r="C114" t="str">
        <f t="shared" si="6"/>
        <v>CAL606310000</v>
      </c>
      <c r="E114">
        <v>91.83</v>
      </c>
      <c r="F114">
        <v>0</v>
      </c>
      <c r="G114">
        <f t="shared" si="7"/>
        <v>91.83</v>
      </c>
    </row>
    <row r="115" spans="1:7">
      <c r="A115" t="str">
        <f>"CAM"</f>
        <v>CAM</v>
      </c>
      <c r="B115" t="str">
        <f t="shared" si="9"/>
        <v>60631000</v>
      </c>
      <c r="C115" t="str">
        <f t="shared" si="6"/>
        <v>CAM606310000</v>
      </c>
      <c r="E115">
        <v>42.45</v>
      </c>
      <c r="F115">
        <v>0</v>
      </c>
      <c r="G115">
        <f t="shared" si="7"/>
        <v>42.45</v>
      </c>
    </row>
    <row r="116" spans="1:7">
      <c r="A116" t="str">
        <f>"CAU"</f>
        <v>CAU</v>
      </c>
      <c r="B116" t="str">
        <f t="shared" si="9"/>
        <v>60631000</v>
      </c>
      <c r="C116" t="str">
        <f t="shared" si="6"/>
        <v>CAU606310000</v>
      </c>
      <c r="E116">
        <v>3.68</v>
      </c>
      <c r="F116">
        <v>0</v>
      </c>
      <c r="G116">
        <f t="shared" si="7"/>
        <v>3.68</v>
      </c>
    </row>
    <row r="117" spans="1:7">
      <c r="A117" t="str">
        <f>"CHAM"</f>
        <v>CHAM</v>
      </c>
      <c r="B117" t="str">
        <f t="shared" si="9"/>
        <v>60631000</v>
      </c>
      <c r="C117" t="str">
        <f t="shared" si="6"/>
        <v>CHAM606310000</v>
      </c>
      <c r="E117">
        <v>97.49</v>
      </c>
      <c r="F117">
        <v>0</v>
      </c>
      <c r="G117">
        <f t="shared" si="7"/>
        <v>97.49</v>
      </c>
    </row>
    <row r="118" spans="1:7">
      <c r="A118" t="str">
        <f>"CHART"</f>
        <v>CHART</v>
      </c>
      <c r="B118" t="str">
        <f t="shared" si="9"/>
        <v>60631000</v>
      </c>
      <c r="C118" t="str">
        <f t="shared" si="6"/>
        <v>CHART606310000</v>
      </c>
      <c r="E118">
        <v>33.11</v>
      </c>
      <c r="F118">
        <v>0</v>
      </c>
      <c r="G118">
        <f t="shared" si="7"/>
        <v>33.11</v>
      </c>
    </row>
    <row r="119" spans="1:7">
      <c r="A119" t="str">
        <f>"CLE"</f>
        <v>CLE</v>
      </c>
      <c r="B119" t="str">
        <f t="shared" si="9"/>
        <v>60631000</v>
      </c>
      <c r="C119" t="str">
        <f t="shared" si="6"/>
        <v>CLE606310000</v>
      </c>
      <c r="E119">
        <v>241.28</v>
      </c>
      <c r="F119">
        <v>0</v>
      </c>
      <c r="G119">
        <f t="shared" si="7"/>
        <v>241.28</v>
      </c>
    </row>
    <row r="120" spans="1:7">
      <c r="A120" t="str">
        <f>"CST"</f>
        <v>CST</v>
      </c>
      <c r="B120" t="str">
        <f t="shared" si="9"/>
        <v>60631000</v>
      </c>
      <c r="C120" t="str">
        <f t="shared" si="6"/>
        <v>CST606310000</v>
      </c>
      <c r="E120">
        <v>61.46</v>
      </c>
      <c r="F120">
        <v>0</v>
      </c>
      <c r="G120">
        <f t="shared" si="7"/>
        <v>61.46</v>
      </c>
    </row>
    <row r="121" spans="1:7">
      <c r="A121" t="str">
        <f>"GRE"</f>
        <v>GRE</v>
      </c>
      <c r="B121" t="str">
        <f t="shared" si="9"/>
        <v>60631000</v>
      </c>
      <c r="C121" t="str">
        <f t="shared" si="6"/>
        <v>GRE606310000</v>
      </c>
      <c r="E121">
        <v>77.03</v>
      </c>
      <c r="F121">
        <v>0</v>
      </c>
      <c r="G121">
        <f t="shared" si="7"/>
        <v>77.03</v>
      </c>
    </row>
    <row r="122" spans="1:7">
      <c r="A122" t="str">
        <f>"LEN"</f>
        <v>LEN</v>
      </c>
      <c r="B122" t="str">
        <f t="shared" si="9"/>
        <v>60631000</v>
      </c>
      <c r="C122" t="str">
        <f t="shared" si="6"/>
        <v>LEN606310000</v>
      </c>
      <c r="E122">
        <v>100.16</v>
      </c>
      <c r="F122">
        <v>0</v>
      </c>
      <c r="G122">
        <f t="shared" si="7"/>
        <v>100.16</v>
      </c>
    </row>
    <row r="123" spans="1:7">
      <c r="A123" t="str">
        <f>"MAR"</f>
        <v>MAR</v>
      </c>
      <c r="B123" t="str">
        <f t="shared" si="9"/>
        <v>60631000</v>
      </c>
      <c r="C123" t="str">
        <f t="shared" si="6"/>
        <v>MAR606310000</v>
      </c>
      <c r="E123">
        <v>18.47</v>
      </c>
      <c r="F123">
        <v>0</v>
      </c>
      <c r="G123">
        <f t="shared" si="7"/>
        <v>18.47</v>
      </c>
    </row>
    <row r="124" spans="1:7">
      <c r="A124" t="str">
        <f>"MON"</f>
        <v>MON</v>
      </c>
      <c r="B124" t="str">
        <f t="shared" si="9"/>
        <v>60631000</v>
      </c>
      <c r="C124" t="str">
        <f t="shared" si="6"/>
        <v>MON606310000</v>
      </c>
      <c r="E124">
        <v>57.21</v>
      </c>
      <c r="F124">
        <v>0</v>
      </c>
      <c r="G124">
        <f t="shared" si="7"/>
        <v>57.21</v>
      </c>
    </row>
    <row r="125" spans="1:7">
      <c r="A125" t="str">
        <f>"NAN"</f>
        <v>NAN</v>
      </c>
      <c r="B125" t="str">
        <f t="shared" si="9"/>
        <v>60631000</v>
      </c>
      <c r="C125" t="str">
        <f t="shared" si="6"/>
        <v>NAN606310000</v>
      </c>
      <c r="E125">
        <v>259.68</v>
      </c>
      <c r="F125">
        <v>0</v>
      </c>
      <c r="G125">
        <f t="shared" si="7"/>
        <v>259.68</v>
      </c>
    </row>
    <row r="126" spans="1:7">
      <c r="A126" t="str">
        <f>"ORL"</f>
        <v>ORL</v>
      </c>
      <c r="B126" t="str">
        <f t="shared" si="9"/>
        <v>60631000</v>
      </c>
      <c r="C126" t="str">
        <f t="shared" si="6"/>
        <v>ORL606310000</v>
      </c>
      <c r="E126">
        <v>173.9</v>
      </c>
      <c r="F126">
        <v>0</v>
      </c>
      <c r="G126">
        <f t="shared" si="7"/>
        <v>173.9</v>
      </c>
    </row>
    <row r="127" spans="1:7">
      <c r="A127" t="str">
        <f>"ROA"</f>
        <v>ROA</v>
      </c>
      <c r="B127" t="str">
        <f t="shared" si="9"/>
        <v>60631000</v>
      </c>
      <c r="C127" t="str">
        <f t="shared" si="6"/>
        <v>ROA606310000</v>
      </c>
      <c r="E127">
        <v>49.82</v>
      </c>
      <c r="F127">
        <v>0</v>
      </c>
      <c r="G127">
        <f t="shared" si="7"/>
        <v>49.82</v>
      </c>
    </row>
    <row r="128" spans="1:7">
      <c r="A128" t="str">
        <f>"SOM"</f>
        <v>SOM</v>
      </c>
      <c r="B128" t="str">
        <f t="shared" si="9"/>
        <v>60631000</v>
      </c>
      <c r="C128" t="str">
        <f t="shared" si="6"/>
        <v>SOM606310000</v>
      </c>
      <c r="E128">
        <v>115.93</v>
      </c>
      <c r="F128">
        <v>0</v>
      </c>
      <c r="G128">
        <f t="shared" si="7"/>
        <v>115.93</v>
      </c>
    </row>
    <row r="129" spans="1:7">
      <c r="A129" t="str">
        <f>"THO"</f>
        <v>THO</v>
      </c>
      <c r="B129" t="str">
        <f t="shared" si="9"/>
        <v>60631000</v>
      </c>
      <c r="C129" t="str">
        <f t="shared" si="6"/>
        <v>THO606310000</v>
      </c>
      <c r="E129">
        <v>15.01</v>
      </c>
      <c r="F129">
        <v>0</v>
      </c>
      <c r="G129">
        <f t="shared" si="7"/>
        <v>15.01</v>
      </c>
    </row>
    <row r="130" spans="1:7">
      <c r="A130" t="str">
        <f>"VAN"</f>
        <v>VAN</v>
      </c>
      <c r="B130" t="str">
        <f t="shared" si="9"/>
        <v>60631000</v>
      </c>
      <c r="C130" t="str">
        <f t="shared" si="6"/>
        <v>VAN606310000</v>
      </c>
      <c r="E130">
        <v>394.19</v>
      </c>
      <c r="F130">
        <v>0</v>
      </c>
      <c r="G130">
        <f t="shared" si="7"/>
        <v>394.19</v>
      </c>
    </row>
    <row r="131" spans="1:7">
      <c r="A131" t="str">
        <f>"AMI"</f>
        <v>AMI</v>
      </c>
      <c r="B131" t="str">
        <f t="shared" ref="B131:B162" si="10">"60641000"</f>
        <v>60641000</v>
      </c>
      <c r="C131" t="str">
        <f t="shared" ref="C131:C194" si="11">+A131&amp;B131*10</f>
        <v>AMI606410000</v>
      </c>
      <c r="E131">
        <v>564.01</v>
      </c>
      <c r="F131">
        <v>0</v>
      </c>
      <c r="G131">
        <f t="shared" ref="G131:G194" si="12">+E131-F131</f>
        <v>564.01</v>
      </c>
    </row>
    <row r="132" spans="1:7">
      <c r="A132" t="str">
        <f>"ANG"</f>
        <v>ANG</v>
      </c>
      <c r="B132" t="str">
        <f t="shared" si="10"/>
        <v>60641000</v>
      </c>
      <c r="C132" t="str">
        <f t="shared" si="11"/>
        <v>ANG606410000</v>
      </c>
      <c r="E132">
        <v>786.01</v>
      </c>
      <c r="F132">
        <v>0</v>
      </c>
      <c r="G132">
        <f t="shared" si="12"/>
        <v>786.01</v>
      </c>
    </row>
    <row r="133" spans="1:7">
      <c r="A133" t="str">
        <f>"BET"</f>
        <v>BET</v>
      </c>
      <c r="B133" t="str">
        <f t="shared" si="10"/>
        <v>60641000</v>
      </c>
      <c r="C133" t="str">
        <f t="shared" si="11"/>
        <v>BET606410000</v>
      </c>
      <c r="E133">
        <v>573.37</v>
      </c>
      <c r="F133">
        <v>0</v>
      </c>
      <c r="G133">
        <f t="shared" si="12"/>
        <v>573.37</v>
      </c>
    </row>
    <row r="134" spans="1:7">
      <c r="A134" t="str">
        <f>"BOI"</f>
        <v>BOI</v>
      </c>
      <c r="B134" t="str">
        <f t="shared" si="10"/>
        <v>60641000</v>
      </c>
      <c r="C134" t="str">
        <f t="shared" si="11"/>
        <v>BOI606410000</v>
      </c>
      <c r="E134">
        <v>272.16000000000003</v>
      </c>
      <c r="F134">
        <v>0</v>
      </c>
      <c r="G134">
        <f t="shared" si="12"/>
        <v>272.16000000000003</v>
      </c>
    </row>
    <row r="135" spans="1:7">
      <c r="A135" t="str">
        <f>"BOS"</f>
        <v>BOS</v>
      </c>
      <c r="B135" t="str">
        <f t="shared" si="10"/>
        <v>60641000</v>
      </c>
      <c r="C135" t="str">
        <f t="shared" si="11"/>
        <v>BOS606410000</v>
      </c>
      <c r="E135">
        <v>1287.07</v>
      </c>
      <c r="F135">
        <v>0</v>
      </c>
      <c r="G135">
        <f t="shared" si="12"/>
        <v>1287.07</v>
      </c>
    </row>
    <row r="136" spans="1:7">
      <c r="A136" t="str">
        <f>"BOU"</f>
        <v>BOU</v>
      </c>
      <c r="B136" t="str">
        <f t="shared" si="10"/>
        <v>60641000</v>
      </c>
      <c r="C136" t="str">
        <f t="shared" si="11"/>
        <v>BOU606410000</v>
      </c>
      <c r="E136">
        <v>2412.5700000000002</v>
      </c>
      <c r="F136">
        <v>0</v>
      </c>
      <c r="G136">
        <f t="shared" si="12"/>
        <v>2412.5700000000002</v>
      </c>
    </row>
    <row r="137" spans="1:7">
      <c r="A137" t="str">
        <f>"CAL"</f>
        <v>CAL</v>
      </c>
      <c r="B137" t="str">
        <f t="shared" si="10"/>
        <v>60641000</v>
      </c>
      <c r="C137" t="str">
        <f t="shared" si="11"/>
        <v>CAL606410000</v>
      </c>
      <c r="E137">
        <v>944.1</v>
      </c>
      <c r="F137">
        <v>0</v>
      </c>
      <c r="G137">
        <f t="shared" si="12"/>
        <v>944.1</v>
      </c>
    </row>
    <row r="138" spans="1:7">
      <c r="A138" t="str">
        <f>"CAM"</f>
        <v>CAM</v>
      </c>
      <c r="B138" t="str">
        <f t="shared" si="10"/>
        <v>60641000</v>
      </c>
      <c r="C138" t="str">
        <f t="shared" si="11"/>
        <v>CAM606410000</v>
      </c>
      <c r="E138">
        <v>1017.02</v>
      </c>
      <c r="F138">
        <v>0</v>
      </c>
      <c r="G138">
        <f t="shared" si="12"/>
        <v>1017.02</v>
      </c>
    </row>
    <row r="139" spans="1:7">
      <c r="A139" t="str">
        <f>"CAU"</f>
        <v>CAU</v>
      </c>
      <c r="B139" t="str">
        <f t="shared" si="10"/>
        <v>60641000</v>
      </c>
      <c r="C139" t="str">
        <f t="shared" si="11"/>
        <v>CAU606410000</v>
      </c>
      <c r="E139">
        <v>773.89</v>
      </c>
      <c r="F139">
        <v>0</v>
      </c>
      <c r="G139">
        <f t="shared" si="12"/>
        <v>773.89</v>
      </c>
    </row>
    <row r="140" spans="1:7">
      <c r="A140" t="str">
        <f>"CHA"</f>
        <v>CHA</v>
      </c>
      <c r="B140" t="str">
        <f t="shared" si="10"/>
        <v>60641000</v>
      </c>
      <c r="C140" t="str">
        <f t="shared" si="11"/>
        <v>CHA606410000</v>
      </c>
      <c r="E140">
        <v>650.89</v>
      </c>
      <c r="F140">
        <v>0</v>
      </c>
      <c r="G140">
        <f t="shared" si="12"/>
        <v>650.89</v>
      </c>
    </row>
    <row r="141" spans="1:7">
      <c r="A141" t="str">
        <f>"CHAM"</f>
        <v>CHAM</v>
      </c>
      <c r="B141" t="str">
        <f t="shared" si="10"/>
        <v>60641000</v>
      </c>
      <c r="C141" t="str">
        <f t="shared" si="11"/>
        <v>CHAM606410000</v>
      </c>
      <c r="E141">
        <v>266.77999999999997</v>
      </c>
      <c r="F141">
        <v>-89.33</v>
      </c>
      <c r="G141">
        <f t="shared" si="12"/>
        <v>356.10999999999996</v>
      </c>
    </row>
    <row r="142" spans="1:7">
      <c r="A142" t="str">
        <f>"CHART"</f>
        <v>CHART</v>
      </c>
      <c r="B142" t="str">
        <f t="shared" si="10"/>
        <v>60641000</v>
      </c>
      <c r="C142" t="str">
        <f t="shared" si="11"/>
        <v>CHART606410000</v>
      </c>
      <c r="E142">
        <v>3017.41</v>
      </c>
      <c r="F142">
        <v>0</v>
      </c>
      <c r="G142">
        <f t="shared" si="12"/>
        <v>3017.41</v>
      </c>
    </row>
    <row r="143" spans="1:7">
      <c r="A143" t="str">
        <f>"CLE"</f>
        <v>CLE</v>
      </c>
      <c r="B143" t="str">
        <f t="shared" si="10"/>
        <v>60641000</v>
      </c>
      <c r="C143" t="str">
        <f t="shared" si="11"/>
        <v>CLE606410000</v>
      </c>
      <c r="E143">
        <v>3116.78</v>
      </c>
      <c r="F143">
        <v>0</v>
      </c>
      <c r="G143">
        <f t="shared" si="12"/>
        <v>3116.78</v>
      </c>
    </row>
    <row r="144" spans="1:7">
      <c r="A144" t="str">
        <f>"COM"</f>
        <v>COM</v>
      </c>
      <c r="B144" t="str">
        <f t="shared" si="10"/>
        <v>60641000</v>
      </c>
      <c r="C144" t="str">
        <f t="shared" si="11"/>
        <v>COM606410000</v>
      </c>
      <c r="E144">
        <v>1757.25</v>
      </c>
      <c r="F144">
        <v>0</v>
      </c>
      <c r="G144">
        <f t="shared" si="12"/>
        <v>1757.25</v>
      </c>
    </row>
    <row r="145" spans="1:7">
      <c r="A145" t="str">
        <f>"CST"</f>
        <v>CST</v>
      </c>
      <c r="B145" t="str">
        <f t="shared" si="10"/>
        <v>60641000</v>
      </c>
      <c r="C145" t="str">
        <f t="shared" si="11"/>
        <v>CST606410000</v>
      </c>
      <c r="E145">
        <v>774.84</v>
      </c>
      <c r="F145">
        <v>0</v>
      </c>
      <c r="G145">
        <f t="shared" si="12"/>
        <v>774.84</v>
      </c>
    </row>
    <row r="146" spans="1:7">
      <c r="A146" t="str">
        <f>"DIJ"</f>
        <v>DIJ</v>
      </c>
      <c r="B146" t="str">
        <f t="shared" si="10"/>
        <v>60641000</v>
      </c>
      <c r="C146" t="str">
        <f t="shared" si="11"/>
        <v>DIJ606410000</v>
      </c>
      <c r="E146">
        <v>1493.06</v>
      </c>
      <c r="F146">
        <v>0</v>
      </c>
      <c r="G146">
        <f t="shared" si="12"/>
        <v>1493.06</v>
      </c>
    </row>
    <row r="147" spans="1:7">
      <c r="A147" t="str">
        <f>"EU"</f>
        <v>EU</v>
      </c>
      <c r="B147" t="str">
        <f t="shared" si="10"/>
        <v>60641000</v>
      </c>
      <c r="C147" t="str">
        <f t="shared" si="11"/>
        <v>EU606410000</v>
      </c>
      <c r="E147">
        <v>1387.81</v>
      </c>
      <c r="F147">
        <v>0</v>
      </c>
      <c r="G147">
        <f t="shared" si="12"/>
        <v>1387.81</v>
      </c>
    </row>
    <row r="148" spans="1:7">
      <c r="A148" t="str">
        <f>"GRE"</f>
        <v>GRE</v>
      </c>
      <c r="B148" t="str">
        <f t="shared" si="10"/>
        <v>60641000</v>
      </c>
      <c r="C148" t="str">
        <f t="shared" si="11"/>
        <v>GRE606410000</v>
      </c>
      <c r="E148">
        <v>2025.99</v>
      </c>
      <c r="F148">
        <v>0</v>
      </c>
      <c r="G148">
        <f t="shared" si="12"/>
        <v>2025.99</v>
      </c>
    </row>
    <row r="149" spans="1:7">
      <c r="A149" t="str">
        <f>"LEN"</f>
        <v>LEN</v>
      </c>
      <c r="B149" t="str">
        <f t="shared" si="10"/>
        <v>60641000</v>
      </c>
      <c r="C149" t="str">
        <f t="shared" si="11"/>
        <v>LEN606410000</v>
      </c>
      <c r="E149">
        <v>567.29</v>
      </c>
      <c r="F149">
        <v>0</v>
      </c>
      <c r="G149">
        <f t="shared" si="12"/>
        <v>567.29</v>
      </c>
    </row>
    <row r="150" spans="1:7">
      <c r="A150" t="str">
        <f>"LIL"</f>
        <v>LIL</v>
      </c>
      <c r="B150" t="str">
        <f t="shared" si="10"/>
        <v>60641000</v>
      </c>
      <c r="C150" t="str">
        <f t="shared" si="11"/>
        <v>LIL606410000</v>
      </c>
      <c r="E150">
        <v>14086.87</v>
      </c>
      <c r="F150">
        <v>0</v>
      </c>
      <c r="G150">
        <f t="shared" si="12"/>
        <v>14086.87</v>
      </c>
    </row>
    <row r="151" spans="1:7">
      <c r="A151" t="str">
        <f>"MAD"</f>
        <v>MAD</v>
      </c>
      <c r="B151" t="str">
        <f t="shared" si="10"/>
        <v>60641000</v>
      </c>
      <c r="C151" t="str">
        <f t="shared" si="11"/>
        <v>MAD606410000</v>
      </c>
      <c r="E151">
        <v>1159.2</v>
      </c>
      <c r="F151">
        <v>0</v>
      </c>
      <c r="G151">
        <f t="shared" si="12"/>
        <v>1159.2</v>
      </c>
    </row>
    <row r="152" spans="1:7">
      <c r="A152" t="str">
        <f>"MAR"</f>
        <v>MAR</v>
      </c>
      <c r="B152" t="str">
        <f t="shared" si="10"/>
        <v>60641000</v>
      </c>
      <c r="C152" t="str">
        <f t="shared" si="11"/>
        <v>MAR606410000</v>
      </c>
      <c r="E152">
        <v>776.05</v>
      </c>
      <c r="F152">
        <v>0</v>
      </c>
      <c r="G152">
        <f t="shared" si="12"/>
        <v>776.05</v>
      </c>
    </row>
    <row r="153" spans="1:7">
      <c r="A153" t="str">
        <f>"MON"</f>
        <v>MON</v>
      </c>
      <c r="B153" t="str">
        <f t="shared" si="10"/>
        <v>60641000</v>
      </c>
      <c r="C153" t="str">
        <f t="shared" si="11"/>
        <v>MON606410000</v>
      </c>
      <c r="E153">
        <v>1383.17</v>
      </c>
      <c r="F153">
        <v>0</v>
      </c>
      <c r="G153">
        <f t="shared" si="12"/>
        <v>1383.17</v>
      </c>
    </row>
    <row r="154" spans="1:7">
      <c r="A154" t="str">
        <f>"NAN"</f>
        <v>NAN</v>
      </c>
      <c r="B154" t="str">
        <f t="shared" si="10"/>
        <v>60641000</v>
      </c>
      <c r="C154" t="str">
        <f t="shared" si="11"/>
        <v>NAN606410000</v>
      </c>
      <c r="E154">
        <v>5580.33</v>
      </c>
      <c r="F154">
        <v>0</v>
      </c>
      <c r="G154">
        <f t="shared" si="12"/>
        <v>5580.33</v>
      </c>
    </row>
    <row r="155" spans="1:7">
      <c r="A155" t="str">
        <f>"ORL"</f>
        <v>ORL</v>
      </c>
      <c r="B155" t="str">
        <f t="shared" si="10"/>
        <v>60641000</v>
      </c>
      <c r="C155" t="str">
        <f t="shared" si="11"/>
        <v>ORL606410000</v>
      </c>
      <c r="E155">
        <v>2090.71</v>
      </c>
      <c r="F155">
        <v>0</v>
      </c>
      <c r="G155">
        <f t="shared" si="12"/>
        <v>2090.71</v>
      </c>
    </row>
    <row r="156" spans="1:7">
      <c r="A156" t="str">
        <f>"REN"</f>
        <v>REN</v>
      </c>
      <c r="B156" t="str">
        <f t="shared" si="10"/>
        <v>60641000</v>
      </c>
      <c r="C156" t="str">
        <f t="shared" si="11"/>
        <v>REN606410000</v>
      </c>
      <c r="E156">
        <v>542.69000000000005</v>
      </c>
      <c r="F156">
        <v>0</v>
      </c>
      <c r="G156">
        <f t="shared" si="12"/>
        <v>542.69000000000005</v>
      </c>
    </row>
    <row r="157" spans="1:7">
      <c r="A157" t="str">
        <f>"ROA"</f>
        <v>ROA</v>
      </c>
      <c r="B157" t="str">
        <f t="shared" si="10"/>
        <v>60641000</v>
      </c>
      <c r="C157" t="str">
        <f t="shared" si="11"/>
        <v>ROA606410000</v>
      </c>
      <c r="E157">
        <v>2139.0700000000002</v>
      </c>
      <c r="F157">
        <v>0</v>
      </c>
      <c r="G157">
        <f t="shared" si="12"/>
        <v>2139.0700000000002</v>
      </c>
    </row>
    <row r="158" spans="1:7">
      <c r="A158" t="str">
        <f>"SAU"</f>
        <v>SAU</v>
      </c>
      <c r="B158" t="str">
        <f t="shared" si="10"/>
        <v>60641000</v>
      </c>
      <c r="C158" t="str">
        <f t="shared" si="11"/>
        <v>SAU606410000</v>
      </c>
      <c r="E158">
        <v>1169.79</v>
      </c>
      <c r="F158">
        <v>0</v>
      </c>
      <c r="G158">
        <f t="shared" si="12"/>
        <v>1169.79</v>
      </c>
    </row>
    <row r="159" spans="1:7">
      <c r="A159" t="str">
        <f>"SOM"</f>
        <v>SOM</v>
      </c>
      <c r="B159" t="str">
        <f t="shared" si="10"/>
        <v>60641000</v>
      </c>
      <c r="C159" t="str">
        <f t="shared" si="11"/>
        <v>SOM606410000</v>
      </c>
      <c r="E159">
        <v>1336.58</v>
      </c>
      <c r="F159">
        <v>0</v>
      </c>
      <c r="G159">
        <f t="shared" si="12"/>
        <v>1336.58</v>
      </c>
    </row>
    <row r="160" spans="1:7">
      <c r="A160" t="str">
        <f>"THO"</f>
        <v>THO</v>
      </c>
      <c r="B160" t="str">
        <f t="shared" si="10"/>
        <v>60641000</v>
      </c>
      <c r="C160" t="str">
        <f t="shared" si="11"/>
        <v>THO606410000</v>
      </c>
      <c r="E160">
        <v>1876.43</v>
      </c>
      <c r="F160">
        <v>0</v>
      </c>
      <c r="G160">
        <f t="shared" si="12"/>
        <v>1876.43</v>
      </c>
    </row>
    <row r="161" spans="1:7">
      <c r="A161" t="str">
        <f>"TOURC"</f>
        <v>TOURC</v>
      </c>
      <c r="B161" t="str">
        <f t="shared" si="10"/>
        <v>60641000</v>
      </c>
      <c r="C161" t="str">
        <f t="shared" si="11"/>
        <v>TOURC606410000</v>
      </c>
      <c r="E161">
        <v>647.54999999999995</v>
      </c>
      <c r="F161">
        <v>0</v>
      </c>
      <c r="G161">
        <f t="shared" si="12"/>
        <v>647.54999999999995</v>
      </c>
    </row>
    <row r="162" spans="1:7">
      <c r="A162" t="str">
        <f>"VAN"</f>
        <v>VAN</v>
      </c>
      <c r="B162" t="str">
        <f t="shared" si="10"/>
        <v>60641000</v>
      </c>
      <c r="C162" t="str">
        <f t="shared" si="11"/>
        <v>VAN606410000</v>
      </c>
      <c r="E162">
        <v>1737.11</v>
      </c>
      <c r="F162">
        <v>0</v>
      </c>
      <c r="G162">
        <f t="shared" si="12"/>
        <v>1737.11</v>
      </c>
    </row>
    <row r="163" spans="1:7">
      <c r="A163" t="str">
        <f>"CHAM"</f>
        <v>CHAM</v>
      </c>
      <c r="B163" t="str">
        <f>"60683000"</f>
        <v>60683000</v>
      </c>
      <c r="C163" t="str">
        <f t="shared" si="11"/>
        <v>CHAM606830000</v>
      </c>
      <c r="E163">
        <v>1480.91</v>
      </c>
      <c r="F163">
        <v>0</v>
      </c>
      <c r="G163">
        <f t="shared" si="12"/>
        <v>1480.91</v>
      </c>
    </row>
    <row r="164" spans="1:7">
      <c r="A164" t="str">
        <f>"COM"</f>
        <v>COM</v>
      </c>
      <c r="B164" t="str">
        <f>"60683000"</f>
        <v>60683000</v>
      </c>
      <c r="C164" t="str">
        <f t="shared" si="11"/>
        <v>COM606830000</v>
      </c>
      <c r="E164">
        <v>800</v>
      </c>
      <c r="F164">
        <v>0</v>
      </c>
      <c r="G164">
        <f t="shared" si="12"/>
        <v>800</v>
      </c>
    </row>
    <row r="165" spans="1:7">
      <c r="A165" t="str">
        <f>"AMI"</f>
        <v>AMI</v>
      </c>
      <c r="B165" t="str">
        <f t="shared" ref="B165:B196" si="13">"60710000"</f>
        <v>60710000</v>
      </c>
      <c r="C165" t="str">
        <f t="shared" si="11"/>
        <v>AMI607100000</v>
      </c>
      <c r="E165">
        <v>48668.69</v>
      </c>
      <c r="F165">
        <v>0</v>
      </c>
      <c r="G165">
        <f t="shared" si="12"/>
        <v>48668.69</v>
      </c>
    </row>
    <row r="166" spans="1:7">
      <c r="A166" t="str">
        <f>"ANG"</f>
        <v>ANG</v>
      </c>
      <c r="B166" t="str">
        <f t="shared" si="13"/>
        <v>60710000</v>
      </c>
      <c r="C166" t="str">
        <f t="shared" si="11"/>
        <v>ANG607100000</v>
      </c>
      <c r="E166">
        <v>364597.34</v>
      </c>
      <c r="F166">
        <v>-6861.95</v>
      </c>
      <c r="G166">
        <f t="shared" si="12"/>
        <v>371459.29000000004</v>
      </c>
    </row>
    <row r="167" spans="1:7">
      <c r="A167" t="str">
        <f>"BET"</f>
        <v>BET</v>
      </c>
      <c r="B167" t="str">
        <f t="shared" si="13"/>
        <v>60710000</v>
      </c>
      <c r="C167" t="str">
        <f t="shared" si="11"/>
        <v>BET607100000</v>
      </c>
      <c r="E167">
        <v>41034.47</v>
      </c>
      <c r="F167">
        <v>0</v>
      </c>
      <c r="G167">
        <f t="shared" si="12"/>
        <v>41034.47</v>
      </c>
    </row>
    <row r="168" spans="1:7">
      <c r="A168" t="str">
        <f>"BOI"</f>
        <v>BOI</v>
      </c>
      <c r="B168" t="str">
        <f t="shared" si="13"/>
        <v>60710000</v>
      </c>
      <c r="C168" t="str">
        <f t="shared" si="11"/>
        <v>BOI607100000</v>
      </c>
      <c r="E168">
        <v>23734.400000000001</v>
      </c>
      <c r="F168">
        <v>-440.22</v>
      </c>
      <c r="G168">
        <f t="shared" si="12"/>
        <v>24174.620000000003</v>
      </c>
    </row>
    <row r="169" spans="1:7">
      <c r="A169" t="str">
        <f>"BOS"</f>
        <v>BOS</v>
      </c>
      <c r="B169" t="str">
        <f t="shared" si="13"/>
        <v>60710000</v>
      </c>
      <c r="C169" t="str">
        <f t="shared" si="11"/>
        <v>BOS607100000</v>
      </c>
      <c r="E169">
        <v>471283.8</v>
      </c>
      <c r="F169">
        <v>-197.52</v>
      </c>
      <c r="G169">
        <f t="shared" si="12"/>
        <v>471481.32</v>
      </c>
    </row>
    <row r="170" spans="1:7">
      <c r="A170" t="str">
        <f>"BOU"</f>
        <v>BOU</v>
      </c>
      <c r="B170" t="str">
        <f t="shared" si="13"/>
        <v>60710000</v>
      </c>
      <c r="C170" t="str">
        <f t="shared" si="11"/>
        <v>BOU607100000</v>
      </c>
      <c r="E170">
        <v>673226.28</v>
      </c>
      <c r="F170">
        <v>-8227.93</v>
      </c>
      <c r="G170">
        <f t="shared" si="12"/>
        <v>681454.21000000008</v>
      </c>
    </row>
    <row r="171" spans="1:7">
      <c r="A171" t="str">
        <f>"CAL"</f>
        <v>CAL</v>
      </c>
      <c r="B171" t="str">
        <f t="shared" si="13"/>
        <v>60710000</v>
      </c>
      <c r="C171" t="str">
        <f t="shared" si="11"/>
        <v>CAL607100000</v>
      </c>
      <c r="E171">
        <v>251455.15</v>
      </c>
      <c r="F171">
        <v>-9588.9500000000007</v>
      </c>
      <c r="G171">
        <f t="shared" si="12"/>
        <v>261044.1</v>
      </c>
    </row>
    <row r="172" spans="1:7">
      <c r="A172" t="str">
        <f>"CAM"</f>
        <v>CAM</v>
      </c>
      <c r="B172" t="str">
        <f t="shared" si="13"/>
        <v>60710000</v>
      </c>
      <c r="C172" t="str">
        <f t="shared" si="11"/>
        <v>CAM607100000</v>
      </c>
      <c r="E172">
        <v>117760.93</v>
      </c>
      <c r="F172">
        <v>-947.32</v>
      </c>
      <c r="G172">
        <f t="shared" si="12"/>
        <v>118708.25</v>
      </c>
    </row>
    <row r="173" spans="1:7">
      <c r="A173" t="str">
        <f>"CAU"</f>
        <v>CAU</v>
      </c>
      <c r="B173" t="str">
        <f t="shared" si="13"/>
        <v>60710000</v>
      </c>
      <c r="C173" t="str">
        <f t="shared" si="11"/>
        <v>CAU607100000</v>
      </c>
      <c r="E173">
        <v>129188.01</v>
      </c>
      <c r="F173">
        <v>-292.8</v>
      </c>
      <c r="G173">
        <f t="shared" si="12"/>
        <v>129480.81</v>
      </c>
    </row>
    <row r="174" spans="1:7">
      <c r="A174" t="str">
        <f>"CHA"</f>
        <v>CHA</v>
      </c>
      <c r="B174" t="str">
        <f t="shared" si="13"/>
        <v>60710000</v>
      </c>
      <c r="C174" t="str">
        <f t="shared" si="11"/>
        <v>CHA607100000</v>
      </c>
      <c r="E174">
        <v>110446.88</v>
      </c>
      <c r="F174">
        <v>-230.52</v>
      </c>
      <c r="G174">
        <f t="shared" si="12"/>
        <v>110677.40000000001</v>
      </c>
    </row>
    <row r="175" spans="1:7">
      <c r="A175" t="str">
        <f>"CHAM"</f>
        <v>CHAM</v>
      </c>
      <c r="B175" t="str">
        <f t="shared" si="13"/>
        <v>60710000</v>
      </c>
      <c r="C175" t="str">
        <f t="shared" si="11"/>
        <v>CHAM607100000</v>
      </c>
      <c r="E175">
        <v>203130.77</v>
      </c>
      <c r="F175">
        <v>-469.16</v>
      </c>
      <c r="G175">
        <f t="shared" si="12"/>
        <v>203599.93</v>
      </c>
    </row>
    <row r="176" spans="1:7">
      <c r="A176" t="str">
        <f>"CHART"</f>
        <v>CHART</v>
      </c>
      <c r="B176" t="str">
        <f t="shared" si="13"/>
        <v>60710000</v>
      </c>
      <c r="C176" t="str">
        <f t="shared" si="11"/>
        <v>CHART607100000</v>
      </c>
      <c r="E176">
        <v>301753.59999999998</v>
      </c>
      <c r="F176">
        <v>0</v>
      </c>
      <c r="G176">
        <f t="shared" si="12"/>
        <v>301753.59999999998</v>
      </c>
    </row>
    <row r="177" spans="1:7">
      <c r="A177" t="str">
        <f>"CLE"</f>
        <v>CLE</v>
      </c>
      <c r="B177" t="str">
        <f t="shared" si="13"/>
        <v>60710000</v>
      </c>
      <c r="C177" t="str">
        <f t="shared" si="11"/>
        <v>CLE607100000</v>
      </c>
      <c r="E177">
        <v>819492.3</v>
      </c>
      <c r="F177">
        <v>-2256.6</v>
      </c>
      <c r="G177">
        <f t="shared" si="12"/>
        <v>821748.9</v>
      </c>
    </row>
    <row r="178" spans="1:7">
      <c r="A178" t="str">
        <f>"COM"</f>
        <v>COM</v>
      </c>
      <c r="B178" t="str">
        <f t="shared" si="13"/>
        <v>60710000</v>
      </c>
      <c r="C178" t="str">
        <f t="shared" si="11"/>
        <v>COM607100000</v>
      </c>
      <c r="E178">
        <v>160096.72</v>
      </c>
      <c r="F178">
        <v>-1394.7</v>
      </c>
      <c r="G178">
        <f t="shared" si="12"/>
        <v>161491.42000000001</v>
      </c>
    </row>
    <row r="179" spans="1:7">
      <c r="A179" t="str">
        <f>"CST"</f>
        <v>CST</v>
      </c>
      <c r="B179" t="str">
        <f t="shared" si="13"/>
        <v>60710000</v>
      </c>
      <c r="C179" t="str">
        <f t="shared" si="11"/>
        <v>CST607100000</v>
      </c>
      <c r="E179">
        <v>220545.45</v>
      </c>
      <c r="F179">
        <v>-249</v>
      </c>
      <c r="G179">
        <f t="shared" si="12"/>
        <v>220794.45</v>
      </c>
    </row>
    <row r="180" spans="1:7">
      <c r="A180" t="str">
        <f>"DIJ"</f>
        <v>DIJ</v>
      </c>
      <c r="B180" t="str">
        <f t="shared" si="13"/>
        <v>60710000</v>
      </c>
      <c r="C180" t="str">
        <f t="shared" si="11"/>
        <v>DIJ607100000</v>
      </c>
      <c r="E180">
        <v>160773.74</v>
      </c>
      <c r="F180">
        <v>0</v>
      </c>
      <c r="G180">
        <f t="shared" si="12"/>
        <v>160773.74</v>
      </c>
    </row>
    <row r="181" spans="1:7">
      <c r="A181" t="str">
        <f>"EU"</f>
        <v>EU</v>
      </c>
      <c r="B181" t="str">
        <f t="shared" si="13"/>
        <v>60710000</v>
      </c>
      <c r="C181" t="str">
        <f t="shared" si="11"/>
        <v>EU607100000</v>
      </c>
      <c r="E181">
        <v>269088.74</v>
      </c>
      <c r="F181">
        <v>-3620.17</v>
      </c>
      <c r="G181">
        <f t="shared" si="12"/>
        <v>272708.90999999997</v>
      </c>
    </row>
    <row r="182" spans="1:7">
      <c r="A182" t="str">
        <f>"GRE"</f>
        <v>GRE</v>
      </c>
      <c r="B182" t="str">
        <f t="shared" si="13"/>
        <v>60710000</v>
      </c>
      <c r="C182" t="str">
        <f t="shared" si="11"/>
        <v>GRE607100000</v>
      </c>
      <c r="E182">
        <v>610720.30000000005</v>
      </c>
      <c r="F182">
        <v>-852.3</v>
      </c>
      <c r="G182">
        <f t="shared" si="12"/>
        <v>611572.60000000009</v>
      </c>
    </row>
    <row r="183" spans="1:7">
      <c r="A183" t="str">
        <f>"LEN"</f>
        <v>LEN</v>
      </c>
      <c r="B183" t="str">
        <f t="shared" si="13"/>
        <v>60710000</v>
      </c>
      <c r="C183" t="str">
        <f t="shared" si="11"/>
        <v>LEN607100000</v>
      </c>
      <c r="E183">
        <v>56530.05</v>
      </c>
      <c r="F183">
        <v>0</v>
      </c>
      <c r="G183">
        <f t="shared" si="12"/>
        <v>56530.05</v>
      </c>
    </row>
    <row r="184" spans="1:7">
      <c r="A184" t="str">
        <f>"LIL"</f>
        <v>LIL</v>
      </c>
      <c r="B184" t="str">
        <f t="shared" si="13"/>
        <v>60710000</v>
      </c>
      <c r="C184" t="str">
        <f t="shared" si="11"/>
        <v>LIL607100000</v>
      </c>
      <c r="E184">
        <v>58858.11</v>
      </c>
      <c r="F184">
        <v>0</v>
      </c>
      <c r="G184">
        <f t="shared" si="12"/>
        <v>58858.11</v>
      </c>
    </row>
    <row r="185" spans="1:7">
      <c r="A185" t="str">
        <f>"MAD"</f>
        <v>MAD</v>
      </c>
      <c r="B185" t="str">
        <f t="shared" si="13"/>
        <v>60710000</v>
      </c>
      <c r="C185" t="str">
        <f t="shared" si="11"/>
        <v>MAD607100000</v>
      </c>
      <c r="E185">
        <v>310488.96000000002</v>
      </c>
      <c r="F185">
        <v>-207.39</v>
      </c>
      <c r="G185">
        <f t="shared" si="12"/>
        <v>310696.35000000003</v>
      </c>
    </row>
    <row r="186" spans="1:7">
      <c r="A186" t="str">
        <f>"MAR"</f>
        <v>MAR</v>
      </c>
      <c r="B186" t="str">
        <f t="shared" si="13"/>
        <v>60710000</v>
      </c>
      <c r="C186" t="str">
        <f t="shared" si="11"/>
        <v>MAR607100000</v>
      </c>
      <c r="E186">
        <v>27605.34</v>
      </c>
      <c r="F186">
        <v>-251</v>
      </c>
      <c r="G186">
        <f t="shared" si="12"/>
        <v>27856.34</v>
      </c>
    </row>
    <row r="187" spans="1:7">
      <c r="A187" t="str">
        <f>"MON"</f>
        <v>MON</v>
      </c>
      <c r="B187" t="str">
        <f t="shared" si="13"/>
        <v>60710000</v>
      </c>
      <c r="C187" t="str">
        <f t="shared" si="11"/>
        <v>MON607100000</v>
      </c>
      <c r="E187">
        <v>227532.51</v>
      </c>
      <c r="F187">
        <v>-389.84</v>
      </c>
      <c r="G187">
        <f t="shared" si="12"/>
        <v>227922.35</v>
      </c>
    </row>
    <row r="188" spans="1:7">
      <c r="A188" t="str">
        <f>"NAN"</f>
        <v>NAN</v>
      </c>
      <c r="B188" t="str">
        <f t="shared" si="13"/>
        <v>60710000</v>
      </c>
      <c r="C188" t="str">
        <f t="shared" si="11"/>
        <v>NAN607100000</v>
      </c>
      <c r="E188">
        <v>245612.51</v>
      </c>
      <c r="F188">
        <v>-172.08</v>
      </c>
      <c r="G188">
        <f t="shared" si="12"/>
        <v>245784.59</v>
      </c>
    </row>
    <row r="189" spans="1:7">
      <c r="A189" t="str">
        <f>"ORL"</f>
        <v>ORL</v>
      </c>
      <c r="B189" t="str">
        <f t="shared" si="13"/>
        <v>60710000</v>
      </c>
      <c r="C189" t="str">
        <f t="shared" si="11"/>
        <v>ORL607100000</v>
      </c>
      <c r="E189">
        <v>281441.13</v>
      </c>
      <c r="F189">
        <v>-804.91</v>
      </c>
      <c r="G189">
        <f t="shared" si="12"/>
        <v>282246.03999999998</v>
      </c>
    </row>
    <row r="190" spans="1:7">
      <c r="A190" t="str">
        <f>"REN"</f>
        <v>REN</v>
      </c>
      <c r="B190" t="str">
        <f t="shared" si="13"/>
        <v>60710000</v>
      </c>
      <c r="C190" t="str">
        <f t="shared" si="11"/>
        <v>REN607100000</v>
      </c>
      <c r="E190">
        <v>66929.78</v>
      </c>
      <c r="F190">
        <v>-29.57</v>
      </c>
      <c r="G190">
        <f t="shared" si="12"/>
        <v>66959.350000000006</v>
      </c>
    </row>
    <row r="191" spans="1:7">
      <c r="A191" t="str">
        <f>"ROA"</f>
        <v>ROA</v>
      </c>
      <c r="B191" t="str">
        <f t="shared" si="13"/>
        <v>60710000</v>
      </c>
      <c r="C191" t="str">
        <f t="shared" si="11"/>
        <v>ROA607100000</v>
      </c>
      <c r="E191">
        <v>306906.53999999998</v>
      </c>
      <c r="F191">
        <v>0</v>
      </c>
      <c r="G191">
        <f t="shared" si="12"/>
        <v>306906.53999999998</v>
      </c>
    </row>
    <row r="192" spans="1:7">
      <c r="A192" t="str">
        <f>"SAU"</f>
        <v>SAU</v>
      </c>
      <c r="B192" t="str">
        <f t="shared" si="13"/>
        <v>60710000</v>
      </c>
      <c r="C192" t="str">
        <f t="shared" si="11"/>
        <v>SAU607100000</v>
      </c>
      <c r="E192">
        <v>31095.68</v>
      </c>
      <c r="F192">
        <v>0</v>
      </c>
      <c r="G192">
        <f t="shared" si="12"/>
        <v>31095.68</v>
      </c>
    </row>
    <row r="193" spans="1:7">
      <c r="A193" t="str">
        <f>"SOM"</f>
        <v>SOM</v>
      </c>
      <c r="B193" t="str">
        <f t="shared" si="13"/>
        <v>60710000</v>
      </c>
      <c r="C193" t="str">
        <f t="shared" si="11"/>
        <v>SOM607100000</v>
      </c>
      <c r="E193">
        <v>140983.69</v>
      </c>
      <c r="F193">
        <v>0</v>
      </c>
      <c r="G193">
        <f t="shared" si="12"/>
        <v>140983.69</v>
      </c>
    </row>
    <row r="194" spans="1:7">
      <c r="A194" t="str">
        <f>"THO"</f>
        <v>THO</v>
      </c>
      <c r="B194" t="str">
        <f t="shared" si="13"/>
        <v>60710000</v>
      </c>
      <c r="C194" t="str">
        <f t="shared" si="11"/>
        <v>THO607100000</v>
      </c>
      <c r="E194">
        <v>203363.55</v>
      </c>
      <c r="F194">
        <v>-13.7</v>
      </c>
      <c r="G194">
        <f t="shared" si="12"/>
        <v>203377.25</v>
      </c>
    </row>
    <row r="195" spans="1:7">
      <c r="A195" t="str">
        <f>"TOURC"</f>
        <v>TOURC</v>
      </c>
      <c r="B195" t="str">
        <f t="shared" si="13"/>
        <v>60710000</v>
      </c>
      <c r="C195" t="str">
        <f t="shared" ref="C195:C258" si="14">+A195&amp;B195*10</f>
        <v>TOURC607100000</v>
      </c>
      <c r="E195">
        <v>28639.95</v>
      </c>
      <c r="F195">
        <v>-69.03</v>
      </c>
      <c r="G195">
        <f t="shared" ref="G195:G258" si="15">+E195-F195</f>
        <v>28708.98</v>
      </c>
    </row>
    <row r="196" spans="1:7">
      <c r="A196" t="str">
        <f>"VAN"</f>
        <v>VAN</v>
      </c>
      <c r="B196" t="str">
        <f t="shared" si="13"/>
        <v>60710000</v>
      </c>
      <c r="C196" t="str">
        <f t="shared" si="14"/>
        <v>VAN607100000</v>
      </c>
      <c r="E196">
        <v>200617.18</v>
      </c>
      <c r="F196">
        <v>-367.26</v>
      </c>
      <c r="G196">
        <f t="shared" si="15"/>
        <v>200984.44</v>
      </c>
    </row>
    <row r="197" spans="1:7">
      <c r="A197" t="str">
        <f>"AMI"</f>
        <v>AMI</v>
      </c>
      <c r="B197" t="str">
        <f t="shared" ref="B197:B228" si="16">"60711000"</f>
        <v>60711000</v>
      </c>
      <c r="C197" t="str">
        <f t="shared" si="14"/>
        <v>AMI607110000</v>
      </c>
      <c r="E197">
        <v>63568.53</v>
      </c>
      <c r="F197">
        <v>0</v>
      </c>
      <c r="G197">
        <f t="shared" si="15"/>
        <v>63568.53</v>
      </c>
    </row>
    <row r="198" spans="1:7">
      <c r="A198" t="str">
        <f>"ANG"</f>
        <v>ANG</v>
      </c>
      <c r="B198" t="str">
        <f t="shared" si="16"/>
        <v>60711000</v>
      </c>
      <c r="C198" t="str">
        <f t="shared" si="14"/>
        <v>ANG607110000</v>
      </c>
      <c r="E198">
        <v>80731.09</v>
      </c>
      <c r="F198">
        <v>-1056.0999999999999</v>
      </c>
      <c r="G198">
        <f t="shared" si="15"/>
        <v>81787.19</v>
      </c>
    </row>
    <row r="199" spans="1:7">
      <c r="A199" t="str">
        <f>"BET"</f>
        <v>BET</v>
      </c>
      <c r="B199" t="str">
        <f t="shared" si="16"/>
        <v>60711000</v>
      </c>
      <c r="C199" t="str">
        <f t="shared" si="14"/>
        <v>BET607110000</v>
      </c>
      <c r="E199">
        <v>2305.6999999999998</v>
      </c>
      <c r="F199">
        <v>0</v>
      </c>
      <c r="G199">
        <f t="shared" si="15"/>
        <v>2305.6999999999998</v>
      </c>
    </row>
    <row r="200" spans="1:7">
      <c r="A200" t="str">
        <f>"BOI"</f>
        <v>BOI</v>
      </c>
      <c r="B200" t="str">
        <f t="shared" si="16"/>
        <v>60711000</v>
      </c>
      <c r="C200" t="str">
        <f t="shared" si="14"/>
        <v>BOI607110000</v>
      </c>
      <c r="E200">
        <v>8027.67</v>
      </c>
      <c r="F200">
        <v>0</v>
      </c>
      <c r="G200">
        <f t="shared" si="15"/>
        <v>8027.67</v>
      </c>
    </row>
    <row r="201" spans="1:7">
      <c r="A201" t="str">
        <f>"BOS"</f>
        <v>BOS</v>
      </c>
      <c r="B201" t="str">
        <f t="shared" si="16"/>
        <v>60711000</v>
      </c>
      <c r="C201" t="str">
        <f t="shared" si="14"/>
        <v>BOS607110000</v>
      </c>
      <c r="E201">
        <v>10241.86</v>
      </c>
      <c r="F201">
        <v>0</v>
      </c>
      <c r="G201">
        <f t="shared" si="15"/>
        <v>10241.86</v>
      </c>
    </row>
    <row r="202" spans="1:7">
      <c r="A202" t="str">
        <f>"BOU"</f>
        <v>BOU</v>
      </c>
      <c r="B202" t="str">
        <f t="shared" si="16"/>
        <v>60711000</v>
      </c>
      <c r="C202" t="str">
        <f t="shared" si="14"/>
        <v>BOU607110000</v>
      </c>
      <c r="E202">
        <v>100123.88</v>
      </c>
      <c r="F202">
        <v>-16703.04</v>
      </c>
      <c r="G202">
        <f t="shared" si="15"/>
        <v>116826.92000000001</v>
      </c>
    </row>
    <row r="203" spans="1:7">
      <c r="A203" t="str">
        <f>"CAL"</f>
        <v>CAL</v>
      </c>
      <c r="B203" t="str">
        <f t="shared" si="16"/>
        <v>60711000</v>
      </c>
      <c r="C203" t="str">
        <f t="shared" si="14"/>
        <v>CAL607110000</v>
      </c>
      <c r="E203">
        <v>7666.61</v>
      </c>
      <c r="F203">
        <v>-216.77</v>
      </c>
      <c r="G203">
        <f t="shared" si="15"/>
        <v>7883.38</v>
      </c>
    </row>
    <row r="204" spans="1:7">
      <c r="A204" t="str">
        <f>"CAM"</f>
        <v>CAM</v>
      </c>
      <c r="B204" t="str">
        <f t="shared" si="16"/>
        <v>60711000</v>
      </c>
      <c r="C204" t="str">
        <f t="shared" si="14"/>
        <v>CAM607110000</v>
      </c>
      <c r="E204">
        <v>4320.3999999999996</v>
      </c>
      <c r="F204">
        <v>0</v>
      </c>
      <c r="G204">
        <f t="shared" si="15"/>
        <v>4320.3999999999996</v>
      </c>
    </row>
    <row r="205" spans="1:7">
      <c r="A205" t="str">
        <f>"CAU"</f>
        <v>CAU</v>
      </c>
      <c r="B205" t="str">
        <f t="shared" si="16"/>
        <v>60711000</v>
      </c>
      <c r="C205" t="str">
        <f t="shared" si="14"/>
        <v>CAU607110000</v>
      </c>
      <c r="E205">
        <v>11815.67</v>
      </c>
      <c r="F205">
        <v>0</v>
      </c>
      <c r="G205">
        <f t="shared" si="15"/>
        <v>11815.67</v>
      </c>
    </row>
    <row r="206" spans="1:7">
      <c r="A206" t="str">
        <f>"CHA"</f>
        <v>CHA</v>
      </c>
      <c r="B206" t="str">
        <f t="shared" si="16"/>
        <v>60711000</v>
      </c>
      <c r="C206" t="str">
        <f t="shared" si="14"/>
        <v>CHA607110000</v>
      </c>
      <c r="E206">
        <v>25754.07</v>
      </c>
      <c r="F206">
        <v>-175</v>
      </c>
      <c r="G206">
        <f t="shared" si="15"/>
        <v>25929.07</v>
      </c>
    </row>
    <row r="207" spans="1:7">
      <c r="A207" t="str">
        <f>"CHAM"</f>
        <v>CHAM</v>
      </c>
      <c r="B207" t="str">
        <f t="shared" si="16"/>
        <v>60711000</v>
      </c>
      <c r="C207" t="str">
        <f t="shared" si="14"/>
        <v>CHAM607110000</v>
      </c>
      <c r="E207">
        <v>20892.939999999999</v>
      </c>
      <c r="F207">
        <v>0</v>
      </c>
      <c r="G207">
        <f t="shared" si="15"/>
        <v>20892.939999999999</v>
      </c>
    </row>
    <row r="208" spans="1:7">
      <c r="A208" t="str">
        <f>"CHART"</f>
        <v>CHART</v>
      </c>
      <c r="B208" t="str">
        <f t="shared" si="16"/>
        <v>60711000</v>
      </c>
      <c r="C208" t="str">
        <f t="shared" si="14"/>
        <v>CHART607110000</v>
      </c>
      <c r="E208">
        <v>23894.93</v>
      </c>
      <c r="F208">
        <v>-358.5</v>
      </c>
      <c r="G208">
        <f t="shared" si="15"/>
        <v>24253.43</v>
      </c>
    </row>
    <row r="209" spans="1:9">
      <c r="A209" t="str">
        <f>"CLE"</f>
        <v>CLE</v>
      </c>
      <c r="B209" t="str">
        <f t="shared" si="16"/>
        <v>60711000</v>
      </c>
      <c r="C209" t="str">
        <f t="shared" si="14"/>
        <v>CLE607110000</v>
      </c>
      <c r="E209">
        <v>104276.43</v>
      </c>
      <c r="F209">
        <v>-353.91</v>
      </c>
      <c r="G209">
        <f t="shared" si="15"/>
        <v>104630.34</v>
      </c>
    </row>
    <row r="210" spans="1:9">
      <c r="A210" t="str">
        <f>"COM"</f>
        <v>COM</v>
      </c>
      <c r="B210" t="str">
        <f t="shared" si="16"/>
        <v>60711000</v>
      </c>
      <c r="C210" t="str">
        <f t="shared" si="14"/>
        <v>COM607110000</v>
      </c>
      <c r="E210">
        <v>27810.54</v>
      </c>
      <c r="F210">
        <v>0</v>
      </c>
      <c r="G210">
        <f t="shared" si="15"/>
        <v>27810.54</v>
      </c>
    </row>
    <row r="211" spans="1:9">
      <c r="A211" t="str">
        <f>"CST"</f>
        <v>CST</v>
      </c>
      <c r="B211" t="str">
        <f t="shared" si="16"/>
        <v>60711000</v>
      </c>
      <c r="C211" t="str">
        <f t="shared" si="14"/>
        <v>CST607110000</v>
      </c>
      <c r="E211">
        <v>33670.92</v>
      </c>
      <c r="F211">
        <v>0</v>
      </c>
      <c r="G211">
        <f t="shared" si="15"/>
        <v>33670.92</v>
      </c>
    </row>
    <row r="212" spans="1:9">
      <c r="A212" t="str">
        <f>"DIJ"</f>
        <v>DIJ</v>
      </c>
      <c r="B212" t="str">
        <f t="shared" si="16"/>
        <v>60711000</v>
      </c>
      <c r="C212" t="str">
        <f t="shared" si="14"/>
        <v>DIJ607110000</v>
      </c>
      <c r="E212">
        <v>1406.31</v>
      </c>
      <c r="F212">
        <v>0</v>
      </c>
      <c r="G212">
        <f t="shared" si="15"/>
        <v>1406.31</v>
      </c>
    </row>
    <row r="213" spans="1:9">
      <c r="A213" t="str">
        <f>"EU"</f>
        <v>EU</v>
      </c>
      <c r="B213" t="str">
        <f t="shared" si="16"/>
        <v>60711000</v>
      </c>
      <c r="C213" t="str">
        <f t="shared" si="14"/>
        <v>EU607110000</v>
      </c>
      <c r="E213">
        <v>29642.26</v>
      </c>
      <c r="F213">
        <v>0</v>
      </c>
      <c r="G213">
        <f t="shared" si="15"/>
        <v>29642.26</v>
      </c>
    </row>
    <row r="214" spans="1:9">
      <c r="A214" t="str">
        <f>"GRE"</f>
        <v>GRE</v>
      </c>
      <c r="B214" t="str">
        <f t="shared" si="16"/>
        <v>60711000</v>
      </c>
      <c r="C214" t="str">
        <f t="shared" si="14"/>
        <v>GRE607110000</v>
      </c>
      <c r="E214">
        <v>26749.919999999998</v>
      </c>
      <c r="F214">
        <v>0</v>
      </c>
      <c r="G214">
        <f t="shared" si="15"/>
        <v>26749.919999999998</v>
      </c>
    </row>
    <row r="215" spans="1:9">
      <c r="A215" t="str">
        <f>"LEN"</f>
        <v>LEN</v>
      </c>
      <c r="B215" t="str">
        <f t="shared" si="16"/>
        <v>60711000</v>
      </c>
      <c r="C215" t="str">
        <f t="shared" si="14"/>
        <v>LEN607110000</v>
      </c>
      <c r="E215">
        <v>1497.33</v>
      </c>
      <c r="F215">
        <v>0</v>
      </c>
      <c r="G215">
        <f t="shared" si="15"/>
        <v>1497.33</v>
      </c>
    </row>
    <row r="216" spans="1:9">
      <c r="A216" t="str">
        <f>"LIL"</f>
        <v>LIL</v>
      </c>
      <c r="B216" t="str">
        <f t="shared" si="16"/>
        <v>60711000</v>
      </c>
      <c r="C216" t="str">
        <f t="shared" si="14"/>
        <v>LIL607110000</v>
      </c>
      <c r="E216">
        <v>9304.6299999999992</v>
      </c>
      <c r="F216">
        <v>0</v>
      </c>
      <c r="G216">
        <f t="shared" si="15"/>
        <v>9304.6299999999992</v>
      </c>
    </row>
    <row r="217" spans="1:9">
      <c r="A217" t="str">
        <f>"MAD"</f>
        <v>MAD</v>
      </c>
      <c r="B217" t="str">
        <f t="shared" si="16"/>
        <v>60711000</v>
      </c>
      <c r="C217" t="str">
        <f t="shared" si="14"/>
        <v>MAD607110000</v>
      </c>
      <c r="E217">
        <v>69441.86</v>
      </c>
      <c r="F217">
        <v>0</v>
      </c>
      <c r="G217">
        <f t="shared" si="15"/>
        <v>69441.86</v>
      </c>
    </row>
    <row r="218" spans="1:9">
      <c r="A218" t="str">
        <f>"MAR"</f>
        <v>MAR</v>
      </c>
      <c r="B218" t="str">
        <f t="shared" si="16"/>
        <v>60711000</v>
      </c>
      <c r="C218" t="str">
        <f t="shared" si="14"/>
        <v>MAR607110000</v>
      </c>
      <c r="E218">
        <v>112.23</v>
      </c>
      <c r="F218">
        <v>0</v>
      </c>
      <c r="G218">
        <f t="shared" si="15"/>
        <v>112.23</v>
      </c>
    </row>
    <row r="219" spans="1:9">
      <c r="A219" t="str">
        <f>"MON"</f>
        <v>MON</v>
      </c>
      <c r="B219" t="str">
        <f t="shared" si="16"/>
        <v>60711000</v>
      </c>
      <c r="C219" t="str">
        <f t="shared" si="14"/>
        <v>MON607110000</v>
      </c>
      <c r="E219">
        <v>15350.81</v>
      </c>
      <c r="F219">
        <v>-1152.01</v>
      </c>
      <c r="G219">
        <f t="shared" si="15"/>
        <v>16502.82</v>
      </c>
    </row>
    <row r="220" spans="1:9">
      <c r="A220" t="str">
        <f>"NAN"</f>
        <v>NAN</v>
      </c>
      <c r="B220" t="str">
        <f t="shared" si="16"/>
        <v>60711000</v>
      </c>
      <c r="C220" t="str">
        <f t="shared" si="14"/>
        <v>NAN607110000</v>
      </c>
      <c r="E220">
        <v>11215.67</v>
      </c>
      <c r="F220">
        <v>0</v>
      </c>
      <c r="G220">
        <f t="shared" si="15"/>
        <v>11215.67</v>
      </c>
    </row>
    <row r="221" spans="1:9">
      <c r="A221" t="str">
        <f>"ORL"</f>
        <v>ORL</v>
      </c>
      <c r="B221" t="str">
        <f t="shared" si="16"/>
        <v>60711000</v>
      </c>
      <c r="C221" t="str">
        <f t="shared" si="14"/>
        <v>ORL607110000</v>
      </c>
      <c r="E221">
        <v>14152.45</v>
      </c>
      <c r="F221">
        <v>-2206.1999999999998</v>
      </c>
      <c r="G221">
        <f t="shared" si="15"/>
        <v>16358.650000000001</v>
      </c>
    </row>
    <row r="222" spans="1:9">
      <c r="A222" t="str">
        <f>"REN"</f>
        <v>REN</v>
      </c>
      <c r="B222" t="str">
        <f t="shared" si="16"/>
        <v>60711000</v>
      </c>
      <c r="C222" t="str">
        <f t="shared" si="14"/>
        <v>REN607110000</v>
      </c>
      <c r="E222">
        <v>14141.84</v>
      </c>
      <c r="F222">
        <v>0</v>
      </c>
      <c r="G222">
        <f t="shared" si="15"/>
        <v>14141.84</v>
      </c>
    </row>
    <row r="223" spans="1:9">
      <c r="A223" t="str">
        <f>"ROA"</f>
        <v>ROA</v>
      </c>
      <c r="B223" t="str">
        <f t="shared" si="16"/>
        <v>60711000</v>
      </c>
      <c r="C223" t="str">
        <f t="shared" si="14"/>
        <v>ROA607110000</v>
      </c>
      <c r="E223">
        <v>15934.54</v>
      </c>
      <c r="F223">
        <v>-750</v>
      </c>
      <c r="G223">
        <f t="shared" si="15"/>
        <v>16684.54</v>
      </c>
    </row>
    <row r="224" spans="1:9">
      <c r="A224" t="str">
        <f>"SAU"</f>
        <v>SAU</v>
      </c>
      <c r="B224" t="str">
        <f t="shared" si="16"/>
        <v>60711000</v>
      </c>
      <c r="C224" t="str">
        <f t="shared" si="14"/>
        <v>SAU607110000</v>
      </c>
      <c r="E224">
        <v>1080</v>
      </c>
      <c r="F224">
        <v>0</v>
      </c>
      <c r="G224">
        <f t="shared" si="15"/>
        <v>1080</v>
      </c>
      <c r="H224" s="433"/>
      <c r="I224" s="113"/>
    </row>
    <row r="225" spans="1:7">
      <c r="A225" t="str">
        <f>"SOM"</f>
        <v>SOM</v>
      </c>
      <c r="B225" t="str">
        <f t="shared" si="16"/>
        <v>60711000</v>
      </c>
      <c r="C225" t="str">
        <f t="shared" si="14"/>
        <v>SOM607110000</v>
      </c>
      <c r="E225">
        <v>4481.3900000000003</v>
      </c>
      <c r="F225">
        <v>0</v>
      </c>
      <c r="G225">
        <f t="shared" si="15"/>
        <v>4481.3900000000003</v>
      </c>
    </row>
    <row r="226" spans="1:7">
      <c r="A226" t="str">
        <f>"THO"</f>
        <v>THO</v>
      </c>
      <c r="B226" t="str">
        <f t="shared" si="16"/>
        <v>60711000</v>
      </c>
      <c r="C226" t="str">
        <f t="shared" si="14"/>
        <v>THO607110000</v>
      </c>
      <c r="E226">
        <v>10442.76</v>
      </c>
      <c r="F226">
        <v>0</v>
      </c>
      <c r="G226">
        <f t="shared" si="15"/>
        <v>10442.76</v>
      </c>
    </row>
    <row r="227" spans="1:7">
      <c r="A227" t="str">
        <f>"TOURC"</f>
        <v>TOURC</v>
      </c>
      <c r="B227" t="str">
        <f t="shared" si="16"/>
        <v>60711000</v>
      </c>
      <c r="C227" t="str">
        <f t="shared" si="14"/>
        <v>TOURC607110000</v>
      </c>
      <c r="E227">
        <v>917.31</v>
      </c>
      <c r="F227">
        <v>-172.54</v>
      </c>
      <c r="G227">
        <f t="shared" si="15"/>
        <v>1089.8499999999999</v>
      </c>
    </row>
    <row r="228" spans="1:7">
      <c r="A228" t="str">
        <f>"VAN"</f>
        <v>VAN</v>
      </c>
      <c r="B228" t="str">
        <f t="shared" si="16"/>
        <v>60711000</v>
      </c>
      <c r="C228" t="str">
        <f t="shared" si="14"/>
        <v>VAN607110000</v>
      </c>
      <c r="E228">
        <v>52594.02</v>
      </c>
      <c r="F228">
        <v>0</v>
      </c>
      <c r="G228">
        <f t="shared" si="15"/>
        <v>52594.02</v>
      </c>
    </row>
    <row r="229" spans="1:7">
      <c r="A229" t="str">
        <f>"ANG"</f>
        <v>ANG</v>
      </c>
      <c r="B229" t="str">
        <f t="shared" ref="B229:B241" si="17">"60712000"</f>
        <v>60712000</v>
      </c>
      <c r="C229" t="str">
        <f t="shared" si="14"/>
        <v>ANG607120000</v>
      </c>
      <c r="E229">
        <v>-53.48</v>
      </c>
      <c r="F229">
        <v>0</v>
      </c>
      <c r="G229">
        <f t="shared" si="15"/>
        <v>-53.48</v>
      </c>
    </row>
    <row r="230" spans="1:7">
      <c r="A230" t="str">
        <f>"BOU"</f>
        <v>BOU</v>
      </c>
      <c r="B230" t="str">
        <f t="shared" si="17"/>
        <v>60712000</v>
      </c>
      <c r="C230" t="str">
        <f t="shared" si="14"/>
        <v>BOU607120000</v>
      </c>
      <c r="E230">
        <v>-5946</v>
      </c>
      <c r="F230">
        <v>0</v>
      </c>
      <c r="G230">
        <f t="shared" si="15"/>
        <v>-5946</v>
      </c>
    </row>
    <row r="231" spans="1:7">
      <c r="A231" t="str">
        <f>"CAU"</f>
        <v>CAU</v>
      </c>
      <c r="B231" t="str">
        <f t="shared" si="17"/>
        <v>60712000</v>
      </c>
      <c r="C231" t="str">
        <f t="shared" si="14"/>
        <v>CAU607120000</v>
      </c>
      <c r="E231">
        <v>-169.5</v>
      </c>
      <c r="F231">
        <v>0</v>
      </c>
      <c r="G231">
        <f t="shared" si="15"/>
        <v>-169.5</v>
      </c>
    </row>
    <row r="232" spans="1:7">
      <c r="A232" t="str">
        <f>"CLE"</f>
        <v>CLE</v>
      </c>
      <c r="B232" t="str">
        <f t="shared" si="17"/>
        <v>60712000</v>
      </c>
      <c r="C232" t="str">
        <f t="shared" si="14"/>
        <v>CLE607120000</v>
      </c>
      <c r="E232">
        <v>-547.34</v>
      </c>
      <c r="F232">
        <v>0</v>
      </c>
      <c r="G232">
        <f t="shared" si="15"/>
        <v>-547.34</v>
      </c>
    </row>
    <row r="233" spans="1:7">
      <c r="A233" t="str">
        <f>"COM"</f>
        <v>COM</v>
      </c>
      <c r="B233" t="str">
        <f t="shared" si="17"/>
        <v>60712000</v>
      </c>
      <c r="C233" t="str">
        <f t="shared" si="14"/>
        <v>COM607120000</v>
      </c>
      <c r="E233">
        <v>-70.27</v>
      </c>
      <c r="F233">
        <v>0</v>
      </c>
      <c r="G233">
        <f t="shared" si="15"/>
        <v>-70.27</v>
      </c>
    </row>
    <row r="234" spans="1:7">
      <c r="A234" t="str">
        <f>"EU"</f>
        <v>EU</v>
      </c>
      <c r="B234" t="str">
        <f t="shared" si="17"/>
        <v>60712000</v>
      </c>
      <c r="C234" t="str">
        <f t="shared" si="14"/>
        <v>EU607120000</v>
      </c>
      <c r="E234">
        <v>-861.37</v>
      </c>
      <c r="F234">
        <v>0</v>
      </c>
      <c r="G234">
        <f t="shared" si="15"/>
        <v>-861.37</v>
      </c>
    </row>
    <row r="235" spans="1:7">
      <c r="A235" t="str">
        <f>"GRE"</f>
        <v>GRE</v>
      </c>
      <c r="B235" t="str">
        <f t="shared" si="17"/>
        <v>60712000</v>
      </c>
      <c r="C235" t="str">
        <f t="shared" si="14"/>
        <v>GRE607120000</v>
      </c>
      <c r="E235">
        <v>-91</v>
      </c>
      <c r="F235">
        <v>0</v>
      </c>
      <c r="G235">
        <f t="shared" si="15"/>
        <v>-91</v>
      </c>
    </row>
    <row r="236" spans="1:7">
      <c r="A236" t="str">
        <f>"LIL"</f>
        <v>LIL</v>
      </c>
      <c r="B236" t="str">
        <f t="shared" si="17"/>
        <v>60712000</v>
      </c>
      <c r="C236" t="str">
        <f t="shared" si="14"/>
        <v>LIL607120000</v>
      </c>
      <c r="E236">
        <v>-1802.26</v>
      </c>
      <c r="F236">
        <v>0</v>
      </c>
      <c r="G236">
        <f t="shared" si="15"/>
        <v>-1802.26</v>
      </c>
    </row>
    <row r="237" spans="1:7">
      <c r="A237" t="str">
        <f>"MON"</f>
        <v>MON</v>
      </c>
      <c r="B237" t="str">
        <f t="shared" si="17"/>
        <v>60712000</v>
      </c>
      <c r="C237" t="str">
        <f t="shared" si="14"/>
        <v>MON607120000</v>
      </c>
      <c r="E237">
        <v>-109.63</v>
      </c>
      <c r="F237">
        <v>0</v>
      </c>
      <c r="G237">
        <f t="shared" si="15"/>
        <v>-109.63</v>
      </c>
    </row>
    <row r="238" spans="1:7">
      <c r="A238" t="str">
        <f>"ORL"</f>
        <v>ORL</v>
      </c>
      <c r="B238" t="str">
        <f t="shared" si="17"/>
        <v>60712000</v>
      </c>
      <c r="C238" t="str">
        <f t="shared" si="14"/>
        <v>ORL607120000</v>
      </c>
      <c r="E238">
        <v>-390</v>
      </c>
      <c r="F238">
        <v>0</v>
      </c>
      <c r="G238">
        <f t="shared" si="15"/>
        <v>-390</v>
      </c>
    </row>
    <row r="239" spans="1:7">
      <c r="A239" t="str">
        <f>"REN"</f>
        <v>REN</v>
      </c>
      <c r="B239" t="str">
        <f t="shared" si="17"/>
        <v>60712000</v>
      </c>
      <c r="C239" t="str">
        <f t="shared" si="14"/>
        <v>REN607120000</v>
      </c>
      <c r="E239">
        <v>-143.79</v>
      </c>
      <c r="F239">
        <v>0</v>
      </c>
      <c r="G239">
        <f t="shared" si="15"/>
        <v>-143.79</v>
      </c>
    </row>
    <row r="240" spans="1:7">
      <c r="A240" t="str">
        <f>"ROA"</f>
        <v>ROA</v>
      </c>
      <c r="B240" t="str">
        <f t="shared" si="17"/>
        <v>60712000</v>
      </c>
      <c r="C240" t="str">
        <f t="shared" si="14"/>
        <v>ROA607120000</v>
      </c>
      <c r="E240">
        <v>-808.24</v>
      </c>
      <c r="F240">
        <v>0</v>
      </c>
      <c r="G240">
        <f t="shared" si="15"/>
        <v>-808.24</v>
      </c>
    </row>
    <row r="241" spans="1:7">
      <c r="A241" t="str">
        <f>"SOM"</f>
        <v>SOM</v>
      </c>
      <c r="B241" t="str">
        <f t="shared" si="17"/>
        <v>60712000</v>
      </c>
      <c r="C241" t="str">
        <f t="shared" si="14"/>
        <v>SOM607120000</v>
      </c>
      <c r="E241">
        <v>-125.68</v>
      </c>
      <c r="F241">
        <v>0</v>
      </c>
      <c r="G241">
        <f t="shared" si="15"/>
        <v>-125.68</v>
      </c>
    </row>
    <row r="242" spans="1:7">
      <c r="A242" t="str">
        <f>"AMI"</f>
        <v>AMI</v>
      </c>
      <c r="B242" t="str">
        <f t="shared" ref="B242:B272" si="18">"60713000"</f>
        <v>60713000</v>
      </c>
      <c r="C242" t="str">
        <f t="shared" si="14"/>
        <v>AMI607130000</v>
      </c>
      <c r="E242">
        <v>79824.92</v>
      </c>
      <c r="F242">
        <v>0</v>
      </c>
      <c r="G242">
        <f t="shared" si="15"/>
        <v>79824.92</v>
      </c>
    </row>
    <row r="243" spans="1:7">
      <c r="A243" t="str">
        <f>"ANG"</f>
        <v>ANG</v>
      </c>
      <c r="B243" t="str">
        <f t="shared" si="18"/>
        <v>60713000</v>
      </c>
      <c r="C243" t="str">
        <f t="shared" si="14"/>
        <v>ANG607130000</v>
      </c>
      <c r="E243">
        <v>56409.41</v>
      </c>
      <c r="F243">
        <v>0</v>
      </c>
      <c r="G243">
        <f t="shared" si="15"/>
        <v>56409.41</v>
      </c>
    </row>
    <row r="244" spans="1:7">
      <c r="A244" t="str">
        <f>"BET"</f>
        <v>BET</v>
      </c>
      <c r="B244" t="str">
        <f t="shared" si="18"/>
        <v>60713000</v>
      </c>
      <c r="C244" t="str">
        <f t="shared" si="14"/>
        <v>BET607130000</v>
      </c>
      <c r="E244">
        <v>53478.89</v>
      </c>
      <c r="F244">
        <v>0</v>
      </c>
      <c r="G244">
        <f t="shared" si="15"/>
        <v>53478.89</v>
      </c>
    </row>
    <row r="245" spans="1:7">
      <c r="A245" t="str">
        <f>"BOI"</f>
        <v>BOI</v>
      </c>
      <c r="B245" t="str">
        <f t="shared" si="18"/>
        <v>60713000</v>
      </c>
      <c r="C245" t="str">
        <f t="shared" si="14"/>
        <v>BOI607130000</v>
      </c>
      <c r="E245">
        <v>35255.93</v>
      </c>
      <c r="F245">
        <v>0</v>
      </c>
      <c r="G245">
        <f t="shared" si="15"/>
        <v>35255.93</v>
      </c>
    </row>
    <row r="246" spans="1:7">
      <c r="A246" t="str">
        <f>"BOS"</f>
        <v>BOS</v>
      </c>
      <c r="B246" t="str">
        <f t="shared" si="18"/>
        <v>60713000</v>
      </c>
      <c r="C246" t="str">
        <f t="shared" si="14"/>
        <v>BOS607130000</v>
      </c>
      <c r="E246">
        <v>55253.98</v>
      </c>
      <c r="F246">
        <v>0</v>
      </c>
      <c r="G246">
        <f t="shared" si="15"/>
        <v>55253.98</v>
      </c>
    </row>
    <row r="247" spans="1:7">
      <c r="A247" t="str">
        <f>"BOU"</f>
        <v>BOU</v>
      </c>
      <c r="B247" t="str">
        <f t="shared" si="18"/>
        <v>60713000</v>
      </c>
      <c r="C247" t="str">
        <f t="shared" si="14"/>
        <v>BOU607130000</v>
      </c>
      <c r="E247">
        <v>96945.5</v>
      </c>
      <c r="F247">
        <v>0</v>
      </c>
      <c r="G247">
        <f t="shared" si="15"/>
        <v>96945.5</v>
      </c>
    </row>
    <row r="248" spans="1:7">
      <c r="A248" t="str">
        <f>"CAL"</f>
        <v>CAL</v>
      </c>
      <c r="B248" t="str">
        <f t="shared" si="18"/>
        <v>60713000</v>
      </c>
      <c r="C248" t="str">
        <f t="shared" si="14"/>
        <v>CAL607130000</v>
      </c>
      <c r="E248">
        <v>131284.29999999999</v>
      </c>
      <c r="F248">
        <v>0</v>
      </c>
      <c r="G248">
        <f t="shared" si="15"/>
        <v>131284.29999999999</v>
      </c>
    </row>
    <row r="249" spans="1:7">
      <c r="A249" t="str">
        <f>"CAM"</f>
        <v>CAM</v>
      </c>
      <c r="B249" t="str">
        <f t="shared" si="18"/>
        <v>60713000</v>
      </c>
      <c r="C249" t="str">
        <f t="shared" si="14"/>
        <v>CAM607130000</v>
      </c>
      <c r="E249">
        <v>62046.44</v>
      </c>
      <c r="F249">
        <v>0</v>
      </c>
      <c r="G249">
        <f t="shared" si="15"/>
        <v>62046.44</v>
      </c>
    </row>
    <row r="250" spans="1:7">
      <c r="A250" t="str">
        <f>"CAU"</f>
        <v>CAU</v>
      </c>
      <c r="B250" t="str">
        <f t="shared" si="18"/>
        <v>60713000</v>
      </c>
      <c r="C250" t="str">
        <f t="shared" si="14"/>
        <v>CAU607130000</v>
      </c>
      <c r="E250">
        <v>83068.39</v>
      </c>
      <c r="F250">
        <v>0</v>
      </c>
      <c r="G250">
        <f t="shared" si="15"/>
        <v>83068.39</v>
      </c>
    </row>
    <row r="251" spans="1:7">
      <c r="A251" t="str">
        <f>"CHA"</f>
        <v>CHA</v>
      </c>
      <c r="B251" t="str">
        <f t="shared" si="18"/>
        <v>60713000</v>
      </c>
      <c r="C251" t="str">
        <f t="shared" si="14"/>
        <v>CHA607130000</v>
      </c>
      <c r="E251">
        <v>37961.61</v>
      </c>
      <c r="F251">
        <v>0</v>
      </c>
      <c r="G251">
        <f t="shared" si="15"/>
        <v>37961.61</v>
      </c>
    </row>
    <row r="252" spans="1:7">
      <c r="A252" t="str">
        <f>"CHAM"</f>
        <v>CHAM</v>
      </c>
      <c r="B252" t="str">
        <f t="shared" si="18"/>
        <v>60713000</v>
      </c>
      <c r="C252" t="str">
        <f t="shared" si="14"/>
        <v>CHAM607130000</v>
      </c>
      <c r="E252">
        <v>66319.45</v>
      </c>
      <c r="F252">
        <v>0</v>
      </c>
      <c r="G252">
        <f t="shared" si="15"/>
        <v>66319.45</v>
      </c>
    </row>
    <row r="253" spans="1:7">
      <c r="A253" t="str">
        <f>"CHART"</f>
        <v>CHART</v>
      </c>
      <c r="B253" t="str">
        <f t="shared" si="18"/>
        <v>60713000</v>
      </c>
      <c r="C253" t="str">
        <f t="shared" si="14"/>
        <v>CHART607130000</v>
      </c>
      <c r="E253">
        <v>45801.8</v>
      </c>
      <c r="F253">
        <v>0</v>
      </c>
      <c r="G253">
        <f t="shared" si="15"/>
        <v>45801.8</v>
      </c>
    </row>
    <row r="254" spans="1:7">
      <c r="A254" t="str">
        <f>"CLE"</f>
        <v>CLE</v>
      </c>
      <c r="B254" t="str">
        <f t="shared" si="18"/>
        <v>60713000</v>
      </c>
      <c r="C254" t="str">
        <f t="shared" si="14"/>
        <v>CLE607130000</v>
      </c>
      <c r="E254">
        <v>20455.29</v>
      </c>
      <c r="F254">
        <v>0</v>
      </c>
      <c r="G254">
        <f t="shared" si="15"/>
        <v>20455.29</v>
      </c>
    </row>
    <row r="255" spans="1:7">
      <c r="A255" t="str">
        <f>"COM"</f>
        <v>COM</v>
      </c>
      <c r="B255" t="str">
        <f t="shared" si="18"/>
        <v>60713000</v>
      </c>
      <c r="C255" t="str">
        <f t="shared" si="14"/>
        <v>COM607130000</v>
      </c>
      <c r="E255">
        <v>54016.7</v>
      </c>
      <c r="F255">
        <v>0</v>
      </c>
      <c r="G255">
        <f t="shared" si="15"/>
        <v>54016.7</v>
      </c>
    </row>
    <row r="256" spans="1:7">
      <c r="A256" t="str">
        <f>"CST"</f>
        <v>CST</v>
      </c>
      <c r="B256" t="str">
        <f t="shared" si="18"/>
        <v>60713000</v>
      </c>
      <c r="C256" t="str">
        <f t="shared" si="14"/>
        <v>CST607130000</v>
      </c>
      <c r="E256">
        <v>28869.19</v>
      </c>
      <c r="F256">
        <v>0</v>
      </c>
      <c r="G256">
        <f t="shared" si="15"/>
        <v>28869.19</v>
      </c>
    </row>
    <row r="257" spans="1:7">
      <c r="A257" t="str">
        <f>"DIJ"</f>
        <v>DIJ</v>
      </c>
      <c r="B257" t="str">
        <f t="shared" si="18"/>
        <v>60713000</v>
      </c>
      <c r="C257" t="str">
        <f t="shared" si="14"/>
        <v>DIJ607130000</v>
      </c>
      <c r="E257">
        <v>4523.55</v>
      </c>
      <c r="F257">
        <v>0</v>
      </c>
      <c r="G257">
        <f t="shared" si="15"/>
        <v>4523.55</v>
      </c>
    </row>
    <row r="258" spans="1:7">
      <c r="A258" t="str">
        <f>"EU"</f>
        <v>EU</v>
      </c>
      <c r="B258" t="str">
        <f t="shared" si="18"/>
        <v>60713000</v>
      </c>
      <c r="C258" t="str">
        <f t="shared" si="14"/>
        <v>EU607130000</v>
      </c>
      <c r="E258">
        <v>24286.77</v>
      </c>
      <c r="F258">
        <v>0</v>
      </c>
      <c r="G258">
        <f t="shared" si="15"/>
        <v>24286.77</v>
      </c>
    </row>
    <row r="259" spans="1:7">
      <c r="A259" t="str">
        <f>"GRE"</f>
        <v>GRE</v>
      </c>
      <c r="B259" t="str">
        <f t="shared" si="18"/>
        <v>60713000</v>
      </c>
      <c r="C259" t="str">
        <f t="shared" ref="C259:C322" si="19">+A259&amp;B259*10</f>
        <v>GRE607130000</v>
      </c>
      <c r="E259">
        <v>26239.78</v>
      </c>
      <c r="F259">
        <v>0</v>
      </c>
      <c r="G259">
        <f t="shared" ref="G259:G322" si="20">+E259-F259</f>
        <v>26239.78</v>
      </c>
    </row>
    <row r="260" spans="1:7">
      <c r="A260" t="str">
        <f>"LEN"</f>
        <v>LEN</v>
      </c>
      <c r="B260" t="str">
        <f t="shared" si="18"/>
        <v>60713000</v>
      </c>
      <c r="C260" t="str">
        <f t="shared" si="19"/>
        <v>LEN607130000</v>
      </c>
      <c r="E260">
        <v>76299.66</v>
      </c>
      <c r="F260">
        <v>0</v>
      </c>
      <c r="G260">
        <f t="shared" si="20"/>
        <v>76299.66</v>
      </c>
    </row>
    <row r="261" spans="1:7">
      <c r="A261" t="str">
        <f>"MAD"</f>
        <v>MAD</v>
      </c>
      <c r="B261" t="str">
        <f t="shared" si="18"/>
        <v>60713000</v>
      </c>
      <c r="C261" t="str">
        <f t="shared" si="19"/>
        <v>MAD607130000</v>
      </c>
      <c r="E261">
        <v>136153.76</v>
      </c>
      <c r="F261">
        <v>0</v>
      </c>
      <c r="G261">
        <f t="shared" si="20"/>
        <v>136153.76</v>
      </c>
    </row>
    <row r="262" spans="1:7">
      <c r="A262" t="str">
        <f>"MAR"</f>
        <v>MAR</v>
      </c>
      <c r="B262" t="str">
        <f t="shared" si="18"/>
        <v>60713000</v>
      </c>
      <c r="C262" t="str">
        <f t="shared" si="19"/>
        <v>MAR607130000</v>
      </c>
      <c r="E262">
        <v>51736.4</v>
      </c>
      <c r="F262">
        <v>0</v>
      </c>
      <c r="G262">
        <f t="shared" si="20"/>
        <v>51736.4</v>
      </c>
    </row>
    <row r="263" spans="1:7">
      <c r="A263" t="str">
        <f>"MON"</f>
        <v>MON</v>
      </c>
      <c r="B263" t="str">
        <f t="shared" si="18"/>
        <v>60713000</v>
      </c>
      <c r="C263" t="str">
        <f t="shared" si="19"/>
        <v>MON607130000</v>
      </c>
      <c r="E263">
        <v>8468.39</v>
      </c>
      <c r="F263">
        <v>0</v>
      </c>
      <c r="G263">
        <f t="shared" si="20"/>
        <v>8468.39</v>
      </c>
    </row>
    <row r="264" spans="1:7">
      <c r="A264" t="str">
        <f>"NAN"</f>
        <v>NAN</v>
      </c>
      <c r="B264" t="str">
        <f t="shared" si="18"/>
        <v>60713000</v>
      </c>
      <c r="C264" t="str">
        <f t="shared" si="19"/>
        <v>NAN607130000</v>
      </c>
      <c r="E264">
        <v>10943.66</v>
      </c>
      <c r="F264">
        <v>0</v>
      </c>
      <c r="G264">
        <f t="shared" si="20"/>
        <v>10943.66</v>
      </c>
    </row>
    <row r="265" spans="1:7">
      <c r="A265" t="str">
        <f>"ORL"</f>
        <v>ORL</v>
      </c>
      <c r="B265" t="str">
        <f t="shared" si="18"/>
        <v>60713000</v>
      </c>
      <c r="C265" t="str">
        <f t="shared" si="19"/>
        <v>ORL607130000</v>
      </c>
      <c r="E265">
        <v>56740.639999999999</v>
      </c>
      <c r="F265">
        <v>0</v>
      </c>
      <c r="G265">
        <f t="shared" si="20"/>
        <v>56740.639999999999</v>
      </c>
    </row>
    <row r="266" spans="1:7">
      <c r="A266" t="str">
        <f>"REN"</f>
        <v>REN</v>
      </c>
      <c r="B266" t="str">
        <f t="shared" si="18"/>
        <v>60713000</v>
      </c>
      <c r="C266" t="str">
        <f t="shared" si="19"/>
        <v>REN607130000</v>
      </c>
      <c r="E266">
        <v>79394.080000000002</v>
      </c>
      <c r="F266">
        <v>0</v>
      </c>
      <c r="G266">
        <f t="shared" si="20"/>
        <v>79394.080000000002</v>
      </c>
    </row>
    <row r="267" spans="1:7">
      <c r="A267" t="str">
        <f>"ROA"</f>
        <v>ROA</v>
      </c>
      <c r="B267" t="str">
        <f t="shared" si="18"/>
        <v>60713000</v>
      </c>
      <c r="C267" t="str">
        <f t="shared" si="19"/>
        <v>ROA607130000</v>
      </c>
      <c r="E267">
        <v>23557.5</v>
      </c>
      <c r="F267">
        <v>0</v>
      </c>
      <c r="G267">
        <f t="shared" si="20"/>
        <v>23557.5</v>
      </c>
    </row>
    <row r="268" spans="1:7">
      <c r="A268" t="str">
        <f>"SAU"</f>
        <v>SAU</v>
      </c>
      <c r="B268" t="str">
        <f t="shared" si="18"/>
        <v>60713000</v>
      </c>
      <c r="C268" t="str">
        <f t="shared" si="19"/>
        <v>SAU607130000</v>
      </c>
      <c r="E268">
        <v>39413.17</v>
      </c>
      <c r="F268">
        <v>0</v>
      </c>
      <c r="G268">
        <f t="shared" si="20"/>
        <v>39413.17</v>
      </c>
    </row>
    <row r="269" spans="1:7">
      <c r="A269" t="str">
        <f>"SOM"</f>
        <v>SOM</v>
      </c>
      <c r="B269" t="str">
        <f t="shared" si="18"/>
        <v>60713000</v>
      </c>
      <c r="C269" t="str">
        <f t="shared" si="19"/>
        <v>SOM607130000</v>
      </c>
      <c r="E269">
        <v>25645.59</v>
      </c>
      <c r="F269">
        <v>0</v>
      </c>
      <c r="G269">
        <f t="shared" si="20"/>
        <v>25645.59</v>
      </c>
    </row>
    <row r="270" spans="1:7">
      <c r="A270" t="str">
        <f>"THO"</f>
        <v>THO</v>
      </c>
      <c r="B270" t="str">
        <f t="shared" si="18"/>
        <v>60713000</v>
      </c>
      <c r="C270" t="str">
        <f t="shared" si="19"/>
        <v>THO607130000</v>
      </c>
      <c r="E270">
        <v>61417.93</v>
      </c>
      <c r="F270">
        <v>0</v>
      </c>
      <c r="G270">
        <f t="shared" si="20"/>
        <v>61417.93</v>
      </c>
    </row>
    <row r="271" spans="1:7">
      <c r="A271" t="str">
        <f>"TOURC"</f>
        <v>TOURC</v>
      </c>
      <c r="B271" t="str">
        <f t="shared" si="18"/>
        <v>60713000</v>
      </c>
      <c r="C271" t="str">
        <f t="shared" si="19"/>
        <v>TOURC607130000</v>
      </c>
      <c r="E271">
        <v>22175</v>
      </c>
      <c r="F271">
        <v>0</v>
      </c>
      <c r="G271">
        <f t="shared" si="20"/>
        <v>22175</v>
      </c>
    </row>
    <row r="272" spans="1:7">
      <c r="A272" t="str">
        <f>"VAN"</f>
        <v>VAN</v>
      </c>
      <c r="B272" t="str">
        <f t="shared" si="18"/>
        <v>60713000</v>
      </c>
      <c r="C272" t="str">
        <f t="shared" si="19"/>
        <v>VAN607130000</v>
      </c>
      <c r="E272">
        <v>39682.6</v>
      </c>
      <c r="F272">
        <v>0</v>
      </c>
      <c r="G272">
        <f t="shared" si="20"/>
        <v>39682.6</v>
      </c>
    </row>
    <row r="273" spans="1:7">
      <c r="A273" t="str">
        <f>"AMI"</f>
        <v>AMI</v>
      </c>
      <c r="B273" t="str">
        <f t="shared" ref="B273:B303" si="21">"60714000"</f>
        <v>60714000</v>
      </c>
      <c r="C273" t="str">
        <f t="shared" si="19"/>
        <v>AMI607140000</v>
      </c>
      <c r="E273">
        <v>-67534.91</v>
      </c>
      <c r="F273">
        <v>0</v>
      </c>
      <c r="G273">
        <f t="shared" si="20"/>
        <v>-67534.91</v>
      </c>
    </row>
    <row r="274" spans="1:7">
      <c r="A274" t="str">
        <f>"ANG"</f>
        <v>ANG</v>
      </c>
      <c r="B274" t="str">
        <f t="shared" si="21"/>
        <v>60714000</v>
      </c>
      <c r="C274" t="str">
        <f t="shared" si="19"/>
        <v>ANG607140000</v>
      </c>
      <c r="E274">
        <v>-117073.42</v>
      </c>
      <c r="F274">
        <v>0</v>
      </c>
      <c r="G274">
        <f t="shared" si="20"/>
        <v>-117073.42</v>
      </c>
    </row>
    <row r="275" spans="1:7">
      <c r="A275" t="str">
        <f>"BET"</f>
        <v>BET</v>
      </c>
      <c r="B275" t="str">
        <f t="shared" si="21"/>
        <v>60714000</v>
      </c>
      <c r="C275" t="str">
        <f t="shared" si="19"/>
        <v>BET607140000</v>
      </c>
      <c r="E275">
        <v>-19803.59</v>
      </c>
      <c r="F275">
        <v>0</v>
      </c>
      <c r="G275">
        <f t="shared" si="20"/>
        <v>-19803.59</v>
      </c>
    </row>
    <row r="276" spans="1:7">
      <c r="A276" t="str">
        <f>"BOI"</f>
        <v>BOI</v>
      </c>
      <c r="B276" t="str">
        <f t="shared" si="21"/>
        <v>60714000</v>
      </c>
      <c r="C276" t="str">
        <f t="shared" si="19"/>
        <v>BOI607140000</v>
      </c>
      <c r="E276">
        <v>-3092.58</v>
      </c>
      <c r="F276">
        <v>0</v>
      </c>
      <c r="G276">
        <f t="shared" si="20"/>
        <v>-3092.58</v>
      </c>
    </row>
    <row r="277" spans="1:7">
      <c r="A277" t="str">
        <f>"BOS"</f>
        <v>BOS</v>
      </c>
      <c r="B277" t="str">
        <f t="shared" si="21"/>
        <v>60714000</v>
      </c>
      <c r="C277" t="str">
        <f t="shared" si="19"/>
        <v>BOS607140000</v>
      </c>
      <c r="E277">
        <v>-27241.53</v>
      </c>
      <c r="F277">
        <v>0</v>
      </c>
      <c r="G277">
        <f t="shared" si="20"/>
        <v>-27241.53</v>
      </c>
    </row>
    <row r="278" spans="1:7">
      <c r="A278" t="str">
        <f>"BOU"</f>
        <v>BOU</v>
      </c>
      <c r="B278" t="str">
        <f t="shared" si="21"/>
        <v>60714000</v>
      </c>
      <c r="C278" t="str">
        <f t="shared" si="19"/>
        <v>BOU607140000</v>
      </c>
      <c r="E278">
        <v>-141094.39000000001</v>
      </c>
      <c r="F278">
        <v>0</v>
      </c>
      <c r="G278">
        <f t="shared" si="20"/>
        <v>-141094.39000000001</v>
      </c>
    </row>
    <row r="279" spans="1:7">
      <c r="A279" t="str">
        <f>"CAL"</f>
        <v>CAL</v>
      </c>
      <c r="B279" t="str">
        <f t="shared" si="21"/>
        <v>60714000</v>
      </c>
      <c r="C279" t="str">
        <f t="shared" si="19"/>
        <v>CAL607140000</v>
      </c>
      <c r="E279">
        <v>-16402.330000000002</v>
      </c>
      <c r="F279">
        <v>0</v>
      </c>
      <c r="G279">
        <f t="shared" si="20"/>
        <v>-16402.330000000002</v>
      </c>
    </row>
    <row r="280" spans="1:7">
      <c r="A280" t="str">
        <f>"CAM"</f>
        <v>CAM</v>
      </c>
      <c r="B280" t="str">
        <f t="shared" si="21"/>
        <v>60714000</v>
      </c>
      <c r="C280" t="str">
        <f t="shared" si="19"/>
        <v>CAM607140000</v>
      </c>
      <c r="E280">
        <v>-33901.769999999997</v>
      </c>
      <c r="F280">
        <v>0</v>
      </c>
      <c r="G280">
        <f t="shared" si="20"/>
        <v>-33901.769999999997</v>
      </c>
    </row>
    <row r="281" spans="1:7">
      <c r="A281" t="str">
        <f>"CAU"</f>
        <v>CAU</v>
      </c>
      <c r="B281" t="str">
        <f t="shared" si="21"/>
        <v>60714000</v>
      </c>
      <c r="C281" t="str">
        <f t="shared" si="19"/>
        <v>CAU607140000</v>
      </c>
      <c r="E281">
        <v>-30112.35</v>
      </c>
      <c r="F281">
        <v>0</v>
      </c>
      <c r="G281">
        <f t="shared" si="20"/>
        <v>-30112.35</v>
      </c>
    </row>
    <row r="282" spans="1:7">
      <c r="A282" t="str">
        <f>"CHA"</f>
        <v>CHA</v>
      </c>
      <c r="B282" t="str">
        <f t="shared" si="21"/>
        <v>60714000</v>
      </c>
      <c r="C282" t="str">
        <f t="shared" si="19"/>
        <v>CHA607140000</v>
      </c>
      <c r="E282">
        <v>-21422.53</v>
      </c>
      <c r="F282">
        <v>0</v>
      </c>
      <c r="G282">
        <f t="shared" si="20"/>
        <v>-21422.53</v>
      </c>
    </row>
    <row r="283" spans="1:7">
      <c r="A283" t="str">
        <f>"CHAM"</f>
        <v>CHAM</v>
      </c>
      <c r="B283" t="str">
        <f t="shared" si="21"/>
        <v>60714000</v>
      </c>
      <c r="C283" t="str">
        <f t="shared" si="19"/>
        <v>CHAM607140000</v>
      </c>
      <c r="E283">
        <v>-81865.95</v>
      </c>
      <c r="F283">
        <v>0</v>
      </c>
      <c r="G283">
        <f t="shared" si="20"/>
        <v>-81865.95</v>
      </c>
    </row>
    <row r="284" spans="1:7">
      <c r="A284" t="str">
        <f>"CHART"</f>
        <v>CHART</v>
      </c>
      <c r="B284" t="str">
        <f t="shared" si="21"/>
        <v>60714000</v>
      </c>
      <c r="C284" t="str">
        <f t="shared" si="19"/>
        <v>CHART607140000</v>
      </c>
      <c r="E284">
        <v>-26889.43</v>
      </c>
      <c r="F284">
        <v>0</v>
      </c>
      <c r="G284">
        <f t="shared" si="20"/>
        <v>-26889.43</v>
      </c>
    </row>
    <row r="285" spans="1:7">
      <c r="A285" t="str">
        <f>"CLE"</f>
        <v>CLE</v>
      </c>
      <c r="B285" t="str">
        <f t="shared" si="21"/>
        <v>60714000</v>
      </c>
      <c r="C285" t="str">
        <f t="shared" si="19"/>
        <v>CLE607140000</v>
      </c>
      <c r="E285">
        <v>-39144.449999999997</v>
      </c>
      <c r="F285">
        <v>0</v>
      </c>
      <c r="G285">
        <f t="shared" si="20"/>
        <v>-39144.449999999997</v>
      </c>
    </row>
    <row r="286" spans="1:7">
      <c r="A286" t="str">
        <f>"COM"</f>
        <v>COM</v>
      </c>
      <c r="B286" t="str">
        <f t="shared" si="21"/>
        <v>60714000</v>
      </c>
      <c r="C286" t="str">
        <f t="shared" si="19"/>
        <v>COM607140000</v>
      </c>
      <c r="E286">
        <v>-43885.81</v>
      </c>
      <c r="F286">
        <v>0</v>
      </c>
      <c r="G286">
        <f t="shared" si="20"/>
        <v>-43885.81</v>
      </c>
    </row>
    <row r="287" spans="1:7">
      <c r="A287" t="str">
        <f>"CST"</f>
        <v>CST</v>
      </c>
      <c r="B287" t="str">
        <f t="shared" si="21"/>
        <v>60714000</v>
      </c>
      <c r="C287" t="str">
        <f t="shared" si="19"/>
        <v>CST607140000</v>
      </c>
      <c r="E287">
        <v>-23098.02</v>
      </c>
      <c r="F287">
        <v>0</v>
      </c>
      <c r="G287">
        <f t="shared" si="20"/>
        <v>-23098.02</v>
      </c>
    </row>
    <row r="288" spans="1:7">
      <c r="A288" t="str">
        <f>"DIJ"</f>
        <v>DIJ</v>
      </c>
      <c r="B288" t="str">
        <f t="shared" si="21"/>
        <v>60714000</v>
      </c>
      <c r="C288" t="str">
        <f t="shared" si="19"/>
        <v>DIJ607140000</v>
      </c>
      <c r="E288">
        <v>-113.74</v>
      </c>
      <c r="F288">
        <v>0</v>
      </c>
      <c r="G288">
        <f t="shared" si="20"/>
        <v>-113.74</v>
      </c>
    </row>
    <row r="289" spans="1:9">
      <c r="A289" t="str">
        <f>"EU"</f>
        <v>EU</v>
      </c>
      <c r="B289" t="str">
        <f t="shared" si="21"/>
        <v>60714000</v>
      </c>
      <c r="C289" t="str">
        <f t="shared" si="19"/>
        <v>EU607140000</v>
      </c>
      <c r="E289">
        <v>-86908.99</v>
      </c>
      <c r="F289">
        <v>0</v>
      </c>
      <c r="G289">
        <f t="shared" si="20"/>
        <v>-86908.99</v>
      </c>
    </row>
    <row r="290" spans="1:9">
      <c r="A290" t="str">
        <f>"GRE"</f>
        <v>GRE</v>
      </c>
      <c r="B290" t="str">
        <f t="shared" si="21"/>
        <v>60714000</v>
      </c>
      <c r="C290" t="str">
        <f t="shared" si="19"/>
        <v>GRE607140000</v>
      </c>
      <c r="E290">
        <v>-66883.179999999993</v>
      </c>
      <c r="F290">
        <v>0</v>
      </c>
      <c r="G290">
        <f t="shared" si="20"/>
        <v>-66883.179999999993</v>
      </c>
    </row>
    <row r="291" spans="1:9">
      <c r="A291" t="str">
        <f>"LEN"</f>
        <v>LEN</v>
      </c>
      <c r="B291" t="str">
        <f t="shared" si="21"/>
        <v>60714000</v>
      </c>
      <c r="C291" t="str">
        <f t="shared" si="19"/>
        <v>LEN607140000</v>
      </c>
      <c r="E291">
        <v>-56889.01</v>
      </c>
      <c r="F291">
        <v>0</v>
      </c>
      <c r="G291">
        <f t="shared" si="20"/>
        <v>-56889.01</v>
      </c>
    </row>
    <row r="292" spans="1:9">
      <c r="A292" t="str">
        <f>"MAD"</f>
        <v>MAD</v>
      </c>
      <c r="B292" t="str">
        <f t="shared" si="21"/>
        <v>60714000</v>
      </c>
      <c r="C292" t="str">
        <f t="shared" si="19"/>
        <v>MAD607140000</v>
      </c>
      <c r="E292">
        <v>-271850.78000000003</v>
      </c>
      <c r="F292">
        <v>0</v>
      </c>
      <c r="G292">
        <f t="shared" si="20"/>
        <v>-271850.78000000003</v>
      </c>
    </row>
    <row r="293" spans="1:9">
      <c r="A293" t="str">
        <f>"MAR"</f>
        <v>MAR</v>
      </c>
      <c r="B293" t="str">
        <f t="shared" si="21"/>
        <v>60714000</v>
      </c>
      <c r="C293" t="str">
        <f t="shared" si="19"/>
        <v>MAR607140000</v>
      </c>
      <c r="E293">
        <v>-2693.17</v>
      </c>
      <c r="F293">
        <v>0</v>
      </c>
      <c r="G293">
        <f t="shared" si="20"/>
        <v>-2693.17</v>
      </c>
    </row>
    <row r="294" spans="1:9">
      <c r="A294" t="str">
        <f>"MON"</f>
        <v>MON</v>
      </c>
      <c r="B294" t="str">
        <f t="shared" si="21"/>
        <v>60714000</v>
      </c>
      <c r="C294" t="str">
        <f t="shared" si="19"/>
        <v>MON607140000</v>
      </c>
      <c r="E294">
        <v>-8291.7000000000007</v>
      </c>
      <c r="F294">
        <v>0</v>
      </c>
      <c r="G294">
        <f t="shared" si="20"/>
        <v>-8291.7000000000007</v>
      </c>
      <c r="H294" s="433"/>
      <c r="I294" s="113"/>
    </row>
    <row r="295" spans="1:9">
      <c r="A295" t="str">
        <f>"NAN"</f>
        <v>NAN</v>
      </c>
      <c r="B295" t="str">
        <f t="shared" si="21"/>
        <v>60714000</v>
      </c>
      <c r="C295" t="str">
        <f t="shared" si="19"/>
        <v>NAN607140000</v>
      </c>
      <c r="E295">
        <v>-1424.95</v>
      </c>
      <c r="F295">
        <v>0</v>
      </c>
      <c r="G295">
        <f t="shared" si="20"/>
        <v>-1424.95</v>
      </c>
    </row>
    <row r="296" spans="1:9">
      <c r="A296" t="str">
        <f>"ORL"</f>
        <v>ORL</v>
      </c>
      <c r="B296" t="str">
        <f t="shared" si="21"/>
        <v>60714000</v>
      </c>
      <c r="C296" t="str">
        <f t="shared" si="19"/>
        <v>ORL607140000</v>
      </c>
      <c r="E296">
        <v>-24721.1</v>
      </c>
      <c r="F296">
        <v>0</v>
      </c>
      <c r="G296">
        <f t="shared" si="20"/>
        <v>-24721.1</v>
      </c>
    </row>
    <row r="297" spans="1:9">
      <c r="A297" t="str">
        <f>"REN"</f>
        <v>REN</v>
      </c>
      <c r="B297" t="str">
        <f t="shared" si="21"/>
        <v>60714000</v>
      </c>
      <c r="C297" t="str">
        <f t="shared" si="19"/>
        <v>REN607140000</v>
      </c>
      <c r="E297">
        <v>-43542.55</v>
      </c>
      <c r="F297">
        <v>0</v>
      </c>
      <c r="G297">
        <f t="shared" si="20"/>
        <v>-43542.55</v>
      </c>
    </row>
    <row r="298" spans="1:9">
      <c r="A298" t="str">
        <f>"ROA"</f>
        <v>ROA</v>
      </c>
      <c r="B298" t="str">
        <f t="shared" si="21"/>
        <v>60714000</v>
      </c>
      <c r="C298" t="str">
        <f t="shared" si="19"/>
        <v>ROA607140000</v>
      </c>
      <c r="E298">
        <v>-21212.92</v>
      </c>
      <c r="F298">
        <v>0</v>
      </c>
      <c r="G298">
        <f t="shared" si="20"/>
        <v>-21212.92</v>
      </c>
    </row>
    <row r="299" spans="1:9">
      <c r="A299" t="str">
        <f>"SAU"</f>
        <v>SAU</v>
      </c>
      <c r="B299" t="str">
        <f t="shared" si="21"/>
        <v>60714000</v>
      </c>
      <c r="C299" t="str">
        <f t="shared" si="19"/>
        <v>SAU607140000</v>
      </c>
      <c r="E299">
        <v>-17389.45</v>
      </c>
      <c r="F299">
        <v>0</v>
      </c>
      <c r="G299">
        <f t="shared" si="20"/>
        <v>-17389.45</v>
      </c>
    </row>
    <row r="300" spans="1:9">
      <c r="A300" t="str">
        <f>"SOM"</f>
        <v>SOM</v>
      </c>
      <c r="B300" t="str">
        <f t="shared" si="21"/>
        <v>60714000</v>
      </c>
      <c r="C300" t="str">
        <f t="shared" si="19"/>
        <v>SOM607140000</v>
      </c>
      <c r="E300">
        <v>-34266.28</v>
      </c>
      <c r="F300">
        <v>0</v>
      </c>
      <c r="G300">
        <f t="shared" si="20"/>
        <v>-34266.28</v>
      </c>
    </row>
    <row r="301" spans="1:9">
      <c r="A301" t="str">
        <f>"THO"</f>
        <v>THO</v>
      </c>
      <c r="B301" t="str">
        <f t="shared" si="21"/>
        <v>60714000</v>
      </c>
      <c r="C301" t="str">
        <f t="shared" si="19"/>
        <v>THO607140000</v>
      </c>
      <c r="E301">
        <v>-30751.279999999999</v>
      </c>
      <c r="F301">
        <v>0</v>
      </c>
      <c r="G301">
        <f t="shared" si="20"/>
        <v>-30751.279999999999</v>
      </c>
    </row>
    <row r="302" spans="1:9">
      <c r="A302" t="str">
        <f>"TOURC"</f>
        <v>TOURC</v>
      </c>
      <c r="B302" t="str">
        <f t="shared" si="21"/>
        <v>60714000</v>
      </c>
      <c r="C302" t="str">
        <f t="shared" si="19"/>
        <v>TOURC607140000</v>
      </c>
      <c r="E302">
        <v>-111257.85</v>
      </c>
      <c r="F302">
        <v>0</v>
      </c>
      <c r="G302">
        <f t="shared" si="20"/>
        <v>-111257.85</v>
      </c>
    </row>
    <row r="303" spans="1:9">
      <c r="A303" t="str">
        <f>"VAN"</f>
        <v>VAN</v>
      </c>
      <c r="B303" t="str">
        <f t="shared" si="21"/>
        <v>60714000</v>
      </c>
      <c r="C303" t="str">
        <f t="shared" si="19"/>
        <v>VAN607140000</v>
      </c>
      <c r="E303">
        <v>-122910.27</v>
      </c>
      <c r="F303">
        <v>0</v>
      </c>
      <c r="G303">
        <f t="shared" si="20"/>
        <v>-122910.27</v>
      </c>
    </row>
    <row r="304" spans="1:9">
      <c r="A304" t="str">
        <f>"CLE"</f>
        <v>CLE</v>
      </c>
      <c r="B304" t="str">
        <f t="shared" ref="B304:B310" si="22">"60715000"</f>
        <v>60715000</v>
      </c>
      <c r="C304" t="str">
        <f t="shared" si="19"/>
        <v>CLE607150000</v>
      </c>
      <c r="E304">
        <v>21891.01</v>
      </c>
      <c r="F304">
        <v>0</v>
      </c>
      <c r="G304">
        <f t="shared" si="20"/>
        <v>21891.01</v>
      </c>
    </row>
    <row r="305" spans="1:7">
      <c r="A305" t="str">
        <f>"GRE"</f>
        <v>GRE</v>
      </c>
      <c r="B305" t="str">
        <f t="shared" si="22"/>
        <v>60715000</v>
      </c>
      <c r="C305" t="str">
        <f t="shared" si="19"/>
        <v>GRE607150000</v>
      </c>
      <c r="E305">
        <v>31999.119999999999</v>
      </c>
      <c r="F305">
        <v>0</v>
      </c>
      <c r="G305">
        <f t="shared" si="20"/>
        <v>31999.119999999999</v>
      </c>
    </row>
    <row r="306" spans="1:7">
      <c r="A306" t="str">
        <f>"LEN"</f>
        <v>LEN</v>
      </c>
      <c r="B306" t="str">
        <f t="shared" si="22"/>
        <v>60715000</v>
      </c>
      <c r="C306" t="str">
        <f t="shared" si="19"/>
        <v>LEN607150000</v>
      </c>
      <c r="E306">
        <v>18395.64</v>
      </c>
      <c r="F306">
        <v>0</v>
      </c>
      <c r="G306">
        <f t="shared" si="20"/>
        <v>18395.64</v>
      </c>
    </row>
    <row r="307" spans="1:7">
      <c r="A307" t="str">
        <f>"MAD"</f>
        <v>MAD</v>
      </c>
      <c r="B307" t="str">
        <f t="shared" si="22"/>
        <v>60715000</v>
      </c>
      <c r="C307" t="str">
        <f t="shared" si="19"/>
        <v>MAD607150000</v>
      </c>
      <c r="E307">
        <v>18940.5</v>
      </c>
      <c r="F307">
        <v>0</v>
      </c>
      <c r="G307">
        <f t="shared" si="20"/>
        <v>18940.5</v>
      </c>
    </row>
    <row r="308" spans="1:7">
      <c r="A308" t="str">
        <f>"MON"</f>
        <v>MON</v>
      </c>
      <c r="B308" t="str">
        <f t="shared" si="22"/>
        <v>60715000</v>
      </c>
      <c r="C308" t="str">
        <f t="shared" si="19"/>
        <v>MON607150000</v>
      </c>
      <c r="E308">
        <v>25323.360000000001</v>
      </c>
      <c r="F308">
        <v>0</v>
      </c>
      <c r="G308">
        <f t="shared" si="20"/>
        <v>25323.360000000001</v>
      </c>
    </row>
    <row r="309" spans="1:7">
      <c r="A309" t="str">
        <f>"ROA"</f>
        <v>ROA</v>
      </c>
      <c r="B309" t="str">
        <f t="shared" si="22"/>
        <v>60715000</v>
      </c>
      <c r="C309" t="str">
        <f t="shared" si="19"/>
        <v>ROA607150000</v>
      </c>
      <c r="E309">
        <v>20325.419999999998</v>
      </c>
      <c r="F309">
        <v>0</v>
      </c>
      <c r="G309">
        <f t="shared" si="20"/>
        <v>20325.419999999998</v>
      </c>
    </row>
    <row r="310" spans="1:7">
      <c r="A310" t="str">
        <f>"TOURC"</f>
        <v>TOURC</v>
      </c>
      <c r="B310" t="str">
        <f t="shared" si="22"/>
        <v>60715000</v>
      </c>
      <c r="C310" t="str">
        <f t="shared" si="19"/>
        <v>TOURC607150000</v>
      </c>
      <c r="E310">
        <v>47471.3</v>
      </c>
      <c r="F310">
        <v>0</v>
      </c>
      <c r="G310">
        <f t="shared" si="20"/>
        <v>47471.3</v>
      </c>
    </row>
    <row r="311" spans="1:7">
      <c r="A311" t="str">
        <f>"AMI"</f>
        <v>AMI</v>
      </c>
      <c r="B311" t="str">
        <f t="shared" ref="B311:B341" si="23">"60720000"</f>
        <v>60720000</v>
      </c>
      <c r="C311" t="str">
        <f t="shared" si="19"/>
        <v>AMI607200000</v>
      </c>
      <c r="E311">
        <v>97639.46</v>
      </c>
      <c r="F311">
        <v>0</v>
      </c>
      <c r="G311">
        <f t="shared" si="20"/>
        <v>97639.46</v>
      </c>
    </row>
    <row r="312" spans="1:7">
      <c r="A312" t="str">
        <f>"ANG"</f>
        <v>ANG</v>
      </c>
      <c r="B312" t="str">
        <f t="shared" si="23"/>
        <v>60720000</v>
      </c>
      <c r="C312" t="str">
        <f t="shared" si="19"/>
        <v>ANG607200000</v>
      </c>
      <c r="E312">
        <v>226621.93</v>
      </c>
      <c r="F312">
        <v>0</v>
      </c>
      <c r="G312">
        <f t="shared" si="20"/>
        <v>226621.93</v>
      </c>
    </row>
    <row r="313" spans="1:7">
      <c r="A313" t="str">
        <f>"BET"</f>
        <v>BET</v>
      </c>
      <c r="B313" t="str">
        <f t="shared" si="23"/>
        <v>60720000</v>
      </c>
      <c r="C313" t="str">
        <f t="shared" si="19"/>
        <v>BET607200000</v>
      </c>
      <c r="E313">
        <v>97305.91</v>
      </c>
      <c r="F313">
        <v>0</v>
      </c>
      <c r="G313">
        <f t="shared" si="20"/>
        <v>97305.91</v>
      </c>
    </row>
    <row r="314" spans="1:7">
      <c r="A314" t="str">
        <f>"BOI"</f>
        <v>BOI</v>
      </c>
      <c r="B314" t="str">
        <f t="shared" si="23"/>
        <v>60720000</v>
      </c>
      <c r="C314" t="str">
        <f t="shared" si="19"/>
        <v>BOI607200000</v>
      </c>
      <c r="E314">
        <v>46027.33</v>
      </c>
      <c r="F314">
        <v>0</v>
      </c>
      <c r="G314">
        <f t="shared" si="20"/>
        <v>46027.33</v>
      </c>
    </row>
    <row r="315" spans="1:7">
      <c r="A315" t="str">
        <f>"BOS"</f>
        <v>BOS</v>
      </c>
      <c r="B315" t="str">
        <f t="shared" si="23"/>
        <v>60720000</v>
      </c>
      <c r="C315" t="str">
        <f t="shared" si="19"/>
        <v>BOS607200000</v>
      </c>
      <c r="E315">
        <v>251445.38</v>
      </c>
      <c r="F315">
        <v>0</v>
      </c>
      <c r="G315">
        <f t="shared" si="20"/>
        <v>251445.38</v>
      </c>
    </row>
    <row r="316" spans="1:7">
      <c r="A316" t="str">
        <f>"BOU"</f>
        <v>BOU</v>
      </c>
      <c r="B316" t="str">
        <f t="shared" si="23"/>
        <v>60720000</v>
      </c>
      <c r="C316" t="str">
        <f t="shared" si="19"/>
        <v>BOU607200000</v>
      </c>
      <c r="E316">
        <v>583889.34</v>
      </c>
      <c r="F316">
        <v>0</v>
      </c>
      <c r="G316">
        <f t="shared" si="20"/>
        <v>583889.34</v>
      </c>
    </row>
    <row r="317" spans="1:7">
      <c r="A317" t="str">
        <f>"CAL"</f>
        <v>CAL</v>
      </c>
      <c r="B317" t="str">
        <f t="shared" si="23"/>
        <v>60720000</v>
      </c>
      <c r="C317" t="str">
        <f t="shared" si="19"/>
        <v>CAL607200000</v>
      </c>
      <c r="E317">
        <v>280581.15999999997</v>
      </c>
      <c r="F317">
        <v>0</v>
      </c>
      <c r="G317">
        <f t="shared" si="20"/>
        <v>280581.15999999997</v>
      </c>
    </row>
    <row r="318" spans="1:7">
      <c r="A318" t="str">
        <f>"CAM"</f>
        <v>CAM</v>
      </c>
      <c r="B318" t="str">
        <f t="shared" si="23"/>
        <v>60720000</v>
      </c>
      <c r="C318" t="str">
        <f t="shared" si="19"/>
        <v>CAM607200000</v>
      </c>
      <c r="E318">
        <v>160052.44</v>
      </c>
      <c r="F318">
        <v>0</v>
      </c>
      <c r="G318">
        <f t="shared" si="20"/>
        <v>160052.44</v>
      </c>
    </row>
    <row r="319" spans="1:7">
      <c r="A319" t="str">
        <f>"CAU"</f>
        <v>CAU</v>
      </c>
      <c r="B319" t="str">
        <f t="shared" si="23"/>
        <v>60720000</v>
      </c>
      <c r="C319" t="str">
        <f t="shared" si="19"/>
        <v>CAU607200000</v>
      </c>
      <c r="E319">
        <v>156156.22</v>
      </c>
      <c r="F319">
        <v>0</v>
      </c>
      <c r="G319">
        <f t="shared" si="20"/>
        <v>156156.22</v>
      </c>
    </row>
    <row r="320" spans="1:7">
      <c r="A320" t="str">
        <f>"CHA"</f>
        <v>CHA</v>
      </c>
      <c r="B320" t="str">
        <f t="shared" si="23"/>
        <v>60720000</v>
      </c>
      <c r="C320" t="str">
        <f t="shared" si="19"/>
        <v>CHA607200000</v>
      </c>
      <c r="E320">
        <v>70818.570000000007</v>
      </c>
      <c r="F320">
        <v>0</v>
      </c>
      <c r="G320">
        <f t="shared" si="20"/>
        <v>70818.570000000007</v>
      </c>
    </row>
    <row r="321" spans="1:9">
      <c r="A321" t="str">
        <f>"CHAM"</f>
        <v>CHAM</v>
      </c>
      <c r="B321" t="str">
        <f t="shared" si="23"/>
        <v>60720000</v>
      </c>
      <c r="C321" t="str">
        <f t="shared" si="19"/>
        <v>CHAM607200000</v>
      </c>
      <c r="E321">
        <v>140167.17000000001</v>
      </c>
      <c r="F321">
        <v>0</v>
      </c>
      <c r="G321">
        <f t="shared" si="20"/>
        <v>140167.17000000001</v>
      </c>
      <c r="H321" s="433"/>
      <c r="I321" s="113"/>
    </row>
    <row r="322" spans="1:9">
      <c r="A322" t="str">
        <f>"CHART"</f>
        <v>CHART</v>
      </c>
      <c r="B322" t="str">
        <f t="shared" si="23"/>
        <v>60720000</v>
      </c>
      <c r="C322" t="str">
        <f t="shared" si="19"/>
        <v>CHART607200000</v>
      </c>
      <c r="E322">
        <v>175392.05</v>
      </c>
      <c r="F322">
        <v>0</v>
      </c>
      <c r="G322">
        <f t="shared" si="20"/>
        <v>175392.05</v>
      </c>
    </row>
    <row r="323" spans="1:9">
      <c r="A323" t="str">
        <f>"CLE"</f>
        <v>CLE</v>
      </c>
      <c r="B323" t="str">
        <f t="shared" si="23"/>
        <v>60720000</v>
      </c>
      <c r="C323" t="str">
        <f t="shared" ref="C323:C386" si="24">+A323&amp;B323*10</f>
        <v>CLE607200000</v>
      </c>
      <c r="E323">
        <v>258806.16</v>
      </c>
      <c r="F323">
        <v>0</v>
      </c>
      <c r="G323">
        <f t="shared" ref="G323:G386" si="25">+E323-F323</f>
        <v>258806.16</v>
      </c>
    </row>
    <row r="324" spans="1:9">
      <c r="A324" t="str">
        <f>"COM"</f>
        <v>COM</v>
      </c>
      <c r="B324" t="str">
        <f t="shared" si="23"/>
        <v>60720000</v>
      </c>
      <c r="C324" t="str">
        <f t="shared" si="24"/>
        <v>COM607200000</v>
      </c>
      <c r="E324">
        <v>146363.79</v>
      </c>
      <c r="F324">
        <v>0</v>
      </c>
      <c r="G324">
        <f t="shared" si="25"/>
        <v>146363.79</v>
      </c>
    </row>
    <row r="325" spans="1:9">
      <c r="A325" t="str">
        <f>"CST"</f>
        <v>CST</v>
      </c>
      <c r="B325" t="str">
        <f t="shared" si="23"/>
        <v>60720000</v>
      </c>
      <c r="C325" t="str">
        <f t="shared" si="24"/>
        <v>CST607200000</v>
      </c>
      <c r="E325">
        <v>125291.01</v>
      </c>
      <c r="F325">
        <v>0</v>
      </c>
      <c r="G325">
        <f t="shared" si="25"/>
        <v>125291.01</v>
      </c>
    </row>
    <row r="326" spans="1:9">
      <c r="A326" t="str">
        <f>"DIJ"</f>
        <v>DIJ</v>
      </c>
      <c r="B326" t="str">
        <f t="shared" si="23"/>
        <v>60720000</v>
      </c>
      <c r="C326" t="str">
        <f t="shared" si="24"/>
        <v>DIJ607200000</v>
      </c>
      <c r="E326">
        <v>81334.679999999993</v>
      </c>
      <c r="F326">
        <v>0</v>
      </c>
      <c r="G326">
        <f t="shared" si="25"/>
        <v>81334.679999999993</v>
      </c>
    </row>
    <row r="327" spans="1:9">
      <c r="A327" t="str">
        <f>"EU"</f>
        <v>EU</v>
      </c>
      <c r="B327" t="str">
        <f t="shared" si="23"/>
        <v>60720000</v>
      </c>
      <c r="C327" t="str">
        <f t="shared" si="24"/>
        <v>EU607200000</v>
      </c>
      <c r="E327">
        <v>246990.99</v>
      </c>
      <c r="F327">
        <v>0</v>
      </c>
      <c r="G327">
        <f t="shared" si="25"/>
        <v>246990.99</v>
      </c>
    </row>
    <row r="328" spans="1:9">
      <c r="A328" t="str">
        <f>"GRE"</f>
        <v>GRE</v>
      </c>
      <c r="B328" t="str">
        <f t="shared" si="23"/>
        <v>60720000</v>
      </c>
      <c r="C328" t="str">
        <f t="shared" si="24"/>
        <v>GRE607200000</v>
      </c>
      <c r="E328">
        <v>368812.72</v>
      </c>
      <c r="F328">
        <v>300.8</v>
      </c>
      <c r="G328">
        <f t="shared" si="25"/>
        <v>368511.92</v>
      </c>
    </row>
    <row r="329" spans="1:9">
      <c r="A329" t="str">
        <f>"LEN"</f>
        <v>LEN</v>
      </c>
      <c r="B329" t="str">
        <f t="shared" si="23"/>
        <v>60720000</v>
      </c>
      <c r="C329" t="str">
        <f t="shared" si="24"/>
        <v>LEN607200000</v>
      </c>
      <c r="E329">
        <v>112365.77</v>
      </c>
      <c r="F329">
        <v>0</v>
      </c>
      <c r="G329">
        <f t="shared" si="25"/>
        <v>112365.77</v>
      </c>
    </row>
    <row r="330" spans="1:9">
      <c r="A330" t="str">
        <f>"MAD"</f>
        <v>MAD</v>
      </c>
      <c r="B330" t="str">
        <f t="shared" si="23"/>
        <v>60720000</v>
      </c>
      <c r="C330" t="str">
        <f t="shared" si="24"/>
        <v>MAD607200000</v>
      </c>
      <c r="E330">
        <v>205895.87</v>
      </c>
      <c r="F330">
        <v>0</v>
      </c>
      <c r="G330">
        <f t="shared" si="25"/>
        <v>205895.87</v>
      </c>
    </row>
    <row r="331" spans="1:9">
      <c r="A331" t="str">
        <f>"MAR"</f>
        <v>MAR</v>
      </c>
      <c r="B331" t="str">
        <f t="shared" si="23"/>
        <v>60720000</v>
      </c>
      <c r="C331" t="str">
        <f t="shared" si="24"/>
        <v>MAR607200000</v>
      </c>
      <c r="E331">
        <v>26106.79</v>
      </c>
      <c r="F331">
        <v>0</v>
      </c>
      <c r="G331">
        <f t="shared" si="25"/>
        <v>26106.79</v>
      </c>
    </row>
    <row r="332" spans="1:9">
      <c r="A332" t="str">
        <f>"MON"</f>
        <v>MON</v>
      </c>
      <c r="B332" t="str">
        <f t="shared" si="23"/>
        <v>60720000</v>
      </c>
      <c r="C332" t="str">
        <f t="shared" si="24"/>
        <v>MON607200000</v>
      </c>
      <c r="E332">
        <v>138393.53</v>
      </c>
      <c r="F332">
        <v>-1586.3</v>
      </c>
      <c r="G332">
        <f t="shared" si="25"/>
        <v>139979.82999999999</v>
      </c>
    </row>
    <row r="333" spans="1:9">
      <c r="A333" t="str">
        <f>"NAN"</f>
        <v>NAN</v>
      </c>
      <c r="B333" t="str">
        <f t="shared" si="23"/>
        <v>60720000</v>
      </c>
      <c r="C333" t="str">
        <f t="shared" si="24"/>
        <v>NAN607200000</v>
      </c>
      <c r="E333">
        <v>136744.14000000001</v>
      </c>
      <c r="F333">
        <v>0</v>
      </c>
      <c r="G333">
        <f t="shared" si="25"/>
        <v>136744.14000000001</v>
      </c>
    </row>
    <row r="334" spans="1:9">
      <c r="A334" t="str">
        <f>"ORL"</f>
        <v>ORL</v>
      </c>
      <c r="B334" t="str">
        <f t="shared" si="23"/>
        <v>60720000</v>
      </c>
      <c r="C334" t="str">
        <f t="shared" si="24"/>
        <v>ORL607200000</v>
      </c>
      <c r="E334">
        <v>204759.84</v>
      </c>
      <c r="F334">
        <v>0</v>
      </c>
      <c r="G334">
        <f t="shared" si="25"/>
        <v>204759.84</v>
      </c>
    </row>
    <row r="335" spans="1:9">
      <c r="A335" t="str">
        <f>"REN"</f>
        <v>REN</v>
      </c>
      <c r="B335" t="str">
        <f t="shared" si="23"/>
        <v>60720000</v>
      </c>
      <c r="C335" t="str">
        <f t="shared" si="24"/>
        <v>REN607200000</v>
      </c>
      <c r="E335">
        <v>110595.53</v>
      </c>
      <c r="F335">
        <v>0</v>
      </c>
      <c r="G335">
        <f t="shared" si="25"/>
        <v>110595.53</v>
      </c>
    </row>
    <row r="336" spans="1:9">
      <c r="A336" t="str">
        <f>"ROA"</f>
        <v>ROA</v>
      </c>
      <c r="B336" t="str">
        <f t="shared" si="23"/>
        <v>60720000</v>
      </c>
      <c r="C336" t="str">
        <f t="shared" si="24"/>
        <v>ROA607200000</v>
      </c>
      <c r="E336">
        <v>309988.96999999997</v>
      </c>
      <c r="F336">
        <v>-4392.26</v>
      </c>
      <c r="G336">
        <f t="shared" si="25"/>
        <v>314381.23</v>
      </c>
    </row>
    <row r="337" spans="1:7">
      <c r="A337" t="str">
        <f>"SAU"</f>
        <v>SAU</v>
      </c>
      <c r="B337" t="str">
        <f t="shared" si="23"/>
        <v>60720000</v>
      </c>
      <c r="C337" t="str">
        <f t="shared" si="24"/>
        <v>SAU607200000</v>
      </c>
      <c r="E337">
        <v>47605.5</v>
      </c>
      <c r="F337">
        <v>0</v>
      </c>
      <c r="G337">
        <f t="shared" si="25"/>
        <v>47605.5</v>
      </c>
    </row>
    <row r="338" spans="1:7">
      <c r="A338" t="str">
        <f>"SOM"</f>
        <v>SOM</v>
      </c>
      <c r="B338" t="str">
        <f t="shared" si="23"/>
        <v>60720000</v>
      </c>
      <c r="C338" t="str">
        <f t="shared" si="24"/>
        <v>SOM607200000</v>
      </c>
      <c r="E338">
        <v>147013.82</v>
      </c>
      <c r="F338">
        <v>0</v>
      </c>
      <c r="G338">
        <f t="shared" si="25"/>
        <v>147013.82</v>
      </c>
    </row>
    <row r="339" spans="1:7">
      <c r="A339" t="str">
        <f>"THO"</f>
        <v>THO</v>
      </c>
      <c r="B339" t="str">
        <f t="shared" si="23"/>
        <v>60720000</v>
      </c>
      <c r="C339" t="str">
        <f t="shared" si="24"/>
        <v>THO607200000</v>
      </c>
      <c r="E339">
        <v>198747.93</v>
      </c>
      <c r="F339">
        <v>0</v>
      </c>
      <c r="G339">
        <f t="shared" si="25"/>
        <v>198747.93</v>
      </c>
    </row>
    <row r="340" spans="1:7">
      <c r="A340" t="str">
        <f>"TOURC"</f>
        <v>TOURC</v>
      </c>
      <c r="B340" t="str">
        <f t="shared" si="23"/>
        <v>60720000</v>
      </c>
      <c r="C340" t="str">
        <f t="shared" si="24"/>
        <v>TOURC607200000</v>
      </c>
      <c r="E340">
        <v>46293.13</v>
      </c>
      <c r="F340">
        <v>0</v>
      </c>
      <c r="G340">
        <f t="shared" si="25"/>
        <v>46293.13</v>
      </c>
    </row>
    <row r="341" spans="1:7">
      <c r="A341" t="str">
        <f>"VAN"</f>
        <v>VAN</v>
      </c>
      <c r="B341" t="str">
        <f t="shared" si="23"/>
        <v>60720000</v>
      </c>
      <c r="C341" t="str">
        <f t="shared" si="24"/>
        <v>VAN607200000</v>
      </c>
      <c r="E341">
        <v>228334.74</v>
      </c>
      <c r="F341">
        <v>0</v>
      </c>
      <c r="G341">
        <f t="shared" si="25"/>
        <v>228334.74</v>
      </c>
    </row>
    <row r="342" spans="1:7">
      <c r="A342" t="str">
        <f>"AMI"</f>
        <v>AMI</v>
      </c>
      <c r="B342" t="str">
        <f t="shared" ref="B342:B373" si="26">"60740000"</f>
        <v>60740000</v>
      </c>
      <c r="C342" t="str">
        <f t="shared" si="24"/>
        <v>AMI607400000</v>
      </c>
      <c r="E342">
        <v>2335.0700000000002</v>
      </c>
      <c r="F342">
        <v>0</v>
      </c>
      <c r="G342">
        <f t="shared" si="25"/>
        <v>2335.0700000000002</v>
      </c>
    </row>
    <row r="343" spans="1:7">
      <c r="A343" t="str">
        <f>"ANG"</f>
        <v>ANG</v>
      </c>
      <c r="B343" t="str">
        <f t="shared" si="26"/>
        <v>60740000</v>
      </c>
      <c r="C343" t="str">
        <f t="shared" si="24"/>
        <v>ANG607400000</v>
      </c>
      <c r="E343">
        <v>7177.95</v>
      </c>
      <c r="F343">
        <v>0</v>
      </c>
      <c r="G343">
        <f t="shared" si="25"/>
        <v>7177.95</v>
      </c>
    </row>
    <row r="344" spans="1:7">
      <c r="A344" t="str">
        <f>"BET"</f>
        <v>BET</v>
      </c>
      <c r="B344" t="str">
        <f t="shared" si="26"/>
        <v>60740000</v>
      </c>
      <c r="C344" t="str">
        <f t="shared" si="24"/>
        <v>BET607400000</v>
      </c>
      <c r="E344">
        <v>2078.59</v>
      </c>
      <c r="F344">
        <v>0</v>
      </c>
      <c r="G344">
        <f t="shared" si="25"/>
        <v>2078.59</v>
      </c>
    </row>
    <row r="345" spans="1:7">
      <c r="A345" t="str">
        <f>"BOI"</f>
        <v>BOI</v>
      </c>
      <c r="B345" t="str">
        <f t="shared" si="26"/>
        <v>60740000</v>
      </c>
      <c r="C345" t="str">
        <f t="shared" si="24"/>
        <v>BOI607400000</v>
      </c>
      <c r="E345">
        <v>872.22</v>
      </c>
      <c r="F345">
        <v>-22</v>
      </c>
      <c r="G345">
        <f t="shared" si="25"/>
        <v>894.22</v>
      </c>
    </row>
    <row r="346" spans="1:7">
      <c r="A346" t="str">
        <f>"BOS"</f>
        <v>BOS</v>
      </c>
      <c r="B346" t="str">
        <f t="shared" si="26"/>
        <v>60740000</v>
      </c>
      <c r="C346" t="str">
        <f t="shared" si="24"/>
        <v>BOS607400000</v>
      </c>
      <c r="E346">
        <v>11191.1</v>
      </c>
      <c r="F346">
        <v>-9.7899999999999991</v>
      </c>
      <c r="G346">
        <f t="shared" si="25"/>
        <v>11200.890000000001</v>
      </c>
    </row>
    <row r="347" spans="1:7">
      <c r="A347" t="str">
        <f>"BOU"</f>
        <v>BOU</v>
      </c>
      <c r="B347" t="str">
        <f t="shared" si="26"/>
        <v>60740000</v>
      </c>
      <c r="C347" t="str">
        <f t="shared" si="24"/>
        <v>BOU607400000</v>
      </c>
      <c r="E347">
        <v>9905.18</v>
      </c>
      <c r="F347">
        <v>-11.46</v>
      </c>
      <c r="G347">
        <f t="shared" si="25"/>
        <v>9916.64</v>
      </c>
    </row>
    <row r="348" spans="1:7">
      <c r="A348" t="str">
        <f>"CAL"</f>
        <v>CAL</v>
      </c>
      <c r="B348" t="str">
        <f t="shared" si="26"/>
        <v>60740000</v>
      </c>
      <c r="C348" t="str">
        <f t="shared" si="24"/>
        <v>CAL607400000</v>
      </c>
      <c r="E348">
        <v>7354.73</v>
      </c>
      <c r="F348">
        <v>-43.55</v>
      </c>
      <c r="G348">
        <f t="shared" si="25"/>
        <v>7398.28</v>
      </c>
    </row>
    <row r="349" spans="1:7">
      <c r="A349" t="str">
        <f>"CAM"</f>
        <v>CAM</v>
      </c>
      <c r="B349" t="str">
        <f t="shared" si="26"/>
        <v>60740000</v>
      </c>
      <c r="C349" t="str">
        <f t="shared" si="24"/>
        <v>CAM607400000</v>
      </c>
      <c r="E349">
        <v>4239.57</v>
      </c>
      <c r="F349">
        <v>0</v>
      </c>
      <c r="G349">
        <f t="shared" si="25"/>
        <v>4239.57</v>
      </c>
    </row>
    <row r="350" spans="1:7">
      <c r="A350" t="str">
        <f>"CAU"</f>
        <v>CAU</v>
      </c>
      <c r="B350" t="str">
        <f t="shared" si="26"/>
        <v>60740000</v>
      </c>
      <c r="C350" t="str">
        <f t="shared" si="24"/>
        <v>CAU607400000</v>
      </c>
      <c r="E350">
        <v>4195.6099999999997</v>
      </c>
      <c r="F350">
        <v>0</v>
      </c>
      <c r="G350">
        <f t="shared" si="25"/>
        <v>4195.6099999999997</v>
      </c>
    </row>
    <row r="351" spans="1:7">
      <c r="A351" t="str">
        <f>"CHA"</f>
        <v>CHA</v>
      </c>
      <c r="B351" t="str">
        <f t="shared" si="26"/>
        <v>60740000</v>
      </c>
      <c r="C351" t="str">
        <f t="shared" si="24"/>
        <v>CHA607400000</v>
      </c>
      <c r="E351">
        <v>3876.54</v>
      </c>
      <c r="F351">
        <v>-9</v>
      </c>
      <c r="G351">
        <f t="shared" si="25"/>
        <v>3885.54</v>
      </c>
    </row>
    <row r="352" spans="1:7">
      <c r="A352" t="str">
        <f>"CHAM"</f>
        <v>CHAM</v>
      </c>
      <c r="B352" t="str">
        <f t="shared" si="26"/>
        <v>60740000</v>
      </c>
      <c r="C352" t="str">
        <f t="shared" si="24"/>
        <v>CHAM607400000</v>
      </c>
      <c r="E352">
        <v>5297.42</v>
      </c>
      <c r="F352">
        <v>0</v>
      </c>
      <c r="G352">
        <f t="shared" si="25"/>
        <v>5297.42</v>
      </c>
    </row>
    <row r="353" spans="1:7">
      <c r="A353" t="str">
        <f>"CHART"</f>
        <v>CHART</v>
      </c>
      <c r="B353" t="str">
        <f t="shared" si="26"/>
        <v>60740000</v>
      </c>
      <c r="C353" t="str">
        <f t="shared" si="24"/>
        <v>CHART607400000</v>
      </c>
      <c r="E353">
        <v>7992.91</v>
      </c>
      <c r="F353">
        <v>-55</v>
      </c>
      <c r="G353">
        <f t="shared" si="25"/>
        <v>8047.91</v>
      </c>
    </row>
    <row r="354" spans="1:7">
      <c r="A354" t="str">
        <f>"CLE"</f>
        <v>CLE</v>
      </c>
      <c r="B354" t="str">
        <f t="shared" si="26"/>
        <v>60740000</v>
      </c>
      <c r="C354" t="str">
        <f t="shared" si="24"/>
        <v>CLE607400000</v>
      </c>
      <c r="E354">
        <v>9209.09</v>
      </c>
      <c r="F354">
        <v>-69.41</v>
      </c>
      <c r="G354">
        <f t="shared" si="25"/>
        <v>9278.5</v>
      </c>
    </row>
    <row r="355" spans="1:7">
      <c r="A355" t="str">
        <f>"COM"</f>
        <v>COM</v>
      </c>
      <c r="B355" t="str">
        <f t="shared" si="26"/>
        <v>60740000</v>
      </c>
      <c r="C355" t="str">
        <f t="shared" si="24"/>
        <v>COM607400000</v>
      </c>
      <c r="E355">
        <v>5759.1</v>
      </c>
      <c r="F355">
        <v>0</v>
      </c>
      <c r="G355">
        <f t="shared" si="25"/>
        <v>5759.1</v>
      </c>
    </row>
    <row r="356" spans="1:7">
      <c r="A356" t="str">
        <f>"CST"</f>
        <v>CST</v>
      </c>
      <c r="B356" t="str">
        <f t="shared" si="26"/>
        <v>60740000</v>
      </c>
      <c r="C356" t="str">
        <f t="shared" si="24"/>
        <v>CST607400000</v>
      </c>
      <c r="E356">
        <v>2019.35</v>
      </c>
      <c r="F356">
        <v>0</v>
      </c>
      <c r="G356">
        <f t="shared" si="25"/>
        <v>2019.35</v>
      </c>
    </row>
    <row r="357" spans="1:7">
      <c r="A357" t="str">
        <f>"DIJ"</f>
        <v>DIJ</v>
      </c>
      <c r="B357" t="str">
        <f t="shared" si="26"/>
        <v>60740000</v>
      </c>
      <c r="C357" t="str">
        <f t="shared" si="24"/>
        <v>DIJ607400000</v>
      </c>
      <c r="E357">
        <v>1658.46</v>
      </c>
      <c r="F357">
        <v>0</v>
      </c>
      <c r="G357">
        <f t="shared" si="25"/>
        <v>1658.46</v>
      </c>
    </row>
    <row r="358" spans="1:7">
      <c r="A358" t="str">
        <f>"EU"</f>
        <v>EU</v>
      </c>
      <c r="B358" t="str">
        <f t="shared" si="26"/>
        <v>60740000</v>
      </c>
      <c r="C358" t="str">
        <f t="shared" si="24"/>
        <v>EU607400000</v>
      </c>
      <c r="E358">
        <v>1548.67</v>
      </c>
      <c r="F358">
        <v>-75.73</v>
      </c>
      <c r="G358">
        <f t="shared" si="25"/>
        <v>1624.4</v>
      </c>
    </row>
    <row r="359" spans="1:7">
      <c r="A359" t="str">
        <f>"GRE"</f>
        <v>GRE</v>
      </c>
      <c r="B359" t="str">
        <f t="shared" si="26"/>
        <v>60740000</v>
      </c>
      <c r="C359" t="str">
        <f t="shared" si="24"/>
        <v>GRE607400000</v>
      </c>
      <c r="E359">
        <v>6030.35</v>
      </c>
      <c r="F359">
        <v>0</v>
      </c>
      <c r="G359">
        <f t="shared" si="25"/>
        <v>6030.35</v>
      </c>
    </row>
    <row r="360" spans="1:7">
      <c r="A360" t="str">
        <f>"LEN"</f>
        <v>LEN</v>
      </c>
      <c r="B360" t="str">
        <f t="shared" si="26"/>
        <v>60740000</v>
      </c>
      <c r="C360" t="str">
        <f t="shared" si="24"/>
        <v>LEN607400000</v>
      </c>
      <c r="E360">
        <v>1251.33</v>
      </c>
      <c r="F360">
        <v>0</v>
      </c>
      <c r="G360">
        <f t="shared" si="25"/>
        <v>1251.33</v>
      </c>
    </row>
    <row r="361" spans="1:7">
      <c r="A361" t="str">
        <f>"LIL"</f>
        <v>LIL</v>
      </c>
      <c r="B361" t="str">
        <f t="shared" si="26"/>
        <v>60740000</v>
      </c>
      <c r="C361" t="str">
        <f t="shared" si="24"/>
        <v>LIL607400000</v>
      </c>
      <c r="E361">
        <v>1242.43</v>
      </c>
      <c r="F361">
        <v>0</v>
      </c>
      <c r="G361">
        <f t="shared" si="25"/>
        <v>1242.43</v>
      </c>
    </row>
    <row r="362" spans="1:7">
      <c r="A362" t="str">
        <f>"MAD"</f>
        <v>MAD</v>
      </c>
      <c r="B362" t="str">
        <f t="shared" si="26"/>
        <v>60740000</v>
      </c>
      <c r="C362" t="str">
        <f t="shared" si="24"/>
        <v>MAD607400000</v>
      </c>
      <c r="E362">
        <v>2567.4</v>
      </c>
      <c r="F362">
        <v>0</v>
      </c>
      <c r="G362">
        <f t="shared" si="25"/>
        <v>2567.4</v>
      </c>
    </row>
    <row r="363" spans="1:7">
      <c r="A363" t="str">
        <f>"MAR"</f>
        <v>MAR</v>
      </c>
      <c r="B363" t="str">
        <f t="shared" si="26"/>
        <v>60740000</v>
      </c>
      <c r="C363" t="str">
        <f t="shared" si="24"/>
        <v>MAR607400000</v>
      </c>
      <c r="E363">
        <v>861.91</v>
      </c>
      <c r="F363">
        <v>-35</v>
      </c>
      <c r="G363">
        <f t="shared" si="25"/>
        <v>896.91</v>
      </c>
    </row>
    <row r="364" spans="1:7">
      <c r="A364" t="str">
        <f>"MON"</f>
        <v>MON</v>
      </c>
      <c r="B364" t="str">
        <f t="shared" si="26"/>
        <v>60740000</v>
      </c>
      <c r="C364" t="str">
        <f t="shared" si="24"/>
        <v>MON607400000</v>
      </c>
      <c r="E364">
        <v>3854.18</v>
      </c>
      <c r="F364">
        <v>-12.9</v>
      </c>
      <c r="G364">
        <f t="shared" si="25"/>
        <v>3867.08</v>
      </c>
    </row>
    <row r="365" spans="1:7">
      <c r="A365" t="str">
        <f>"NAN"</f>
        <v>NAN</v>
      </c>
      <c r="B365" t="str">
        <f t="shared" si="26"/>
        <v>60740000</v>
      </c>
      <c r="C365" t="str">
        <f t="shared" si="24"/>
        <v>NAN607400000</v>
      </c>
      <c r="E365">
        <v>5310.19</v>
      </c>
      <c r="F365">
        <v>-35</v>
      </c>
      <c r="G365">
        <f t="shared" si="25"/>
        <v>5345.19</v>
      </c>
    </row>
    <row r="366" spans="1:7">
      <c r="A366" t="str">
        <f>"ORL"</f>
        <v>ORL</v>
      </c>
      <c r="B366" t="str">
        <f t="shared" si="26"/>
        <v>60740000</v>
      </c>
      <c r="C366" t="str">
        <f t="shared" si="24"/>
        <v>ORL607400000</v>
      </c>
      <c r="E366">
        <v>7597.76</v>
      </c>
      <c r="F366">
        <v>-111.46</v>
      </c>
      <c r="G366">
        <f t="shared" si="25"/>
        <v>7709.22</v>
      </c>
    </row>
    <row r="367" spans="1:7">
      <c r="A367" t="str">
        <f>"REN"</f>
        <v>REN</v>
      </c>
      <c r="B367" t="str">
        <f t="shared" si="26"/>
        <v>60740000</v>
      </c>
      <c r="C367" t="str">
        <f t="shared" si="24"/>
        <v>REN607400000</v>
      </c>
      <c r="E367">
        <v>2957.51</v>
      </c>
      <c r="F367">
        <v>0</v>
      </c>
      <c r="G367">
        <f t="shared" si="25"/>
        <v>2957.51</v>
      </c>
    </row>
    <row r="368" spans="1:7">
      <c r="A368" t="str">
        <f>"ROA"</f>
        <v>ROA</v>
      </c>
      <c r="B368" t="str">
        <f t="shared" si="26"/>
        <v>60740000</v>
      </c>
      <c r="C368" t="str">
        <f t="shared" si="24"/>
        <v>ROA607400000</v>
      </c>
      <c r="E368">
        <v>8201.89</v>
      </c>
      <c r="F368">
        <v>0</v>
      </c>
      <c r="G368">
        <f t="shared" si="25"/>
        <v>8201.89</v>
      </c>
    </row>
    <row r="369" spans="1:9">
      <c r="A369" t="str">
        <f>"SAU"</f>
        <v>SAU</v>
      </c>
      <c r="B369" t="str">
        <f t="shared" si="26"/>
        <v>60740000</v>
      </c>
      <c r="C369" t="str">
        <f t="shared" si="24"/>
        <v>SAU607400000</v>
      </c>
      <c r="E369">
        <v>1550.14</v>
      </c>
      <c r="F369">
        <v>0</v>
      </c>
      <c r="G369">
        <f t="shared" si="25"/>
        <v>1550.14</v>
      </c>
    </row>
    <row r="370" spans="1:9">
      <c r="A370" t="str">
        <f>"SOM"</f>
        <v>SOM</v>
      </c>
      <c r="B370" t="str">
        <f t="shared" si="26"/>
        <v>60740000</v>
      </c>
      <c r="C370" t="str">
        <f t="shared" si="24"/>
        <v>SOM607400000</v>
      </c>
      <c r="E370">
        <v>3214.48</v>
      </c>
      <c r="F370">
        <v>0</v>
      </c>
      <c r="G370">
        <f t="shared" si="25"/>
        <v>3214.48</v>
      </c>
    </row>
    <row r="371" spans="1:9">
      <c r="A371" t="str">
        <f>"THO"</f>
        <v>THO</v>
      </c>
      <c r="B371" t="str">
        <f t="shared" si="26"/>
        <v>60740000</v>
      </c>
      <c r="C371" t="str">
        <f t="shared" si="24"/>
        <v>THO607400000</v>
      </c>
      <c r="E371">
        <v>7211.61</v>
      </c>
      <c r="F371">
        <v>0</v>
      </c>
      <c r="G371">
        <f t="shared" si="25"/>
        <v>7211.61</v>
      </c>
    </row>
    <row r="372" spans="1:9">
      <c r="A372" t="str">
        <f>"TOURC"</f>
        <v>TOURC</v>
      </c>
      <c r="B372" t="str">
        <f t="shared" si="26"/>
        <v>60740000</v>
      </c>
      <c r="C372" t="str">
        <f t="shared" si="24"/>
        <v>TOURC607400000</v>
      </c>
      <c r="E372">
        <v>1854.35</v>
      </c>
      <c r="F372">
        <v>-22</v>
      </c>
      <c r="G372">
        <f t="shared" si="25"/>
        <v>1876.35</v>
      </c>
    </row>
    <row r="373" spans="1:9">
      <c r="A373" t="str">
        <f>"VAN"</f>
        <v>VAN</v>
      </c>
      <c r="B373" t="str">
        <f t="shared" si="26"/>
        <v>60740000</v>
      </c>
      <c r="C373" t="str">
        <f t="shared" si="24"/>
        <v>VAN607400000</v>
      </c>
      <c r="E373">
        <v>4406.21</v>
      </c>
      <c r="F373">
        <v>-26</v>
      </c>
      <c r="G373">
        <f t="shared" si="25"/>
        <v>4432.21</v>
      </c>
    </row>
    <row r="374" spans="1:9">
      <c r="A374" t="str">
        <f>"AMI"</f>
        <v>AMI</v>
      </c>
      <c r="B374" t="str">
        <f t="shared" ref="B374:B405" si="27">"60800000"</f>
        <v>60800000</v>
      </c>
      <c r="C374" t="str">
        <f t="shared" si="24"/>
        <v>AMI608000000</v>
      </c>
      <c r="E374">
        <v>1335.45</v>
      </c>
      <c r="F374">
        <v>0</v>
      </c>
      <c r="G374">
        <f t="shared" si="25"/>
        <v>1335.45</v>
      </c>
    </row>
    <row r="375" spans="1:9">
      <c r="A375" t="str">
        <f>"ANG"</f>
        <v>ANG</v>
      </c>
      <c r="B375" t="str">
        <f t="shared" si="27"/>
        <v>60800000</v>
      </c>
      <c r="C375" t="str">
        <f t="shared" si="24"/>
        <v>ANG608000000</v>
      </c>
      <c r="E375">
        <v>2953.49</v>
      </c>
      <c r="F375">
        <v>0</v>
      </c>
      <c r="G375">
        <f t="shared" si="25"/>
        <v>2953.49</v>
      </c>
    </row>
    <row r="376" spans="1:9">
      <c r="A376" t="str">
        <f>"BET"</f>
        <v>BET</v>
      </c>
      <c r="B376" t="str">
        <f t="shared" si="27"/>
        <v>60800000</v>
      </c>
      <c r="C376" t="str">
        <f t="shared" si="24"/>
        <v>BET608000000</v>
      </c>
      <c r="E376">
        <v>1383.54</v>
      </c>
      <c r="F376">
        <v>0</v>
      </c>
      <c r="G376">
        <f t="shared" si="25"/>
        <v>1383.54</v>
      </c>
    </row>
    <row r="377" spans="1:9">
      <c r="A377" t="str">
        <f>"BOI"</f>
        <v>BOI</v>
      </c>
      <c r="B377" t="str">
        <f t="shared" si="27"/>
        <v>60800000</v>
      </c>
      <c r="C377" t="str">
        <f t="shared" si="24"/>
        <v>BOI608000000</v>
      </c>
      <c r="E377">
        <v>797.4</v>
      </c>
      <c r="F377">
        <v>0</v>
      </c>
      <c r="G377">
        <f t="shared" si="25"/>
        <v>797.4</v>
      </c>
    </row>
    <row r="378" spans="1:9">
      <c r="A378" t="str">
        <f>"BOS"</f>
        <v>BOS</v>
      </c>
      <c r="B378" t="str">
        <f t="shared" si="27"/>
        <v>60800000</v>
      </c>
      <c r="C378" t="str">
        <f t="shared" si="24"/>
        <v>BOS608000000</v>
      </c>
      <c r="E378">
        <v>4931.04</v>
      </c>
      <c r="F378">
        <v>0</v>
      </c>
      <c r="G378">
        <f t="shared" si="25"/>
        <v>4931.04</v>
      </c>
      <c r="H378" s="433"/>
      <c r="I378" s="113"/>
    </row>
    <row r="379" spans="1:9">
      <c r="A379" t="str">
        <f>"BOU"</f>
        <v>BOU</v>
      </c>
      <c r="B379" t="str">
        <f t="shared" si="27"/>
        <v>60800000</v>
      </c>
      <c r="C379" t="str">
        <f t="shared" si="24"/>
        <v>BOU608000000</v>
      </c>
      <c r="E379">
        <v>2544.83</v>
      </c>
      <c r="F379">
        <v>0</v>
      </c>
      <c r="G379">
        <f t="shared" si="25"/>
        <v>2544.83</v>
      </c>
    </row>
    <row r="380" spans="1:9">
      <c r="A380" t="str">
        <f>"CAL"</f>
        <v>CAL</v>
      </c>
      <c r="B380" t="str">
        <f t="shared" si="27"/>
        <v>60800000</v>
      </c>
      <c r="C380" t="str">
        <f t="shared" si="24"/>
        <v>CAL608000000</v>
      </c>
      <c r="E380">
        <v>2171.8200000000002</v>
      </c>
      <c r="F380">
        <v>0</v>
      </c>
      <c r="G380">
        <f t="shared" si="25"/>
        <v>2171.8200000000002</v>
      </c>
    </row>
    <row r="381" spans="1:9">
      <c r="A381" t="str">
        <f>"CAM"</f>
        <v>CAM</v>
      </c>
      <c r="B381" t="str">
        <f t="shared" si="27"/>
        <v>60800000</v>
      </c>
      <c r="C381" t="str">
        <f t="shared" si="24"/>
        <v>CAM608000000</v>
      </c>
      <c r="E381">
        <v>2233.56</v>
      </c>
      <c r="F381">
        <v>0</v>
      </c>
      <c r="G381">
        <f t="shared" si="25"/>
        <v>2233.56</v>
      </c>
    </row>
    <row r="382" spans="1:9">
      <c r="A382" t="str">
        <f>"CAU"</f>
        <v>CAU</v>
      </c>
      <c r="B382" t="str">
        <f t="shared" si="27"/>
        <v>60800000</v>
      </c>
      <c r="C382" t="str">
        <f t="shared" si="24"/>
        <v>CAU608000000</v>
      </c>
      <c r="E382">
        <v>1729.02</v>
      </c>
      <c r="F382">
        <v>0</v>
      </c>
      <c r="G382">
        <f t="shared" si="25"/>
        <v>1729.02</v>
      </c>
    </row>
    <row r="383" spans="1:9">
      <c r="A383" t="str">
        <f>"CHA"</f>
        <v>CHA</v>
      </c>
      <c r="B383" t="str">
        <f t="shared" si="27"/>
        <v>60800000</v>
      </c>
      <c r="C383" t="str">
        <f t="shared" si="24"/>
        <v>CHA608000000</v>
      </c>
      <c r="E383">
        <v>4614.95</v>
      </c>
      <c r="F383">
        <v>0</v>
      </c>
      <c r="G383">
        <f t="shared" si="25"/>
        <v>4614.95</v>
      </c>
    </row>
    <row r="384" spans="1:9">
      <c r="A384" t="str">
        <f>"CHAM"</f>
        <v>CHAM</v>
      </c>
      <c r="B384" t="str">
        <f t="shared" si="27"/>
        <v>60800000</v>
      </c>
      <c r="C384" t="str">
        <f t="shared" si="24"/>
        <v>CHAM608000000</v>
      </c>
      <c r="E384">
        <v>4706.47</v>
      </c>
      <c r="F384">
        <v>0</v>
      </c>
      <c r="G384">
        <f t="shared" si="25"/>
        <v>4706.47</v>
      </c>
    </row>
    <row r="385" spans="1:7">
      <c r="A385" t="str">
        <f>"CHART"</f>
        <v>CHART</v>
      </c>
      <c r="B385" t="str">
        <f t="shared" si="27"/>
        <v>60800000</v>
      </c>
      <c r="C385" t="str">
        <f t="shared" si="24"/>
        <v>CHART608000000</v>
      </c>
      <c r="E385">
        <v>6904.13</v>
      </c>
      <c r="F385">
        <v>0</v>
      </c>
      <c r="G385">
        <f t="shared" si="25"/>
        <v>6904.13</v>
      </c>
    </row>
    <row r="386" spans="1:7">
      <c r="A386" t="str">
        <f>"CLE"</f>
        <v>CLE</v>
      </c>
      <c r="B386" t="str">
        <f t="shared" si="27"/>
        <v>60800000</v>
      </c>
      <c r="C386" t="str">
        <f t="shared" si="24"/>
        <v>CLE608000000</v>
      </c>
      <c r="E386">
        <v>712.98</v>
      </c>
      <c r="F386">
        <v>0</v>
      </c>
      <c r="G386">
        <f t="shared" si="25"/>
        <v>712.98</v>
      </c>
    </row>
    <row r="387" spans="1:7">
      <c r="A387" t="str">
        <f>"CLT"</f>
        <v>CLT</v>
      </c>
      <c r="B387" t="str">
        <f t="shared" si="27"/>
        <v>60800000</v>
      </c>
      <c r="C387" t="str">
        <f t="shared" ref="C387:C450" si="28">+A387&amp;B387*10</f>
        <v>CLT608000000</v>
      </c>
      <c r="E387">
        <v>20.04</v>
      </c>
      <c r="F387">
        <v>0</v>
      </c>
      <c r="G387">
        <f t="shared" ref="G387:G450" si="29">+E387-F387</f>
        <v>20.04</v>
      </c>
    </row>
    <row r="388" spans="1:7">
      <c r="A388" t="str">
        <f>"COM"</f>
        <v>COM</v>
      </c>
      <c r="B388" t="str">
        <f t="shared" si="27"/>
        <v>60800000</v>
      </c>
      <c r="C388" t="str">
        <f t="shared" si="28"/>
        <v>COM608000000</v>
      </c>
      <c r="E388">
        <v>3884.86</v>
      </c>
      <c r="F388">
        <v>0</v>
      </c>
      <c r="G388">
        <f t="shared" si="29"/>
        <v>3884.86</v>
      </c>
    </row>
    <row r="389" spans="1:7">
      <c r="A389" t="str">
        <f>"CST"</f>
        <v>CST</v>
      </c>
      <c r="B389" t="str">
        <f t="shared" si="27"/>
        <v>60800000</v>
      </c>
      <c r="C389" t="str">
        <f t="shared" si="28"/>
        <v>CST608000000</v>
      </c>
      <c r="E389">
        <v>2940.54</v>
      </c>
      <c r="F389">
        <v>0</v>
      </c>
      <c r="G389">
        <f t="shared" si="29"/>
        <v>2940.54</v>
      </c>
    </row>
    <row r="390" spans="1:7">
      <c r="A390" t="str">
        <f>"DIJ"</f>
        <v>DIJ</v>
      </c>
      <c r="B390" t="str">
        <f t="shared" si="27"/>
        <v>60800000</v>
      </c>
      <c r="C390" t="str">
        <f t="shared" si="28"/>
        <v>DIJ608000000</v>
      </c>
      <c r="E390">
        <v>128.85</v>
      </c>
      <c r="F390">
        <v>0</v>
      </c>
      <c r="G390">
        <f t="shared" si="29"/>
        <v>128.85</v>
      </c>
    </row>
    <row r="391" spans="1:7">
      <c r="A391" t="str">
        <f>"EU"</f>
        <v>EU</v>
      </c>
      <c r="B391" t="str">
        <f t="shared" si="27"/>
        <v>60800000</v>
      </c>
      <c r="C391" t="str">
        <f t="shared" si="28"/>
        <v>EU608000000</v>
      </c>
      <c r="E391">
        <v>689.02</v>
      </c>
      <c r="F391">
        <v>0</v>
      </c>
      <c r="G391">
        <f t="shared" si="29"/>
        <v>689.02</v>
      </c>
    </row>
    <row r="392" spans="1:7">
      <c r="A392" t="str">
        <f>"GRE"</f>
        <v>GRE</v>
      </c>
      <c r="B392" t="str">
        <f t="shared" si="27"/>
        <v>60800000</v>
      </c>
      <c r="C392" t="str">
        <f t="shared" si="28"/>
        <v>GRE608000000</v>
      </c>
      <c r="E392">
        <v>2769.26</v>
      </c>
      <c r="F392">
        <v>0</v>
      </c>
      <c r="G392">
        <f t="shared" si="29"/>
        <v>2769.26</v>
      </c>
    </row>
    <row r="393" spans="1:7">
      <c r="A393" t="str">
        <f>"LEN"</f>
        <v>LEN</v>
      </c>
      <c r="B393" t="str">
        <f t="shared" si="27"/>
        <v>60800000</v>
      </c>
      <c r="C393" t="str">
        <f t="shared" si="28"/>
        <v>LEN608000000</v>
      </c>
      <c r="E393">
        <v>1326.45</v>
      </c>
      <c r="F393">
        <v>0</v>
      </c>
      <c r="G393">
        <f t="shared" si="29"/>
        <v>1326.45</v>
      </c>
    </row>
    <row r="394" spans="1:7">
      <c r="A394" t="str">
        <f>"MAD"</f>
        <v>MAD</v>
      </c>
      <c r="B394" t="str">
        <f t="shared" si="27"/>
        <v>60800000</v>
      </c>
      <c r="C394" t="str">
        <f t="shared" si="28"/>
        <v>MAD608000000</v>
      </c>
      <c r="E394">
        <v>1080.74</v>
      </c>
      <c r="F394">
        <v>0</v>
      </c>
      <c r="G394">
        <f t="shared" si="29"/>
        <v>1080.74</v>
      </c>
    </row>
    <row r="395" spans="1:7">
      <c r="A395" t="str">
        <f>"MAR"</f>
        <v>MAR</v>
      </c>
      <c r="B395" t="str">
        <f t="shared" si="27"/>
        <v>60800000</v>
      </c>
      <c r="C395" t="str">
        <f t="shared" si="28"/>
        <v>MAR608000000</v>
      </c>
      <c r="E395">
        <v>464.34</v>
      </c>
      <c r="F395">
        <v>0</v>
      </c>
      <c r="G395">
        <f t="shared" si="29"/>
        <v>464.34</v>
      </c>
    </row>
    <row r="396" spans="1:7">
      <c r="A396" t="str">
        <f>"MON"</f>
        <v>MON</v>
      </c>
      <c r="B396" t="str">
        <f t="shared" si="27"/>
        <v>60800000</v>
      </c>
      <c r="C396" t="str">
        <f t="shared" si="28"/>
        <v>MON608000000</v>
      </c>
      <c r="E396">
        <v>2143.1</v>
      </c>
      <c r="F396">
        <v>0</v>
      </c>
      <c r="G396">
        <f t="shared" si="29"/>
        <v>2143.1</v>
      </c>
    </row>
    <row r="397" spans="1:7">
      <c r="A397" t="str">
        <f>"NAN"</f>
        <v>NAN</v>
      </c>
      <c r="B397" t="str">
        <f t="shared" si="27"/>
        <v>60800000</v>
      </c>
      <c r="C397" t="str">
        <f t="shared" si="28"/>
        <v>NAN608000000</v>
      </c>
      <c r="E397">
        <v>1359.05</v>
      </c>
      <c r="F397">
        <v>0</v>
      </c>
      <c r="G397">
        <f t="shared" si="29"/>
        <v>1359.05</v>
      </c>
    </row>
    <row r="398" spans="1:7">
      <c r="A398" t="str">
        <f>"ORL"</f>
        <v>ORL</v>
      </c>
      <c r="B398" t="str">
        <f t="shared" si="27"/>
        <v>60800000</v>
      </c>
      <c r="C398" t="str">
        <f t="shared" si="28"/>
        <v>ORL608000000</v>
      </c>
      <c r="E398">
        <v>3017.89</v>
      </c>
      <c r="F398">
        <v>0</v>
      </c>
      <c r="G398">
        <f t="shared" si="29"/>
        <v>3017.89</v>
      </c>
    </row>
    <row r="399" spans="1:7">
      <c r="A399" t="str">
        <f>"REN"</f>
        <v>REN</v>
      </c>
      <c r="B399" t="str">
        <f t="shared" si="27"/>
        <v>60800000</v>
      </c>
      <c r="C399" t="str">
        <f t="shared" si="28"/>
        <v>REN608000000</v>
      </c>
      <c r="E399">
        <v>4627.45</v>
      </c>
      <c r="F399">
        <v>0</v>
      </c>
      <c r="G399">
        <f t="shared" si="29"/>
        <v>4627.45</v>
      </c>
    </row>
    <row r="400" spans="1:7">
      <c r="A400" t="str">
        <f>"ROA"</f>
        <v>ROA</v>
      </c>
      <c r="B400" t="str">
        <f t="shared" si="27"/>
        <v>60800000</v>
      </c>
      <c r="C400" t="str">
        <f t="shared" si="28"/>
        <v>ROA608000000</v>
      </c>
      <c r="E400">
        <v>2921.47</v>
      </c>
      <c r="F400">
        <v>0</v>
      </c>
      <c r="G400">
        <f t="shared" si="29"/>
        <v>2921.47</v>
      </c>
    </row>
    <row r="401" spans="1:7">
      <c r="A401" t="str">
        <f>"SAU"</f>
        <v>SAU</v>
      </c>
      <c r="B401" t="str">
        <f t="shared" si="27"/>
        <v>60800000</v>
      </c>
      <c r="C401" t="str">
        <f t="shared" si="28"/>
        <v>SAU608000000</v>
      </c>
      <c r="E401">
        <v>1277.01</v>
      </c>
      <c r="F401">
        <v>0</v>
      </c>
      <c r="G401">
        <f t="shared" si="29"/>
        <v>1277.01</v>
      </c>
    </row>
    <row r="402" spans="1:7">
      <c r="A402" t="str">
        <f>"SOM"</f>
        <v>SOM</v>
      </c>
      <c r="B402" t="str">
        <f t="shared" si="27"/>
        <v>60800000</v>
      </c>
      <c r="C402" t="str">
        <f t="shared" si="28"/>
        <v>SOM608000000</v>
      </c>
      <c r="E402">
        <v>1010.59</v>
      </c>
      <c r="F402">
        <v>0</v>
      </c>
      <c r="G402">
        <f t="shared" si="29"/>
        <v>1010.59</v>
      </c>
    </row>
    <row r="403" spans="1:7">
      <c r="A403" t="str">
        <f>"THO"</f>
        <v>THO</v>
      </c>
      <c r="B403" t="str">
        <f t="shared" si="27"/>
        <v>60800000</v>
      </c>
      <c r="C403" t="str">
        <f t="shared" si="28"/>
        <v>THO608000000</v>
      </c>
      <c r="E403">
        <v>5037.03</v>
      </c>
      <c r="F403">
        <v>0</v>
      </c>
      <c r="G403">
        <f t="shared" si="29"/>
        <v>5037.03</v>
      </c>
    </row>
    <row r="404" spans="1:7">
      <c r="A404" t="str">
        <f>"TOURC"</f>
        <v>TOURC</v>
      </c>
      <c r="B404" t="str">
        <f t="shared" si="27"/>
        <v>60800000</v>
      </c>
      <c r="C404" t="str">
        <f t="shared" si="28"/>
        <v>TOURC608000000</v>
      </c>
      <c r="E404">
        <v>1203.81</v>
      </c>
      <c r="F404">
        <v>0</v>
      </c>
      <c r="G404">
        <f t="shared" si="29"/>
        <v>1203.81</v>
      </c>
    </row>
    <row r="405" spans="1:7">
      <c r="A405" t="str">
        <f>"VAN"</f>
        <v>VAN</v>
      </c>
      <c r="B405" t="str">
        <f t="shared" si="27"/>
        <v>60800000</v>
      </c>
      <c r="C405" t="str">
        <f t="shared" si="28"/>
        <v>VAN608000000</v>
      </c>
      <c r="E405">
        <v>4645.63</v>
      </c>
      <c r="F405">
        <v>0</v>
      </c>
      <c r="G405">
        <f t="shared" si="29"/>
        <v>4645.63</v>
      </c>
    </row>
    <row r="406" spans="1:7">
      <c r="A406" t="str">
        <f>"AMI"</f>
        <v>AMI</v>
      </c>
      <c r="B406" t="str">
        <f t="shared" ref="B406:B436" si="30">"60911000"</f>
        <v>60911000</v>
      </c>
      <c r="C406" t="str">
        <f t="shared" si="28"/>
        <v>AMI609110000</v>
      </c>
      <c r="E406">
        <v>-78.86</v>
      </c>
      <c r="F406">
        <v>0</v>
      </c>
      <c r="G406">
        <f t="shared" si="29"/>
        <v>-78.86</v>
      </c>
    </row>
    <row r="407" spans="1:7">
      <c r="A407" t="str">
        <f>"ANG"</f>
        <v>ANG</v>
      </c>
      <c r="B407" t="str">
        <f t="shared" si="30"/>
        <v>60911000</v>
      </c>
      <c r="C407" t="str">
        <f t="shared" si="28"/>
        <v>ANG609110000</v>
      </c>
      <c r="E407">
        <v>-533.48</v>
      </c>
      <c r="F407">
        <v>0</v>
      </c>
      <c r="G407">
        <f t="shared" si="29"/>
        <v>-533.48</v>
      </c>
    </row>
    <row r="408" spans="1:7">
      <c r="A408" t="str">
        <f>"BET"</f>
        <v>BET</v>
      </c>
      <c r="B408" t="str">
        <f t="shared" si="30"/>
        <v>60911000</v>
      </c>
      <c r="C408" t="str">
        <f t="shared" si="28"/>
        <v>BET609110000</v>
      </c>
      <c r="E408">
        <v>-93.76</v>
      </c>
      <c r="F408">
        <v>0</v>
      </c>
      <c r="G408">
        <f t="shared" si="29"/>
        <v>-93.76</v>
      </c>
    </row>
    <row r="409" spans="1:7">
      <c r="A409" t="str">
        <f>"BOI"</f>
        <v>BOI</v>
      </c>
      <c r="B409" t="str">
        <f t="shared" si="30"/>
        <v>60911000</v>
      </c>
      <c r="C409" t="str">
        <f t="shared" si="28"/>
        <v>BOI609110000</v>
      </c>
      <c r="E409">
        <v>-137.62</v>
      </c>
      <c r="F409">
        <v>0</v>
      </c>
      <c r="G409">
        <f t="shared" si="29"/>
        <v>-137.62</v>
      </c>
    </row>
    <row r="410" spans="1:7">
      <c r="A410" t="str">
        <f>"BOS"</f>
        <v>BOS</v>
      </c>
      <c r="B410" t="str">
        <f t="shared" si="30"/>
        <v>60911000</v>
      </c>
      <c r="C410" t="str">
        <f t="shared" si="28"/>
        <v>BOS609110000</v>
      </c>
      <c r="E410">
        <v>-64.89</v>
      </c>
      <c r="F410">
        <v>0</v>
      </c>
      <c r="G410">
        <f t="shared" si="29"/>
        <v>-64.89</v>
      </c>
    </row>
    <row r="411" spans="1:7">
      <c r="A411" t="str">
        <f>"BOU"</f>
        <v>BOU</v>
      </c>
      <c r="B411" t="str">
        <f t="shared" si="30"/>
        <v>60911000</v>
      </c>
      <c r="C411" t="str">
        <f t="shared" si="28"/>
        <v>BOU609110000</v>
      </c>
      <c r="E411">
        <v>-2181.87</v>
      </c>
      <c r="F411">
        <v>0</v>
      </c>
      <c r="G411">
        <f t="shared" si="29"/>
        <v>-2181.87</v>
      </c>
    </row>
    <row r="412" spans="1:7">
      <c r="A412" t="str">
        <f>"CAL"</f>
        <v>CAL</v>
      </c>
      <c r="B412" t="str">
        <f t="shared" si="30"/>
        <v>60911000</v>
      </c>
      <c r="C412" t="str">
        <f t="shared" si="28"/>
        <v>CAL609110000</v>
      </c>
      <c r="E412">
        <v>-726</v>
      </c>
      <c r="F412">
        <v>0</v>
      </c>
      <c r="G412">
        <f t="shared" si="29"/>
        <v>-726</v>
      </c>
    </row>
    <row r="413" spans="1:7">
      <c r="A413" t="str">
        <f>"CAM"</f>
        <v>CAM</v>
      </c>
      <c r="B413" t="str">
        <f t="shared" si="30"/>
        <v>60911000</v>
      </c>
      <c r="C413" t="str">
        <f t="shared" si="28"/>
        <v>CAM609110000</v>
      </c>
      <c r="E413">
        <v>-530.61</v>
      </c>
      <c r="F413">
        <v>0</v>
      </c>
      <c r="G413">
        <f t="shared" si="29"/>
        <v>-530.61</v>
      </c>
    </row>
    <row r="414" spans="1:7">
      <c r="A414" t="str">
        <f>"CAU"</f>
        <v>CAU</v>
      </c>
      <c r="B414" t="str">
        <f t="shared" si="30"/>
        <v>60911000</v>
      </c>
      <c r="C414" t="str">
        <f t="shared" si="28"/>
        <v>CAU609110000</v>
      </c>
      <c r="E414">
        <v>-102.33</v>
      </c>
      <c r="F414">
        <v>0</v>
      </c>
      <c r="G414">
        <f t="shared" si="29"/>
        <v>-102.33</v>
      </c>
    </row>
    <row r="415" spans="1:7">
      <c r="A415" t="str">
        <f>"CHA"</f>
        <v>CHA</v>
      </c>
      <c r="B415" t="str">
        <f t="shared" si="30"/>
        <v>60911000</v>
      </c>
      <c r="C415" t="str">
        <f t="shared" si="28"/>
        <v>CHA609110000</v>
      </c>
      <c r="E415">
        <v>-104.12</v>
      </c>
      <c r="F415">
        <v>0</v>
      </c>
      <c r="G415">
        <f t="shared" si="29"/>
        <v>-104.12</v>
      </c>
    </row>
    <row r="416" spans="1:7">
      <c r="A416" t="str">
        <f>"CHAM"</f>
        <v>CHAM</v>
      </c>
      <c r="B416" t="str">
        <f t="shared" si="30"/>
        <v>60911000</v>
      </c>
      <c r="C416" t="str">
        <f t="shared" si="28"/>
        <v>CHAM609110000</v>
      </c>
      <c r="E416">
        <v>-157.11000000000001</v>
      </c>
      <c r="F416">
        <v>0</v>
      </c>
      <c r="G416">
        <f t="shared" si="29"/>
        <v>-157.11000000000001</v>
      </c>
    </row>
    <row r="417" spans="1:9">
      <c r="A417" t="str">
        <f>"CHART"</f>
        <v>CHART</v>
      </c>
      <c r="B417" t="str">
        <f t="shared" si="30"/>
        <v>60911000</v>
      </c>
      <c r="C417" t="str">
        <f t="shared" si="28"/>
        <v>CHART609110000</v>
      </c>
      <c r="E417">
        <v>-664.64</v>
      </c>
      <c r="F417">
        <v>0</v>
      </c>
      <c r="G417">
        <f t="shared" si="29"/>
        <v>-664.64</v>
      </c>
    </row>
    <row r="418" spans="1:9">
      <c r="A418" t="str">
        <f>"CLE"</f>
        <v>CLE</v>
      </c>
      <c r="B418" t="str">
        <f t="shared" si="30"/>
        <v>60911000</v>
      </c>
      <c r="C418" t="str">
        <f t="shared" si="28"/>
        <v>CLE609110000</v>
      </c>
      <c r="E418">
        <v>-12574.51</v>
      </c>
      <c r="F418">
        <v>0</v>
      </c>
      <c r="G418">
        <f t="shared" si="29"/>
        <v>-12574.51</v>
      </c>
    </row>
    <row r="419" spans="1:9">
      <c r="A419" t="str">
        <f>"COM"</f>
        <v>COM</v>
      </c>
      <c r="B419" t="str">
        <f t="shared" si="30"/>
        <v>60911000</v>
      </c>
      <c r="C419" t="str">
        <f t="shared" si="28"/>
        <v>COM609110000</v>
      </c>
      <c r="E419">
        <v>145.79</v>
      </c>
      <c r="F419">
        <v>0</v>
      </c>
      <c r="G419">
        <f t="shared" si="29"/>
        <v>145.79</v>
      </c>
    </row>
    <row r="420" spans="1:9">
      <c r="A420" t="str">
        <f>"CST"</f>
        <v>CST</v>
      </c>
      <c r="B420" t="str">
        <f t="shared" si="30"/>
        <v>60911000</v>
      </c>
      <c r="C420" t="str">
        <f t="shared" si="28"/>
        <v>CST609110000</v>
      </c>
      <c r="E420">
        <v>-137.04</v>
      </c>
      <c r="F420">
        <v>0</v>
      </c>
      <c r="G420">
        <f t="shared" si="29"/>
        <v>-137.04</v>
      </c>
    </row>
    <row r="421" spans="1:9">
      <c r="A421" t="str">
        <f>"EU"</f>
        <v>EU</v>
      </c>
      <c r="B421" t="str">
        <f t="shared" si="30"/>
        <v>60911000</v>
      </c>
      <c r="C421" t="str">
        <f t="shared" si="28"/>
        <v>EU609110000</v>
      </c>
      <c r="E421">
        <v>-1350.56</v>
      </c>
      <c r="F421">
        <v>0</v>
      </c>
      <c r="G421">
        <f t="shared" si="29"/>
        <v>-1350.56</v>
      </c>
      <c r="H421" s="433"/>
      <c r="I421" s="113"/>
    </row>
    <row r="422" spans="1:9">
      <c r="A422" t="str">
        <f>"GRE"</f>
        <v>GRE</v>
      </c>
      <c r="B422" t="str">
        <f t="shared" si="30"/>
        <v>60911000</v>
      </c>
      <c r="C422" t="str">
        <f t="shared" si="28"/>
        <v>GRE609110000</v>
      </c>
      <c r="E422">
        <v>560.83000000000004</v>
      </c>
      <c r="F422">
        <v>0</v>
      </c>
      <c r="G422">
        <f t="shared" si="29"/>
        <v>560.83000000000004</v>
      </c>
    </row>
    <row r="423" spans="1:9">
      <c r="A423" t="str">
        <f>"LEN"</f>
        <v>LEN</v>
      </c>
      <c r="B423" t="str">
        <f t="shared" si="30"/>
        <v>60911000</v>
      </c>
      <c r="C423" t="str">
        <f t="shared" si="28"/>
        <v>LEN609110000</v>
      </c>
      <c r="E423">
        <v>3508.05</v>
      </c>
      <c r="F423">
        <v>0</v>
      </c>
      <c r="G423">
        <f t="shared" si="29"/>
        <v>3508.05</v>
      </c>
    </row>
    <row r="424" spans="1:9">
      <c r="A424" t="str">
        <f>"LIL"</f>
        <v>LIL</v>
      </c>
      <c r="B424" t="str">
        <f t="shared" si="30"/>
        <v>60911000</v>
      </c>
      <c r="C424" t="str">
        <f t="shared" si="28"/>
        <v>LIL609110000</v>
      </c>
      <c r="E424">
        <v>-3144.05</v>
      </c>
      <c r="F424">
        <v>0</v>
      </c>
      <c r="G424">
        <f t="shared" si="29"/>
        <v>-3144.05</v>
      </c>
    </row>
    <row r="425" spans="1:9">
      <c r="A425" t="str">
        <f>"MAD"</f>
        <v>MAD</v>
      </c>
      <c r="B425" t="str">
        <f t="shared" si="30"/>
        <v>60911000</v>
      </c>
      <c r="C425" t="str">
        <f t="shared" si="28"/>
        <v>MAD609110000</v>
      </c>
      <c r="E425">
        <v>26.2</v>
      </c>
      <c r="F425">
        <v>0</v>
      </c>
      <c r="G425">
        <f t="shared" si="29"/>
        <v>26.2</v>
      </c>
    </row>
    <row r="426" spans="1:9">
      <c r="A426" t="str">
        <f>"MAR"</f>
        <v>MAR</v>
      </c>
      <c r="B426" t="str">
        <f t="shared" si="30"/>
        <v>60911000</v>
      </c>
      <c r="C426" t="str">
        <f t="shared" si="28"/>
        <v>MAR609110000</v>
      </c>
      <c r="E426">
        <v>-130.16999999999999</v>
      </c>
      <c r="F426">
        <v>0</v>
      </c>
      <c r="G426">
        <f t="shared" si="29"/>
        <v>-130.16999999999999</v>
      </c>
    </row>
    <row r="427" spans="1:9">
      <c r="A427" t="str">
        <f>"MON"</f>
        <v>MON</v>
      </c>
      <c r="B427" t="str">
        <f t="shared" si="30"/>
        <v>60911000</v>
      </c>
      <c r="C427" t="str">
        <f t="shared" si="28"/>
        <v>MON609110000</v>
      </c>
      <c r="E427">
        <v>-215.51</v>
      </c>
      <c r="F427">
        <v>0</v>
      </c>
      <c r="G427">
        <f t="shared" si="29"/>
        <v>-215.51</v>
      </c>
    </row>
    <row r="428" spans="1:9">
      <c r="A428" t="str">
        <f>"NAN"</f>
        <v>NAN</v>
      </c>
      <c r="B428" t="str">
        <f t="shared" si="30"/>
        <v>60911000</v>
      </c>
      <c r="C428" t="str">
        <f t="shared" si="28"/>
        <v>NAN609110000</v>
      </c>
      <c r="E428">
        <v>-512.38</v>
      </c>
      <c r="F428">
        <v>0</v>
      </c>
      <c r="G428">
        <f t="shared" si="29"/>
        <v>-512.38</v>
      </c>
    </row>
    <row r="429" spans="1:9">
      <c r="A429" t="str">
        <f>"ORL"</f>
        <v>ORL</v>
      </c>
      <c r="B429" t="str">
        <f t="shared" si="30"/>
        <v>60911000</v>
      </c>
      <c r="C429" t="str">
        <f t="shared" si="28"/>
        <v>ORL609110000</v>
      </c>
      <c r="E429">
        <v>-202.53</v>
      </c>
      <c r="F429">
        <v>0</v>
      </c>
      <c r="G429">
        <f t="shared" si="29"/>
        <v>-202.53</v>
      </c>
    </row>
    <row r="430" spans="1:9">
      <c r="A430" t="str">
        <f>"REN"</f>
        <v>REN</v>
      </c>
      <c r="B430" t="str">
        <f t="shared" si="30"/>
        <v>60911000</v>
      </c>
      <c r="C430" t="str">
        <f t="shared" si="28"/>
        <v>REN609110000</v>
      </c>
      <c r="E430">
        <v>-21.07</v>
      </c>
      <c r="F430">
        <v>0</v>
      </c>
      <c r="G430">
        <f t="shared" si="29"/>
        <v>-21.07</v>
      </c>
    </row>
    <row r="431" spans="1:9">
      <c r="A431" t="str">
        <f>"ROA"</f>
        <v>ROA</v>
      </c>
      <c r="B431" t="str">
        <f t="shared" si="30"/>
        <v>60911000</v>
      </c>
      <c r="C431" t="str">
        <f t="shared" si="28"/>
        <v>ROA609110000</v>
      </c>
      <c r="E431">
        <v>-1891.77</v>
      </c>
      <c r="F431">
        <v>0</v>
      </c>
      <c r="G431">
        <f t="shared" si="29"/>
        <v>-1891.77</v>
      </c>
    </row>
    <row r="432" spans="1:9">
      <c r="A432" t="str">
        <f>"SAU"</f>
        <v>SAU</v>
      </c>
      <c r="B432" t="str">
        <f t="shared" si="30"/>
        <v>60911000</v>
      </c>
      <c r="C432" t="str">
        <f t="shared" si="28"/>
        <v>SAU609110000</v>
      </c>
      <c r="E432">
        <v>-181.96</v>
      </c>
      <c r="F432">
        <v>0</v>
      </c>
      <c r="G432">
        <f t="shared" si="29"/>
        <v>-181.96</v>
      </c>
    </row>
    <row r="433" spans="1:7">
      <c r="A433" t="str">
        <f>"SOM"</f>
        <v>SOM</v>
      </c>
      <c r="B433" t="str">
        <f t="shared" si="30"/>
        <v>60911000</v>
      </c>
      <c r="C433" t="str">
        <f t="shared" si="28"/>
        <v>SOM609110000</v>
      </c>
      <c r="E433">
        <v>-605.05999999999995</v>
      </c>
      <c r="F433">
        <v>0</v>
      </c>
      <c r="G433">
        <f t="shared" si="29"/>
        <v>-605.05999999999995</v>
      </c>
    </row>
    <row r="434" spans="1:7">
      <c r="A434" t="str">
        <f>"THO"</f>
        <v>THO</v>
      </c>
      <c r="B434" t="str">
        <f t="shared" si="30"/>
        <v>60911000</v>
      </c>
      <c r="C434" t="str">
        <f t="shared" si="28"/>
        <v>THO609110000</v>
      </c>
      <c r="E434">
        <v>-441.64</v>
      </c>
      <c r="F434">
        <v>0</v>
      </c>
      <c r="G434">
        <f t="shared" si="29"/>
        <v>-441.64</v>
      </c>
    </row>
    <row r="435" spans="1:7">
      <c r="A435" t="str">
        <f>"TOURC"</f>
        <v>TOURC</v>
      </c>
      <c r="B435" t="str">
        <f t="shared" si="30"/>
        <v>60911000</v>
      </c>
      <c r="C435" t="str">
        <f t="shared" si="28"/>
        <v>TOURC609110000</v>
      </c>
      <c r="E435">
        <v>245.87</v>
      </c>
      <c r="F435">
        <v>0</v>
      </c>
      <c r="G435">
        <f t="shared" si="29"/>
        <v>245.87</v>
      </c>
    </row>
    <row r="436" spans="1:7">
      <c r="A436" t="str">
        <f>"VAN"</f>
        <v>VAN</v>
      </c>
      <c r="B436" t="str">
        <f t="shared" si="30"/>
        <v>60911000</v>
      </c>
      <c r="C436" t="str">
        <f t="shared" si="28"/>
        <v>VAN609110000</v>
      </c>
      <c r="E436">
        <v>-795.13</v>
      </c>
      <c r="F436">
        <v>0</v>
      </c>
      <c r="G436">
        <f t="shared" si="29"/>
        <v>-795.13</v>
      </c>
    </row>
    <row r="437" spans="1:7">
      <c r="A437" t="str">
        <f>"AMI"</f>
        <v>AMI</v>
      </c>
      <c r="B437" t="str">
        <f t="shared" ref="B437:B467" si="31">"60912000"</f>
        <v>60912000</v>
      </c>
      <c r="C437" t="str">
        <f t="shared" si="28"/>
        <v>AMI609120000</v>
      </c>
      <c r="E437">
        <v>-6752.27</v>
      </c>
      <c r="F437">
        <v>0</v>
      </c>
      <c r="G437">
        <f t="shared" si="29"/>
        <v>-6752.27</v>
      </c>
    </row>
    <row r="438" spans="1:7">
      <c r="A438" t="str">
        <f>"ANG"</f>
        <v>ANG</v>
      </c>
      <c r="B438" t="str">
        <f t="shared" si="31"/>
        <v>60912000</v>
      </c>
      <c r="C438" t="str">
        <f t="shared" si="28"/>
        <v>ANG609120000</v>
      </c>
      <c r="E438">
        <v>-15894.27</v>
      </c>
      <c r="F438">
        <v>0</v>
      </c>
      <c r="G438">
        <f t="shared" si="29"/>
        <v>-15894.27</v>
      </c>
    </row>
    <row r="439" spans="1:7">
      <c r="A439" t="str">
        <f>"BET"</f>
        <v>BET</v>
      </c>
      <c r="B439" t="str">
        <f t="shared" si="31"/>
        <v>60912000</v>
      </c>
      <c r="C439" t="str">
        <f t="shared" si="28"/>
        <v>BET609120000</v>
      </c>
      <c r="E439">
        <v>-6492.22</v>
      </c>
      <c r="F439">
        <v>0</v>
      </c>
      <c r="G439">
        <f t="shared" si="29"/>
        <v>-6492.22</v>
      </c>
    </row>
    <row r="440" spans="1:7">
      <c r="A440" t="str">
        <f>"BOI"</f>
        <v>BOI</v>
      </c>
      <c r="B440" t="str">
        <f t="shared" si="31"/>
        <v>60912000</v>
      </c>
      <c r="C440" t="str">
        <f t="shared" si="28"/>
        <v>BOI609120000</v>
      </c>
      <c r="E440">
        <v>-3205.51</v>
      </c>
      <c r="F440">
        <v>0</v>
      </c>
      <c r="G440">
        <f t="shared" si="29"/>
        <v>-3205.51</v>
      </c>
    </row>
    <row r="441" spans="1:7">
      <c r="A441" t="str">
        <f>"BOS"</f>
        <v>BOS</v>
      </c>
      <c r="B441" t="str">
        <f t="shared" si="31"/>
        <v>60912000</v>
      </c>
      <c r="C441" t="str">
        <f t="shared" si="28"/>
        <v>BOS609120000</v>
      </c>
      <c r="E441">
        <v>-17782.310000000001</v>
      </c>
      <c r="F441">
        <v>0</v>
      </c>
      <c r="G441">
        <f t="shared" si="29"/>
        <v>-17782.310000000001</v>
      </c>
    </row>
    <row r="442" spans="1:7">
      <c r="A442" t="str">
        <f>"BOU"</f>
        <v>BOU</v>
      </c>
      <c r="B442" t="str">
        <f t="shared" si="31"/>
        <v>60912000</v>
      </c>
      <c r="C442" t="str">
        <f t="shared" si="28"/>
        <v>BOU609120000</v>
      </c>
      <c r="E442">
        <v>-40861.31</v>
      </c>
      <c r="F442">
        <v>0</v>
      </c>
      <c r="G442">
        <f t="shared" si="29"/>
        <v>-40861.31</v>
      </c>
    </row>
    <row r="443" spans="1:7">
      <c r="A443" t="str">
        <f>"CAL"</f>
        <v>CAL</v>
      </c>
      <c r="B443" t="str">
        <f t="shared" si="31"/>
        <v>60912000</v>
      </c>
      <c r="C443" t="str">
        <f t="shared" si="28"/>
        <v>CAL609120000</v>
      </c>
      <c r="E443">
        <v>-19107.060000000001</v>
      </c>
      <c r="F443">
        <v>0</v>
      </c>
      <c r="G443">
        <f t="shared" si="29"/>
        <v>-19107.060000000001</v>
      </c>
    </row>
    <row r="444" spans="1:7">
      <c r="A444" t="str">
        <f>"CAM"</f>
        <v>CAM</v>
      </c>
      <c r="B444" t="str">
        <f t="shared" si="31"/>
        <v>60912000</v>
      </c>
      <c r="C444" t="str">
        <f t="shared" si="28"/>
        <v>CAM609120000</v>
      </c>
      <c r="E444">
        <v>-10985.94</v>
      </c>
      <c r="F444">
        <v>0</v>
      </c>
      <c r="G444">
        <f t="shared" si="29"/>
        <v>-10985.94</v>
      </c>
    </row>
    <row r="445" spans="1:7">
      <c r="A445" t="str">
        <f>"CAU"</f>
        <v>CAU</v>
      </c>
      <c r="B445" t="str">
        <f t="shared" si="31"/>
        <v>60912000</v>
      </c>
      <c r="C445" t="str">
        <f t="shared" si="28"/>
        <v>CAU609120000</v>
      </c>
      <c r="E445">
        <v>-10996.58</v>
      </c>
      <c r="F445">
        <v>0</v>
      </c>
      <c r="G445">
        <f t="shared" si="29"/>
        <v>-10996.58</v>
      </c>
    </row>
    <row r="446" spans="1:7">
      <c r="A446" t="str">
        <f>"CHA"</f>
        <v>CHA</v>
      </c>
      <c r="B446" t="str">
        <f t="shared" si="31"/>
        <v>60912000</v>
      </c>
      <c r="C446" t="str">
        <f t="shared" si="28"/>
        <v>CHA609120000</v>
      </c>
      <c r="E446">
        <v>-4928.91</v>
      </c>
      <c r="F446">
        <v>0</v>
      </c>
      <c r="G446">
        <f t="shared" si="29"/>
        <v>-4928.91</v>
      </c>
    </row>
    <row r="447" spans="1:7">
      <c r="A447" t="str">
        <f>"CHAM"</f>
        <v>CHAM</v>
      </c>
      <c r="B447" t="str">
        <f t="shared" si="31"/>
        <v>60912000</v>
      </c>
      <c r="C447" t="str">
        <f t="shared" si="28"/>
        <v>CHAM609120000</v>
      </c>
      <c r="E447">
        <v>-9984.1</v>
      </c>
      <c r="F447">
        <v>0</v>
      </c>
      <c r="G447">
        <f t="shared" si="29"/>
        <v>-9984.1</v>
      </c>
    </row>
    <row r="448" spans="1:7">
      <c r="A448" t="str">
        <f>"CHART"</f>
        <v>CHART</v>
      </c>
      <c r="B448" t="str">
        <f t="shared" si="31"/>
        <v>60912000</v>
      </c>
      <c r="C448" t="str">
        <f t="shared" si="28"/>
        <v>CHART609120000</v>
      </c>
      <c r="E448">
        <v>-11946.69</v>
      </c>
      <c r="F448">
        <v>0</v>
      </c>
      <c r="G448">
        <f t="shared" si="29"/>
        <v>-11946.69</v>
      </c>
    </row>
    <row r="449" spans="1:7">
      <c r="A449" t="str">
        <f>"CLE"</f>
        <v>CLE</v>
      </c>
      <c r="B449" t="str">
        <f t="shared" si="31"/>
        <v>60912000</v>
      </c>
      <c r="C449" t="str">
        <f t="shared" si="28"/>
        <v>CLE609120000</v>
      </c>
      <c r="E449">
        <v>-18116.43</v>
      </c>
      <c r="F449">
        <v>0</v>
      </c>
      <c r="G449">
        <f t="shared" si="29"/>
        <v>-18116.43</v>
      </c>
    </row>
    <row r="450" spans="1:7">
      <c r="A450" t="str">
        <f>"COM"</f>
        <v>COM</v>
      </c>
      <c r="B450" t="str">
        <f t="shared" si="31"/>
        <v>60912000</v>
      </c>
      <c r="C450" t="str">
        <f t="shared" si="28"/>
        <v>COM609120000</v>
      </c>
      <c r="E450">
        <v>-9002.2099999999991</v>
      </c>
      <c r="F450">
        <v>0</v>
      </c>
      <c r="G450">
        <f t="shared" si="29"/>
        <v>-9002.2099999999991</v>
      </c>
    </row>
    <row r="451" spans="1:7">
      <c r="A451" t="str">
        <f>"CST"</f>
        <v>CST</v>
      </c>
      <c r="B451" t="str">
        <f t="shared" si="31"/>
        <v>60912000</v>
      </c>
      <c r="C451" t="str">
        <f t="shared" ref="C451:C514" si="32">+A451&amp;B451*10</f>
        <v>CST609120000</v>
      </c>
      <c r="E451">
        <v>-8899.66</v>
      </c>
      <c r="F451">
        <v>0</v>
      </c>
      <c r="G451">
        <f t="shared" ref="G451:G514" si="33">+E451-F451</f>
        <v>-8899.66</v>
      </c>
    </row>
    <row r="452" spans="1:7">
      <c r="A452" t="str">
        <f>"DIJ"</f>
        <v>DIJ</v>
      </c>
      <c r="B452" t="str">
        <f t="shared" si="31"/>
        <v>60912000</v>
      </c>
      <c r="C452" t="str">
        <f t="shared" si="32"/>
        <v>DIJ609120000</v>
      </c>
      <c r="E452">
        <v>-1540.35</v>
      </c>
      <c r="F452">
        <v>0</v>
      </c>
      <c r="G452">
        <f t="shared" si="33"/>
        <v>-1540.35</v>
      </c>
    </row>
    <row r="453" spans="1:7">
      <c r="A453" t="str">
        <f>"EU"</f>
        <v>EU</v>
      </c>
      <c r="B453" t="str">
        <f t="shared" si="31"/>
        <v>60912000</v>
      </c>
      <c r="C453" t="str">
        <f t="shared" si="32"/>
        <v>EU609120000</v>
      </c>
      <c r="E453">
        <v>-16985.64</v>
      </c>
      <c r="F453">
        <v>0</v>
      </c>
      <c r="G453">
        <f t="shared" si="33"/>
        <v>-16985.64</v>
      </c>
    </row>
    <row r="454" spans="1:7">
      <c r="A454" t="str">
        <f>"GRE"</f>
        <v>GRE</v>
      </c>
      <c r="B454" t="str">
        <f t="shared" si="31"/>
        <v>60912000</v>
      </c>
      <c r="C454" t="str">
        <f t="shared" si="32"/>
        <v>GRE609120000</v>
      </c>
      <c r="E454">
        <v>-25925.83</v>
      </c>
      <c r="F454">
        <v>0</v>
      </c>
      <c r="G454">
        <f t="shared" si="33"/>
        <v>-25925.83</v>
      </c>
    </row>
    <row r="455" spans="1:7">
      <c r="A455" t="str">
        <f>"LEN"</f>
        <v>LEN</v>
      </c>
      <c r="B455" t="str">
        <f t="shared" si="31"/>
        <v>60912000</v>
      </c>
      <c r="C455" t="str">
        <f t="shared" si="32"/>
        <v>LEN609120000</v>
      </c>
      <c r="E455">
        <v>-7884.94</v>
      </c>
      <c r="F455">
        <v>0</v>
      </c>
      <c r="G455">
        <f t="shared" si="33"/>
        <v>-7884.94</v>
      </c>
    </row>
    <row r="456" spans="1:7">
      <c r="A456" t="str">
        <f>"MAD"</f>
        <v>MAD</v>
      </c>
      <c r="B456" t="str">
        <f t="shared" si="31"/>
        <v>60912000</v>
      </c>
      <c r="C456" t="str">
        <f t="shared" si="32"/>
        <v>MAD609120000</v>
      </c>
      <c r="E456">
        <v>-14956.76</v>
      </c>
      <c r="F456">
        <v>0</v>
      </c>
      <c r="G456">
        <f t="shared" si="33"/>
        <v>-14956.76</v>
      </c>
    </row>
    <row r="457" spans="1:7">
      <c r="A457" t="str">
        <f>"MAR"</f>
        <v>MAR</v>
      </c>
      <c r="B457" t="str">
        <f t="shared" si="31"/>
        <v>60912000</v>
      </c>
      <c r="C457" t="str">
        <f t="shared" si="32"/>
        <v>MAR609120000</v>
      </c>
      <c r="E457">
        <v>-1883.84</v>
      </c>
      <c r="F457">
        <v>0</v>
      </c>
      <c r="G457">
        <f t="shared" si="33"/>
        <v>-1883.84</v>
      </c>
    </row>
    <row r="458" spans="1:7">
      <c r="A458" t="str">
        <f>"MON"</f>
        <v>MON</v>
      </c>
      <c r="B458" t="str">
        <f t="shared" si="31"/>
        <v>60912000</v>
      </c>
      <c r="C458" t="str">
        <f t="shared" si="32"/>
        <v>MON609120000</v>
      </c>
      <c r="E458">
        <v>-9931.4599999999991</v>
      </c>
      <c r="F458">
        <v>0</v>
      </c>
      <c r="G458">
        <f t="shared" si="33"/>
        <v>-9931.4599999999991</v>
      </c>
    </row>
    <row r="459" spans="1:7">
      <c r="A459" t="str">
        <f>"NAN"</f>
        <v>NAN</v>
      </c>
      <c r="B459" t="str">
        <f t="shared" si="31"/>
        <v>60912000</v>
      </c>
      <c r="C459" t="str">
        <f t="shared" si="32"/>
        <v>NAN609120000</v>
      </c>
      <c r="E459">
        <v>-8990.31</v>
      </c>
      <c r="F459">
        <v>0</v>
      </c>
      <c r="G459">
        <f t="shared" si="33"/>
        <v>-8990.31</v>
      </c>
    </row>
    <row r="460" spans="1:7">
      <c r="A460" t="str">
        <f>"ORL"</f>
        <v>ORL</v>
      </c>
      <c r="B460" t="str">
        <f t="shared" si="31"/>
        <v>60912000</v>
      </c>
      <c r="C460" t="str">
        <f t="shared" si="32"/>
        <v>ORL609120000</v>
      </c>
      <c r="E460">
        <v>-15347.22</v>
      </c>
      <c r="F460">
        <v>0</v>
      </c>
      <c r="G460">
        <f t="shared" si="33"/>
        <v>-15347.22</v>
      </c>
    </row>
    <row r="461" spans="1:7">
      <c r="A461" t="str">
        <f>"REN"</f>
        <v>REN</v>
      </c>
      <c r="B461" t="str">
        <f t="shared" si="31"/>
        <v>60912000</v>
      </c>
      <c r="C461" t="str">
        <f t="shared" si="32"/>
        <v>REN609120000</v>
      </c>
      <c r="E461">
        <v>-7881.37</v>
      </c>
      <c r="F461">
        <v>0</v>
      </c>
      <c r="G461">
        <f t="shared" si="33"/>
        <v>-7881.37</v>
      </c>
    </row>
    <row r="462" spans="1:7">
      <c r="A462" t="str">
        <f>"ROA"</f>
        <v>ROA</v>
      </c>
      <c r="B462" t="str">
        <f t="shared" si="31"/>
        <v>60912000</v>
      </c>
      <c r="C462" t="str">
        <f t="shared" si="32"/>
        <v>ROA609120000</v>
      </c>
      <c r="E462">
        <v>-21928.13</v>
      </c>
      <c r="F462">
        <v>0</v>
      </c>
      <c r="G462">
        <f t="shared" si="33"/>
        <v>-21928.13</v>
      </c>
    </row>
    <row r="463" spans="1:7">
      <c r="A463" t="str">
        <f>"SAU"</f>
        <v>SAU</v>
      </c>
      <c r="B463" t="str">
        <f t="shared" si="31"/>
        <v>60912000</v>
      </c>
      <c r="C463" t="str">
        <f t="shared" si="32"/>
        <v>SAU609120000</v>
      </c>
      <c r="E463">
        <v>-3195.15</v>
      </c>
      <c r="F463">
        <v>0</v>
      </c>
      <c r="G463">
        <f t="shared" si="33"/>
        <v>-3195.15</v>
      </c>
    </row>
    <row r="464" spans="1:7">
      <c r="A464" t="str">
        <f>"SOM"</f>
        <v>SOM</v>
      </c>
      <c r="B464" t="str">
        <f t="shared" si="31"/>
        <v>60912000</v>
      </c>
      <c r="C464" t="str">
        <f t="shared" si="32"/>
        <v>SOM609120000</v>
      </c>
      <c r="E464">
        <v>-10412.08</v>
      </c>
      <c r="F464">
        <v>0</v>
      </c>
      <c r="G464">
        <f t="shared" si="33"/>
        <v>-10412.08</v>
      </c>
    </row>
    <row r="465" spans="1:7">
      <c r="A465" t="str">
        <f>"THO"</f>
        <v>THO</v>
      </c>
      <c r="B465" t="str">
        <f t="shared" si="31"/>
        <v>60912000</v>
      </c>
      <c r="C465" t="str">
        <f t="shared" si="32"/>
        <v>THO609120000</v>
      </c>
      <c r="E465">
        <v>-13739.81</v>
      </c>
      <c r="F465">
        <v>0</v>
      </c>
      <c r="G465">
        <f t="shared" si="33"/>
        <v>-13739.81</v>
      </c>
    </row>
    <row r="466" spans="1:7">
      <c r="A466" t="str">
        <f>"TOURC"</f>
        <v>TOURC</v>
      </c>
      <c r="B466" t="str">
        <f t="shared" si="31"/>
        <v>60912000</v>
      </c>
      <c r="C466" t="str">
        <f t="shared" si="32"/>
        <v>TOURC609120000</v>
      </c>
      <c r="E466">
        <v>-3268.3</v>
      </c>
      <c r="F466">
        <v>0</v>
      </c>
      <c r="G466">
        <f t="shared" si="33"/>
        <v>-3268.3</v>
      </c>
    </row>
    <row r="467" spans="1:7">
      <c r="A467" t="str">
        <f>"VAN"</f>
        <v>VAN</v>
      </c>
      <c r="B467" t="str">
        <f t="shared" si="31"/>
        <v>60912000</v>
      </c>
      <c r="C467" t="str">
        <f t="shared" si="32"/>
        <v>VAN609120000</v>
      </c>
      <c r="E467">
        <v>-16200.17</v>
      </c>
      <c r="F467">
        <v>0</v>
      </c>
      <c r="G467">
        <f t="shared" si="33"/>
        <v>-16200.17</v>
      </c>
    </row>
    <row r="468" spans="1:7">
      <c r="A468" t="str">
        <f>"AMI"</f>
        <v>AMI</v>
      </c>
      <c r="B468" t="str">
        <f t="shared" ref="B468:B498" si="34">"60913000"</f>
        <v>60913000</v>
      </c>
      <c r="C468" t="str">
        <f t="shared" si="32"/>
        <v>AMI609130000</v>
      </c>
      <c r="E468">
        <v>-3858.44</v>
      </c>
      <c r="F468">
        <v>0</v>
      </c>
      <c r="G468">
        <f t="shared" si="33"/>
        <v>-3858.44</v>
      </c>
    </row>
    <row r="469" spans="1:7">
      <c r="A469" t="str">
        <f>"ANG"</f>
        <v>ANG</v>
      </c>
      <c r="B469" t="str">
        <f t="shared" si="34"/>
        <v>60913000</v>
      </c>
      <c r="C469" t="str">
        <f t="shared" si="32"/>
        <v>ANG609130000</v>
      </c>
      <c r="E469">
        <v>-9082.44</v>
      </c>
      <c r="F469">
        <v>0</v>
      </c>
      <c r="G469">
        <f t="shared" si="33"/>
        <v>-9082.44</v>
      </c>
    </row>
    <row r="470" spans="1:7">
      <c r="A470" t="str">
        <f>"BET"</f>
        <v>BET</v>
      </c>
      <c r="B470" t="str">
        <f t="shared" si="34"/>
        <v>60913000</v>
      </c>
      <c r="C470" t="str">
        <f t="shared" si="32"/>
        <v>BET609130000</v>
      </c>
      <c r="E470">
        <v>-3709.84</v>
      </c>
      <c r="F470">
        <v>0</v>
      </c>
      <c r="G470">
        <f t="shared" si="33"/>
        <v>-3709.84</v>
      </c>
    </row>
    <row r="471" spans="1:7">
      <c r="A471" t="str">
        <f>"BOI"</f>
        <v>BOI</v>
      </c>
      <c r="B471" t="str">
        <f t="shared" si="34"/>
        <v>60913000</v>
      </c>
      <c r="C471" t="str">
        <f t="shared" si="32"/>
        <v>BOI609130000</v>
      </c>
      <c r="E471">
        <v>-1831.72</v>
      </c>
      <c r="F471">
        <v>0</v>
      </c>
      <c r="G471">
        <f t="shared" si="33"/>
        <v>-1831.72</v>
      </c>
    </row>
    <row r="472" spans="1:7">
      <c r="A472" t="str">
        <f>"BOS"</f>
        <v>BOS</v>
      </c>
      <c r="B472" t="str">
        <f t="shared" si="34"/>
        <v>60913000</v>
      </c>
      <c r="C472" t="str">
        <f t="shared" si="32"/>
        <v>BOS609130000</v>
      </c>
      <c r="E472">
        <v>-10161.32</v>
      </c>
      <c r="F472">
        <v>0</v>
      </c>
      <c r="G472">
        <f t="shared" si="33"/>
        <v>-10161.32</v>
      </c>
    </row>
    <row r="473" spans="1:7">
      <c r="A473" t="str">
        <f>"BOU"</f>
        <v>BOU</v>
      </c>
      <c r="B473" t="str">
        <f t="shared" si="34"/>
        <v>60913000</v>
      </c>
      <c r="C473" t="str">
        <f t="shared" si="32"/>
        <v>BOU609130000</v>
      </c>
      <c r="E473">
        <v>-23349.32</v>
      </c>
      <c r="F473">
        <v>0</v>
      </c>
      <c r="G473">
        <f t="shared" si="33"/>
        <v>-23349.32</v>
      </c>
    </row>
    <row r="474" spans="1:7">
      <c r="A474" t="str">
        <f>"CAL"</f>
        <v>CAL</v>
      </c>
      <c r="B474" t="str">
        <f t="shared" si="34"/>
        <v>60913000</v>
      </c>
      <c r="C474" t="str">
        <f t="shared" si="32"/>
        <v>CAL609130000</v>
      </c>
      <c r="E474">
        <v>-10918.32</v>
      </c>
      <c r="F474">
        <v>0</v>
      </c>
      <c r="G474">
        <f t="shared" si="33"/>
        <v>-10918.32</v>
      </c>
    </row>
    <row r="475" spans="1:7">
      <c r="A475" t="str">
        <f>"CAM"</f>
        <v>CAM</v>
      </c>
      <c r="B475" t="str">
        <f t="shared" si="34"/>
        <v>60913000</v>
      </c>
      <c r="C475" t="str">
        <f t="shared" si="32"/>
        <v>CAM609130000</v>
      </c>
      <c r="E475">
        <v>-6277.68</v>
      </c>
      <c r="F475">
        <v>0</v>
      </c>
      <c r="G475">
        <f t="shared" si="33"/>
        <v>-6277.68</v>
      </c>
    </row>
    <row r="476" spans="1:7">
      <c r="A476" t="str">
        <f>"CAU"</f>
        <v>CAU</v>
      </c>
      <c r="B476" t="str">
        <f t="shared" si="34"/>
        <v>60913000</v>
      </c>
      <c r="C476" t="str">
        <f t="shared" si="32"/>
        <v>CAU609130000</v>
      </c>
      <c r="E476">
        <v>-6283.76</v>
      </c>
      <c r="F476">
        <v>0</v>
      </c>
      <c r="G476">
        <f t="shared" si="33"/>
        <v>-6283.76</v>
      </c>
    </row>
    <row r="477" spans="1:7">
      <c r="A477" t="str">
        <f>"CHA"</f>
        <v>CHA</v>
      </c>
      <c r="B477" t="str">
        <f t="shared" si="34"/>
        <v>60913000</v>
      </c>
      <c r="C477" t="str">
        <f t="shared" si="32"/>
        <v>CHA609130000</v>
      </c>
      <c r="E477">
        <v>-2816.52</v>
      </c>
      <c r="F477">
        <v>0</v>
      </c>
      <c r="G477">
        <f t="shared" si="33"/>
        <v>-2816.52</v>
      </c>
    </row>
    <row r="478" spans="1:7">
      <c r="A478" t="str">
        <f>"CHAM"</f>
        <v>CHAM</v>
      </c>
      <c r="B478" t="str">
        <f t="shared" si="34"/>
        <v>60913000</v>
      </c>
      <c r="C478" t="str">
        <f t="shared" si="32"/>
        <v>CHAM609130000</v>
      </c>
      <c r="E478">
        <v>-1867.6</v>
      </c>
      <c r="F478">
        <v>0</v>
      </c>
      <c r="G478">
        <f t="shared" si="33"/>
        <v>-1867.6</v>
      </c>
    </row>
    <row r="479" spans="1:7">
      <c r="A479" t="str">
        <f>"CHART"</f>
        <v>CHART</v>
      </c>
      <c r="B479" t="str">
        <f t="shared" si="34"/>
        <v>60913000</v>
      </c>
      <c r="C479" t="str">
        <f t="shared" si="32"/>
        <v>CHART609130000</v>
      </c>
      <c r="E479">
        <v>-6826.68</v>
      </c>
      <c r="F479">
        <v>0</v>
      </c>
      <c r="G479">
        <f t="shared" si="33"/>
        <v>-6826.68</v>
      </c>
    </row>
    <row r="480" spans="1:7">
      <c r="A480" t="str">
        <f>"CLE"</f>
        <v>CLE</v>
      </c>
      <c r="B480" t="str">
        <f t="shared" si="34"/>
        <v>60913000</v>
      </c>
      <c r="C480" t="str">
        <f t="shared" si="32"/>
        <v>CLE609130000</v>
      </c>
      <c r="E480">
        <v>-10352.25</v>
      </c>
      <c r="F480">
        <v>0</v>
      </c>
      <c r="G480">
        <f t="shared" si="33"/>
        <v>-10352.25</v>
      </c>
    </row>
    <row r="481" spans="1:7">
      <c r="A481" t="str">
        <f>"COM"</f>
        <v>COM</v>
      </c>
      <c r="B481" t="str">
        <f t="shared" si="34"/>
        <v>60913000</v>
      </c>
      <c r="C481" t="str">
        <f t="shared" si="32"/>
        <v>COM609130000</v>
      </c>
      <c r="E481">
        <v>-5144.12</v>
      </c>
      <c r="F481">
        <v>0</v>
      </c>
      <c r="G481">
        <f t="shared" si="33"/>
        <v>-5144.12</v>
      </c>
    </row>
    <row r="482" spans="1:7">
      <c r="A482" t="str">
        <f>"CST"</f>
        <v>CST</v>
      </c>
      <c r="B482" t="str">
        <f t="shared" si="34"/>
        <v>60913000</v>
      </c>
      <c r="C482" t="str">
        <f t="shared" si="32"/>
        <v>CST609130000</v>
      </c>
      <c r="E482">
        <v>-5085.5200000000004</v>
      </c>
      <c r="F482">
        <v>0</v>
      </c>
      <c r="G482">
        <f t="shared" si="33"/>
        <v>-5085.5200000000004</v>
      </c>
    </row>
    <row r="483" spans="1:7">
      <c r="A483" t="str">
        <f>"DIJ"</f>
        <v>DIJ</v>
      </c>
      <c r="B483" t="str">
        <f t="shared" si="34"/>
        <v>60913000</v>
      </c>
      <c r="C483" t="str">
        <f t="shared" si="32"/>
        <v>DIJ609130000</v>
      </c>
      <c r="E483">
        <v>-880.2</v>
      </c>
      <c r="F483">
        <v>0</v>
      </c>
      <c r="G483">
        <f t="shared" si="33"/>
        <v>-880.2</v>
      </c>
    </row>
    <row r="484" spans="1:7">
      <c r="A484" t="str">
        <f>"EU"</f>
        <v>EU</v>
      </c>
      <c r="B484" t="str">
        <f t="shared" si="34"/>
        <v>60913000</v>
      </c>
      <c r="C484" t="str">
        <f t="shared" si="32"/>
        <v>EU609130000</v>
      </c>
      <c r="E484">
        <v>-9706.08</v>
      </c>
      <c r="F484">
        <v>0</v>
      </c>
      <c r="G484">
        <f t="shared" si="33"/>
        <v>-9706.08</v>
      </c>
    </row>
    <row r="485" spans="1:7">
      <c r="A485" t="str">
        <f>"GRE"</f>
        <v>GRE</v>
      </c>
      <c r="B485" t="str">
        <f t="shared" si="34"/>
        <v>60913000</v>
      </c>
      <c r="C485" t="str">
        <f t="shared" si="32"/>
        <v>GRE609130000</v>
      </c>
      <c r="E485">
        <v>-14814.76</v>
      </c>
      <c r="F485">
        <v>0</v>
      </c>
      <c r="G485">
        <f t="shared" si="33"/>
        <v>-14814.76</v>
      </c>
    </row>
    <row r="486" spans="1:7">
      <c r="A486" t="str">
        <f>"LEN"</f>
        <v>LEN</v>
      </c>
      <c r="B486" t="str">
        <f t="shared" si="34"/>
        <v>60913000</v>
      </c>
      <c r="C486" t="str">
        <f t="shared" si="32"/>
        <v>LEN609130000</v>
      </c>
      <c r="E486">
        <v>-4505.68</v>
      </c>
      <c r="F486">
        <v>0</v>
      </c>
      <c r="G486">
        <f t="shared" si="33"/>
        <v>-4505.68</v>
      </c>
    </row>
    <row r="487" spans="1:7">
      <c r="A487" t="str">
        <f>"MAD"</f>
        <v>MAD</v>
      </c>
      <c r="B487" t="str">
        <f t="shared" si="34"/>
        <v>60913000</v>
      </c>
      <c r="C487" t="str">
        <f t="shared" si="32"/>
        <v>MAD609130000</v>
      </c>
      <c r="E487">
        <v>-8546.7199999999993</v>
      </c>
      <c r="F487">
        <v>0</v>
      </c>
      <c r="G487">
        <f t="shared" si="33"/>
        <v>-8546.7199999999993</v>
      </c>
    </row>
    <row r="488" spans="1:7">
      <c r="A488" t="str">
        <f>"MAR"</f>
        <v>MAR</v>
      </c>
      <c r="B488" t="str">
        <f t="shared" si="34"/>
        <v>60913000</v>
      </c>
      <c r="C488" t="str">
        <f t="shared" si="32"/>
        <v>MAR609130000</v>
      </c>
      <c r="E488">
        <v>-1076.48</v>
      </c>
      <c r="F488">
        <v>0</v>
      </c>
      <c r="G488">
        <f t="shared" si="33"/>
        <v>-1076.48</v>
      </c>
    </row>
    <row r="489" spans="1:7">
      <c r="A489" t="str">
        <f>"MON"</f>
        <v>MON</v>
      </c>
      <c r="B489" t="str">
        <f t="shared" si="34"/>
        <v>60913000</v>
      </c>
      <c r="C489" t="str">
        <f t="shared" si="32"/>
        <v>MON609130000</v>
      </c>
      <c r="E489">
        <v>-5675.12</v>
      </c>
      <c r="F489">
        <v>0</v>
      </c>
      <c r="G489">
        <f t="shared" si="33"/>
        <v>-5675.12</v>
      </c>
    </row>
    <row r="490" spans="1:7">
      <c r="A490" t="str">
        <f>"NAN"</f>
        <v>NAN</v>
      </c>
      <c r="B490" t="str">
        <f t="shared" si="34"/>
        <v>60913000</v>
      </c>
      <c r="C490" t="str">
        <f t="shared" si="32"/>
        <v>NAN609130000</v>
      </c>
      <c r="E490">
        <v>-5137.32</v>
      </c>
      <c r="F490">
        <v>0</v>
      </c>
      <c r="G490">
        <f t="shared" si="33"/>
        <v>-5137.32</v>
      </c>
    </row>
    <row r="491" spans="1:7">
      <c r="A491" t="str">
        <f>"ORL"</f>
        <v>ORL</v>
      </c>
      <c r="B491" t="str">
        <f t="shared" si="34"/>
        <v>60913000</v>
      </c>
      <c r="C491" t="str">
        <f t="shared" si="32"/>
        <v>ORL609130000</v>
      </c>
      <c r="E491">
        <v>-8769.84</v>
      </c>
      <c r="F491">
        <v>0</v>
      </c>
      <c r="G491">
        <f t="shared" si="33"/>
        <v>-8769.84</v>
      </c>
    </row>
    <row r="492" spans="1:7">
      <c r="A492" t="str">
        <f>"REN"</f>
        <v>REN</v>
      </c>
      <c r="B492" t="str">
        <f t="shared" si="34"/>
        <v>60913000</v>
      </c>
      <c r="C492" t="str">
        <f t="shared" si="32"/>
        <v>REN609130000</v>
      </c>
      <c r="E492">
        <v>-4503.6400000000003</v>
      </c>
      <c r="F492">
        <v>0</v>
      </c>
      <c r="G492">
        <f t="shared" si="33"/>
        <v>-4503.6400000000003</v>
      </c>
    </row>
    <row r="493" spans="1:7">
      <c r="A493" t="str">
        <f>"ROA"</f>
        <v>ROA</v>
      </c>
      <c r="B493" t="str">
        <f t="shared" si="34"/>
        <v>60913000</v>
      </c>
      <c r="C493" t="str">
        <f t="shared" si="32"/>
        <v>ROA609130000</v>
      </c>
      <c r="E493">
        <v>-12530.36</v>
      </c>
      <c r="F493">
        <v>0</v>
      </c>
      <c r="G493">
        <f t="shared" si="33"/>
        <v>-12530.36</v>
      </c>
    </row>
    <row r="494" spans="1:7">
      <c r="A494" t="str">
        <f>"SAU"</f>
        <v>SAU</v>
      </c>
      <c r="B494" t="str">
        <f t="shared" si="34"/>
        <v>60913000</v>
      </c>
      <c r="C494" t="str">
        <f t="shared" si="32"/>
        <v>SAU609130000</v>
      </c>
      <c r="E494">
        <v>-1825.8</v>
      </c>
      <c r="F494">
        <v>0</v>
      </c>
      <c r="G494">
        <f t="shared" si="33"/>
        <v>-1825.8</v>
      </c>
    </row>
    <row r="495" spans="1:7">
      <c r="A495" t="str">
        <f>"SOM"</f>
        <v>SOM</v>
      </c>
      <c r="B495" t="str">
        <f t="shared" si="34"/>
        <v>60913000</v>
      </c>
      <c r="C495" t="str">
        <f t="shared" si="32"/>
        <v>SOM609130000</v>
      </c>
      <c r="E495">
        <v>-5949.76</v>
      </c>
      <c r="F495">
        <v>0</v>
      </c>
      <c r="G495">
        <f t="shared" si="33"/>
        <v>-5949.76</v>
      </c>
    </row>
    <row r="496" spans="1:7">
      <c r="A496" t="str">
        <f>"THO"</f>
        <v>THO</v>
      </c>
      <c r="B496" t="str">
        <f t="shared" si="34"/>
        <v>60913000</v>
      </c>
      <c r="C496" t="str">
        <f t="shared" si="32"/>
        <v>THO609130000</v>
      </c>
      <c r="E496">
        <v>-7851.32</v>
      </c>
      <c r="F496">
        <v>0</v>
      </c>
      <c r="G496">
        <f t="shared" si="33"/>
        <v>-7851.32</v>
      </c>
    </row>
    <row r="497" spans="1:7">
      <c r="A497" t="str">
        <f>"TOURC"</f>
        <v>TOURC</v>
      </c>
      <c r="B497" t="str">
        <f t="shared" si="34"/>
        <v>60913000</v>
      </c>
      <c r="C497" t="str">
        <f t="shared" si="32"/>
        <v>TOURC609130000</v>
      </c>
      <c r="E497">
        <v>-5705.2</v>
      </c>
      <c r="F497">
        <v>0</v>
      </c>
      <c r="G497">
        <f t="shared" si="33"/>
        <v>-5705.2</v>
      </c>
    </row>
    <row r="498" spans="1:7">
      <c r="A498" t="str">
        <f>"VAN"</f>
        <v>VAN</v>
      </c>
      <c r="B498" t="str">
        <f t="shared" si="34"/>
        <v>60913000</v>
      </c>
      <c r="C498" t="str">
        <f t="shared" si="32"/>
        <v>VAN609130000</v>
      </c>
      <c r="E498">
        <v>-9257.24</v>
      </c>
      <c r="F498">
        <v>0</v>
      </c>
      <c r="G498">
        <f t="shared" si="33"/>
        <v>-9257.24</v>
      </c>
    </row>
    <row r="499" spans="1:7">
      <c r="A499" t="str">
        <f>"CLE"</f>
        <v>CLE</v>
      </c>
      <c r="B499" t="str">
        <f t="shared" ref="B499:B507" si="35">"61100000"</f>
        <v>61100000</v>
      </c>
      <c r="C499" t="str">
        <f t="shared" si="32"/>
        <v>CLE611000000</v>
      </c>
      <c r="E499">
        <v>25.23</v>
      </c>
      <c r="F499">
        <v>0</v>
      </c>
      <c r="G499">
        <f t="shared" si="33"/>
        <v>25.23</v>
      </c>
    </row>
    <row r="500" spans="1:7">
      <c r="A500" t="str">
        <f>"COM"</f>
        <v>COM</v>
      </c>
      <c r="B500" t="str">
        <f t="shared" si="35"/>
        <v>61100000</v>
      </c>
      <c r="C500" t="str">
        <f t="shared" si="32"/>
        <v>COM611000000</v>
      </c>
      <c r="E500">
        <v>245.3</v>
      </c>
      <c r="F500">
        <v>0</v>
      </c>
      <c r="G500">
        <f t="shared" si="33"/>
        <v>245.3</v>
      </c>
    </row>
    <row r="501" spans="1:7">
      <c r="A501" t="str">
        <f>"EU"</f>
        <v>EU</v>
      </c>
      <c r="B501" t="str">
        <f t="shared" si="35"/>
        <v>61100000</v>
      </c>
      <c r="C501" t="str">
        <f t="shared" si="32"/>
        <v>EU611000000</v>
      </c>
      <c r="E501">
        <v>95</v>
      </c>
      <c r="F501">
        <v>0</v>
      </c>
      <c r="G501">
        <f t="shared" si="33"/>
        <v>95</v>
      </c>
    </row>
    <row r="502" spans="1:7">
      <c r="A502" t="str">
        <f>"GRE"</f>
        <v>GRE</v>
      </c>
      <c r="B502" t="str">
        <f t="shared" si="35"/>
        <v>61100000</v>
      </c>
      <c r="C502" t="str">
        <f t="shared" si="32"/>
        <v>GRE611000000</v>
      </c>
      <c r="E502">
        <v>223.02</v>
      </c>
      <c r="F502">
        <v>0</v>
      </c>
      <c r="G502">
        <f t="shared" si="33"/>
        <v>223.02</v>
      </c>
    </row>
    <row r="503" spans="1:7">
      <c r="A503" t="str">
        <f>"LEN"</f>
        <v>LEN</v>
      </c>
      <c r="B503" t="str">
        <f t="shared" si="35"/>
        <v>61100000</v>
      </c>
      <c r="C503" t="str">
        <f t="shared" si="32"/>
        <v>LEN611000000</v>
      </c>
      <c r="E503">
        <v>23.4</v>
      </c>
      <c r="F503">
        <v>0</v>
      </c>
      <c r="G503">
        <f t="shared" si="33"/>
        <v>23.4</v>
      </c>
    </row>
    <row r="504" spans="1:7">
      <c r="A504" t="str">
        <f>"LIL"</f>
        <v>LIL</v>
      </c>
      <c r="B504" t="str">
        <f t="shared" si="35"/>
        <v>61100000</v>
      </c>
      <c r="C504" t="str">
        <f t="shared" si="32"/>
        <v>LIL611000000</v>
      </c>
      <c r="E504">
        <v>15321.21</v>
      </c>
      <c r="F504">
        <v>0</v>
      </c>
      <c r="G504">
        <f t="shared" si="33"/>
        <v>15321.21</v>
      </c>
    </row>
    <row r="505" spans="1:7">
      <c r="A505" t="str">
        <f>"MON"</f>
        <v>MON</v>
      </c>
      <c r="B505" t="str">
        <f t="shared" si="35"/>
        <v>61100000</v>
      </c>
      <c r="C505" t="str">
        <f t="shared" si="32"/>
        <v>MON611000000</v>
      </c>
      <c r="E505">
        <v>86.13</v>
      </c>
      <c r="F505">
        <v>0</v>
      </c>
      <c r="G505">
        <f t="shared" si="33"/>
        <v>86.13</v>
      </c>
    </row>
    <row r="506" spans="1:7">
      <c r="A506" t="str">
        <f>"ROA"</f>
        <v>ROA</v>
      </c>
      <c r="B506" t="str">
        <f t="shared" si="35"/>
        <v>61100000</v>
      </c>
      <c r="C506" t="str">
        <f t="shared" si="32"/>
        <v>ROA611000000</v>
      </c>
      <c r="E506">
        <v>1355.81</v>
      </c>
      <c r="F506">
        <v>0</v>
      </c>
      <c r="G506">
        <f t="shared" si="33"/>
        <v>1355.81</v>
      </c>
    </row>
    <row r="507" spans="1:7">
      <c r="A507" t="str">
        <f>"TOURC"</f>
        <v>TOURC</v>
      </c>
      <c r="B507" t="str">
        <f t="shared" si="35"/>
        <v>61100000</v>
      </c>
      <c r="C507" t="str">
        <f t="shared" si="32"/>
        <v>TOURC611000000</v>
      </c>
      <c r="E507">
        <v>132.30000000000001</v>
      </c>
      <c r="F507">
        <v>0</v>
      </c>
      <c r="G507">
        <f t="shared" si="33"/>
        <v>132.30000000000001</v>
      </c>
    </row>
    <row r="508" spans="1:7">
      <c r="A508" t="str">
        <f>"LIL"</f>
        <v>LIL</v>
      </c>
      <c r="B508" t="str">
        <f>"61250000"</f>
        <v>61250000</v>
      </c>
      <c r="C508" t="str">
        <f t="shared" si="32"/>
        <v>LIL612500000</v>
      </c>
      <c r="E508">
        <v>4377.76</v>
      </c>
      <c r="F508">
        <v>-1094.44</v>
      </c>
      <c r="G508">
        <f t="shared" si="33"/>
        <v>5472.2000000000007</v>
      </c>
    </row>
    <row r="509" spans="1:7">
      <c r="A509" t="str">
        <f>"SAU"</f>
        <v>SAU</v>
      </c>
      <c r="B509" t="str">
        <f>"61250000"</f>
        <v>61250000</v>
      </c>
      <c r="C509" t="str">
        <f t="shared" si="32"/>
        <v>SAU612500000</v>
      </c>
      <c r="E509">
        <v>2362.0500000000002</v>
      </c>
      <c r="F509">
        <v>0</v>
      </c>
      <c r="G509">
        <f t="shared" si="33"/>
        <v>2362.0500000000002</v>
      </c>
    </row>
    <row r="510" spans="1:7">
      <c r="A510" t="str">
        <f>"AMI"</f>
        <v>AMI</v>
      </c>
      <c r="B510" t="str">
        <f t="shared" ref="B510:B541" si="36">"61320000"</f>
        <v>61320000</v>
      </c>
      <c r="C510" t="str">
        <f t="shared" si="32"/>
        <v>AMI613200000</v>
      </c>
      <c r="E510">
        <v>19121.13</v>
      </c>
      <c r="F510">
        <v>0</v>
      </c>
      <c r="G510">
        <f t="shared" si="33"/>
        <v>19121.13</v>
      </c>
    </row>
    <row r="511" spans="1:7">
      <c r="A511" t="str">
        <f>"ANG"</f>
        <v>ANG</v>
      </c>
      <c r="B511" t="str">
        <f t="shared" si="36"/>
        <v>61320000</v>
      </c>
      <c r="C511" t="str">
        <f t="shared" si="32"/>
        <v>ANG613200000</v>
      </c>
      <c r="E511">
        <v>17592.84</v>
      </c>
      <c r="F511">
        <v>0</v>
      </c>
      <c r="G511">
        <f t="shared" si="33"/>
        <v>17592.84</v>
      </c>
    </row>
    <row r="512" spans="1:7">
      <c r="A512" t="str">
        <f>"BET"</f>
        <v>BET</v>
      </c>
      <c r="B512" t="str">
        <f t="shared" si="36"/>
        <v>61320000</v>
      </c>
      <c r="C512" t="str">
        <f t="shared" si="32"/>
        <v>BET613200000</v>
      </c>
      <c r="E512">
        <v>17348.939999999999</v>
      </c>
      <c r="F512">
        <v>0</v>
      </c>
      <c r="G512">
        <f t="shared" si="33"/>
        <v>17348.939999999999</v>
      </c>
    </row>
    <row r="513" spans="1:7">
      <c r="A513" t="str">
        <f>"BOI"</f>
        <v>BOI</v>
      </c>
      <c r="B513" t="str">
        <f t="shared" si="36"/>
        <v>61320000</v>
      </c>
      <c r="C513" t="str">
        <f t="shared" si="32"/>
        <v>BOI613200000</v>
      </c>
      <c r="E513">
        <v>5654.7</v>
      </c>
      <c r="F513">
        <v>0</v>
      </c>
      <c r="G513">
        <f t="shared" si="33"/>
        <v>5654.7</v>
      </c>
    </row>
    <row r="514" spans="1:7">
      <c r="A514" t="str">
        <f>"BOS"</f>
        <v>BOS</v>
      </c>
      <c r="B514" t="str">
        <f t="shared" si="36"/>
        <v>61320000</v>
      </c>
      <c r="C514" t="str">
        <f t="shared" si="32"/>
        <v>BOS613200000</v>
      </c>
      <c r="E514">
        <v>31348.799999999999</v>
      </c>
      <c r="F514">
        <v>0</v>
      </c>
      <c r="G514">
        <f t="shared" si="33"/>
        <v>31348.799999999999</v>
      </c>
    </row>
    <row r="515" spans="1:7">
      <c r="A515" t="str">
        <f>"BOU"</f>
        <v>BOU</v>
      </c>
      <c r="B515" t="str">
        <f t="shared" si="36"/>
        <v>61320000</v>
      </c>
      <c r="C515" t="str">
        <f t="shared" ref="C515:C578" si="37">+A515&amp;B515*10</f>
        <v>BOU613200000</v>
      </c>
      <c r="E515">
        <v>19312.47</v>
      </c>
      <c r="F515">
        <v>0</v>
      </c>
      <c r="G515">
        <f t="shared" ref="G515:G578" si="38">+E515-F515</f>
        <v>19312.47</v>
      </c>
    </row>
    <row r="516" spans="1:7">
      <c r="A516" t="str">
        <f>"CAL"</f>
        <v>CAL</v>
      </c>
      <c r="B516" t="str">
        <f t="shared" si="36"/>
        <v>61320000</v>
      </c>
      <c r="C516" t="str">
        <f t="shared" si="37"/>
        <v>CAL613200000</v>
      </c>
      <c r="E516">
        <v>8461.44</v>
      </c>
      <c r="F516">
        <v>0</v>
      </c>
      <c r="G516">
        <f t="shared" si="38"/>
        <v>8461.44</v>
      </c>
    </row>
    <row r="517" spans="1:7">
      <c r="A517" t="str">
        <f>"CAM"</f>
        <v>CAM</v>
      </c>
      <c r="B517" t="str">
        <f t="shared" si="36"/>
        <v>61320000</v>
      </c>
      <c r="C517" t="str">
        <f t="shared" si="37"/>
        <v>CAM613200000</v>
      </c>
      <c r="E517">
        <v>10860.48</v>
      </c>
      <c r="F517">
        <v>0</v>
      </c>
      <c r="G517">
        <f t="shared" si="38"/>
        <v>10860.48</v>
      </c>
    </row>
    <row r="518" spans="1:7">
      <c r="A518" t="str">
        <f>"CAU"</f>
        <v>CAU</v>
      </c>
      <c r="B518" t="str">
        <f t="shared" si="36"/>
        <v>61320000</v>
      </c>
      <c r="C518" t="str">
        <f t="shared" si="37"/>
        <v>CAU613200000</v>
      </c>
      <c r="E518">
        <v>31872.6</v>
      </c>
      <c r="F518">
        <v>7962.03</v>
      </c>
      <c r="G518">
        <f t="shared" si="38"/>
        <v>23910.57</v>
      </c>
    </row>
    <row r="519" spans="1:7">
      <c r="A519" t="str">
        <f>"CHA"</f>
        <v>CHA</v>
      </c>
      <c r="B519" t="str">
        <f t="shared" si="36"/>
        <v>61320000</v>
      </c>
      <c r="C519" t="str">
        <f t="shared" si="37"/>
        <v>CHA613200000</v>
      </c>
      <c r="E519">
        <v>12785.22</v>
      </c>
      <c r="F519">
        <v>0</v>
      </c>
      <c r="G519">
        <f t="shared" si="38"/>
        <v>12785.22</v>
      </c>
    </row>
    <row r="520" spans="1:7">
      <c r="A520" t="str">
        <f>"CHAM"</f>
        <v>CHAM</v>
      </c>
      <c r="B520" t="str">
        <f t="shared" si="36"/>
        <v>61320000</v>
      </c>
      <c r="C520" t="str">
        <f t="shared" si="37"/>
        <v>CHAM613200000</v>
      </c>
      <c r="E520">
        <v>18045</v>
      </c>
      <c r="F520">
        <v>0</v>
      </c>
      <c r="G520">
        <f t="shared" si="38"/>
        <v>18045</v>
      </c>
    </row>
    <row r="521" spans="1:7">
      <c r="A521" t="str">
        <f>"CHART"</f>
        <v>CHART</v>
      </c>
      <c r="B521" t="str">
        <f t="shared" si="36"/>
        <v>61320000</v>
      </c>
      <c r="C521" t="str">
        <f t="shared" si="37"/>
        <v>CHART613200000</v>
      </c>
      <c r="E521">
        <v>16592.580000000002</v>
      </c>
      <c r="F521">
        <v>0</v>
      </c>
      <c r="G521">
        <f t="shared" si="38"/>
        <v>16592.580000000002</v>
      </c>
    </row>
    <row r="522" spans="1:7">
      <c r="A522" t="str">
        <f>"CLE"</f>
        <v>CLE</v>
      </c>
      <c r="B522" t="str">
        <f t="shared" si="36"/>
        <v>61320000</v>
      </c>
      <c r="C522" t="str">
        <f t="shared" si="37"/>
        <v>CLE613200000</v>
      </c>
      <c r="E522">
        <v>61891.47</v>
      </c>
      <c r="F522">
        <v>6393.52</v>
      </c>
      <c r="G522">
        <f t="shared" si="38"/>
        <v>55497.95</v>
      </c>
    </row>
    <row r="523" spans="1:7">
      <c r="A523" t="str">
        <f>"COM"</f>
        <v>COM</v>
      </c>
      <c r="B523" t="str">
        <f t="shared" si="36"/>
        <v>61320000</v>
      </c>
      <c r="C523" t="str">
        <f t="shared" si="37"/>
        <v>COM613200000</v>
      </c>
      <c r="E523">
        <v>14358.06</v>
      </c>
      <c r="F523">
        <v>0</v>
      </c>
      <c r="G523">
        <f t="shared" si="38"/>
        <v>14358.06</v>
      </c>
    </row>
    <row r="524" spans="1:7">
      <c r="A524" t="str">
        <f>"CST"</f>
        <v>CST</v>
      </c>
      <c r="B524" t="str">
        <f t="shared" si="36"/>
        <v>61320000</v>
      </c>
      <c r="C524" t="str">
        <f t="shared" si="37"/>
        <v>CST613200000</v>
      </c>
      <c r="E524">
        <v>24674.94</v>
      </c>
      <c r="F524">
        <v>0</v>
      </c>
      <c r="G524">
        <f t="shared" si="38"/>
        <v>24674.94</v>
      </c>
    </row>
    <row r="525" spans="1:7">
      <c r="A525" t="str">
        <f>"DIJ"</f>
        <v>DIJ</v>
      </c>
      <c r="B525" t="str">
        <f t="shared" si="36"/>
        <v>61320000</v>
      </c>
      <c r="C525" t="str">
        <f t="shared" si="37"/>
        <v>DIJ613200000</v>
      </c>
      <c r="E525">
        <v>15480</v>
      </c>
      <c r="F525">
        <v>0</v>
      </c>
      <c r="G525">
        <f t="shared" si="38"/>
        <v>15480</v>
      </c>
    </row>
    <row r="526" spans="1:7">
      <c r="A526" t="str">
        <f>"EU"</f>
        <v>EU</v>
      </c>
      <c r="B526" t="str">
        <f t="shared" si="36"/>
        <v>61320000</v>
      </c>
      <c r="C526" t="str">
        <f t="shared" si="37"/>
        <v>EU613200000</v>
      </c>
      <c r="E526">
        <v>28652.67</v>
      </c>
      <c r="F526">
        <v>0</v>
      </c>
      <c r="G526">
        <f t="shared" si="38"/>
        <v>28652.67</v>
      </c>
    </row>
    <row r="527" spans="1:7">
      <c r="A527" t="str">
        <f>"GRE"</f>
        <v>GRE</v>
      </c>
      <c r="B527" t="str">
        <f t="shared" si="36"/>
        <v>61320000</v>
      </c>
      <c r="C527" t="str">
        <f t="shared" si="37"/>
        <v>GRE613200000</v>
      </c>
      <c r="E527">
        <v>36188.99</v>
      </c>
      <c r="F527">
        <v>0</v>
      </c>
      <c r="G527">
        <f t="shared" si="38"/>
        <v>36188.99</v>
      </c>
    </row>
    <row r="528" spans="1:7">
      <c r="A528" t="str">
        <f>"LEN"</f>
        <v>LEN</v>
      </c>
      <c r="B528" t="str">
        <f t="shared" si="36"/>
        <v>61320000</v>
      </c>
      <c r="C528" t="str">
        <f t="shared" si="37"/>
        <v>LEN613200000</v>
      </c>
      <c r="E528">
        <v>14960.34</v>
      </c>
      <c r="F528">
        <v>0</v>
      </c>
      <c r="G528">
        <f t="shared" si="38"/>
        <v>14960.34</v>
      </c>
    </row>
    <row r="529" spans="1:9">
      <c r="A529" t="str">
        <f>"LIL"</f>
        <v>LIL</v>
      </c>
      <c r="B529" t="str">
        <f t="shared" si="36"/>
        <v>61320000</v>
      </c>
      <c r="C529" t="str">
        <f t="shared" si="37"/>
        <v>LIL613200000</v>
      </c>
      <c r="E529">
        <v>20550.78</v>
      </c>
      <c r="F529">
        <v>0</v>
      </c>
      <c r="G529">
        <f t="shared" si="38"/>
        <v>20550.78</v>
      </c>
    </row>
    <row r="530" spans="1:9">
      <c r="A530" t="str">
        <f>"MAD"</f>
        <v>MAD</v>
      </c>
      <c r="B530" t="str">
        <f t="shared" si="36"/>
        <v>61320000</v>
      </c>
      <c r="C530" t="str">
        <f t="shared" si="37"/>
        <v>MAD613200000</v>
      </c>
      <c r="E530">
        <v>27543.06</v>
      </c>
      <c r="F530">
        <v>0</v>
      </c>
      <c r="G530">
        <f t="shared" si="38"/>
        <v>27543.06</v>
      </c>
    </row>
    <row r="531" spans="1:9">
      <c r="A531" t="str">
        <f>"MAR"</f>
        <v>MAR</v>
      </c>
      <c r="B531" t="str">
        <f t="shared" si="36"/>
        <v>61320000</v>
      </c>
      <c r="C531" t="str">
        <f t="shared" si="37"/>
        <v>MAR613200000</v>
      </c>
      <c r="E531">
        <v>24371.37</v>
      </c>
      <c r="F531">
        <v>3447.77</v>
      </c>
      <c r="G531">
        <f t="shared" si="38"/>
        <v>20923.599999999999</v>
      </c>
    </row>
    <row r="532" spans="1:9">
      <c r="A532" t="str">
        <f>"MON"</f>
        <v>MON</v>
      </c>
      <c r="B532" t="str">
        <f t="shared" si="36"/>
        <v>61320000</v>
      </c>
      <c r="C532" t="str">
        <f t="shared" si="37"/>
        <v>MON613200000</v>
      </c>
      <c r="E532">
        <v>27405</v>
      </c>
      <c r="F532">
        <v>0</v>
      </c>
      <c r="G532">
        <f t="shared" si="38"/>
        <v>27405</v>
      </c>
    </row>
    <row r="533" spans="1:9">
      <c r="A533" t="str">
        <f>"NAN"</f>
        <v>NAN</v>
      </c>
      <c r="B533" t="str">
        <f t="shared" si="36"/>
        <v>61320000</v>
      </c>
      <c r="C533" t="str">
        <f t="shared" si="37"/>
        <v>NAN613200000</v>
      </c>
      <c r="E533">
        <v>36749.97</v>
      </c>
      <c r="F533">
        <v>0</v>
      </c>
      <c r="G533">
        <f t="shared" si="38"/>
        <v>36749.97</v>
      </c>
    </row>
    <row r="534" spans="1:9">
      <c r="A534" t="str">
        <f>"ORL"</f>
        <v>ORL</v>
      </c>
      <c r="B534" t="str">
        <f t="shared" si="36"/>
        <v>61320000</v>
      </c>
      <c r="C534" t="str">
        <f t="shared" si="37"/>
        <v>ORL613200000</v>
      </c>
      <c r="E534">
        <v>25578.81</v>
      </c>
      <c r="F534">
        <v>0</v>
      </c>
      <c r="G534">
        <f t="shared" si="38"/>
        <v>25578.81</v>
      </c>
    </row>
    <row r="535" spans="1:9">
      <c r="A535" t="str">
        <f>"REN"</f>
        <v>REN</v>
      </c>
      <c r="B535" t="str">
        <f t="shared" si="36"/>
        <v>61320000</v>
      </c>
      <c r="C535" t="str">
        <f t="shared" si="37"/>
        <v>REN613200000</v>
      </c>
      <c r="E535">
        <v>19100.25</v>
      </c>
      <c r="F535">
        <v>0</v>
      </c>
      <c r="G535">
        <f t="shared" si="38"/>
        <v>19100.25</v>
      </c>
    </row>
    <row r="536" spans="1:9">
      <c r="A536" t="str">
        <f>"ROA"</f>
        <v>ROA</v>
      </c>
      <c r="B536" t="str">
        <f t="shared" si="36"/>
        <v>61320000</v>
      </c>
      <c r="C536" t="str">
        <f t="shared" si="37"/>
        <v>ROA613200000</v>
      </c>
      <c r="E536">
        <v>26876.07</v>
      </c>
      <c r="F536">
        <v>0</v>
      </c>
      <c r="G536">
        <f t="shared" si="38"/>
        <v>26876.07</v>
      </c>
      <c r="I536" s="26"/>
    </row>
    <row r="537" spans="1:9">
      <c r="A537" t="str">
        <f>"SAU"</f>
        <v>SAU</v>
      </c>
      <c r="B537" t="str">
        <f t="shared" si="36"/>
        <v>61320000</v>
      </c>
      <c r="C537" t="str">
        <f t="shared" si="37"/>
        <v>SAU613200000</v>
      </c>
      <c r="E537">
        <v>18540</v>
      </c>
      <c r="F537">
        <v>0</v>
      </c>
      <c r="G537">
        <f t="shared" si="38"/>
        <v>18540</v>
      </c>
    </row>
    <row r="538" spans="1:9">
      <c r="A538" t="str">
        <f>"SOM"</f>
        <v>SOM</v>
      </c>
      <c r="B538" t="str">
        <f t="shared" si="36"/>
        <v>61320000</v>
      </c>
      <c r="C538" t="str">
        <f t="shared" si="37"/>
        <v>SOM613200000</v>
      </c>
      <c r="E538">
        <v>38625.03</v>
      </c>
      <c r="F538">
        <v>0</v>
      </c>
      <c r="G538">
        <f t="shared" si="38"/>
        <v>38625.03</v>
      </c>
    </row>
    <row r="539" spans="1:9">
      <c r="A539" t="str">
        <f>"THO"</f>
        <v>THO</v>
      </c>
      <c r="B539" t="str">
        <f t="shared" si="36"/>
        <v>61320000</v>
      </c>
      <c r="C539" t="str">
        <f t="shared" si="37"/>
        <v>THO613200000</v>
      </c>
      <c r="E539">
        <v>24877.35</v>
      </c>
      <c r="F539">
        <v>0</v>
      </c>
      <c r="G539">
        <f t="shared" si="38"/>
        <v>24877.35</v>
      </c>
    </row>
    <row r="540" spans="1:9">
      <c r="A540" t="str">
        <f>"TOURC"</f>
        <v>TOURC</v>
      </c>
      <c r="B540" t="str">
        <f t="shared" si="36"/>
        <v>61320000</v>
      </c>
      <c r="C540" t="str">
        <f t="shared" si="37"/>
        <v>TOURC613200000</v>
      </c>
      <c r="E540">
        <v>18550.29</v>
      </c>
      <c r="F540">
        <v>0</v>
      </c>
      <c r="G540">
        <f t="shared" si="38"/>
        <v>18550.29</v>
      </c>
    </row>
    <row r="541" spans="1:9">
      <c r="A541" t="str">
        <f>"VAN"</f>
        <v>VAN</v>
      </c>
      <c r="B541" t="str">
        <f t="shared" si="36"/>
        <v>61320000</v>
      </c>
      <c r="C541" t="str">
        <f t="shared" si="37"/>
        <v>VAN613200000</v>
      </c>
      <c r="E541">
        <v>20197.71</v>
      </c>
      <c r="F541">
        <v>0</v>
      </c>
      <c r="G541">
        <f t="shared" si="38"/>
        <v>20197.71</v>
      </c>
    </row>
    <row r="542" spans="1:9">
      <c r="A542" t="str">
        <f>"CLE"</f>
        <v>CLE</v>
      </c>
      <c r="B542" t="str">
        <f>"61351000"</f>
        <v>61351000</v>
      </c>
      <c r="C542" t="str">
        <f t="shared" si="37"/>
        <v>CLE613510000</v>
      </c>
      <c r="E542">
        <v>0</v>
      </c>
      <c r="F542">
        <v>-557.62</v>
      </c>
      <c r="G542">
        <f t="shared" si="38"/>
        <v>557.62</v>
      </c>
    </row>
    <row r="543" spans="1:9">
      <c r="A543" t="str">
        <f>"LIL"</f>
        <v>LIL</v>
      </c>
      <c r="B543" t="str">
        <f>"61351000"</f>
        <v>61351000</v>
      </c>
      <c r="C543" t="str">
        <f t="shared" si="37"/>
        <v>LIL613510000</v>
      </c>
      <c r="E543">
        <v>0</v>
      </c>
      <c r="F543">
        <v>-619.21</v>
      </c>
      <c r="G543">
        <f t="shared" si="38"/>
        <v>619.21</v>
      </c>
    </row>
    <row r="544" spans="1:9">
      <c r="A544" t="str">
        <f>"ANG"</f>
        <v>ANG</v>
      </c>
      <c r="B544" t="str">
        <f t="shared" ref="B544:B568" si="39">"61352000"</f>
        <v>61352000</v>
      </c>
      <c r="C544" t="str">
        <f t="shared" si="37"/>
        <v>ANG613520000</v>
      </c>
      <c r="E544">
        <v>5080.2299999999996</v>
      </c>
      <c r="F544">
        <v>0</v>
      </c>
      <c r="G544">
        <f t="shared" si="38"/>
        <v>5080.2299999999996</v>
      </c>
    </row>
    <row r="545" spans="1:7">
      <c r="A545" t="str">
        <f>"BOS"</f>
        <v>BOS</v>
      </c>
      <c r="B545" t="str">
        <f t="shared" si="39"/>
        <v>61352000</v>
      </c>
      <c r="C545" t="str">
        <f t="shared" si="37"/>
        <v>BOS613520000</v>
      </c>
      <c r="E545">
        <v>4700.08</v>
      </c>
      <c r="F545">
        <v>0</v>
      </c>
      <c r="G545">
        <f t="shared" si="38"/>
        <v>4700.08</v>
      </c>
    </row>
    <row r="546" spans="1:7">
      <c r="A546" t="str">
        <f>"BOU"</f>
        <v>BOU</v>
      </c>
      <c r="B546" t="str">
        <f t="shared" si="39"/>
        <v>61352000</v>
      </c>
      <c r="C546" t="str">
        <f t="shared" si="37"/>
        <v>BOU613520000</v>
      </c>
      <c r="E546">
        <v>6403.9</v>
      </c>
      <c r="F546">
        <v>0</v>
      </c>
      <c r="G546">
        <f t="shared" si="38"/>
        <v>6403.9</v>
      </c>
    </row>
    <row r="547" spans="1:7">
      <c r="A547" t="str">
        <f>"CAL"</f>
        <v>CAL</v>
      </c>
      <c r="B547" t="str">
        <f t="shared" si="39"/>
        <v>61352000</v>
      </c>
      <c r="C547" t="str">
        <f t="shared" si="37"/>
        <v>CAL613520000</v>
      </c>
      <c r="E547">
        <v>2139.6799999999998</v>
      </c>
      <c r="F547">
        <v>0</v>
      </c>
      <c r="G547">
        <f t="shared" si="38"/>
        <v>2139.6799999999998</v>
      </c>
    </row>
    <row r="548" spans="1:7">
      <c r="A548" t="str">
        <f>"CAM"</f>
        <v>CAM</v>
      </c>
      <c r="B548" t="str">
        <f t="shared" si="39"/>
        <v>61352000</v>
      </c>
      <c r="C548" t="str">
        <f t="shared" si="37"/>
        <v>CAM613520000</v>
      </c>
      <c r="E548">
        <v>3076.85</v>
      </c>
      <c r="F548">
        <v>0</v>
      </c>
      <c r="G548">
        <f t="shared" si="38"/>
        <v>3076.85</v>
      </c>
    </row>
    <row r="549" spans="1:7">
      <c r="A549" t="str">
        <f>"CAU"</f>
        <v>CAU</v>
      </c>
      <c r="B549" t="str">
        <f t="shared" si="39"/>
        <v>61352000</v>
      </c>
      <c r="C549" t="str">
        <f t="shared" si="37"/>
        <v>CAU613520000</v>
      </c>
      <c r="E549">
        <v>2127.9</v>
      </c>
      <c r="F549">
        <v>0</v>
      </c>
      <c r="G549">
        <f t="shared" si="38"/>
        <v>2127.9</v>
      </c>
    </row>
    <row r="550" spans="1:7">
      <c r="A550" t="str">
        <f>"CHA"</f>
        <v>CHA</v>
      </c>
      <c r="B550" t="str">
        <f t="shared" si="39"/>
        <v>61352000</v>
      </c>
      <c r="C550" t="str">
        <f t="shared" si="37"/>
        <v>CHA613520000</v>
      </c>
      <c r="E550">
        <v>2669.04</v>
      </c>
      <c r="F550">
        <v>0</v>
      </c>
      <c r="G550">
        <f t="shared" si="38"/>
        <v>2669.04</v>
      </c>
    </row>
    <row r="551" spans="1:7">
      <c r="A551" t="str">
        <f>"CHAM"</f>
        <v>CHAM</v>
      </c>
      <c r="B551" t="str">
        <f t="shared" si="39"/>
        <v>61352000</v>
      </c>
      <c r="C551" t="str">
        <f t="shared" si="37"/>
        <v>CHAM613520000</v>
      </c>
      <c r="E551">
        <v>3042.38</v>
      </c>
      <c r="F551">
        <v>0</v>
      </c>
      <c r="G551">
        <f t="shared" si="38"/>
        <v>3042.38</v>
      </c>
    </row>
    <row r="552" spans="1:7">
      <c r="A552" t="str">
        <f>"CHART"</f>
        <v>CHART</v>
      </c>
      <c r="B552" t="str">
        <f t="shared" si="39"/>
        <v>61352000</v>
      </c>
      <c r="C552" t="str">
        <f t="shared" si="37"/>
        <v>CHART613520000</v>
      </c>
      <c r="E552">
        <v>1365.21</v>
      </c>
      <c r="F552">
        <v>0</v>
      </c>
      <c r="G552">
        <f t="shared" si="38"/>
        <v>1365.21</v>
      </c>
    </row>
    <row r="553" spans="1:7">
      <c r="A553" t="str">
        <f>"CLE"</f>
        <v>CLE</v>
      </c>
      <c r="B553" t="str">
        <f t="shared" si="39"/>
        <v>61352000</v>
      </c>
      <c r="C553" t="str">
        <f t="shared" si="37"/>
        <v>CLE613520000</v>
      </c>
      <c r="E553">
        <v>8199.17</v>
      </c>
      <c r="F553">
        <v>0</v>
      </c>
      <c r="G553">
        <f t="shared" si="38"/>
        <v>8199.17</v>
      </c>
    </row>
    <row r="554" spans="1:7">
      <c r="A554" t="str">
        <f>"COM"</f>
        <v>COM</v>
      </c>
      <c r="B554" t="str">
        <f t="shared" si="39"/>
        <v>61352000</v>
      </c>
      <c r="C554" t="str">
        <f t="shared" si="37"/>
        <v>COM613520000</v>
      </c>
      <c r="E554">
        <v>3619.95</v>
      </c>
      <c r="F554">
        <v>0</v>
      </c>
      <c r="G554">
        <f t="shared" si="38"/>
        <v>3619.95</v>
      </c>
    </row>
    <row r="555" spans="1:7">
      <c r="A555" t="str">
        <f>"CST"</f>
        <v>CST</v>
      </c>
      <c r="B555" t="str">
        <f t="shared" si="39"/>
        <v>61352000</v>
      </c>
      <c r="C555" t="str">
        <f t="shared" si="37"/>
        <v>CST613520000</v>
      </c>
      <c r="E555">
        <v>2557.44</v>
      </c>
      <c r="F555">
        <v>0</v>
      </c>
      <c r="G555">
        <f t="shared" si="38"/>
        <v>2557.44</v>
      </c>
    </row>
    <row r="556" spans="1:7">
      <c r="A556" t="str">
        <f>"GRE"</f>
        <v>GRE</v>
      </c>
      <c r="B556" t="str">
        <f t="shared" si="39"/>
        <v>61352000</v>
      </c>
      <c r="C556" t="str">
        <f t="shared" si="37"/>
        <v>GRE613520000</v>
      </c>
      <c r="E556">
        <v>7632.46</v>
      </c>
      <c r="F556">
        <v>0</v>
      </c>
      <c r="G556">
        <f t="shared" si="38"/>
        <v>7632.46</v>
      </c>
    </row>
    <row r="557" spans="1:7">
      <c r="A557" t="str">
        <f>"LEN"</f>
        <v>LEN</v>
      </c>
      <c r="B557" t="str">
        <f t="shared" si="39"/>
        <v>61352000</v>
      </c>
      <c r="C557" t="str">
        <f t="shared" si="37"/>
        <v>LEN613520000</v>
      </c>
      <c r="E557">
        <v>2747.17</v>
      </c>
      <c r="F557">
        <v>0</v>
      </c>
      <c r="G557">
        <f t="shared" si="38"/>
        <v>2747.17</v>
      </c>
    </row>
    <row r="558" spans="1:7">
      <c r="A558" t="str">
        <f>"LIL"</f>
        <v>LIL</v>
      </c>
      <c r="B558" t="str">
        <f t="shared" si="39"/>
        <v>61352000</v>
      </c>
      <c r="C558" t="str">
        <f t="shared" si="37"/>
        <v>LIL613520000</v>
      </c>
      <c r="E558">
        <v>4039.96</v>
      </c>
      <c r="F558">
        <v>0</v>
      </c>
      <c r="G558">
        <f t="shared" si="38"/>
        <v>4039.96</v>
      </c>
    </row>
    <row r="559" spans="1:7">
      <c r="A559" t="str">
        <f>"MAD"</f>
        <v>MAD</v>
      </c>
      <c r="B559" t="str">
        <f t="shared" si="39"/>
        <v>61352000</v>
      </c>
      <c r="C559" t="str">
        <f t="shared" si="37"/>
        <v>MAD613520000</v>
      </c>
      <c r="E559">
        <v>506.98</v>
      </c>
      <c r="F559">
        <v>0</v>
      </c>
      <c r="G559">
        <f t="shared" si="38"/>
        <v>506.98</v>
      </c>
    </row>
    <row r="560" spans="1:7">
      <c r="A560" t="str">
        <f>"MON"</f>
        <v>MON</v>
      </c>
      <c r="B560" t="str">
        <f t="shared" si="39"/>
        <v>61352000</v>
      </c>
      <c r="C560" t="str">
        <f t="shared" si="37"/>
        <v>MON613520000</v>
      </c>
      <c r="E560">
        <v>5626.62</v>
      </c>
      <c r="F560">
        <v>0</v>
      </c>
      <c r="G560">
        <f t="shared" si="38"/>
        <v>5626.62</v>
      </c>
    </row>
    <row r="561" spans="1:7">
      <c r="A561" t="str">
        <f>"NAN"</f>
        <v>NAN</v>
      </c>
      <c r="B561" t="str">
        <f t="shared" si="39"/>
        <v>61352000</v>
      </c>
      <c r="C561" t="str">
        <f t="shared" si="37"/>
        <v>NAN613520000</v>
      </c>
      <c r="E561">
        <v>2722.99</v>
      </c>
      <c r="F561">
        <v>0</v>
      </c>
      <c r="G561">
        <f t="shared" si="38"/>
        <v>2722.99</v>
      </c>
    </row>
    <row r="562" spans="1:7">
      <c r="A562" t="str">
        <f>"ORL"</f>
        <v>ORL</v>
      </c>
      <c r="B562" t="str">
        <f t="shared" si="39"/>
        <v>61352000</v>
      </c>
      <c r="C562" t="str">
        <f t="shared" si="37"/>
        <v>ORL613520000</v>
      </c>
      <c r="E562">
        <v>2977.88</v>
      </c>
      <c r="F562">
        <v>0</v>
      </c>
      <c r="G562">
        <f t="shared" si="38"/>
        <v>2977.88</v>
      </c>
    </row>
    <row r="563" spans="1:7">
      <c r="A563" t="str">
        <f>"REN"</f>
        <v>REN</v>
      </c>
      <c r="B563" t="str">
        <f t="shared" si="39"/>
        <v>61352000</v>
      </c>
      <c r="C563" t="str">
        <f t="shared" si="37"/>
        <v>REN613520000</v>
      </c>
      <c r="E563">
        <v>2848.05</v>
      </c>
      <c r="F563">
        <v>0</v>
      </c>
      <c r="G563">
        <f t="shared" si="38"/>
        <v>2848.05</v>
      </c>
    </row>
    <row r="564" spans="1:7">
      <c r="A564" t="str">
        <f>"ROA"</f>
        <v>ROA</v>
      </c>
      <c r="B564" t="str">
        <f t="shared" si="39"/>
        <v>61352000</v>
      </c>
      <c r="C564" t="str">
        <f t="shared" si="37"/>
        <v>ROA613520000</v>
      </c>
      <c r="E564">
        <v>4850.6400000000003</v>
      </c>
      <c r="F564">
        <v>0</v>
      </c>
      <c r="G564">
        <f t="shared" si="38"/>
        <v>4850.6400000000003</v>
      </c>
    </row>
    <row r="565" spans="1:7">
      <c r="A565" t="str">
        <f>"SOM"</f>
        <v>SOM</v>
      </c>
      <c r="B565" t="str">
        <f t="shared" si="39"/>
        <v>61352000</v>
      </c>
      <c r="C565" t="str">
        <f t="shared" si="37"/>
        <v>SOM613520000</v>
      </c>
      <c r="E565">
        <v>2811.06</v>
      </c>
      <c r="F565">
        <v>0</v>
      </c>
      <c r="G565">
        <f t="shared" si="38"/>
        <v>2811.06</v>
      </c>
    </row>
    <row r="566" spans="1:7">
      <c r="A566" t="str">
        <f>"THO"</f>
        <v>THO</v>
      </c>
      <c r="B566" t="str">
        <f t="shared" si="39"/>
        <v>61352000</v>
      </c>
      <c r="C566" t="str">
        <f t="shared" si="37"/>
        <v>THO613520000</v>
      </c>
      <c r="E566">
        <v>2056.2399999999998</v>
      </c>
      <c r="F566">
        <v>0</v>
      </c>
      <c r="G566">
        <f t="shared" si="38"/>
        <v>2056.2399999999998</v>
      </c>
    </row>
    <row r="567" spans="1:7">
      <c r="A567" t="str">
        <f>"TOURC"</f>
        <v>TOURC</v>
      </c>
      <c r="B567" t="str">
        <f t="shared" si="39"/>
        <v>61352000</v>
      </c>
      <c r="C567" t="str">
        <f t="shared" si="37"/>
        <v>TOURC613520000</v>
      </c>
      <c r="E567">
        <v>1520.74</v>
      </c>
      <c r="F567">
        <v>0</v>
      </c>
      <c r="G567">
        <f t="shared" si="38"/>
        <v>1520.74</v>
      </c>
    </row>
    <row r="568" spans="1:7">
      <c r="A568" t="str">
        <f>"VAN"</f>
        <v>VAN</v>
      </c>
      <c r="B568" t="str">
        <f t="shared" si="39"/>
        <v>61352000</v>
      </c>
      <c r="C568" t="str">
        <f t="shared" si="37"/>
        <v>VAN613520000</v>
      </c>
      <c r="E568">
        <v>2904.11</v>
      </c>
      <c r="F568">
        <v>0</v>
      </c>
      <c r="G568">
        <f t="shared" si="38"/>
        <v>2904.11</v>
      </c>
    </row>
    <row r="569" spans="1:7">
      <c r="A569" t="str">
        <f>"AMI"</f>
        <v>AMI</v>
      </c>
      <c r="B569" t="str">
        <f t="shared" ref="B569:B600" si="40">"61353000"</f>
        <v>61353000</v>
      </c>
      <c r="C569" t="str">
        <f t="shared" si="37"/>
        <v>AMI613530000</v>
      </c>
      <c r="E569">
        <v>135</v>
      </c>
      <c r="F569">
        <v>0</v>
      </c>
      <c r="G569">
        <f t="shared" si="38"/>
        <v>135</v>
      </c>
    </row>
    <row r="570" spans="1:7">
      <c r="A570" t="str">
        <f>"ANG"</f>
        <v>ANG</v>
      </c>
      <c r="B570" t="str">
        <f t="shared" si="40"/>
        <v>61353000</v>
      </c>
      <c r="C570" t="str">
        <f t="shared" si="37"/>
        <v>ANG613530000</v>
      </c>
      <c r="E570">
        <v>135</v>
      </c>
      <c r="F570">
        <v>0</v>
      </c>
      <c r="G570">
        <f t="shared" si="38"/>
        <v>135</v>
      </c>
    </row>
    <row r="571" spans="1:7">
      <c r="A571" t="str">
        <f>"BET"</f>
        <v>BET</v>
      </c>
      <c r="B571" t="str">
        <f t="shared" si="40"/>
        <v>61353000</v>
      </c>
      <c r="C571" t="str">
        <f t="shared" si="37"/>
        <v>BET613530000</v>
      </c>
      <c r="E571">
        <v>135</v>
      </c>
      <c r="F571">
        <v>0</v>
      </c>
      <c r="G571">
        <f t="shared" si="38"/>
        <v>135</v>
      </c>
    </row>
    <row r="572" spans="1:7">
      <c r="A572" t="str">
        <f>"BOI"</f>
        <v>BOI</v>
      </c>
      <c r="B572" t="str">
        <f t="shared" si="40"/>
        <v>61353000</v>
      </c>
      <c r="C572" t="str">
        <f t="shared" si="37"/>
        <v>BOI613530000</v>
      </c>
      <c r="E572">
        <v>135</v>
      </c>
      <c r="F572">
        <v>0</v>
      </c>
      <c r="G572">
        <f t="shared" si="38"/>
        <v>135</v>
      </c>
    </row>
    <row r="573" spans="1:7">
      <c r="A573" t="str">
        <f>"BOS"</f>
        <v>BOS</v>
      </c>
      <c r="B573" t="str">
        <f t="shared" si="40"/>
        <v>61353000</v>
      </c>
      <c r="C573" t="str">
        <f t="shared" si="37"/>
        <v>BOS613530000</v>
      </c>
      <c r="E573">
        <v>135</v>
      </c>
      <c r="F573">
        <v>0</v>
      </c>
      <c r="G573">
        <f t="shared" si="38"/>
        <v>135</v>
      </c>
    </row>
    <row r="574" spans="1:7">
      <c r="A574" t="str">
        <f>"BOU"</f>
        <v>BOU</v>
      </c>
      <c r="B574" t="str">
        <f t="shared" si="40"/>
        <v>61353000</v>
      </c>
      <c r="C574" t="str">
        <f t="shared" si="37"/>
        <v>BOU613530000</v>
      </c>
      <c r="E574">
        <v>176.85</v>
      </c>
      <c r="F574">
        <v>0</v>
      </c>
      <c r="G574">
        <f t="shared" si="38"/>
        <v>176.85</v>
      </c>
    </row>
    <row r="575" spans="1:7">
      <c r="A575" t="str">
        <f>"CAL"</f>
        <v>CAL</v>
      </c>
      <c r="B575" t="str">
        <f t="shared" si="40"/>
        <v>61353000</v>
      </c>
      <c r="C575" t="str">
        <f t="shared" si="37"/>
        <v>CAL613530000</v>
      </c>
      <c r="E575">
        <v>135</v>
      </c>
      <c r="F575">
        <v>0</v>
      </c>
      <c r="G575">
        <f t="shared" si="38"/>
        <v>135</v>
      </c>
    </row>
    <row r="576" spans="1:7">
      <c r="A576" t="str">
        <f>"CAM"</f>
        <v>CAM</v>
      </c>
      <c r="B576" t="str">
        <f t="shared" si="40"/>
        <v>61353000</v>
      </c>
      <c r="C576" t="str">
        <f t="shared" si="37"/>
        <v>CAM613530000</v>
      </c>
      <c r="E576">
        <v>135</v>
      </c>
      <c r="F576">
        <v>0</v>
      </c>
      <c r="G576">
        <f t="shared" si="38"/>
        <v>135</v>
      </c>
    </row>
    <row r="577" spans="1:7">
      <c r="A577" t="str">
        <f>"CAU"</f>
        <v>CAU</v>
      </c>
      <c r="B577" t="str">
        <f t="shared" si="40"/>
        <v>61353000</v>
      </c>
      <c r="C577" t="str">
        <f t="shared" si="37"/>
        <v>CAU613530000</v>
      </c>
      <c r="E577">
        <v>135</v>
      </c>
      <c r="F577">
        <v>0</v>
      </c>
      <c r="G577">
        <f t="shared" si="38"/>
        <v>135</v>
      </c>
    </row>
    <row r="578" spans="1:7">
      <c r="A578" t="str">
        <f>"CHA"</f>
        <v>CHA</v>
      </c>
      <c r="B578" t="str">
        <f t="shared" si="40"/>
        <v>61353000</v>
      </c>
      <c r="C578" t="str">
        <f t="shared" si="37"/>
        <v>CHA613530000</v>
      </c>
      <c r="E578">
        <v>135</v>
      </c>
      <c r="F578">
        <v>0</v>
      </c>
      <c r="G578">
        <f t="shared" si="38"/>
        <v>135</v>
      </c>
    </row>
    <row r="579" spans="1:7">
      <c r="A579" t="str">
        <f>"CHAM"</f>
        <v>CHAM</v>
      </c>
      <c r="B579" t="str">
        <f t="shared" si="40"/>
        <v>61353000</v>
      </c>
      <c r="C579" t="str">
        <f t="shared" ref="C579:C642" si="41">+A579&amp;B579*10</f>
        <v>CHAM613530000</v>
      </c>
      <c r="E579">
        <v>2970</v>
      </c>
      <c r="F579">
        <v>-693</v>
      </c>
      <c r="G579">
        <f t="shared" ref="G579:G642" si="42">+E579-F579</f>
        <v>3663</v>
      </c>
    </row>
    <row r="580" spans="1:7">
      <c r="A580" t="str">
        <f>"CHART"</f>
        <v>CHART</v>
      </c>
      <c r="B580" t="str">
        <f t="shared" si="40"/>
        <v>61353000</v>
      </c>
      <c r="C580" t="str">
        <f t="shared" si="41"/>
        <v>CHART613530000</v>
      </c>
      <c r="E580">
        <v>135</v>
      </c>
      <c r="F580">
        <v>0</v>
      </c>
      <c r="G580">
        <f t="shared" si="42"/>
        <v>135</v>
      </c>
    </row>
    <row r="581" spans="1:7">
      <c r="A581" t="str">
        <f>"CLE"</f>
        <v>CLE</v>
      </c>
      <c r="B581" t="str">
        <f t="shared" si="40"/>
        <v>61353000</v>
      </c>
      <c r="C581" t="str">
        <f t="shared" si="41"/>
        <v>CLE613530000</v>
      </c>
      <c r="E581">
        <v>190</v>
      </c>
      <c r="F581">
        <v>-237.41</v>
      </c>
      <c r="G581">
        <f t="shared" si="42"/>
        <v>427.40999999999997</v>
      </c>
    </row>
    <row r="582" spans="1:7">
      <c r="A582" t="str">
        <f>"COM"</f>
        <v>COM</v>
      </c>
      <c r="B582" t="str">
        <f t="shared" si="40"/>
        <v>61353000</v>
      </c>
      <c r="C582" t="str">
        <f t="shared" si="41"/>
        <v>COM613530000</v>
      </c>
      <c r="E582">
        <v>45</v>
      </c>
      <c r="F582">
        <v>0</v>
      </c>
      <c r="G582">
        <f t="shared" si="42"/>
        <v>45</v>
      </c>
    </row>
    <row r="583" spans="1:7">
      <c r="A583" t="str">
        <f>"CST"</f>
        <v>CST</v>
      </c>
      <c r="B583" t="str">
        <f t="shared" si="40"/>
        <v>61353000</v>
      </c>
      <c r="C583" t="str">
        <f t="shared" si="41"/>
        <v>CST613530000</v>
      </c>
      <c r="E583">
        <v>135</v>
      </c>
      <c r="F583">
        <v>0</v>
      </c>
      <c r="G583">
        <f t="shared" si="42"/>
        <v>135</v>
      </c>
    </row>
    <row r="584" spans="1:7">
      <c r="A584" t="str">
        <f>"DIJ"</f>
        <v>DIJ</v>
      </c>
      <c r="B584" t="str">
        <f t="shared" si="40"/>
        <v>61353000</v>
      </c>
      <c r="C584" t="str">
        <f t="shared" si="41"/>
        <v>DIJ613530000</v>
      </c>
      <c r="E584">
        <v>398.88</v>
      </c>
      <c r="F584">
        <v>0</v>
      </c>
      <c r="G584">
        <f t="shared" si="42"/>
        <v>398.88</v>
      </c>
    </row>
    <row r="585" spans="1:7">
      <c r="A585" t="str">
        <f>"EU"</f>
        <v>EU</v>
      </c>
      <c r="B585" t="str">
        <f t="shared" si="40"/>
        <v>61353000</v>
      </c>
      <c r="C585" t="str">
        <f t="shared" si="41"/>
        <v>EU613530000</v>
      </c>
      <c r="E585">
        <v>135</v>
      </c>
      <c r="F585">
        <v>0</v>
      </c>
      <c r="G585">
        <f t="shared" si="42"/>
        <v>135</v>
      </c>
    </row>
    <row r="586" spans="1:7">
      <c r="A586" t="str">
        <f>"GRE"</f>
        <v>GRE</v>
      </c>
      <c r="B586" t="str">
        <f t="shared" si="40"/>
        <v>61353000</v>
      </c>
      <c r="C586" t="str">
        <f t="shared" si="41"/>
        <v>GRE613530000</v>
      </c>
      <c r="E586">
        <v>603.33000000000004</v>
      </c>
      <c r="F586">
        <v>0</v>
      </c>
      <c r="G586">
        <f t="shared" si="42"/>
        <v>603.33000000000004</v>
      </c>
    </row>
    <row r="587" spans="1:7">
      <c r="A587" t="str">
        <f>"LEN"</f>
        <v>LEN</v>
      </c>
      <c r="B587" t="str">
        <f t="shared" si="40"/>
        <v>61353000</v>
      </c>
      <c r="C587" t="str">
        <f t="shared" si="41"/>
        <v>LEN613530000</v>
      </c>
      <c r="E587">
        <v>135</v>
      </c>
      <c r="F587">
        <v>0</v>
      </c>
      <c r="G587">
        <f t="shared" si="42"/>
        <v>135</v>
      </c>
    </row>
    <row r="588" spans="1:7">
      <c r="A588" t="str">
        <f>"LIL"</f>
        <v>LIL</v>
      </c>
      <c r="B588" t="str">
        <f t="shared" si="40"/>
        <v>61353000</v>
      </c>
      <c r="C588" t="str">
        <f t="shared" si="41"/>
        <v>LIL613530000</v>
      </c>
      <c r="E588">
        <v>8728.65</v>
      </c>
      <c r="F588">
        <v>-2021.6</v>
      </c>
      <c r="G588">
        <f t="shared" si="42"/>
        <v>10750.25</v>
      </c>
    </row>
    <row r="589" spans="1:7">
      <c r="A589" t="str">
        <f>"MAD"</f>
        <v>MAD</v>
      </c>
      <c r="B589" t="str">
        <f t="shared" si="40"/>
        <v>61353000</v>
      </c>
      <c r="C589" t="str">
        <f t="shared" si="41"/>
        <v>MAD613530000</v>
      </c>
      <c r="E589">
        <v>242</v>
      </c>
      <c r="F589">
        <v>0</v>
      </c>
      <c r="G589">
        <f t="shared" si="42"/>
        <v>242</v>
      </c>
    </row>
    <row r="590" spans="1:7">
      <c r="A590" t="str">
        <f>"MAR"</f>
        <v>MAR</v>
      </c>
      <c r="B590" t="str">
        <f t="shared" si="40"/>
        <v>61353000</v>
      </c>
      <c r="C590" t="str">
        <f t="shared" si="41"/>
        <v>MAR613530000</v>
      </c>
      <c r="E590">
        <v>135</v>
      </c>
      <c r="F590">
        <v>0</v>
      </c>
      <c r="G590">
        <f t="shared" si="42"/>
        <v>135</v>
      </c>
    </row>
    <row r="591" spans="1:7">
      <c r="A591" t="str">
        <f>"MON"</f>
        <v>MON</v>
      </c>
      <c r="B591" t="str">
        <f t="shared" si="40"/>
        <v>61353000</v>
      </c>
      <c r="C591" t="str">
        <f t="shared" si="41"/>
        <v>MON613530000</v>
      </c>
      <c r="E591">
        <v>135</v>
      </c>
      <c r="F591">
        <v>0</v>
      </c>
      <c r="G591">
        <f t="shared" si="42"/>
        <v>135</v>
      </c>
    </row>
    <row r="592" spans="1:7">
      <c r="A592" t="str">
        <f>"NAN"</f>
        <v>NAN</v>
      </c>
      <c r="B592" t="str">
        <f t="shared" si="40"/>
        <v>61353000</v>
      </c>
      <c r="C592" t="str">
        <f t="shared" si="41"/>
        <v>NAN613530000</v>
      </c>
      <c r="E592">
        <v>782.8</v>
      </c>
      <c r="F592">
        <v>0</v>
      </c>
      <c r="G592">
        <f t="shared" si="42"/>
        <v>782.8</v>
      </c>
    </row>
    <row r="593" spans="1:7">
      <c r="A593" t="str">
        <f>"ORL"</f>
        <v>ORL</v>
      </c>
      <c r="B593" t="str">
        <f t="shared" si="40"/>
        <v>61353000</v>
      </c>
      <c r="C593" t="str">
        <f t="shared" si="41"/>
        <v>ORL613530000</v>
      </c>
      <c r="E593">
        <v>135</v>
      </c>
      <c r="F593">
        <v>0</v>
      </c>
      <c r="G593">
        <f t="shared" si="42"/>
        <v>135</v>
      </c>
    </row>
    <row r="594" spans="1:7">
      <c r="A594" t="str">
        <f>"REN"</f>
        <v>REN</v>
      </c>
      <c r="B594" t="str">
        <f t="shared" si="40"/>
        <v>61353000</v>
      </c>
      <c r="C594" t="str">
        <f t="shared" si="41"/>
        <v>REN613530000</v>
      </c>
      <c r="E594">
        <v>135</v>
      </c>
      <c r="F594">
        <v>0</v>
      </c>
      <c r="G594">
        <f t="shared" si="42"/>
        <v>135</v>
      </c>
    </row>
    <row r="595" spans="1:7">
      <c r="A595" t="str">
        <f>"ROA"</f>
        <v>ROA</v>
      </c>
      <c r="B595" t="str">
        <f t="shared" si="40"/>
        <v>61353000</v>
      </c>
      <c r="C595" t="str">
        <f t="shared" si="41"/>
        <v>ROA613530000</v>
      </c>
      <c r="E595">
        <v>135</v>
      </c>
      <c r="F595">
        <v>0</v>
      </c>
      <c r="G595">
        <f t="shared" si="42"/>
        <v>135</v>
      </c>
    </row>
    <row r="596" spans="1:7">
      <c r="A596" t="str">
        <f>"SAU"</f>
        <v>SAU</v>
      </c>
      <c r="B596" t="str">
        <f t="shared" si="40"/>
        <v>61353000</v>
      </c>
      <c r="C596" t="str">
        <f t="shared" si="41"/>
        <v>SAU613530000</v>
      </c>
      <c r="E596">
        <v>932.42</v>
      </c>
      <c r="F596">
        <v>0</v>
      </c>
      <c r="G596">
        <f t="shared" si="42"/>
        <v>932.42</v>
      </c>
    </row>
    <row r="597" spans="1:7">
      <c r="A597" t="str">
        <f>"SOM"</f>
        <v>SOM</v>
      </c>
      <c r="B597" t="str">
        <f t="shared" si="40"/>
        <v>61353000</v>
      </c>
      <c r="C597" t="str">
        <f t="shared" si="41"/>
        <v>SOM613530000</v>
      </c>
      <c r="E597">
        <v>153</v>
      </c>
      <c r="F597">
        <v>0</v>
      </c>
      <c r="G597">
        <f t="shared" si="42"/>
        <v>153</v>
      </c>
    </row>
    <row r="598" spans="1:7">
      <c r="A598" t="str">
        <f>"THO"</f>
        <v>THO</v>
      </c>
      <c r="B598" t="str">
        <f t="shared" si="40"/>
        <v>61353000</v>
      </c>
      <c r="C598" t="str">
        <f t="shared" si="41"/>
        <v>THO613530000</v>
      </c>
      <c r="E598">
        <v>500.67</v>
      </c>
      <c r="F598">
        <v>0</v>
      </c>
      <c r="G598">
        <f t="shared" si="42"/>
        <v>500.67</v>
      </c>
    </row>
    <row r="599" spans="1:7">
      <c r="A599" t="str">
        <f>"TOURC"</f>
        <v>TOURC</v>
      </c>
      <c r="B599" t="str">
        <f t="shared" si="40"/>
        <v>61353000</v>
      </c>
      <c r="C599" t="str">
        <f t="shared" si="41"/>
        <v>TOURC613530000</v>
      </c>
      <c r="E599">
        <v>90</v>
      </c>
      <c r="F599">
        <v>0</v>
      </c>
      <c r="G599">
        <f t="shared" si="42"/>
        <v>90</v>
      </c>
    </row>
    <row r="600" spans="1:7">
      <c r="A600" t="str">
        <f>"VAN"</f>
        <v>VAN</v>
      </c>
      <c r="B600" t="str">
        <f t="shared" si="40"/>
        <v>61353000</v>
      </c>
      <c r="C600" t="str">
        <f t="shared" si="41"/>
        <v>VAN613530000</v>
      </c>
      <c r="E600">
        <v>135</v>
      </c>
      <c r="F600">
        <v>0</v>
      </c>
      <c r="G600">
        <f t="shared" si="42"/>
        <v>135</v>
      </c>
    </row>
    <row r="601" spans="1:7">
      <c r="A601" t="str">
        <f>"ANG"</f>
        <v>ANG</v>
      </c>
      <c r="B601" t="str">
        <f t="shared" ref="B601:B615" si="43">"61354000"</f>
        <v>61354000</v>
      </c>
      <c r="C601" t="str">
        <f t="shared" si="41"/>
        <v>ANG613540000</v>
      </c>
      <c r="E601">
        <v>842.19</v>
      </c>
      <c r="F601">
        <v>-163.77000000000001</v>
      </c>
      <c r="G601">
        <f t="shared" si="42"/>
        <v>1005.96</v>
      </c>
    </row>
    <row r="602" spans="1:7">
      <c r="A602" t="str">
        <f>"BOI"</f>
        <v>BOI</v>
      </c>
      <c r="B602" t="str">
        <f t="shared" si="43"/>
        <v>61354000</v>
      </c>
      <c r="C602" t="str">
        <f t="shared" si="41"/>
        <v>BOI613540000</v>
      </c>
      <c r="E602">
        <v>670.88</v>
      </c>
      <c r="F602">
        <v>0</v>
      </c>
      <c r="G602">
        <f t="shared" si="42"/>
        <v>670.88</v>
      </c>
    </row>
    <row r="603" spans="1:7">
      <c r="A603" t="str">
        <f>"BOU"</f>
        <v>BOU</v>
      </c>
      <c r="B603" t="str">
        <f t="shared" si="43"/>
        <v>61354000</v>
      </c>
      <c r="C603" t="str">
        <f t="shared" si="41"/>
        <v>BOU613540000</v>
      </c>
      <c r="E603">
        <v>698.24</v>
      </c>
      <c r="F603">
        <v>0</v>
      </c>
      <c r="G603">
        <f t="shared" si="42"/>
        <v>698.24</v>
      </c>
    </row>
    <row r="604" spans="1:7">
      <c r="A604" t="str">
        <f>"CAL"</f>
        <v>CAL</v>
      </c>
      <c r="B604" t="str">
        <f t="shared" si="43"/>
        <v>61354000</v>
      </c>
      <c r="C604" t="str">
        <f t="shared" si="41"/>
        <v>CAL613540000</v>
      </c>
      <c r="E604">
        <v>214.49</v>
      </c>
      <c r="F604">
        <v>0</v>
      </c>
      <c r="G604">
        <f t="shared" si="42"/>
        <v>214.49</v>
      </c>
    </row>
    <row r="605" spans="1:7">
      <c r="A605" t="str">
        <f>"CHA"</f>
        <v>CHA</v>
      </c>
      <c r="B605" t="str">
        <f t="shared" si="43"/>
        <v>61354000</v>
      </c>
      <c r="C605" t="str">
        <f t="shared" si="41"/>
        <v>CHA613540000</v>
      </c>
      <c r="E605">
        <v>38</v>
      </c>
      <c r="F605">
        <v>0</v>
      </c>
      <c r="G605">
        <f t="shared" si="42"/>
        <v>38</v>
      </c>
    </row>
    <row r="606" spans="1:7">
      <c r="A606" t="str">
        <f>"CHAM"</f>
        <v>CHAM</v>
      </c>
      <c r="B606" t="str">
        <f t="shared" si="43"/>
        <v>61354000</v>
      </c>
      <c r="C606" t="str">
        <f t="shared" si="41"/>
        <v>CHAM613540000</v>
      </c>
      <c r="E606">
        <v>873.13</v>
      </c>
      <c r="F606">
        <v>0</v>
      </c>
      <c r="G606">
        <f t="shared" si="42"/>
        <v>873.13</v>
      </c>
    </row>
    <row r="607" spans="1:7">
      <c r="A607" t="str">
        <f>"CLE"</f>
        <v>CLE</v>
      </c>
      <c r="B607" t="str">
        <f t="shared" si="43"/>
        <v>61354000</v>
      </c>
      <c r="C607" t="str">
        <f t="shared" si="41"/>
        <v>CLE613540000</v>
      </c>
      <c r="E607">
        <v>2851.52</v>
      </c>
      <c r="F607">
        <v>0</v>
      </c>
      <c r="G607">
        <f t="shared" si="42"/>
        <v>2851.52</v>
      </c>
    </row>
    <row r="608" spans="1:7">
      <c r="A608" t="str">
        <f>"COM"</f>
        <v>COM</v>
      </c>
      <c r="B608" t="str">
        <f t="shared" si="43"/>
        <v>61354000</v>
      </c>
      <c r="C608" t="str">
        <f t="shared" si="41"/>
        <v>COM613540000</v>
      </c>
      <c r="E608">
        <v>152.65</v>
      </c>
      <c r="F608">
        <v>0</v>
      </c>
      <c r="G608">
        <f t="shared" si="42"/>
        <v>152.65</v>
      </c>
    </row>
    <row r="609" spans="1:7">
      <c r="A609" t="str">
        <f>"EU"</f>
        <v>EU</v>
      </c>
      <c r="B609" t="str">
        <f t="shared" si="43"/>
        <v>61354000</v>
      </c>
      <c r="C609" t="str">
        <f t="shared" si="41"/>
        <v>EU613540000</v>
      </c>
      <c r="E609">
        <v>866.64</v>
      </c>
      <c r="F609">
        <v>0</v>
      </c>
      <c r="G609">
        <f t="shared" si="42"/>
        <v>866.64</v>
      </c>
    </row>
    <row r="610" spans="1:7">
      <c r="A610" t="str">
        <f>"GRE"</f>
        <v>GRE</v>
      </c>
      <c r="B610" t="str">
        <f t="shared" si="43"/>
        <v>61354000</v>
      </c>
      <c r="C610" t="str">
        <f t="shared" si="41"/>
        <v>GRE613540000</v>
      </c>
      <c r="E610">
        <v>339.12</v>
      </c>
      <c r="F610">
        <v>0</v>
      </c>
      <c r="G610">
        <f t="shared" si="42"/>
        <v>339.12</v>
      </c>
    </row>
    <row r="611" spans="1:7">
      <c r="A611" t="str">
        <f>"MAD"</f>
        <v>MAD</v>
      </c>
      <c r="B611" t="str">
        <f t="shared" si="43"/>
        <v>61354000</v>
      </c>
      <c r="C611" t="str">
        <f t="shared" si="41"/>
        <v>MAD613540000</v>
      </c>
      <c r="E611">
        <v>258.01</v>
      </c>
      <c r="F611">
        <v>0</v>
      </c>
      <c r="G611">
        <f t="shared" si="42"/>
        <v>258.01</v>
      </c>
    </row>
    <row r="612" spans="1:7">
      <c r="A612" t="str">
        <f>"NAN"</f>
        <v>NAN</v>
      </c>
      <c r="B612" t="str">
        <f t="shared" si="43"/>
        <v>61354000</v>
      </c>
      <c r="C612" t="str">
        <f t="shared" si="41"/>
        <v>NAN613540000</v>
      </c>
      <c r="E612">
        <v>48.5</v>
      </c>
      <c r="F612">
        <v>0</v>
      </c>
      <c r="G612">
        <f t="shared" si="42"/>
        <v>48.5</v>
      </c>
    </row>
    <row r="613" spans="1:7">
      <c r="A613" t="str">
        <f>"ROA"</f>
        <v>ROA</v>
      </c>
      <c r="B613" t="str">
        <f t="shared" si="43"/>
        <v>61354000</v>
      </c>
      <c r="C613" t="str">
        <f t="shared" si="41"/>
        <v>ROA613540000</v>
      </c>
      <c r="E613">
        <v>318.89999999999998</v>
      </c>
      <c r="F613">
        <v>0</v>
      </c>
      <c r="G613">
        <f t="shared" si="42"/>
        <v>318.89999999999998</v>
      </c>
    </row>
    <row r="614" spans="1:7">
      <c r="A614" t="str">
        <f>"SOM"</f>
        <v>SOM</v>
      </c>
      <c r="B614" t="str">
        <f t="shared" si="43"/>
        <v>61354000</v>
      </c>
      <c r="C614" t="str">
        <f t="shared" si="41"/>
        <v>SOM613540000</v>
      </c>
      <c r="E614">
        <v>182.19</v>
      </c>
      <c r="F614">
        <v>0</v>
      </c>
      <c r="G614">
        <f t="shared" si="42"/>
        <v>182.19</v>
      </c>
    </row>
    <row r="615" spans="1:7">
      <c r="A615" t="str">
        <f>"VAN"</f>
        <v>VAN</v>
      </c>
      <c r="B615" t="str">
        <f t="shared" si="43"/>
        <v>61354000</v>
      </c>
      <c r="C615" t="str">
        <f t="shared" si="41"/>
        <v>VAN613540000</v>
      </c>
      <c r="E615">
        <v>279</v>
      </c>
      <c r="F615">
        <v>0</v>
      </c>
      <c r="G615">
        <f t="shared" si="42"/>
        <v>279</v>
      </c>
    </row>
    <row r="616" spans="1:7">
      <c r="A616" t="str">
        <f>"ANG"</f>
        <v>ANG</v>
      </c>
      <c r="B616" t="str">
        <f t="shared" ref="B616:B624" si="44">"61400000"</f>
        <v>61400000</v>
      </c>
      <c r="C616" t="str">
        <f t="shared" si="41"/>
        <v>ANG614000000</v>
      </c>
      <c r="E616">
        <v>240.1</v>
      </c>
      <c r="F616">
        <v>0</v>
      </c>
      <c r="G616">
        <f t="shared" si="42"/>
        <v>240.1</v>
      </c>
    </row>
    <row r="617" spans="1:7">
      <c r="A617" t="str">
        <f>"BOU"</f>
        <v>BOU</v>
      </c>
      <c r="B617" t="str">
        <f t="shared" si="44"/>
        <v>61400000</v>
      </c>
      <c r="C617" t="str">
        <f t="shared" si="41"/>
        <v>BOU614000000</v>
      </c>
      <c r="E617">
        <v>102.77</v>
      </c>
      <c r="F617">
        <v>0</v>
      </c>
      <c r="G617">
        <f t="shared" si="42"/>
        <v>102.77</v>
      </c>
    </row>
    <row r="618" spans="1:7">
      <c r="A618" t="str">
        <f>"CHA"</f>
        <v>CHA</v>
      </c>
      <c r="B618" t="str">
        <f t="shared" si="44"/>
        <v>61400000</v>
      </c>
      <c r="C618" t="str">
        <f t="shared" si="41"/>
        <v>CHA614000000</v>
      </c>
      <c r="E618">
        <v>120</v>
      </c>
      <c r="F618">
        <v>0</v>
      </c>
      <c r="G618">
        <f t="shared" si="42"/>
        <v>120</v>
      </c>
    </row>
    <row r="619" spans="1:7">
      <c r="A619" t="str">
        <f>"CHART"</f>
        <v>CHART</v>
      </c>
      <c r="B619" t="str">
        <f t="shared" si="44"/>
        <v>61400000</v>
      </c>
      <c r="C619" t="str">
        <f t="shared" si="41"/>
        <v>CHART614000000</v>
      </c>
      <c r="E619">
        <v>1270.3599999999999</v>
      </c>
      <c r="F619">
        <v>0</v>
      </c>
      <c r="G619">
        <f t="shared" si="42"/>
        <v>1270.3599999999999</v>
      </c>
    </row>
    <row r="620" spans="1:7">
      <c r="A620" t="str">
        <f>"CLE"</f>
        <v>CLE</v>
      </c>
      <c r="B620" t="str">
        <f t="shared" si="44"/>
        <v>61400000</v>
      </c>
      <c r="C620" t="str">
        <f t="shared" si="41"/>
        <v>CLE614000000</v>
      </c>
      <c r="E620">
        <v>2492.8000000000002</v>
      </c>
      <c r="F620">
        <v>0</v>
      </c>
      <c r="G620">
        <f t="shared" si="42"/>
        <v>2492.8000000000002</v>
      </c>
    </row>
    <row r="621" spans="1:7">
      <c r="A621" t="str">
        <f>"MAD"</f>
        <v>MAD</v>
      </c>
      <c r="B621" t="str">
        <f t="shared" si="44"/>
        <v>61400000</v>
      </c>
      <c r="C621" t="str">
        <f t="shared" si="41"/>
        <v>MAD614000000</v>
      </c>
      <c r="E621">
        <v>5505.42</v>
      </c>
      <c r="F621">
        <v>0</v>
      </c>
      <c r="G621">
        <f t="shared" si="42"/>
        <v>5505.42</v>
      </c>
    </row>
    <row r="622" spans="1:7">
      <c r="A622" t="str">
        <f>"NAN"</f>
        <v>NAN</v>
      </c>
      <c r="B622" t="str">
        <f t="shared" si="44"/>
        <v>61400000</v>
      </c>
      <c r="C622" t="str">
        <f t="shared" si="41"/>
        <v>NAN614000000</v>
      </c>
      <c r="E622">
        <v>1643.25</v>
      </c>
      <c r="F622">
        <v>0</v>
      </c>
      <c r="G622">
        <f t="shared" si="42"/>
        <v>1643.25</v>
      </c>
    </row>
    <row r="623" spans="1:7">
      <c r="A623" t="str">
        <f>"REN"</f>
        <v>REN</v>
      </c>
      <c r="B623" t="str">
        <f t="shared" si="44"/>
        <v>61400000</v>
      </c>
      <c r="C623" t="str">
        <f t="shared" si="41"/>
        <v>REN614000000</v>
      </c>
      <c r="E623">
        <v>3223.57</v>
      </c>
      <c r="F623">
        <v>0</v>
      </c>
      <c r="G623">
        <f t="shared" si="42"/>
        <v>3223.57</v>
      </c>
    </row>
    <row r="624" spans="1:7">
      <c r="A624" t="str">
        <f>"ROA"</f>
        <v>ROA</v>
      </c>
      <c r="B624" t="str">
        <f t="shared" si="44"/>
        <v>61400000</v>
      </c>
      <c r="C624" t="str">
        <f t="shared" si="41"/>
        <v>ROA614000000</v>
      </c>
      <c r="E624">
        <v>1463.79</v>
      </c>
      <c r="F624">
        <v>0</v>
      </c>
      <c r="G624">
        <f t="shared" si="42"/>
        <v>1463.79</v>
      </c>
    </row>
    <row r="625" spans="1:7">
      <c r="A625" t="str">
        <f>"AMI"</f>
        <v>AMI</v>
      </c>
      <c r="B625" t="str">
        <f t="shared" ref="B625:B655" si="45">"61520000"</f>
        <v>61520000</v>
      </c>
      <c r="C625" t="str">
        <f t="shared" si="41"/>
        <v>AMI615200000</v>
      </c>
      <c r="E625">
        <v>2678.9</v>
      </c>
      <c r="F625">
        <v>0</v>
      </c>
      <c r="G625">
        <f t="shared" si="42"/>
        <v>2678.9</v>
      </c>
    </row>
    <row r="626" spans="1:7">
      <c r="A626" t="str">
        <f>"ANG"</f>
        <v>ANG</v>
      </c>
      <c r="B626" t="str">
        <f t="shared" si="45"/>
        <v>61520000</v>
      </c>
      <c r="C626" t="str">
        <f t="shared" si="41"/>
        <v>ANG615200000</v>
      </c>
      <c r="E626">
        <v>2127.4</v>
      </c>
      <c r="F626">
        <v>0</v>
      </c>
      <c r="G626">
        <f t="shared" si="42"/>
        <v>2127.4</v>
      </c>
    </row>
    <row r="627" spans="1:7">
      <c r="A627" t="str">
        <f>"BET"</f>
        <v>BET</v>
      </c>
      <c r="B627" t="str">
        <f t="shared" si="45"/>
        <v>61520000</v>
      </c>
      <c r="C627" t="str">
        <f t="shared" si="41"/>
        <v>BET615200000</v>
      </c>
      <c r="E627">
        <v>270.81</v>
      </c>
      <c r="F627">
        <v>0</v>
      </c>
      <c r="G627">
        <f t="shared" si="42"/>
        <v>270.81</v>
      </c>
    </row>
    <row r="628" spans="1:7">
      <c r="A628" t="str">
        <f>"BOI"</f>
        <v>BOI</v>
      </c>
      <c r="B628" t="str">
        <f t="shared" si="45"/>
        <v>61520000</v>
      </c>
      <c r="C628" t="str">
        <f t="shared" si="41"/>
        <v>BOI615200000</v>
      </c>
      <c r="E628">
        <v>772.11</v>
      </c>
      <c r="F628">
        <v>0</v>
      </c>
      <c r="G628">
        <f t="shared" si="42"/>
        <v>772.11</v>
      </c>
    </row>
    <row r="629" spans="1:7">
      <c r="A629" t="str">
        <f>"BOS"</f>
        <v>BOS</v>
      </c>
      <c r="B629" t="str">
        <f t="shared" si="45"/>
        <v>61520000</v>
      </c>
      <c r="C629" t="str">
        <f t="shared" si="41"/>
        <v>BOS615200000</v>
      </c>
      <c r="E629">
        <v>185.19</v>
      </c>
      <c r="F629">
        <v>0</v>
      </c>
      <c r="G629">
        <f t="shared" si="42"/>
        <v>185.19</v>
      </c>
    </row>
    <row r="630" spans="1:7">
      <c r="A630" t="str">
        <f>"BOU"</f>
        <v>BOU</v>
      </c>
      <c r="B630" t="str">
        <f t="shared" si="45"/>
        <v>61520000</v>
      </c>
      <c r="C630" t="str">
        <f t="shared" si="41"/>
        <v>BOU615200000</v>
      </c>
      <c r="E630">
        <v>4174.2</v>
      </c>
      <c r="F630">
        <v>0</v>
      </c>
      <c r="G630">
        <f t="shared" si="42"/>
        <v>4174.2</v>
      </c>
    </row>
    <row r="631" spans="1:7">
      <c r="A631" t="str">
        <f>"CAL"</f>
        <v>CAL</v>
      </c>
      <c r="B631" t="str">
        <f t="shared" si="45"/>
        <v>61520000</v>
      </c>
      <c r="C631" t="str">
        <f t="shared" si="41"/>
        <v>CAL615200000</v>
      </c>
      <c r="E631">
        <v>411.2</v>
      </c>
      <c r="F631">
        <v>0</v>
      </c>
      <c r="G631">
        <f t="shared" si="42"/>
        <v>411.2</v>
      </c>
    </row>
    <row r="632" spans="1:7">
      <c r="A632" t="str">
        <f>"CAM"</f>
        <v>CAM</v>
      </c>
      <c r="B632" t="str">
        <f t="shared" si="45"/>
        <v>61520000</v>
      </c>
      <c r="C632" t="str">
        <f t="shared" si="41"/>
        <v>CAM615200000</v>
      </c>
      <c r="E632">
        <v>3721.89</v>
      </c>
      <c r="F632">
        <v>0</v>
      </c>
      <c r="G632">
        <f t="shared" si="42"/>
        <v>3721.89</v>
      </c>
    </row>
    <row r="633" spans="1:7">
      <c r="A633" t="str">
        <f>"CAU"</f>
        <v>CAU</v>
      </c>
      <c r="B633" t="str">
        <f t="shared" si="45"/>
        <v>61520000</v>
      </c>
      <c r="C633" t="str">
        <f t="shared" si="41"/>
        <v>CAU615200000</v>
      </c>
      <c r="E633">
        <v>148</v>
      </c>
      <c r="F633">
        <v>0</v>
      </c>
      <c r="G633">
        <f t="shared" si="42"/>
        <v>148</v>
      </c>
    </row>
    <row r="634" spans="1:7">
      <c r="A634" t="str">
        <f>"CHA"</f>
        <v>CHA</v>
      </c>
      <c r="B634" t="str">
        <f t="shared" si="45"/>
        <v>61520000</v>
      </c>
      <c r="C634" t="str">
        <f t="shared" si="41"/>
        <v>CHA615200000</v>
      </c>
      <c r="E634">
        <v>1019.55</v>
      </c>
      <c r="F634">
        <v>0</v>
      </c>
      <c r="G634">
        <f t="shared" si="42"/>
        <v>1019.55</v>
      </c>
    </row>
    <row r="635" spans="1:7">
      <c r="A635" t="str">
        <f>"CHAM"</f>
        <v>CHAM</v>
      </c>
      <c r="B635" t="str">
        <f t="shared" si="45"/>
        <v>61520000</v>
      </c>
      <c r="C635" t="str">
        <f t="shared" si="41"/>
        <v>CHAM615200000</v>
      </c>
      <c r="E635">
        <v>5848.83</v>
      </c>
      <c r="F635">
        <v>0</v>
      </c>
      <c r="G635">
        <f t="shared" si="42"/>
        <v>5848.83</v>
      </c>
    </row>
    <row r="636" spans="1:7">
      <c r="A636" t="str">
        <f>"CHART"</f>
        <v>CHART</v>
      </c>
      <c r="B636" t="str">
        <f t="shared" si="45"/>
        <v>61520000</v>
      </c>
      <c r="C636" t="str">
        <f t="shared" si="41"/>
        <v>CHART615200000</v>
      </c>
      <c r="E636">
        <v>2846.67</v>
      </c>
      <c r="F636">
        <v>0</v>
      </c>
      <c r="G636">
        <f t="shared" si="42"/>
        <v>2846.67</v>
      </c>
    </row>
    <row r="637" spans="1:7">
      <c r="A637" t="str">
        <f>"CLE"</f>
        <v>CLE</v>
      </c>
      <c r="B637" t="str">
        <f t="shared" si="45"/>
        <v>61520000</v>
      </c>
      <c r="C637" t="str">
        <f t="shared" si="41"/>
        <v>CLE615200000</v>
      </c>
      <c r="E637">
        <v>5039.99</v>
      </c>
      <c r="F637">
        <v>0</v>
      </c>
      <c r="G637">
        <f t="shared" si="42"/>
        <v>5039.99</v>
      </c>
    </row>
    <row r="638" spans="1:7">
      <c r="A638" t="str">
        <f>"COM"</f>
        <v>COM</v>
      </c>
      <c r="B638" t="str">
        <f t="shared" si="45"/>
        <v>61520000</v>
      </c>
      <c r="C638" t="str">
        <f t="shared" si="41"/>
        <v>COM615200000</v>
      </c>
      <c r="E638">
        <v>6034.24</v>
      </c>
      <c r="F638">
        <v>0</v>
      </c>
      <c r="G638">
        <f t="shared" si="42"/>
        <v>6034.24</v>
      </c>
    </row>
    <row r="639" spans="1:7">
      <c r="A639" t="str">
        <f>"CST"</f>
        <v>CST</v>
      </c>
      <c r="B639" t="str">
        <f t="shared" si="45"/>
        <v>61520000</v>
      </c>
      <c r="C639" t="str">
        <f t="shared" si="41"/>
        <v>CST615200000</v>
      </c>
      <c r="E639">
        <v>1340.16</v>
      </c>
      <c r="F639">
        <v>0</v>
      </c>
      <c r="G639">
        <f t="shared" si="42"/>
        <v>1340.16</v>
      </c>
    </row>
    <row r="640" spans="1:7">
      <c r="A640" t="str">
        <f>"EU"</f>
        <v>EU</v>
      </c>
      <c r="B640" t="str">
        <f t="shared" si="45"/>
        <v>61520000</v>
      </c>
      <c r="C640" t="str">
        <f t="shared" si="41"/>
        <v>EU615200000</v>
      </c>
      <c r="E640">
        <v>970.45</v>
      </c>
      <c r="F640">
        <v>0</v>
      </c>
      <c r="G640">
        <f t="shared" si="42"/>
        <v>970.45</v>
      </c>
    </row>
    <row r="641" spans="1:9">
      <c r="A641" t="str">
        <f>"GRE"</f>
        <v>GRE</v>
      </c>
      <c r="B641" t="str">
        <f t="shared" si="45"/>
        <v>61520000</v>
      </c>
      <c r="C641" t="str">
        <f t="shared" si="41"/>
        <v>GRE615200000</v>
      </c>
      <c r="E641">
        <v>13184.58</v>
      </c>
      <c r="F641">
        <v>0</v>
      </c>
      <c r="G641">
        <f t="shared" si="42"/>
        <v>13184.58</v>
      </c>
    </row>
    <row r="642" spans="1:9">
      <c r="A642" t="str">
        <f>"LEN"</f>
        <v>LEN</v>
      </c>
      <c r="B642" t="str">
        <f t="shared" si="45"/>
        <v>61520000</v>
      </c>
      <c r="C642" t="str">
        <f t="shared" si="41"/>
        <v>LEN615200000</v>
      </c>
      <c r="E642">
        <v>1688.36</v>
      </c>
      <c r="F642">
        <v>0</v>
      </c>
      <c r="G642">
        <f t="shared" si="42"/>
        <v>1688.36</v>
      </c>
    </row>
    <row r="643" spans="1:9">
      <c r="A643" t="str">
        <f>"LIL"</f>
        <v>LIL</v>
      </c>
      <c r="B643" t="str">
        <f t="shared" si="45"/>
        <v>61520000</v>
      </c>
      <c r="C643" t="str">
        <f t="shared" ref="C643:C706" si="46">+A643&amp;B643*10</f>
        <v>LIL615200000</v>
      </c>
      <c r="E643">
        <v>547.22</v>
      </c>
      <c r="F643">
        <v>0</v>
      </c>
      <c r="G643">
        <f t="shared" ref="G643:G706" si="47">+E643-F643</f>
        <v>547.22</v>
      </c>
    </row>
    <row r="644" spans="1:9">
      <c r="A644" t="str">
        <f>"MAD"</f>
        <v>MAD</v>
      </c>
      <c r="B644" t="str">
        <f t="shared" si="45"/>
        <v>61520000</v>
      </c>
      <c r="C644" t="str">
        <f t="shared" si="46"/>
        <v>MAD615200000</v>
      </c>
      <c r="E644">
        <v>1282.81</v>
      </c>
      <c r="F644">
        <v>0</v>
      </c>
      <c r="G644">
        <f t="shared" si="47"/>
        <v>1282.81</v>
      </c>
    </row>
    <row r="645" spans="1:9">
      <c r="A645" t="str">
        <f>"MAR"</f>
        <v>MAR</v>
      </c>
      <c r="B645" t="str">
        <f t="shared" si="45"/>
        <v>61520000</v>
      </c>
      <c r="C645" t="str">
        <f t="shared" si="46"/>
        <v>MAR615200000</v>
      </c>
      <c r="E645">
        <v>1307.44</v>
      </c>
      <c r="F645">
        <v>0</v>
      </c>
      <c r="G645">
        <f t="shared" si="47"/>
        <v>1307.44</v>
      </c>
    </row>
    <row r="646" spans="1:9">
      <c r="A646" t="str">
        <f>"MON"</f>
        <v>MON</v>
      </c>
      <c r="B646" t="str">
        <f t="shared" si="45"/>
        <v>61520000</v>
      </c>
      <c r="C646" t="str">
        <f t="shared" si="46"/>
        <v>MON615200000</v>
      </c>
      <c r="E646">
        <v>978.75</v>
      </c>
      <c r="F646">
        <v>0</v>
      </c>
      <c r="G646">
        <f t="shared" si="47"/>
        <v>978.75</v>
      </c>
    </row>
    <row r="647" spans="1:9">
      <c r="A647" t="str">
        <f>"NAN"</f>
        <v>NAN</v>
      </c>
      <c r="B647" t="str">
        <f t="shared" si="45"/>
        <v>61520000</v>
      </c>
      <c r="C647" t="str">
        <f t="shared" si="46"/>
        <v>NAN615200000</v>
      </c>
      <c r="E647">
        <v>6081.27</v>
      </c>
      <c r="F647">
        <v>0</v>
      </c>
      <c r="G647">
        <f t="shared" si="47"/>
        <v>6081.27</v>
      </c>
    </row>
    <row r="648" spans="1:9">
      <c r="A648" t="str">
        <f>"ORL"</f>
        <v>ORL</v>
      </c>
      <c r="B648" t="str">
        <f t="shared" si="45"/>
        <v>61520000</v>
      </c>
      <c r="C648" t="str">
        <f t="shared" si="46"/>
        <v>ORL615200000</v>
      </c>
      <c r="E648">
        <v>5541.23</v>
      </c>
      <c r="F648">
        <v>0</v>
      </c>
      <c r="G648">
        <f t="shared" si="47"/>
        <v>5541.23</v>
      </c>
    </row>
    <row r="649" spans="1:9">
      <c r="A649" t="str">
        <f>"REN"</f>
        <v>REN</v>
      </c>
      <c r="B649" t="str">
        <f t="shared" si="45"/>
        <v>61520000</v>
      </c>
      <c r="C649" t="str">
        <f t="shared" si="46"/>
        <v>REN615200000</v>
      </c>
      <c r="E649">
        <v>118.84</v>
      </c>
      <c r="F649">
        <v>0</v>
      </c>
      <c r="G649">
        <f t="shared" si="47"/>
        <v>118.84</v>
      </c>
    </row>
    <row r="650" spans="1:9">
      <c r="A650" t="str">
        <f>"ROA"</f>
        <v>ROA</v>
      </c>
      <c r="B650" t="str">
        <f t="shared" si="45"/>
        <v>61520000</v>
      </c>
      <c r="C650" t="str">
        <f t="shared" si="46"/>
        <v>ROA615200000</v>
      </c>
      <c r="E650">
        <v>2112.8000000000002</v>
      </c>
      <c r="F650">
        <v>0</v>
      </c>
      <c r="G650">
        <f t="shared" si="47"/>
        <v>2112.8000000000002</v>
      </c>
    </row>
    <row r="651" spans="1:9">
      <c r="A651" t="str">
        <f>"SAU"</f>
        <v>SAU</v>
      </c>
      <c r="B651" t="str">
        <f t="shared" si="45"/>
        <v>61520000</v>
      </c>
      <c r="C651" t="str">
        <f t="shared" si="46"/>
        <v>SAU615200000</v>
      </c>
      <c r="E651">
        <v>1152.78</v>
      </c>
      <c r="F651">
        <v>0</v>
      </c>
      <c r="G651">
        <f t="shared" si="47"/>
        <v>1152.78</v>
      </c>
    </row>
    <row r="652" spans="1:9">
      <c r="A652" t="str">
        <f>"SOM"</f>
        <v>SOM</v>
      </c>
      <c r="B652" t="str">
        <f t="shared" si="45"/>
        <v>61520000</v>
      </c>
      <c r="C652" t="str">
        <f t="shared" si="46"/>
        <v>SOM615200000</v>
      </c>
      <c r="E652">
        <v>659.33</v>
      </c>
      <c r="F652">
        <v>0</v>
      </c>
      <c r="G652">
        <f t="shared" si="47"/>
        <v>659.33</v>
      </c>
    </row>
    <row r="653" spans="1:9">
      <c r="A653" t="str">
        <f>"THO"</f>
        <v>THO</v>
      </c>
      <c r="B653" t="str">
        <f t="shared" si="45"/>
        <v>61520000</v>
      </c>
      <c r="C653" t="str">
        <f t="shared" si="46"/>
        <v>THO615200000</v>
      </c>
      <c r="E653">
        <v>1911.55</v>
      </c>
      <c r="F653">
        <v>0</v>
      </c>
      <c r="G653">
        <f t="shared" si="47"/>
        <v>1911.55</v>
      </c>
    </row>
    <row r="654" spans="1:9">
      <c r="A654" t="str">
        <f>"TOURC"</f>
        <v>TOURC</v>
      </c>
      <c r="B654" t="str">
        <f t="shared" si="45"/>
        <v>61520000</v>
      </c>
      <c r="C654" t="str">
        <f t="shared" si="46"/>
        <v>TOURC615200000</v>
      </c>
      <c r="E654">
        <v>6227.51</v>
      </c>
      <c r="F654">
        <v>0</v>
      </c>
      <c r="G654">
        <f t="shared" si="47"/>
        <v>6227.51</v>
      </c>
    </row>
    <row r="655" spans="1:9">
      <c r="A655" t="str">
        <f>"VAN"</f>
        <v>VAN</v>
      </c>
      <c r="B655" t="str">
        <f t="shared" si="45"/>
        <v>61520000</v>
      </c>
      <c r="C655" t="str">
        <f t="shared" si="46"/>
        <v>VAN615200000</v>
      </c>
      <c r="E655">
        <v>103.15</v>
      </c>
      <c r="F655">
        <v>0</v>
      </c>
      <c r="G655">
        <f t="shared" si="47"/>
        <v>103.15</v>
      </c>
      <c r="H655" s="330"/>
      <c r="I655" s="26"/>
    </row>
    <row r="656" spans="1:9">
      <c r="A656" t="str">
        <f>"AMI"</f>
        <v>AMI</v>
      </c>
      <c r="B656" t="str">
        <f t="shared" ref="B656:B680" si="48">"61550000"</f>
        <v>61550000</v>
      </c>
      <c r="C656" t="str">
        <f t="shared" si="46"/>
        <v>AMI615500000</v>
      </c>
      <c r="E656">
        <v>0</v>
      </c>
      <c r="F656">
        <v>-934</v>
      </c>
      <c r="G656">
        <f t="shared" si="47"/>
        <v>934</v>
      </c>
    </row>
    <row r="657" spans="1:7">
      <c r="A657" t="str">
        <f>"ANG"</f>
        <v>ANG</v>
      </c>
      <c r="B657" t="str">
        <f t="shared" si="48"/>
        <v>61550000</v>
      </c>
      <c r="C657" t="str">
        <f t="shared" si="46"/>
        <v>ANG615500000</v>
      </c>
      <c r="E657">
        <v>2.59</v>
      </c>
      <c r="F657">
        <v>0</v>
      </c>
      <c r="G657">
        <f t="shared" si="47"/>
        <v>2.59</v>
      </c>
    </row>
    <row r="658" spans="1:7">
      <c r="A658" t="str">
        <f>"BET"</f>
        <v>BET</v>
      </c>
      <c r="B658" t="str">
        <f t="shared" si="48"/>
        <v>61550000</v>
      </c>
      <c r="C658" t="str">
        <f t="shared" si="46"/>
        <v>BET615500000</v>
      </c>
      <c r="E658">
        <v>0</v>
      </c>
      <c r="F658">
        <v>-736.8</v>
      </c>
      <c r="G658">
        <f t="shared" si="47"/>
        <v>736.8</v>
      </c>
    </row>
    <row r="659" spans="1:7">
      <c r="A659" t="str">
        <f>"BOI"</f>
        <v>BOI</v>
      </c>
      <c r="B659" t="str">
        <f t="shared" si="48"/>
        <v>61550000</v>
      </c>
      <c r="C659" t="str">
        <f t="shared" si="46"/>
        <v>BOI615500000</v>
      </c>
      <c r="E659">
        <v>189</v>
      </c>
      <c r="F659">
        <v>-736.8</v>
      </c>
      <c r="G659">
        <f t="shared" si="47"/>
        <v>925.8</v>
      </c>
    </row>
    <row r="660" spans="1:7">
      <c r="A660" t="str">
        <f>"BOS"</f>
        <v>BOS</v>
      </c>
      <c r="B660" t="str">
        <f t="shared" si="48"/>
        <v>61550000</v>
      </c>
      <c r="C660" t="str">
        <f t="shared" si="46"/>
        <v>BOS615500000</v>
      </c>
      <c r="E660">
        <v>140.94999999999999</v>
      </c>
      <c r="F660">
        <v>-934</v>
      </c>
      <c r="G660">
        <f t="shared" si="47"/>
        <v>1074.95</v>
      </c>
    </row>
    <row r="661" spans="1:7">
      <c r="A661" t="str">
        <f>"CAL"</f>
        <v>CAL</v>
      </c>
      <c r="B661" t="str">
        <f t="shared" si="48"/>
        <v>61550000</v>
      </c>
      <c r="C661" t="str">
        <f t="shared" si="46"/>
        <v>CAL615500000</v>
      </c>
      <c r="E661">
        <v>0</v>
      </c>
      <c r="F661">
        <v>-934</v>
      </c>
      <c r="G661">
        <f t="shared" si="47"/>
        <v>934</v>
      </c>
    </row>
    <row r="662" spans="1:7">
      <c r="A662" t="str">
        <f>"CAM"</f>
        <v>CAM</v>
      </c>
      <c r="B662" t="str">
        <f t="shared" si="48"/>
        <v>61550000</v>
      </c>
      <c r="C662" t="str">
        <f t="shared" si="46"/>
        <v>CAM615500000</v>
      </c>
      <c r="E662">
        <v>214.4</v>
      </c>
      <c r="F662">
        <v>0</v>
      </c>
      <c r="G662">
        <f t="shared" si="47"/>
        <v>214.4</v>
      </c>
    </row>
    <row r="663" spans="1:7">
      <c r="A663" t="str">
        <f>"CAU"</f>
        <v>CAU</v>
      </c>
      <c r="B663" t="str">
        <f t="shared" si="48"/>
        <v>61550000</v>
      </c>
      <c r="C663" t="str">
        <f t="shared" si="46"/>
        <v>CAU615500000</v>
      </c>
      <c r="E663">
        <v>0</v>
      </c>
      <c r="F663">
        <v>-934</v>
      </c>
      <c r="G663">
        <f t="shared" si="47"/>
        <v>934</v>
      </c>
    </row>
    <row r="664" spans="1:7">
      <c r="A664" t="str">
        <f>"CHAM"</f>
        <v>CHAM</v>
      </c>
      <c r="B664" t="str">
        <f t="shared" si="48"/>
        <v>61550000</v>
      </c>
      <c r="C664" t="str">
        <f t="shared" si="46"/>
        <v>CHAM615500000</v>
      </c>
      <c r="E664">
        <v>2648.43</v>
      </c>
      <c r="F664">
        <v>-1816.81</v>
      </c>
      <c r="G664">
        <f t="shared" si="47"/>
        <v>4465.24</v>
      </c>
    </row>
    <row r="665" spans="1:7">
      <c r="A665" t="str">
        <f>"CHART"</f>
        <v>CHART</v>
      </c>
      <c r="B665" t="str">
        <f t="shared" si="48"/>
        <v>61550000</v>
      </c>
      <c r="C665" t="str">
        <f t="shared" si="46"/>
        <v>CHART615500000</v>
      </c>
      <c r="E665">
        <v>0</v>
      </c>
      <c r="F665">
        <v>-934</v>
      </c>
      <c r="G665">
        <f t="shared" si="47"/>
        <v>934</v>
      </c>
    </row>
    <row r="666" spans="1:7">
      <c r="A666" t="str">
        <f>"CLE"</f>
        <v>CLE</v>
      </c>
      <c r="B666" t="str">
        <f t="shared" si="48"/>
        <v>61550000</v>
      </c>
      <c r="C666" t="str">
        <f t="shared" si="46"/>
        <v>CLE615500000</v>
      </c>
      <c r="E666">
        <v>477.36</v>
      </c>
      <c r="F666">
        <v>-1079.1400000000001</v>
      </c>
      <c r="G666">
        <f t="shared" si="47"/>
        <v>1556.5</v>
      </c>
    </row>
    <row r="667" spans="1:7">
      <c r="A667" t="str">
        <f>"CST"</f>
        <v>CST</v>
      </c>
      <c r="B667" t="str">
        <f t="shared" si="48"/>
        <v>61550000</v>
      </c>
      <c r="C667" t="str">
        <f t="shared" si="46"/>
        <v>CST615500000</v>
      </c>
      <c r="E667">
        <v>0</v>
      </c>
      <c r="F667">
        <v>-934</v>
      </c>
      <c r="G667">
        <f t="shared" si="47"/>
        <v>934</v>
      </c>
    </row>
    <row r="668" spans="1:7">
      <c r="A668" t="str">
        <f>"DIJ"</f>
        <v>DIJ</v>
      </c>
      <c r="B668" t="str">
        <f t="shared" si="48"/>
        <v>61550000</v>
      </c>
      <c r="C668" t="str">
        <f t="shared" si="46"/>
        <v>DIJ615500000</v>
      </c>
      <c r="E668">
        <v>420.89</v>
      </c>
      <c r="F668">
        <v>0</v>
      </c>
      <c r="G668">
        <f t="shared" si="47"/>
        <v>420.89</v>
      </c>
    </row>
    <row r="669" spans="1:7">
      <c r="A669" t="str">
        <f>"EU"</f>
        <v>EU</v>
      </c>
      <c r="B669" t="str">
        <f t="shared" si="48"/>
        <v>61550000</v>
      </c>
      <c r="C669" t="str">
        <f t="shared" si="46"/>
        <v>EU615500000</v>
      </c>
      <c r="E669">
        <v>497</v>
      </c>
      <c r="F669">
        <v>-934</v>
      </c>
      <c r="G669">
        <f t="shared" si="47"/>
        <v>1431</v>
      </c>
    </row>
    <row r="670" spans="1:7">
      <c r="A670" t="str">
        <f>"LEN"</f>
        <v>LEN</v>
      </c>
      <c r="B670" t="str">
        <f t="shared" si="48"/>
        <v>61550000</v>
      </c>
      <c r="C670" t="str">
        <f t="shared" si="46"/>
        <v>LEN615500000</v>
      </c>
      <c r="E670">
        <v>0</v>
      </c>
      <c r="F670">
        <v>-736.8</v>
      </c>
      <c r="G670">
        <f t="shared" si="47"/>
        <v>736.8</v>
      </c>
    </row>
    <row r="671" spans="1:7">
      <c r="A671" t="str">
        <f>"LIL"</f>
        <v>LIL</v>
      </c>
      <c r="B671" t="str">
        <f t="shared" si="48"/>
        <v>61550000</v>
      </c>
      <c r="C671" t="str">
        <f t="shared" si="46"/>
        <v>LIL615500000</v>
      </c>
      <c r="E671">
        <v>14747</v>
      </c>
      <c r="F671">
        <v>-12101.16</v>
      </c>
      <c r="G671">
        <f t="shared" si="47"/>
        <v>26848.16</v>
      </c>
    </row>
    <row r="672" spans="1:7">
      <c r="A672" t="str">
        <f>"MAD"</f>
        <v>MAD</v>
      </c>
      <c r="B672" t="str">
        <f t="shared" si="48"/>
        <v>61550000</v>
      </c>
      <c r="C672" t="str">
        <f t="shared" si="46"/>
        <v>MAD615500000</v>
      </c>
      <c r="E672">
        <v>0</v>
      </c>
      <c r="F672">
        <v>-736.8</v>
      </c>
      <c r="G672">
        <f t="shared" si="47"/>
        <v>736.8</v>
      </c>
    </row>
    <row r="673" spans="1:7">
      <c r="A673" t="str">
        <f>"MAR"</f>
        <v>MAR</v>
      </c>
      <c r="B673" t="str">
        <f t="shared" si="48"/>
        <v>61550000</v>
      </c>
      <c r="C673" t="str">
        <f t="shared" si="46"/>
        <v>MAR615500000</v>
      </c>
      <c r="E673">
        <v>110</v>
      </c>
      <c r="F673">
        <v>-934</v>
      </c>
      <c r="G673">
        <f t="shared" si="47"/>
        <v>1044</v>
      </c>
    </row>
    <row r="674" spans="1:7">
      <c r="A674" t="str">
        <f>"MON"</f>
        <v>MON</v>
      </c>
      <c r="B674" t="str">
        <f t="shared" si="48"/>
        <v>61550000</v>
      </c>
      <c r="C674" t="str">
        <f t="shared" si="46"/>
        <v>MON615500000</v>
      </c>
      <c r="E674">
        <v>68.02</v>
      </c>
      <c r="F674">
        <v>0</v>
      </c>
      <c r="G674">
        <f t="shared" si="47"/>
        <v>68.02</v>
      </c>
    </row>
    <row r="675" spans="1:7">
      <c r="A675" t="str">
        <f>"NAN"</f>
        <v>NAN</v>
      </c>
      <c r="B675" t="str">
        <f t="shared" si="48"/>
        <v>61550000</v>
      </c>
      <c r="C675" t="str">
        <f t="shared" si="46"/>
        <v>NAN615500000</v>
      </c>
      <c r="E675">
        <v>0</v>
      </c>
      <c r="F675">
        <v>-934</v>
      </c>
      <c r="G675">
        <f t="shared" si="47"/>
        <v>934</v>
      </c>
    </row>
    <row r="676" spans="1:7">
      <c r="A676" t="str">
        <f>"SAU"</f>
        <v>SAU</v>
      </c>
      <c r="B676" t="str">
        <f t="shared" si="48"/>
        <v>61550000</v>
      </c>
      <c r="C676" t="str">
        <f t="shared" si="46"/>
        <v>SAU615500000</v>
      </c>
      <c r="E676">
        <v>0</v>
      </c>
      <c r="F676">
        <v>-934</v>
      </c>
      <c r="G676">
        <f t="shared" si="47"/>
        <v>934</v>
      </c>
    </row>
    <row r="677" spans="1:7">
      <c r="A677" t="str">
        <f>"SOM"</f>
        <v>SOM</v>
      </c>
      <c r="B677" t="str">
        <f t="shared" si="48"/>
        <v>61550000</v>
      </c>
      <c r="C677" t="str">
        <f t="shared" si="46"/>
        <v>SOM615500000</v>
      </c>
      <c r="E677">
        <v>934</v>
      </c>
      <c r="F677">
        <v>0</v>
      </c>
      <c r="G677">
        <f t="shared" si="47"/>
        <v>934</v>
      </c>
    </row>
    <row r="678" spans="1:7">
      <c r="A678" t="str">
        <f>"THO"</f>
        <v>THO</v>
      </c>
      <c r="B678" t="str">
        <f t="shared" si="48"/>
        <v>61550000</v>
      </c>
      <c r="C678" t="str">
        <f t="shared" si="46"/>
        <v>THO615500000</v>
      </c>
      <c r="E678">
        <v>0</v>
      </c>
      <c r="F678">
        <v>0</v>
      </c>
      <c r="G678">
        <f t="shared" si="47"/>
        <v>0</v>
      </c>
    </row>
    <row r="679" spans="1:7">
      <c r="A679" t="str">
        <f>"TOURC"</f>
        <v>TOURC</v>
      </c>
      <c r="B679" t="str">
        <f t="shared" si="48"/>
        <v>61550000</v>
      </c>
      <c r="C679" t="str">
        <f t="shared" si="46"/>
        <v>TOURC615500000</v>
      </c>
      <c r="E679">
        <v>0</v>
      </c>
      <c r="F679">
        <v>-736.8</v>
      </c>
      <c r="G679">
        <f t="shared" si="47"/>
        <v>736.8</v>
      </c>
    </row>
    <row r="680" spans="1:7">
      <c r="A680" t="str">
        <f>"VAN"</f>
        <v>VAN</v>
      </c>
      <c r="B680" t="str">
        <f t="shared" si="48"/>
        <v>61550000</v>
      </c>
      <c r="C680" t="str">
        <f t="shared" si="46"/>
        <v>VAN615500000</v>
      </c>
      <c r="E680">
        <v>54.73</v>
      </c>
      <c r="F680">
        <v>0</v>
      </c>
      <c r="G680">
        <f t="shared" si="47"/>
        <v>54.73</v>
      </c>
    </row>
    <row r="681" spans="1:7">
      <c r="A681" t="str">
        <f>"AMI"</f>
        <v>AMI</v>
      </c>
      <c r="B681" t="str">
        <f t="shared" ref="B681:B711" si="49">"61551000"</f>
        <v>61551000</v>
      </c>
      <c r="C681" t="str">
        <f t="shared" si="46"/>
        <v>AMI615510000</v>
      </c>
      <c r="E681">
        <v>482.11</v>
      </c>
      <c r="F681">
        <v>0</v>
      </c>
      <c r="G681">
        <f t="shared" si="47"/>
        <v>482.11</v>
      </c>
    </row>
    <row r="682" spans="1:7">
      <c r="A682" t="str">
        <f>"ANG"</f>
        <v>ANG</v>
      </c>
      <c r="B682" t="str">
        <f t="shared" si="49"/>
        <v>61551000</v>
      </c>
      <c r="C682" t="str">
        <f t="shared" si="46"/>
        <v>ANG615510000</v>
      </c>
      <c r="E682">
        <v>1834.61</v>
      </c>
      <c r="F682">
        <v>0</v>
      </c>
      <c r="G682">
        <f t="shared" si="47"/>
        <v>1834.61</v>
      </c>
    </row>
    <row r="683" spans="1:7">
      <c r="A683" t="str">
        <f>"BET"</f>
        <v>BET</v>
      </c>
      <c r="B683" t="str">
        <f t="shared" si="49"/>
        <v>61551000</v>
      </c>
      <c r="C683" t="str">
        <f t="shared" si="46"/>
        <v>BET615510000</v>
      </c>
      <c r="E683">
        <v>213.59</v>
      </c>
      <c r="F683">
        <v>0</v>
      </c>
      <c r="G683">
        <f t="shared" si="47"/>
        <v>213.59</v>
      </c>
    </row>
    <row r="684" spans="1:7">
      <c r="A684" t="str">
        <f>"BOS"</f>
        <v>BOS</v>
      </c>
      <c r="B684" t="str">
        <f t="shared" si="49"/>
        <v>61551000</v>
      </c>
      <c r="C684" t="str">
        <f t="shared" si="46"/>
        <v>BOS615510000</v>
      </c>
      <c r="E684">
        <v>531.65</v>
      </c>
      <c r="F684">
        <v>0</v>
      </c>
      <c r="G684">
        <f t="shared" si="47"/>
        <v>531.65</v>
      </c>
    </row>
    <row r="685" spans="1:7">
      <c r="A685" t="str">
        <f>"BOU"</f>
        <v>BOU</v>
      </c>
      <c r="B685" t="str">
        <f t="shared" si="49"/>
        <v>61551000</v>
      </c>
      <c r="C685" t="str">
        <f t="shared" si="46"/>
        <v>BOU615510000</v>
      </c>
      <c r="E685">
        <v>878.52</v>
      </c>
      <c r="F685">
        <v>0</v>
      </c>
      <c r="G685">
        <f t="shared" si="47"/>
        <v>878.52</v>
      </c>
    </row>
    <row r="686" spans="1:7">
      <c r="A686" t="str">
        <f>"CAL"</f>
        <v>CAL</v>
      </c>
      <c r="B686" t="str">
        <f t="shared" si="49"/>
        <v>61551000</v>
      </c>
      <c r="C686" t="str">
        <f t="shared" si="46"/>
        <v>CAL615510000</v>
      </c>
      <c r="E686">
        <v>773</v>
      </c>
      <c r="F686">
        <v>0</v>
      </c>
      <c r="G686">
        <f t="shared" si="47"/>
        <v>773</v>
      </c>
    </row>
    <row r="687" spans="1:7">
      <c r="A687" t="str">
        <f>"CAM"</f>
        <v>CAM</v>
      </c>
      <c r="B687" t="str">
        <f t="shared" si="49"/>
        <v>61551000</v>
      </c>
      <c r="C687" t="str">
        <f t="shared" si="46"/>
        <v>CAM615510000</v>
      </c>
      <c r="E687">
        <v>425.68</v>
      </c>
      <c r="F687">
        <v>0</v>
      </c>
      <c r="G687">
        <f t="shared" si="47"/>
        <v>425.68</v>
      </c>
    </row>
    <row r="688" spans="1:7">
      <c r="A688" t="str">
        <f>"CAU"</f>
        <v>CAU</v>
      </c>
      <c r="B688" t="str">
        <f t="shared" si="49"/>
        <v>61551000</v>
      </c>
      <c r="C688" t="str">
        <f t="shared" si="46"/>
        <v>CAU615510000</v>
      </c>
      <c r="E688">
        <v>1370.43</v>
      </c>
      <c r="F688">
        <v>0</v>
      </c>
      <c r="G688">
        <f t="shared" si="47"/>
        <v>1370.43</v>
      </c>
    </row>
    <row r="689" spans="1:7">
      <c r="A689" t="str">
        <f>"CHA"</f>
        <v>CHA</v>
      </c>
      <c r="B689" t="str">
        <f t="shared" si="49"/>
        <v>61551000</v>
      </c>
      <c r="C689" t="str">
        <f t="shared" si="46"/>
        <v>CHA615510000</v>
      </c>
      <c r="E689">
        <v>358.17</v>
      </c>
      <c r="F689">
        <v>0</v>
      </c>
      <c r="G689">
        <f t="shared" si="47"/>
        <v>358.17</v>
      </c>
    </row>
    <row r="690" spans="1:7">
      <c r="A690" t="str">
        <f>"CHAM"</f>
        <v>CHAM</v>
      </c>
      <c r="B690" t="str">
        <f t="shared" si="49"/>
        <v>61551000</v>
      </c>
      <c r="C690" t="str">
        <f t="shared" si="46"/>
        <v>CHAM615510000</v>
      </c>
      <c r="E690">
        <v>1240.6400000000001</v>
      </c>
      <c r="F690">
        <v>0</v>
      </c>
      <c r="G690">
        <f t="shared" si="47"/>
        <v>1240.6400000000001</v>
      </c>
    </row>
    <row r="691" spans="1:7">
      <c r="A691" t="str">
        <f>"CHART"</f>
        <v>CHART</v>
      </c>
      <c r="B691" t="str">
        <f t="shared" si="49"/>
        <v>61551000</v>
      </c>
      <c r="C691" t="str">
        <f t="shared" si="46"/>
        <v>CHART615510000</v>
      </c>
      <c r="E691">
        <v>0</v>
      </c>
      <c r="F691">
        <v>0</v>
      </c>
      <c r="G691">
        <f t="shared" si="47"/>
        <v>0</v>
      </c>
    </row>
    <row r="692" spans="1:7">
      <c r="A692" t="str">
        <f>"CLE"</f>
        <v>CLE</v>
      </c>
      <c r="B692" t="str">
        <f t="shared" si="49"/>
        <v>61551000</v>
      </c>
      <c r="C692" t="str">
        <f t="shared" si="46"/>
        <v>CLE615510000</v>
      </c>
      <c r="E692">
        <v>3872.28</v>
      </c>
      <c r="F692">
        <v>-91.66</v>
      </c>
      <c r="G692">
        <f t="shared" si="47"/>
        <v>3963.94</v>
      </c>
    </row>
    <row r="693" spans="1:7">
      <c r="A693" t="str">
        <f>"COM"</f>
        <v>COM</v>
      </c>
      <c r="B693" t="str">
        <f t="shared" si="49"/>
        <v>61551000</v>
      </c>
      <c r="C693" t="str">
        <f t="shared" si="46"/>
        <v>COM615510000</v>
      </c>
      <c r="E693">
        <v>79.63</v>
      </c>
      <c r="F693">
        <v>0</v>
      </c>
      <c r="G693">
        <f t="shared" si="47"/>
        <v>79.63</v>
      </c>
    </row>
    <row r="694" spans="1:7">
      <c r="A694" t="str">
        <f>"CST"</f>
        <v>CST</v>
      </c>
      <c r="B694" t="str">
        <f t="shared" si="49"/>
        <v>61551000</v>
      </c>
      <c r="C694" t="str">
        <f t="shared" si="46"/>
        <v>CST615510000</v>
      </c>
      <c r="E694">
        <v>130.41999999999999</v>
      </c>
      <c r="F694">
        <v>0</v>
      </c>
      <c r="G694">
        <f t="shared" si="47"/>
        <v>130.41999999999999</v>
      </c>
    </row>
    <row r="695" spans="1:7">
      <c r="A695" t="str">
        <f>"DIJ"</f>
        <v>DIJ</v>
      </c>
      <c r="B695" t="str">
        <f t="shared" si="49"/>
        <v>61551000</v>
      </c>
      <c r="C695" t="str">
        <f t="shared" si="46"/>
        <v>DIJ615510000</v>
      </c>
      <c r="E695">
        <v>130.84</v>
      </c>
      <c r="F695">
        <v>0</v>
      </c>
      <c r="G695">
        <f t="shared" si="47"/>
        <v>130.84</v>
      </c>
    </row>
    <row r="696" spans="1:7">
      <c r="A696" t="str">
        <f>"EU"</f>
        <v>EU</v>
      </c>
      <c r="B696" t="str">
        <f t="shared" si="49"/>
        <v>61551000</v>
      </c>
      <c r="C696" t="str">
        <f t="shared" si="46"/>
        <v>EU615510000</v>
      </c>
      <c r="E696">
        <v>3926.6</v>
      </c>
      <c r="F696">
        <v>0</v>
      </c>
      <c r="G696">
        <f t="shared" si="47"/>
        <v>3926.6</v>
      </c>
    </row>
    <row r="697" spans="1:7">
      <c r="A697" t="str">
        <f>"GRE"</f>
        <v>GRE</v>
      </c>
      <c r="B697" t="str">
        <f t="shared" si="49"/>
        <v>61551000</v>
      </c>
      <c r="C697" t="str">
        <f t="shared" si="46"/>
        <v>GRE615510000</v>
      </c>
      <c r="E697">
        <v>1152.98</v>
      </c>
      <c r="F697">
        <v>0</v>
      </c>
      <c r="G697">
        <f t="shared" si="47"/>
        <v>1152.98</v>
      </c>
    </row>
    <row r="698" spans="1:7">
      <c r="A698" t="str">
        <f>"LEN"</f>
        <v>LEN</v>
      </c>
      <c r="B698" t="str">
        <f t="shared" si="49"/>
        <v>61551000</v>
      </c>
      <c r="C698" t="str">
        <f t="shared" si="46"/>
        <v>LEN615510000</v>
      </c>
      <c r="E698">
        <v>96.57</v>
      </c>
      <c r="F698">
        <v>0</v>
      </c>
      <c r="G698">
        <f t="shared" si="47"/>
        <v>96.57</v>
      </c>
    </row>
    <row r="699" spans="1:7">
      <c r="A699" t="str">
        <f>"LIL"</f>
        <v>LIL</v>
      </c>
      <c r="B699" t="str">
        <f t="shared" si="49"/>
        <v>61551000</v>
      </c>
      <c r="C699" t="str">
        <f t="shared" si="46"/>
        <v>LIL615510000</v>
      </c>
      <c r="E699">
        <v>22985.759999999998</v>
      </c>
      <c r="F699">
        <v>0</v>
      </c>
      <c r="G699">
        <f t="shared" si="47"/>
        <v>22985.759999999998</v>
      </c>
    </row>
    <row r="700" spans="1:7">
      <c r="A700" t="str">
        <f>"MAD"</f>
        <v>MAD</v>
      </c>
      <c r="B700" t="str">
        <f t="shared" si="49"/>
        <v>61551000</v>
      </c>
      <c r="C700" t="str">
        <f t="shared" si="46"/>
        <v>MAD615510000</v>
      </c>
      <c r="E700">
        <v>348.47</v>
      </c>
      <c r="F700">
        <v>0</v>
      </c>
      <c r="G700">
        <f t="shared" si="47"/>
        <v>348.47</v>
      </c>
    </row>
    <row r="701" spans="1:7">
      <c r="A701" t="str">
        <f>"MAR"</f>
        <v>MAR</v>
      </c>
      <c r="B701" t="str">
        <f t="shared" si="49"/>
        <v>61551000</v>
      </c>
      <c r="C701" t="str">
        <f t="shared" si="46"/>
        <v>MAR615510000</v>
      </c>
      <c r="E701">
        <v>66.3</v>
      </c>
      <c r="F701">
        <v>-156.6</v>
      </c>
      <c r="G701">
        <f t="shared" si="47"/>
        <v>222.89999999999998</v>
      </c>
    </row>
    <row r="702" spans="1:7">
      <c r="A702" t="str">
        <f>"MON"</f>
        <v>MON</v>
      </c>
      <c r="B702" t="str">
        <f t="shared" si="49"/>
        <v>61551000</v>
      </c>
      <c r="C702" t="str">
        <f t="shared" si="46"/>
        <v>MON615510000</v>
      </c>
      <c r="E702">
        <v>560.29999999999995</v>
      </c>
      <c r="F702">
        <v>0</v>
      </c>
      <c r="G702">
        <f t="shared" si="47"/>
        <v>560.29999999999995</v>
      </c>
    </row>
    <row r="703" spans="1:7">
      <c r="A703" t="str">
        <f>"NAN"</f>
        <v>NAN</v>
      </c>
      <c r="B703" t="str">
        <f t="shared" si="49"/>
        <v>61551000</v>
      </c>
      <c r="C703" t="str">
        <f t="shared" si="46"/>
        <v>NAN615510000</v>
      </c>
      <c r="E703">
        <v>845.86</v>
      </c>
      <c r="F703">
        <v>0</v>
      </c>
      <c r="G703">
        <f t="shared" si="47"/>
        <v>845.86</v>
      </c>
    </row>
    <row r="704" spans="1:7">
      <c r="A704" t="str">
        <f>"ORL"</f>
        <v>ORL</v>
      </c>
      <c r="B704" t="str">
        <f t="shared" si="49"/>
        <v>61551000</v>
      </c>
      <c r="C704" t="str">
        <f t="shared" si="46"/>
        <v>ORL615510000</v>
      </c>
      <c r="E704">
        <v>713.49</v>
      </c>
      <c r="F704">
        <v>0</v>
      </c>
      <c r="G704">
        <f t="shared" si="47"/>
        <v>713.49</v>
      </c>
    </row>
    <row r="705" spans="1:9">
      <c r="A705" t="str">
        <f>"REN"</f>
        <v>REN</v>
      </c>
      <c r="B705" t="str">
        <f t="shared" si="49"/>
        <v>61551000</v>
      </c>
      <c r="C705" t="str">
        <f t="shared" si="46"/>
        <v>REN615510000</v>
      </c>
      <c r="E705">
        <v>445.88</v>
      </c>
      <c r="F705">
        <v>0</v>
      </c>
      <c r="G705">
        <f t="shared" si="47"/>
        <v>445.88</v>
      </c>
    </row>
    <row r="706" spans="1:9">
      <c r="A706" t="str">
        <f>"ROA"</f>
        <v>ROA</v>
      </c>
      <c r="B706" t="str">
        <f t="shared" si="49"/>
        <v>61551000</v>
      </c>
      <c r="C706" t="str">
        <f t="shared" si="46"/>
        <v>ROA615510000</v>
      </c>
      <c r="E706">
        <v>1491.47</v>
      </c>
      <c r="F706">
        <v>0</v>
      </c>
      <c r="G706">
        <f t="shared" si="47"/>
        <v>1491.47</v>
      </c>
    </row>
    <row r="707" spans="1:9">
      <c r="A707" t="str">
        <f>"SAU"</f>
        <v>SAU</v>
      </c>
      <c r="B707" t="str">
        <f t="shared" si="49"/>
        <v>61551000</v>
      </c>
      <c r="C707" t="str">
        <f t="shared" ref="C707:C770" si="50">+A707&amp;B707*10</f>
        <v>SAU615510000</v>
      </c>
      <c r="E707">
        <v>196.59</v>
      </c>
      <c r="F707">
        <v>0</v>
      </c>
      <c r="G707">
        <f t="shared" ref="G707:G770" si="51">+E707-F707</f>
        <v>196.59</v>
      </c>
    </row>
    <row r="708" spans="1:9">
      <c r="A708" t="str">
        <f>"SOM"</f>
        <v>SOM</v>
      </c>
      <c r="B708" t="str">
        <f t="shared" si="49"/>
        <v>61551000</v>
      </c>
      <c r="C708" t="str">
        <f t="shared" si="50"/>
        <v>SOM615510000</v>
      </c>
      <c r="E708">
        <v>1336.68</v>
      </c>
      <c r="F708">
        <v>0</v>
      </c>
      <c r="G708">
        <f t="shared" si="51"/>
        <v>1336.68</v>
      </c>
    </row>
    <row r="709" spans="1:9">
      <c r="A709" t="str">
        <f>"THO"</f>
        <v>THO</v>
      </c>
      <c r="B709" t="str">
        <f t="shared" si="49"/>
        <v>61551000</v>
      </c>
      <c r="C709" t="str">
        <f t="shared" si="50"/>
        <v>THO615510000</v>
      </c>
      <c r="E709">
        <v>226.92</v>
      </c>
      <c r="F709">
        <v>0</v>
      </c>
      <c r="G709">
        <f t="shared" si="51"/>
        <v>226.92</v>
      </c>
    </row>
    <row r="710" spans="1:9">
      <c r="A710" t="str">
        <f>"TOURC"</f>
        <v>TOURC</v>
      </c>
      <c r="B710" t="str">
        <f t="shared" si="49"/>
        <v>61551000</v>
      </c>
      <c r="C710" t="str">
        <f t="shared" si="50"/>
        <v>TOURC615510000</v>
      </c>
      <c r="E710">
        <v>361.31</v>
      </c>
      <c r="F710">
        <v>0</v>
      </c>
      <c r="G710">
        <f t="shared" si="51"/>
        <v>361.31</v>
      </c>
    </row>
    <row r="711" spans="1:9">
      <c r="A711" t="str">
        <f>"VAN"</f>
        <v>VAN</v>
      </c>
      <c r="B711" t="str">
        <f t="shared" si="49"/>
        <v>61551000</v>
      </c>
      <c r="C711" t="str">
        <f t="shared" si="50"/>
        <v>VAN615510000</v>
      </c>
      <c r="E711">
        <v>1283.8399999999999</v>
      </c>
      <c r="F711">
        <v>0</v>
      </c>
      <c r="G711">
        <f t="shared" si="51"/>
        <v>1283.8399999999999</v>
      </c>
    </row>
    <row r="712" spans="1:9">
      <c r="A712" t="str">
        <f>"ANG"</f>
        <v>ANG</v>
      </c>
      <c r="B712" t="str">
        <f t="shared" ref="B712:B742" si="52">"61552000"</f>
        <v>61552000</v>
      </c>
      <c r="C712" t="str">
        <f t="shared" si="50"/>
        <v>ANG615520000</v>
      </c>
      <c r="E712">
        <v>1233.68</v>
      </c>
      <c r="F712">
        <v>0</v>
      </c>
      <c r="G712">
        <f t="shared" si="51"/>
        <v>1233.68</v>
      </c>
    </row>
    <row r="713" spans="1:9">
      <c r="A713" t="str">
        <f>"BET"</f>
        <v>BET</v>
      </c>
      <c r="B713" t="str">
        <f t="shared" si="52"/>
        <v>61552000</v>
      </c>
      <c r="C713" t="str">
        <f t="shared" si="50"/>
        <v>BET615520000</v>
      </c>
      <c r="E713">
        <v>757.15</v>
      </c>
      <c r="F713">
        <v>0</v>
      </c>
      <c r="G713">
        <f t="shared" si="51"/>
        <v>757.15</v>
      </c>
    </row>
    <row r="714" spans="1:9">
      <c r="A714" t="str">
        <f>"BOI"</f>
        <v>BOI</v>
      </c>
      <c r="B714" t="str">
        <f t="shared" si="52"/>
        <v>61552000</v>
      </c>
      <c r="C714" t="str">
        <f t="shared" si="50"/>
        <v>BOI615520000</v>
      </c>
      <c r="E714">
        <v>267.85000000000002</v>
      </c>
      <c r="F714">
        <v>0</v>
      </c>
      <c r="G714">
        <f t="shared" si="51"/>
        <v>267.85000000000002</v>
      </c>
    </row>
    <row r="715" spans="1:9">
      <c r="A715" t="str">
        <f>"BOS"</f>
        <v>BOS</v>
      </c>
      <c r="B715" t="str">
        <f t="shared" si="52"/>
        <v>61552000</v>
      </c>
      <c r="C715" t="str">
        <f t="shared" si="50"/>
        <v>BOS615520000</v>
      </c>
      <c r="E715">
        <v>5846.46</v>
      </c>
      <c r="F715">
        <v>0</v>
      </c>
      <c r="G715">
        <f t="shared" si="51"/>
        <v>5846.46</v>
      </c>
    </row>
    <row r="716" spans="1:9">
      <c r="A716" t="str">
        <f>"BOU"</f>
        <v>BOU</v>
      </c>
      <c r="B716" t="str">
        <f t="shared" si="52"/>
        <v>61552000</v>
      </c>
      <c r="C716" t="str">
        <f t="shared" si="50"/>
        <v>BOU615520000</v>
      </c>
      <c r="E716">
        <v>2498.2199999999998</v>
      </c>
      <c r="F716">
        <v>0</v>
      </c>
      <c r="G716">
        <f t="shared" si="51"/>
        <v>2498.2199999999998</v>
      </c>
      <c r="H716" s="433"/>
      <c r="I716" s="113"/>
    </row>
    <row r="717" spans="1:9">
      <c r="A717" t="str">
        <f>"CAL"</f>
        <v>CAL</v>
      </c>
      <c r="B717" t="str">
        <f t="shared" si="52"/>
        <v>61552000</v>
      </c>
      <c r="C717" t="str">
        <f t="shared" si="50"/>
        <v>CAL615520000</v>
      </c>
      <c r="E717">
        <v>2602.83</v>
      </c>
      <c r="F717">
        <v>0</v>
      </c>
      <c r="G717">
        <f t="shared" si="51"/>
        <v>2602.83</v>
      </c>
    </row>
    <row r="718" spans="1:9">
      <c r="A718" t="str">
        <f>"CAM"</f>
        <v>CAM</v>
      </c>
      <c r="B718" t="str">
        <f t="shared" si="52"/>
        <v>61552000</v>
      </c>
      <c r="C718" t="str">
        <f t="shared" si="50"/>
        <v>CAM615520000</v>
      </c>
      <c r="E718">
        <v>1192.8699999999999</v>
      </c>
      <c r="F718">
        <v>0</v>
      </c>
      <c r="G718">
        <f t="shared" si="51"/>
        <v>1192.8699999999999</v>
      </c>
    </row>
    <row r="719" spans="1:9">
      <c r="A719" t="str">
        <f>"CAU"</f>
        <v>CAU</v>
      </c>
      <c r="B719" t="str">
        <f t="shared" si="52"/>
        <v>61552000</v>
      </c>
      <c r="C719" t="str">
        <f t="shared" si="50"/>
        <v>CAU615520000</v>
      </c>
      <c r="E719">
        <v>597.04</v>
      </c>
      <c r="F719">
        <v>0</v>
      </c>
      <c r="G719">
        <f t="shared" si="51"/>
        <v>597.04</v>
      </c>
    </row>
    <row r="720" spans="1:9">
      <c r="A720" t="str">
        <f>"CHA"</f>
        <v>CHA</v>
      </c>
      <c r="B720" t="str">
        <f t="shared" si="52"/>
        <v>61552000</v>
      </c>
      <c r="C720" t="str">
        <f t="shared" si="50"/>
        <v>CHA615520000</v>
      </c>
      <c r="E720">
        <v>316</v>
      </c>
      <c r="F720">
        <v>0</v>
      </c>
      <c r="G720">
        <f t="shared" si="51"/>
        <v>316</v>
      </c>
    </row>
    <row r="721" spans="1:7">
      <c r="A721" t="str">
        <f>"CHAM"</f>
        <v>CHAM</v>
      </c>
      <c r="B721" t="str">
        <f t="shared" si="52"/>
        <v>61552000</v>
      </c>
      <c r="C721" t="str">
        <f t="shared" si="50"/>
        <v>CHAM615520000</v>
      </c>
      <c r="E721">
        <v>5245.03</v>
      </c>
      <c r="F721">
        <v>0</v>
      </c>
      <c r="G721">
        <f t="shared" si="51"/>
        <v>5245.03</v>
      </c>
    </row>
    <row r="722" spans="1:7">
      <c r="A722" t="str">
        <f>"CHART"</f>
        <v>CHART</v>
      </c>
      <c r="B722" t="str">
        <f t="shared" si="52"/>
        <v>61552000</v>
      </c>
      <c r="C722" t="str">
        <f t="shared" si="50"/>
        <v>CHART615520000</v>
      </c>
      <c r="E722">
        <v>2098.1799999999998</v>
      </c>
      <c r="F722">
        <v>0</v>
      </c>
      <c r="G722">
        <f t="shared" si="51"/>
        <v>2098.1799999999998</v>
      </c>
    </row>
    <row r="723" spans="1:7">
      <c r="A723" t="str">
        <f>"CLE"</f>
        <v>CLE</v>
      </c>
      <c r="B723" t="str">
        <f t="shared" si="52"/>
        <v>61552000</v>
      </c>
      <c r="C723" t="str">
        <f t="shared" si="50"/>
        <v>CLE615520000</v>
      </c>
      <c r="E723">
        <v>1426.97</v>
      </c>
      <c r="F723">
        <v>0</v>
      </c>
      <c r="G723">
        <f t="shared" si="51"/>
        <v>1426.97</v>
      </c>
    </row>
    <row r="724" spans="1:7">
      <c r="A724" t="str">
        <f>"COM"</f>
        <v>COM</v>
      </c>
      <c r="B724" t="str">
        <f t="shared" si="52"/>
        <v>61552000</v>
      </c>
      <c r="C724" t="str">
        <f t="shared" si="50"/>
        <v>COM615520000</v>
      </c>
      <c r="E724">
        <v>661.5</v>
      </c>
      <c r="F724">
        <v>0</v>
      </c>
      <c r="G724">
        <f t="shared" si="51"/>
        <v>661.5</v>
      </c>
    </row>
    <row r="725" spans="1:7">
      <c r="A725" t="str">
        <f>"CST"</f>
        <v>CST</v>
      </c>
      <c r="B725" t="str">
        <f t="shared" si="52"/>
        <v>61552000</v>
      </c>
      <c r="C725" t="str">
        <f t="shared" si="50"/>
        <v>CST615520000</v>
      </c>
      <c r="E725">
        <v>2741.32</v>
      </c>
      <c r="F725">
        <v>0</v>
      </c>
      <c r="G725">
        <f t="shared" si="51"/>
        <v>2741.32</v>
      </c>
    </row>
    <row r="726" spans="1:7">
      <c r="A726" t="str">
        <f>"DIJ"</f>
        <v>DIJ</v>
      </c>
      <c r="B726" t="str">
        <f t="shared" si="52"/>
        <v>61552000</v>
      </c>
      <c r="C726" t="str">
        <f t="shared" si="50"/>
        <v>DIJ615520000</v>
      </c>
      <c r="E726">
        <v>26.76</v>
      </c>
      <c r="F726">
        <v>0</v>
      </c>
      <c r="G726">
        <f t="shared" si="51"/>
        <v>26.76</v>
      </c>
    </row>
    <row r="727" spans="1:7">
      <c r="A727" t="str">
        <f>"EU"</f>
        <v>EU</v>
      </c>
      <c r="B727" t="str">
        <f t="shared" si="52"/>
        <v>61552000</v>
      </c>
      <c r="C727" t="str">
        <f t="shared" si="50"/>
        <v>EU615520000</v>
      </c>
      <c r="E727">
        <v>411.52</v>
      </c>
      <c r="F727">
        <v>0</v>
      </c>
      <c r="G727">
        <f t="shared" si="51"/>
        <v>411.52</v>
      </c>
    </row>
    <row r="728" spans="1:7">
      <c r="A728" t="str">
        <f>"GRE"</f>
        <v>GRE</v>
      </c>
      <c r="B728" t="str">
        <f t="shared" si="52"/>
        <v>61552000</v>
      </c>
      <c r="C728" t="str">
        <f t="shared" si="50"/>
        <v>GRE615520000</v>
      </c>
      <c r="E728">
        <v>3271.89</v>
      </c>
      <c r="F728">
        <v>0</v>
      </c>
      <c r="G728">
        <f t="shared" si="51"/>
        <v>3271.89</v>
      </c>
    </row>
    <row r="729" spans="1:7">
      <c r="A729" t="str">
        <f>"LEN"</f>
        <v>LEN</v>
      </c>
      <c r="B729" t="str">
        <f t="shared" si="52"/>
        <v>61552000</v>
      </c>
      <c r="C729" t="str">
        <f t="shared" si="50"/>
        <v>LEN615520000</v>
      </c>
      <c r="E729">
        <v>997.33</v>
      </c>
      <c r="F729">
        <v>0</v>
      </c>
      <c r="G729">
        <f t="shared" si="51"/>
        <v>997.33</v>
      </c>
    </row>
    <row r="730" spans="1:7">
      <c r="A730" t="str">
        <f>"LIL"</f>
        <v>LIL</v>
      </c>
      <c r="B730" t="str">
        <f t="shared" si="52"/>
        <v>61552000</v>
      </c>
      <c r="C730" t="str">
        <f t="shared" si="50"/>
        <v>LIL615520000</v>
      </c>
      <c r="E730">
        <v>4826.6499999999996</v>
      </c>
      <c r="F730">
        <v>0</v>
      </c>
      <c r="G730">
        <f t="shared" si="51"/>
        <v>4826.6499999999996</v>
      </c>
    </row>
    <row r="731" spans="1:7">
      <c r="A731" t="str">
        <f>"MAD"</f>
        <v>MAD</v>
      </c>
      <c r="B731" t="str">
        <f t="shared" si="52"/>
        <v>61552000</v>
      </c>
      <c r="C731" t="str">
        <f t="shared" si="50"/>
        <v>MAD615520000</v>
      </c>
      <c r="E731">
        <v>443.28</v>
      </c>
      <c r="F731">
        <v>0</v>
      </c>
      <c r="G731">
        <f t="shared" si="51"/>
        <v>443.28</v>
      </c>
    </row>
    <row r="732" spans="1:7">
      <c r="A732" t="str">
        <f>"MAR"</f>
        <v>MAR</v>
      </c>
      <c r="B732" t="str">
        <f t="shared" si="52"/>
        <v>61552000</v>
      </c>
      <c r="C732" t="str">
        <f t="shared" si="50"/>
        <v>MAR615520000</v>
      </c>
      <c r="E732">
        <v>56.85</v>
      </c>
      <c r="F732">
        <v>0</v>
      </c>
      <c r="G732">
        <f t="shared" si="51"/>
        <v>56.85</v>
      </c>
    </row>
    <row r="733" spans="1:7">
      <c r="A733" t="str">
        <f>"MON"</f>
        <v>MON</v>
      </c>
      <c r="B733" t="str">
        <f t="shared" si="52"/>
        <v>61552000</v>
      </c>
      <c r="C733" t="str">
        <f t="shared" si="50"/>
        <v>MON615520000</v>
      </c>
      <c r="E733">
        <v>1923.46</v>
      </c>
      <c r="F733">
        <v>0</v>
      </c>
      <c r="G733">
        <f t="shared" si="51"/>
        <v>1923.46</v>
      </c>
    </row>
    <row r="734" spans="1:7">
      <c r="A734" t="str">
        <f>"NAN"</f>
        <v>NAN</v>
      </c>
      <c r="B734" t="str">
        <f t="shared" si="52"/>
        <v>61552000</v>
      </c>
      <c r="C734" t="str">
        <f t="shared" si="50"/>
        <v>NAN615520000</v>
      </c>
      <c r="E734">
        <v>3042.17</v>
      </c>
      <c r="F734">
        <v>0</v>
      </c>
      <c r="G734">
        <f t="shared" si="51"/>
        <v>3042.17</v>
      </c>
    </row>
    <row r="735" spans="1:7">
      <c r="A735" t="str">
        <f>"ORL"</f>
        <v>ORL</v>
      </c>
      <c r="B735" t="str">
        <f t="shared" si="52"/>
        <v>61552000</v>
      </c>
      <c r="C735" t="str">
        <f t="shared" si="50"/>
        <v>ORL615520000</v>
      </c>
      <c r="E735">
        <v>3731.47</v>
      </c>
      <c r="F735">
        <v>0</v>
      </c>
      <c r="G735">
        <f t="shared" si="51"/>
        <v>3731.47</v>
      </c>
    </row>
    <row r="736" spans="1:7">
      <c r="A736" t="str">
        <f>"REN"</f>
        <v>REN</v>
      </c>
      <c r="B736" t="str">
        <f t="shared" si="52"/>
        <v>61552000</v>
      </c>
      <c r="C736" t="str">
        <f t="shared" si="50"/>
        <v>REN615520000</v>
      </c>
      <c r="E736">
        <v>1398.1</v>
      </c>
      <c r="F736">
        <v>0</v>
      </c>
      <c r="G736">
        <f t="shared" si="51"/>
        <v>1398.1</v>
      </c>
    </row>
    <row r="737" spans="1:9">
      <c r="A737" t="str">
        <f>"ROA"</f>
        <v>ROA</v>
      </c>
      <c r="B737" t="str">
        <f t="shared" si="52"/>
        <v>61552000</v>
      </c>
      <c r="C737" t="str">
        <f t="shared" si="50"/>
        <v>ROA615520000</v>
      </c>
      <c r="E737">
        <v>2598.17</v>
      </c>
      <c r="F737">
        <v>0</v>
      </c>
      <c r="G737">
        <f t="shared" si="51"/>
        <v>2598.17</v>
      </c>
      <c r="I737" s="353"/>
    </row>
    <row r="738" spans="1:9">
      <c r="A738" t="str">
        <f>"SAU"</f>
        <v>SAU</v>
      </c>
      <c r="B738" t="str">
        <f t="shared" si="52"/>
        <v>61552000</v>
      </c>
      <c r="C738" t="str">
        <f t="shared" si="50"/>
        <v>SAU615520000</v>
      </c>
      <c r="E738">
        <v>21.9</v>
      </c>
      <c r="F738">
        <v>0</v>
      </c>
      <c r="G738">
        <f t="shared" si="51"/>
        <v>21.9</v>
      </c>
    </row>
    <row r="739" spans="1:9">
      <c r="A739" t="str">
        <f>"SOM"</f>
        <v>SOM</v>
      </c>
      <c r="B739" t="str">
        <f t="shared" si="52"/>
        <v>61552000</v>
      </c>
      <c r="C739" t="str">
        <f t="shared" si="50"/>
        <v>SOM615520000</v>
      </c>
      <c r="E739">
        <v>1620.98</v>
      </c>
      <c r="F739">
        <v>0</v>
      </c>
      <c r="G739">
        <f t="shared" si="51"/>
        <v>1620.98</v>
      </c>
    </row>
    <row r="740" spans="1:9">
      <c r="A740" t="str">
        <f>"THO"</f>
        <v>THO</v>
      </c>
      <c r="B740" t="str">
        <f t="shared" si="52"/>
        <v>61552000</v>
      </c>
      <c r="C740" t="str">
        <f t="shared" si="50"/>
        <v>THO615520000</v>
      </c>
      <c r="E740">
        <v>857.21</v>
      </c>
      <c r="F740">
        <v>0</v>
      </c>
      <c r="G740">
        <f t="shared" si="51"/>
        <v>857.21</v>
      </c>
    </row>
    <row r="741" spans="1:9">
      <c r="A741" t="str">
        <f>"TOURC"</f>
        <v>TOURC</v>
      </c>
      <c r="B741" t="str">
        <f t="shared" si="52"/>
        <v>61552000</v>
      </c>
      <c r="C741" t="str">
        <f t="shared" si="50"/>
        <v>TOURC615520000</v>
      </c>
      <c r="E741">
        <v>441.81</v>
      </c>
      <c r="F741">
        <v>0</v>
      </c>
      <c r="G741">
        <f t="shared" si="51"/>
        <v>441.81</v>
      </c>
    </row>
    <row r="742" spans="1:9">
      <c r="A742" t="str">
        <f>"VAN"</f>
        <v>VAN</v>
      </c>
      <c r="B742" t="str">
        <f t="shared" si="52"/>
        <v>61552000</v>
      </c>
      <c r="C742" t="str">
        <f t="shared" si="50"/>
        <v>VAN615520000</v>
      </c>
      <c r="E742">
        <v>471.85</v>
      </c>
      <c r="F742">
        <v>0</v>
      </c>
      <c r="G742">
        <f t="shared" si="51"/>
        <v>471.85</v>
      </c>
    </row>
    <row r="743" spans="1:9">
      <c r="A743" t="str">
        <f>"NAN"</f>
        <v>NAN</v>
      </c>
      <c r="B743" t="str">
        <f>"61553000"</f>
        <v>61553000</v>
      </c>
      <c r="C743" t="str">
        <f t="shared" si="50"/>
        <v>NAN615530000</v>
      </c>
      <c r="E743">
        <v>45.34</v>
      </c>
      <c r="F743">
        <v>0</v>
      </c>
      <c r="G743">
        <f t="shared" si="51"/>
        <v>45.34</v>
      </c>
    </row>
    <row r="744" spans="1:9">
      <c r="A744" t="str">
        <f>"AMI"</f>
        <v>AMI</v>
      </c>
      <c r="B744" t="str">
        <f t="shared" ref="B744:B775" si="53">"61612000"</f>
        <v>61612000</v>
      </c>
      <c r="C744" t="str">
        <f t="shared" si="50"/>
        <v>AMI616120000</v>
      </c>
      <c r="E744">
        <v>713.61</v>
      </c>
      <c r="F744">
        <v>0</v>
      </c>
      <c r="G744">
        <f t="shared" si="51"/>
        <v>713.61</v>
      </c>
    </row>
    <row r="745" spans="1:9">
      <c r="A745" t="str">
        <f>"ANG"</f>
        <v>ANG</v>
      </c>
      <c r="B745" t="str">
        <f t="shared" si="53"/>
        <v>61612000</v>
      </c>
      <c r="C745" t="str">
        <f t="shared" si="50"/>
        <v>ANG616120000</v>
      </c>
      <c r="E745">
        <v>1480.68</v>
      </c>
      <c r="F745">
        <v>0</v>
      </c>
      <c r="G745">
        <f t="shared" si="51"/>
        <v>1480.68</v>
      </c>
    </row>
    <row r="746" spans="1:9">
      <c r="A746" t="str">
        <f>"BET"</f>
        <v>BET</v>
      </c>
      <c r="B746" t="str">
        <f t="shared" si="53"/>
        <v>61612000</v>
      </c>
      <c r="C746" t="str">
        <f t="shared" si="50"/>
        <v>BET616120000</v>
      </c>
      <c r="E746">
        <v>643.95000000000005</v>
      </c>
      <c r="F746">
        <v>0</v>
      </c>
      <c r="G746">
        <f t="shared" si="51"/>
        <v>643.95000000000005</v>
      </c>
    </row>
    <row r="747" spans="1:9">
      <c r="A747" t="str">
        <f>"BOI"</f>
        <v>BOI</v>
      </c>
      <c r="B747" t="str">
        <f t="shared" si="53"/>
        <v>61612000</v>
      </c>
      <c r="C747" t="str">
        <f t="shared" si="50"/>
        <v>BOI616120000</v>
      </c>
      <c r="E747">
        <v>481.59</v>
      </c>
      <c r="F747">
        <v>0</v>
      </c>
      <c r="G747">
        <f t="shared" si="51"/>
        <v>481.59</v>
      </c>
    </row>
    <row r="748" spans="1:9">
      <c r="A748" t="str">
        <f>"BOS"</f>
        <v>BOS</v>
      </c>
      <c r="B748" t="str">
        <f t="shared" si="53"/>
        <v>61612000</v>
      </c>
      <c r="C748" t="str">
        <f t="shared" si="50"/>
        <v>BOS616120000</v>
      </c>
      <c r="E748">
        <v>1545.93</v>
      </c>
      <c r="F748">
        <v>0</v>
      </c>
      <c r="G748">
        <f t="shared" si="51"/>
        <v>1545.93</v>
      </c>
    </row>
    <row r="749" spans="1:9">
      <c r="A749" t="str">
        <f>"BOU"</f>
        <v>BOU</v>
      </c>
      <c r="B749" t="str">
        <f t="shared" si="53"/>
        <v>61612000</v>
      </c>
      <c r="C749" t="str">
        <f t="shared" si="50"/>
        <v>BOU616120000</v>
      </c>
      <c r="E749">
        <v>1877.8</v>
      </c>
      <c r="F749">
        <v>0</v>
      </c>
      <c r="G749">
        <f t="shared" si="51"/>
        <v>1877.8</v>
      </c>
    </row>
    <row r="750" spans="1:9">
      <c r="A750" t="str">
        <f>"CAL"</f>
        <v>CAL</v>
      </c>
      <c r="B750" t="str">
        <f t="shared" si="53"/>
        <v>61612000</v>
      </c>
      <c r="C750" t="str">
        <f t="shared" si="50"/>
        <v>CAL616120000</v>
      </c>
      <c r="E750">
        <v>919.18</v>
      </c>
      <c r="F750">
        <v>0</v>
      </c>
      <c r="G750">
        <f t="shared" si="51"/>
        <v>919.18</v>
      </c>
    </row>
    <row r="751" spans="1:9">
      <c r="A751" t="str">
        <f>"CAM"</f>
        <v>CAM</v>
      </c>
      <c r="B751" t="str">
        <f t="shared" si="53"/>
        <v>61612000</v>
      </c>
      <c r="C751" t="str">
        <f t="shared" si="50"/>
        <v>CAM616120000</v>
      </c>
      <c r="E751">
        <v>1192.6400000000001</v>
      </c>
      <c r="F751">
        <v>0</v>
      </c>
      <c r="G751">
        <f t="shared" si="51"/>
        <v>1192.6400000000001</v>
      </c>
    </row>
    <row r="752" spans="1:9">
      <c r="A752" t="str">
        <f>"CAU"</f>
        <v>CAU</v>
      </c>
      <c r="B752" t="str">
        <f t="shared" si="53"/>
        <v>61612000</v>
      </c>
      <c r="C752" t="str">
        <f t="shared" si="50"/>
        <v>CAU616120000</v>
      </c>
      <c r="E752">
        <v>546.85</v>
      </c>
      <c r="F752">
        <v>0</v>
      </c>
      <c r="G752">
        <f t="shared" si="51"/>
        <v>546.85</v>
      </c>
    </row>
    <row r="753" spans="1:9">
      <c r="A753" t="str">
        <f>"CHA"</f>
        <v>CHA</v>
      </c>
      <c r="B753" t="str">
        <f t="shared" si="53"/>
        <v>61612000</v>
      </c>
      <c r="C753" t="str">
        <f t="shared" si="50"/>
        <v>CHA616120000</v>
      </c>
      <c r="E753">
        <v>491.04</v>
      </c>
      <c r="F753">
        <v>0</v>
      </c>
      <c r="G753">
        <f t="shared" si="51"/>
        <v>491.04</v>
      </c>
    </row>
    <row r="754" spans="1:9">
      <c r="A754" t="str">
        <f>"CHAM"</f>
        <v>CHAM</v>
      </c>
      <c r="B754" t="str">
        <f t="shared" si="53"/>
        <v>61612000</v>
      </c>
      <c r="C754" t="str">
        <f t="shared" si="50"/>
        <v>CHAM616120000</v>
      </c>
      <c r="E754">
        <v>1157.54</v>
      </c>
      <c r="F754">
        <v>0</v>
      </c>
      <c r="G754">
        <f t="shared" si="51"/>
        <v>1157.54</v>
      </c>
    </row>
    <row r="755" spans="1:9">
      <c r="A755" t="str">
        <f>"CHART"</f>
        <v>CHART</v>
      </c>
      <c r="B755" t="str">
        <f t="shared" si="53"/>
        <v>61612000</v>
      </c>
      <c r="C755" t="str">
        <f t="shared" si="50"/>
        <v>CHART616120000</v>
      </c>
      <c r="E755">
        <v>1430.31</v>
      </c>
      <c r="F755">
        <v>0</v>
      </c>
      <c r="G755">
        <f t="shared" si="51"/>
        <v>1430.31</v>
      </c>
    </row>
    <row r="756" spans="1:9">
      <c r="A756" t="str">
        <f>"CLE"</f>
        <v>CLE</v>
      </c>
      <c r="B756" t="str">
        <f t="shared" si="53"/>
        <v>61612000</v>
      </c>
      <c r="C756" t="str">
        <f t="shared" si="50"/>
        <v>CLE616120000</v>
      </c>
      <c r="E756">
        <v>2263.83</v>
      </c>
      <c r="F756">
        <v>0</v>
      </c>
      <c r="G756">
        <f t="shared" si="51"/>
        <v>2263.83</v>
      </c>
    </row>
    <row r="757" spans="1:9">
      <c r="A757" t="str">
        <f>"COM"</f>
        <v>COM</v>
      </c>
      <c r="B757" t="str">
        <f t="shared" si="53"/>
        <v>61612000</v>
      </c>
      <c r="C757" t="str">
        <f t="shared" si="50"/>
        <v>COM616120000</v>
      </c>
      <c r="E757">
        <v>471.06</v>
      </c>
      <c r="F757">
        <v>0</v>
      </c>
      <c r="G757">
        <f t="shared" si="51"/>
        <v>471.06</v>
      </c>
    </row>
    <row r="758" spans="1:9">
      <c r="A758" t="str">
        <f>"CST"</f>
        <v>CST</v>
      </c>
      <c r="B758" t="str">
        <f t="shared" si="53"/>
        <v>61612000</v>
      </c>
      <c r="C758" t="str">
        <f t="shared" si="50"/>
        <v>CST616120000</v>
      </c>
      <c r="E758">
        <v>1490.39</v>
      </c>
      <c r="F758">
        <v>0</v>
      </c>
      <c r="G758">
        <f t="shared" si="51"/>
        <v>1490.39</v>
      </c>
    </row>
    <row r="759" spans="1:9">
      <c r="A759" t="str">
        <f>"DIJ"</f>
        <v>DIJ</v>
      </c>
      <c r="B759" t="str">
        <f t="shared" si="53"/>
        <v>61612000</v>
      </c>
      <c r="C759" t="str">
        <f t="shared" si="50"/>
        <v>DIJ616120000</v>
      </c>
      <c r="E759">
        <v>1668</v>
      </c>
      <c r="F759">
        <v>0</v>
      </c>
      <c r="G759">
        <f t="shared" si="51"/>
        <v>1668</v>
      </c>
    </row>
    <row r="760" spans="1:9">
      <c r="A760" t="str">
        <f>"EU"</f>
        <v>EU</v>
      </c>
      <c r="B760" t="str">
        <f t="shared" si="53"/>
        <v>61612000</v>
      </c>
      <c r="C760" t="str">
        <f t="shared" si="50"/>
        <v>EU616120000</v>
      </c>
      <c r="E760">
        <v>769.41</v>
      </c>
      <c r="F760">
        <v>0</v>
      </c>
      <c r="G760">
        <f t="shared" si="51"/>
        <v>769.41</v>
      </c>
    </row>
    <row r="761" spans="1:9">
      <c r="A761" t="str">
        <f>"GRE"</f>
        <v>GRE</v>
      </c>
      <c r="B761" t="str">
        <f t="shared" si="53"/>
        <v>61612000</v>
      </c>
      <c r="C761" t="str">
        <f t="shared" si="50"/>
        <v>GRE616120000</v>
      </c>
      <c r="E761">
        <v>1992.24</v>
      </c>
      <c r="F761">
        <v>0</v>
      </c>
      <c r="G761">
        <f t="shared" si="51"/>
        <v>1992.24</v>
      </c>
      <c r="H761" s="433"/>
      <c r="I761" s="113"/>
    </row>
    <row r="762" spans="1:9">
      <c r="A762" t="str">
        <f>"LEN"</f>
        <v>LEN</v>
      </c>
      <c r="B762" t="str">
        <f t="shared" si="53"/>
        <v>61612000</v>
      </c>
      <c r="C762" t="str">
        <f t="shared" si="50"/>
        <v>LEN616120000</v>
      </c>
      <c r="E762">
        <v>487.51</v>
      </c>
      <c r="F762">
        <v>0</v>
      </c>
      <c r="G762">
        <f t="shared" si="51"/>
        <v>487.51</v>
      </c>
    </row>
    <row r="763" spans="1:9">
      <c r="A763" t="str">
        <f>"LIL"</f>
        <v>LIL</v>
      </c>
      <c r="B763" t="str">
        <f t="shared" si="53"/>
        <v>61612000</v>
      </c>
      <c r="C763" t="str">
        <f t="shared" si="50"/>
        <v>LIL616120000</v>
      </c>
      <c r="E763">
        <v>53.56</v>
      </c>
      <c r="F763">
        <v>0</v>
      </c>
      <c r="G763">
        <f t="shared" si="51"/>
        <v>53.56</v>
      </c>
    </row>
    <row r="764" spans="1:9">
      <c r="A764" t="str">
        <f>"MAD"</f>
        <v>MAD</v>
      </c>
      <c r="B764" t="str">
        <f t="shared" si="53"/>
        <v>61612000</v>
      </c>
      <c r="C764" t="str">
        <f t="shared" si="50"/>
        <v>MAD616120000</v>
      </c>
      <c r="E764">
        <v>504.38</v>
      </c>
      <c r="F764">
        <v>0</v>
      </c>
      <c r="G764">
        <f t="shared" si="51"/>
        <v>504.38</v>
      </c>
    </row>
    <row r="765" spans="1:9">
      <c r="A765" t="str">
        <f>"MAR"</f>
        <v>MAR</v>
      </c>
      <c r="B765" t="str">
        <f t="shared" si="53"/>
        <v>61612000</v>
      </c>
      <c r="C765" t="str">
        <f t="shared" si="50"/>
        <v>MAR616120000</v>
      </c>
      <c r="E765">
        <v>407.43</v>
      </c>
      <c r="F765">
        <v>0</v>
      </c>
      <c r="G765">
        <f t="shared" si="51"/>
        <v>407.43</v>
      </c>
    </row>
    <row r="766" spans="1:9">
      <c r="A766" t="str">
        <f>"MON"</f>
        <v>MON</v>
      </c>
      <c r="B766" t="str">
        <f t="shared" si="53"/>
        <v>61612000</v>
      </c>
      <c r="C766" t="str">
        <f t="shared" si="50"/>
        <v>MON616120000</v>
      </c>
      <c r="E766">
        <v>1543.13</v>
      </c>
      <c r="F766">
        <v>0</v>
      </c>
      <c r="G766">
        <f t="shared" si="51"/>
        <v>1543.13</v>
      </c>
    </row>
    <row r="767" spans="1:9">
      <c r="A767" t="str">
        <f>"NAN"</f>
        <v>NAN</v>
      </c>
      <c r="B767" t="str">
        <f t="shared" si="53"/>
        <v>61612000</v>
      </c>
      <c r="C767" t="str">
        <f t="shared" si="50"/>
        <v>NAN616120000</v>
      </c>
      <c r="E767">
        <v>1208.8599999999999</v>
      </c>
      <c r="F767">
        <v>0</v>
      </c>
      <c r="G767">
        <f t="shared" si="51"/>
        <v>1208.8599999999999</v>
      </c>
    </row>
    <row r="768" spans="1:9">
      <c r="A768" t="str">
        <f>"ORL"</f>
        <v>ORL</v>
      </c>
      <c r="B768" t="str">
        <f t="shared" si="53"/>
        <v>61612000</v>
      </c>
      <c r="C768" t="str">
        <f t="shared" si="50"/>
        <v>ORL616120000</v>
      </c>
      <c r="E768">
        <v>1578.83</v>
      </c>
      <c r="F768">
        <v>0</v>
      </c>
      <c r="G768">
        <f t="shared" si="51"/>
        <v>1578.83</v>
      </c>
    </row>
    <row r="769" spans="1:7">
      <c r="A769" t="str">
        <f>"REN"</f>
        <v>REN</v>
      </c>
      <c r="B769" t="str">
        <f t="shared" si="53"/>
        <v>61612000</v>
      </c>
      <c r="C769" t="str">
        <f t="shared" si="50"/>
        <v>REN616120000</v>
      </c>
      <c r="E769">
        <v>650.52</v>
      </c>
      <c r="F769">
        <v>0</v>
      </c>
      <c r="G769">
        <f t="shared" si="51"/>
        <v>650.52</v>
      </c>
    </row>
    <row r="770" spans="1:7">
      <c r="A770" t="str">
        <f>"ROA"</f>
        <v>ROA</v>
      </c>
      <c r="B770" t="str">
        <f t="shared" si="53"/>
        <v>61612000</v>
      </c>
      <c r="C770" t="str">
        <f t="shared" si="50"/>
        <v>ROA616120000</v>
      </c>
      <c r="E770">
        <v>1528.38</v>
      </c>
      <c r="F770">
        <v>0</v>
      </c>
      <c r="G770">
        <f t="shared" si="51"/>
        <v>1528.38</v>
      </c>
    </row>
    <row r="771" spans="1:7">
      <c r="A771" t="str">
        <f>"SAU"</f>
        <v>SAU</v>
      </c>
      <c r="B771" t="str">
        <f t="shared" si="53"/>
        <v>61612000</v>
      </c>
      <c r="C771" t="str">
        <f t="shared" ref="C771:C834" si="54">+A771&amp;B771*10</f>
        <v>SAU616120000</v>
      </c>
      <c r="E771">
        <v>472.5</v>
      </c>
      <c r="F771">
        <v>0</v>
      </c>
      <c r="G771">
        <f t="shared" ref="G771:G834" si="55">+E771-F771</f>
        <v>472.5</v>
      </c>
    </row>
    <row r="772" spans="1:7">
      <c r="A772" t="str">
        <f>"SOM"</f>
        <v>SOM</v>
      </c>
      <c r="B772" t="str">
        <f t="shared" si="53"/>
        <v>61612000</v>
      </c>
      <c r="C772" t="str">
        <f t="shared" si="54"/>
        <v>SOM616120000</v>
      </c>
      <c r="E772">
        <v>1391.73</v>
      </c>
      <c r="F772">
        <v>0</v>
      </c>
      <c r="G772">
        <f t="shared" si="55"/>
        <v>1391.73</v>
      </c>
    </row>
    <row r="773" spans="1:7">
      <c r="A773" t="str">
        <f>"THO"</f>
        <v>THO</v>
      </c>
      <c r="B773" t="str">
        <f t="shared" si="53"/>
        <v>61612000</v>
      </c>
      <c r="C773" t="str">
        <f t="shared" si="54"/>
        <v>THO616120000</v>
      </c>
      <c r="E773">
        <v>1047.42</v>
      </c>
      <c r="F773">
        <v>0</v>
      </c>
      <c r="G773">
        <f t="shared" si="55"/>
        <v>1047.42</v>
      </c>
    </row>
    <row r="774" spans="1:7">
      <c r="A774" t="str">
        <f>"TOURC"</f>
        <v>TOURC</v>
      </c>
      <c r="B774" t="str">
        <f t="shared" si="53"/>
        <v>61612000</v>
      </c>
      <c r="C774" t="str">
        <f t="shared" si="54"/>
        <v>TOURC616120000</v>
      </c>
      <c r="E774">
        <v>382.56</v>
      </c>
      <c r="F774">
        <v>0</v>
      </c>
      <c r="G774">
        <f t="shared" si="55"/>
        <v>382.56</v>
      </c>
    </row>
    <row r="775" spans="1:7">
      <c r="A775" t="str">
        <f>"VAN"</f>
        <v>VAN</v>
      </c>
      <c r="B775" t="str">
        <f t="shared" si="53"/>
        <v>61612000</v>
      </c>
      <c r="C775" t="str">
        <f t="shared" si="54"/>
        <v>VAN616120000</v>
      </c>
      <c r="E775">
        <v>628.48</v>
      </c>
      <c r="F775">
        <v>0</v>
      </c>
      <c r="G775">
        <f t="shared" si="55"/>
        <v>628.48</v>
      </c>
    </row>
    <row r="776" spans="1:7">
      <c r="A776" t="str">
        <f>"AMI"</f>
        <v>AMI</v>
      </c>
      <c r="B776" t="str">
        <f t="shared" ref="B776:B807" si="56">"61613000"</f>
        <v>61613000</v>
      </c>
      <c r="C776" t="str">
        <f t="shared" si="54"/>
        <v>AMI616130000</v>
      </c>
      <c r="E776">
        <v>2030.4</v>
      </c>
      <c r="F776">
        <v>0</v>
      </c>
      <c r="G776">
        <f t="shared" si="55"/>
        <v>2030.4</v>
      </c>
    </row>
    <row r="777" spans="1:7">
      <c r="A777" t="str">
        <f>"ANG"</f>
        <v>ANG</v>
      </c>
      <c r="B777" t="str">
        <f t="shared" si="56"/>
        <v>61613000</v>
      </c>
      <c r="C777" t="str">
        <f t="shared" si="54"/>
        <v>ANG616130000</v>
      </c>
      <c r="E777">
        <v>2299.5</v>
      </c>
      <c r="F777">
        <v>0</v>
      </c>
      <c r="G777">
        <f t="shared" si="55"/>
        <v>2299.5</v>
      </c>
    </row>
    <row r="778" spans="1:7">
      <c r="A778" t="str">
        <f>"BET"</f>
        <v>BET</v>
      </c>
      <c r="B778" t="str">
        <f t="shared" si="56"/>
        <v>61613000</v>
      </c>
      <c r="C778" t="str">
        <f t="shared" si="54"/>
        <v>BET616130000</v>
      </c>
      <c r="E778">
        <v>1784.88</v>
      </c>
      <c r="F778">
        <v>0</v>
      </c>
      <c r="G778">
        <f t="shared" si="55"/>
        <v>1784.88</v>
      </c>
    </row>
    <row r="779" spans="1:7">
      <c r="A779" t="str">
        <f>"BOI"</f>
        <v>BOI</v>
      </c>
      <c r="B779" t="str">
        <f t="shared" si="56"/>
        <v>61613000</v>
      </c>
      <c r="C779" t="str">
        <f t="shared" si="54"/>
        <v>BOI616130000</v>
      </c>
      <c r="E779">
        <v>1394.28</v>
      </c>
      <c r="F779">
        <v>0</v>
      </c>
      <c r="G779">
        <f t="shared" si="55"/>
        <v>1394.28</v>
      </c>
    </row>
    <row r="780" spans="1:7">
      <c r="A780" t="str">
        <f>"BOS"</f>
        <v>BOS</v>
      </c>
      <c r="B780" t="str">
        <f t="shared" si="56"/>
        <v>61613000</v>
      </c>
      <c r="C780" t="str">
        <f t="shared" si="54"/>
        <v>BOS616130000</v>
      </c>
      <c r="E780">
        <v>2669.94</v>
      </c>
      <c r="F780">
        <v>0</v>
      </c>
      <c r="G780">
        <f t="shared" si="55"/>
        <v>2669.94</v>
      </c>
    </row>
    <row r="781" spans="1:7">
      <c r="A781" t="str">
        <f>"BOU"</f>
        <v>BOU</v>
      </c>
      <c r="B781" t="str">
        <f t="shared" si="56"/>
        <v>61613000</v>
      </c>
      <c r="C781" t="str">
        <f t="shared" si="54"/>
        <v>BOU616130000</v>
      </c>
      <c r="E781">
        <v>2722.59</v>
      </c>
      <c r="F781">
        <v>0</v>
      </c>
      <c r="G781">
        <f t="shared" si="55"/>
        <v>2722.59</v>
      </c>
    </row>
    <row r="782" spans="1:7">
      <c r="A782" t="str">
        <f>"CAL"</f>
        <v>CAL</v>
      </c>
      <c r="B782" t="str">
        <f t="shared" si="56"/>
        <v>61613000</v>
      </c>
      <c r="C782" t="str">
        <f t="shared" si="54"/>
        <v>CAL616130000</v>
      </c>
      <c r="E782">
        <v>1853.73</v>
      </c>
      <c r="F782">
        <v>0</v>
      </c>
      <c r="G782">
        <f t="shared" si="55"/>
        <v>1853.73</v>
      </c>
    </row>
    <row r="783" spans="1:7">
      <c r="A783" t="str">
        <f>"CAM"</f>
        <v>CAM</v>
      </c>
      <c r="B783" t="str">
        <f t="shared" si="56"/>
        <v>61613000</v>
      </c>
      <c r="C783" t="str">
        <f t="shared" si="54"/>
        <v>CAM616130000</v>
      </c>
      <c r="E783">
        <v>1973.52</v>
      </c>
      <c r="F783">
        <v>0</v>
      </c>
      <c r="G783">
        <f t="shared" si="55"/>
        <v>1973.52</v>
      </c>
    </row>
    <row r="784" spans="1:7">
      <c r="A784" t="str">
        <f>"CAU"</f>
        <v>CAU</v>
      </c>
      <c r="B784" t="str">
        <f t="shared" si="56"/>
        <v>61613000</v>
      </c>
      <c r="C784" t="str">
        <f t="shared" si="54"/>
        <v>CAU616130000</v>
      </c>
      <c r="E784">
        <v>2081.9699999999998</v>
      </c>
      <c r="F784">
        <v>0</v>
      </c>
      <c r="G784">
        <f t="shared" si="55"/>
        <v>2081.9699999999998</v>
      </c>
    </row>
    <row r="785" spans="1:9">
      <c r="A785" t="str">
        <f>"CHA"</f>
        <v>CHA</v>
      </c>
      <c r="B785" t="str">
        <f t="shared" si="56"/>
        <v>61613000</v>
      </c>
      <c r="C785" t="str">
        <f t="shared" si="54"/>
        <v>CHA616130000</v>
      </c>
      <c r="E785">
        <v>1720.08</v>
      </c>
      <c r="F785">
        <v>0</v>
      </c>
      <c r="G785">
        <f t="shared" si="55"/>
        <v>1720.08</v>
      </c>
    </row>
    <row r="786" spans="1:9">
      <c r="A786" t="str">
        <f>"CHAM"</f>
        <v>CHAM</v>
      </c>
      <c r="B786" t="str">
        <f t="shared" si="56"/>
        <v>61613000</v>
      </c>
      <c r="C786" t="str">
        <f t="shared" si="54"/>
        <v>CHAM616130000</v>
      </c>
      <c r="E786">
        <v>2323.62</v>
      </c>
      <c r="F786">
        <v>0</v>
      </c>
      <c r="G786">
        <f t="shared" si="55"/>
        <v>2323.62</v>
      </c>
    </row>
    <row r="787" spans="1:9">
      <c r="A787" t="str">
        <f>"CHART"</f>
        <v>CHART</v>
      </c>
      <c r="B787" t="str">
        <f t="shared" si="56"/>
        <v>61613000</v>
      </c>
      <c r="C787" t="str">
        <f t="shared" si="54"/>
        <v>CHART616130000</v>
      </c>
      <c r="E787">
        <v>2019.6</v>
      </c>
      <c r="F787">
        <v>0</v>
      </c>
      <c r="G787">
        <f t="shared" si="55"/>
        <v>2019.6</v>
      </c>
      <c r="H787" s="433"/>
      <c r="I787" s="113"/>
    </row>
    <row r="788" spans="1:9">
      <c r="A788" t="str">
        <f>"CLE"</f>
        <v>CLE</v>
      </c>
      <c r="B788" t="str">
        <f t="shared" si="56"/>
        <v>61613000</v>
      </c>
      <c r="C788" t="str">
        <f t="shared" si="54"/>
        <v>CLE616130000</v>
      </c>
      <c r="E788">
        <v>2999.97</v>
      </c>
      <c r="F788">
        <v>0</v>
      </c>
      <c r="G788">
        <f t="shared" si="55"/>
        <v>2999.97</v>
      </c>
    </row>
    <row r="789" spans="1:9">
      <c r="A789" t="str">
        <f>"COM"</f>
        <v>COM</v>
      </c>
      <c r="B789" t="str">
        <f t="shared" si="56"/>
        <v>61613000</v>
      </c>
      <c r="C789" t="str">
        <f t="shared" si="54"/>
        <v>COM616130000</v>
      </c>
      <c r="E789">
        <v>2133.63</v>
      </c>
      <c r="F789">
        <v>0</v>
      </c>
      <c r="G789">
        <f t="shared" si="55"/>
        <v>2133.63</v>
      </c>
    </row>
    <row r="790" spans="1:9">
      <c r="A790" t="str">
        <f>"CST"</f>
        <v>CST</v>
      </c>
      <c r="B790" t="str">
        <f t="shared" si="56"/>
        <v>61613000</v>
      </c>
      <c r="C790" t="str">
        <f t="shared" si="54"/>
        <v>CST616130000</v>
      </c>
      <c r="E790">
        <v>1744.02</v>
      </c>
      <c r="F790">
        <v>0</v>
      </c>
      <c r="G790">
        <f t="shared" si="55"/>
        <v>1744.02</v>
      </c>
    </row>
    <row r="791" spans="1:9">
      <c r="A791" t="str">
        <f>"DIJ"</f>
        <v>DIJ</v>
      </c>
      <c r="B791" t="str">
        <f t="shared" si="56"/>
        <v>61613000</v>
      </c>
      <c r="C791" t="str">
        <f t="shared" si="54"/>
        <v>DIJ616130000</v>
      </c>
      <c r="E791">
        <v>900</v>
      </c>
      <c r="F791">
        <v>0</v>
      </c>
      <c r="G791">
        <f t="shared" si="55"/>
        <v>900</v>
      </c>
    </row>
    <row r="792" spans="1:9">
      <c r="A792" t="str">
        <f>"EU"</f>
        <v>EU</v>
      </c>
      <c r="B792" t="str">
        <f t="shared" si="56"/>
        <v>61613000</v>
      </c>
      <c r="C792" t="str">
        <f t="shared" si="54"/>
        <v>EU616130000</v>
      </c>
      <c r="E792">
        <v>4338.18</v>
      </c>
      <c r="F792">
        <v>0</v>
      </c>
      <c r="G792">
        <f t="shared" si="55"/>
        <v>4338.18</v>
      </c>
    </row>
    <row r="793" spans="1:9">
      <c r="A793" t="str">
        <f>"GRE"</f>
        <v>GRE</v>
      </c>
      <c r="B793" t="str">
        <f t="shared" si="56"/>
        <v>61613000</v>
      </c>
      <c r="C793" t="str">
        <f t="shared" si="54"/>
        <v>GRE616130000</v>
      </c>
      <c r="E793">
        <v>2807.82</v>
      </c>
      <c r="F793">
        <v>0</v>
      </c>
      <c r="G793">
        <f t="shared" si="55"/>
        <v>2807.82</v>
      </c>
    </row>
    <row r="794" spans="1:9">
      <c r="A794" t="str">
        <f>"LEN"</f>
        <v>LEN</v>
      </c>
      <c r="B794" t="str">
        <f t="shared" si="56"/>
        <v>61613000</v>
      </c>
      <c r="C794" t="str">
        <f t="shared" si="54"/>
        <v>LEN616130000</v>
      </c>
      <c r="E794">
        <v>1680.3</v>
      </c>
      <c r="F794">
        <v>0</v>
      </c>
      <c r="G794">
        <f t="shared" si="55"/>
        <v>1680.3</v>
      </c>
    </row>
    <row r="795" spans="1:9">
      <c r="A795" t="str">
        <f>"LIL"</f>
        <v>LIL</v>
      </c>
      <c r="B795" t="str">
        <f t="shared" si="56"/>
        <v>61613000</v>
      </c>
      <c r="C795" t="str">
        <f t="shared" si="54"/>
        <v>LIL616130000</v>
      </c>
      <c r="E795">
        <v>5250.06</v>
      </c>
      <c r="F795">
        <v>0</v>
      </c>
      <c r="G795">
        <f t="shared" si="55"/>
        <v>5250.06</v>
      </c>
    </row>
    <row r="796" spans="1:9">
      <c r="A796" t="str">
        <f>"MAD"</f>
        <v>MAD</v>
      </c>
      <c r="B796" t="str">
        <f t="shared" si="56"/>
        <v>61613000</v>
      </c>
      <c r="C796" t="str">
        <f t="shared" si="54"/>
        <v>MAD616130000</v>
      </c>
      <c r="E796">
        <v>2084.7600000000002</v>
      </c>
      <c r="F796">
        <v>0</v>
      </c>
      <c r="G796">
        <f t="shared" si="55"/>
        <v>2084.7600000000002</v>
      </c>
    </row>
    <row r="797" spans="1:9">
      <c r="A797" t="str">
        <f>"MAR"</f>
        <v>MAR</v>
      </c>
      <c r="B797" t="str">
        <f t="shared" si="56"/>
        <v>61613000</v>
      </c>
      <c r="C797" t="str">
        <f t="shared" si="54"/>
        <v>MAR616130000</v>
      </c>
      <c r="E797">
        <v>1502.01</v>
      </c>
      <c r="F797">
        <v>0</v>
      </c>
      <c r="G797">
        <f t="shared" si="55"/>
        <v>1502.01</v>
      </c>
    </row>
    <row r="798" spans="1:9">
      <c r="A798" t="str">
        <f>"MON"</f>
        <v>MON</v>
      </c>
      <c r="B798" t="str">
        <f t="shared" si="56"/>
        <v>61613000</v>
      </c>
      <c r="C798" t="str">
        <f t="shared" si="54"/>
        <v>MON616130000</v>
      </c>
      <c r="E798">
        <v>2542.41</v>
      </c>
      <c r="F798">
        <v>0</v>
      </c>
      <c r="G798">
        <f t="shared" si="55"/>
        <v>2542.41</v>
      </c>
    </row>
    <row r="799" spans="1:9">
      <c r="A799" t="str">
        <f>"NAN"</f>
        <v>NAN</v>
      </c>
      <c r="B799" t="str">
        <f t="shared" si="56"/>
        <v>61613000</v>
      </c>
      <c r="C799" t="str">
        <f t="shared" si="54"/>
        <v>NAN616130000</v>
      </c>
      <c r="E799">
        <v>4114.99</v>
      </c>
      <c r="F799">
        <v>0</v>
      </c>
      <c r="G799">
        <f t="shared" si="55"/>
        <v>4114.99</v>
      </c>
      <c r="H799" s="433"/>
      <c r="I799" s="113"/>
    </row>
    <row r="800" spans="1:9">
      <c r="A800" t="str">
        <f>"ORL"</f>
        <v>ORL</v>
      </c>
      <c r="B800" t="str">
        <f t="shared" si="56"/>
        <v>61613000</v>
      </c>
      <c r="C800" t="str">
        <f t="shared" si="54"/>
        <v>ORL616130000</v>
      </c>
      <c r="E800">
        <v>2250</v>
      </c>
      <c r="F800">
        <v>0</v>
      </c>
      <c r="G800">
        <f t="shared" si="55"/>
        <v>2250</v>
      </c>
    </row>
    <row r="801" spans="1:7">
      <c r="A801" t="str">
        <f>"REN"</f>
        <v>REN</v>
      </c>
      <c r="B801" t="str">
        <f t="shared" si="56"/>
        <v>61613000</v>
      </c>
      <c r="C801" t="str">
        <f t="shared" si="54"/>
        <v>REN616130000</v>
      </c>
      <c r="E801">
        <v>2007.45</v>
      </c>
      <c r="F801">
        <v>0</v>
      </c>
      <c r="G801">
        <f t="shared" si="55"/>
        <v>2007.45</v>
      </c>
    </row>
    <row r="802" spans="1:7">
      <c r="A802" t="str">
        <f>"ROA"</f>
        <v>ROA</v>
      </c>
      <c r="B802" t="str">
        <f t="shared" si="56"/>
        <v>61613000</v>
      </c>
      <c r="C802" t="str">
        <f t="shared" si="54"/>
        <v>ROA616130000</v>
      </c>
      <c r="E802">
        <v>3437.75</v>
      </c>
      <c r="F802">
        <v>0</v>
      </c>
      <c r="G802">
        <f t="shared" si="55"/>
        <v>3437.75</v>
      </c>
    </row>
    <row r="803" spans="1:7">
      <c r="A803" t="str">
        <f>"SAU"</f>
        <v>SAU</v>
      </c>
      <c r="B803" t="str">
        <f t="shared" si="56"/>
        <v>61613000</v>
      </c>
      <c r="C803" t="str">
        <f t="shared" si="54"/>
        <v>SAU616130000</v>
      </c>
      <c r="E803">
        <v>1837.17</v>
      </c>
      <c r="F803">
        <v>0</v>
      </c>
      <c r="G803">
        <f t="shared" si="55"/>
        <v>1837.17</v>
      </c>
    </row>
    <row r="804" spans="1:7">
      <c r="A804" t="str">
        <f>"SOM"</f>
        <v>SOM</v>
      </c>
      <c r="B804" t="str">
        <f t="shared" si="56"/>
        <v>61613000</v>
      </c>
      <c r="C804" t="str">
        <f t="shared" si="54"/>
        <v>SOM616130000</v>
      </c>
      <c r="E804">
        <v>2250</v>
      </c>
      <c r="F804">
        <v>0</v>
      </c>
      <c r="G804">
        <f t="shared" si="55"/>
        <v>2250</v>
      </c>
    </row>
    <row r="805" spans="1:7">
      <c r="A805" t="str">
        <f>"THO"</f>
        <v>THO</v>
      </c>
      <c r="B805" t="str">
        <f t="shared" si="56"/>
        <v>61613000</v>
      </c>
      <c r="C805" t="str">
        <f t="shared" si="54"/>
        <v>THO616130000</v>
      </c>
      <c r="E805">
        <v>1937.34</v>
      </c>
      <c r="F805">
        <v>0</v>
      </c>
      <c r="G805">
        <f t="shared" si="55"/>
        <v>1937.34</v>
      </c>
    </row>
    <row r="806" spans="1:7">
      <c r="A806" t="str">
        <f>"TOURC"</f>
        <v>TOURC</v>
      </c>
      <c r="B806" t="str">
        <f t="shared" si="56"/>
        <v>61613000</v>
      </c>
      <c r="C806" t="str">
        <f t="shared" si="54"/>
        <v>TOURC616130000</v>
      </c>
      <c r="E806">
        <v>2556.4499999999998</v>
      </c>
      <c r="F806">
        <v>0</v>
      </c>
      <c r="G806">
        <f t="shared" si="55"/>
        <v>2556.4499999999998</v>
      </c>
    </row>
    <row r="807" spans="1:7">
      <c r="A807" t="str">
        <f>"VAN"</f>
        <v>VAN</v>
      </c>
      <c r="B807" t="str">
        <f t="shared" si="56"/>
        <v>61613000</v>
      </c>
      <c r="C807" t="str">
        <f t="shared" si="54"/>
        <v>VAN616130000</v>
      </c>
      <c r="E807">
        <v>2145.2399999999998</v>
      </c>
      <c r="F807">
        <v>0</v>
      </c>
      <c r="G807">
        <f t="shared" si="55"/>
        <v>2145.2399999999998</v>
      </c>
    </row>
    <row r="808" spans="1:7">
      <c r="A808" t="str">
        <f>"LIL"</f>
        <v>LIL</v>
      </c>
      <c r="B808" t="str">
        <f>"61614000"</f>
        <v>61614000</v>
      </c>
      <c r="C808" t="str">
        <f t="shared" si="54"/>
        <v>LIL616140000</v>
      </c>
      <c r="E808">
        <v>45749.97</v>
      </c>
      <c r="F808">
        <v>0</v>
      </c>
      <c r="G808">
        <f t="shared" si="55"/>
        <v>45749.97</v>
      </c>
    </row>
    <row r="809" spans="1:7">
      <c r="A809" t="str">
        <f>"AMI"</f>
        <v>AMI</v>
      </c>
      <c r="B809" t="str">
        <f t="shared" ref="B809:B828" si="57">"61810000"</f>
        <v>61810000</v>
      </c>
      <c r="C809" t="str">
        <f t="shared" si="54"/>
        <v>AMI618100000</v>
      </c>
      <c r="E809">
        <v>132.61000000000001</v>
      </c>
      <c r="F809">
        <v>0</v>
      </c>
      <c r="G809">
        <f t="shared" si="55"/>
        <v>132.61000000000001</v>
      </c>
    </row>
    <row r="810" spans="1:7">
      <c r="A810" t="str">
        <f>"BET"</f>
        <v>BET</v>
      </c>
      <c r="B810" t="str">
        <f t="shared" si="57"/>
        <v>61810000</v>
      </c>
      <c r="C810" t="str">
        <f t="shared" si="54"/>
        <v>BET618100000</v>
      </c>
      <c r="E810">
        <v>114.65</v>
      </c>
      <c r="F810">
        <v>0</v>
      </c>
      <c r="G810">
        <f t="shared" si="55"/>
        <v>114.65</v>
      </c>
    </row>
    <row r="811" spans="1:7">
      <c r="A811" t="str">
        <f>"BOU"</f>
        <v>BOU</v>
      </c>
      <c r="B811" t="str">
        <f t="shared" si="57"/>
        <v>61810000</v>
      </c>
      <c r="C811" t="str">
        <f t="shared" si="54"/>
        <v>BOU618100000</v>
      </c>
      <c r="E811">
        <v>269.36</v>
      </c>
      <c r="F811">
        <v>0</v>
      </c>
      <c r="G811">
        <f t="shared" si="55"/>
        <v>269.36</v>
      </c>
    </row>
    <row r="812" spans="1:7">
      <c r="A812" t="str">
        <f>"CAM"</f>
        <v>CAM</v>
      </c>
      <c r="B812" t="str">
        <f t="shared" si="57"/>
        <v>61810000</v>
      </c>
      <c r="C812" t="str">
        <f t="shared" si="54"/>
        <v>CAM618100000</v>
      </c>
      <c r="E812">
        <v>248.9</v>
      </c>
      <c r="F812">
        <v>0</v>
      </c>
      <c r="G812">
        <f t="shared" si="55"/>
        <v>248.9</v>
      </c>
    </row>
    <row r="813" spans="1:7">
      <c r="A813" t="str">
        <f>"CAU"</f>
        <v>CAU</v>
      </c>
      <c r="B813" t="str">
        <f t="shared" si="57"/>
        <v>61810000</v>
      </c>
      <c r="C813" t="str">
        <f t="shared" si="54"/>
        <v>CAU618100000</v>
      </c>
      <c r="E813">
        <v>347.34</v>
      </c>
      <c r="F813">
        <v>0</v>
      </c>
      <c r="G813">
        <f t="shared" si="55"/>
        <v>347.34</v>
      </c>
    </row>
    <row r="814" spans="1:7">
      <c r="A814" t="str">
        <f>"CHA"</f>
        <v>CHA</v>
      </c>
      <c r="B814" t="str">
        <f t="shared" si="57"/>
        <v>61810000</v>
      </c>
      <c r="C814" t="str">
        <f t="shared" si="54"/>
        <v>CHA618100000</v>
      </c>
      <c r="E814">
        <v>263.91000000000003</v>
      </c>
      <c r="F814">
        <v>0</v>
      </c>
      <c r="G814">
        <f t="shared" si="55"/>
        <v>263.91000000000003</v>
      </c>
    </row>
    <row r="815" spans="1:7">
      <c r="A815" t="str">
        <f>"CHART"</f>
        <v>CHART</v>
      </c>
      <c r="B815" t="str">
        <f t="shared" si="57"/>
        <v>61810000</v>
      </c>
      <c r="C815" t="str">
        <f t="shared" si="54"/>
        <v>CHART618100000</v>
      </c>
      <c r="E815">
        <v>208.69</v>
      </c>
      <c r="F815">
        <v>0</v>
      </c>
      <c r="G815">
        <f t="shared" si="55"/>
        <v>208.69</v>
      </c>
    </row>
    <row r="816" spans="1:7">
      <c r="A816" t="str">
        <f>"CLE"</f>
        <v>CLE</v>
      </c>
      <c r="B816" t="str">
        <f t="shared" si="57"/>
        <v>61810000</v>
      </c>
      <c r="C816" t="str">
        <f t="shared" si="54"/>
        <v>CLE618100000</v>
      </c>
      <c r="E816">
        <v>296</v>
      </c>
      <c r="F816">
        <v>0</v>
      </c>
      <c r="G816">
        <f t="shared" si="55"/>
        <v>296</v>
      </c>
    </row>
    <row r="817" spans="1:10">
      <c r="A817" t="str">
        <f>"DIJ"</f>
        <v>DIJ</v>
      </c>
      <c r="B817" t="str">
        <f t="shared" si="57"/>
        <v>61810000</v>
      </c>
      <c r="C817" t="str">
        <f t="shared" si="54"/>
        <v>DIJ618100000</v>
      </c>
      <c r="E817">
        <v>306</v>
      </c>
      <c r="F817">
        <v>0</v>
      </c>
      <c r="G817">
        <f t="shared" si="55"/>
        <v>306</v>
      </c>
    </row>
    <row r="818" spans="1:10">
      <c r="A818" t="str">
        <f>"GRE"</f>
        <v>GRE</v>
      </c>
      <c r="B818" t="str">
        <f t="shared" si="57"/>
        <v>61810000</v>
      </c>
      <c r="C818" t="str">
        <f t="shared" si="54"/>
        <v>GRE618100000</v>
      </c>
      <c r="E818">
        <v>65</v>
      </c>
      <c r="F818">
        <v>0</v>
      </c>
      <c r="G818">
        <f t="shared" si="55"/>
        <v>65</v>
      </c>
    </row>
    <row r="819" spans="1:10">
      <c r="A819" t="str">
        <f>"LEN"</f>
        <v>LEN</v>
      </c>
      <c r="B819" t="str">
        <f t="shared" si="57"/>
        <v>61810000</v>
      </c>
      <c r="C819" t="str">
        <f t="shared" si="54"/>
        <v>LEN618100000</v>
      </c>
      <c r="E819">
        <v>61.05</v>
      </c>
      <c r="F819">
        <v>0</v>
      </c>
      <c r="G819">
        <f t="shared" si="55"/>
        <v>61.05</v>
      </c>
      <c r="J819" s="26"/>
    </row>
    <row r="820" spans="1:10">
      <c r="A820" t="str">
        <f>"LIL"</f>
        <v>LIL</v>
      </c>
      <c r="B820" t="str">
        <f t="shared" si="57"/>
        <v>61810000</v>
      </c>
      <c r="C820" t="str">
        <f t="shared" si="54"/>
        <v>LIL618100000</v>
      </c>
      <c r="E820">
        <v>808.79</v>
      </c>
      <c r="F820">
        <v>0</v>
      </c>
      <c r="G820">
        <f t="shared" si="55"/>
        <v>808.79</v>
      </c>
    </row>
    <row r="821" spans="1:10">
      <c r="A821" t="str">
        <f>"MAD"</f>
        <v>MAD</v>
      </c>
      <c r="B821" t="str">
        <f t="shared" si="57"/>
        <v>61810000</v>
      </c>
      <c r="C821" t="str">
        <f t="shared" si="54"/>
        <v>MAD618100000</v>
      </c>
      <c r="E821">
        <v>206</v>
      </c>
      <c r="F821">
        <v>0</v>
      </c>
      <c r="G821">
        <f t="shared" si="55"/>
        <v>206</v>
      </c>
    </row>
    <row r="822" spans="1:10">
      <c r="A822" t="str">
        <f>"MON"</f>
        <v>MON</v>
      </c>
      <c r="B822" t="str">
        <f t="shared" si="57"/>
        <v>61810000</v>
      </c>
      <c r="C822" t="str">
        <f t="shared" si="54"/>
        <v>MON618100000</v>
      </c>
      <c r="E822">
        <v>189.02</v>
      </c>
      <c r="F822">
        <v>-24.4</v>
      </c>
      <c r="G822">
        <f t="shared" si="55"/>
        <v>213.42000000000002</v>
      </c>
    </row>
    <row r="823" spans="1:10">
      <c r="A823" t="str">
        <f>"NAN"</f>
        <v>NAN</v>
      </c>
      <c r="B823" t="str">
        <f t="shared" si="57"/>
        <v>61810000</v>
      </c>
      <c r="C823" t="str">
        <f t="shared" si="54"/>
        <v>NAN618100000</v>
      </c>
      <c r="E823">
        <v>296.97000000000003</v>
      </c>
      <c r="F823">
        <v>0</v>
      </c>
      <c r="G823">
        <f t="shared" si="55"/>
        <v>296.97000000000003</v>
      </c>
    </row>
    <row r="824" spans="1:10">
      <c r="A824" t="str">
        <f>"ORL"</f>
        <v>ORL</v>
      </c>
      <c r="B824" t="str">
        <f t="shared" si="57"/>
        <v>61810000</v>
      </c>
      <c r="C824" t="str">
        <f t="shared" si="54"/>
        <v>ORL618100000</v>
      </c>
      <c r="E824">
        <v>244.86</v>
      </c>
      <c r="F824">
        <v>0</v>
      </c>
      <c r="G824">
        <f t="shared" si="55"/>
        <v>244.86</v>
      </c>
    </row>
    <row r="825" spans="1:10">
      <c r="A825" t="str">
        <f>"ROA"</f>
        <v>ROA</v>
      </c>
      <c r="B825" t="str">
        <f t="shared" si="57"/>
        <v>61810000</v>
      </c>
      <c r="C825" t="str">
        <f t="shared" si="54"/>
        <v>ROA618100000</v>
      </c>
      <c r="E825">
        <v>245.49</v>
      </c>
      <c r="F825">
        <v>0</v>
      </c>
      <c r="G825">
        <f t="shared" si="55"/>
        <v>245.49</v>
      </c>
    </row>
    <row r="826" spans="1:10">
      <c r="A826" t="str">
        <f>"THO"</f>
        <v>THO</v>
      </c>
      <c r="B826" t="str">
        <f t="shared" si="57"/>
        <v>61810000</v>
      </c>
      <c r="C826" t="str">
        <f t="shared" si="54"/>
        <v>THO618100000</v>
      </c>
      <c r="E826">
        <v>111.66</v>
      </c>
      <c r="F826">
        <v>0</v>
      </c>
      <c r="G826">
        <f t="shared" si="55"/>
        <v>111.66</v>
      </c>
    </row>
    <row r="827" spans="1:10">
      <c r="A827" t="str">
        <f>"TOURC"</f>
        <v>TOURC</v>
      </c>
      <c r="B827" t="str">
        <f t="shared" si="57"/>
        <v>61810000</v>
      </c>
      <c r="C827" t="str">
        <f t="shared" si="54"/>
        <v>TOURC618100000</v>
      </c>
      <c r="E827">
        <v>170.4</v>
      </c>
      <c r="F827">
        <v>0</v>
      </c>
      <c r="G827">
        <f t="shared" si="55"/>
        <v>170.4</v>
      </c>
    </row>
    <row r="828" spans="1:10">
      <c r="A828" t="str">
        <f>"VAN"</f>
        <v>VAN</v>
      </c>
      <c r="B828" t="str">
        <f t="shared" si="57"/>
        <v>61810000</v>
      </c>
      <c r="C828" t="str">
        <f t="shared" si="54"/>
        <v>VAN618100000</v>
      </c>
      <c r="E828">
        <v>173.99</v>
      </c>
      <c r="F828">
        <v>0</v>
      </c>
      <c r="G828">
        <f t="shared" si="55"/>
        <v>173.99</v>
      </c>
    </row>
    <row r="829" spans="1:10">
      <c r="A829" t="str">
        <f>"AMI"</f>
        <v>AMI</v>
      </c>
      <c r="B829" t="str">
        <f t="shared" ref="B829:B860" si="58">"61850000"</f>
        <v>61850000</v>
      </c>
      <c r="C829" t="str">
        <f t="shared" si="54"/>
        <v>AMI618500000</v>
      </c>
      <c r="E829">
        <v>1978.38</v>
      </c>
      <c r="F829">
        <v>0</v>
      </c>
      <c r="G829">
        <f t="shared" si="55"/>
        <v>1978.38</v>
      </c>
    </row>
    <row r="830" spans="1:10">
      <c r="A830" t="str">
        <f>"ANG"</f>
        <v>ANG</v>
      </c>
      <c r="B830" t="str">
        <f t="shared" si="58"/>
        <v>61850000</v>
      </c>
      <c r="C830" t="str">
        <f t="shared" si="54"/>
        <v>ANG618500000</v>
      </c>
      <c r="E830">
        <v>1597.85</v>
      </c>
      <c r="F830">
        <v>0</v>
      </c>
      <c r="G830">
        <f t="shared" si="55"/>
        <v>1597.85</v>
      </c>
    </row>
    <row r="831" spans="1:10">
      <c r="A831" t="str">
        <f>"BET"</f>
        <v>BET</v>
      </c>
      <c r="B831" t="str">
        <f t="shared" si="58"/>
        <v>61850000</v>
      </c>
      <c r="C831" t="str">
        <f t="shared" si="54"/>
        <v>BET618500000</v>
      </c>
      <c r="E831">
        <v>49.85</v>
      </c>
      <c r="F831">
        <v>0</v>
      </c>
      <c r="G831">
        <f t="shared" si="55"/>
        <v>49.85</v>
      </c>
    </row>
    <row r="832" spans="1:10">
      <c r="A832" t="str">
        <f>"BOI"</f>
        <v>BOI</v>
      </c>
      <c r="B832" t="str">
        <f t="shared" si="58"/>
        <v>61850000</v>
      </c>
      <c r="C832" t="str">
        <f t="shared" si="54"/>
        <v>BOI618500000</v>
      </c>
      <c r="E832">
        <v>0</v>
      </c>
      <c r="F832">
        <v>0</v>
      </c>
      <c r="G832">
        <f t="shared" si="55"/>
        <v>0</v>
      </c>
    </row>
    <row r="833" spans="1:7">
      <c r="A833" t="str">
        <f>"BOS"</f>
        <v>BOS</v>
      </c>
      <c r="B833" t="str">
        <f t="shared" si="58"/>
        <v>61850000</v>
      </c>
      <c r="C833" t="str">
        <f t="shared" si="54"/>
        <v>BOS618500000</v>
      </c>
      <c r="E833">
        <v>770.88</v>
      </c>
      <c r="F833">
        <v>0</v>
      </c>
      <c r="G833">
        <f t="shared" si="55"/>
        <v>770.88</v>
      </c>
    </row>
    <row r="834" spans="1:7">
      <c r="A834" t="str">
        <f>"BOU"</f>
        <v>BOU</v>
      </c>
      <c r="B834" t="str">
        <f t="shared" si="58"/>
        <v>61850000</v>
      </c>
      <c r="C834" t="str">
        <f t="shared" si="54"/>
        <v>BOU618500000</v>
      </c>
      <c r="E834">
        <v>1563.62</v>
      </c>
      <c r="F834">
        <v>0</v>
      </c>
      <c r="G834">
        <f t="shared" si="55"/>
        <v>1563.62</v>
      </c>
    </row>
    <row r="835" spans="1:7">
      <c r="A835" t="str">
        <f>"CAL"</f>
        <v>CAL</v>
      </c>
      <c r="B835" t="str">
        <f t="shared" si="58"/>
        <v>61850000</v>
      </c>
      <c r="C835" t="str">
        <f t="shared" ref="C835:C898" si="59">+A835&amp;B835*10</f>
        <v>CAL618500000</v>
      </c>
      <c r="E835">
        <v>308.49</v>
      </c>
      <c r="F835">
        <v>0</v>
      </c>
      <c r="G835">
        <f t="shared" ref="G835:G898" si="60">+E835-F835</f>
        <v>308.49</v>
      </c>
    </row>
    <row r="836" spans="1:7">
      <c r="A836" t="str">
        <f>"CAM"</f>
        <v>CAM</v>
      </c>
      <c r="B836" t="str">
        <f t="shared" si="58"/>
        <v>61850000</v>
      </c>
      <c r="C836" t="str">
        <f t="shared" si="59"/>
        <v>CAM618500000</v>
      </c>
      <c r="E836">
        <v>861.69</v>
      </c>
      <c r="F836">
        <v>0</v>
      </c>
      <c r="G836">
        <f t="shared" si="60"/>
        <v>861.69</v>
      </c>
    </row>
    <row r="837" spans="1:7">
      <c r="A837" t="str">
        <f>"CAU"</f>
        <v>CAU</v>
      </c>
      <c r="B837" t="str">
        <f t="shared" si="58"/>
        <v>61850000</v>
      </c>
      <c r="C837" t="str">
        <f t="shared" si="59"/>
        <v>CAU618500000</v>
      </c>
      <c r="E837">
        <v>798.02</v>
      </c>
      <c r="F837">
        <v>0</v>
      </c>
      <c r="G837">
        <f t="shared" si="60"/>
        <v>798.02</v>
      </c>
    </row>
    <row r="838" spans="1:7">
      <c r="A838" t="str">
        <f>"CHA"</f>
        <v>CHA</v>
      </c>
      <c r="B838" t="str">
        <f t="shared" si="58"/>
        <v>61850000</v>
      </c>
      <c r="C838" t="str">
        <f t="shared" si="59"/>
        <v>CHA618500000</v>
      </c>
      <c r="E838">
        <v>67.3</v>
      </c>
      <c r="F838">
        <v>0</v>
      </c>
      <c r="G838">
        <f t="shared" si="60"/>
        <v>67.3</v>
      </c>
    </row>
    <row r="839" spans="1:7">
      <c r="A839" t="str">
        <f>"CHAM"</f>
        <v>CHAM</v>
      </c>
      <c r="B839" t="str">
        <f t="shared" si="58"/>
        <v>61850000</v>
      </c>
      <c r="C839" t="str">
        <f t="shared" si="59"/>
        <v>CHAM618500000</v>
      </c>
      <c r="E839">
        <v>656.46</v>
      </c>
      <c r="F839">
        <v>0</v>
      </c>
      <c r="G839">
        <f t="shared" si="60"/>
        <v>656.46</v>
      </c>
    </row>
    <row r="840" spans="1:7">
      <c r="A840" t="str">
        <f>"CHART"</f>
        <v>CHART</v>
      </c>
      <c r="B840" t="str">
        <f t="shared" si="58"/>
        <v>61850000</v>
      </c>
      <c r="C840" t="str">
        <f t="shared" si="59"/>
        <v>CHART618500000</v>
      </c>
      <c r="E840">
        <v>800.83</v>
      </c>
      <c r="F840">
        <v>0</v>
      </c>
      <c r="G840">
        <f t="shared" si="60"/>
        <v>800.83</v>
      </c>
    </row>
    <row r="841" spans="1:7">
      <c r="A841" t="str">
        <f>"CLE"</f>
        <v>CLE</v>
      </c>
      <c r="B841" t="str">
        <f t="shared" si="58"/>
        <v>61850000</v>
      </c>
      <c r="C841" t="str">
        <f t="shared" si="59"/>
        <v>CLE618500000</v>
      </c>
      <c r="E841">
        <v>1865.93</v>
      </c>
      <c r="F841">
        <v>0</v>
      </c>
      <c r="G841">
        <f t="shared" si="60"/>
        <v>1865.93</v>
      </c>
    </row>
    <row r="842" spans="1:7">
      <c r="A842" t="str">
        <f>"COM"</f>
        <v>COM</v>
      </c>
      <c r="B842" t="str">
        <f t="shared" si="58"/>
        <v>61850000</v>
      </c>
      <c r="C842" t="str">
        <f t="shared" si="59"/>
        <v>COM618500000</v>
      </c>
      <c r="E842">
        <v>119.63</v>
      </c>
      <c r="F842">
        <v>0</v>
      </c>
      <c r="G842">
        <f t="shared" si="60"/>
        <v>119.63</v>
      </c>
    </row>
    <row r="843" spans="1:7">
      <c r="A843" t="str">
        <f>"CST"</f>
        <v>CST</v>
      </c>
      <c r="B843" t="str">
        <f t="shared" si="58"/>
        <v>61850000</v>
      </c>
      <c r="C843" t="str">
        <f t="shared" si="59"/>
        <v>CST618500000</v>
      </c>
      <c r="E843">
        <v>1010.84</v>
      </c>
      <c r="F843">
        <v>0</v>
      </c>
      <c r="G843">
        <f t="shared" si="60"/>
        <v>1010.84</v>
      </c>
    </row>
    <row r="844" spans="1:7">
      <c r="A844" t="str">
        <f>"DIJ"</f>
        <v>DIJ</v>
      </c>
      <c r="B844" t="str">
        <f t="shared" si="58"/>
        <v>61850000</v>
      </c>
      <c r="C844" t="str">
        <f t="shared" si="59"/>
        <v>DIJ618500000</v>
      </c>
      <c r="E844">
        <v>387.54</v>
      </c>
      <c r="F844">
        <v>0</v>
      </c>
      <c r="G844">
        <f t="shared" si="60"/>
        <v>387.54</v>
      </c>
    </row>
    <row r="845" spans="1:7">
      <c r="A845" t="str">
        <f>"EU"</f>
        <v>EU</v>
      </c>
      <c r="B845" t="str">
        <f t="shared" si="58"/>
        <v>61850000</v>
      </c>
      <c r="C845" t="str">
        <f t="shared" si="59"/>
        <v>EU618500000</v>
      </c>
      <c r="E845">
        <v>46.39</v>
      </c>
      <c r="F845">
        <v>0</v>
      </c>
      <c r="G845">
        <f t="shared" si="60"/>
        <v>46.39</v>
      </c>
    </row>
    <row r="846" spans="1:7">
      <c r="A846" t="str">
        <f>"GRE"</f>
        <v>GRE</v>
      </c>
      <c r="B846" t="str">
        <f t="shared" si="58"/>
        <v>61850000</v>
      </c>
      <c r="C846" t="str">
        <f t="shared" si="59"/>
        <v>GRE618500000</v>
      </c>
      <c r="E846">
        <v>1712.18</v>
      </c>
      <c r="F846">
        <v>0</v>
      </c>
      <c r="G846">
        <f t="shared" si="60"/>
        <v>1712.18</v>
      </c>
    </row>
    <row r="847" spans="1:7">
      <c r="A847" t="str">
        <f>"LEN"</f>
        <v>LEN</v>
      </c>
      <c r="B847" t="str">
        <f t="shared" si="58"/>
        <v>61850000</v>
      </c>
      <c r="C847" t="str">
        <f t="shared" si="59"/>
        <v>LEN618500000</v>
      </c>
      <c r="E847">
        <v>76.69</v>
      </c>
      <c r="F847">
        <v>0</v>
      </c>
      <c r="G847">
        <f t="shared" si="60"/>
        <v>76.69</v>
      </c>
    </row>
    <row r="848" spans="1:7">
      <c r="A848" t="str">
        <f>"LIL"</f>
        <v>LIL</v>
      </c>
      <c r="B848" t="str">
        <f t="shared" si="58"/>
        <v>61850000</v>
      </c>
      <c r="C848" t="str">
        <f t="shared" si="59"/>
        <v>LIL618500000</v>
      </c>
      <c r="E848">
        <v>6597.53</v>
      </c>
      <c r="F848">
        <v>3020.5</v>
      </c>
      <c r="G848">
        <f t="shared" si="60"/>
        <v>3577.0299999999997</v>
      </c>
    </row>
    <row r="849" spans="1:7">
      <c r="A849" t="str">
        <f>"MAD"</f>
        <v>MAD</v>
      </c>
      <c r="B849" t="str">
        <f t="shared" si="58"/>
        <v>61850000</v>
      </c>
      <c r="C849" t="str">
        <f t="shared" si="59"/>
        <v>MAD618500000</v>
      </c>
      <c r="E849">
        <v>1198.74</v>
      </c>
      <c r="F849">
        <v>0</v>
      </c>
      <c r="G849">
        <f t="shared" si="60"/>
        <v>1198.74</v>
      </c>
    </row>
    <row r="850" spans="1:7">
      <c r="A850" t="str">
        <f>"MAR"</f>
        <v>MAR</v>
      </c>
      <c r="B850" t="str">
        <f t="shared" si="58"/>
        <v>61850000</v>
      </c>
      <c r="C850" t="str">
        <f t="shared" si="59"/>
        <v>MAR618500000</v>
      </c>
      <c r="E850">
        <v>96.54</v>
      </c>
      <c r="F850">
        <v>0</v>
      </c>
      <c r="G850">
        <f t="shared" si="60"/>
        <v>96.54</v>
      </c>
    </row>
    <row r="851" spans="1:7">
      <c r="A851" t="str">
        <f>"MON"</f>
        <v>MON</v>
      </c>
      <c r="B851" t="str">
        <f t="shared" si="58"/>
        <v>61850000</v>
      </c>
      <c r="C851" t="str">
        <f t="shared" si="59"/>
        <v>MON618500000</v>
      </c>
      <c r="E851">
        <v>1459.41</v>
      </c>
      <c r="F851">
        <v>0</v>
      </c>
      <c r="G851">
        <f t="shared" si="60"/>
        <v>1459.41</v>
      </c>
    </row>
    <row r="852" spans="1:7">
      <c r="A852" t="str">
        <f>"NAN"</f>
        <v>NAN</v>
      </c>
      <c r="B852" t="str">
        <f t="shared" si="58"/>
        <v>61850000</v>
      </c>
      <c r="C852" t="str">
        <f t="shared" si="59"/>
        <v>NAN618500000</v>
      </c>
      <c r="E852">
        <v>786.01</v>
      </c>
      <c r="F852">
        <v>0</v>
      </c>
      <c r="G852">
        <f t="shared" si="60"/>
        <v>786.01</v>
      </c>
    </row>
    <row r="853" spans="1:7">
      <c r="A853" t="str">
        <f>"ORL"</f>
        <v>ORL</v>
      </c>
      <c r="B853" t="str">
        <f t="shared" si="58"/>
        <v>61850000</v>
      </c>
      <c r="C853" t="str">
        <f t="shared" si="59"/>
        <v>ORL618500000</v>
      </c>
      <c r="E853">
        <v>656.46</v>
      </c>
      <c r="F853">
        <v>0</v>
      </c>
      <c r="G853">
        <f t="shared" si="60"/>
        <v>656.46</v>
      </c>
    </row>
    <row r="854" spans="1:7">
      <c r="A854" t="str">
        <f>"REN"</f>
        <v>REN</v>
      </c>
      <c r="B854" t="str">
        <f t="shared" si="58"/>
        <v>61850000</v>
      </c>
      <c r="C854" t="str">
        <f t="shared" si="59"/>
        <v>REN618500000</v>
      </c>
      <c r="E854">
        <v>656.45</v>
      </c>
      <c r="F854">
        <v>0</v>
      </c>
      <c r="G854">
        <f t="shared" si="60"/>
        <v>656.45</v>
      </c>
    </row>
    <row r="855" spans="1:7">
      <c r="A855" t="str">
        <f>"ROA"</f>
        <v>ROA</v>
      </c>
      <c r="B855" t="str">
        <f t="shared" si="58"/>
        <v>61850000</v>
      </c>
      <c r="C855" t="str">
        <f t="shared" si="59"/>
        <v>ROA618500000</v>
      </c>
      <c r="E855">
        <v>1133.73</v>
      </c>
      <c r="F855">
        <v>0</v>
      </c>
      <c r="G855">
        <f t="shared" si="60"/>
        <v>1133.73</v>
      </c>
    </row>
    <row r="856" spans="1:7">
      <c r="A856" t="str">
        <f>"SAU"</f>
        <v>SAU</v>
      </c>
      <c r="B856" t="str">
        <f t="shared" si="58"/>
        <v>61850000</v>
      </c>
      <c r="C856" t="str">
        <f t="shared" si="59"/>
        <v>SAU618500000</v>
      </c>
      <c r="E856">
        <v>542.01</v>
      </c>
      <c r="F856">
        <v>0</v>
      </c>
      <c r="G856">
        <f t="shared" si="60"/>
        <v>542.01</v>
      </c>
    </row>
    <row r="857" spans="1:7">
      <c r="A857" t="str">
        <f>"SOM"</f>
        <v>SOM</v>
      </c>
      <c r="B857" t="str">
        <f t="shared" si="58"/>
        <v>61850000</v>
      </c>
      <c r="C857" t="str">
        <f t="shared" si="59"/>
        <v>SOM618500000</v>
      </c>
      <c r="E857">
        <v>134.86000000000001</v>
      </c>
      <c r="F857">
        <v>0</v>
      </c>
      <c r="G857">
        <f t="shared" si="60"/>
        <v>134.86000000000001</v>
      </c>
    </row>
    <row r="858" spans="1:7">
      <c r="A858" t="str">
        <f>"THO"</f>
        <v>THO</v>
      </c>
      <c r="B858" t="str">
        <f t="shared" si="58"/>
        <v>61850000</v>
      </c>
      <c r="C858" t="str">
        <f t="shared" si="59"/>
        <v>THO618500000</v>
      </c>
      <c r="E858">
        <v>2083.4699999999998</v>
      </c>
      <c r="F858">
        <v>990.05</v>
      </c>
      <c r="G858">
        <f t="shared" si="60"/>
        <v>1093.4199999999998</v>
      </c>
    </row>
    <row r="859" spans="1:7">
      <c r="A859" t="str">
        <f>"TOURC"</f>
        <v>TOURC</v>
      </c>
      <c r="B859" t="str">
        <f t="shared" si="58"/>
        <v>61850000</v>
      </c>
      <c r="C859" t="str">
        <f t="shared" si="59"/>
        <v>TOURC618500000</v>
      </c>
      <c r="E859">
        <v>598.05999999999995</v>
      </c>
      <c r="F859">
        <v>0</v>
      </c>
      <c r="G859">
        <f t="shared" si="60"/>
        <v>598.05999999999995</v>
      </c>
    </row>
    <row r="860" spans="1:7">
      <c r="A860" t="str">
        <f>"VAN"</f>
        <v>VAN</v>
      </c>
      <c r="B860" t="str">
        <f t="shared" si="58"/>
        <v>61850000</v>
      </c>
      <c r="C860" t="str">
        <f t="shared" si="59"/>
        <v>VAN618500000</v>
      </c>
      <c r="E860">
        <v>1400.66</v>
      </c>
      <c r="F860">
        <v>0</v>
      </c>
      <c r="G860">
        <f t="shared" si="60"/>
        <v>1400.66</v>
      </c>
    </row>
    <row r="861" spans="1:7">
      <c r="A861" t="str">
        <f>"AMI"</f>
        <v>AMI</v>
      </c>
      <c r="B861" t="str">
        <f t="shared" ref="B861:B872" si="61">"62110000"</f>
        <v>62110000</v>
      </c>
      <c r="C861" t="str">
        <f t="shared" si="59"/>
        <v>AMI621100000</v>
      </c>
      <c r="E861">
        <v>6739.47</v>
      </c>
      <c r="F861">
        <v>0</v>
      </c>
      <c r="G861">
        <f t="shared" si="60"/>
        <v>6739.47</v>
      </c>
    </row>
    <row r="862" spans="1:7">
      <c r="A862" t="str">
        <f>"BOS"</f>
        <v>BOS</v>
      </c>
      <c r="B862" t="str">
        <f t="shared" si="61"/>
        <v>62110000</v>
      </c>
      <c r="C862" t="str">
        <f t="shared" si="59"/>
        <v>BOS621100000</v>
      </c>
      <c r="E862">
        <v>967.01</v>
      </c>
      <c r="F862">
        <v>0</v>
      </c>
      <c r="G862">
        <f t="shared" si="60"/>
        <v>967.01</v>
      </c>
    </row>
    <row r="863" spans="1:7">
      <c r="A863" t="str">
        <f>"BOU"</f>
        <v>BOU</v>
      </c>
      <c r="B863" t="str">
        <f t="shared" si="61"/>
        <v>62110000</v>
      </c>
      <c r="C863" t="str">
        <f t="shared" si="59"/>
        <v>BOU621100000</v>
      </c>
      <c r="E863">
        <v>2906.01</v>
      </c>
      <c r="F863">
        <v>0</v>
      </c>
      <c r="G863">
        <f t="shared" si="60"/>
        <v>2906.01</v>
      </c>
    </row>
    <row r="864" spans="1:7">
      <c r="A864" t="str">
        <f>"CAU"</f>
        <v>CAU</v>
      </c>
      <c r="B864" t="str">
        <f t="shared" si="61"/>
        <v>62110000</v>
      </c>
      <c r="C864" t="str">
        <f t="shared" si="59"/>
        <v>CAU621100000</v>
      </c>
      <c r="E864">
        <v>110</v>
      </c>
      <c r="F864">
        <v>0</v>
      </c>
      <c r="G864">
        <f t="shared" si="60"/>
        <v>110</v>
      </c>
    </row>
    <row r="865" spans="1:9">
      <c r="A865" t="str">
        <f>"CHA"</f>
        <v>CHA</v>
      </c>
      <c r="B865" t="str">
        <f t="shared" si="61"/>
        <v>62110000</v>
      </c>
      <c r="C865" t="str">
        <f t="shared" si="59"/>
        <v>CHA621100000</v>
      </c>
      <c r="E865">
        <v>1557.05</v>
      </c>
      <c r="F865">
        <v>0</v>
      </c>
      <c r="G865">
        <f t="shared" si="60"/>
        <v>1557.05</v>
      </c>
    </row>
    <row r="866" spans="1:9">
      <c r="A866" t="str">
        <f>"CHAM"</f>
        <v>CHAM</v>
      </c>
      <c r="B866" t="str">
        <f t="shared" si="61"/>
        <v>62110000</v>
      </c>
      <c r="C866" t="str">
        <f t="shared" si="59"/>
        <v>CHAM621100000</v>
      </c>
      <c r="E866">
        <v>1798.24</v>
      </c>
      <c r="F866">
        <v>0</v>
      </c>
      <c r="G866">
        <f t="shared" si="60"/>
        <v>1798.24</v>
      </c>
    </row>
    <row r="867" spans="1:9">
      <c r="A867" t="str">
        <f>"CLE"</f>
        <v>CLE</v>
      </c>
      <c r="B867" t="str">
        <f t="shared" si="61"/>
        <v>62110000</v>
      </c>
      <c r="C867" t="str">
        <f t="shared" si="59"/>
        <v>CLE621100000</v>
      </c>
      <c r="E867">
        <v>653.26</v>
      </c>
      <c r="F867">
        <v>0</v>
      </c>
      <c r="G867">
        <f t="shared" si="60"/>
        <v>653.26</v>
      </c>
      <c r="H867" s="433"/>
      <c r="I867" s="113"/>
    </row>
    <row r="868" spans="1:9">
      <c r="A868" t="str">
        <f>"COM"</f>
        <v>COM</v>
      </c>
      <c r="B868" t="str">
        <f t="shared" si="61"/>
        <v>62110000</v>
      </c>
      <c r="C868" t="str">
        <f t="shared" si="59"/>
        <v>COM621100000</v>
      </c>
      <c r="E868">
        <v>150.76</v>
      </c>
      <c r="F868">
        <v>0</v>
      </c>
      <c r="G868">
        <f t="shared" si="60"/>
        <v>150.76</v>
      </c>
    </row>
    <row r="869" spans="1:9">
      <c r="A869" t="str">
        <f>"LIL"</f>
        <v>LIL</v>
      </c>
      <c r="B869" t="str">
        <f t="shared" si="61"/>
        <v>62110000</v>
      </c>
      <c r="C869" t="str">
        <f t="shared" si="59"/>
        <v>LIL621100000</v>
      </c>
      <c r="E869">
        <v>1217.06</v>
      </c>
      <c r="F869">
        <v>0</v>
      </c>
      <c r="G869">
        <f t="shared" si="60"/>
        <v>1217.06</v>
      </c>
    </row>
    <row r="870" spans="1:9">
      <c r="A870" t="str">
        <f>"MON"</f>
        <v>MON</v>
      </c>
      <c r="B870" t="str">
        <f t="shared" si="61"/>
        <v>62110000</v>
      </c>
      <c r="C870" t="str">
        <f t="shared" si="59"/>
        <v>MON621100000</v>
      </c>
      <c r="E870">
        <v>1804.95</v>
      </c>
      <c r="F870">
        <v>0</v>
      </c>
      <c r="G870">
        <f t="shared" si="60"/>
        <v>1804.95</v>
      </c>
    </row>
    <row r="871" spans="1:9">
      <c r="A871" t="str">
        <f>"ORL"</f>
        <v>ORL</v>
      </c>
      <c r="B871" t="str">
        <f t="shared" si="61"/>
        <v>62110000</v>
      </c>
      <c r="C871" t="str">
        <f t="shared" si="59"/>
        <v>ORL621100000</v>
      </c>
      <c r="E871">
        <v>2524.06</v>
      </c>
      <c r="F871">
        <v>0</v>
      </c>
      <c r="G871">
        <f t="shared" si="60"/>
        <v>2524.06</v>
      </c>
    </row>
    <row r="872" spans="1:9">
      <c r="A872" t="str">
        <f>"SOM"</f>
        <v>SOM</v>
      </c>
      <c r="B872" t="str">
        <f t="shared" si="61"/>
        <v>62110000</v>
      </c>
      <c r="C872" t="str">
        <f t="shared" si="59"/>
        <v>SOM621100000</v>
      </c>
      <c r="E872">
        <v>15437.18</v>
      </c>
      <c r="F872">
        <v>0</v>
      </c>
      <c r="G872">
        <f t="shared" si="60"/>
        <v>15437.18</v>
      </c>
    </row>
    <row r="873" spans="1:9">
      <c r="A873" t="str">
        <f>"LIL"</f>
        <v>LIL</v>
      </c>
      <c r="B873" t="str">
        <f>"62120000"</f>
        <v>62120000</v>
      </c>
      <c r="C873" t="str">
        <f t="shared" si="59"/>
        <v>LIL621200000</v>
      </c>
      <c r="E873">
        <v>168674.94</v>
      </c>
      <c r="F873">
        <v>0</v>
      </c>
      <c r="G873">
        <f t="shared" si="60"/>
        <v>168674.94</v>
      </c>
    </row>
    <row r="874" spans="1:9">
      <c r="A874" t="str">
        <f>"MAD"</f>
        <v>MAD</v>
      </c>
      <c r="B874" t="str">
        <f>"62120000"</f>
        <v>62120000</v>
      </c>
      <c r="C874" t="str">
        <f t="shared" si="59"/>
        <v>MAD621200000</v>
      </c>
      <c r="E874">
        <v>5550</v>
      </c>
      <c r="F874">
        <v>0</v>
      </c>
      <c r="G874">
        <f t="shared" si="60"/>
        <v>5550</v>
      </c>
    </row>
    <row r="875" spans="1:9">
      <c r="A875" t="str">
        <f>"TOURC"</f>
        <v>TOURC</v>
      </c>
      <c r="B875" t="str">
        <f>"62120000"</f>
        <v>62120000</v>
      </c>
      <c r="C875" t="str">
        <f t="shared" si="59"/>
        <v>TOURC621200000</v>
      </c>
      <c r="E875">
        <v>1800</v>
      </c>
      <c r="F875">
        <v>0</v>
      </c>
      <c r="G875">
        <f t="shared" si="60"/>
        <v>1800</v>
      </c>
    </row>
    <row r="876" spans="1:9">
      <c r="A876" t="str">
        <f>"LIL"</f>
        <v>LIL</v>
      </c>
      <c r="B876" t="str">
        <f>"62220000"</f>
        <v>62220000</v>
      </c>
      <c r="C876" t="str">
        <f t="shared" si="59"/>
        <v>LIL622200000</v>
      </c>
      <c r="E876">
        <v>740.78</v>
      </c>
      <c r="F876">
        <v>0</v>
      </c>
      <c r="G876">
        <f t="shared" si="60"/>
        <v>740.78</v>
      </c>
    </row>
    <row r="877" spans="1:9">
      <c r="A877" t="str">
        <f>"CHAM"</f>
        <v>CHAM</v>
      </c>
      <c r="B877" t="str">
        <f t="shared" ref="B877:B882" si="62">"62260000"</f>
        <v>62260000</v>
      </c>
      <c r="C877" t="str">
        <f t="shared" si="59"/>
        <v>CHAM622600000</v>
      </c>
      <c r="E877">
        <v>200</v>
      </c>
      <c r="F877">
        <v>0</v>
      </c>
      <c r="G877">
        <f t="shared" si="60"/>
        <v>200</v>
      </c>
    </row>
    <row r="878" spans="1:9">
      <c r="A878" t="str">
        <f>"COM"</f>
        <v>COM</v>
      </c>
      <c r="B878" t="str">
        <f t="shared" si="62"/>
        <v>62260000</v>
      </c>
      <c r="C878" t="str">
        <f t="shared" si="59"/>
        <v>COM622600000</v>
      </c>
      <c r="E878">
        <v>3200</v>
      </c>
      <c r="F878">
        <v>0</v>
      </c>
      <c r="G878">
        <f t="shared" si="60"/>
        <v>3200</v>
      </c>
    </row>
    <row r="879" spans="1:9">
      <c r="A879" t="str">
        <f>"DIJ"</f>
        <v>DIJ</v>
      </c>
      <c r="B879" t="str">
        <f t="shared" si="62"/>
        <v>62260000</v>
      </c>
      <c r="C879" t="str">
        <f t="shared" si="59"/>
        <v>DIJ622600000</v>
      </c>
      <c r="E879">
        <v>0</v>
      </c>
      <c r="F879">
        <v>0</v>
      </c>
      <c r="G879">
        <f t="shared" si="60"/>
        <v>0</v>
      </c>
    </row>
    <row r="880" spans="1:9">
      <c r="A880" t="str">
        <f>"LIL"</f>
        <v>LIL</v>
      </c>
      <c r="B880" t="str">
        <f t="shared" si="62"/>
        <v>62260000</v>
      </c>
      <c r="C880" t="str">
        <f t="shared" si="59"/>
        <v>LIL622600000</v>
      </c>
      <c r="E880">
        <v>33299.29</v>
      </c>
      <c r="F880">
        <v>0</v>
      </c>
      <c r="G880">
        <f t="shared" si="60"/>
        <v>33299.29</v>
      </c>
    </row>
    <row r="881" spans="1:7">
      <c r="A881" t="str">
        <f>"REN"</f>
        <v>REN</v>
      </c>
      <c r="B881" t="str">
        <f t="shared" si="62"/>
        <v>62260000</v>
      </c>
      <c r="C881" t="str">
        <f t="shared" si="59"/>
        <v>REN622600000</v>
      </c>
      <c r="E881">
        <v>468.26</v>
      </c>
      <c r="F881">
        <v>0</v>
      </c>
      <c r="G881">
        <f t="shared" si="60"/>
        <v>468.26</v>
      </c>
    </row>
    <row r="882" spans="1:7">
      <c r="A882" t="str">
        <f>"VAN"</f>
        <v>VAN</v>
      </c>
      <c r="B882" t="str">
        <f t="shared" si="62"/>
        <v>62260000</v>
      </c>
      <c r="C882" t="str">
        <f t="shared" si="59"/>
        <v>VAN622600000</v>
      </c>
      <c r="E882">
        <v>550</v>
      </c>
      <c r="F882">
        <v>0</v>
      </c>
      <c r="G882">
        <f t="shared" si="60"/>
        <v>550</v>
      </c>
    </row>
    <row r="883" spans="1:7">
      <c r="A883" t="str">
        <f>"AMI"</f>
        <v>AMI</v>
      </c>
      <c r="B883" t="str">
        <f t="shared" ref="B883:B905" si="63">"62270000"</f>
        <v>62270000</v>
      </c>
      <c r="C883" t="str">
        <f t="shared" si="59"/>
        <v>AMI622700000</v>
      </c>
      <c r="E883">
        <v>392.34</v>
      </c>
      <c r="F883">
        <v>0</v>
      </c>
      <c r="G883">
        <f t="shared" si="60"/>
        <v>392.34</v>
      </c>
    </row>
    <row r="884" spans="1:7">
      <c r="A884" t="str">
        <f>"ANG"</f>
        <v>ANG</v>
      </c>
      <c r="B884" t="str">
        <f t="shared" si="63"/>
        <v>62270000</v>
      </c>
      <c r="C884" t="str">
        <f t="shared" si="59"/>
        <v>ANG622700000</v>
      </c>
      <c r="E884">
        <v>74.03</v>
      </c>
      <c r="F884">
        <v>0</v>
      </c>
      <c r="G884">
        <f t="shared" si="60"/>
        <v>74.03</v>
      </c>
    </row>
    <row r="885" spans="1:7">
      <c r="A885" t="str">
        <f>"BOS"</f>
        <v>BOS</v>
      </c>
      <c r="B885" t="str">
        <f t="shared" si="63"/>
        <v>62270000</v>
      </c>
      <c r="C885" t="str">
        <f t="shared" si="59"/>
        <v>BOS622700000</v>
      </c>
      <c r="E885">
        <v>113.13</v>
      </c>
      <c r="F885">
        <v>0</v>
      </c>
      <c r="G885">
        <f t="shared" si="60"/>
        <v>113.13</v>
      </c>
    </row>
    <row r="886" spans="1:7">
      <c r="A886" t="str">
        <f>"BOU"</f>
        <v>BOU</v>
      </c>
      <c r="B886" t="str">
        <f t="shared" si="63"/>
        <v>62270000</v>
      </c>
      <c r="C886" t="str">
        <f t="shared" si="59"/>
        <v>BOU622700000</v>
      </c>
      <c r="E886">
        <v>668.03</v>
      </c>
      <c r="F886">
        <v>0</v>
      </c>
      <c r="G886">
        <f t="shared" si="60"/>
        <v>668.03</v>
      </c>
    </row>
    <row r="887" spans="1:7">
      <c r="A887" t="str">
        <f>"CAL"</f>
        <v>CAL</v>
      </c>
      <c r="B887" t="str">
        <f t="shared" si="63"/>
        <v>62270000</v>
      </c>
      <c r="C887" t="str">
        <f t="shared" si="59"/>
        <v>CAL622700000</v>
      </c>
      <c r="E887">
        <v>237.23</v>
      </c>
      <c r="F887">
        <v>0</v>
      </c>
      <c r="G887">
        <f t="shared" si="60"/>
        <v>237.23</v>
      </c>
    </row>
    <row r="888" spans="1:7">
      <c r="A888" t="str">
        <f>"CAM"</f>
        <v>CAM</v>
      </c>
      <c r="B888" t="str">
        <f t="shared" si="63"/>
        <v>62270000</v>
      </c>
      <c r="C888" t="str">
        <f t="shared" si="59"/>
        <v>CAM622700000</v>
      </c>
      <c r="E888">
        <v>187.08</v>
      </c>
      <c r="F888">
        <v>0</v>
      </c>
      <c r="G888">
        <f t="shared" si="60"/>
        <v>187.08</v>
      </c>
    </row>
    <row r="889" spans="1:7">
      <c r="A889" t="str">
        <f>"CAU"</f>
        <v>CAU</v>
      </c>
      <c r="B889" t="str">
        <f t="shared" si="63"/>
        <v>62270000</v>
      </c>
      <c r="C889" t="str">
        <f t="shared" si="59"/>
        <v>CAU622700000</v>
      </c>
      <c r="E889">
        <v>42.78</v>
      </c>
      <c r="F889">
        <v>0</v>
      </c>
      <c r="G889">
        <f t="shared" si="60"/>
        <v>42.78</v>
      </c>
    </row>
    <row r="890" spans="1:7">
      <c r="A890" t="str">
        <f>"CHAM"</f>
        <v>CHAM</v>
      </c>
      <c r="B890" t="str">
        <f t="shared" si="63"/>
        <v>62270000</v>
      </c>
      <c r="C890" t="str">
        <f t="shared" si="59"/>
        <v>CHAM622700000</v>
      </c>
      <c r="E890">
        <v>101.87</v>
      </c>
      <c r="F890">
        <v>0</v>
      </c>
      <c r="G890">
        <f t="shared" si="60"/>
        <v>101.87</v>
      </c>
    </row>
    <row r="891" spans="1:7">
      <c r="A891" t="str">
        <f>"CHART"</f>
        <v>CHART</v>
      </c>
      <c r="B891" t="str">
        <f t="shared" si="63"/>
        <v>62270000</v>
      </c>
      <c r="C891" t="str">
        <f t="shared" si="59"/>
        <v>CHART622700000</v>
      </c>
      <c r="E891">
        <v>639.49</v>
      </c>
      <c r="F891">
        <v>0</v>
      </c>
      <c r="G891">
        <f t="shared" si="60"/>
        <v>639.49</v>
      </c>
    </row>
    <row r="892" spans="1:7">
      <c r="A892" t="str">
        <f>"CLE"</f>
        <v>CLE</v>
      </c>
      <c r="B892" t="str">
        <f t="shared" si="63"/>
        <v>62270000</v>
      </c>
      <c r="C892" t="str">
        <f t="shared" si="59"/>
        <v>CLE622700000</v>
      </c>
      <c r="E892">
        <v>981.78</v>
      </c>
      <c r="F892">
        <v>0</v>
      </c>
      <c r="G892">
        <f t="shared" si="60"/>
        <v>981.78</v>
      </c>
    </row>
    <row r="893" spans="1:7">
      <c r="A893" t="str">
        <f>"COM"</f>
        <v>COM</v>
      </c>
      <c r="B893" t="str">
        <f t="shared" si="63"/>
        <v>62270000</v>
      </c>
      <c r="C893" t="str">
        <f t="shared" si="59"/>
        <v>COM622700000</v>
      </c>
      <c r="E893">
        <v>100</v>
      </c>
      <c r="F893">
        <v>0</v>
      </c>
      <c r="G893">
        <f t="shared" si="60"/>
        <v>100</v>
      </c>
    </row>
    <row r="894" spans="1:7">
      <c r="A894" t="str">
        <f>"CST"</f>
        <v>CST</v>
      </c>
      <c r="B894" t="str">
        <f t="shared" si="63"/>
        <v>62270000</v>
      </c>
      <c r="C894" t="str">
        <f t="shared" si="59"/>
        <v>CST622700000</v>
      </c>
      <c r="E894">
        <v>-26.42</v>
      </c>
      <c r="F894">
        <v>0</v>
      </c>
      <c r="G894">
        <f t="shared" si="60"/>
        <v>-26.42</v>
      </c>
    </row>
    <row r="895" spans="1:7">
      <c r="A895" t="str">
        <f>"EU"</f>
        <v>EU</v>
      </c>
      <c r="B895" t="str">
        <f t="shared" si="63"/>
        <v>62270000</v>
      </c>
      <c r="C895" t="str">
        <f t="shared" si="59"/>
        <v>EU622700000</v>
      </c>
      <c r="E895">
        <v>38.869999999999997</v>
      </c>
      <c r="F895">
        <v>0</v>
      </c>
      <c r="G895">
        <f t="shared" si="60"/>
        <v>38.869999999999997</v>
      </c>
    </row>
    <row r="896" spans="1:7">
      <c r="A896" t="str">
        <f>"GRE"</f>
        <v>GRE</v>
      </c>
      <c r="B896" t="str">
        <f t="shared" si="63"/>
        <v>62270000</v>
      </c>
      <c r="C896" t="str">
        <f t="shared" si="59"/>
        <v>GRE622700000</v>
      </c>
      <c r="E896">
        <v>411.12</v>
      </c>
      <c r="F896">
        <v>0</v>
      </c>
      <c r="G896">
        <f t="shared" si="60"/>
        <v>411.12</v>
      </c>
    </row>
    <row r="897" spans="1:7">
      <c r="A897" t="str">
        <f>"LEN"</f>
        <v>LEN</v>
      </c>
      <c r="B897" t="str">
        <f t="shared" si="63"/>
        <v>62270000</v>
      </c>
      <c r="C897" t="str">
        <f t="shared" si="59"/>
        <v>LEN622700000</v>
      </c>
      <c r="E897">
        <v>83.93</v>
      </c>
      <c r="F897">
        <v>0</v>
      </c>
      <c r="G897">
        <f t="shared" si="60"/>
        <v>83.93</v>
      </c>
    </row>
    <row r="898" spans="1:7">
      <c r="A898" t="str">
        <f>"MAD"</f>
        <v>MAD</v>
      </c>
      <c r="B898" t="str">
        <f t="shared" si="63"/>
        <v>62270000</v>
      </c>
      <c r="C898" t="str">
        <f t="shared" si="59"/>
        <v>MAD622700000</v>
      </c>
      <c r="E898">
        <v>77.56</v>
      </c>
      <c r="F898">
        <v>0</v>
      </c>
      <c r="G898">
        <f t="shared" si="60"/>
        <v>77.56</v>
      </c>
    </row>
    <row r="899" spans="1:7">
      <c r="A899" t="str">
        <f>"MON"</f>
        <v>MON</v>
      </c>
      <c r="B899" t="str">
        <f t="shared" si="63"/>
        <v>62270000</v>
      </c>
      <c r="C899" t="str">
        <f t="shared" ref="C899:C962" si="64">+A899&amp;B899*10</f>
        <v>MON622700000</v>
      </c>
      <c r="E899">
        <v>1469.37</v>
      </c>
      <c r="F899">
        <v>0</v>
      </c>
      <c r="G899">
        <f t="shared" ref="G899:G962" si="65">+E899-F899</f>
        <v>1469.37</v>
      </c>
    </row>
    <row r="900" spans="1:7">
      <c r="A900" t="str">
        <f>"NAN"</f>
        <v>NAN</v>
      </c>
      <c r="B900" t="str">
        <f t="shared" si="63"/>
        <v>62270000</v>
      </c>
      <c r="C900" t="str">
        <f t="shared" si="64"/>
        <v>NAN622700000</v>
      </c>
      <c r="E900">
        <v>95.5</v>
      </c>
      <c r="F900">
        <v>0</v>
      </c>
      <c r="G900">
        <f t="shared" si="65"/>
        <v>95.5</v>
      </c>
    </row>
    <row r="901" spans="1:7">
      <c r="A901" t="str">
        <f>"ORL"</f>
        <v>ORL</v>
      </c>
      <c r="B901" t="str">
        <f t="shared" si="63"/>
        <v>62270000</v>
      </c>
      <c r="C901" t="str">
        <f t="shared" si="64"/>
        <v>ORL622700000</v>
      </c>
      <c r="E901">
        <v>83.93</v>
      </c>
      <c r="F901">
        <v>0</v>
      </c>
      <c r="G901">
        <f t="shared" si="65"/>
        <v>83.93</v>
      </c>
    </row>
    <row r="902" spans="1:7">
      <c r="A902" t="str">
        <f>"REN"</f>
        <v>REN</v>
      </c>
      <c r="B902" t="str">
        <f t="shared" si="63"/>
        <v>62270000</v>
      </c>
      <c r="C902" t="str">
        <f t="shared" si="64"/>
        <v>REN622700000</v>
      </c>
      <c r="E902">
        <v>374.43</v>
      </c>
      <c r="F902">
        <v>0</v>
      </c>
      <c r="G902">
        <f t="shared" si="65"/>
        <v>374.43</v>
      </c>
    </row>
    <row r="903" spans="1:7">
      <c r="A903" t="str">
        <f>"ROA"</f>
        <v>ROA</v>
      </c>
      <c r="B903" t="str">
        <f t="shared" si="63"/>
        <v>62270000</v>
      </c>
      <c r="C903" t="str">
        <f t="shared" si="64"/>
        <v>ROA622700000</v>
      </c>
      <c r="E903">
        <v>846.71</v>
      </c>
      <c r="F903">
        <v>80.8</v>
      </c>
      <c r="G903">
        <f t="shared" si="65"/>
        <v>765.91000000000008</v>
      </c>
    </row>
    <row r="904" spans="1:7">
      <c r="A904" t="str">
        <f>"THO"</f>
        <v>THO</v>
      </c>
      <c r="B904" t="str">
        <f t="shared" si="63"/>
        <v>62270000</v>
      </c>
      <c r="C904" t="str">
        <f t="shared" si="64"/>
        <v>THO622700000</v>
      </c>
      <c r="E904">
        <v>297.29000000000002</v>
      </c>
      <c r="F904">
        <v>0</v>
      </c>
      <c r="G904">
        <f t="shared" si="65"/>
        <v>297.29000000000002</v>
      </c>
    </row>
    <row r="905" spans="1:7">
      <c r="A905" t="str">
        <f>"TOURC"</f>
        <v>TOURC</v>
      </c>
      <c r="B905" t="str">
        <f t="shared" si="63"/>
        <v>62270000</v>
      </c>
      <c r="C905" t="str">
        <f t="shared" si="64"/>
        <v>TOURC622700000</v>
      </c>
      <c r="E905">
        <v>291.73</v>
      </c>
      <c r="F905">
        <v>0</v>
      </c>
      <c r="G905">
        <f t="shared" si="65"/>
        <v>291.73</v>
      </c>
    </row>
    <row r="906" spans="1:7">
      <c r="A906" t="str">
        <f>"DIJ"</f>
        <v>DIJ</v>
      </c>
      <c r="B906" t="str">
        <f>"62271000"</f>
        <v>62271000</v>
      </c>
      <c r="C906" t="str">
        <f t="shared" si="64"/>
        <v>DIJ622710000</v>
      </c>
      <c r="E906">
        <v>0</v>
      </c>
      <c r="F906">
        <v>0</v>
      </c>
      <c r="G906">
        <f t="shared" si="65"/>
        <v>0</v>
      </c>
    </row>
    <row r="907" spans="1:7">
      <c r="A907" t="str">
        <f>"LIL"</f>
        <v>LIL</v>
      </c>
      <c r="B907" t="str">
        <f>"62271000"</f>
        <v>62271000</v>
      </c>
      <c r="C907" t="str">
        <f t="shared" si="64"/>
        <v>LIL622710000</v>
      </c>
      <c r="E907">
        <v>1588.35</v>
      </c>
      <c r="F907">
        <v>0</v>
      </c>
      <c r="G907">
        <f t="shared" si="65"/>
        <v>1588.35</v>
      </c>
    </row>
    <row r="908" spans="1:7">
      <c r="A908" t="str">
        <f>"MON"</f>
        <v>MON</v>
      </c>
      <c r="B908" t="str">
        <f>"62271000"</f>
        <v>62271000</v>
      </c>
      <c r="C908" t="str">
        <f t="shared" si="64"/>
        <v>MON622710000</v>
      </c>
      <c r="E908">
        <v>63.1</v>
      </c>
      <c r="F908">
        <v>0</v>
      </c>
      <c r="G908">
        <f t="shared" si="65"/>
        <v>63.1</v>
      </c>
    </row>
    <row r="909" spans="1:7">
      <c r="A909" t="str">
        <f>"ROA"</f>
        <v>ROA</v>
      </c>
      <c r="B909" t="str">
        <f>"62310000"</f>
        <v>62310000</v>
      </c>
      <c r="C909" t="str">
        <f t="shared" si="64"/>
        <v>ROA623100000</v>
      </c>
      <c r="E909">
        <v>70</v>
      </c>
      <c r="F909">
        <v>0</v>
      </c>
      <c r="G909">
        <f t="shared" si="65"/>
        <v>70</v>
      </c>
    </row>
    <row r="910" spans="1:7">
      <c r="A910" t="str">
        <f>"SOM"</f>
        <v>SOM</v>
      </c>
      <c r="B910" t="str">
        <f>"62310000"</f>
        <v>62310000</v>
      </c>
      <c r="C910" t="str">
        <f t="shared" si="64"/>
        <v>SOM623100000</v>
      </c>
      <c r="E910">
        <v>597.38</v>
      </c>
      <c r="F910">
        <v>0</v>
      </c>
      <c r="G910">
        <f t="shared" si="65"/>
        <v>597.38</v>
      </c>
    </row>
    <row r="911" spans="1:7">
      <c r="A911" t="str">
        <f>"AMI"</f>
        <v>AMI</v>
      </c>
      <c r="B911" t="str">
        <f t="shared" ref="B911:B943" si="66">"62320000"</f>
        <v>62320000</v>
      </c>
      <c r="C911" t="str">
        <f t="shared" si="64"/>
        <v>AMI623200000</v>
      </c>
      <c r="E911">
        <v>1662.79</v>
      </c>
      <c r="F911">
        <v>0</v>
      </c>
      <c r="G911">
        <f t="shared" si="65"/>
        <v>1662.79</v>
      </c>
    </row>
    <row r="912" spans="1:7">
      <c r="A912" t="str">
        <f>"ANG"</f>
        <v>ANG</v>
      </c>
      <c r="B912" t="str">
        <f t="shared" si="66"/>
        <v>62320000</v>
      </c>
      <c r="C912" t="str">
        <f t="shared" si="64"/>
        <v>ANG623200000</v>
      </c>
      <c r="E912">
        <v>8018.17</v>
      </c>
      <c r="F912">
        <v>0</v>
      </c>
      <c r="G912">
        <f t="shared" si="65"/>
        <v>8018.17</v>
      </c>
    </row>
    <row r="913" spans="1:7">
      <c r="A913" t="str">
        <f>"BET"</f>
        <v>BET</v>
      </c>
      <c r="B913" t="str">
        <f t="shared" si="66"/>
        <v>62320000</v>
      </c>
      <c r="C913" t="str">
        <f t="shared" si="64"/>
        <v>BET623200000</v>
      </c>
      <c r="E913">
        <v>2100.79</v>
      </c>
      <c r="F913">
        <v>0</v>
      </c>
      <c r="G913">
        <f t="shared" si="65"/>
        <v>2100.79</v>
      </c>
    </row>
    <row r="914" spans="1:7">
      <c r="A914" t="str">
        <f>"BOI"</f>
        <v>BOI</v>
      </c>
      <c r="B914" t="str">
        <f t="shared" si="66"/>
        <v>62320000</v>
      </c>
      <c r="C914" t="str">
        <f t="shared" si="64"/>
        <v>BOI623200000</v>
      </c>
      <c r="E914">
        <v>1782.49</v>
      </c>
      <c r="F914">
        <v>0</v>
      </c>
      <c r="G914">
        <f t="shared" si="65"/>
        <v>1782.49</v>
      </c>
    </row>
    <row r="915" spans="1:7">
      <c r="A915" t="str">
        <f>"BOS"</f>
        <v>BOS</v>
      </c>
      <c r="B915" t="str">
        <f t="shared" si="66"/>
        <v>62320000</v>
      </c>
      <c r="C915" t="str">
        <f t="shared" si="64"/>
        <v>BOS623200000</v>
      </c>
      <c r="E915">
        <v>5683.78</v>
      </c>
      <c r="F915">
        <v>0</v>
      </c>
      <c r="G915">
        <f t="shared" si="65"/>
        <v>5683.78</v>
      </c>
    </row>
    <row r="916" spans="1:7">
      <c r="A916" t="str">
        <f>"BOU"</f>
        <v>BOU</v>
      </c>
      <c r="B916" t="str">
        <f t="shared" si="66"/>
        <v>62320000</v>
      </c>
      <c r="C916" t="str">
        <f t="shared" si="64"/>
        <v>BOU623200000</v>
      </c>
      <c r="E916">
        <v>13880.68</v>
      </c>
      <c r="F916">
        <v>0</v>
      </c>
      <c r="G916">
        <f t="shared" si="65"/>
        <v>13880.68</v>
      </c>
    </row>
    <row r="917" spans="1:7">
      <c r="A917" t="str">
        <f>"CAL"</f>
        <v>CAL</v>
      </c>
      <c r="B917" t="str">
        <f t="shared" si="66"/>
        <v>62320000</v>
      </c>
      <c r="C917" t="str">
        <f t="shared" si="64"/>
        <v>CAL623200000</v>
      </c>
      <c r="E917">
        <v>3951.49</v>
      </c>
      <c r="F917">
        <v>0</v>
      </c>
      <c r="G917">
        <f t="shared" si="65"/>
        <v>3951.49</v>
      </c>
    </row>
    <row r="918" spans="1:7">
      <c r="A918" t="str">
        <f>"CAM"</f>
        <v>CAM</v>
      </c>
      <c r="B918" t="str">
        <f t="shared" si="66"/>
        <v>62320000</v>
      </c>
      <c r="C918" t="str">
        <f t="shared" si="64"/>
        <v>CAM623200000</v>
      </c>
      <c r="E918">
        <v>4430.58</v>
      </c>
      <c r="F918">
        <v>0</v>
      </c>
      <c r="G918">
        <f t="shared" si="65"/>
        <v>4430.58</v>
      </c>
    </row>
    <row r="919" spans="1:7">
      <c r="A919" t="str">
        <f>"CAU"</f>
        <v>CAU</v>
      </c>
      <c r="B919" t="str">
        <f t="shared" si="66"/>
        <v>62320000</v>
      </c>
      <c r="C919" t="str">
        <f t="shared" si="64"/>
        <v>CAU623200000</v>
      </c>
      <c r="E919">
        <v>3433.41</v>
      </c>
      <c r="F919">
        <v>0</v>
      </c>
      <c r="G919">
        <f t="shared" si="65"/>
        <v>3433.41</v>
      </c>
    </row>
    <row r="920" spans="1:7">
      <c r="A920" t="str">
        <f>"CHA"</f>
        <v>CHA</v>
      </c>
      <c r="B920" t="str">
        <f t="shared" si="66"/>
        <v>62320000</v>
      </c>
      <c r="C920" t="str">
        <f t="shared" si="64"/>
        <v>CHA623200000</v>
      </c>
      <c r="E920">
        <v>1780.46</v>
      </c>
      <c r="F920">
        <v>0</v>
      </c>
      <c r="G920">
        <f t="shared" si="65"/>
        <v>1780.46</v>
      </c>
    </row>
    <row r="921" spans="1:7">
      <c r="A921" t="str">
        <f>"CHAM"</f>
        <v>CHAM</v>
      </c>
      <c r="B921" t="str">
        <f t="shared" si="66"/>
        <v>62320000</v>
      </c>
      <c r="C921" t="str">
        <f t="shared" si="64"/>
        <v>CHAM623200000</v>
      </c>
      <c r="E921">
        <v>2808</v>
      </c>
      <c r="F921">
        <v>0</v>
      </c>
      <c r="G921">
        <f t="shared" si="65"/>
        <v>2808</v>
      </c>
    </row>
    <row r="922" spans="1:7">
      <c r="A922" t="str">
        <f>"CHART"</f>
        <v>CHART</v>
      </c>
      <c r="B922" t="str">
        <f t="shared" si="66"/>
        <v>62320000</v>
      </c>
      <c r="C922" t="str">
        <f t="shared" si="64"/>
        <v>CHART623200000</v>
      </c>
      <c r="E922">
        <v>7659</v>
      </c>
      <c r="F922">
        <v>0</v>
      </c>
      <c r="G922">
        <f t="shared" si="65"/>
        <v>7659</v>
      </c>
    </row>
    <row r="923" spans="1:7">
      <c r="A923" t="str">
        <f>"CLE"</f>
        <v>CLE</v>
      </c>
      <c r="B923" t="str">
        <f t="shared" si="66"/>
        <v>62320000</v>
      </c>
      <c r="C923" t="str">
        <f t="shared" si="64"/>
        <v>CLE623200000</v>
      </c>
      <c r="E923">
        <v>13118.6</v>
      </c>
      <c r="F923">
        <v>0</v>
      </c>
      <c r="G923">
        <f t="shared" si="65"/>
        <v>13118.6</v>
      </c>
    </row>
    <row r="924" spans="1:7">
      <c r="A924" t="str">
        <f>"CLT"</f>
        <v>CLT</v>
      </c>
      <c r="B924" t="str">
        <f t="shared" si="66"/>
        <v>62320000</v>
      </c>
      <c r="C924" t="str">
        <f t="shared" si="64"/>
        <v>CLT623200000</v>
      </c>
      <c r="E924">
        <v>298.44</v>
      </c>
      <c r="F924">
        <v>0</v>
      </c>
      <c r="G924">
        <f t="shared" si="65"/>
        <v>298.44</v>
      </c>
    </row>
    <row r="925" spans="1:7">
      <c r="A925" t="str">
        <f>"COM"</f>
        <v>COM</v>
      </c>
      <c r="B925" t="str">
        <f t="shared" si="66"/>
        <v>62320000</v>
      </c>
      <c r="C925" t="str">
        <f t="shared" si="64"/>
        <v>COM623200000</v>
      </c>
      <c r="E925">
        <v>1784.55</v>
      </c>
      <c r="F925">
        <v>0</v>
      </c>
      <c r="G925">
        <f t="shared" si="65"/>
        <v>1784.55</v>
      </c>
    </row>
    <row r="926" spans="1:7">
      <c r="A926" t="str">
        <f>"CST"</f>
        <v>CST</v>
      </c>
      <c r="B926" t="str">
        <f t="shared" si="66"/>
        <v>62320000</v>
      </c>
      <c r="C926" t="str">
        <f t="shared" si="64"/>
        <v>CST623200000</v>
      </c>
      <c r="E926">
        <v>3475.47</v>
      </c>
      <c r="F926">
        <v>0</v>
      </c>
      <c r="G926">
        <f t="shared" si="65"/>
        <v>3475.47</v>
      </c>
    </row>
    <row r="927" spans="1:7">
      <c r="A927" t="str">
        <f>"DIJ"</f>
        <v>DIJ</v>
      </c>
      <c r="B927" t="str">
        <f t="shared" si="66"/>
        <v>62320000</v>
      </c>
      <c r="C927" t="str">
        <f t="shared" si="64"/>
        <v>DIJ623200000</v>
      </c>
      <c r="E927">
        <v>2033.41</v>
      </c>
      <c r="F927">
        <v>0</v>
      </c>
      <c r="G927">
        <f t="shared" si="65"/>
        <v>2033.41</v>
      </c>
    </row>
    <row r="928" spans="1:7">
      <c r="A928" t="str">
        <f>"EU"</f>
        <v>EU</v>
      </c>
      <c r="B928" t="str">
        <f t="shared" si="66"/>
        <v>62320000</v>
      </c>
      <c r="C928" t="str">
        <f t="shared" si="64"/>
        <v>EU623200000</v>
      </c>
      <c r="E928">
        <v>1480.32</v>
      </c>
      <c r="F928">
        <v>0</v>
      </c>
      <c r="G928">
        <f t="shared" si="65"/>
        <v>1480.32</v>
      </c>
    </row>
    <row r="929" spans="1:13">
      <c r="A929" t="str">
        <f>"GRE"</f>
        <v>GRE</v>
      </c>
      <c r="B929" t="str">
        <f t="shared" si="66"/>
        <v>62320000</v>
      </c>
      <c r="C929" t="str">
        <f t="shared" si="64"/>
        <v>GRE623200000</v>
      </c>
      <c r="E929">
        <v>9312.43</v>
      </c>
      <c r="F929">
        <v>0</v>
      </c>
      <c r="G929">
        <f t="shared" si="65"/>
        <v>9312.43</v>
      </c>
    </row>
    <row r="930" spans="1:13">
      <c r="A930" t="str">
        <f>"LEN"</f>
        <v>LEN</v>
      </c>
      <c r="B930" t="str">
        <f t="shared" si="66"/>
        <v>62320000</v>
      </c>
      <c r="C930" t="str">
        <f t="shared" si="64"/>
        <v>LEN623200000</v>
      </c>
      <c r="E930">
        <v>2069.67</v>
      </c>
      <c r="F930">
        <v>0</v>
      </c>
      <c r="G930">
        <f t="shared" si="65"/>
        <v>2069.67</v>
      </c>
    </row>
    <row r="931" spans="1:13">
      <c r="A931" t="str">
        <f>"LIL"</f>
        <v>LIL</v>
      </c>
      <c r="B931" t="str">
        <f t="shared" si="66"/>
        <v>62320000</v>
      </c>
      <c r="C931" t="str">
        <f t="shared" si="64"/>
        <v>LIL623200000</v>
      </c>
      <c r="E931">
        <v>1021.32</v>
      </c>
      <c r="F931">
        <v>0</v>
      </c>
      <c r="G931">
        <f t="shared" si="65"/>
        <v>1021.32</v>
      </c>
    </row>
    <row r="932" spans="1:13">
      <c r="A932" t="str">
        <f>"MAD"</f>
        <v>MAD</v>
      </c>
      <c r="B932" t="str">
        <f t="shared" si="66"/>
        <v>62320000</v>
      </c>
      <c r="C932" t="str">
        <f t="shared" si="64"/>
        <v>MAD623200000</v>
      </c>
      <c r="E932">
        <v>15090.25</v>
      </c>
      <c r="F932">
        <v>0</v>
      </c>
      <c r="G932">
        <f t="shared" si="65"/>
        <v>15090.25</v>
      </c>
    </row>
    <row r="933" spans="1:13">
      <c r="A933" t="str">
        <f>"MAR"</f>
        <v>MAR</v>
      </c>
      <c r="B933" t="str">
        <f t="shared" si="66"/>
        <v>62320000</v>
      </c>
      <c r="C933" t="str">
        <f t="shared" si="64"/>
        <v>MAR623200000</v>
      </c>
      <c r="E933">
        <v>1260.1500000000001</v>
      </c>
      <c r="F933">
        <v>0</v>
      </c>
      <c r="G933">
        <f t="shared" si="65"/>
        <v>1260.1500000000001</v>
      </c>
      <c r="M933" s="113"/>
    </row>
    <row r="934" spans="1:13">
      <c r="A934" t="str">
        <f>"MON"</f>
        <v>MON</v>
      </c>
      <c r="B934" t="str">
        <f t="shared" si="66"/>
        <v>62320000</v>
      </c>
      <c r="C934" t="str">
        <f t="shared" si="64"/>
        <v>MON623200000</v>
      </c>
      <c r="E934">
        <v>4171.7</v>
      </c>
      <c r="F934">
        <v>0</v>
      </c>
      <c r="G934">
        <f t="shared" si="65"/>
        <v>4171.7</v>
      </c>
    </row>
    <row r="935" spans="1:13">
      <c r="A935" t="str">
        <f>"NAN"</f>
        <v>NAN</v>
      </c>
      <c r="B935" t="str">
        <f t="shared" si="66"/>
        <v>62320000</v>
      </c>
      <c r="C935" t="str">
        <f t="shared" si="64"/>
        <v>NAN623200000</v>
      </c>
      <c r="E935">
        <v>3758.44</v>
      </c>
      <c r="F935">
        <v>0</v>
      </c>
      <c r="G935">
        <f t="shared" si="65"/>
        <v>3758.44</v>
      </c>
    </row>
    <row r="936" spans="1:13">
      <c r="A936" t="str">
        <f>"ORL"</f>
        <v>ORL</v>
      </c>
      <c r="B936" t="str">
        <f t="shared" si="66"/>
        <v>62320000</v>
      </c>
      <c r="C936" t="str">
        <f t="shared" si="64"/>
        <v>ORL623200000</v>
      </c>
      <c r="E936">
        <v>6144.87</v>
      </c>
      <c r="F936">
        <v>0</v>
      </c>
      <c r="G936">
        <f t="shared" si="65"/>
        <v>6144.87</v>
      </c>
    </row>
    <row r="937" spans="1:13">
      <c r="A937" t="str">
        <f>"REN"</f>
        <v>REN</v>
      </c>
      <c r="B937" t="str">
        <f t="shared" si="66"/>
        <v>62320000</v>
      </c>
      <c r="C937" t="str">
        <f t="shared" si="64"/>
        <v>REN623200000</v>
      </c>
      <c r="E937">
        <v>2723.13</v>
      </c>
      <c r="F937">
        <v>0</v>
      </c>
      <c r="G937">
        <f t="shared" si="65"/>
        <v>2723.13</v>
      </c>
    </row>
    <row r="938" spans="1:13">
      <c r="A938" t="str">
        <f>"ROA"</f>
        <v>ROA</v>
      </c>
      <c r="B938" t="str">
        <f t="shared" si="66"/>
        <v>62320000</v>
      </c>
      <c r="C938" t="str">
        <f t="shared" si="64"/>
        <v>ROA623200000</v>
      </c>
      <c r="E938">
        <v>6006.58</v>
      </c>
      <c r="F938">
        <v>0</v>
      </c>
      <c r="G938">
        <f t="shared" si="65"/>
        <v>6006.58</v>
      </c>
    </row>
    <row r="939" spans="1:13">
      <c r="A939" t="str">
        <f>"SAU"</f>
        <v>SAU</v>
      </c>
      <c r="B939" t="str">
        <f t="shared" si="66"/>
        <v>62320000</v>
      </c>
      <c r="C939" t="str">
        <f t="shared" si="64"/>
        <v>SAU623200000</v>
      </c>
      <c r="E939">
        <v>1140.55</v>
      </c>
      <c r="F939">
        <v>0</v>
      </c>
      <c r="G939">
        <f t="shared" si="65"/>
        <v>1140.55</v>
      </c>
    </row>
    <row r="940" spans="1:13">
      <c r="A940" t="str">
        <f>"SOM"</f>
        <v>SOM</v>
      </c>
      <c r="B940" t="str">
        <f t="shared" si="66"/>
        <v>62320000</v>
      </c>
      <c r="C940" t="str">
        <f t="shared" si="64"/>
        <v>SOM623200000</v>
      </c>
      <c r="E940">
        <v>6603.38</v>
      </c>
      <c r="F940">
        <v>0</v>
      </c>
      <c r="G940">
        <f t="shared" si="65"/>
        <v>6603.38</v>
      </c>
    </row>
    <row r="941" spans="1:13">
      <c r="A941" t="str">
        <f>"THO"</f>
        <v>THO</v>
      </c>
      <c r="B941" t="str">
        <f t="shared" si="66"/>
        <v>62320000</v>
      </c>
      <c r="C941" t="str">
        <f t="shared" si="64"/>
        <v>THO623200000</v>
      </c>
      <c r="E941">
        <v>3911.66</v>
      </c>
      <c r="F941">
        <v>0</v>
      </c>
      <c r="G941">
        <f t="shared" si="65"/>
        <v>3911.66</v>
      </c>
    </row>
    <row r="942" spans="1:13">
      <c r="A942" t="str">
        <f>"TOURC"</f>
        <v>TOURC</v>
      </c>
      <c r="B942" t="str">
        <f t="shared" si="66"/>
        <v>62320000</v>
      </c>
      <c r="C942" t="str">
        <f t="shared" si="64"/>
        <v>TOURC623200000</v>
      </c>
      <c r="E942">
        <v>1421.46</v>
      </c>
      <c r="F942">
        <v>0</v>
      </c>
      <c r="G942">
        <f t="shared" si="65"/>
        <v>1421.46</v>
      </c>
    </row>
    <row r="943" spans="1:13">
      <c r="A943" t="str">
        <f>"VAN"</f>
        <v>VAN</v>
      </c>
      <c r="B943" t="str">
        <f t="shared" si="66"/>
        <v>62320000</v>
      </c>
      <c r="C943" t="str">
        <f t="shared" si="64"/>
        <v>VAN623200000</v>
      </c>
      <c r="E943">
        <v>4921.7</v>
      </c>
      <c r="F943">
        <v>0</v>
      </c>
      <c r="G943">
        <f t="shared" si="65"/>
        <v>4921.7</v>
      </c>
    </row>
    <row r="944" spans="1:13">
      <c r="A944" t="str">
        <f>"AMI"</f>
        <v>AMI</v>
      </c>
      <c r="B944" t="str">
        <f t="shared" ref="B944:B972" si="67">"62330000"</f>
        <v>62330000</v>
      </c>
      <c r="C944" t="str">
        <f t="shared" si="64"/>
        <v>AMI623300000</v>
      </c>
      <c r="E944">
        <v>3329.11</v>
      </c>
      <c r="F944">
        <f>+H944</f>
        <v>1668.8</v>
      </c>
      <c r="G944">
        <f t="shared" si="65"/>
        <v>1660.3100000000002</v>
      </c>
      <c r="H944">
        <v>1668.8</v>
      </c>
    </row>
    <row r="945" spans="1:9">
      <c r="A945" t="str">
        <f>"ANG"</f>
        <v>ANG</v>
      </c>
      <c r="B945" t="str">
        <f t="shared" si="67"/>
        <v>62330000</v>
      </c>
      <c r="C945" t="str">
        <f t="shared" si="64"/>
        <v>ANG623300000</v>
      </c>
      <c r="E945">
        <v>-3060.51</v>
      </c>
      <c r="F945">
        <v>0</v>
      </c>
      <c r="G945">
        <f t="shared" si="65"/>
        <v>-3060.51</v>
      </c>
    </row>
    <row r="946" spans="1:9">
      <c r="A946" t="str">
        <f>"BET"</f>
        <v>BET</v>
      </c>
      <c r="B946" t="str">
        <f t="shared" si="67"/>
        <v>62330000</v>
      </c>
      <c r="C946" t="str">
        <f t="shared" si="64"/>
        <v>BET623300000</v>
      </c>
      <c r="E946">
        <v>2958.97</v>
      </c>
      <c r="F946">
        <f t="shared" ref="F946:F951" si="68">+H946</f>
        <v>1460.2</v>
      </c>
      <c r="G946">
        <f t="shared" si="65"/>
        <v>1498.7699999999998</v>
      </c>
      <c r="H946">
        <v>1460.2</v>
      </c>
    </row>
    <row r="947" spans="1:9">
      <c r="A947" t="str">
        <f>"BOI"</f>
        <v>BOI</v>
      </c>
      <c r="B947" t="str">
        <f t="shared" si="67"/>
        <v>62330000</v>
      </c>
      <c r="C947" t="str">
        <f t="shared" si="64"/>
        <v>BOI623300000</v>
      </c>
      <c r="E947">
        <v>1479.08</v>
      </c>
      <c r="F947">
        <f t="shared" si="68"/>
        <v>625.79999999999995</v>
      </c>
      <c r="G947">
        <f t="shared" si="65"/>
        <v>853.28</v>
      </c>
      <c r="H947">
        <v>625.79999999999995</v>
      </c>
    </row>
    <row r="948" spans="1:9">
      <c r="A948" t="str">
        <f>"BOU"</f>
        <v>BOU</v>
      </c>
      <c r="B948" t="str">
        <f t="shared" si="67"/>
        <v>62330000</v>
      </c>
      <c r="C948" t="str">
        <f t="shared" si="64"/>
        <v>BOU623300000</v>
      </c>
      <c r="E948">
        <v>4965.9399999999996</v>
      </c>
      <c r="F948">
        <f t="shared" si="68"/>
        <v>3262.6</v>
      </c>
      <c r="G948">
        <f t="shared" si="65"/>
        <v>1703.3399999999997</v>
      </c>
      <c r="H948">
        <v>3262.6</v>
      </c>
    </row>
    <row r="949" spans="1:9">
      <c r="A949" t="str">
        <f>"CAL"</f>
        <v>CAL</v>
      </c>
      <c r="B949" t="str">
        <f t="shared" si="67"/>
        <v>62330000</v>
      </c>
      <c r="C949" t="str">
        <f t="shared" si="64"/>
        <v>CAL623300000</v>
      </c>
      <c r="E949">
        <v>3329.09</v>
      </c>
      <c r="F949">
        <f t="shared" si="68"/>
        <v>1668.8</v>
      </c>
      <c r="G949">
        <f t="shared" si="65"/>
        <v>1660.2900000000002</v>
      </c>
      <c r="H949">
        <v>1668.8</v>
      </c>
    </row>
    <row r="950" spans="1:9">
      <c r="A950" t="str">
        <f>"CAM"</f>
        <v>CAM</v>
      </c>
      <c r="B950" t="str">
        <f t="shared" si="67"/>
        <v>62330000</v>
      </c>
      <c r="C950" t="str">
        <f t="shared" si="64"/>
        <v>CAM623300000</v>
      </c>
      <c r="E950">
        <v>4069.1</v>
      </c>
      <c r="F950">
        <f t="shared" si="68"/>
        <v>2086</v>
      </c>
      <c r="G950">
        <f t="shared" si="65"/>
        <v>1983.1</v>
      </c>
      <c r="H950">
        <v>2086</v>
      </c>
    </row>
    <row r="951" spans="1:9">
      <c r="A951" t="str">
        <f>"CAU"</f>
        <v>CAU</v>
      </c>
      <c r="B951" t="str">
        <f t="shared" si="67"/>
        <v>62330000</v>
      </c>
      <c r="C951" t="str">
        <f t="shared" si="64"/>
        <v>CAU623300000</v>
      </c>
      <c r="E951">
        <v>4439.1000000000004</v>
      </c>
      <c r="F951">
        <f t="shared" si="68"/>
        <v>2294.6</v>
      </c>
      <c r="G951">
        <f t="shared" si="65"/>
        <v>2144.5000000000005</v>
      </c>
      <c r="H951">
        <v>2294.6</v>
      </c>
    </row>
    <row r="952" spans="1:9">
      <c r="A952" t="str">
        <f>"CHA"</f>
        <v>CHA</v>
      </c>
      <c r="B952" t="str">
        <f t="shared" si="67"/>
        <v>62330000</v>
      </c>
      <c r="C952" t="str">
        <f t="shared" si="64"/>
        <v>CHA623300000</v>
      </c>
      <c r="E952">
        <v>628.49</v>
      </c>
      <c r="F952">
        <v>0</v>
      </c>
      <c r="G952">
        <f t="shared" si="65"/>
        <v>628.49</v>
      </c>
    </row>
    <row r="953" spans="1:9">
      <c r="A953" t="str">
        <f>"CHAM"</f>
        <v>CHAM</v>
      </c>
      <c r="B953" t="str">
        <f t="shared" si="67"/>
        <v>62330000</v>
      </c>
      <c r="C953" t="str">
        <f t="shared" si="64"/>
        <v>CHAM623300000</v>
      </c>
      <c r="E953">
        <v>628.5</v>
      </c>
      <c r="F953">
        <v>0</v>
      </c>
      <c r="G953">
        <f t="shared" si="65"/>
        <v>628.5</v>
      </c>
    </row>
    <row r="954" spans="1:9">
      <c r="A954" t="str">
        <f>"CHART"</f>
        <v>CHART</v>
      </c>
      <c r="B954" t="str">
        <f t="shared" si="67"/>
        <v>62330000</v>
      </c>
      <c r="C954" t="str">
        <f t="shared" si="64"/>
        <v>CHART623300000</v>
      </c>
      <c r="E954">
        <v>888.49</v>
      </c>
      <c r="F954">
        <v>0</v>
      </c>
      <c r="G954">
        <f t="shared" si="65"/>
        <v>888.49</v>
      </c>
    </row>
    <row r="955" spans="1:9">
      <c r="A955" t="str">
        <f>"CLE"</f>
        <v>CLE</v>
      </c>
      <c r="B955" t="str">
        <f t="shared" si="67"/>
        <v>62330000</v>
      </c>
      <c r="C955" t="str">
        <f t="shared" si="64"/>
        <v>CLE623300000</v>
      </c>
      <c r="E955">
        <f>252+H955</f>
        <v>2230.5699999999997</v>
      </c>
      <c r="F955">
        <v>0</v>
      </c>
      <c r="G955">
        <f t="shared" si="65"/>
        <v>2230.5699999999997</v>
      </c>
      <c r="H955">
        <v>1978.57</v>
      </c>
      <c r="I955" t="s">
        <v>564</v>
      </c>
    </row>
    <row r="956" spans="1:9">
      <c r="A956" t="str">
        <f>"COM"</f>
        <v>COM</v>
      </c>
      <c r="B956" t="str">
        <f t="shared" si="67"/>
        <v>62330000</v>
      </c>
      <c r="C956" t="str">
        <f t="shared" si="64"/>
        <v>COM623300000</v>
      </c>
      <c r="E956">
        <v>2959.1</v>
      </c>
      <c r="F956" s="26">
        <f>+H956</f>
        <v>1460.2</v>
      </c>
      <c r="G956">
        <f t="shared" si="65"/>
        <v>1498.8999999999999</v>
      </c>
      <c r="H956" s="433">
        <v>1460.2</v>
      </c>
      <c r="I956" s="113"/>
    </row>
    <row r="957" spans="1:9">
      <c r="A957" t="str">
        <f>"CST"</f>
        <v>CST</v>
      </c>
      <c r="B957" t="str">
        <f t="shared" si="67"/>
        <v>62330000</v>
      </c>
      <c r="C957" t="str">
        <f t="shared" si="64"/>
        <v>CST623300000</v>
      </c>
      <c r="E957">
        <v>628.5</v>
      </c>
      <c r="F957">
        <v>0</v>
      </c>
      <c r="G957">
        <f t="shared" si="65"/>
        <v>628.5</v>
      </c>
    </row>
    <row r="958" spans="1:9">
      <c r="A958" t="str">
        <f>"DIJ"</f>
        <v>DIJ</v>
      </c>
      <c r="B958" t="str">
        <f t="shared" si="67"/>
        <v>62330000</v>
      </c>
      <c r="C958" t="str">
        <f t="shared" si="64"/>
        <v>DIJ623300000</v>
      </c>
      <c r="E958">
        <f>207+H958</f>
        <v>1196.6300000000001</v>
      </c>
      <c r="F958">
        <v>0</v>
      </c>
      <c r="G958">
        <f t="shared" si="65"/>
        <v>1196.6300000000001</v>
      </c>
      <c r="H958">
        <v>989.63</v>
      </c>
      <c r="I958" t="s">
        <v>564</v>
      </c>
    </row>
    <row r="959" spans="1:9">
      <c r="A959" t="str">
        <f>"EU"</f>
        <v>EU</v>
      </c>
      <c r="B959" t="str">
        <f t="shared" si="67"/>
        <v>62330000</v>
      </c>
      <c r="C959" t="str">
        <f t="shared" si="64"/>
        <v>EU623300000</v>
      </c>
      <c r="E959">
        <v>1849.1</v>
      </c>
      <c r="F959">
        <f>+H959</f>
        <v>834.4</v>
      </c>
      <c r="G959">
        <f t="shared" si="65"/>
        <v>1014.6999999999999</v>
      </c>
      <c r="H959">
        <v>834.4</v>
      </c>
    </row>
    <row r="960" spans="1:9">
      <c r="A960" t="str">
        <f>"GRE"</f>
        <v>GRE</v>
      </c>
      <c r="B960" t="str">
        <f t="shared" si="67"/>
        <v>62330000</v>
      </c>
      <c r="C960" t="str">
        <f t="shared" si="64"/>
        <v>GRE623300000</v>
      </c>
      <c r="E960">
        <f>10859.98+H960</f>
        <v>1648.92</v>
      </c>
      <c r="F960">
        <v>0</v>
      </c>
      <c r="G960">
        <f t="shared" si="65"/>
        <v>1648.92</v>
      </c>
      <c r="H960">
        <f>1648.92-10859.98</f>
        <v>-9211.06</v>
      </c>
      <c r="I960" t="s">
        <v>564</v>
      </c>
    </row>
    <row r="961" spans="1:9">
      <c r="A961" t="str">
        <f>"LEN"</f>
        <v>LEN</v>
      </c>
      <c r="B961" t="str">
        <f t="shared" si="67"/>
        <v>62330000</v>
      </c>
      <c r="C961" t="str">
        <f t="shared" si="64"/>
        <v>LEN623300000</v>
      </c>
      <c r="E961">
        <v>2219.1</v>
      </c>
      <c r="F961">
        <f>+H961</f>
        <v>1043</v>
      </c>
      <c r="G961">
        <f t="shared" si="65"/>
        <v>1176.0999999999999</v>
      </c>
      <c r="H961">
        <v>1043</v>
      </c>
    </row>
    <row r="962" spans="1:9">
      <c r="A962" t="str">
        <f>"LIL"</f>
        <v>LIL</v>
      </c>
      <c r="B962" t="str">
        <f t="shared" si="67"/>
        <v>62330000</v>
      </c>
      <c r="C962" t="str">
        <f t="shared" si="64"/>
        <v>LIL623300000</v>
      </c>
      <c r="E962">
        <v>42550</v>
      </c>
      <c r="F962">
        <v>37000</v>
      </c>
      <c r="G962">
        <f t="shared" si="65"/>
        <v>5550</v>
      </c>
    </row>
    <row r="963" spans="1:9">
      <c r="A963" t="str">
        <f>"MAD"</f>
        <v>MAD</v>
      </c>
      <c r="B963" t="str">
        <f t="shared" si="67"/>
        <v>62330000</v>
      </c>
      <c r="C963" t="str">
        <f t="shared" ref="C963:C1026" si="69">+A963&amp;B963*10</f>
        <v>MAD623300000</v>
      </c>
      <c r="E963">
        <v>4439.1000000000004</v>
      </c>
      <c r="F963">
        <f>+H963</f>
        <v>1894.6</v>
      </c>
      <c r="G963">
        <f t="shared" ref="G963:G1026" si="70">+E963-F963</f>
        <v>2544.5000000000005</v>
      </c>
      <c r="H963">
        <v>1894.6</v>
      </c>
    </row>
    <row r="964" spans="1:9">
      <c r="A964" t="str">
        <f>"MAR"</f>
        <v>MAR</v>
      </c>
      <c r="B964" t="str">
        <f t="shared" si="67"/>
        <v>62330000</v>
      </c>
      <c r="C964" t="str">
        <f t="shared" si="69"/>
        <v>MAR623300000</v>
      </c>
      <c r="E964">
        <v>329.64</v>
      </c>
      <c r="F964">
        <v>0</v>
      </c>
      <c r="G964">
        <f t="shared" si="70"/>
        <v>329.64</v>
      </c>
      <c r="H964">
        <v>329.64</v>
      </c>
      <c r="I964" t="s">
        <v>565</v>
      </c>
    </row>
    <row r="965" spans="1:9">
      <c r="A965" t="str">
        <f>"ORL"</f>
        <v>ORL</v>
      </c>
      <c r="B965" t="str">
        <f t="shared" si="67"/>
        <v>62330000</v>
      </c>
      <c r="C965" t="str">
        <f t="shared" si="69"/>
        <v>ORL623300000</v>
      </c>
      <c r="E965">
        <v>628.5</v>
      </c>
      <c r="F965">
        <v>0</v>
      </c>
      <c r="G965">
        <f t="shared" si="70"/>
        <v>628.5</v>
      </c>
    </row>
    <row r="966" spans="1:9">
      <c r="A966" t="str">
        <f>"REN"</f>
        <v>REN</v>
      </c>
      <c r="B966" t="str">
        <f t="shared" si="67"/>
        <v>62330000</v>
      </c>
      <c r="C966" t="str">
        <f t="shared" si="69"/>
        <v>REN623300000</v>
      </c>
      <c r="E966">
        <v>628.5</v>
      </c>
      <c r="F966">
        <v>0</v>
      </c>
      <c r="G966">
        <f t="shared" si="70"/>
        <v>628.5</v>
      </c>
    </row>
    <row r="967" spans="1:9">
      <c r="A967" t="str">
        <f>"ROA"</f>
        <v>ROA</v>
      </c>
      <c r="B967" t="str">
        <f t="shared" si="67"/>
        <v>62330000</v>
      </c>
      <c r="C967" t="str">
        <f t="shared" si="69"/>
        <v>ROA623300000</v>
      </c>
      <c r="E967">
        <f>2227.49+H967</f>
        <v>4206.0599999999995</v>
      </c>
      <c r="F967">
        <v>0</v>
      </c>
      <c r="G967">
        <f t="shared" si="70"/>
        <v>4206.0599999999995</v>
      </c>
      <c r="H967">
        <v>1978.57</v>
      </c>
    </row>
    <row r="968" spans="1:9">
      <c r="A968" t="str">
        <f>"SAU"</f>
        <v>SAU</v>
      </c>
      <c r="B968" t="str">
        <f t="shared" si="67"/>
        <v>62330000</v>
      </c>
      <c r="C968" t="str">
        <f t="shared" si="69"/>
        <v>SAU623300000</v>
      </c>
      <c r="E968">
        <v>628.5</v>
      </c>
      <c r="F968">
        <v>0</v>
      </c>
      <c r="G968">
        <f t="shared" si="70"/>
        <v>628.5</v>
      </c>
    </row>
    <row r="969" spans="1:9">
      <c r="A969" t="str">
        <f>"SOM"</f>
        <v>SOM</v>
      </c>
      <c r="B969" t="str">
        <f t="shared" si="67"/>
        <v>62330000</v>
      </c>
      <c r="C969" t="str">
        <f t="shared" si="69"/>
        <v>SOM623300000</v>
      </c>
      <c r="E969">
        <v>238.18</v>
      </c>
      <c r="F969">
        <v>0</v>
      </c>
      <c r="G969">
        <f t="shared" si="70"/>
        <v>238.18</v>
      </c>
    </row>
    <row r="970" spans="1:9">
      <c r="A970" t="str">
        <f>"THO"</f>
        <v>THO</v>
      </c>
      <c r="B970" t="str">
        <f t="shared" si="67"/>
        <v>62330000</v>
      </c>
      <c r="C970" t="str">
        <f t="shared" si="69"/>
        <v>THO623300000</v>
      </c>
      <c r="E970">
        <v>628.5</v>
      </c>
      <c r="F970">
        <v>0</v>
      </c>
      <c r="G970">
        <f t="shared" si="70"/>
        <v>628.5</v>
      </c>
    </row>
    <row r="971" spans="1:9">
      <c r="A971" t="str">
        <f>"TOURC"</f>
        <v>TOURC</v>
      </c>
      <c r="B971" t="str">
        <f t="shared" si="67"/>
        <v>62330000</v>
      </c>
      <c r="C971" t="str">
        <f t="shared" si="69"/>
        <v>TOURC623300000</v>
      </c>
      <c r="E971">
        <v>369.1</v>
      </c>
      <c r="F971">
        <v>0</v>
      </c>
      <c r="G971">
        <f t="shared" si="70"/>
        <v>369.1</v>
      </c>
    </row>
    <row r="972" spans="1:9">
      <c r="A972" t="str">
        <f>"VAN"</f>
        <v>VAN</v>
      </c>
      <c r="B972" t="str">
        <f t="shared" si="67"/>
        <v>62330000</v>
      </c>
      <c r="C972" t="str">
        <f t="shared" si="69"/>
        <v>VAN623300000</v>
      </c>
      <c r="E972">
        <v>1073.5</v>
      </c>
      <c r="F972">
        <v>0</v>
      </c>
      <c r="G972">
        <f t="shared" si="70"/>
        <v>1073.5</v>
      </c>
    </row>
    <row r="973" spans="1:9">
      <c r="A973" t="str">
        <f>"AMI"</f>
        <v>AMI</v>
      </c>
      <c r="B973" t="str">
        <f t="shared" ref="B973:B1004" si="71">"62341000"</f>
        <v>62341000</v>
      </c>
      <c r="C973" t="str">
        <f t="shared" si="69"/>
        <v>AMI623410000</v>
      </c>
      <c r="E973">
        <v>3805.5</v>
      </c>
      <c r="F973">
        <v>0</v>
      </c>
      <c r="G973">
        <f t="shared" si="70"/>
        <v>3805.5</v>
      </c>
    </row>
    <row r="974" spans="1:9">
      <c r="A974" t="str">
        <f>"ANG"</f>
        <v>ANG</v>
      </c>
      <c r="B974" t="str">
        <f t="shared" si="71"/>
        <v>62341000</v>
      </c>
      <c r="C974" t="str">
        <f t="shared" si="69"/>
        <v>ANG623410000</v>
      </c>
      <c r="E974">
        <v>5250</v>
      </c>
      <c r="F974">
        <v>0</v>
      </c>
      <c r="G974">
        <f t="shared" si="70"/>
        <v>5250</v>
      </c>
    </row>
    <row r="975" spans="1:9">
      <c r="A975" t="str">
        <f>"BET"</f>
        <v>BET</v>
      </c>
      <c r="B975" t="str">
        <f t="shared" si="71"/>
        <v>62341000</v>
      </c>
      <c r="C975" t="str">
        <f t="shared" si="69"/>
        <v>BET623410000</v>
      </c>
      <c r="E975">
        <v>2719.5</v>
      </c>
      <c r="F975">
        <v>0</v>
      </c>
      <c r="G975">
        <f t="shared" si="70"/>
        <v>2719.5</v>
      </c>
    </row>
    <row r="976" spans="1:9">
      <c r="A976" t="str">
        <f>"BOI"</f>
        <v>BOI</v>
      </c>
      <c r="B976" t="str">
        <f t="shared" si="71"/>
        <v>62341000</v>
      </c>
      <c r="C976" t="str">
        <f t="shared" si="69"/>
        <v>BOI623410000</v>
      </c>
      <c r="E976">
        <v>770.25</v>
      </c>
      <c r="F976">
        <v>0</v>
      </c>
      <c r="G976">
        <f t="shared" si="70"/>
        <v>770.25</v>
      </c>
    </row>
    <row r="977" spans="1:9">
      <c r="A977" t="str">
        <f>"BOS"</f>
        <v>BOS</v>
      </c>
      <c r="B977" t="str">
        <f t="shared" si="71"/>
        <v>62341000</v>
      </c>
      <c r="C977" t="str">
        <f t="shared" si="69"/>
        <v>BOS623410000</v>
      </c>
      <c r="E977">
        <v>31135</v>
      </c>
      <c r="F977">
        <v>1135</v>
      </c>
      <c r="G977">
        <f t="shared" si="70"/>
        <v>30000</v>
      </c>
    </row>
    <row r="978" spans="1:9">
      <c r="A978" t="str">
        <f>"BOU"</f>
        <v>BOU</v>
      </c>
      <c r="B978" t="str">
        <f t="shared" si="71"/>
        <v>62341000</v>
      </c>
      <c r="C978" t="str">
        <f t="shared" si="69"/>
        <v>BOU623410000</v>
      </c>
      <c r="E978">
        <v>28622.25</v>
      </c>
      <c r="F978">
        <v>1500</v>
      </c>
      <c r="G978">
        <f t="shared" si="70"/>
        <v>27122.25</v>
      </c>
    </row>
    <row r="979" spans="1:9">
      <c r="A979" t="str">
        <f>"CAL"</f>
        <v>CAL</v>
      </c>
      <c r="B979" t="str">
        <f t="shared" si="71"/>
        <v>62341000</v>
      </c>
      <c r="C979" t="str">
        <f t="shared" si="69"/>
        <v>CAL623410000</v>
      </c>
      <c r="E979">
        <v>19179</v>
      </c>
      <c r="F979">
        <v>0</v>
      </c>
      <c r="G979">
        <f t="shared" si="70"/>
        <v>19179</v>
      </c>
    </row>
    <row r="980" spans="1:9">
      <c r="A980" t="str">
        <f>"CAM"</f>
        <v>CAM</v>
      </c>
      <c r="B980" t="str">
        <f t="shared" si="71"/>
        <v>62341000</v>
      </c>
      <c r="C980" t="str">
        <f t="shared" si="69"/>
        <v>CAM623410000</v>
      </c>
      <c r="E980">
        <v>2442.54</v>
      </c>
      <c r="F980">
        <v>0</v>
      </c>
      <c r="G980">
        <f t="shared" si="70"/>
        <v>2442.54</v>
      </c>
    </row>
    <row r="981" spans="1:9">
      <c r="A981" t="str">
        <f>"CAU"</f>
        <v>CAU</v>
      </c>
      <c r="B981" t="str">
        <f t="shared" si="71"/>
        <v>62341000</v>
      </c>
      <c r="C981" t="str">
        <f t="shared" si="69"/>
        <v>CAU623410000</v>
      </c>
      <c r="E981">
        <v>5597.36</v>
      </c>
      <c r="F981">
        <v>0</v>
      </c>
      <c r="G981">
        <f t="shared" si="70"/>
        <v>5597.36</v>
      </c>
    </row>
    <row r="982" spans="1:9">
      <c r="A982" t="str">
        <f>"CHA"</f>
        <v>CHA</v>
      </c>
      <c r="B982" t="str">
        <f t="shared" si="71"/>
        <v>62341000</v>
      </c>
      <c r="C982" t="str">
        <f t="shared" si="69"/>
        <v>CHA623410000</v>
      </c>
      <c r="E982">
        <v>8749.7000000000007</v>
      </c>
      <c r="F982">
        <v>596</v>
      </c>
      <c r="G982">
        <f t="shared" si="70"/>
        <v>8153.7000000000007</v>
      </c>
    </row>
    <row r="983" spans="1:9">
      <c r="A983" t="str">
        <f>"CHAM"</f>
        <v>CHAM</v>
      </c>
      <c r="B983" t="str">
        <f t="shared" si="71"/>
        <v>62341000</v>
      </c>
      <c r="C983" t="str">
        <f t="shared" si="69"/>
        <v>CHAM623410000</v>
      </c>
      <c r="E983">
        <v>9000</v>
      </c>
      <c r="F983">
        <v>0</v>
      </c>
      <c r="G983">
        <f t="shared" si="70"/>
        <v>9000</v>
      </c>
    </row>
    <row r="984" spans="1:9">
      <c r="A984" t="str">
        <f>"CHART"</f>
        <v>CHART</v>
      </c>
      <c r="B984" t="str">
        <f t="shared" si="71"/>
        <v>62341000</v>
      </c>
      <c r="C984" t="str">
        <f t="shared" si="69"/>
        <v>CHART623410000</v>
      </c>
      <c r="E984">
        <v>7500</v>
      </c>
      <c r="F984">
        <v>0</v>
      </c>
      <c r="G984">
        <f t="shared" si="70"/>
        <v>7500</v>
      </c>
    </row>
    <row r="985" spans="1:9">
      <c r="A985" t="str">
        <f>"CLE"</f>
        <v>CLE</v>
      </c>
      <c r="B985" t="str">
        <f t="shared" si="71"/>
        <v>62341000</v>
      </c>
      <c r="C985" t="str">
        <f t="shared" si="69"/>
        <v>CLE623410000</v>
      </c>
      <c r="E985">
        <v>21750</v>
      </c>
      <c r="F985">
        <v>0</v>
      </c>
      <c r="G985">
        <f t="shared" si="70"/>
        <v>21750</v>
      </c>
    </row>
    <row r="986" spans="1:9">
      <c r="A986" t="str">
        <f>"COM"</f>
        <v>COM</v>
      </c>
      <c r="B986" t="str">
        <f t="shared" si="71"/>
        <v>62341000</v>
      </c>
      <c r="C986" t="str">
        <f t="shared" si="69"/>
        <v>COM623410000</v>
      </c>
      <c r="E986">
        <v>17510.650000000001</v>
      </c>
      <c r="F986">
        <v>50</v>
      </c>
      <c r="G986">
        <f t="shared" si="70"/>
        <v>17460.650000000001</v>
      </c>
    </row>
    <row r="987" spans="1:9">
      <c r="A987" t="str">
        <f>"CST"</f>
        <v>CST</v>
      </c>
      <c r="B987" t="str">
        <f t="shared" si="71"/>
        <v>62341000</v>
      </c>
      <c r="C987" t="str">
        <f t="shared" si="69"/>
        <v>CST623410000</v>
      </c>
      <c r="E987">
        <v>2250</v>
      </c>
      <c r="F987">
        <v>0</v>
      </c>
      <c r="G987">
        <f t="shared" si="70"/>
        <v>2250</v>
      </c>
    </row>
    <row r="988" spans="1:9">
      <c r="A988" t="str">
        <f>"DIJ"</f>
        <v>DIJ</v>
      </c>
      <c r="B988" t="str">
        <f t="shared" si="71"/>
        <v>62341000</v>
      </c>
      <c r="C988" t="str">
        <f t="shared" si="69"/>
        <v>DIJ623410000</v>
      </c>
      <c r="E988">
        <v>2250</v>
      </c>
      <c r="F988">
        <v>0</v>
      </c>
      <c r="G988">
        <f t="shared" si="70"/>
        <v>2250</v>
      </c>
    </row>
    <row r="989" spans="1:9">
      <c r="A989" t="str">
        <f>"EU"</f>
        <v>EU</v>
      </c>
      <c r="B989" t="str">
        <f t="shared" si="71"/>
        <v>62341000</v>
      </c>
      <c r="C989" t="str">
        <f t="shared" si="69"/>
        <v>EU623410000</v>
      </c>
      <c r="E989">
        <v>2469</v>
      </c>
      <c r="F989">
        <v>0</v>
      </c>
      <c r="G989">
        <f t="shared" si="70"/>
        <v>2469</v>
      </c>
    </row>
    <row r="990" spans="1:9">
      <c r="A990" t="str">
        <f>"GRE"</f>
        <v>GRE</v>
      </c>
      <c r="B990" t="str">
        <f t="shared" si="71"/>
        <v>62341000</v>
      </c>
      <c r="C990" t="str">
        <f t="shared" si="69"/>
        <v>GRE623410000</v>
      </c>
      <c r="E990">
        <v>34399.5</v>
      </c>
      <c r="F990">
        <v>0</v>
      </c>
      <c r="G990">
        <f t="shared" si="70"/>
        <v>34399.5</v>
      </c>
    </row>
    <row r="991" spans="1:9">
      <c r="A991" t="str">
        <f>"LEN"</f>
        <v>LEN</v>
      </c>
      <c r="B991" t="str">
        <f t="shared" si="71"/>
        <v>62341000</v>
      </c>
      <c r="C991" t="str">
        <f t="shared" si="69"/>
        <v>LEN623410000</v>
      </c>
      <c r="E991">
        <v>3839.25</v>
      </c>
      <c r="F991">
        <v>0</v>
      </c>
      <c r="G991">
        <f t="shared" si="70"/>
        <v>3839.25</v>
      </c>
    </row>
    <row r="992" spans="1:9">
      <c r="A992" t="str">
        <f>"LIL"</f>
        <v>LIL</v>
      </c>
      <c r="B992" t="str">
        <f t="shared" si="71"/>
        <v>62341000</v>
      </c>
      <c r="C992" t="str">
        <f t="shared" si="69"/>
        <v>LIL623410000</v>
      </c>
      <c r="E992">
        <f>14435.1+H992</f>
        <v>45978.9</v>
      </c>
      <c r="F992">
        <v>-1529</v>
      </c>
      <c r="G992">
        <f t="shared" si="70"/>
        <v>47507.9</v>
      </c>
      <c r="H992">
        <v>31543.8</v>
      </c>
      <c r="I992" s="353" t="s">
        <v>566</v>
      </c>
    </row>
    <row r="993" spans="1:7">
      <c r="A993" t="str">
        <f>"MAD"</f>
        <v>MAD</v>
      </c>
      <c r="B993" t="str">
        <f t="shared" si="71"/>
        <v>62341000</v>
      </c>
      <c r="C993" t="str">
        <f t="shared" si="69"/>
        <v>MAD623410000</v>
      </c>
      <c r="E993">
        <v>10340.25</v>
      </c>
      <c r="F993">
        <v>0</v>
      </c>
      <c r="G993">
        <f t="shared" si="70"/>
        <v>10340.25</v>
      </c>
    </row>
    <row r="994" spans="1:7">
      <c r="A994" t="str">
        <f>"MAR"</f>
        <v>MAR</v>
      </c>
      <c r="B994" t="str">
        <f t="shared" si="71"/>
        <v>62341000</v>
      </c>
      <c r="C994" t="str">
        <f t="shared" si="69"/>
        <v>MAR623410000</v>
      </c>
      <c r="E994">
        <v>1663.5</v>
      </c>
      <c r="F994">
        <v>0</v>
      </c>
      <c r="G994">
        <f t="shared" si="70"/>
        <v>1663.5</v>
      </c>
    </row>
    <row r="995" spans="1:7">
      <c r="A995" t="str">
        <f>"MON"</f>
        <v>MON</v>
      </c>
      <c r="B995" t="str">
        <f t="shared" si="71"/>
        <v>62341000</v>
      </c>
      <c r="C995" t="str">
        <f t="shared" si="69"/>
        <v>MON623410000</v>
      </c>
      <c r="E995">
        <v>12231</v>
      </c>
      <c r="F995">
        <v>0</v>
      </c>
      <c r="G995">
        <f t="shared" si="70"/>
        <v>12231</v>
      </c>
    </row>
    <row r="996" spans="1:7">
      <c r="A996" t="str">
        <f>"NAN"</f>
        <v>NAN</v>
      </c>
      <c r="B996" t="str">
        <f t="shared" si="71"/>
        <v>62341000</v>
      </c>
      <c r="C996" t="str">
        <f t="shared" si="69"/>
        <v>NAN623410000</v>
      </c>
      <c r="E996">
        <v>4012.5</v>
      </c>
      <c r="F996">
        <v>0</v>
      </c>
      <c r="G996">
        <f t="shared" si="70"/>
        <v>4012.5</v>
      </c>
    </row>
    <row r="997" spans="1:7">
      <c r="A997" t="str">
        <f>"ORL"</f>
        <v>ORL</v>
      </c>
      <c r="B997" t="str">
        <f t="shared" si="71"/>
        <v>62341000</v>
      </c>
      <c r="C997" t="str">
        <f t="shared" si="69"/>
        <v>ORL623410000</v>
      </c>
      <c r="E997">
        <v>15000</v>
      </c>
      <c r="F997">
        <v>0</v>
      </c>
      <c r="G997">
        <f t="shared" si="70"/>
        <v>15000</v>
      </c>
    </row>
    <row r="998" spans="1:7">
      <c r="A998" t="str">
        <f>"REN"</f>
        <v>REN</v>
      </c>
      <c r="B998" t="str">
        <f t="shared" si="71"/>
        <v>62341000</v>
      </c>
      <c r="C998" t="str">
        <f t="shared" si="69"/>
        <v>REN623410000</v>
      </c>
      <c r="E998">
        <v>5250</v>
      </c>
      <c r="F998">
        <v>0</v>
      </c>
      <c r="G998">
        <f t="shared" si="70"/>
        <v>5250</v>
      </c>
    </row>
    <row r="999" spans="1:7">
      <c r="A999" t="str">
        <f>"ROA"</f>
        <v>ROA</v>
      </c>
      <c r="B999" t="str">
        <f t="shared" si="71"/>
        <v>62341000</v>
      </c>
      <c r="C999" t="str">
        <f t="shared" si="69"/>
        <v>ROA623410000</v>
      </c>
      <c r="E999">
        <v>13261.5</v>
      </c>
      <c r="F999">
        <v>0</v>
      </c>
      <c r="G999">
        <f t="shared" si="70"/>
        <v>13261.5</v>
      </c>
    </row>
    <row r="1000" spans="1:7">
      <c r="A1000" t="str">
        <f>"SAU"</f>
        <v>SAU</v>
      </c>
      <c r="B1000" t="str">
        <f t="shared" si="71"/>
        <v>62341000</v>
      </c>
      <c r="C1000" t="str">
        <f t="shared" si="69"/>
        <v>SAU623410000</v>
      </c>
      <c r="E1000">
        <v>1600</v>
      </c>
      <c r="F1000">
        <v>100</v>
      </c>
      <c r="G1000">
        <f t="shared" si="70"/>
        <v>1500</v>
      </c>
    </row>
    <row r="1001" spans="1:7">
      <c r="A1001" t="str">
        <f>"SOM"</f>
        <v>SOM</v>
      </c>
      <c r="B1001" t="str">
        <f t="shared" si="71"/>
        <v>62341000</v>
      </c>
      <c r="C1001" t="str">
        <f t="shared" si="69"/>
        <v>SOM623410000</v>
      </c>
      <c r="E1001">
        <v>2393.25</v>
      </c>
      <c r="F1001">
        <v>0</v>
      </c>
      <c r="G1001">
        <f t="shared" si="70"/>
        <v>2393.25</v>
      </c>
    </row>
    <row r="1002" spans="1:7">
      <c r="A1002" t="str">
        <f>"THO"</f>
        <v>THO</v>
      </c>
      <c r="B1002" t="str">
        <f t="shared" si="71"/>
        <v>62341000</v>
      </c>
      <c r="C1002" t="str">
        <f t="shared" si="69"/>
        <v>THO623410000</v>
      </c>
      <c r="E1002">
        <v>6000</v>
      </c>
      <c r="F1002">
        <v>0</v>
      </c>
      <c r="G1002">
        <f t="shared" si="70"/>
        <v>6000</v>
      </c>
    </row>
    <row r="1003" spans="1:7">
      <c r="A1003" t="str">
        <f>"TOURC"</f>
        <v>TOURC</v>
      </c>
      <c r="B1003" t="str">
        <f t="shared" si="71"/>
        <v>62341000</v>
      </c>
      <c r="C1003" t="str">
        <f t="shared" si="69"/>
        <v>TOURC623410000</v>
      </c>
      <c r="E1003">
        <v>1875</v>
      </c>
      <c r="F1003">
        <v>0</v>
      </c>
      <c r="G1003">
        <f t="shared" si="70"/>
        <v>1875</v>
      </c>
    </row>
    <row r="1004" spans="1:7">
      <c r="A1004" t="str">
        <f>"VAN"</f>
        <v>VAN</v>
      </c>
      <c r="B1004" t="str">
        <f t="shared" si="71"/>
        <v>62341000</v>
      </c>
      <c r="C1004" t="str">
        <f t="shared" si="69"/>
        <v>VAN623410000</v>
      </c>
      <c r="E1004">
        <v>11583.75</v>
      </c>
      <c r="F1004">
        <v>0</v>
      </c>
      <c r="G1004">
        <f t="shared" si="70"/>
        <v>11583.75</v>
      </c>
    </row>
    <row r="1005" spans="1:7">
      <c r="A1005" t="str">
        <f>"AMI"</f>
        <v>AMI</v>
      </c>
      <c r="B1005" t="str">
        <f t="shared" ref="B1005:B1032" si="72">"62342000"</f>
        <v>62342000</v>
      </c>
      <c r="C1005" t="str">
        <f t="shared" si="69"/>
        <v>AMI623420000</v>
      </c>
      <c r="E1005">
        <v>-108.73</v>
      </c>
      <c r="F1005">
        <v>0</v>
      </c>
      <c r="G1005">
        <f t="shared" si="70"/>
        <v>-108.73</v>
      </c>
    </row>
    <row r="1006" spans="1:7">
      <c r="A1006" t="str">
        <f>"ANG"</f>
        <v>ANG</v>
      </c>
      <c r="B1006" t="str">
        <f t="shared" si="72"/>
        <v>62342000</v>
      </c>
      <c r="C1006" t="str">
        <f t="shared" si="69"/>
        <v>ANG623420000</v>
      </c>
      <c r="E1006">
        <v>-275.48</v>
      </c>
      <c r="F1006">
        <v>0</v>
      </c>
      <c r="G1006">
        <f t="shared" si="70"/>
        <v>-275.48</v>
      </c>
    </row>
    <row r="1007" spans="1:7">
      <c r="A1007" t="str">
        <f>"BET"</f>
        <v>BET</v>
      </c>
      <c r="B1007" t="str">
        <f t="shared" si="72"/>
        <v>62342000</v>
      </c>
      <c r="C1007" t="str">
        <f t="shared" si="69"/>
        <v>BET623420000</v>
      </c>
      <c r="E1007">
        <v>-5</v>
      </c>
      <c r="F1007">
        <v>0</v>
      </c>
      <c r="G1007">
        <f t="shared" si="70"/>
        <v>-5</v>
      </c>
    </row>
    <row r="1008" spans="1:7">
      <c r="A1008" t="str">
        <f>"BOS"</f>
        <v>BOS</v>
      </c>
      <c r="B1008" t="str">
        <f t="shared" si="72"/>
        <v>62342000</v>
      </c>
      <c r="C1008" t="str">
        <f t="shared" si="69"/>
        <v>BOS623420000</v>
      </c>
      <c r="E1008">
        <v>-386.44</v>
      </c>
      <c r="F1008">
        <v>0</v>
      </c>
      <c r="G1008">
        <f t="shared" si="70"/>
        <v>-386.44</v>
      </c>
    </row>
    <row r="1009" spans="1:7">
      <c r="A1009" t="str">
        <f>"BOU"</f>
        <v>BOU</v>
      </c>
      <c r="B1009" t="str">
        <f t="shared" si="72"/>
        <v>62342000</v>
      </c>
      <c r="C1009" t="str">
        <f t="shared" si="69"/>
        <v>BOU623420000</v>
      </c>
      <c r="E1009">
        <v>-715.63</v>
      </c>
      <c r="F1009">
        <v>0</v>
      </c>
      <c r="G1009">
        <f t="shared" si="70"/>
        <v>-715.63</v>
      </c>
    </row>
    <row r="1010" spans="1:7">
      <c r="A1010" t="str">
        <f>"CAL"</f>
        <v>CAL</v>
      </c>
      <c r="B1010" t="str">
        <f t="shared" si="72"/>
        <v>62342000</v>
      </c>
      <c r="C1010" t="str">
        <f t="shared" si="69"/>
        <v>CAL623420000</v>
      </c>
      <c r="E1010">
        <v>-309.54000000000002</v>
      </c>
      <c r="F1010">
        <v>0</v>
      </c>
      <c r="G1010">
        <f t="shared" si="70"/>
        <v>-309.54000000000002</v>
      </c>
    </row>
    <row r="1011" spans="1:7">
      <c r="A1011" t="str">
        <f>"CAM"</f>
        <v>CAM</v>
      </c>
      <c r="B1011" t="str">
        <f t="shared" si="72"/>
        <v>62342000</v>
      </c>
      <c r="C1011" t="str">
        <f t="shared" si="69"/>
        <v>CAM623420000</v>
      </c>
      <c r="E1011">
        <v>-132.5</v>
      </c>
      <c r="F1011">
        <v>0</v>
      </c>
      <c r="G1011">
        <f t="shared" si="70"/>
        <v>-132.5</v>
      </c>
    </row>
    <row r="1012" spans="1:7">
      <c r="A1012" t="str">
        <f>"CAU"</f>
        <v>CAU</v>
      </c>
      <c r="B1012" t="str">
        <f t="shared" si="72"/>
        <v>62342000</v>
      </c>
      <c r="C1012" t="str">
        <f t="shared" si="69"/>
        <v>CAU623420000</v>
      </c>
      <c r="E1012">
        <v>-315.56</v>
      </c>
      <c r="F1012">
        <v>0</v>
      </c>
      <c r="G1012">
        <f t="shared" si="70"/>
        <v>-315.56</v>
      </c>
    </row>
    <row r="1013" spans="1:7">
      <c r="A1013" t="str">
        <f>"CHA"</f>
        <v>CHA</v>
      </c>
      <c r="B1013" t="str">
        <f t="shared" si="72"/>
        <v>62342000</v>
      </c>
      <c r="C1013" t="str">
        <f t="shared" si="69"/>
        <v>CHA623420000</v>
      </c>
      <c r="E1013">
        <v>-132.69999999999999</v>
      </c>
      <c r="F1013">
        <v>0</v>
      </c>
      <c r="G1013">
        <f t="shared" si="70"/>
        <v>-132.69999999999999</v>
      </c>
    </row>
    <row r="1014" spans="1:7">
      <c r="A1014" t="str">
        <f>"CHAM"</f>
        <v>CHAM</v>
      </c>
      <c r="B1014" t="str">
        <f t="shared" si="72"/>
        <v>62342000</v>
      </c>
      <c r="C1014" t="str">
        <f t="shared" si="69"/>
        <v>CHAM623420000</v>
      </c>
      <c r="E1014">
        <v>-207.42</v>
      </c>
      <c r="F1014">
        <v>0</v>
      </c>
      <c r="G1014">
        <f t="shared" si="70"/>
        <v>-207.42</v>
      </c>
    </row>
    <row r="1015" spans="1:7">
      <c r="A1015" t="str">
        <f>"CHART"</f>
        <v>CHART</v>
      </c>
      <c r="B1015" t="str">
        <f t="shared" si="72"/>
        <v>62342000</v>
      </c>
      <c r="C1015" t="str">
        <f t="shared" si="69"/>
        <v>CHART623420000</v>
      </c>
      <c r="E1015">
        <v>-98.6</v>
      </c>
      <c r="F1015">
        <v>0</v>
      </c>
      <c r="G1015">
        <f t="shared" si="70"/>
        <v>-98.6</v>
      </c>
    </row>
    <row r="1016" spans="1:7">
      <c r="A1016" t="str">
        <f>"CLE"</f>
        <v>CLE</v>
      </c>
      <c r="B1016" t="str">
        <f t="shared" si="72"/>
        <v>62342000</v>
      </c>
      <c r="C1016" t="str">
        <f t="shared" si="69"/>
        <v>CLE623420000</v>
      </c>
      <c r="E1016">
        <v>-364.9</v>
      </c>
      <c r="F1016">
        <v>0</v>
      </c>
      <c r="G1016">
        <f t="shared" si="70"/>
        <v>-364.9</v>
      </c>
    </row>
    <row r="1017" spans="1:7">
      <c r="A1017" t="str">
        <f>"COM"</f>
        <v>COM</v>
      </c>
      <c r="B1017" t="str">
        <f t="shared" si="72"/>
        <v>62342000</v>
      </c>
      <c r="C1017" t="str">
        <f t="shared" si="69"/>
        <v>COM623420000</v>
      </c>
      <c r="E1017">
        <v>-358.8</v>
      </c>
      <c r="F1017">
        <v>0</v>
      </c>
      <c r="G1017">
        <f t="shared" si="70"/>
        <v>-358.8</v>
      </c>
    </row>
    <row r="1018" spans="1:7">
      <c r="A1018" t="str">
        <f>"DIJ"</f>
        <v>DIJ</v>
      </c>
      <c r="B1018" t="str">
        <f t="shared" si="72"/>
        <v>62342000</v>
      </c>
      <c r="C1018" t="str">
        <f t="shared" si="69"/>
        <v>DIJ623420000</v>
      </c>
      <c r="E1018">
        <v>-3.8</v>
      </c>
      <c r="F1018">
        <v>0</v>
      </c>
      <c r="G1018">
        <f t="shared" si="70"/>
        <v>-3.8</v>
      </c>
    </row>
    <row r="1019" spans="1:7">
      <c r="A1019" t="str">
        <f>"EU"</f>
        <v>EU</v>
      </c>
      <c r="B1019" t="str">
        <f t="shared" si="72"/>
        <v>62342000</v>
      </c>
      <c r="C1019" t="str">
        <f t="shared" si="69"/>
        <v>EU623420000</v>
      </c>
      <c r="E1019">
        <v>-23.7</v>
      </c>
      <c r="F1019">
        <v>0</v>
      </c>
      <c r="G1019">
        <f t="shared" si="70"/>
        <v>-23.7</v>
      </c>
    </row>
    <row r="1020" spans="1:7">
      <c r="A1020" t="str">
        <f>"GRE"</f>
        <v>GRE</v>
      </c>
      <c r="B1020" t="str">
        <f t="shared" si="72"/>
        <v>62342000</v>
      </c>
      <c r="C1020" t="str">
        <f t="shared" si="69"/>
        <v>GRE623420000</v>
      </c>
      <c r="E1020">
        <v>-390.2</v>
      </c>
      <c r="F1020">
        <v>0</v>
      </c>
      <c r="G1020">
        <f t="shared" si="70"/>
        <v>-390.2</v>
      </c>
    </row>
    <row r="1021" spans="1:7">
      <c r="A1021" t="str">
        <f>"LEN"</f>
        <v>LEN</v>
      </c>
      <c r="B1021" t="str">
        <f t="shared" si="72"/>
        <v>62342000</v>
      </c>
      <c r="C1021" t="str">
        <f t="shared" si="69"/>
        <v>LEN623420000</v>
      </c>
      <c r="E1021">
        <v>-87.57</v>
      </c>
      <c r="F1021">
        <v>0</v>
      </c>
      <c r="G1021">
        <f t="shared" si="70"/>
        <v>-87.57</v>
      </c>
    </row>
    <row r="1022" spans="1:7">
      <c r="A1022" t="str">
        <f>"LIL"</f>
        <v>LIL</v>
      </c>
      <c r="B1022" t="str">
        <f t="shared" si="72"/>
        <v>62342000</v>
      </c>
      <c r="C1022" t="str">
        <f t="shared" si="69"/>
        <v>LIL623420000</v>
      </c>
      <c r="E1022">
        <v>-295.82</v>
      </c>
      <c r="F1022">
        <v>0</v>
      </c>
      <c r="G1022">
        <f t="shared" si="70"/>
        <v>-295.82</v>
      </c>
    </row>
    <row r="1023" spans="1:7">
      <c r="A1023" t="str">
        <f>"MAD"</f>
        <v>MAD</v>
      </c>
      <c r="B1023" t="str">
        <f t="shared" si="72"/>
        <v>62342000</v>
      </c>
      <c r="C1023" t="str">
        <f t="shared" si="69"/>
        <v>MAD623420000</v>
      </c>
      <c r="E1023">
        <v>-115.37</v>
      </c>
      <c r="F1023">
        <v>0</v>
      </c>
      <c r="G1023">
        <f t="shared" si="70"/>
        <v>-115.37</v>
      </c>
    </row>
    <row r="1024" spans="1:7">
      <c r="A1024" t="str">
        <f>"MON"</f>
        <v>MON</v>
      </c>
      <c r="B1024" t="str">
        <f t="shared" si="72"/>
        <v>62342000</v>
      </c>
      <c r="C1024" t="str">
        <f t="shared" si="69"/>
        <v>MON623420000</v>
      </c>
      <c r="E1024">
        <v>-158.51</v>
      </c>
      <c r="F1024">
        <v>0</v>
      </c>
      <c r="G1024">
        <f t="shared" si="70"/>
        <v>-158.51</v>
      </c>
    </row>
    <row r="1025" spans="1:9">
      <c r="A1025" t="str">
        <f>"NAN"</f>
        <v>NAN</v>
      </c>
      <c r="B1025" t="str">
        <f t="shared" si="72"/>
        <v>62342000</v>
      </c>
      <c r="C1025" t="str">
        <f t="shared" si="69"/>
        <v>NAN623420000</v>
      </c>
      <c r="E1025">
        <v>-159.6</v>
      </c>
      <c r="F1025">
        <v>0</v>
      </c>
      <c r="G1025">
        <f t="shared" si="70"/>
        <v>-159.6</v>
      </c>
      <c r="I1025" s="26"/>
    </row>
    <row r="1026" spans="1:9">
      <c r="A1026" t="str">
        <f>"ORL"</f>
        <v>ORL</v>
      </c>
      <c r="B1026" t="str">
        <f t="shared" si="72"/>
        <v>62342000</v>
      </c>
      <c r="C1026" t="str">
        <f t="shared" si="69"/>
        <v>ORL623420000</v>
      </c>
      <c r="E1026">
        <v>-289.2</v>
      </c>
      <c r="F1026">
        <v>0</v>
      </c>
      <c r="G1026">
        <f t="shared" si="70"/>
        <v>-289.2</v>
      </c>
    </row>
    <row r="1027" spans="1:9">
      <c r="A1027" t="str">
        <f>"REN"</f>
        <v>REN</v>
      </c>
      <c r="B1027" t="str">
        <f t="shared" si="72"/>
        <v>62342000</v>
      </c>
      <c r="C1027" t="str">
        <f t="shared" ref="C1027:C1090" si="73">+A1027&amp;B1027*10</f>
        <v>REN623420000</v>
      </c>
      <c r="E1027">
        <v>-253.62</v>
      </c>
      <c r="F1027">
        <v>0</v>
      </c>
      <c r="G1027">
        <f t="shared" ref="G1027:G1090" si="74">+E1027-F1027</f>
        <v>-253.62</v>
      </c>
    </row>
    <row r="1028" spans="1:9">
      <c r="A1028" t="str">
        <f>"ROA"</f>
        <v>ROA</v>
      </c>
      <c r="B1028" t="str">
        <f t="shared" si="72"/>
        <v>62342000</v>
      </c>
      <c r="C1028" t="str">
        <f t="shared" si="73"/>
        <v>ROA623420000</v>
      </c>
      <c r="E1028">
        <v>-170.81</v>
      </c>
      <c r="F1028">
        <v>0</v>
      </c>
      <c r="G1028">
        <f t="shared" si="74"/>
        <v>-170.81</v>
      </c>
    </row>
    <row r="1029" spans="1:9">
      <c r="A1029" t="str">
        <f>"SAU"</f>
        <v>SAU</v>
      </c>
      <c r="B1029" t="str">
        <f t="shared" si="72"/>
        <v>62342000</v>
      </c>
      <c r="C1029" t="str">
        <f t="shared" si="73"/>
        <v>SAU623420000</v>
      </c>
      <c r="E1029">
        <v>-29.2</v>
      </c>
      <c r="F1029">
        <v>0</v>
      </c>
      <c r="G1029">
        <f t="shared" si="74"/>
        <v>-29.2</v>
      </c>
      <c r="I1029" s="353"/>
    </row>
    <row r="1030" spans="1:9">
      <c r="A1030" t="str">
        <f>"THO"</f>
        <v>THO</v>
      </c>
      <c r="B1030" t="str">
        <f t="shared" si="72"/>
        <v>62342000</v>
      </c>
      <c r="C1030" t="str">
        <f t="shared" si="73"/>
        <v>THO623420000</v>
      </c>
      <c r="E1030">
        <v>-58.06</v>
      </c>
      <c r="F1030">
        <v>0</v>
      </c>
      <c r="G1030">
        <f t="shared" si="74"/>
        <v>-58.06</v>
      </c>
    </row>
    <row r="1031" spans="1:9">
      <c r="A1031" t="str">
        <f>"TOURC"</f>
        <v>TOURC</v>
      </c>
      <c r="B1031" t="str">
        <f t="shared" si="72"/>
        <v>62342000</v>
      </c>
      <c r="C1031" t="str">
        <f t="shared" si="73"/>
        <v>TOURC623420000</v>
      </c>
      <c r="E1031">
        <v>-93.14</v>
      </c>
      <c r="F1031">
        <v>0</v>
      </c>
      <c r="G1031">
        <f t="shared" si="74"/>
        <v>-93.14</v>
      </c>
    </row>
    <row r="1032" spans="1:9">
      <c r="A1032" t="str">
        <f>"VAN"</f>
        <v>VAN</v>
      </c>
      <c r="B1032" t="str">
        <f t="shared" si="72"/>
        <v>62342000</v>
      </c>
      <c r="C1032" t="str">
        <f t="shared" si="73"/>
        <v>VAN623420000</v>
      </c>
      <c r="E1032">
        <v>-194</v>
      </c>
      <c r="F1032">
        <v>0</v>
      </c>
      <c r="G1032">
        <f t="shared" si="74"/>
        <v>-194</v>
      </c>
    </row>
    <row r="1033" spans="1:9">
      <c r="A1033" t="str">
        <f>"AMI"</f>
        <v>AMI</v>
      </c>
      <c r="B1033" t="str">
        <f t="shared" ref="B1033:B1064" si="75">"62370000"</f>
        <v>62370000</v>
      </c>
      <c r="C1033" t="str">
        <f t="shared" si="73"/>
        <v>AMI623700000</v>
      </c>
      <c r="E1033">
        <v>1121.03</v>
      </c>
      <c r="F1033">
        <v>-552.4</v>
      </c>
      <c r="G1033">
        <f t="shared" si="74"/>
        <v>1673.4299999999998</v>
      </c>
    </row>
    <row r="1034" spans="1:9">
      <c r="A1034" t="str">
        <f>"ANG"</f>
        <v>ANG</v>
      </c>
      <c r="B1034" t="str">
        <f t="shared" si="75"/>
        <v>62370000</v>
      </c>
      <c r="C1034" t="str">
        <f t="shared" si="73"/>
        <v>ANG623700000</v>
      </c>
      <c r="E1034">
        <v>2118.98</v>
      </c>
      <c r="F1034">
        <v>-552.4</v>
      </c>
      <c r="G1034">
        <f t="shared" si="74"/>
        <v>2671.38</v>
      </c>
    </row>
    <row r="1035" spans="1:9">
      <c r="A1035" t="str">
        <f>"BET"</f>
        <v>BET</v>
      </c>
      <c r="B1035" t="str">
        <f t="shared" si="75"/>
        <v>62370000</v>
      </c>
      <c r="C1035" t="str">
        <f t="shared" si="73"/>
        <v>BET623700000</v>
      </c>
      <c r="E1035">
        <v>781.9</v>
      </c>
      <c r="F1035">
        <v>-552.4</v>
      </c>
      <c r="G1035">
        <f t="shared" si="74"/>
        <v>1334.3</v>
      </c>
    </row>
    <row r="1036" spans="1:9">
      <c r="A1036" t="str">
        <f>"BOI"</f>
        <v>BOI</v>
      </c>
      <c r="B1036" t="str">
        <f t="shared" si="75"/>
        <v>62370000</v>
      </c>
      <c r="C1036" t="str">
        <f t="shared" si="73"/>
        <v>BOI623700000</v>
      </c>
      <c r="E1036">
        <v>720.62</v>
      </c>
      <c r="F1036">
        <v>-552.4</v>
      </c>
      <c r="G1036">
        <f t="shared" si="74"/>
        <v>1273.02</v>
      </c>
    </row>
    <row r="1037" spans="1:9">
      <c r="A1037" t="str">
        <f>"BOS"</f>
        <v>BOS</v>
      </c>
      <c r="B1037" t="str">
        <f t="shared" si="75"/>
        <v>62370000</v>
      </c>
      <c r="C1037" t="str">
        <f t="shared" si="73"/>
        <v>BOS623700000</v>
      </c>
      <c r="E1037">
        <v>1856.78</v>
      </c>
      <c r="F1037">
        <v>-552.4</v>
      </c>
      <c r="G1037">
        <f t="shared" si="74"/>
        <v>2409.1799999999998</v>
      </c>
    </row>
    <row r="1038" spans="1:9">
      <c r="A1038" t="str">
        <f>"BOU"</f>
        <v>BOU</v>
      </c>
      <c r="B1038" t="str">
        <f t="shared" si="75"/>
        <v>62370000</v>
      </c>
      <c r="C1038" t="str">
        <f t="shared" si="73"/>
        <v>BOU623700000</v>
      </c>
      <c r="E1038">
        <v>2330.7399999999998</v>
      </c>
      <c r="F1038">
        <v>-552.4</v>
      </c>
      <c r="G1038">
        <f t="shared" si="74"/>
        <v>2883.14</v>
      </c>
    </row>
    <row r="1039" spans="1:9">
      <c r="A1039" t="str">
        <f>"CAL"</f>
        <v>CAL</v>
      </c>
      <c r="B1039" t="str">
        <f t="shared" si="75"/>
        <v>62370000</v>
      </c>
      <c r="C1039" t="str">
        <f t="shared" si="73"/>
        <v>CAL623700000</v>
      </c>
      <c r="E1039">
        <v>2737.9</v>
      </c>
      <c r="F1039">
        <v>-552.4</v>
      </c>
      <c r="G1039">
        <f t="shared" si="74"/>
        <v>3290.3</v>
      </c>
    </row>
    <row r="1040" spans="1:9">
      <c r="A1040" t="str">
        <f>"CAM"</f>
        <v>CAM</v>
      </c>
      <c r="B1040" t="str">
        <f t="shared" si="75"/>
        <v>62370000</v>
      </c>
      <c r="C1040" t="str">
        <f t="shared" si="73"/>
        <v>CAM623700000</v>
      </c>
      <c r="E1040">
        <v>1543.97</v>
      </c>
      <c r="F1040">
        <v>-552.4</v>
      </c>
      <c r="G1040">
        <f t="shared" si="74"/>
        <v>2096.37</v>
      </c>
    </row>
    <row r="1041" spans="1:9">
      <c r="A1041" t="str">
        <f>"CAU"</f>
        <v>CAU</v>
      </c>
      <c r="B1041" t="str">
        <f t="shared" si="75"/>
        <v>62370000</v>
      </c>
      <c r="C1041" t="str">
        <f t="shared" si="73"/>
        <v>CAU623700000</v>
      </c>
      <c r="E1041">
        <v>908.49</v>
      </c>
      <c r="F1041">
        <v>-552.4</v>
      </c>
      <c r="G1041">
        <f t="shared" si="74"/>
        <v>1460.8899999999999</v>
      </c>
    </row>
    <row r="1042" spans="1:9">
      <c r="A1042" t="str">
        <f>"CHA"</f>
        <v>CHA</v>
      </c>
      <c r="B1042" t="str">
        <f t="shared" si="75"/>
        <v>62370000</v>
      </c>
      <c r="C1042" t="str">
        <f t="shared" si="73"/>
        <v>CHA623700000</v>
      </c>
      <c r="E1042">
        <v>1035.6300000000001</v>
      </c>
      <c r="F1042">
        <v>-552.4</v>
      </c>
      <c r="G1042">
        <f t="shared" si="74"/>
        <v>1588.0300000000002</v>
      </c>
    </row>
    <row r="1043" spans="1:9">
      <c r="A1043" t="str">
        <f>"CHAM"</f>
        <v>CHAM</v>
      </c>
      <c r="B1043" t="str">
        <f t="shared" si="75"/>
        <v>62370000</v>
      </c>
      <c r="C1043" t="str">
        <f t="shared" si="73"/>
        <v>CHAM623700000</v>
      </c>
      <c r="E1043">
        <v>3349.63</v>
      </c>
      <c r="F1043">
        <v>-552.4</v>
      </c>
      <c r="G1043">
        <f t="shared" si="74"/>
        <v>3902.03</v>
      </c>
      <c r="I1043" s="353"/>
    </row>
    <row r="1044" spans="1:9">
      <c r="A1044" t="str">
        <f>"CHART"</f>
        <v>CHART</v>
      </c>
      <c r="B1044" t="str">
        <f t="shared" si="75"/>
        <v>62370000</v>
      </c>
      <c r="C1044" t="str">
        <f t="shared" si="73"/>
        <v>CHART623700000</v>
      </c>
      <c r="E1044">
        <v>2088.5100000000002</v>
      </c>
      <c r="F1044">
        <v>-552.4</v>
      </c>
      <c r="G1044">
        <f t="shared" si="74"/>
        <v>2640.9100000000003</v>
      </c>
    </row>
    <row r="1045" spans="1:9">
      <c r="A1045" t="str">
        <f>"CLE"</f>
        <v>CLE</v>
      </c>
      <c r="B1045" t="str">
        <f t="shared" si="75"/>
        <v>62370000</v>
      </c>
      <c r="C1045" t="str">
        <f t="shared" si="73"/>
        <v>CLE623700000</v>
      </c>
      <c r="E1045">
        <v>3337.62</v>
      </c>
      <c r="F1045">
        <v>-552.4</v>
      </c>
      <c r="G1045">
        <f t="shared" si="74"/>
        <v>3890.02</v>
      </c>
    </row>
    <row r="1046" spans="1:9">
      <c r="A1046" t="str">
        <f>"COM"</f>
        <v>COM</v>
      </c>
      <c r="B1046" t="str">
        <f t="shared" si="75"/>
        <v>62370000</v>
      </c>
      <c r="C1046" t="str">
        <f t="shared" si="73"/>
        <v>COM623700000</v>
      </c>
      <c r="E1046">
        <v>1622.78</v>
      </c>
      <c r="F1046">
        <v>-552.4</v>
      </c>
      <c r="G1046">
        <f t="shared" si="74"/>
        <v>2175.1799999999998</v>
      </c>
    </row>
    <row r="1047" spans="1:9">
      <c r="A1047" t="str">
        <f>"CST"</f>
        <v>CST</v>
      </c>
      <c r="B1047" t="str">
        <f t="shared" si="75"/>
        <v>62370000</v>
      </c>
      <c r="C1047" t="str">
        <f t="shared" si="73"/>
        <v>CST623700000</v>
      </c>
      <c r="E1047">
        <v>1348.65</v>
      </c>
      <c r="F1047">
        <v>-552.4</v>
      </c>
      <c r="G1047">
        <f t="shared" si="74"/>
        <v>1901.0500000000002</v>
      </c>
    </row>
    <row r="1048" spans="1:9">
      <c r="A1048" t="str">
        <f>"DIJ"</f>
        <v>DIJ</v>
      </c>
      <c r="B1048" t="str">
        <f t="shared" si="75"/>
        <v>62370000</v>
      </c>
      <c r="C1048" t="str">
        <f t="shared" si="73"/>
        <v>DIJ623700000</v>
      </c>
      <c r="E1048">
        <v>4253.0200000000004</v>
      </c>
      <c r="F1048">
        <v>0</v>
      </c>
      <c r="G1048">
        <f t="shared" si="74"/>
        <v>4253.0200000000004</v>
      </c>
    </row>
    <row r="1049" spans="1:9">
      <c r="A1049" t="str">
        <f>"EU"</f>
        <v>EU</v>
      </c>
      <c r="B1049" t="str">
        <f t="shared" si="75"/>
        <v>62370000</v>
      </c>
      <c r="C1049" t="str">
        <f t="shared" si="73"/>
        <v>EU623700000</v>
      </c>
      <c r="E1049">
        <v>9219.11</v>
      </c>
      <c r="F1049">
        <v>-552.4</v>
      </c>
      <c r="G1049">
        <f t="shared" si="74"/>
        <v>9771.51</v>
      </c>
    </row>
    <row r="1050" spans="1:9">
      <c r="A1050" t="str">
        <f>"GRE"</f>
        <v>GRE</v>
      </c>
      <c r="B1050" t="str">
        <f t="shared" si="75"/>
        <v>62370000</v>
      </c>
      <c r="C1050" t="str">
        <f t="shared" si="73"/>
        <v>GRE623700000</v>
      </c>
      <c r="E1050">
        <v>7032.03</v>
      </c>
      <c r="F1050">
        <v>-552.4</v>
      </c>
      <c r="G1050">
        <f t="shared" si="74"/>
        <v>7584.4299999999994</v>
      </c>
    </row>
    <row r="1051" spans="1:9">
      <c r="A1051" t="str">
        <f>"LEN"</f>
        <v>LEN</v>
      </c>
      <c r="B1051" t="str">
        <f t="shared" si="75"/>
        <v>62370000</v>
      </c>
      <c r="C1051" t="str">
        <f t="shared" si="73"/>
        <v>LEN623700000</v>
      </c>
      <c r="E1051">
        <v>641.63</v>
      </c>
      <c r="F1051">
        <v>-552.4</v>
      </c>
      <c r="G1051">
        <f t="shared" si="74"/>
        <v>1194.03</v>
      </c>
    </row>
    <row r="1052" spans="1:9">
      <c r="A1052" t="str">
        <f>"LIL"</f>
        <v>LIL</v>
      </c>
      <c r="B1052" t="str">
        <f t="shared" si="75"/>
        <v>62370000</v>
      </c>
      <c r="C1052" t="str">
        <f t="shared" si="73"/>
        <v>LIL623700000</v>
      </c>
      <c r="E1052">
        <v>-5131.62</v>
      </c>
      <c r="F1052">
        <v>-24640.02</v>
      </c>
      <c r="G1052">
        <f t="shared" si="74"/>
        <v>19508.400000000001</v>
      </c>
    </row>
    <row r="1053" spans="1:9">
      <c r="A1053" t="str">
        <f>"MAD"</f>
        <v>MAD</v>
      </c>
      <c r="B1053" t="str">
        <f t="shared" si="75"/>
        <v>62370000</v>
      </c>
      <c r="C1053" t="str">
        <f t="shared" si="73"/>
        <v>MAD623700000</v>
      </c>
      <c r="E1053">
        <v>3924.92</v>
      </c>
      <c r="F1053">
        <v>-552.4</v>
      </c>
      <c r="G1053">
        <f t="shared" si="74"/>
        <v>4477.32</v>
      </c>
    </row>
    <row r="1054" spans="1:9">
      <c r="A1054" t="str">
        <f>"MAR"</f>
        <v>MAR</v>
      </c>
      <c r="B1054" t="str">
        <f t="shared" si="75"/>
        <v>62370000</v>
      </c>
      <c r="C1054" t="str">
        <f t="shared" si="73"/>
        <v>MAR623700000</v>
      </c>
      <c r="E1054">
        <v>972.22</v>
      </c>
      <c r="F1054">
        <v>-552.4</v>
      </c>
      <c r="G1054">
        <f t="shared" si="74"/>
        <v>1524.62</v>
      </c>
    </row>
    <row r="1055" spans="1:9">
      <c r="A1055" t="str">
        <f>"MON"</f>
        <v>MON</v>
      </c>
      <c r="B1055" t="str">
        <f t="shared" si="75"/>
        <v>62370000</v>
      </c>
      <c r="C1055" t="str">
        <f t="shared" si="73"/>
        <v>MON623700000</v>
      </c>
      <c r="E1055">
        <v>1141.77</v>
      </c>
      <c r="F1055">
        <v>-552.4</v>
      </c>
      <c r="G1055">
        <f t="shared" si="74"/>
        <v>1694.17</v>
      </c>
    </row>
    <row r="1056" spans="1:9">
      <c r="A1056" t="str">
        <f>"NAN"</f>
        <v>NAN</v>
      </c>
      <c r="B1056" t="str">
        <f t="shared" si="75"/>
        <v>62370000</v>
      </c>
      <c r="C1056" t="str">
        <f t="shared" si="73"/>
        <v>NAN623700000</v>
      </c>
      <c r="E1056">
        <v>1773.99</v>
      </c>
      <c r="F1056">
        <v>-552.4</v>
      </c>
      <c r="G1056">
        <f t="shared" si="74"/>
        <v>2326.39</v>
      </c>
    </row>
    <row r="1057" spans="1:9">
      <c r="A1057" t="str">
        <f>"ORL"</f>
        <v>ORL</v>
      </c>
      <c r="B1057" t="str">
        <f t="shared" si="75"/>
        <v>62370000</v>
      </c>
      <c r="C1057" t="str">
        <f t="shared" si="73"/>
        <v>ORL623700000</v>
      </c>
      <c r="E1057">
        <v>3347.99</v>
      </c>
      <c r="F1057">
        <v>-552.4</v>
      </c>
      <c r="G1057">
        <f t="shared" si="74"/>
        <v>3900.39</v>
      </c>
    </row>
    <row r="1058" spans="1:9">
      <c r="A1058" t="str">
        <f>"REN"</f>
        <v>REN</v>
      </c>
      <c r="B1058" t="str">
        <f t="shared" si="75"/>
        <v>62370000</v>
      </c>
      <c r="C1058" t="str">
        <f t="shared" si="73"/>
        <v>REN623700000</v>
      </c>
      <c r="E1058">
        <v>2137.96</v>
      </c>
      <c r="F1058">
        <v>-552.4</v>
      </c>
      <c r="G1058">
        <f t="shared" si="74"/>
        <v>2690.36</v>
      </c>
    </row>
    <row r="1059" spans="1:9">
      <c r="A1059" t="str">
        <f>"ROA"</f>
        <v>ROA</v>
      </c>
      <c r="B1059" t="str">
        <f t="shared" si="75"/>
        <v>62370000</v>
      </c>
      <c r="C1059" t="str">
        <f t="shared" si="73"/>
        <v>ROA623700000</v>
      </c>
      <c r="E1059">
        <v>3078.17</v>
      </c>
      <c r="F1059">
        <v>-552.4</v>
      </c>
      <c r="G1059">
        <f t="shared" si="74"/>
        <v>3630.57</v>
      </c>
    </row>
    <row r="1060" spans="1:9">
      <c r="A1060" t="str">
        <f>"SAU"</f>
        <v>SAU</v>
      </c>
      <c r="B1060" t="str">
        <f t="shared" si="75"/>
        <v>62370000</v>
      </c>
      <c r="C1060" t="str">
        <f t="shared" si="73"/>
        <v>SAU623700000</v>
      </c>
      <c r="E1060">
        <v>793.61</v>
      </c>
      <c r="F1060">
        <v>-552.4</v>
      </c>
      <c r="G1060">
        <f t="shared" si="74"/>
        <v>1346.01</v>
      </c>
    </row>
    <row r="1061" spans="1:9">
      <c r="A1061" t="str">
        <f>"SOM"</f>
        <v>SOM</v>
      </c>
      <c r="B1061" t="str">
        <f t="shared" si="75"/>
        <v>62370000</v>
      </c>
      <c r="C1061" t="str">
        <f t="shared" si="73"/>
        <v>SOM623700000</v>
      </c>
      <c r="E1061">
        <v>2325.4899999999998</v>
      </c>
      <c r="F1061">
        <v>-552.4</v>
      </c>
      <c r="G1061">
        <f t="shared" si="74"/>
        <v>2877.89</v>
      </c>
    </row>
    <row r="1062" spans="1:9">
      <c r="A1062" t="str">
        <f>"THO"</f>
        <v>THO</v>
      </c>
      <c r="B1062" t="str">
        <f t="shared" si="75"/>
        <v>62370000</v>
      </c>
      <c r="C1062" t="str">
        <f t="shared" si="73"/>
        <v>THO623700000</v>
      </c>
      <c r="E1062">
        <v>1102.97</v>
      </c>
      <c r="F1062">
        <v>-552.4</v>
      </c>
      <c r="G1062">
        <f t="shared" si="74"/>
        <v>1655.37</v>
      </c>
      <c r="I1062" s="26"/>
    </row>
    <row r="1063" spans="1:9">
      <c r="A1063" t="str">
        <f>"TOURC"</f>
        <v>TOURC</v>
      </c>
      <c r="B1063" t="str">
        <f t="shared" si="75"/>
        <v>62370000</v>
      </c>
      <c r="C1063" t="str">
        <f t="shared" si="73"/>
        <v>TOURC623700000</v>
      </c>
      <c r="E1063">
        <v>2315.88</v>
      </c>
      <c r="F1063">
        <v>-552.4</v>
      </c>
      <c r="G1063">
        <f t="shared" si="74"/>
        <v>2868.28</v>
      </c>
      <c r="I1063" s="26"/>
    </row>
    <row r="1064" spans="1:9">
      <c r="A1064" t="str">
        <f>"VAN"</f>
        <v>VAN</v>
      </c>
      <c r="B1064" t="str">
        <f t="shared" si="75"/>
        <v>62370000</v>
      </c>
      <c r="C1064" t="str">
        <f t="shared" si="73"/>
        <v>VAN623700000</v>
      </c>
      <c r="E1064">
        <v>2577.08</v>
      </c>
      <c r="F1064">
        <v>-552.4</v>
      </c>
      <c r="G1064">
        <f t="shared" si="74"/>
        <v>3129.48</v>
      </c>
    </row>
    <row r="1065" spans="1:9">
      <c r="A1065" t="str">
        <f>"BOS"</f>
        <v>BOS</v>
      </c>
      <c r="B1065" t="str">
        <f t="shared" ref="B1065:B1076" si="76">"62380000"</f>
        <v>62380000</v>
      </c>
      <c r="C1065" t="str">
        <f t="shared" si="73"/>
        <v>BOS623800000</v>
      </c>
      <c r="E1065">
        <v>71.5</v>
      </c>
      <c r="F1065">
        <v>0</v>
      </c>
      <c r="G1065">
        <f t="shared" si="74"/>
        <v>71.5</v>
      </c>
    </row>
    <row r="1066" spans="1:9">
      <c r="A1066" t="str">
        <f>"CAM"</f>
        <v>CAM</v>
      </c>
      <c r="B1066" t="str">
        <f t="shared" si="76"/>
        <v>62380000</v>
      </c>
      <c r="C1066" t="str">
        <f t="shared" si="73"/>
        <v>CAM623800000</v>
      </c>
      <c r="E1066">
        <v>121</v>
      </c>
      <c r="F1066">
        <v>0</v>
      </c>
      <c r="G1066">
        <f t="shared" si="74"/>
        <v>121</v>
      </c>
    </row>
    <row r="1067" spans="1:9">
      <c r="A1067" t="str">
        <f>"CAU"</f>
        <v>CAU</v>
      </c>
      <c r="B1067" t="str">
        <f t="shared" si="76"/>
        <v>62380000</v>
      </c>
      <c r="C1067" t="str">
        <f t="shared" si="73"/>
        <v>CAU623800000</v>
      </c>
      <c r="E1067">
        <v>155</v>
      </c>
      <c r="F1067">
        <v>0</v>
      </c>
      <c r="G1067">
        <f t="shared" si="74"/>
        <v>155</v>
      </c>
    </row>
    <row r="1068" spans="1:9">
      <c r="A1068" t="str">
        <f>"CHA"</f>
        <v>CHA</v>
      </c>
      <c r="B1068" t="str">
        <f t="shared" si="76"/>
        <v>62380000</v>
      </c>
      <c r="C1068" t="str">
        <f t="shared" si="73"/>
        <v>CHA623800000</v>
      </c>
      <c r="E1068">
        <v>0</v>
      </c>
      <c r="F1068">
        <v>0</v>
      </c>
      <c r="G1068">
        <f t="shared" si="74"/>
        <v>0</v>
      </c>
    </row>
    <row r="1069" spans="1:9">
      <c r="A1069" t="str">
        <f>"CHART"</f>
        <v>CHART</v>
      </c>
      <c r="B1069" t="str">
        <f t="shared" si="76"/>
        <v>62380000</v>
      </c>
      <c r="C1069" t="str">
        <f t="shared" si="73"/>
        <v>CHART623800000</v>
      </c>
      <c r="E1069">
        <v>180.85</v>
      </c>
      <c r="F1069">
        <v>0</v>
      </c>
      <c r="G1069">
        <f t="shared" si="74"/>
        <v>180.85</v>
      </c>
    </row>
    <row r="1070" spans="1:9">
      <c r="A1070" t="str">
        <f>"CLE"</f>
        <v>CLE</v>
      </c>
      <c r="B1070" t="str">
        <f t="shared" si="76"/>
        <v>62380000</v>
      </c>
      <c r="C1070" t="str">
        <f t="shared" si="73"/>
        <v>CLE623800000</v>
      </c>
      <c r="E1070">
        <v>70</v>
      </c>
      <c r="F1070">
        <v>0</v>
      </c>
      <c r="G1070">
        <f t="shared" si="74"/>
        <v>70</v>
      </c>
    </row>
    <row r="1071" spans="1:9">
      <c r="A1071" t="str">
        <f>"COM"</f>
        <v>COM</v>
      </c>
      <c r="B1071" t="str">
        <f t="shared" si="76"/>
        <v>62380000</v>
      </c>
      <c r="C1071" t="str">
        <f t="shared" si="73"/>
        <v>COM623800000</v>
      </c>
      <c r="E1071">
        <v>4</v>
      </c>
      <c r="F1071">
        <v>0</v>
      </c>
      <c r="G1071">
        <f t="shared" si="74"/>
        <v>4</v>
      </c>
    </row>
    <row r="1072" spans="1:9">
      <c r="A1072" t="str">
        <f>"EU"</f>
        <v>EU</v>
      </c>
      <c r="B1072" t="str">
        <f t="shared" si="76"/>
        <v>62380000</v>
      </c>
      <c r="C1072" t="str">
        <f t="shared" si="73"/>
        <v>EU623800000</v>
      </c>
      <c r="E1072">
        <v>20</v>
      </c>
      <c r="F1072">
        <v>0</v>
      </c>
      <c r="G1072">
        <f t="shared" si="74"/>
        <v>20</v>
      </c>
    </row>
    <row r="1073" spans="1:9">
      <c r="A1073" t="str">
        <f>"LEN"</f>
        <v>LEN</v>
      </c>
      <c r="B1073" t="str">
        <f t="shared" si="76"/>
        <v>62380000</v>
      </c>
      <c r="C1073" t="str">
        <f t="shared" si="73"/>
        <v>LEN623800000</v>
      </c>
      <c r="E1073">
        <v>100</v>
      </c>
      <c r="F1073">
        <v>0</v>
      </c>
      <c r="G1073">
        <f t="shared" si="74"/>
        <v>100</v>
      </c>
    </row>
    <row r="1074" spans="1:9">
      <c r="A1074" t="str">
        <f>"ORL"</f>
        <v>ORL</v>
      </c>
      <c r="B1074" t="str">
        <f t="shared" si="76"/>
        <v>62380000</v>
      </c>
      <c r="C1074" t="str">
        <f t="shared" si="73"/>
        <v>ORL623800000</v>
      </c>
      <c r="E1074">
        <v>235</v>
      </c>
      <c r="F1074">
        <v>0</v>
      </c>
      <c r="G1074">
        <f t="shared" si="74"/>
        <v>235</v>
      </c>
    </row>
    <row r="1075" spans="1:9">
      <c r="A1075" t="str">
        <f>"SOM"</f>
        <v>SOM</v>
      </c>
      <c r="B1075" t="str">
        <f t="shared" si="76"/>
        <v>62380000</v>
      </c>
      <c r="C1075" t="str">
        <f t="shared" si="73"/>
        <v>SOM623800000</v>
      </c>
      <c r="E1075">
        <v>30</v>
      </c>
      <c r="F1075">
        <v>0</v>
      </c>
      <c r="G1075">
        <f t="shared" si="74"/>
        <v>30</v>
      </c>
    </row>
    <row r="1076" spans="1:9">
      <c r="A1076" t="str">
        <f>"THO"</f>
        <v>THO</v>
      </c>
      <c r="B1076" t="str">
        <f t="shared" si="76"/>
        <v>62380000</v>
      </c>
      <c r="C1076" t="str">
        <f t="shared" si="73"/>
        <v>THO623800000</v>
      </c>
      <c r="E1076">
        <v>50</v>
      </c>
      <c r="F1076">
        <v>0</v>
      </c>
      <c r="G1076">
        <f t="shared" si="74"/>
        <v>50</v>
      </c>
    </row>
    <row r="1077" spans="1:9">
      <c r="A1077" t="str">
        <f>"AMI"</f>
        <v>AMI</v>
      </c>
      <c r="B1077" t="str">
        <f t="shared" ref="B1077:B1106" si="77">"62381000"</f>
        <v>62381000</v>
      </c>
      <c r="C1077" t="str">
        <f t="shared" si="73"/>
        <v>AMI623810000</v>
      </c>
      <c r="E1077">
        <v>0</v>
      </c>
      <c r="F1077">
        <v>0</v>
      </c>
      <c r="G1077">
        <f t="shared" si="74"/>
        <v>0</v>
      </c>
    </row>
    <row r="1078" spans="1:9">
      <c r="A1078" t="str">
        <f>"ANG"</f>
        <v>ANG</v>
      </c>
      <c r="B1078" t="str">
        <f t="shared" si="77"/>
        <v>62381000</v>
      </c>
      <c r="C1078" t="str">
        <f t="shared" si="73"/>
        <v>ANG623810000</v>
      </c>
      <c r="E1078">
        <v>0</v>
      </c>
      <c r="F1078">
        <v>0</v>
      </c>
      <c r="G1078">
        <f t="shared" si="74"/>
        <v>0</v>
      </c>
    </row>
    <row r="1079" spans="1:9">
      <c r="A1079" t="str">
        <f>"BET"</f>
        <v>BET</v>
      </c>
      <c r="B1079" t="str">
        <f t="shared" si="77"/>
        <v>62381000</v>
      </c>
      <c r="C1079" t="str">
        <f t="shared" si="73"/>
        <v>BET623810000</v>
      </c>
      <c r="E1079">
        <v>0</v>
      </c>
      <c r="F1079">
        <v>0</v>
      </c>
      <c r="G1079">
        <f t="shared" si="74"/>
        <v>0</v>
      </c>
    </row>
    <row r="1080" spans="1:9">
      <c r="A1080" t="str">
        <f>"BOI"</f>
        <v>BOI</v>
      </c>
      <c r="B1080" t="str">
        <f t="shared" si="77"/>
        <v>62381000</v>
      </c>
      <c r="C1080" t="str">
        <f t="shared" si="73"/>
        <v>BOI623810000</v>
      </c>
      <c r="E1080">
        <v>0</v>
      </c>
      <c r="F1080">
        <v>0</v>
      </c>
      <c r="G1080">
        <f t="shared" si="74"/>
        <v>0</v>
      </c>
    </row>
    <row r="1081" spans="1:9">
      <c r="A1081" t="str">
        <f>"BOS"</f>
        <v>BOS</v>
      </c>
      <c r="B1081" t="str">
        <f t="shared" si="77"/>
        <v>62381000</v>
      </c>
      <c r="C1081" t="str">
        <f t="shared" si="73"/>
        <v>BOS623810000</v>
      </c>
      <c r="E1081">
        <v>0</v>
      </c>
      <c r="F1081">
        <v>0</v>
      </c>
      <c r="G1081">
        <f t="shared" si="74"/>
        <v>0</v>
      </c>
    </row>
    <row r="1082" spans="1:9">
      <c r="A1082" t="str">
        <f>"BOU"</f>
        <v>BOU</v>
      </c>
      <c r="B1082" t="str">
        <f t="shared" si="77"/>
        <v>62381000</v>
      </c>
      <c r="C1082" t="str">
        <f t="shared" si="73"/>
        <v>BOU623810000</v>
      </c>
      <c r="E1082">
        <v>0</v>
      </c>
      <c r="F1082">
        <v>0</v>
      </c>
      <c r="G1082">
        <f t="shared" si="74"/>
        <v>0</v>
      </c>
    </row>
    <row r="1083" spans="1:9">
      <c r="A1083" t="str">
        <f>"CAL"</f>
        <v>CAL</v>
      </c>
      <c r="B1083" t="str">
        <f t="shared" si="77"/>
        <v>62381000</v>
      </c>
      <c r="C1083" t="str">
        <f t="shared" si="73"/>
        <v>CAL623810000</v>
      </c>
      <c r="E1083">
        <v>0</v>
      </c>
      <c r="F1083">
        <v>0</v>
      </c>
      <c r="G1083">
        <f t="shared" si="74"/>
        <v>0</v>
      </c>
      <c r="H1083" s="433"/>
      <c r="I1083" s="113"/>
    </row>
    <row r="1084" spans="1:9">
      <c r="A1084" t="str">
        <f>"CAM"</f>
        <v>CAM</v>
      </c>
      <c r="B1084" t="str">
        <f t="shared" si="77"/>
        <v>62381000</v>
      </c>
      <c r="C1084" t="str">
        <f t="shared" si="73"/>
        <v>CAM623810000</v>
      </c>
      <c r="E1084">
        <v>0</v>
      </c>
      <c r="F1084">
        <v>0</v>
      </c>
      <c r="G1084">
        <f t="shared" si="74"/>
        <v>0</v>
      </c>
    </row>
    <row r="1085" spans="1:9">
      <c r="A1085" t="str">
        <f>"CAU"</f>
        <v>CAU</v>
      </c>
      <c r="B1085" t="str">
        <f t="shared" si="77"/>
        <v>62381000</v>
      </c>
      <c r="C1085" t="str">
        <f t="shared" si="73"/>
        <v>CAU623810000</v>
      </c>
      <c r="E1085">
        <v>0</v>
      </c>
      <c r="F1085">
        <v>0</v>
      </c>
      <c r="G1085">
        <f t="shared" si="74"/>
        <v>0</v>
      </c>
    </row>
    <row r="1086" spans="1:9">
      <c r="A1086" t="str">
        <f>"CHA"</f>
        <v>CHA</v>
      </c>
      <c r="B1086" t="str">
        <f t="shared" si="77"/>
        <v>62381000</v>
      </c>
      <c r="C1086" t="str">
        <f t="shared" si="73"/>
        <v>CHA623810000</v>
      </c>
      <c r="E1086">
        <v>0</v>
      </c>
      <c r="F1086">
        <v>0</v>
      </c>
      <c r="G1086">
        <f t="shared" si="74"/>
        <v>0</v>
      </c>
    </row>
    <row r="1087" spans="1:9">
      <c r="A1087" t="str">
        <f>"CHAM"</f>
        <v>CHAM</v>
      </c>
      <c r="B1087" t="str">
        <f t="shared" si="77"/>
        <v>62381000</v>
      </c>
      <c r="C1087" t="str">
        <f t="shared" si="73"/>
        <v>CHAM623810000</v>
      </c>
      <c r="E1087">
        <v>0</v>
      </c>
      <c r="F1087">
        <v>0</v>
      </c>
      <c r="G1087">
        <f t="shared" si="74"/>
        <v>0</v>
      </c>
    </row>
    <row r="1088" spans="1:9">
      <c r="A1088" t="str">
        <f>"CHART"</f>
        <v>CHART</v>
      </c>
      <c r="B1088" t="str">
        <f t="shared" si="77"/>
        <v>62381000</v>
      </c>
      <c r="C1088" t="str">
        <f t="shared" si="73"/>
        <v>CHART623810000</v>
      </c>
      <c r="E1088">
        <v>0</v>
      </c>
      <c r="F1088">
        <v>0</v>
      </c>
      <c r="G1088">
        <f t="shared" si="74"/>
        <v>0</v>
      </c>
    </row>
    <row r="1089" spans="1:9">
      <c r="A1089" t="str">
        <f>"CLE"</f>
        <v>CLE</v>
      </c>
      <c r="B1089" t="str">
        <f t="shared" si="77"/>
        <v>62381000</v>
      </c>
      <c r="C1089" t="str">
        <f t="shared" si="73"/>
        <v>CLE623810000</v>
      </c>
      <c r="E1089">
        <v>-3750</v>
      </c>
      <c r="F1089">
        <v>0</v>
      </c>
      <c r="G1089">
        <f t="shared" si="74"/>
        <v>-3750</v>
      </c>
    </row>
    <row r="1090" spans="1:9">
      <c r="A1090" t="str">
        <f>"COM"</f>
        <v>COM</v>
      </c>
      <c r="B1090" t="str">
        <f t="shared" si="77"/>
        <v>62381000</v>
      </c>
      <c r="C1090" t="str">
        <f t="shared" si="73"/>
        <v>COM623810000</v>
      </c>
      <c r="E1090">
        <v>0</v>
      </c>
      <c r="F1090">
        <v>0</v>
      </c>
      <c r="G1090">
        <f t="shared" si="74"/>
        <v>0</v>
      </c>
    </row>
    <row r="1091" spans="1:9">
      <c r="A1091" t="str">
        <f>"CST"</f>
        <v>CST</v>
      </c>
      <c r="B1091" t="str">
        <f t="shared" si="77"/>
        <v>62381000</v>
      </c>
      <c r="C1091" t="str">
        <f t="shared" ref="C1091:C1154" si="78">+A1091&amp;B1091*10</f>
        <v>CST623810000</v>
      </c>
      <c r="E1091">
        <v>0</v>
      </c>
      <c r="F1091">
        <v>0</v>
      </c>
      <c r="G1091">
        <f t="shared" ref="G1091:G1154" si="79">+E1091-F1091</f>
        <v>0</v>
      </c>
    </row>
    <row r="1092" spans="1:9">
      <c r="A1092" t="str">
        <f>"EU"</f>
        <v>EU</v>
      </c>
      <c r="B1092" t="str">
        <f t="shared" si="77"/>
        <v>62381000</v>
      </c>
      <c r="C1092" t="str">
        <f t="shared" si="78"/>
        <v>EU623810000</v>
      </c>
      <c r="E1092">
        <v>0</v>
      </c>
      <c r="F1092">
        <v>0</v>
      </c>
      <c r="G1092">
        <f t="shared" si="79"/>
        <v>0</v>
      </c>
    </row>
    <row r="1093" spans="1:9">
      <c r="A1093" t="str">
        <f>"GRE"</f>
        <v>GRE</v>
      </c>
      <c r="B1093" t="str">
        <f t="shared" si="77"/>
        <v>62381000</v>
      </c>
      <c r="C1093" t="str">
        <f t="shared" si="78"/>
        <v>GRE623810000</v>
      </c>
      <c r="E1093">
        <v>0</v>
      </c>
      <c r="F1093">
        <v>0</v>
      </c>
      <c r="G1093">
        <f t="shared" si="79"/>
        <v>0</v>
      </c>
    </row>
    <row r="1094" spans="1:9">
      <c r="A1094" t="str">
        <f>"LEN"</f>
        <v>LEN</v>
      </c>
      <c r="B1094" t="str">
        <f t="shared" si="77"/>
        <v>62381000</v>
      </c>
      <c r="C1094" t="str">
        <f t="shared" si="78"/>
        <v>LEN623810000</v>
      </c>
      <c r="E1094">
        <v>0</v>
      </c>
      <c r="F1094">
        <v>0</v>
      </c>
      <c r="G1094">
        <f t="shared" si="79"/>
        <v>0</v>
      </c>
    </row>
    <row r="1095" spans="1:9">
      <c r="A1095" t="str">
        <f>"MAD"</f>
        <v>MAD</v>
      </c>
      <c r="B1095" t="str">
        <f t="shared" si="77"/>
        <v>62381000</v>
      </c>
      <c r="C1095" t="str">
        <f t="shared" si="78"/>
        <v>MAD623810000</v>
      </c>
      <c r="E1095">
        <v>0</v>
      </c>
      <c r="F1095">
        <v>0</v>
      </c>
      <c r="G1095">
        <f t="shared" si="79"/>
        <v>0</v>
      </c>
    </row>
    <row r="1096" spans="1:9">
      <c r="A1096" t="str">
        <f>"MAR"</f>
        <v>MAR</v>
      </c>
      <c r="B1096" t="str">
        <f t="shared" si="77"/>
        <v>62381000</v>
      </c>
      <c r="C1096" t="str">
        <f t="shared" si="78"/>
        <v>MAR623810000</v>
      </c>
      <c r="E1096">
        <v>0</v>
      </c>
      <c r="F1096">
        <v>0</v>
      </c>
      <c r="G1096">
        <f t="shared" si="79"/>
        <v>0</v>
      </c>
    </row>
    <row r="1097" spans="1:9">
      <c r="A1097" t="str">
        <f>"MON"</f>
        <v>MON</v>
      </c>
      <c r="B1097" t="str">
        <f t="shared" si="77"/>
        <v>62381000</v>
      </c>
      <c r="C1097" t="str">
        <f t="shared" si="78"/>
        <v>MON623810000</v>
      </c>
      <c r="E1097">
        <v>0</v>
      </c>
      <c r="F1097">
        <v>0</v>
      </c>
      <c r="G1097">
        <f t="shared" si="79"/>
        <v>0</v>
      </c>
    </row>
    <row r="1098" spans="1:9">
      <c r="A1098" t="str">
        <f>"NAN"</f>
        <v>NAN</v>
      </c>
      <c r="B1098" t="str">
        <f t="shared" si="77"/>
        <v>62381000</v>
      </c>
      <c r="C1098" t="str">
        <f t="shared" si="78"/>
        <v>NAN623810000</v>
      </c>
      <c r="E1098">
        <v>0</v>
      </c>
      <c r="F1098">
        <v>0</v>
      </c>
      <c r="G1098">
        <f t="shared" si="79"/>
        <v>0</v>
      </c>
    </row>
    <row r="1099" spans="1:9">
      <c r="A1099" t="str">
        <f>"ORL"</f>
        <v>ORL</v>
      </c>
      <c r="B1099" t="str">
        <f t="shared" si="77"/>
        <v>62381000</v>
      </c>
      <c r="C1099" t="str">
        <f t="shared" si="78"/>
        <v>ORL623810000</v>
      </c>
      <c r="E1099">
        <v>0</v>
      </c>
      <c r="F1099">
        <v>0</v>
      </c>
      <c r="G1099">
        <f t="shared" si="79"/>
        <v>0</v>
      </c>
    </row>
    <row r="1100" spans="1:9">
      <c r="A1100" t="str">
        <f>"REN"</f>
        <v>REN</v>
      </c>
      <c r="B1100" t="str">
        <f t="shared" si="77"/>
        <v>62381000</v>
      </c>
      <c r="C1100" t="str">
        <f t="shared" si="78"/>
        <v>REN623810000</v>
      </c>
      <c r="E1100">
        <v>-500.25</v>
      </c>
      <c r="F1100">
        <v>0</v>
      </c>
      <c r="G1100">
        <f t="shared" si="79"/>
        <v>-500.25</v>
      </c>
    </row>
    <row r="1101" spans="1:9">
      <c r="A1101" t="str">
        <f>"ROA"</f>
        <v>ROA</v>
      </c>
      <c r="B1101" t="str">
        <f t="shared" si="77"/>
        <v>62381000</v>
      </c>
      <c r="C1101" t="str">
        <f t="shared" si="78"/>
        <v>ROA623810000</v>
      </c>
      <c r="E1101">
        <v>-1294.33</v>
      </c>
      <c r="F1101">
        <v>0</v>
      </c>
      <c r="G1101">
        <f t="shared" si="79"/>
        <v>-1294.33</v>
      </c>
    </row>
    <row r="1102" spans="1:9">
      <c r="A1102" t="str">
        <f>"SAU"</f>
        <v>SAU</v>
      </c>
      <c r="B1102" t="str">
        <f t="shared" si="77"/>
        <v>62381000</v>
      </c>
      <c r="C1102" t="str">
        <f t="shared" si="78"/>
        <v>SAU623810000</v>
      </c>
      <c r="E1102">
        <v>0</v>
      </c>
      <c r="F1102">
        <v>0</v>
      </c>
      <c r="G1102">
        <f t="shared" si="79"/>
        <v>0</v>
      </c>
    </row>
    <row r="1103" spans="1:9">
      <c r="A1103" t="str">
        <f>"SOM"</f>
        <v>SOM</v>
      </c>
      <c r="B1103" t="str">
        <f t="shared" si="77"/>
        <v>62381000</v>
      </c>
      <c r="C1103" t="str">
        <f t="shared" si="78"/>
        <v>SOM623810000</v>
      </c>
      <c r="E1103">
        <v>-2317.5</v>
      </c>
      <c r="F1103">
        <v>0</v>
      </c>
      <c r="G1103">
        <f t="shared" si="79"/>
        <v>-2317.5</v>
      </c>
      <c r="H1103" s="433"/>
      <c r="I1103" s="113"/>
    </row>
    <row r="1104" spans="1:9">
      <c r="A1104" t="str">
        <f>"THO"</f>
        <v>THO</v>
      </c>
      <c r="B1104" t="str">
        <f t="shared" si="77"/>
        <v>62381000</v>
      </c>
      <c r="C1104" t="str">
        <f t="shared" si="78"/>
        <v>THO623810000</v>
      </c>
      <c r="E1104">
        <v>0</v>
      </c>
      <c r="F1104">
        <v>0</v>
      </c>
      <c r="G1104">
        <f t="shared" si="79"/>
        <v>0</v>
      </c>
    </row>
    <row r="1105" spans="1:13">
      <c r="A1105" t="str">
        <f>"TOURC"</f>
        <v>TOURC</v>
      </c>
      <c r="B1105" t="str">
        <f t="shared" si="77"/>
        <v>62381000</v>
      </c>
      <c r="C1105" t="str">
        <f t="shared" si="78"/>
        <v>TOURC623810000</v>
      </c>
      <c r="E1105">
        <v>0</v>
      </c>
      <c r="F1105">
        <v>0</v>
      </c>
      <c r="G1105">
        <f t="shared" si="79"/>
        <v>0</v>
      </c>
      <c r="M1105" s="113"/>
    </row>
    <row r="1106" spans="1:13">
      <c r="A1106" t="str">
        <f>"VAN"</f>
        <v>VAN</v>
      </c>
      <c r="B1106" t="str">
        <f t="shared" si="77"/>
        <v>62381000</v>
      </c>
      <c r="C1106" t="str">
        <f t="shared" si="78"/>
        <v>VAN623810000</v>
      </c>
      <c r="E1106">
        <v>0</v>
      </c>
      <c r="F1106">
        <v>0</v>
      </c>
      <c r="G1106">
        <f t="shared" si="79"/>
        <v>0</v>
      </c>
    </row>
    <row r="1107" spans="1:13">
      <c r="A1107" t="str">
        <f>"AMI"</f>
        <v>AMI</v>
      </c>
      <c r="B1107" t="str">
        <f t="shared" ref="B1107:B1137" si="80">"62420000"</f>
        <v>62420000</v>
      </c>
      <c r="C1107" t="str">
        <f t="shared" si="78"/>
        <v>AMI624200000</v>
      </c>
      <c r="E1107">
        <v>5602.07</v>
      </c>
      <c r="F1107">
        <v>0</v>
      </c>
      <c r="G1107">
        <f t="shared" si="79"/>
        <v>5602.07</v>
      </c>
    </row>
    <row r="1108" spans="1:13">
      <c r="A1108" t="str">
        <f>"ANG"</f>
        <v>ANG</v>
      </c>
      <c r="B1108" t="str">
        <f t="shared" si="80"/>
        <v>62420000</v>
      </c>
      <c r="C1108" t="str">
        <f t="shared" si="78"/>
        <v>ANG624200000</v>
      </c>
      <c r="E1108">
        <v>7852.81</v>
      </c>
      <c r="F1108">
        <v>0</v>
      </c>
      <c r="G1108">
        <f t="shared" si="79"/>
        <v>7852.81</v>
      </c>
    </row>
    <row r="1109" spans="1:13">
      <c r="A1109" t="str">
        <f>"BET"</f>
        <v>BET</v>
      </c>
      <c r="B1109" t="str">
        <f t="shared" si="80"/>
        <v>62420000</v>
      </c>
      <c r="C1109" t="str">
        <f t="shared" si="78"/>
        <v>BET624200000</v>
      </c>
      <c r="E1109">
        <v>1193.52</v>
      </c>
      <c r="F1109">
        <v>0</v>
      </c>
      <c r="G1109">
        <f t="shared" si="79"/>
        <v>1193.52</v>
      </c>
    </row>
    <row r="1110" spans="1:13">
      <c r="A1110" t="str">
        <f>"BOI"</f>
        <v>BOI</v>
      </c>
      <c r="B1110" t="str">
        <f t="shared" si="80"/>
        <v>62420000</v>
      </c>
      <c r="C1110" t="str">
        <f t="shared" si="78"/>
        <v>BOI624200000</v>
      </c>
      <c r="E1110">
        <v>128.91</v>
      </c>
      <c r="F1110">
        <v>0</v>
      </c>
      <c r="G1110">
        <f t="shared" si="79"/>
        <v>128.91</v>
      </c>
    </row>
    <row r="1111" spans="1:13">
      <c r="A1111" t="str">
        <f>"BOS"</f>
        <v>BOS</v>
      </c>
      <c r="B1111" t="str">
        <f t="shared" si="80"/>
        <v>62420000</v>
      </c>
      <c r="C1111" t="str">
        <f t="shared" si="78"/>
        <v>BOS624200000</v>
      </c>
      <c r="E1111">
        <v>11436.22</v>
      </c>
      <c r="F1111">
        <v>0</v>
      </c>
      <c r="G1111">
        <f t="shared" si="79"/>
        <v>11436.22</v>
      </c>
    </row>
    <row r="1112" spans="1:13">
      <c r="A1112" t="str">
        <f>"BOU"</f>
        <v>BOU</v>
      </c>
      <c r="B1112" t="str">
        <f t="shared" si="80"/>
        <v>62420000</v>
      </c>
      <c r="C1112" t="str">
        <f t="shared" si="78"/>
        <v>BOU624200000</v>
      </c>
      <c r="E1112">
        <v>22972.51</v>
      </c>
      <c r="F1112">
        <v>0</v>
      </c>
      <c r="G1112">
        <f t="shared" si="79"/>
        <v>22972.51</v>
      </c>
    </row>
    <row r="1113" spans="1:13">
      <c r="A1113" t="str">
        <f>"CAL"</f>
        <v>CAL</v>
      </c>
      <c r="B1113" t="str">
        <f t="shared" si="80"/>
        <v>62420000</v>
      </c>
      <c r="C1113" t="str">
        <f t="shared" si="78"/>
        <v>CAL624200000</v>
      </c>
      <c r="E1113">
        <v>21035.3</v>
      </c>
      <c r="F1113">
        <v>0</v>
      </c>
      <c r="G1113">
        <f t="shared" si="79"/>
        <v>21035.3</v>
      </c>
    </row>
    <row r="1114" spans="1:13">
      <c r="A1114" t="str">
        <f>"CAM"</f>
        <v>CAM</v>
      </c>
      <c r="B1114" t="str">
        <f t="shared" si="80"/>
        <v>62420000</v>
      </c>
      <c r="C1114" t="str">
        <f t="shared" si="78"/>
        <v>CAM624200000</v>
      </c>
      <c r="E1114">
        <v>931.74</v>
      </c>
      <c r="F1114">
        <v>0</v>
      </c>
      <c r="G1114">
        <f t="shared" si="79"/>
        <v>931.74</v>
      </c>
    </row>
    <row r="1115" spans="1:13">
      <c r="A1115" t="str">
        <f>"CAU"</f>
        <v>CAU</v>
      </c>
      <c r="B1115" t="str">
        <f t="shared" si="80"/>
        <v>62420000</v>
      </c>
      <c r="C1115" t="str">
        <f t="shared" si="78"/>
        <v>CAU624200000</v>
      </c>
      <c r="E1115">
        <v>7939.97</v>
      </c>
      <c r="F1115">
        <v>0</v>
      </c>
      <c r="G1115">
        <f t="shared" si="79"/>
        <v>7939.97</v>
      </c>
    </row>
    <row r="1116" spans="1:13">
      <c r="A1116" t="str">
        <f>"CHA"</f>
        <v>CHA</v>
      </c>
      <c r="B1116" t="str">
        <f t="shared" si="80"/>
        <v>62420000</v>
      </c>
      <c r="C1116" t="str">
        <f t="shared" si="78"/>
        <v>CHA624200000</v>
      </c>
      <c r="E1116">
        <v>3381.39</v>
      </c>
      <c r="F1116">
        <v>0</v>
      </c>
      <c r="G1116">
        <f t="shared" si="79"/>
        <v>3381.39</v>
      </c>
    </row>
    <row r="1117" spans="1:13">
      <c r="A1117" t="str">
        <f>"CHAM"</f>
        <v>CHAM</v>
      </c>
      <c r="B1117" t="str">
        <f t="shared" si="80"/>
        <v>62420000</v>
      </c>
      <c r="C1117" t="str">
        <f t="shared" si="78"/>
        <v>CHAM624200000</v>
      </c>
      <c r="E1117">
        <v>1145.55</v>
      </c>
      <c r="F1117">
        <v>0</v>
      </c>
      <c r="G1117">
        <f t="shared" si="79"/>
        <v>1145.55</v>
      </c>
    </row>
    <row r="1118" spans="1:13">
      <c r="A1118" t="str">
        <f>"CHART"</f>
        <v>CHART</v>
      </c>
      <c r="B1118" t="str">
        <f t="shared" si="80"/>
        <v>62420000</v>
      </c>
      <c r="C1118" t="str">
        <f t="shared" si="78"/>
        <v>CHART624200000</v>
      </c>
      <c r="E1118">
        <v>5480.15</v>
      </c>
      <c r="F1118">
        <v>0</v>
      </c>
      <c r="G1118">
        <f t="shared" si="79"/>
        <v>5480.15</v>
      </c>
    </row>
    <row r="1119" spans="1:13">
      <c r="A1119" t="str">
        <f>"CLE"</f>
        <v>CLE</v>
      </c>
      <c r="B1119" t="str">
        <f t="shared" si="80"/>
        <v>62420000</v>
      </c>
      <c r="C1119" t="str">
        <f t="shared" si="78"/>
        <v>CLE624200000</v>
      </c>
      <c r="E1119">
        <v>8467.35</v>
      </c>
      <c r="F1119">
        <v>0</v>
      </c>
      <c r="G1119">
        <f t="shared" si="79"/>
        <v>8467.35</v>
      </c>
    </row>
    <row r="1120" spans="1:13">
      <c r="A1120" t="str">
        <f>"COM"</f>
        <v>COM</v>
      </c>
      <c r="B1120" t="str">
        <f t="shared" si="80"/>
        <v>62420000</v>
      </c>
      <c r="C1120" t="str">
        <f t="shared" si="78"/>
        <v>COM624200000</v>
      </c>
      <c r="E1120">
        <v>6061.7</v>
      </c>
      <c r="F1120">
        <v>0</v>
      </c>
      <c r="G1120">
        <f t="shared" si="79"/>
        <v>6061.7</v>
      </c>
    </row>
    <row r="1121" spans="1:10">
      <c r="A1121" t="str">
        <f>"CST"</f>
        <v>CST</v>
      </c>
      <c r="B1121" t="str">
        <f t="shared" si="80"/>
        <v>62420000</v>
      </c>
      <c r="C1121" t="str">
        <f t="shared" si="78"/>
        <v>CST624200000</v>
      </c>
      <c r="E1121">
        <v>9287.4500000000007</v>
      </c>
      <c r="F1121">
        <v>0</v>
      </c>
      <c r="G1121">
        <f t="shared" si="79"/>
        <v>9287.4500000000007</v>
      </c>
    </row>
    <row r="1122" spans="1:10">
      <c r="A1122" t="str">
        <f>"DIJ"</f>
        <v>DIJ</v>
      </c>
      <c r="B1122" t="str">
        <f t="shared" si="80"/>
        <v>62420000</v>
      </c>
      <c r="C1122" t="str">
        <f t="shared" si="78"/>
        <v>DIJ624200000</v>
      </c>
      <c r="E1122">
        <v>5167.76</v>
      </c>
      <c r="F1122">
        <v>0</v>
      </c>
      <c r="G1122">
        <f t="shared" si="79"/>
        <v>5167.76</v>
      </c>
    </row>
    <row r="1123" spans="1:10">
      <c r="A1123" t="str">
        <f>"EU"</f>
        <v>EU</v>
      </c>
      <c r="B1123" t="str">
        <f t="shared" si="80"/>
        <v>62420000</v>
      </c>
      <c r="C1123" t="str">
        <f t="shared" si="78"/>
        <v>EU624200000</v>
      </c>
      <c r="E1123">
        <v>2173.4699999999998</v>
      </c>
      <c r="F1123">
        <v>0</v>
      </c>
      <c r="G1123">
        <f t="shared" si="79"/>
        <v>2173.4699999999998</v>
      </c>
    </row>
    <row r="1124" spans="1:10">
      <c r="A1124" t="str">
        <f>"GRE"</f>
        <v>GRE</v>
      </c>
      <c r="B1124" t="str">
        <f t="shared" si="80"/>
        <v>62420000</v>
      </c>
      <c r="C1124" t="str">
        <f t="shared" si="78"/>
        <v>GRE624200000</v>
      </c>
      <c r="E1124">
        <v>5758.62</v>
      </c>
      <c r="F1124">
        <v>0</v>
      </c>
      <c r="G1124">
        <f t="shared" si="79"/>
        <v>5758.62</v>
      </c>
      <c r="I1124" s="353"/>
      <c r="J1124" s="26"/>
    </row>
    <row r="1125" spans="1:10">
      <c r="A1125" t="str">
        <f>"LEN"</f>
        <v>LEN</v>
      </c>
      <c r="B1125" t="str">
        <f t="shared" si="80"/>
        <v>62420000</v>
      </c>
      <c r="C1125" t="str">
        <f t="shared" si="78"/>
        <v>LEN624200000</v>
      </c>
      <c r="E1125">
        <v>2111.4499999999998</v>
      </c>
      <c r="F1125">
        <v>0</v>
      </c>
      <c r="G1125">
        <f t="shared" si="79"/>
        <v>2111.4499999999998</v>
      </c>
      <c r="H1125" s="433"/>
      <c r="I1125" s="113"/>
    </row>
    <row r="1126" spans="1:10">
      <c r="A1126" t="str">
        <f>"MAD"</f>
        <v>MAD</v>
      </c>
      <c r="B1126" t="str">
        <f t="shared" si="80"/>
        <v>62420000</v>
      </c>
      <c r="C1126" t="str">
        <f t="shared" si="78"/>
        <v>MAD624200000</v>
      </c>
      <c r="E1126">
        <v>4974.18</v>
      </c>
      <c r="F1126">
        <v>0</v>
      </c>
      <c r="G1126">
        <f t="shared" si="79"/>
        <v>4974.18</v>
      </c>
    </row>
    <row r="1127" spans="1:10">
      <c r="A1127" t="str">
        <f>"MAR"</f>
        <v>MAR</v>
      </c>
      <c r="B1127" t="str">
        <f t="shared" si="80"/>
        <v>62420000</v>
      </c>
      <c r="C1127" t="str">
        <f t="shared" si="78"/>
        <v>MAR624200000</v>
      </c>
      <c r="E1127">
        <v>15.24</v>
      </c>
      <c r="F1127">
        <v>0</v>
      </c>
      <c r="G1127">
        <f t="shared" si="79"/>
        <v>15.24</v>
      </c>
    </row>
    <row r="1128" spans="1:10">
      <c r="A1128" t="str">
        <f>"MON"</f>
        <v>MON</v>
      </c>
      <c r="B1128" t="str">
        <f t="shared" si="80"/>
        <v>62420000</v>
      </c>
      <c r="C1128" t="str">
        <f t="shared" si="78"/>
        <v>MON624200000</v>
      </c>
      <c r="E1128">
        <v>5737.7</v>
      </c>
      <c r="F1128">
        <v>0</v>
      </c>
      <c r="G1128">
        <f t="shared" si="79"/>
        <v>5737.7</v>
      </c>
    </row>
    <row r="1129" spans="1:10">
      <c r="A1129" t="str">
        <f>"NAN"</f>
        <v>NAN</v>
      </c>
      <c r="B1129" t="str">
        <f t="shared" si="80"/>
        <v>62420000</v>
      </c>
      <c r="C1129" t="str">
        <f t="shared" si="78"/>
        <v>NAN624200000</v>
      </c>
      <c r="E1129">
        <v>204.96</v>
      </c>
      <c r="F1129">
        <v>0</v>
      </c>
      <c r="G1129">
        <f t="shared" si="79"/>
        <v>204.96</v>
      </c>
    </row>
    <row r="1130" spans="1:10">
      <c r="A1130" t="str">
        <f>"ORL"</f>
        <v>ORL</v>
      </c>
      <c r="B1130" t="str">
        <f t="shared" si="80"/>
        <v>62420000</v>
      </c>
      <c r="C1130" t="str">
        <f t="shared" si="78"/>
        <v>ORL624200000</v>
      </c>
      <c r="E1130">
        <v>5712.56</v>
      </c>
      <c r="F1130">
        <v>0</v>
      </c>
      <c r="G1130">
        <f t="shared" si="79"/>
        <v>5712.56</v>
      </c>
    </row>
    <row r="1131" spans="1:10">
      <c r="A1131" t="str">
        <f>"REN"</f>
        <v>REN</v>
      </c>
      <c r="B1131" t="str">
        <f t="shared" si="80"/>
        <v>62420000</v>
      </c>
      <c r="C1131" t="str">
        <f t="shared" si="78"/>
        <v>REN624200000</v>
      </c>
      <c r="E1131">
        <v>7789.27</v>
      </c>
      <c r="F1131">
        <v>0</v>
      </c>
      <c r="G1131">
        <f t="shared" si="79"/>
        <v>7789.27</v>
      </c>
    </row>
    <row r="1132" spans="1:10">
      <c r="A1132" t="str">
        <f>"ROA"</f>
        <v>ROA</v>
      </c>
      <c r="B1132" t="str">
        <f t="shared" si="80"/>
        <v>62420000</v>
      </c>
      <c r="C1132" t="str">
        <f t="shared" si="78"/>
        <v>ROA624200000</v>
      </c>
      <c r="E1132">
        <v>4942.84</v>
      </c>
      <c r="F1132">
        <v>0</v>
      </c>
      <c r="G1132">
        <f t="shared" si="79"/>
        <v>4942.84</v>
      </c>
    </row>
    <row r="1133" spans="1:10">
      <c r="A1133" t="str">
        <f>"SAU"</f>
        <v>SAU</v>
      </c>
      <c r="B1133" t="str">
        <f t="shared" si="80"/>
        <v>62420000</v>
      </c>
      <c r="C1133" t="str">
        <f t="shared" si="78"/>
        <v>SAU624200000</v>
      </c>
      <c r="E1133">
        <v>2076.2800000000002</v>
      </c>
      <c r="F1133">
        <v>0</v>
      </c>
      <c r="G1133">
        <f t="shared" si="79"/>
        <v>2076.2800000000002</v>
      </c>
    </row>
    <row r="1134" spans="1:10">
      <c r="A1134" t="str">
        <f>"SOM"</f>
        <v>SOM</v>
      </c>
      <c r="B1134" t="str">
        <f t="shared" si="80"/>
        <v>62420000</v>
      </c>
      <c r="C1134" t="str">
        <f t="shared" si="78"/>
        <v>SOM624200000</v>
      </c>
      <c r="E1134">
        <v>1702.18</v>
      </c>
      <c r="F1134">
        <v>0</v>
      </c>
      <c r="G1134">
        <f t="shared" si="79"/>
        <v>1702.18</v>
      </c>
      <c r="I1134" s="26"/>
    </row>
    <row r="1135" spans="1:10">
      <c r="A1135" t="str">
        <f>"THO"</f>
        <v>THO</v>
      </c>
      <c r="B1135" t="str">
        <f t="shared" si="80"/>
        <v>62420000</v>
      </c>
      <c r="C1135" t="str">
        <f t="shared" si="78"/>
        <v>THO624200000</v>
      </c>
      <c r="E1135">
        <v>11572.41</v>
      </c>
      <c r="F1135">
        <v>0</v>
      </c>
      <c r="G1135">
        <f t="shared" si="79"/>
        <v>11572.41</v>
      </c>
    </row>
    <row r="1136" spans="1:10">
      <c r="A1136" t="str">
        <f>"TOURC"</f>
        <v>TOURC</v>
      </c>
      <c r="B1136" t="str">
        <f t="shared" si="80"/>
        <v>62420000</v>
      </c>
      <c r="C1136" t="str">
        <f t="shared" si="78"/>
        <v>TOURC624200000</v>
      </c>
      <c r="E1136">
        <v>1228.74</v>
      </c>
      <c r="F1136">
        <v>0</v>
      </c>
      <c r="G1136">
        <f t="shared" si="79"/>
        <v>1228.74</v>
      </c>
    </row>
    <row r="1137" spans="1:7">
      <c r="A1137" t="str">
        <f>"VAN"</f>
        <v>VAN</v>
      </c>
      <c r="B1137" t="str">
        <f t="shared" si="80"/>
        <v>62420000</v>
      </c>
      <c r="C1137" t="str">
        <f t="shared" si="78"/>
        <v>VAN624200000</v>
      </c>
      <c r="E1137">
        <v>17137.73</v>
      </c>
      <c r="F1137">
        <v>0</v>
      </c>
      <c r="G1137">
        <f t="shared" si="79"/>
        <v>17137.73</v>
      </c>
    </row>
    <row r="1138" spans="1:7">
      <c r="A1138" t="str">
        <f>"AMI"</f>
        <v>AMI</v>
      </c>
      <c r="B1138" t="str">
        <f t="shared" ref="B1138:B1169" si="81">"62510000"</f>
        <v>62510000</v>
      </c>
      <c r="C1138" t="str">
        <f t="shared" si="78"/>
        <v>AMI625100000</v>
      </c>
      <c r="E1138">
        <v>37045.99</v>
      </c>
      <c r="F1138">
        <v>29323.62</v>
      </c>
      <c r="G1138">
        <f t="shared" si="79"/>
        <v>7722.369999999999</v>
      </c>
    </row>
    <row r="1139" spans="1:7">
      <c r="A1139" t="str">
        <f>"ANG"</f>
        <v>ANG</v>
      </c>
      <c r="B1139" t="str">
        <f t="shared" si="81"/>
        <v>62510000</v>
      </c>
      <c r="C1139" t="str">
        <f t="shared" si="78"/>
        <v>ANG625100000</v>
      </c>
      <c r="E1139">
        <v>7820.42</v>
      </c>
      <c r="F1139">
        <v>814.6</v>
      </c>
      <c r="G1139">
        <f t="shared" si="79"/>
        <v>7005.82</v>
      </c>
    </row>
    <row r="1140" spans="1:7">
      <c r="A1140" t="str">
        <f>"BET"</f>
        <v>BET</v>
      </c>
      <c r="B1140" t="str">
        <f t="shared" si="81"/>
        <v>62510000</v>
      </c>
      <c r="C1140" t="str">
        <f t="shared" si="78"/>
        <v>BET625100000</v>
      </c>
      <c r="E1140">
        <v>4359.5</v>
      </c>
      <c r="F1140">
        <v>0</v>
      </c>
      <c r="G1140">
        <f t="shared" si="79"/>
        <v>4359.5</v>
      </c>
    </row>
    <row r="1141" spans="1:7">
      <c r="A1141" t="str">
        <f>"BOI"</f>
        <v>BOI</v>
      </c>
      <c r="B1141" t="str">
        <f t="shared" si="81"/>
        <v>62510000</v>
      </c>
      <c r="C1141" t="str">
        <f t="shared" si="78"/>
        <v>BOI625100000</v>
      </c>
      <c r="E1141">
        <v>2759.26</v>
      </c>
      <c r="F1141">
        <v>0</v>
      </c>
      <c r="G1141">
        <f t="shared" si="79"/>
        <v>2759.26</v>
      </c>
    </row>
    <row r="1142" spans="1:7">
      <c r="A1142" t="str">
        <f>"BOS"</f>
        <v>BOS</v>
      </c>
      <c r="B1142" t="str">
        <f t="shared" si="81"/>
        <v>62510000</v>
      </c>
      <c r="C1142" t="str">
        <f t="shared" si="78"/>
        <v>BOS625100000</v>
      </c>
      <c r="E1142">
        <v>11232.39</v>
      </c>
      <c r="F1142">
        <v>0</v>
      </c>
      <c r="G1142">
        <f t="shared" si="79"/>
        <v>11232.39</v>
      </c>
    </row>
    <row r="1143" spans="1:7">
      <c r="A1143" t="str">
        <f>"BOU"</f>
        <v>BOU</v>
      </c>
      <c r="B1143" t="str">
        <f t="shared" si="81"/>
        <v>62510000</v>
      </c>
      <c r="C1143" t="str">
        <f t="shared" si="78"/>
        <v>BOU625100000</v>
      </c>
      <c r="E1143">
        <v>5105.43</v>
      </c>
      <c r="F1143">
        <v>573.57000000000005</v>
      </c>
      <c r="G1143">
        <f t="shared" si="79"/>
        <v>4531.8600000000006</v>
      </c>
    </row>
    <row r="1144" spans="1:7">
      <c r="A1144" t="str">
        <f>"CAL"</f>
        <v>CAL</v>
      </c>
      <c r="B1144" t="str">
        <f t="shared" si="81"/>
        <v>62510000</v>
      </c>
      <c r="C1144" t="str">
        <f t="shared" si="78"/>
        <v>CAL625100000</v>
      </c>
      <c r="E1144">
        <v>2784.98</v>
      </c>
      <c r="F1144">
        <v>107.51</v>
      </c>
      <c r="G1144">
        <f t="shared" si="79"/>
        <v>2677.47</v>
      </c>
    </row>
    <row r="1145" spans="1:7">
      <c r="A1145" t="str">
        <f>"CAM"</f>
        <v>CAM</v>
      </c>
      <c r="B1145" t="str">
        <f t="shared" si="81"/>
        <v>62510000</v>
      </c>
      <c r="C1145" t="str">
        <f t="shared" si="78"/>
        <v>CAM625100000</v>
      </c>
      <c r="E1145">
        <v>3457.55</v>
      </c>
      <c r="F1145">
        <v>818.21</v>
      </c>
      <c r="G1145">
        <f t="shared" si="79"/>
        <v>2639.34</v>
      </c>
    </row>
    <row r="1146" spans="1:7">
      <c r="A1146" t="str">
        <f>"CAU"</f>
        <v>CAU</v>
      </c>
      <c r="B1146" t="str">
        <f t="shared" si="81"/>
        <v>62510000</v>
      </c>
      <c r="C1146" t="str">
        <f t="shared" si="78"/>
        <v>CAU625100000</v>
      </c>
      <c r="E1146">
        <v>3940.03</v>
      </c>
      <c r="F1146">
        <v>0</v>
      </c>
      <c r="G1146">
        <f t="shared" si="79"/>
        <v>3940.03</v>
      </c>
    </row>
    <row r="1147" spans="1:7">
      <c r="A1147" t="str">
        <f>"CHA"</f>
        <v>CHA</v>
      </c>
      <c r="B1147" t="str">
        <f t="shared" si="81"/>
        <v>62510000</v>
      </c>
      <c r="C1147" t="str">
        <f t="shared" si="78"/>
        <v>CHA625100000</v>
      </c>
      <c r="E1147">
        <v>2652.61</v>
      </c>
      <c r="F1147">
        <v>0</v>
      </c>
      <c r="G1147">
        <f t="shared" si="79"/>
        <v>2652.61</v>
      </c>
    </row>
    <row r="1148" spans="1:7">
      <c r="A1148" t="str">
        <f>"CHAM"</f>
        <v>CHAM</v>
      </c>
      <c r="B1148" t="str">
        <f t="shared" si="81"/>
        <v>62510000</v>
      </c>
      <c r="C1148" t="str">
        <f t="shared" si="78"/>
        <v>CHAM625100000</v>
      </c>
      <c r="E1148">
        <v>4584.3900000000003</v>
      </c>
      <c r="F1148">
        <v>0</v>
      </c>
      <c r="G1148">
        <f t="shared" si="79"/>
        <v>4584.3900000000003</v>
      </c>
    </row>
    <row r="1149" spans="1:7">
      <c r="A1149" t="str">
        <f>"CHART"</f>
        <v>CHART</v>
      </c>
      <c r="B1149" t="str">
        <f t="shared" si="81"/>
        <v>62510000</v>
      </c>
      <c r="C1149" t="str">
        <f t="shared" si="78"/>
        <v>CHART625100000</v>
      </c>
      <c r="E1149">
        <v>3343.58</v>
      </c>
      <c r="F1149">
        <v>0</v>
      </c>
      <c r="G1149">
        <f t="shared" si="79"/>
        <v>3343.58</v>
      </c>
    </row>
    <row r="1150" spans="1:7">
      <c r="A1150" t="str">
        <f>"CLE"</f>
        <v>CLE</v>
      </c>
      <c r="B1150" t="str">
        <f t="shared" si="81"/>
        <v>62510000</v>
      </c>
      <c r="C1150" t="str">
        <f t="shared" si="78"/>
        <v>CLE625100000</v>
      </c>
      <c r="E1150">
        <v>18102.43</v>
      </c>
      <c r="F1150">
        <v>2646.55</v>
      </c>
      <c r="G1150">
        <f t="shared" si="79"/>
        <v>15455.880000000001</v>
      </c>
    </row>
    <row r="1151" spans="1:7">
      <c r="A1151" t="str">
        <f>"COM"</f>
        <v>COM</v>
      </c>
      <c r="B1151" t="str">
        <f t="shared" si="81"/>
        <v>62510000</v>
      </c>
      <c r="C1151" t="str">
        <f t="shared" si="78"/>
        <v>COM625100000</v>
      </c>
      <c r="E1151">
        <v>6723.68</v>
      </c>
      <c r="F1151">
        <v>0</v>
      </c>
      <c r="G1151">
        <f t="shared" si="79"/>
        <v>6723.68</v>
      </c>
    </row>
    <row r="1152" spans="1:7">
      <c r="A1152" t="str">
        <f>"CST"</f>
        <v>CST</v>
      </c>
      <c r="B1152" t="str">
        <f t="shared" si="81"/>
        <v>62510000</v>
      </c>
      <c r="C1152" t="str">
        <f t="shared" si="78"/>
        <v>CST625100000</v>
      </c>
      <c r="E1152">
        <v>10201.120000000001</v>
      </c>
      <c r="F1152">
        <v>0</v>
      </c>
      <c r="G1152">
        <f t="shared" si="79"/>
        <v>10201.120000000001</v>
      </c>
    </row>
    <row r="1153" spans="1:7">
      <c r="A1153" t="str">
        <f>"DIJ"</f>
        <v>DIJ</v>
      </c>
      <c r="B1153" t="str">
        <f t="shared" si="81"/>
        <v>62510000</v>
      </c>
      <c r="C1153" t="str">
        <f t="shared" si="78"/>
        <v>DIJ625100000</v>
      </c>
      <c r="E1153">
        <v>5936.77</v>
      </c>
      <c r="F1153">
        <v>0</v>
      </c>
      <c r="G1153">
        <f t="shared" si="79"/>
        <v>5936.77</v>
      </c>
    </row>
    <row r="1154" spans="1:7">
      <c r="A1154" t="str">
        <f>"EU"</f>
        <v>EU</v>
      </c>
      <c r="B1154" t="str">
        <f t="shared" si="81"/>
        <v>62510000</v>
      </c>
      <c r="C1154" t="str">
        <f t="shared" si="78"/>
        <v>EU625100000</v>
      </c>
      <c r="E1154">
        <v>2670.96</v>
      </c>
      <c r="F1154">
        <v>0</v>
      </c>
      <c r="G1154">
        <f t="shared" si="79"/>
        <v>2670.96</v>
      </c>
    </row>
    <row r="1155" spans="1:7">
      <c r="A1155" t="str">
        <f>"GRE"</f>
        <v>GRE</v>
      </c>
      <c r="B1155" t="str">
        <f t="shared" si="81"/>
        <v>62510000</v>
      </c>
      <c r="C1155" t="str">
        <f t="shared" ref="C1155:C1218" si="82">+A1155&amp;B1155*10</f>
        <v>GRE625100000</v>
      </c>
      <c r="E1155">
        <v>9800.7900000000009</v>
      </c>
      <c r="F1155">
        <v>271.61</v>
      </c>
      <c r="G1155">
        <f t="shared" ref="G1155:G1218" si="83">+E1155-F1155</f>
        <v>9529.18</v>
      </c>
    </row>
    <row r="1156" spans="1:7">
      <c r="A1156" t="str">
        <f>"LEN"</f>
        <v>LEN</v>
      </c>
      <c r="B1156" t="str">
        <f t="shared" si="81"/>
        <v>62510000</v>
      </c>
      <c r="C1156" t="str">
        <f t="shared" si="82"/>
        <v>LEN625100000</v>
      </c>
      <c r="E1156">
        <v>3496.85</v>
      </c>
      <c r="F1156">
        <v>231.14</v>
      </c>
      <c r="G1156">
        <f t="shared" si="83"/>
        <v>3265.71</v>
      </c>
    </row>
    <row r="1157" spans="1:7">
      <c r="A1157" t="str">
        <f>"LIL"</f>
        <v>LIL</v>
      </c>
      <c r="B1157" t="str">
        <f t="shared" si="81"/>
        <v>62510000</v>
      </c>
      <c r="C1157" t="str">
        <f t="shared" si="82"/>
        <v>LIL625100000</v>
      </c>
      <c r="E1157">
        <v>25353.45</v>
      </c>
      <c r="F1157">
        <v>0</v>
      </c>
      <c r="G1157">
        <f t="shared" si="83"/>
        <v>25353.45</v>
      </c>
    </row>
    <row r="1158" spans="1:7">
      <c r="A1158" t="str">
        <f>"MAD"</f>
        <v>MAD</v>
      </c>
      <c r="B1158" t="str">
        <f t="shared" si="81"/>
        <v>62510000</v>
      </c>
      <c r="C1158" t="str">
        <f t="shared" si="82"/>
        <v>MAD625100000</v>
      </c>
      <c r="E1158">
        <v>14668.21</v>
      </c>
      <c r="F1158">
        <v>2460.81</v>
      </c>
      <c r="G1158">
        <f t="shared" si="83"/>
        <v>12207.4</v>
      </c>
    </row>
    <row r="1159" spans="1:7">
      <c r="A1159" t="str">
        <f>"MAR"</f>
        <v>MAR</v>
      </c>
      <c r="B1159" t="str">
        <f t="shared" si="81"/>
        <v>62510000</v>
      </c>
      <c r="C1159" t="str">
        <f t="shared" si="82"/>
        <v>MAR625100000</v>
      </c>
      <c r="E1159">
        <v>2702.79</v>
      </c>
      <c r="F1159">
        <v>0</v>
      </c>
      <c r="G1159">
        <f t="shared" si="83"/>
        <v>2702.79</v>
      </c>
    </row>
    <row r="1160" spans="1:7">
      <c r="A1160" t="str">
        <f>"MON"</f>
        <v>MON</v>
      </c>
      <c r="B1160" t="str">
        <f t="shared" si="81"/>
        <v>62510000</v>
      </c>
      <c r="C1160" t="str">
        <f t="shared" si="82"/>
        <v>MON625100000</v>
      </c>
      <c r="E1160">
        <v>7282.72</v>
      </c>
      <c r="F1160">
        <v>0</v>
      </c>
      <c r="G1160">
        <f t="shared" si="83"/>
        <v>7282.72</v>
      </c>
    </row>
    <row r="1161" spans="1:7">
      <c r="A1161" t="str">
        <f>"NAN"</f>
        <v>NAN</v>
      </c>
      <c r="B1161" t="str">
        <f t="shared" si="81"/>
        <v>62510000</v>
      </c>
      <c r="C1161" t="str">
        <f t="shared" si="82"/>
        <v>NAN625100000</v>
      </c>
      <c r="E1161">
        <v>5666.88</v>
      </c>
      <c r="F1161">
        <v>0</v>
      </c>
      <c r="G1161">
        <f t="shared" si="83"/>
        <v>5666.88</v>
      </c>
    </row>
    <row r="1162" spans="1:7">
      <c r="A1162" t="str">
        <f>"ORL"</f>
        <v>ORL</v>
      </c>
      <c r="B1162" t="str">
        <f t="shared" si="81"/>
        <v>62510000</v>
      </c>
      <c r="C1162" t="str">
        <f t="shared" si="82"/>
        <v>ORL625100000</v>
      </c>
      <c r="E1162">
        <v>10492.76</v>
      </c>
      <c r="F1162">
        <v>0</v>
      </c>
      <c r="G1162">
        <f t="shared" si="83"/>
        <v>10492.76</v>
      </c>
    </row>
    <row r="1163" spans="1:7">
      <c r="A1163" t="str">
        <f>"REN"</f>
        <v>REN</v>
      </c>
      <c r="B1163" t="str">
        <f t="shared" si="81"/>
        <v>62510000</v>
      </c>
      <c r="C1163" t="str">
        <f t="shared" si="82"/>
        <v>REN625100000</v>
      </c>
      <c r="E1163">
        <v>5100.62</v>
      </c>
      <c r="F1163">
        <v>0</v>
      </c>
      <c r="G1163">
        <f t="shared" si="83"/>
        <v>5100.62</v>
      </c>
    </row>
    <row r="1164" spans="1:7">
      <c r="A1164" t="str">
        <f>"ROA"</f>
        <v>ROA</v>
      </c>
      <c r="B1164" t="str">
        <f t="shared" si="81"/>
        <v>62510000</v>
      </c>
      <c r="C1164" t="str">
        <f t="shared" si="82"/>
        <v>ROA625100000</v>
      </c>
      <c r="E1164">
        <v>4762.08</v>
      </c>
      <c r="F1164">
        <v>390.83</v>
      </c>
      <c r="G1164">
        <f t="shared" si="83"/>
        <v>4371.25</v>
      </c>
    </row>
    <row r="1165" spans="1:7">
      <c r="A1165" t="str">
        <f>"SAU"</f>
        <v>SAU</v>
      </c>
      <c r="B1165" t="str">
        <f t="shared" si="81"/>
        <v>62510000</v>
      </c>
      <c r="C1165" t="str">
        <f t="shared" si="82"/>
        <v>SAU625100000</v>
      </c>
      <c r="E1165">
        <v>1625.5</v>
      </c>
      <c r="F1165">
        <v>0</v>
      </c>
      <c r="G1165">
        <f t="shared" si="83"/>
        <v>1625.5</v>
      </c>
    </row>
    <row r="1166" spans="1:7">
      <c r="A1166" t="str">
        <f>"SOM"</f>
        <v>SOM</v>
      </c>
      <c r="B1166" t="str">
        <f t="shared" si="81"/>
        <v>62510000</v>
      </c>
      <c r="C1166" t="str">
        <f t="shared" si="82"/>
        <v>SOM625100000</v>
      </c>
      <c r="E1166">
        <v>2134.31</v>
      </c>
      <c r="F1166">
        <v>0</v>
      </c>
      <c r="G1166">
        <f t="shared" si="83"/>
        <v>2134.31</v>
      </c>
    </row>
    <row r="1167" spans="1:7">
      <c r="A1167" t="str">
        <f>"THO"</f>
        <v>THO</v>
      </c>
      <c r="B1167" t="str">
        <f t="shared" si="81"/>
        <v>62510000</v>
      </c>
      <c r="C1167" t="str">
        <f t="shared" si="82"/>
        <v>THO625100000</v>
      </c>
      <c r="E1167">
        <v>24117.52</v>
      </c>
      <c r="F1167">
        <v>16780.63</v>
      </c>
      <c r="G1167">
        <f t="shared" si="83"/>
        <v>7336.8899999999994</v>
      </c>
    </row>
    <row r="1168" spans="1:7">
      <c r="A1168" t="str">
        <f>"TOURC"</f>
        <v>TOURC</v>
      </c>
      <c r="B1168" t="str">
        <f t="shared" si="81"/>
        <v>62510000</v>
      </c>
      <c r="C1168" t="str">
        <f t="shared" si="82"/>
        <v>TOURC625100000</v>
      </c>
      <c r="E1168">
        <v>4498.0600000000004</v>
      </c>
      <c r="F1168">
        <v>1190.74</v>
      </c>
      <c r="G1168">
        <f t="shared" si="83"/>
        <v>3307.3200000000006</v>
      </c>
    </row>
    <row r="1169" spans="1:7">
      <c r="A1169" t="str">
        <f>"VAN"</f>
        <v>VAN</v>
      </c>
      <c r="B1169" t="str">
        <f t="shared" si="81"/>
        <v>62510000</v>
      </c>
      <c r="C1169" t="str">
        <f t="shared" si="82"/>
        <v>VAN625100000</v>
      </c>
      <c r="E1169">
        <v>19419.41</v>
      </c>
      <c r="F1169">
        <v>4642.4799999999996</v>
      </c>
      <c r="G1169">
        <f t="shared" si="83"/>
        <v>14776.93</v>
      </c>
    </row>
    <row r="1170" spans="1:7">
      <c r="A1170" t="str">
        <f>"CAU"</f>
        <v>CAU</v>
      </c>
      <c r="B1170" t="str">
        <f t="shared" ref="B1170:B1187" si="84">"62520000"</f>
        <v>62520000</v>
      </c>
      <c r="C1170" t="str">
        <f t="shared" si="82"/>
        <v>CAU625200000</v>
      </c>
      <c r="E1170">
        <v>47.41</v>
      </c>
      <c r="F1170">
        <v>0</v>
      </c>
      <c r="G1170">
        <f t="shared" si="83"/>
        <v>47.41</v>
      </c>
    </row>
    <row r="1171" spans="1:7">
      <c r="A1171" t="str">
        <f>"CHA"</f>
        <v>CHA</v>
      </c>
      <c r="B1171" t="str">
        <f t="shared" si="84"/>
        <v>62520000</v>
      </c>
      <c r="C1171" t="str">
        <f t="shared" si="82"/>
        <v>CHA625200000</v>
      </c>
      <c r="E1171">
        <v>259.83</v>
      </c>
      <c r="F1171">
        <v>0</v>
      </c>
      <c r="G1171">
        <f t="shared" si="83"/>
        <v>259.83</v>
      </c>
    </row>
    <row r="1172" spans="1:7">
      <c r="A1172" t="str">
        <f>"CHAM"</f>
        <v>CHAM</v>
      </c>
      <c r="B1172" t="str">
        <f t="shared" si="84"/>
        <v>62520000</v>
      </c>
      <c r="C1172" t="str">
        <f t="shared" si="82"/>
        <v>CHAM625200000</v>
      </c>
      <c r="E1172">
        <v>183.95</v>
      </c>
      <c r="F1172">
        <v>0</v>
      </c>
      <c r="G1172">
        <f t="shared" si="83"/>
        <v>183.95</v>
      </c>
    </row>
    <row r="1173" spans="1:7">
      <c r="A1173" t="str">
        <f>"CHART"</f>
        <v>CHART</v>
      </c>
      <c r="B1173" t="str">
        <f t="shared" si="84"/>
        <v>62520000</v>
      </c>
      <c r="C1173" t="str">
        <f t="shared" si="82"/>
        <v>CHART625200000</v>
      </c>
      <c r="E1173">
        <v>110.1</v>
      </c>
      <c r="F1173">
        <v>0</v>
      </c>
      <c r="G1173">
        <f t="shared" si="83"/>
        <v>110.1</v>
      </c>
    </row>
    <row r="1174" spans="1:7">
      <c r="A1174" t="str">
        <f>"CLE"</f>
        <v>CLE</v>
      </c>
      <c r="B1174" t="str">
        <f t="shared" si="84"/>
        <v>62520000</v>
      </c>
      <c r="C1174" t="str">
        <f t="shared" si="82"/>
        <v>CLE625200000</v>
      </c>
      <c r="E1174">
        <v>240</v>
      </c>
      <c r="F1174">
        <v>0</v>
      </c>
      <c r="G1174">
        <f t="shared" si="83"/>
        <v>240</v>
      </c>
    </row>
    <row r="1175" spans="1:7">
      <c r="A1175" t="str">
        <f>"COM"</f>
        <v>COM</v>
      </c>
      <c r="B1175" t="str">
        <f t="shared" si="84"/>
        <v>62520000</v>
      </c>
      <c r="C1175" t="str">
        <f t="shared" si="82"/>
        <v>COM625200000</v>
      </c>
      <c r="E1175">
        <v>1228.1300000000001</v>
      </c>
      <c r="F1175">
        <v>0</v>
      </c>
      <c r="G1175">
        <f t="shared" si="83"/>
        <v>1228.1300000000001</v>
      </c>
    </row>
    <row r="1176" spans="1:7">
      <c r="A1176" t="str">
        <f>"CST"</f>
        <v>CST</v>
      </c>
      <c r="B1176" t="str">
        <f t="shared" si="84"/>
        <v>62520000</v>
      </c>
      <c r="C1176" t="str">
        <f t="shared" si="82"/>
        <v>CST625200000</v>
      </c>
      <c r="E1176">
        <v>111.73</v>
      </c>
      <c r="F1176">
        <v>0</v>
      </c>
      <c r="G1176">
        <f t="shared" si="83"/>
        <v>111.73</v>
      </c>
    </row>
    <row r="1177" spans="1:7">
      <c r="A1177" t="str">
        <f>"DIJ"</f>
        <v>DIJ</v>
      </c>
      <c r="B1177" t="str">
        <f t="shared" si="84"/>
        <v>62520000</v>
      </c>
      <c r="C1177" t="str">
        <f t="shared" si="82"/>
        <v>DIJ625200000</v>
      </c>
      <c r="E1177">
        <v>934.77</v>
      </c>
      <c r="F1177">
        <v>0</v>
      </c>
      <c r="G1177">
        <f t="shared" si="83"/>
        <v>934.77</v>
      </c>
    </row>
    <row r="1178" spans="1:7">
      <c r="A1178" t="str">
        <f>"EU"</f>
        <v>EU</v>
      </c>
      <c r="B1178" t="str">
        <f t="shared" si="84"/>
        <v>62520000</v>
      </c>
      <c r="C1178" t="str">
        <f t="shared" si="82"/>
        <v>EU625200000</v>
      </c>
      <c r="E1178">
        <v>58.36</v>
      </c>
      <c r="F1178">
        <v>0</v>
      </c>
      <c r="G1178">
        <f t="shared" si="83"/>
        <v>58.36</v>
      </c>
    </row>
    <row r="1179" spans="1:7">
      <c r="A1179" t="str">
        <f>"LIL"</f>
        <v>LIL</v>
      </c>
      <c r="B1179" t="str">
        <f t="shared" si="84"/>
        <v>62520000</v>
      </c>
      <c r="C1179" t="str">
        <f t="shared" si="82"/>
        <v>LIL625200000</v>
      </c>
      <c r="E1179">
        <v>85.77</v>
      </c>
      <c r="F1179">
        <v>0</v>
      </c>
      <c r="G1179">
        <f t="shared" si="83"/>
        <v>85.77</v>
      </c>
    </row>
    <row r="1180" spans="1:7">
      <c r="A1180" t="str">
        <f>"MAD"</f>
        <v>MAD</v>
      </c>
      <c r="B1180" t="str">
        <f t="shared" si="84"/>
        <v>62520000</v>
      </c>
      <c r="C1180" t="str">
        <f t="shared" si="82"/>
        <v>MAD625200000</v>
      </c>
      <c r="E1180">
        <v>179.72</v>
      </c>
      <c r="F1180">
        <v>0</v>
      </c>
      <c r="G1180">
        <f t="shared" si="83"/>
        <v>179.72</v>
      </c>
    </row>
    <row r="1181" spans="1:7">
      <c r="A1181" t="str">
        <f>"MON"</f>
        <v>MON</v>
      </c>
      <c r="B1181" t="str">
        <f t="shared" si="84"/>
        <v>62520000</v>
      </c>
      <c r="C1181" t="str">
        <f t="shared" si="82"/>
        <v>MON625200000</v>
      </c>
      <c r="E1181">
        <v>460.39</v>
      </c>
      <c r="F1181">
        <v>0</v>
      </c>
      <c r="G1181">
        <f t="shared" si="83"/>
        <v>460.39</v>
      </c>
    </row>
    <row r="1182" spans="1:7">
      <c r="A1182" t="str">
        <f>"NAN"</f>
        <v>NAN</v>
      </c>
      <c r="B1182" t="str">
        <f t="shared" si="84"/>
        <v>62520000</v>
      </c>
      <c r="C1182" t="str">
        <f t="shared" si="82"/>
        <v>NAN625200000</v>
      </c>
      <c r="E1182">
        <v>201.27</v>
      </c>
      <c r="F1182">
        <v>0</v>
      </c>
      <c r="G1182">
        <f t="shared" si="83"/>
        <v>201.27</v>
      </c>
    </row>
    <row r="1183" spans="1:7">
      <c r="A1183" t="str">
        <f>"REN"</f>
        <v>REN</v>
      </c>
      <c r="B1183" t="str">
        <f t="shared" si="84"/>
        <v>62520000</v>
      </c>
      <c r="C1183" t="str">
        <f t="shared" si="82"/>
        <v>REN625200000</v>
      </c>
      <c r="E1183">
        <v>75.88</v>
      </c>
      <c r="F1183">
        <v>0</v>
      </c>
      <c r="G1183">
        <f t="shared" si="83"/>
        <v>75.88</v>
      </c>
    </row>
    <row r="1184" spans="1:7">
      <c r="A1184" t="str">
        <f>"ROA"</f>
        <v>ROA</v>
      </c>
      <c r="B1184" t="str">
        <f t="shared" si="84"/>
        <v>62520000</v>
      </c>
      <c r="C1184" t="str">
        <f t="shared" si="82"/>
        <v>ROA625200000</v>
      </c>
      <c r="E1184">
        <v>331.73</v>
      </c>
      <c r="F1184">
        <v>0</v>
      </c>
      <c r="G1184">
        <f t="shared" si="83"/>
        <v>331.73</v>
      </c>
    </row>
    <row r="1185" spans="1:7">
      <c r="A1185" t="str">
        <f>"SAU"</f>
        <v>SAU</v>
      </c>
      <c r="B1185" t="str">
        <f t="shared" si="84"/>
        <v>62520000</v>
      </c>
      <c r="C1185" t="str">
        <f t="shared" si="82"/>
        <v>SAU625200000</v>
      </c>
      <c r="E1185">
        <v>16.72</v>
      </c>
      <c r="F1185">
        <v>0</v>
      </c>
      <c r="G1185">
        <f t="shared" si="83"/>
        <v>16.72</v>
      </c>
    </row>
    <row r="1186" spans="1:7">
      <c r="A1186" t="str">
        <f>"TOURC"</f>
        <v>TOURC</v>
      </c>
      <c r="B1186" t="str">
        <f t="shared" si="84"/>
        <v>62520000</v>
      </c>
      <c r="C1186" t="str">
        <f t="shared" si="82"/>
        <v>TOURC625200000</v>
      </c>
      <c r="E1186">
        <v>12.53</v>
      </c>
      <c r="F1186">
        <v>0</v>
      </c>
      <c r="G1186">
        <f t="shared" si="83"/>
        <v>12.53</v>
      </c>
    </row>
    <row r="1187" spans="1:7">
      <c r="A1187" t="str">
        <f>"VAN"</f>
        <v>VAN</v>
      </c>
      <c r="B1187" t="str">
        <f t="shared" si="84"/>
        <v>62520000</v>
      </c>
      <c r="C1187" t="str">
        <f t="shared" si="82"/>
        <v>VAN625200000</v>
      </c>
      <c r="E1187">
        <v>515.86</v>
      </c>
      <c r="F1187">
        <v>0</v>
      </c>
      <c r="G1187">
        <f t="shared" si="83"/>
        <v>515.86</v>
      </c>
    </row>
    <row r="1188" spans="1:7">
      <c r="A1188" t="str">
        <f>"COM"</f>
        <v>COM</v>
      </c>
      <c r="B1188" t="str">
        <f>"62551000"</f>
        <v>62551000</v>
      </c>
      <c r="C1188" t="str">
        <f t="shared" si="82"/>
        <v>COM625510000</v>
      </c>
      <c r="E1188">
        <v>287.60000000000002</v>
      </c>
      <c r="F1188">
        <v>0</v>
      </c>
      <c r="G1188">
        <f t="shared" si="83"/>
        <v>287.60000000000002</v>
      </c>
    </row>
    <row r="1189" spans="1:7">
      <c r="A1189" t="str">
        <f>"AMI"</f>
        <v>AMI</v>
      </c>
      <c r="B1189" t="str">
        <f t="shared" ref="B1189:B1219" si="85">"62560000"</f>
        <v>62560000</v>
      </c>
      <c r="C1189" t="str">
        <f t="shared" si="82"/>
        <v>AMI625600000</v>
      </c>
      <c r="E1189">
        <v>7101.06</v>
      </c>
      <c r="F1189">
        <v>1150</v>
      </c>
      <c r="G1189">
        <f t="shared" si="83"/>
        <v>5951.06</v>
      </c>
    </row>
    <row r="1190" spans="1:7">
      <c r="A1190" t="str">
        <f>"ANG"</f>
        <v>ANG</v>
      </c>
      <c r="B1190" t="str">
        <f t="shared" si="85"/>
        <v>62560000</v>
      </c>
      <c r="C1190" t="str">
        <f t="shared" si="82"/>
        <v>ANG625600000</v>
      </c>
      <c r="E1190">
        <v>1500</v>
      </c>
      <c r="F1190">
        <v>0</v>
      </c>
      <c r="G1190">
        <f t="shared" si="83"/>
        <v>1500</v>
      </c>
    </row>
    <row r="1191" spans="1:7">
      <c r="A1191" t="str">
        <f>"BET"</f>
        <v>BET</v>
      </c>
      <c r="B1191" t="str">
        <f t="shared" si="85"/>
        <v>62560000</v>
      </c>
      <c r="C1191" t="str">
        <f t="shared" si="82"/>
        <v>BET625600000</v>
      </c>
      <c r="E1191">
        <v>19.5</v>
      </c>
      <c r="F1191">
        <v>0</v>
      </c>
      <c r="G1191">
        <f t="shared" si="83"/>
        <v>19.5</v>
      </c>
    </row>
    <row r="1192" spans="1:7">
      <c r="A1192" t="str">
        <f>"BOI"</f>
        <v>BOI</v>
      </c>
      <c r="B1192" t="str">
        <f t="shared" si="85"/>
        <v>62560000</v>
      </c>
      <c r="C1192" t="str">
        <f t="shared" si="82"/>
        <v>BOI625600000</v>
      </c>
      <c r="E1192">
        <v>19.5</v>
      </c>
      <c r="F1192">
        <v>0</v>
      </c>
      <c r="G1192">
        <f t="shared" si="83"/>
        <v>19.5</v>
      </c>
    </row>
    <row r="1193" spans="1:7">
      <c r="A1193" t="str">
        <f>"BOS"</f>
        <v>BOS</v>
      </c>
      <c r="B1193" t="str">
        <f t="shared" si="85"/>
        <v>62560000</v>
      </c>
      <c r="C1193" t="str">
        <f t="shared" si="82"/>
        <v>BOS625600000</v>
      </c>
      <c r="E1193">
        <v>1500</v>
      </c>
      <c r="F1193">
        <v>0</v>
      </c>
      <c r="G1193">
        <f t="shared" si="83"/>
        <v>1500</v>
      </c>
    </row>
    <row r="1194" spans="1:7">
      <c r="A1194" t="str">
        <f>"BOU"</f>
        <v>BOU</v>
      </c>
      <c r="B1194" t="str">
        <f t="shared" si="85"/>
        <v>62560000</v>
      </c>
      <c r="C1194" t="str">
        <f t="shared" si="82"/>
        <v>BOU625600000</v>
      </c>
      <c r="E1194">
        <v>19.5</v>
      </c>
      <c r="F1194">
        <v>0</v>
      </c>
      <c r="G1194">
        <f t="shared" si="83"/>
        <v>19.5</v>
      </c>
    </row>
    <row r="1195" spans="1:7">
      <c r="A1195" t="str">
        <f>"CAL"</f>
        <v>CAL</v>
      </c>
      <c r="B1195" t="str">
        <f t="shared" si="85"/>
        <v>62560000</v>
      </c>
      <c r="C1195" t="str">
        <f t="shared" si="82"/>
        <v>CAL625600000</v>
      </c>
      <c r="E1195">
        <v>19.5</v>
      </c>
      <c r="F1195">
        <v>0</v>
      </c>
      <c r="G1195">
        <f t="shared" si="83"/>
        <v>19.5</v>
      </c>
    </row>
    <row r="1196" spans="1:7">
      <c r="A1196" t="str">
        <f>"CAM"</f>
        <v>CAM</v>
      </c>
      <c r="B1196" t="str">
        <f t="shared" si="85"/>
        <v>62560000</v>
      </c>
      <c r="C1196" t="str">
        <f t="shared" si="82"/>
        <v>CAM625600000</v>
      </c>
      <c r="E1196">
        <v>19.5</v>
      </c>
      <c r="F1196">
        <v>0</v>
      </c>
      <c r="G1196">
        <f t="shared" si="83"/>
        <v>19.5</v>
      </c>
    </row>
    <row r="1197" spans="1:7">
      <c r="A1197" t="str">
        <f>"CAU"</f>
        <v>CAU</v>
      </c>
      <c r="B1197" t="str">
        <f t="shared" si="85"/>
        <v>62560000</v>
      </c>
      <c r="C1197" t="str">
        <f t="shared" si="82"/>
        <v>CAU625600000</v>
      </c>
      <c r="E1197">
        <v>19.5</v>
      </c>
      <c r="F1197">
        <v>0</v>
      </c>
      <c r="G1197">
        <f t="shared" si="83"/>
        <v>19.5</v>
      </c>
    </row>
    <row r="1198" spans="1:7">
      <c r="A1198" t="str">
        <f>"CHA"</f>
        <v>CHA</v>
      </c>
      <c r="B1198" t="str">
        <f t="shared" si="85"/>
        <v>62560000</v>
      </c>
      <c r="C1198" t="str">
        <f t="shared" si="82"/>
        <v>CHA625600000</v>
      </c>
      <c r="E1198">
        <v>375</v>
      </c>
      <c r="F1198">
        <v>0</v>
      </c>
      <c r="G1198">
        <f t="shared" si="83"/>
        <v>375</v>
      </c>
    </row>
    <row r="1199" spans="1:7">
      <c r="A1199" t="str">
        <f>"CHAM"</f>
        <v>CHAM</v>
      </c>
      <c r="B1199" t="str">
        <f t="shared" si="85"/>
        <v>62560000</v>
      </c>
      <c r="C1199" t="str">
        <f t="shared" si="82"/>
        <v>CHAM625600000</v>
      </c>
      <c r="E1199">
        <v>3490</v>
      </c>
      <c r="F1199">
        <v>1990</v>
      </c>
      <c r="G1199">
        <f t="shared" si="83"/>
        <v>1500</v>
      </c>
    </row>
    <row r="1200" spans="1:7">
      <c r="A1200" t="str">
        <f>"CHART"</f>
        <v>CHART</v>
      </c>
      <c r="B1200" t="str">
        <f t="shared" si="85"/>
        <v>62560000</v>
      </c>
      <c r="C1200" t="str">
        <f t="shared" si="82"/>
        <v>CHART625600000</v>
      </c>
      <c r="E1200">
        <v>0</v>
      </c>
      <c r="F1200">
        <v>0</v>
      </c>
      <c r="G1200">
        <f t="shared" si="83"/>
        <v>0</v>
      </c>
    </row>
    <row r="1201" spans="1:7">
      <c r="A1201" t="str">
        <f>"CLE"</f>
        <v>CLE</v>
      </c>
      <c r="B1201" t="str">
        <f t="shared" si="85"/>
        <v>62560000</v>
      </c>
      <c r="C1201" t="str">
        <f t="shared" si="82"/>
        <v>CLE625600000</v>
      </c>
      <c r="E1201">
        <v>3530</v>
      </c>
      <c r="F1201">
        <v>1280</v>
      </c>
      <c r="G1201">
        <f t="shared" si="83"/>
        <v>2250</v>
      </c>
    </row>
    <row r="1202" spans="1:7">
      <c r="A1202" t="str">
        <f>"COM"</f>
        <v>COM</v>
      </c>
      <c r="B1202" t="str">
        <f t="shared" si="85"/>
        <v>62560000</v>
      </c>
      <c r="C1202" t="str">
        <f t="shared" si="82"/>
        <v>COM625600000</v>
      </c>
      <c r="E1202">
        <v>772.5</v>
      </c>
      <c r="F1202">
        <v>0</v>
      </c>
      <c r="G1202">
        <f t="shared" si="83"/>
        <v>772.5</v>
      </c>
    </row>
    <row r="1203" spans="1:7">
      <c r="A1203" t="str">
        <f>"CST"</f>
        <v>CST</v>
      </c>
      <c r="B1203" t="str">
        <f t="shared" si="85"/>
        <v>62560000</v>
      </c>
      <c r="C1203" t="str">
        <f t="shared" si="82"/>
        <v>CST625600000</v>
      </c>
      <c r="E1203">
        <v>18289.62</v>
      </c>
      <c r="F1203">
        <v>1360</v>
      </c>
      <c r="G1203">
        <f t="shared" si="83"/>
        <v>16929.62</v>
      </c>
    </row>
    <row r="1204" spans="1:7">
      <c r="A1204" t="str">
        <f>"EU"</f>
        <v>EU</v>
      </c>
      <c r="B1204" t="str">
        <f t="shared" si="85"/>
        <v>62560000</v>
      </c>
      <c r="C1204" t="str">
        <f t="shared" si="82"/>
        <v>EU625600000</v>
      </c>
      <c r="E1204">
        <v>19.5</v>
      </c>
      <c r="F1204">
        <v>0</v>
      </c>
      <c r="G1204">
        <f t="shared" si="83"/>
        <v>19.5</v>
      </c>
    </row>
    <row r="1205" spans="1:7">
      <c r="A1205" t="str">
        <f>"GRE"</f>
        <v>GRE</v>
      </c>
      <c r="B1205" t="str">
        <f t="shared" si="85"/>
        <v>62560000</v>
      </c>
      <c r="C1205" t="str">
        <f t="shared" si="82"/>
        <v>GRE625600000</v>
      </c>
      <c r="E1205">
        <v>14862.5</v>
      </c>
      <c r="F1205">
        <v>7910</v>
      </c>
      <c r="G1205">
        <f t="shared" si="83"/>
        <v>6952.5</v>
      </c>
    </row>
    <row r="1206" spans="1:7">
      <c r="A1206" t="str">
        <f>"LEN"</f>
        <v>LEN</v>
      </c>
      <c r="B1206" t="str">
        <f t="shared" si="85"/>
        <v>62560000</v>
      </c>
      <c r="C1206" t="str">
        <f t="shared" si="82"/>
        <v>LEN625600000</v>
      </c>
      <c r="E1206">
        <v>19.5</v>
      </c>
      <c r="F1206">
        <v>0</v>
      </c>
      <c r="G1206">
        <f t="shared" si="83"/>
        <v>19.5</v>
      </c>
    </row>
    <row r="1207" spans="1:7">
      <c r="A1207" t="str">
        <f>"LIL"</f>
        <v>LIL</v>
      </c>
      <c r="B1207" t="str">
        <f t="shared" si="85"/>
        <v>62560000</v>
      </c>
      <c r="C1207" t="str">
        <f t="shared" si="82"/>
        <v>LIL625600000</v>
      </c>
      <c r="E1207">
        <v>0</v>
      </c>
      <c r="F1207">
        <v>320</v>
      </c>
      <c r="G1207">
        <f t="shared" si="83"/>
        <v>-320</v>
      </c>
    </row>
    <row r="1208" spans="1:7">
      <c r="A1208" t="str">
        <f>"MAD"</f>
        <v>MAD</v>
      </c>
      <c r="B1208" t="str">
        <f t="shared" si="85"/>
        <v>62560000</v>
      </c>
      <c r="C1208" t="str">
        <f t="shared" si="82"/>
        <v>MAD625600000</v>
      </c>
      <c r="E1208">
        <v>19.5</v>
      </c>
      <c r="F1208">
        <v>0</v>
      </c>
      <c r="G1208">
        <f t="shared" si="83"/>
        <v>19.5</v>
      </c>
    </row>
    <row r="1209" spans="1:7">
      <c r="A1209" t="str">
        <f>"MAR"</f>
        <v>MAR</v>
      </c>
      <c r="B1209" t="str">
        <f t="shared" si="85"/>
        <v>62560000</v>
      </c>
      <c r="C1209" t="str">
        <f t="shared" si="82"/>
        <v>MAR625600000</v>
      </c>
      <c r="E1209">
        <v>19.5</v>
      </c>
      <c r="F1209">
        <v>0</v>
      </c>
      <c r="G1209">
        <f t="shared" si="83"/>
        <v>19.5</v>
      </c>
    </row>
    <row r="1210" spans="1:7">
      <c r="A1210" t="str">
        <f>"MON"</f>
        <v>MON</v>
      </c>
      <c r="B1210" t="str">
        <f t="shared" si="85"/>
        <v>62560000</v>
      </c>
      <c r="C1210" t="str">
        <f t="shared" si="82"/>
        <v>MON625600000</v>
      </c>
      <c r="E1210">
        <v>1622.25</v>
      </c>
      <c r="F1210">
        <v>0</v>
      </c>
      <c r="G1210">
        <f t="shared" si="83"/>
        <v>1622.25</v>
      </c>
    </row>
    <row r="1211" spans="1:7">
      <c r="A1211" t="str">
        <f>"NAN"</f>
        <v>NAN</v>
      </c>
      <c r="B1211" t="str">
        <f t="shared" si="85"/>
        <v>62560000</v>
      </c>
      <c r="C1211" t="str">
        <f t="shared" si="82"/>
        <v>NAN625600000</v>
      </c>
      <c r="E1211">
        <v>19.5</v>
      </c>
      <c r="F1211">
        <v>0</v>
      </c>
      <c r="G1211">
        <f t="shared" si="83"/>
        <v>19.5</v>
      </c>
    </row>
    <row r="1212" spans="1:7">
      <c r="A1212" t="str">
        <f>"ORL"</f>
        <v>ORL</v>
      </c>
      <c r="B1212" t="str">
        <f t="shared" si="85"/>
        <v>62560000</v>
      </c>
      <c r="C1212" t="str">
        <f t="shared" si="82"/>
        <v>ORL625600000</v>
      </c>
      <c r="E1212">
        <v>750</v>
      </c>
      <c r="F1212">
        <v>0</v>
      </c>
      <c r="G1212">
        <f t="shared" si="83"/>
        <v>750</v>
      </c>
    </row>
    <row r="1213" spans="1:7">
      <c r="A1213" t="str">
        <f>"REN"</f>
        <v>REN</v>
      </c>
      <c r="B1213" t="str">
        <f t="shared" si="85"/>
        <v>62560000</v>
      </c>
      <c r="C1213" t="str">
        <f t="shared" si="82"/>
        <v>REN625600000</v>
      </c>
      <c r="E1213">
        <v>375</v>
      </c>
      <c r="F1213">
        <v>0</v>
      </c>
      <c r="G1213">
        <f t="shared" si="83"/>
        <v>375</v>
      </c>
    </row>
    <row r="1214" spans="1:7">
      <c r="A1214" t="str">
        <f>"ROA"</f>
        <v>ROA</v>
      </c>
      <c r="B1214" t="str">
        <f t="shared" si="85"/>
        <v>62560000</v>
      </c>
      <c r="C1214" t="str">
        <f t="shared" si="82"/>
        <v>ROA625600000</v>
      </c>
      <c r="E1214">
        <v>772.5</v>
      </c>
      <c r="F1214">
        <v>0</v>
      </c>
      <c r="G1214">
        <f t="shared" si="83"/>
        <v>772.5</v>
      </c>
    </row>
    <row r="1215" spans="1:7">
      <c r="A1215" t="str">
        <f>"SAU"</f>
        <v>SAU</v>
      </c>
      <c r="B1215" t="str">
        <f t="shared" si="85"/>
        <v>62560000</v>
      </c>
      <c r="C1215" t="str">
        <f t="shared" si="82"/>
        <v>SAU625600000</v>
      </c>
      <c r="E1215">
        <v>0</v>
      </c>
      <c r="F1215">
        <v>0</v>
      </c>
      <c r="G1215">
        <f t="shared" si="83"/>
        <v>0</v>
      </c>
    </row>
    <row r="1216" spans="1:7">
      <c r="A1216" t="str">
        <f>"SOM"</f>
        <v>SOM</v>
      </c>
      <c r="B1216" t="str">
        <f t="shared" si="85"/>
        <v>62560000</v>
      </c>
      <c r="C1216" t="str">
        <f t="shared" si="82"/>
        <v>SOM625600000</v>
      </c>
      <c r="E1216">
        <v>19.5</v>
      </c>
      <c r="F1216">
        <v>0</v>
      </c>
      <c r="G1216">
        <f t="shared" si="83"/>
        <v>19.5</v>
      </c>
    </row>
    <row r="1217" spans="1:9">
      <c r="A1217" t="str">
        <f>"THO"</f>
        <v>THO</v>
      </c>
      <c r="B1217" t="str">
        <f t="shared" si="85"/>
        <v>62560000</v>
      </c>
      <c r="C1217" t="str">
        <f t="shared" si="82"/>
        <v>THO625600000</v>
      </c>
      <c r="E1217">
        <v>0</v>
      </c>
      <c r="F1217">
        <v>0</v>
      </c>
      <c r="G1217">
        <f t="shared" si="83"/>
        <v>0</v>
      </c>
    </row>
    <row r="1218" spans="1:9">
      <c r="A1218" t="str">
        <f>"TOURC"</f>
        <v>TOURC</v>
      </c>
      <c r="B1218" t="str">
        <f t="shared" si="85"/>
        <v>62560000</v>
      </c>
      <c r="C1218" t="str">
        <f t="shared" si="82"/>
        <v>TOURC625600000</v>
      </c>
      <c r="E1218">
        <v>0</v>
      </c>
      <c r="F1218">
        <v>0</v>
      </c>
      <c r="G1218">
        <f t="shared" si="83"/>
        <v>0</v>
      </c>
    </row>
    <row r="1219" spans="1:9">
      <c r="A1219" t="str">
        <f>"VAN"</f>
        <v>VAN</v>
      </c>
      <c r="B1219" t="str">
        <f t="shared" si="85"/>
        <v>62560000</v>
      </c>
      <c r="C1219" t="str">
        <f t="shared" ref="C1219:C1282" si="86">+A1219&amp;B1219*10</f>
        <v>VAN625600000</v>
      </c>
      <c r="E1219">
        <v>1722.75</v>
      </c>
      <c r="F1219">
        <v>0</v>
      </c>
      <c r="G1219">
        <f t="shared" ref="G1219:G1282" si="87">+E1219-F1219</f>
        <v>1722.75</v>
      </c>
    </row>
    <row r="1220" spans="1:9">
      <c r="A1220" t="str">
        <f>"AMI"</f>
        <v>AMI</v>
      </c>
      <c r="B1220" t="str">
        <f t="shared" ref="B1220:B1251" si="88">"62570000"</f>
        <v>62570000</v>
      </c>
      <c r="C1220" t="str">
        <f t="shared" si="86"/>
        <v>AMI625700000</v>
      </c>
      <c r="E1220">
        <v>1270.32</v>
      </c>
      <c r="F1220">
        <f>1668.8-H1220</f>
        <v>0</v>
      </c>
      <c r="G1220">
        <f t="shared" si="87"/>
        <v>1270.32</v>
      </c>
      <c r="H1220">
        <v>1668.8</v>
      </c>
    </row>
    <row r="1221" spans="1:9">
      <c r="A1221" t="str">
        <f>"ANG"</f>
        <v>ANG</v>
      </c>
      <c r="B1221" t="str">
        <f t="shared" si="88"/>
        <v>62570000</v>
      </c>
      <c r="C1221" t="str">
        <f t="shared" si="86"/>
        <v>ANG625700000</v>
      </c>
      <c r="E1221">
        <v>3556.07</v>
      </c>
      <c r="F1221">
        <v>0</v>
      </c>
      <c r="G1221">
        <f t="shared" si="87"/>
        <v>3556.07</v>
      </c>
      <c r="H1221" s="433"/>
      <c r="I1221" s="113"/>
    </row>
    <row r="1222" spans="1:9">
      <c r="A1222" t="str">
        <f>"BET"</f>
        <v>BET</v>
      </c>
      <c r="B1222" t="str">
        <f t="shared" si="88"/>
        <v>62570000</v>
      </c>
      <c r="C1222" t="str">
        <f t="shared" si="86"/>
        <v>BET625700000</v>
      </c>
      <c r="E1222">
        <v>2635.97</v>
      </c>
      <c r="F1222">
        <f>1460.2-H1222</f>
        <v>0</v>
      </c>
      <c r="G1222">
        <f t="shared" si="87"/>
        <v>2635.97</v>
      </c>
      <c r="H1222">
        <v>1460.2</v>
      </c>
    </row>
    <row r="1223" spans="1:9">
      <c r="A1223" t="str">
        <f>"BOI"</f>
        <v>BOI</v>
      </c>
      <c r="B1223" t="str">
        <f t="shared" si="88"/>
        <v>62570000</v>
      </c>
      <c r="C1223" t="str">
        <f t="shared" si="86"/>
        <v>BOI625700000</v>
      </c>
      <c r="E1223">
        <v>1596.2</v>
      </c>
      <c r="F1223">
        <v>625.79999999999995</v>
      </c>
      <c r="G1223">
        <f t="shared" si="87"/>
        <v>970.40000000000009</v>
      </c>
      <c r="H1223">
        <v>625.79999999999995</v>
      </c>
    </row>
    <row r="1224" spans="1:9">
      <c r="A1224" t="str">
        <f>"BOS"</f>
        <v>BOS</v>
      </c>
      <c r="B1224" t="str">
        <f t="shared" si="88"/>
        <v>62570000</v>
      </c>
      <c r="C1224" t="str">
        <f t="shared" si="86"/>
        <v>BOS625700000</v>
      </c>
      <c r="E1224">
        <v>7570.64</v>
      </c>
      <c r="F1224">
        <v>0</v>
      </c>
      <c r="G1224">
        <f t="shared" si="87"/>
        <v>7570.64</v>
      </c>
    </row>
    <row r="1225" spans="1:9">
      <c r="A1225" t="str">
        <f>"BOU"</f>
        <v>BOU</v>
      </c>
      <c r="B1225" t="str">
        <f t="shared" si="88"/>
        <v>62570000</v>
      </c>
      <c r="C1225" t="str">
        <f t="shared" si="86"/>
        <v>BOU625700000</v>
      </c>
      <c r="E1225">
        <v>8051.68</v>
      </c>
      <c r="F1225">
        <f>3262.6-H1225</f>
        <v>0</v>
      </c>
      <c r="G1225">
        <f t="shared" si="87"/>
        <v>8051.68</v>
      </c>
      <c r="H1225">
        <v>3262.6</v>
      </c>
    </row>
    <row r="1226" spans="1:9">
      <c r="A1226" t="str">
        <f>"CAL"</f>
        <v>CAL</v>
      </c>
      <c r="B1226" t="str">
        <f t="shared" si="88"/>
        <v>62570000</v>
      </c>
      <c r="C1226" t="str">
        <f t="shared" si="86"/>
        <v>CAL625700000</v>
      </c>
      <c r="E1226">
        <v>5340.81</v>
      </c>
      <c r="F1226">
        <f>1668.8-H1226</f>
        <v>0</v>
      </c>
      <c r="G1226">
        <f t="shared" si="87"/>
        <v>5340.81</v>
      </c>
      <c r="H1226">
        <v>1668.8</v>
      </c>
    </row>
    <row r="1227" spans="1:9">
      <c r="A1227" t="str">
        <f>"CAM"</f>
        <v>CAM</v>
      </c>
      <c r="B1227" t="str">
        <f t="shared" si="88"/>
        <v>62570000</v>
      </c>
      <c r="C1227" t="str">
        <f t="shared" si="86"/>
        <v>CAM625700000</v>
      </c>
      <c r="E1227">
        <v>8877.64</v>
      </c>
      <c r="F1227">
        <f>2086-H1227</f>
        <v>0</v>
      </c>
      <c r="G1227">
        <f t="shared" si="87"/>
        <v>8877.64</v>
      </c>
      <c r="H1227">
        <v>2086</v>
      </c>
    </row>
    <row r="1228" spans="1:9">
      <c r="A1228" t="str">
        <f>"CAU"</f>
        <v>CAU</v>
      </c>
      <c r="B1228" t="str">
        <f t="shared" si="88"/>
        <v>62570000</v>
      </c>
      <c r="C1228" t="str">
        <f t="shared" si="86"/>
        <v>CAU625700000</v>
      </c>
      <c r="E1228">
        <v>3246.44</v>
      </c>
      <c r="F1228">
        <f>2294.6-H1228</f>
        <v>0</v>
      </c>
      <c r="G1228">
        <f t="shared" si="87"/>
        <v>3246.44</v>
      </c>
      <c r="H1228">
        <v>2294.6</v>
      </c>
    </row>
    <row r="1229" spans="1:9">
      <c r="A1229" t="str">
        <f>"CHA"</f>
        <v>CHA</v>
      </c>
      <c r="B1229" t="str">
        <f t="shared" si="88"/>
        <v>62570000</v>
      </c>
      <c r="C1229" t="str">
        <f t="shared" si="86"/>
        <v>CHA625700000</v>
      </c>
      <c r="E1229">
        <v>2444.79</v>
      </c>
      <c r="F1229">
        <v>0</v>
      </c>
      <c r="G1229">
        <f t="shared" si="87"/>
        <v>2444.79</v>
      </c>
    </row>
    <row r="1230" spans="1:9">
      <c r="A1230" t="str">
        <f>"CHAM"</f>
        <v>CHAM</v>
      </c>
      <c r="B1230" t="str">
        <f t="shared" si="88"/>
        <v>62570000</v>
      </c>
      <c r="C1230" t="str">
        <f t="shared" si="86"/>
        <v>CHAM625700000</v>
      </c>
      <c r="E1230">
        <v>3039.79</v>
      </c>
      <c r="F1230">
        <v>0</v>
      </c>
      <c r="G1230">
        <f t="shared" si="87"/>
        <v>3039.79</v>
      </c>
    </row>
    <row r="1231" spans="1:9">
      <c r="A1231" t="str">
        <f>"CHART"</f>
        <v>CHART</v>
      </c>
      <c r="B1231" t="str">
        <f t="shared" si="88"/>
        <v>62570000</v>
      </c>
      <c r="C1231" t="str">
        <f t="shared" si="86"/>
        <v>CHART625700000</v>
      </c>
      <c r="E1231">
        <v>5218.92</v>
      </c>
      <c r="F1231">
        <v>0</v>
      </c>
      <c r="G1231">
        <f t="shared" si="87"/>
        <v>5218.92</v>
      </c>
    </row>
    <row r="1232" spans="1:9">
      <c r="A1232" t="str">
        <f>"CLE"</f>
        <v>CLE</v>
      </c>
      <c r="B1232" t="str">
        <f t="shared" si="88"/>
        <v>62570000</v>
      </c>
      <c r="C1232" t="str">
        <f t="shared" si="86"/>
        <v>CLE625700000</v>
      </c>
      <c r="E1232">
        <v>15606.92</v>
      </c>
      <c r="F1232">
        <v>0</v>
      </c>
      <c r="G1232">
        <f t="shared" si="87"/>
        <v>15606.92</v>
      </c>
    </row>
    <row r="1233" spans="1:8">
      <c r="A1233" t="str">
        <f>"COM"</f>
        <v>COM</v>
      </c>
      <c r="B1233" t="str">
        <f t="shared" si="88"/>
        <v>62570000</v>
      </c>
      <c r="C1233" t="str">
        <f t="shared" si="86"/>
        <v>COM625700000</v>
      </c>
      <c r="E1233">
        <v>-67.180000000000007</v>
      </c>
      <c r="F1233">
        <f>1460.2-H1233</f>
        <v>0</v>
      </c>
      <c r="G1233">
        <f t="shared" si="87"/>
        <v>-67.180000000000007</v>
      </c>
      <c r="H1233">
        <v>1460.2</v>
      </c>
    </row>
    <row r="1234" spans="1:8">
      <c r="A1234" t="str">
        <f>"CST"</f>
        <v>CST</v>
      </c>
      <c r="B1234" t="str">
        <f t="shared" si="88"/>
        <v>62570000</v>
      </c>
      <c r="C1234" t="str">
        <f t="shared" si="86"/>
        <v>CST625700000</v>
      </c>
      <c r="E1234">
        <v>4346.71</v>
      </c>
      <c r="F1234">
        <v>0</v>
      </c>
      <c r="G1234">
        <f t="shared" si="87"/>
        <v>4346.71</v>
      </c>
    </row>
    <row r="1235" spans="1:8">
      <c r="A1235" t="str">
        <f>"DIJ"</f>
        <v>DIJ</v>
      </c>
      <c r="B1235" t="str">
        <f t="shared" si="88"/>
        <v>62570000</v>
      </c>
      <c r="C1235" t="str">
        <f t="shared" si="86"/>
        <v>DIJ625700000</v>
      </c>
      <c r="E1235">
        <v>2590.1</v>
      </c>
      <c r="F1235">
        <v>0</v>
      </c>
      <c r="G1235">
        <f t="shared" si="87"/>
        <v>2590.1</v>
      </c>
    </row>
    <row r="1236" spans="1:8">
      <c r="A1236" t="str">
        <f>"EU"</f>
        <v>EU</v>
      </c>
      <c r="B1236" t="str">
        <f t="shared" si="88"/>
        <v>62570000</v>
      </c>
      <c r="C1236" t="str">
        <f t="shared" si="86"/>
        <v>EU625700000</v>
      </c>
      <c r="E1236">
        <v>9230.7900000000009</v>
      </c>
      <c r="F1236">
        <f>834.4-H1236</f>
        <v>0</v>
      </c>
      <c r="G1236">
        <f t="shared" si="87"/>
        <v>9230.7900000000009</v>
      </c>
      <c r="H1236">
        <v>834.4</v>
      </c>
    </row>
    <row r="1237" spans="1:8">
      <c r="A1237" t="str">
        <f>"GRE"</f>
        <v>GRE</v>
      </c>
      <c r="B1237" t="str">
        <f t="shared" si="88"/>
        <v>62570000</v>
      </c>
      <c r="C1237" t="str">
        <f t="shared" si="86"/>
        <v>GRE625700000</v>
      </c>
      <c r="E1237">
        <v>8399.15</v>
      </c>
      <c r="F1237">
        <v>0</v>
      </c>
      <c r="G1237">
        <f t="shared" si="87"/>
        <v>8399.15</v>
      </c>
    </row>
    <row r="1238" spans="1:8">
      <c r="A1238" t="str">
        <f>"LEN"</f>
        <v>LEN</v>
      </c>
      <c r="B1238" t="str">
        <f t="shared" si="88"/>
        <v>62570000</v>
      </c>
      <c r="C1238" t="str">
        <f t="shared" si="86"/>
        <v>LEN625700000</v>
      </c>
      <c r="E1238">
        <v>4513.08</v>
      </c>
      <c r="F1238">
        <f>1043-H1238</f>
        <v>0</v>
      </c>
      <c r="G1238">
        <f t="shared" si="87"/>
        <v>4513.08</v>
      </c>
      <c r="H1238">
        <v>1043</v>
      </c>
    </row>
    <row r="1239" spans="1:8">
      <c r="A1239" t="str">
        <f>"LIL"</f>
        <v>LIL</v>
      </c>
      <c r="B1239" t="str">
        <f t="shared" si="88"/>
        <v>62570000</v>
      </c>
      <c r="C1239" t="str">
        <f t="shared" si="86"/>
        <v>LIL625700000</v>
      </c>
      <c r="E1239">
        <v>16.46</v>
      </c>
      <c r="F1239">
        <f>745.5-H1239</f>
        <v>0</v>
      </c>
      <c r="G1239">
        <f t="shared" si="87"/>
        <v>16.46</v>
      </c>
      <c r="H1239">
        <v>745.5</v>
      </c>
    </row>
    <row r="1240" spans="1:8">
      <c r="A1240" t="str">
        <f>"MAD"</f>
        <v>MAD</v>
      </c>
      <c r="B1240" t="str">
        <f t="shared" si="88"/>
        <v>62570000</v>
      </c>
      <c r="C1240" t="str">
        <f t="shared" si="86"/>
        <v>MAD625700000</v>
      </c>
      <c r="E1240">
        <v>7983.4</v>
      </c>
      <c r="F1240">
        <f>1894.6-H1240</f>
        <v>0</v>
      </c>
      <c r="G1240">
        <f t="shared" si="87"/>
        <v>7983.4</v>
      </c>
      <c r="H1240">
        <v>1894.6</v>
      </c>
    </row>
    <row r="1241" spans="1:8">
      <c r="A1241" t="str">
        <f>"MAR"</f>
        <v>MAR</v>
      </c>
      <c r="B1241" t="str">
        <f t="shared" si="88"/>
        <v>62570000</v>
      </c>
      <c r="C1241" t="str">
        <f t="shared" si="86"/>
        <v>MAR625700000</v>
      </c>
      <c r="E1241">
        <v>2638.28</v>
      </c>
      <c r="F1241">
        <v>0</v>
      </c>
      <c r="G1241">
        <f t="shared" si="87"/>
        <v>2638.28</v>
      </c>
    </row>
    <row r="1242" spans="1:8">
      <c r="A1242" t="str">
        <f>"MON"</f>
        <v>MON</v>
      </c>
      <c r="B1242" t="str">
        <f t="shared" si="88"/>
        <v>62570000</v>
      </c>
      <c r="C1242" t="str">
        <f t="shared" si="86"/>
        <v>MON625700000</v>
      </c>
      <c r="E1242">
        <v>5728.64</v>
      </c>
      <c r="F1242">
        <v>0</v>
      </c>
      <c r="G1242">
        <f t="shared" si="87"/>
        <v>5728.64</v>
      </c>
    </row>
    <row r="1243" spans="1:8">
      <c r="A1243" t="str">
        <f>"NAN"</f>
        <v>NAN</v>
      </c>
      <c r="B1243" t="str">
        <f t="shared" si="88"/>
        <v>62570000</v>
      </c>
      <c r="C1243" t="str">
        <f t="shared" si="86"/>
        <v>NAN625700000</v>
      </c>
      <c r="E1243">
        <v>11368.67</v>
      </c>
      <c r="F1243">
        <v>0</v>
      </c>
      <c r="G1243">
        <f t="shared" si="87"/>
        <v>11368.67</v>
      </c>
    </row>
    <row r="1244" spans="1:8">
      <c r="A1244" t="str">
        <f>"ORL"</f>
        <v>ORL</v>
      </c>
      <c r="B1244" t="str">
        <f t="shared" si="88"/>
        <v>62570000</v>
      </c>
      <c r="C1244" t="str">
        <f t="shared" si="86"/>
        <v>ORL625700000</v>
      </c>
      <c r="E1244">
        <v>-3649.4</v>
      </c>
      <c r="F1244">
        <v>0</v>
      </c>
      <c r="G1244">
        <f t="shared" si="87"/>
        <v>-3649.4</v>
      </c>
    </row>
    <row r="1245" spans="1:8">
      <c r="A1245" t="str">
        <f>"REN"</f>
        <v>REN</v>
      </c>
      <c r="B1245" t="str">
        <f t="shared" si="88"/>
        <v>62570000</v>
      </c>
      <c r="C1245" t="str">
        <f t="shared" si="86"/>
        <v>REN625700000</v>
      </c>
      <c r="E1245">
        <v>3075.9</v>
      </c>
      <c r="F1245">
        <v>0</v>
      </c>
      <c r="G1245">
        <f t="shared" si="87"/>
        <v>3075.9</v>
      </c>
    </row>
    <row r="1246" spans="1:8">
      <c r="A1246" t="str">
        <f>"ROA"</f>
        <v>ROA</v>
      </c>
      <c r="B1246" t="str">
        <f t="shared" si="88"/>
        <v>62570000</v>
      </c>
      <c r="C1246" t="str">
        <f t="shared" si="86"/>
        <v>ROA625700000</v>
      </c>
      <c r="E1246">
        <v>3806.62</v>
      </c>
      <c r="F1246">
        <v>0</v>
      </c>
      <c r="G1246">
        <f t="shared" si="87"/>
        <v>3806.62</v>
      </c>
    </row>
    <row r="1247" spans="1:8">
      <c r="A1247" t="str">
        <f>"SAU"</f>
        <v>SAU</v>
      </c>
      <c r="B1247" t="str">
        <f t="shared" si="88"/>
        <v>62570000</v>
      </c>
      <c r="C1247" t="str">
        <f t="shared" si="86"/>
        <v>SAU625700000</v>
      </c>
      <c r="E1247">
        <v>3530.88</v>
      </c>
      <c r="F1247">
        <v>0</v>
      </c>
      <c r="G1247">
        <f t="shared" si="87"/>
        <v>3530.88</v>
      </c>
    </row>
    <row r="1248" spans="1:8">
      <c r="A1248" t="str">
        <f>"SOM"</f>
        <v>SOM</v>
      </c>
      <c r="B1248" t="str">
        <f t="shared" si="88"/>
        <v>62570000</v>
      </c>
      <c r="C1248" t="str">
        <f t="shared" si="86"/>
        <v>SOM625700000</v>
      </c>
      <c r="E1248">
        <v>1684.27</v>
      </c>
      <c r="F1248">
        <v>0</v>
      </c>
      <c r="G1248">
        <f t="shared" si="87"/>
        <v>1684.27</v>
      </c>
    </row>
    <row r="1249" spans="1:13">
      <c r="A1249" t="str">
        <f>"THO"</f>
        <v>THO</v>
      </c>
      <c r="B1249" t="str">
        <f t="shared" si="88"/>
        <v>62570000</v>
      </c>
      <c r="C1249" t="str">
        <f t="shared" si="86"/>
        <v>THO625700000</v>
      </c>
      <c r="E1249">
        <v>3355.23</v>
      </c>
      <c r="F1249">
        <v>0</v>
      </c>
      <c r="G1249">
        <f t="shared" si="87"/>
        <v>3355.23</v>
      </c>
    </row>
    <row r="1250" spans="1:13">
      <c r="A1250" t="str">
        <f>"TOURC"</f>
        <v>TOURC</v>
      </c>
      <c r="B1250" t="str">
        <f t="shared" si="88"/>
        <v>62570000</v>
      </c>
      <c r="C1250" t="str">
        <f t="shared" si="86"/>
        <v>TOURC625700000</v>
      </c>
      <c r="E1250">
        <v>1406.68</v>
      </c>
      <c r="F1250">
        <v>0</v>
      </c>
      <c r="G1250">
        <f t="shared" si="87"/>
        <v>1406.68</v>
      </c>
    </row>
    <row r="1251" spans="1:13">
      <c r="A1251" t="str">
        <f>"VAN"</f>
        <v>VAN</v>
      </c>
      <c r="B1251" t="str">
        <f t="shared" si="88"/>
        <v>62570000</v>
      </c>
      <c r="C1251" t="str">
        <f t="shared" si="86"/>
        <v>VAN625700000</v>
      </c>
      <c r="E1251">
        <v>855.45</v>
      </c>
      <c r="F1251">
        <v>0</v>
      </c>
      <c r="G1251">
        <f t="shared" si="87"/>
        <v>855.45</v>
      </c>
    </row>
    <row r="1252" spans="1:13">
      <c r="A1252" t="str">
        <f>"AMI"</f>
        <v>AMI</v>
      </c>
      <c r="B1252" t="str">
        <f t="shared" ref="B1252:B1281" si="89">"62571000"</f>
        <v>62571000</v>
      </c>
      <c r="C1252" t="str">
        <f t="shared" si="86"/>
        <v>AMI625710000</v>
      </c>
      <c r="E1252">
        <v>485.5</v>
      </c>
      <c r="F1252">
        <v>0</v>
      </c>
      <c r="G1252">
        <f t="shared" si="87"/>
        <v>485.5</v>
      </c>
      <c r="M1252" s="113"/>
    </row>
    <row r="1253" spans="1:13">
      <c r="A1253" t="str">
        <f>"ANG"</f>
        <v>ANG</v>
      </c>
      <c r="B1253" t="str">
        <f t="shared" si="89"/>
        <v>62571000</v>
      </c>
      <c r="C1253" t="str">
        <f t="shared" si="86"/>
        <v>ANG625710000</v>
      </c>
      <c r="E1253">
        <v>1601.04</v>
      </c>
      <c r="F1253">
        <v>0</v>
      </c>
      <c r="G1253">
        <f t="shared" si="87"/>
        <v>1601.04</v>
      </c>
    </row>
    <row r="1254" spans="1:13">
      <c r="A1254" t="str">
        <f>"BET"</f>
        <v>BET</v>
      </c>
      <c r="B1254" t="str">
        <f t="shared" si="89"/>
        <v>62571000</v>
      </c>
      <c r="C1254" t="str">
        <f t="shared" si="86"/>
        <v>BET625710000</v>
      </c>
      <c r="E1254">
        <v>136.87</v>
      </c>
      <c r="F1254">
        <v>0</v>
      </c>
      <c r="G1254">
        <f t="shared" si="87"/>
        <v>136.87</v>
      </c>
      <c r="M1254" s="113"/>
    </row>
    <row r="1255" spans="1:13">
      <c r="A1255" t="str">
        <f>"BOI"</f>
        <v>BOI</v>
      </c>
      <c r="B1255" t="str">
        <f t="shared" si="89"/>
        <v>62571000</v>
      </c>
      <c r="C1255" t="str">
        <f t="shared" si="86"/>
        <v>BOI625710000</v>
      </c>
      <c r="E1255">
        <v>20.95</v>
      </c>
      <c r="F1255">
        <v>0</v>
      </c>
      <c r="G1255">
        <f t="shared" si="87"/>
        <v>20.95</v>
      </c>
    </row>
    <row r="1256" spans="1:13">
      <c r="A1256" t="str">
        <f>"BOS"</f>
        <v>BOS</v>
      </c>
      <c r="B1256" t="str">
        <f t="shared" si="89"/>
        <v>62571000</v>
      </c>
      <c r="C1256" t="str">
        <f t="shared" si="86"/>
        <v>BOS625710000</v>
      </c>
      <c r="E1256">
        <v>5656.81</v>
      </c>
      <c r="F1256">
        <v>0</v>
      </c>
      <c r="G1256">
        <f t="shared" si="87"/>
        <v>5656.81</v>
      </c>
    </row>
    <row r="1257" spans="1:13">
      <c r="A1257" t="str">
        <f>"BOU"</f>
        <v>BOU</v>
      </c>
      <c r="B1257" t="str">
        <f t="shared" si="89"/>
        <v>62571000</v>
      </c>
      <c r="C1257" t="str">
        <f t="shared" si="86"/>
        <v>BOU625710000</v>
      </c>
      <c r="E1257">
        <v>2102.0500000000002</v>
      </c>
      <c r="F1257">
        <v>0</v>
      </c>
      <c r="G1257">
        <f t="shared" si="87"/>
        <v>2102.0500000000002</v>
      </c>
    </row>
    <row r="1258" spans="1:13">
      <c r="A1258" t="str">
        <f>"CAL"</f>
        <v>CAL</v>
      </c>
      <c r="B1258" t="str">
        <f t="shared" si="89"/>
        <v>62571000</v>
      </c>
      <c r="C1258" t="str">
        <f t="shared" si="86"/>
        <v>CAL625710000</v>
      </c>
      <c r="E1258">
        <v>1775.71</v>
      </c>
      <c r="F1258">
        <v>0</v>
      </c>
      <c r="G1258">
        <f t="shared" si="87"/>
        <v>1775.71</v>
      </c>
    </row>
    <row r="1259" spans="1:13">
      <c r="A1259" t="str">
        <f>"CAM"</f>
        <v>CAM</v>
      </c>
      <c r="B1259" t="str">
        <f t="shared" si="89"/>
        <v>62571000</v>
      </c>
      <c r="C1259" t="str">
        <f t="shared" si="86"/>
        <v>CAM625710000</v>
      </c>
      <c r="E1259">
        <v>1642.27</v>
      </c>
      <c r="F1259">
        <v>0</v>
      </c>
      <c r="G1259">
        <f t="shared" si="87"/>
        <v>1642.27</v>
      </c>
    </row>
    <row r="1260" spans="1:13">
      <c r="A1260" t="str">
        <f>"CAU"</f>
        <v>CAU</v>
      </c>
      <c r="B1260" t="str">
        <f t="shared" si="89"/>
        <v>62571000</v>
      </c>
      <c r="C1260" t="str">
        <f t="shared" si="86"/>
        <v>CAU625710000</v>
      </c>
      <c r="E1260">
        <v>708.67</v>
      </c>
      <c r="F1260">
        <v>0</v>
      </c>
      <c r="G1260">
        <f t="shared" si="87"/>
        <v>708.67</v>
      </c>
    </row>
    <row r="1261" spans="1:13">
      <c r="A1261" t="str">
        <f>"CHA"</f>
        <v>CHA</v>
      </c>
      <c r="B1261" t="str">
        <f t="shared" si="89"/>
        <v>62571000</v>
      </c>
      <c r="C1261" t="str">
        <f t="shared" si="86"/>
        <v>CHA625710000</v>
      </c>
      <c r="E1261">
        <v>870.45</v>
      </c>
      <c r="F1261">
        <v>0</v>
      </c>
      <c r="G1261">
        <f t="shared" si="87"/>
        <v>870.45</v>
      </c>
    </row>
    <row r="1262" spans="1:13">
      <c r="A1262" t="str">
        <f>"CHAM"</f>
        <v>CHAM</v>
      </c>
      <c r="B1262" t="str">
        <f t="shared" si="89"/>
        <v>62571000</v>
      </c>
      <c r="C1262" t="str">
        <f t="shared" si="86"/>
        <v>CHAM625710000</v>
      </c>
      <c r="E1262">
        <v>949.51</v>
      </c>
      <c r="F1262">
        <v>0</v>
      </c>
      <c r="G1262">
        <f t="shared" si="87"/>
        <v>949.51</v>
      </c>
    </row>
    <row r="1263" spans="1:13">
      <c r="A1263" t="str">
        <f>"CHART"</f>
        <v>CHART</v>
      </c>
      <c r="B1263" t="str">
        <f t="shared" si="89"/>
        <v>62571000</v>
      </c>
      <c r="C1263" t="str">
        <f t="shared" si="86"/>
        <v>CHART625710000</v>
      </c>
      <c r="E1263">
        <v>418.78</v>
      </c>
      <c r="F1263">
        <v>0</v>
      </c>
      <c r="G1263">
        <f t="shared" si="87"/>
        <v>418.78</v>
      </c>
    </row>
    <row r="1264" spans="1:13">
      <c r="A1264" t="str">
        <f>"CLE"</f>
        <v>CLE</v>
      </c>
      <c r="B1264" t="str">
        <f t="shared" si="89"/>
        <v>62571000</v>
      </c>
      <c r="C1264" t="str">
        <f t="shared" si="86"/>
        <v>CLE625710000</v>
      </c>
      <c r="E1264">
        <v>5907.95</v>
      </c>
      <c r="F1264">
        <v>0</v>
      </c>
      <c r="G1264">
        <f t="shared" si="87"/>
        <v>5907.95</v>
      </c>
    </row>
    <row r="1265" spans="1:7">
      <c r="A1265" t="str">
        <f>"COM"</f>
        <v>COM</v>
      </c>
      <c r="B1265" t="str">
        <f t="shared" si="89"/>
        <v>62571000</v>
      </c>
      <c r="C1265" t="str">
        <f t="shared" si="86"/>
        <v>COM625710000</v>
      </c>
      <c r="E1265">
        <v>2670</v>
      </c>
      <c r="F1265">
        <v>0</v>
      </c>
      <c r="G1265">
        <f t="shared" si="87"/>
        <v>2670</v>
      </c>
    </row>
    <row r="1266" spans="1:7">
      <c r="A1266" t="str">
        <f>"CST"</f>
        <v>CST</v>
      </c>
      <c r="B1266" t="str">
        <f t="shared" si="89"/>
        <v>62571000</v>
      </c>
      <c r="C1266" t="str">
        <f t="shared" si="86"/>
        <v>CST625710000</v>
      </c>
      <c r="E1266">
        <v>1971.9</v>
      </c>
      <c r="F1266">
        <v>0</v>
      </c>
      <c r="G1266">
        <f t="shared" si="87"/>
        <v>1971.9</v>
      </c>
    </row>
    <row r="1267" spans="1:7">
      <c r="A1267" t="str">
        <f>"DIJ"</f>
        <v>DIJ</v>
      </c>
      <c r="B1267" t="str">
        <f t="shared" si="89"/>
        <v>62571000</v>
      </c>
      <c r="C1267" t="str">
        <f t="shared" si="86"/>
        <v>DIJ625710000</v>
      </c>
      <c r="E1267">
        <v>760.81</v>
      </c>
      <c r="F1267">
        <v>0</v>
      </c>
      <c r="G1267">
        <f t="shared" si="87"/>
        <v>760.81</v>
      </c>
    </row>
    <row r="1268" spans="1:7">
      <c r="A1268" t="str">
        <f>"GRE"</f>
        <v>GRE</v>
      </c>
      <c r="B1268" t="str">
        <f t="shared" si="89"/>
        <v>62571000</v>
      </c>
      <c r="C1268" t="str">
        <f t="shared" si="86"/>
        <v>GRE625710000</v>
      </c>
      <c r="E1268">
        <v>4399.5</v>
      </c>
      <c r="F1268">
        <v>0</v>
      </c>
      <c r="G1268">
        <f t="shared" si="87"/>
        <v>4399.5</v>
      </c>
    </row>
    <row r="1269" spans="1:7">
      <c r="A1269" t="str">
        <f>"LEN"</f>
        <v>LEN</v>
      </c>
      <c r="B1269" t="str">
        <f t="shared" si="89"/>
        <v>62571000</v>
      </c>
      <c r="C1269" t="str">
        <f t="shared" si="86"/>
        <v>LEN625710000</v>
      </c>
      <c r="E1269">
        <v>133.15</v>
      </c>
      <c r="F1269">
        <v>0</v>
      </c>
      <c r="G1269">
        <f t="shared" si="87"/>
        <v>133.15</v>
      </c>
    </row>
    <row r="1270" spans="1:7">
      <c r="A1270" t="str">
        <f>"LIL"</f>
        <v>LIL</v>
      </c>
      <c r="B1270" t="str">
        <f t="shared" si="89"/>
        <v>62571000</v>
      </c>
      <c r="C1270" t="str">
        <f t="shared" si="86"/>
        <v>LIL625710000</v>
      </c>
      <c r="E1270">
        <v>113.78</v>
      </c>
      <c r="F1270">
        <v>0</v>
      </c>
      <c r="G1270">
        <f t="shared" si="87"/>
        <v>113.78</v>
      </c>
    </row>
    <row r="1271" spans="1:7">
      <c r="A1271" t="str">
        <f>"MAD"</f>
        <v>MAD</v>
      </c>
      <c r="B1271" t="str">
        <f t="shared" si="89"/>
        <v>62571000</v>
      </c>
      <c r="C1271" t="str">
        <f t="shared" si="86"/>
        <v>MAD625710000</v>
      </c>
      <c r="E1271">
        <v>2921.35</v>
      </c>
      <c r="F1271">
        <v>0</v>
      </c>
      <c r="G1271">
        <f t="shared" si="87"/>
        <v>2921.35</v>
      </c>
    </row>
    <row r="1272" spans="1:7">
      <c r="A1272" t="str">
        <f>"MAR"</f>
        <v>MAR</v>
      </c>
      <c r="B1272" t="str">
        <f t="shared" si="89"/>
        <v>62571000</v>
      </c>
      <c r="C1272" t="str">
        <f t="shared" si="86"/>
        <v>MAR625710000</v>
      </c>
      <c r="E1272">
        <v>651.19000000000005</v>
      </c>
      <c r="F1272">
        <v>0</v>
      </c>
      <c r="G1272">
        <f t="shared" si="87"/>
        <v>651.19000000000005</v>
      </c>
    </row>
    <row r="1273" spans="1:7">
      <c r="A1273" t="str">
        <f>"MON"</f>
        <v>MON</v>
      </c>
      <c r="B1273" t="str">
        <f t="shared" si="89"/>
        <v>62571000</v>
      </c>
      <c r="C1273" t="str">
        <f t="shared" si="86"/>
        <v>MON625710000</v>
      </c>
      <c r="E1273">
        <v>3567.09</v>
      </c>
      <c r="F1273">
        <v>0</v>
      </c>
      <c r="G1273">
        <f t="shared" si="87"/>
        <v>3567.09</v>
      </c>
    </row>
    <row r="1274" spans="1:7">
      <c r="A1274" t="str">
        <f>"NAN"</f>
        <v>NAN</v>
      </c>
      <c r="B1274" t="str">
        <f t="shared" si="89"/>
        <v>62571000</v>
      </c>
      <c r="C1274" t="str">
        <f t="shared" si="86"/>
        <v>NAN625710000</v>
      </c>
      <c r="E1274">
        <v>1124.5999999999999</v>
      </c>
      <c r="F1274">
        <v>0</v>
      </c>
      <c r="G1274">
        <f t="shared" si="87"/>
        <v>1124.5999999999999</v>
      </c>
    </row>
    <row r="1275" spans="1:7">
      <c r="A1275" t="str">
        <f>"ORL"</f>
        <v>ORL</v>
      </c>
      <c r="B1275" t="str">
        <f t="shared" si="89"/>
        <v>62571000</v>
      </c>
      <c r="C1275" t="str">
        <f t="shared" si="86"/>
        <v>ORL625710000</v>
      </c>
      <c r="E1275">
        <v>2183.37</v>
      </c>
      <c r="F1275">
        <v>0</v>
      </c>
      <c r="G1275">
        <f t="shared" si="87"/>
        <v>2183.37</v>
      </c>
    </row>
    <row r="1276" spans="1:7">
      <c r="A1276" t="str">
        <f>"REN"</f>
        <v>REN</v>
      </c>
      <c r="B1276" t="str">
        <f t="shared" si="89"/>
        <v>62571000</v>
      </c>
      <c r="C1276" t="str">
        <f t="shared" si="86"/>
        <v>REN625710000</v>
      </c>
      <c r="E1276">
        <v>746.61</v>
      </c>
      <c r="F1276">
        <v>0</v>
      </c>
      <c r="G1276">
        <f t="shared" si="87"/>
        <v>746.61</v>
      </c>
    </row>
    <row r="1277" spans="1:7">
      <c r="A1277" t="str">
        <f>"ROA"</f>
        <v>ROA</v>
      </c>
      <c r="B1277" t="str">
        <f t="shared" si="89"/>
        <v>62571000</v>
      </c>
      <c r="C1277" t="str">
        <f t="shared" si="86"/>
        <v>ROA625710000</v>
      </c>
      <c r="E1277">
        <v>1490.65</v>
      </c>
      <c r="F1277">
        <v>0</v>
      </c>
      <c r="G1277">
        <f t="shared" si="87"/>
        <v>1490.65</v>
      </c>
    </row>
    <row r="1278" spans="1:7">
      <c r="A1278" t="str">
        <f>"SOM"</f>
        <v>SOM</v>
      </c>
      <c r="B1278" t="str">
        <f t="shared" si="89"/>
        <v>62571000</v>
      </c>
      <c r="C1278" t="str">
        <f t="shared" si="86"/>
        <v>SOM625710000</v>
      </c>
      <c r="E1278">
        <v>97.07</v>
      </c>
      <c r="F1278">
        <v>0</v>
      </c>
      <c r="G1278">
        <f t="shared" si="87"/>
        <v>97.07</v>
      </c>
    </row>
    <row r="1279" spans="1:7">
      <c r="A1279" t="str">
        <f>"THO"</f>
        <v>THO</v>
      </c>
      <c r="B1279" t="str">
        <f t="shared" si="89"/>
        <v>62571000</v>
      </c>
      <c r="C1279" t="str">
        <f t="shared" si="86"/>
        <v>THO625710000</v>
      </c>
      <c r="E1279">
        <v>1200.8900000000001</v>
      </c>
      <c r="F1279">
        <v>0</v>
      </c>
      <c r="G1279">
        <f t="shared" si="87"/>
        <v>1200.8900000000001</v>
      </c>
    </row>
    <row r="1280" spans="1:7">
      <c r="A1280" t="str">
        <f>"TOURC"</f>
        <v>TOURC</v>
      </c>
      <c r="B1280" t="str">
        <f t="shared" si="89"/>
        <v>62571000</v>
      </c>
      <c r="C1280" t="str">
        <f t="shared" si="86"/>
        <v>TOURC625710000</v>
      </c>
      <c r="E1280">
        <v>341.66</v>
      </c>
      <c r="F1280">
        <v>0</v>
      </c>
      <c r="G1280">
        <f t="shared" si="87"/>
        <v>341.66</v>
      </c>
    </row>
    <row r="1281" spans="1:7">
      <c r="A1281" t="str">
        <f>"VAN"</f>
        <v>VAN</v>
      </c>
      <c r="B1281" t="str">
        <f t="shared" si="89"/>
        <v>62571000</v>
      </c>
      <c r="C1281" t="str">
        <f t="shared" si="86"/>
        <v>VAN625710000</v>
      </c>
      <c r="E1281">
        <v>6211.52</v>
      </c>
      <c r="F1281">
        <v>0</v>
      </c>
      <c r="G1281">
        <f t="shared" si="87"/>
        <v>6211.52</v>
      </c>
    </row>
    <row r="1282" spans="1:7">
      <c r="A1282" t="str">
        <f>"AMI"</f>
        <v>AMI</v>
      </c>
      <c r="B1282" t="str">
        <f t="shared" ref="B1282:B1314" si="90">"62600000"</f>
        <v>62600000</v>
      </c>
      <c r="C1282" t="str">
        <f t="shared" si="86"/>
        <v>AMI626000000</v>
      </c>
      <c r="E1282">
        <v>4643.0200000000004</v>
      </c>
      <c r="F1282">
        <v>0</v>
      </c>
      <c r="G1282">
        <f t="shared" si="87"/>
        <v>4643.0200000000004</v>
      </c>
    </row>
    <row r="1283" spans="1:7">
      <c r="A1283" t="str">
        <f>"ANG"</f>
        <v>ANG</v>
      </c>
      <c r="B1283" t="str">
        <f t="shared" si="90"/>
        <v>62600000</v>
      </c>
      <c r="C1283" t="str">
        <f t="shared" ref="C1283:C1346" si="91">+A1283&amp;B1283*10</f>
        <v>ANG626000000</v>
      </c>
      <c r="E1283">
        <v>3865.26</v>
      </c>
      <c r="F1283">
        <v>0</v>
      </c>
      <c r="G1283">
        <f t="shared" ref="G1283:G1346" si="92">+E1283-F1283</f>
        <v>3865.26</v>
      </c>
    </row>
    <row r="1284" spans="1:7">
      <c r="A1284" t="str">
        <f>"BET"</f>
        <v>BET</v>
      </c>
      <c r="B1284" t="str">
        <f t="shared" si="90"/>
        <v>62600000</v>
      </c>
      <c r="C1284" t="str">
        <f t="shared" si="91"/>
        <v>BET626000000</v>
      </c>
      <c r="E1284">
        <v>3661.89</v>
      </c>
      <c r="F1284">
        <v>0</v>
      </c>
      <c r="G1284">
        <f t="shared" si="92"/>
        <v>3661.89</v>
      </c>
    </row>
    <row r="1285" spans="1:7">
      <c r="A1285" t="str">
        <f>"BOI"</f>
        <v>BOI</v>
      </c>
      <c r="B1285" t="str">
        <f t="shared" si="90"/>
        <v>62600000</v>
      </c>
      <c r="C1285" t="str">
        <f t="shared" si="91"/>
        <v>BOI626000000</v>
      </c>
      <c r="E1285">
        <v>1809.37</v>
      </c>
      <c r="F1285">
        <v>0</v>
      </c>
      <c r="G1285">
        <f t="shared" si="92"/>
        <v>1809.37</v>
      </c>
    </row>
    <row r="1286" spans="1:7">
      <c r="A1286" t="str">
        <f>"BOS"</f>
        <v>BOS</v>
      </c>
      <c r="B1286" t="str">
        <f t="shared" si="90"/>
        <v>62600000</v>
      </c>
      <c r="C1286" t="str">
        <f t="shared" si="91"/>
        <v>BOS626000000</v>
      </c>
      <c r="E1286">
        <v>4383.66</v>
      </c>
      <c r="F1286">
        <v>0</v>
      </c>
      <c r="G1286">
        <f t="shared" si="92"/>
        <v>4383.66</v>
      </c>
    </row>
    <row r="1287" spans="1:7">
      <c r="A1287" t="str">
        <f>"BOU"</f>
        <v>BOU</v>
      </c>
      <c r="B1287" t="str">
        <f t="shared" si="90"/>
        <v>62600000</v>
      </c>
      <c r="C1287" t="str">
        <f t="shared" si="91"/>
        <v>BOU626000000</v>
      </c>
      <c r="E1287">
        <v>4481.8100000000004</v>
      </c>
      <c r="F1287">
        <v>0</v>
      </c>
      <c r="G1287">
        <f t="shared" si="92"/>
        <v>4481.8100000000004</v>
      </c>
    </row>
    <row r="1288" spans="1:7">
      <c r="A1288" t="str">
        <f>"CAL"</f>
        <v>CAL</v>
      </c>
      <c r="B1288" t="str">
        <f t="shared" si="90"/>
        <v>62600000</v>
      </c>
      <c r="C1288" t="str">
        <f t="shared" si="91"/>
        <v>CAL626000000</v>
      </c>
      <c r="E1288">
        <v>2776.11</v>
      </c>
      <c r="F1288">
        <v>0</v>
      </c>
      <c r="G1288">
        <f t="shared" si="92"/>
        <v>2776.11</v>
      </c>
    </row>
    <row r="1289" spans="1:7">
      <c r="A1289" t="str">
        <f>"CAM"</f>
        <v>CAM</v>
      </c>
      <c r="B1289" t="str">
        <f t="shared" si="90"/>
        <v>62600000</v>
      </c>
      <c r="C1289" t="str">
        <f t="shared" si="91"/>
        <v>CAM626000000</v>
      </c>
      <c r="E1289">
        <v>2899.7</v>
      </c>
      <c r="F1289">
        <v>0</v>
      </c>
      <c r="G1289">
        <f t="shared" si="92"/>
        <v>2899.7</v>
      </c>
    </row>
    <row r="1290" spans="1:7">
      <c r="A1290" t="str">
        <f>"CAU"</f>
        <v>CAU</v>
      </c>
      <c r="B1290" t="str">
        <f t="shared" si="90"/>
        <v>62600000</v>
      </c>
      <c r="C1290" t="str">
        <f t="shared" si="91"/>
        <v>CAU626000000</v>
      </c>
      <c r="E1290">
        <v>3412.1</v>
      </c>
      <c r="F1290">
        <v>0</v>
      </c>
      <c r="G1290">
        <f t="shared" si="92"/>
        <v>3412.1</v>
      </c>
    </row>
    <row r="1291" spans="1:7">
      <c r="A1291" t="str">
        <f>"CHA"</f>
        <v>CHA</v>
      </c>
      <c r="B1291" t="str">
        <f t="shared" si="90"/>
        <v>62600000</v>
      </c>
      <c r="C1291" t="str">
        <f t="shared" si="91"/>
        <v>CHA626000000</v>
      </c>
      <c r="E1291">
        <v>3043.08</v>
      </c>
      <c r="F1291">
        <v>0</v>
      </c>
      <c r="G1291">
        <f t="shared" si="92"/>
        <v>3043.08</v>
      </c>
    </row>
    <row r="1292" spans="1:7">
      <c r="A1292" t="str">
        <f>"CHAM"</f>
        <v>CHAM</v>
      </c>
      <c r="B1292" t="str">
        <f t="shared" si="90"/>
        <v>62600000</v>
      </c>
      <c r="C1292" t="str">
        <f t="shared" si="91"/>
        <v>CHAM626000000</v>
      </c>
      <c r="E1292">
        <v>4415.25</v>
      </c>
      <c r="F1292">
        <v>0</v>
      </c>
      <c r="G1292">
        <f t="shared" si="92"/>
        <v>4415.25</v>
      </c>
    </row>
    <row r="1293" spans="1:7">
      <c r="A1293" t="str">
        <f>"CHART"</f>
        <v>CHART</v>
      </c>
      <c r="B1293" t="str">
        <f t="shared" si="90"/>
        <v>62600000</v>
      </c>
      <c r="C1293" t="str">
        <f t="shared" si="91"/>
        <v>CHART626000000</v>
      </c>
      <c r="E1293">
        <v>3142.22</v>
      </c>
      <c r="F1293">
        <v>0</v>
      </c>
      <c r="G1293">
        <f t="shared" si="92"/>
        <v>3142.22</v>
      </c>
    </row>
    <row r="1294" spans="1:7">
      <c r="A1294" t="str">
        <f>"CLE"</f>
        <v>CLE</v>
      </c>
      <c r="B1294" t="str">
        <f t="shared" si="90"/>
        <v>62600000</v>
      </c>
      <c r="C1294" t="str">
        <f t="shared" si="91"/>
        <v>CLE626000000</v>
      </c>
      <c r="E1294">
        <v>6046.56</v>
      </c>
      <c r="F1294">
        <v>0</v>
      </c>
      <c r="G1294">
        <f t="shared" si="92"/>
        <v>6046.56</v>
      </c>
    </row>
    <row r="1295" spans="1:7">
      <c r="A1295" t="str">
        <f>"CLT"</f>
        <v>CLT</v>
      </c>
      <c r="B1295" t="str">
        <f t="shared" si="90"/>
        <v>62600000</v>
      </c>
      <c r="C1295" t="str">
        <f t="shared" si="91"/>
        <v>CLT626000000</v>
      </c>
      <c r="E1295">
        <v>123.3</v>
      </c>
      <c r="F1295">
        <v>0</v>
      </c>
      <c r="G1295">
        <f t="shared" si="92"/>
        <v>123.3</v>
      </c>
    </row>
    <row r="1296" spans="1:7">
      <c r="A1296" t="str">
        <f>"COM"</f>
        <v>COM</v>
      </c>
      <c r="B1296" t="str">
        <f t="shared" si="90"/>
        <v>62600000</v>
      </c>
      <c r="C1296" t="str">
        <f t="shared" si="91"/>
        <v>COM626000000</v>
      </c>
      <c r="E1296">
        <v>2475.5100000000002</v>
      </c>
      <c r="F1296">
        <v>0</v>
      </c>
      <c r="G1296">
        <f t="shared" si="92"/>
        <v>2475.5100000000002</v>
      </c>
    </row>
    <row r="1297" spans="1:7">
      <c r="A1297" t="str">
        <f>"CST"</f>
        <v>CST</v>
      </c>
      <c r="B1297" t="str">
        <f t="shared" si="90"/>
        <v>62600000</v>
      </c>
      <c r="C1297" t="str">
        <f t="shared" si="91"/>
        <v>CST626000000</v>
      </c>
      <c r="E1297">
        <v>3906.46</v>
      </c>
      <c r="F1297">
        <v>0</v>
      </c>
      <c r="G1297">
        <f t="shared" si="92"/>
        <v>3906.46</v>
      </c>
    </row>
    <row r="1298" spans="1:7">
      <c r="A1298" t="str">
        <f>"DIJ"</f>
        <v>DIJ</v>
      </c>
      <c r="B1298" t="str">
        <f t="shared" si="90"/>
        <v>62600000</v>
      </c>
      <c r="C1298" t="str">
        <f t="shared" si="91"/>
        <v>DIJ626000000</v>
      </c>
      <c r="E1298">
        <v>3967.62</v>
      </c>
      <c r="F1298">
        <v>0</v>
      </c>
      <c r="G1298">
        <f t="shared" si="92"/>
        <v>3967.62</v>
      </c>
    </row>
    <row r="1299" spans="1:7">
      <c r="A1299" t="str">
        <f>"EU"</f>
        <v>EU</v>
      </c>
      <c r="B1299" t="str">
        <f t="shared" si="90"/>
        <v>62600000</v>
      </c>
      <c r="C1299" t="str">
        <f t="shared" si="91"/>
        <v>EU626000000</v>
      </c>
      <c r="E1299">
        <v>2444.94</v>
      </c>
      <c r="F1299">
        <v>0</v>
      </c>
      <c r="G1299">
        <f t="shared" si="92"/>
        <v>2444.94</v>
      </c>
    </row>
    <row r="1300" spans="1:7">
      <c r="A1300" t="str">
        <f>"GRE"</f>
        <v>GRE</v>
      </c>
      <c r="B1300" t="str">
        <f t="shared" si="90"/>
        <v>62600000</v>
      </c>
      <c r="C1300" t="str">
        <f t="shared" si="91"/>
        <v>GRE626000000</v>
      </c>
      <c r="E1300">
        <v>4086.29</v>
      </c>
      <c r="F1300">
        <v>0</v>
      </c>
      <c r="G1300">
        <f t="shared" si="92"/>
        <v>4086.29</v>
      </c>
    </row>
    <row r="1301" spans="1:7">
      <c r="A1301" t="str">
        <f>"LEN"</f>
        <v>LEN</v>
      </c>
      <c r="B1301" t="str">
        <f t="shared" si="90"/>
        <v>62600000</v>
      </c>
      <c r="C1301" t="str">
        <f t="shared" si="91"/>
        <v>LEN626000000</v>
      </c>
      <c r="E1301">
        <v>1971.9</v>
      </c>
      <c r="F1301">
        <v>0</v>
      </c>
      <c r="G1301">
        <f t="shared" si="92"/>
        <v>1971.9</v>
      </c>
    </row>
    <row r="1302" spans="1:7">
      <c r="A1302" t="str">
        <f>"LIL"</f>
        <v>LIL</v>
      </c>
      <c r="B1302" t="str">
        <f t="shared" si="90"/>
        <v>62600000</v>
      </c>
      <c r="C1302" t="str">
        <f t="shared" si="91"/>
        <v>LIL626000000</v>
      </c>
      <c r="E1302">
        <v>25718.639999999999</v>
      </c>
      <c r="F1302">
        <v>0</v>
      </c>
      <c r="G1302">
        <f t="shared" si="92"/>
        <v>25718.639999999999</v>
      </c>
    </row>
    <row r="1303" spans="1:7">
      <c r="A1303" t="str">
        <f>"MAD"</f>
        <v>MAD</v>
      </c>
      <c r="B1303" t="str">
        <f t="shared" si="90"/>
        <v>62600000</v>
      </c>
      <c r="C1303" t="str">
        <f t="shared" si="91"/>
        <v>MAD626000000</v>
      </c>
      <c r="E1303">
        <v>4102.55</v>
      </c>
      <c r="F1303">
        <v>0</v>
      </c>
      <c r="G1303">
        <f t="shared" si="92"/>
        <v>4102.55</v>
      </c>
    </row>
    <row r="1304" spans="1:7">
      <c r="A1304" t="str">
        <f>"MAR"</f>
        <v>MAR</v>
      </c>
      <c r="B1304" t="str">
        <f t="shared" si="90"/>
        <v>62600000</v>
      </c>
      <c r="C1304" t="str">
        <f t="shared" si="91"/>
        <v>MAR626000000</v>
      </c>
      <c r="E1304">
        <v>1885.03</v>
      </c>
      <c r="F1304">
        <v>0</v>
      </c>
      <c r="G1304">
        <f t="shared" si="92"/>
        <v>1885.03</v>
      </c>
    </row>
    <row r="1305" spans="1:7">
      <c r="A1305" t="str">
        <f>"MON"</f>
        <v>MON</v>
      </c>
      <c r="B1305" t="str">
        <f t="shared" si="90"/>
        <v>62600000</v>
      </c>
      <c r="C1305" t="str">
        <f t="shared" si="91"/>
        <v>MON626000000</v>
      </c>
      <c r="E1305">
        <v>4379.4799999999996</v>
      </c>
      <c r="F1305">
        <v>0</v>
      </c>
      <c r="G1305">
        <f t="shared" si="92"/>
        <v>4379.4799999999996</v>
      </c>
    </row>
    <row r="1306" spans="1:7">
      <c r="A1306" t="str">
        <f>"NAN"</f>
        <v>NAN</v>
      </c>
      <c r="B1306" t="str">
        <f t="shared" si="90"/>
        <v>62600000</v>
      </c>
      <c r="C1306" t="str">
        <f t="shared" si="91"/>
        <v>NAN626000000</v>
      </c>
      <c r="E1306">
        <v>3888.48</v>
      </c>
      <c r="F1306">
        <v>0</v>
      </c>
      <c r="G1306">
        <f t="shared" si="92"/>
        <v>3888.48</v>
      </c>
    </row>
    <row r="1307" spans="1:7">
      <c r="A1307" t="str">
        <f>"ORL"</f>
        <v>ORL</v>
      </c>
      <c r="B1307" t="str">
        <f t="shared" si="90"/>
        <v>62600000</v>
      </c>
      <c r="C1307" t="str">
        <f t="shared" si="91"/>
        <v>ORL626000000</v>
      </c>
      <c r="E1307">
        <v>4411.93</v>
      </c>
      <c r="F1307">
        <v>0</v>
      </c>
      <c r="G1307">
        <f t="shared" si="92"/>
        <v>4411.93</v>
      </c>
    </row>
    <row r="1308" spans="1:7">
      <c r="A1308" t="str">
        <f>"REN"</f>
        <v>REN</v>
      </c>
      <c r="B1308" t="str">
        <f t="shared" si="90"/>
        <v>62600000</v>
      </c>
      <c r="C1308" t="str">
        <f t="shared" si="91"/>
        <v>REN626000000</v>
      </c>
      <c r="E1308">
        <v>2526.02</v>
      </c>
      <c r="F1308">
        <v>0</v>
      </c>
      <c r="G1308">
        <f t="shared" si="92"/>
        <v>2526.02</v>
      </c>
    </row>
    <row r="1309" spans="1:7">
      <c r="A1309" t="str">
        <f>"ROA"</f>
        <v>ROA</v>
      </c>
      <c r="B1309" t="str">
        <f t="shared" si="90"/>
        <v>62600000</v>
      </c>
      <c r="C1309" t="str">
        <f t="shared" si="91"/>
        <v>ROA626000000</v>
      </c>
      <c r="E1309">
        <v>3367.73</v>
      </c>
      <c r="F1309">
        <v>0</v>
      </c>
      <c r="G1309">
        <f t="shared" si="92"/>
        <v>3367.73</v>
      </c>
    </row>
    <row r="1310" spans="1:7">
      <c r="A1310" t="str">
        <f>"SAU"</f>
        <v>SAU</v>
      </c>
      <c r="B1310" t="str">
        <f t="shared" si="90"/>
        <v>62600000</v>
      </c>
      <c r="C1310" t="str">
        <f t="shared" si="91"/>
        <v>SAU626000000</v>
      </c>
      <c r="E1310">
        <v>2207.4499999999998</v>
      </c>
      <c r="F1310">
        <v>0</v>
      </c>
      <c r="G1310">
        <f t="shared" si="92"/>
        <v>2207.4499999999998</v>
      </c>
    </row>
    <row r="1311" spans="1:7">
      <c r="A1311" t="str">
        <f>"SOM"</f>
        <v>SOM</v>
      </c>
      <c r="B1311" t="str">
        <f t="shared" si="90"/>
        <v>62600000</v>
      </c>
      <c r="C1311" t="str">
        <f t="shared" si="91"/>
        <v>SOM626000000</v>
      </c>
      <c r="E1311">
        <v>2899.04</v>
      </c>
      <c r="F1311">
        <v>0</v>
      </c>
      <c r="G1311">
        <f t="shared" si="92"/>
        <v>2899.04</v>
      </c>
    </row>
    <row r="1312" spans="1:7">
      <c r="A1312" t="str">
        <f>"THO"</f>
        <v>THO</v>
      </c>
      <c r="B1312" t="str">
        <f t="shared" si="90"/>
        <v>62600000</v>
      </c>
      <c r="C1312" t="str">
        <f t="shared" si="91"/>
        <v>THO626000000</v>
      </c>
      <c r="E1312">
        <v>2966.56</v>
      </c>
      <c r="F1312">
        <v>0</v>
      </c>
      <c r="G1312">
        <f t="shared" si="92"/>
        <v>2966.56</v>
      </c>
    </row>
    <row r="1313" spans="1:7">
      <c r="A1313" t="str">
        <f>"TOURC"</f>
        <v>TOURC</v>
      </c>
      <c r="B1313" t="str">
        <f t="shared" si="90"/>
        <v>62600000</v>
      </c>
      <c r="C1313" t="str">
        <f t="shared" si="91"/>
        <v>TOURC626000000</v>
      </c>
      <c r="E1313">
        <v>2343.0300000000002</v>
      </c>
      <c r="F1313">
        <v>0</v>
      </c>
      <c r="G1313">
        <f t="shared" si="92"/>
        <v>2343.0300000000002</v>
      </c>
    </row>
    <row r="1314" spans="1:7">
      <c r="A1314" t="str">
        <f>"VAN"</f>
        <v>VAN</v>
      </c>
      <c r="B1314" t="str">
        <f t="shared" si="90"/>
        <v>62600000</v>
      </c>
      <c r="C1314" t="str">
        <f t="shared" si="91"/>
        <v>VAN626000000</v>
      </c>
      <c r="E1314">
        <v>2544.02</v>
      </c>
      <c r="F1314">
        <v>0</v>
      </c>
      <c r="G1314">
        <f t="shared" si="92"/>
        <v>2544.02</v>
      </c>
    </row>
    <row r="1315" spans="1:7">
      <c r="A1315" t="str">
        <f>"AMI"</f>
        <v>AMI</v>
      </c>
      <c r="B1315" t="str">
        <f t="shared" ref="B1315:B1345" si="93">"62610000"</f>
        <v>62610000</v>
      </c>
      <c r="C1315" t="str">
        <f t="shared" si="91"/>
        <v>AMI626100000</v>
      </c>
      <c r="E1315">
        <v>532.79</v>
      </c>
      <c r="F1315">
        <v>0</v>
      </c>
      <c r="G1315">
        <f t="shared" si="92"/>
        <v>532.79</v>
      </c>
    </row>
    <row r="1316" spans="1:7">
      <c r="A1316" t="str">
        <f>"ANG"</f>
        <v>ANG</v>
      </c>
      <c r="B1316" t="str">
        <f t="shared" si="93"/>
        <v>62610000</v>
      </c>
      <c r="C1316" t="str">
        <f t="shared" si="91"/>
        <v>ANG626100000</v>
      </c>
      <c r="E1316">
        <v>890.04</v>
      </c>
      <c r="F1316">
        <v>0</v>
      </c>
      <c r="G1316">
        <f t="shared" si="92"/>
        <v>890.04</v>
      </c>
    </row>
    <row r="1317" spans="1:7">
      <c r="A1317" t="str">
        <f>"BET"</f>
        <v>BET</v>
      </c>
      <c r="B1317" t="str">
        <f t="shared" si="93"/>
        <v>62610000</v>
      </c>
      <c r="C1317" t="str">
        <f t="shared" si="91"/>
        <v>BET626100000</v>
      </c>
      <c r="E1317">
        <v>347.49</v>
      </c>
      <c r="F1317">
        <v>0</v>
      </c>
      <c r="G1317">
        <f t="shared" si="92"/>
        <v>347.49</v>
      </c>
    </row>
    <row r="1318" spans="1:7">
      <c r="A1318" t="str">
        <f>"BOI"</f>
        <v>BOI</v>
      </c>
      <c r="B1318" t="str">
        <f t="shared" si="93"/>
        <v>62610000</v>
      </c>
      <c r="C1318" t="str">
        <f t="shared" si="91"/>
        <v>BOI626100000</v>
      </c>
      <c r="E1318">
        <v>127.65</v>
      </c>
      <c r="F1318">
        <v>0</v>
      </c>
      <c r="G1318">
        <f t="shared" si="92"/>
        <v>127.65</v>
      </c>
    </row>
    <row r="1319" spans="1:7">
      <c r="A1319" t="str">
        <f>"BOS"</f>
        <v>BOS</v>
      </c>
      <c r="B1319" t="str">
        <f t="shared" si="93"/>
        <v>62610000</v>
      </c>
      <c r="C1319" t="str">
        <f t="shared" si="91"/>
        <v>BOS626100000</v>
      </c>
      <c r="E1319">
        <v>948.67</v>
      </c>
      <c r="F1319">
        <v>0</v>
      </c>
      <c r="G1319">
        <f t="shared" si="92"/>
        <v>948.67</v>
      </c>
    </row>
    <row r="1320" spans="1:7">
      <c r="A1320" t="str">
        <f>"BOU"</f>
        <v>BOU</v>
      </c>
      <c r="B1320" t="str">
        <f t="shared" si="93"/>
        <v>62610000</v>
      </c>
      <c r="C1320" t="str">
        <f t="shared" si="91"/>
        <v>BOU626100000</v>
      </c>
      <c r="E1320">
        <v>1443.78</v>
      </c>
      <c r="F1320">
        <v>0</v>
      </c>
      <c r="G1320">
        <f t="shared" si="92"/>
        <v>1443.78</v>
      </c>
    </row>
    <row r="1321" spans="1:7">
      <c r="A1321" t="str">
        <f>"CAL"</f>
        <v>CAL</v>
      </c>
      <c r="B1321" t="str">
        <f t="shared" si="93"/>
        <v>62610000</v>
      </c>
      <c r="C1321" t="str">
        <f t="shared" si="91"/>
        <v>CAL626100000</v>
      </c>
      <c r="E1321">
        <v>764.28</v>
      </c>
      <c r="F1321">
        <v>0</v>
      </c>
      <c r="G1321">
        <f t="shared" si="92"/>
        <v>764.28</v>
      </c>
    </row>
    <row r="1322" spans="1:7">
      <c r="A1322" t="str">
        <f>"CAM"</f>
        <v>CAM</v>
      </c>
      <c r="B1322" t="str">
        <f t="shared" si="93"/>
        <v>62610000</v>
      </c>
      <c r="C1322" t="str">
        <f t="shared" si="91"/>
        <v>CAM626100000</v>
      </c>
      <c r="E1322">
        <v>1285.32</v>
      </c>
      <c r="F1322">
        <v>0</v>
      </c>
      <c r="G1322">
        <f t="shared" si="92"/>
        <v>1285.32</v>
      </c>
    </row>
    <row r="1323" spans="1:7">
      <c r="A1323" t="str">
        <f>"CAU"</f>
        <v>CAU</v>
      </c>
      <c r="B1323" t="str">
        <f t="shared" si="93"/>
        <v>62610000</v>
      </c>
      <c r="C1323" t="str">
        <f t="shared" si="91"/>
        <v>CAU626100000</v>
      </c>
      <c r="E1323">
        <v>1113.53</v>
      </c>
      <c r="F1323">
        <v>0</v>
      </c>
      <c r="G1323">
        <f t="shared" si="92"/>
        <v>1113.53</v>
      </c>
    </row>
    <row r="1324" spans="1:7">
      <c r="A1324" t="str">
        <f>"CHA"</f>
        <v>CHA</v>
      </c>
      <c r="B1324" t="str">
        <f t="shared" si="93"/>
        <v>62610000</v>
      </c>
      <c r="C1324" t="str">
        <f t="shared" si="91"/>
        <v>CHA626100000</v>
      </c>
      <c r="E1324">
        <v>686.38</v>
      </c>
      <c r="F1324">
        <v>0</v>
      </c>
      <c r="G1324">
        <f t="shared" si="92"/>
        <v>686.38</v>
      </c>
    </row>
    <row r="1325" spans="1:7">
      <c r="A1325" t="str">
        <f>"CHAM"</f>
        <v>CHAM</v>
      </c>
      <c r="B1325" t="str">
        <f t="shared" si="93"/>
        <v>62610000</v>
      </c>
      <c r="C1325" t="str">
        <f t="shared" si="91"/>
        <v>CHAM626100000</v>
      </c>
      <c r="E1325">
        <v>634.42999999999995</v>
      </c>
      <c r="F1325">
        <v>0</v>
      </c>
      <c r="G1325">
        <f t="shared" si="92"/>
        <v>634.42999999999995</v>
      </c>
    </row>
    <row r="1326" spans="1:7">
      <c r="A1326" t="str">
        <f>"CHART"</f>
        <v>CHART</v>
      </c>
      <c r="B1326" t="str">
        <f t="shared" si="93"/>
        <v>62610000</v>
      </c>
      <c r="C1326" t="str">
        <f t="shared" si="91"/>
        <v>CHART626100000</v>
      </c>
      <c r="E1326">
        <v>1042.1400000000001</v>
      </c>
      <c r="F1326">
        <v>0</v>
      </c>
      <c r="G1326">
        <f t="shared" si="92"/>
        <v>1042.1400000000001</v>
      </c>
    </row>
    <row r="1327" spans="1:7">
      <c r="A1327" t="str">
        <f>"CLE"</f>
        <v>CLE</v>
      </c>
      <c r="B1327" t="str">
        <f t="shared" si="93"/>
        <v>62610000</v>
      </c>
      <c r="C1327" t="str">
        <f t="shared" si="91"/>
        <v>CLE626100000</v>
      </c>
      <c r="E1327">
        <v>1389.03</v>
      </c>
      <c r="F1327">
        <v>0</v>
      </c>
      <c r="G1327">
        <f t="shared" si="92"/>
        <v>1389.03</v>
      </c>
    </row>
    <row r="1328" spans="1:7">
      <c r="A1328" t="str">
        <f>"COM"</f>
        <v>COM</v>
      </c>
      <c r="B1328" t="str">
        <f t="shared" si="93"/>
        <v>62610000</v>
      </c>
      <c r="C1328" t="str">
        <f t="shared" si="91"/>
        <v>COM626100000</v>
      </c>
      <c r="E1328">
        <v>294.73</v>
      </c>
      <c r="F1328">
        <v>0</v>
      </c>
      <c r="G1328">
        <f t="shared" si="92"/>
        <v>294.73</v>
      </c>
    </row>
    <row r="1329" spans="1:9">
      <c r="A1329" t="str">
        <f>"CST"</f>
        <v>CST</v>
      </c>
      <c r="B1329" t="str">
        <f t="shared" si="93"/>
        <v>62610000</v>
      </c>
      <c r="C1329" t="str">
        <f t="shared" si="91"/>
        <v>CST626100000</v>
      </c>
      <c r="E1329">
        <v>758.75</v>
      </c>
      <c r="F1329">
        <v>0</v>
      </c>
      <c r="G1329">
        <f t="shared" si="92"/>
        <v>758.75</v>
      </c>
      <c r="H1329" s="439"/>
      <c r="I1329" s="113"/>
    </row>
    <row r="1330" spans="1:9">
      <c r="A1330" t="str">
        <f>"EU"</f>
        <v>EU</v>
      </c>
      <c r="B1330" t="str">
        <f t="shared" si="93"/>
        <v>62610000</v>
      </c>
      <c r="C1330" t="str">
        <f t="shared" si="91"/>
        <v>EU626100000</v>
      </c>
      <c r="E1330">
        <v>3515.59</v>
      </c>
      <c r="F1330">
        <v>0</v>
      </c>
      <c r="G1330">
        <f t="shared" si="92"/>
        <v>3515.59</v>
      </c>
    </row>
    <row r="1331" spans="1:9">
      <c r="A1331" t="str">
        <f>"GRE"</f>
        <v>GRE</v>
      </c>
      <c r="B1331" t="str">
        <f t="shared" si="93"/>
        <v>62610000</v>
      </c>
      <c r="C1331" t="str">
        <f t="shared" si="91"/>
        <v>GRE626100000</v>
      </c>
      <c r="E1331">
        <v>1241.96</v>
      </c>
      <c r="F1331">
        <v>0</v>
      </c>
      <c r="G1331">
        <f t="shared" si="92"/>
        <v>1241.96</v>
      </c>
    </row>
    <row r="1332" spans="1:9">
      <c r="A1332" t="str">
        <f>"LEN"</f>
        <v>LEN</v>
      </c>
      <c r="B1332" t="str">
        <f t="shared" si="93"/>
        <v>62610000</v>
      </c>
      <c r="C1332" t="str">
        <f t="shared" si="91"/>
        <v>LEN626100000</v>
      </c>
      <c r="E1332">
        <v>288.83999999999997</v>
      </c>
      <c r="F1332">
        <v>0</v>
      </c>
      <c r="G1332">
        <f t="shared" si="92"/>
        <v>288.83999999999997</v>
      </c>
    </row>
    <row r="1333" spans="1:9">
      <c r="A1333" t="str">
        <f>"LIL"</f>
        <v>LIL</v>
      </c>
      <c r="B1333" t="str">
        <f t="shared" si="93"/>
        <v>62610000</v>
      </c>
      <c r="C1333" t="str">
        <f t="shared" si="91"/>
        <v>LIL626100000</v>
      </c>
      <c r="E1333">
        <v>32383.42</v>
      </c>
      <c r="F1333">
        <v>-416.66</v>
      </c>
      <c r="G1333">
        <f t="shared" si="92"/>
        <v>32800.080000000002</v>
      </c>
    </row>
    <row r="1334" spans="1:9">
      <c r="A1334" t="str">
        <f>"MAD"</f>
        <v>MAD</v>
      </c>
      <c r="B1334" t="str">
        <f t="shared" si="93"/>
        <v>62610000</v>
      </c>
      <c r="C1334" t="str">
        <f t="shared" si="91"/>
        <v>MAD626100000</v>
      </c>
      <c r="E1334">
        <v>237.68</v>
      </c>
      <c r="F1334">
        <v>0</v>
      </c>
      <c r="G1334">
        <f t="shared" si="92"/>
        <v>237.68</v>
      </c>
    </row>
    <row r="1335" spans="1:9">
      <c r="A1335" t="str">
        <f>"MAR"</f>
        <v>MAR</v>
      </c>
      <c r="B1335" t="str">
        <f t="shared" si="93"/>
        <v>62610000</v>
      </c>
      <c r="C1335" t="str">
        <f t="shared" si="91"/>
        <v>MAR626100000</v>
      </c>
      <c r="E1335">
        <v>792.78</v>
      </c>
      <c r="F1335">
        <v>0</v>
      </c>
      <c r="G1335">
        <f t="shared" si="92"/>
        <v>792.78</v>
      </c>
    </row>
    <row r="1336" spans="1:9">
      <c r="A1336" t="str">
        <f>"MON"</f>
        <v>MON</v>
      </c>
      <c r="B1336" t="str">
        <f t="shared" si="93"/>
        <v>62610000</v>
      </c>
      <c r="C1336" t="str">
        <f t="shared" si="91"/>
        <v>MON626100000</v>
      </c>
      <c r="E1336">
        <v>768.1</v>
      </c>
      <c r="F1336">
        <v>0</v>
      </c>
      <c r="G1336">
        <f t="shared" si="92"/>
        <v>768.1</v>
      </c>
    </row>
    <row r="1337" spans="1:9">
      <c r="A1337" t="str">
        <f>"NAN"</f>
        <v>NAN</v>
      </c>
      <c r="B1337" t="str">
        <f t="shared" si="93"/>
        <v>62610000</v>
      </c>
      <c r="C1337" t="str">
        <f t="shared" si="91"/>
        <v>NAN626100000</v>
      </c>
      <c r="E1337">
        <v>1216.98</v>
      </c>
      <c r="F1337">
        <v>0</v>
      </c>
      <c r="G1337">
        <f t="shared" si="92"/>
        <v>1216.98</v>
      </c>
    </row>
    <row r="1338" spans="1:9">
      <c r="A1338" t="str">
        <f>"ORL"</f>
        <v>ORL</v>
      </c>
      <c r="B1338" t="str">
        <f t="shared" si="93"/>
        <v>62610000</v>
      </c>
      <c r="C1338" t="str">
        <f t="shared" si="91"/>
        <v>ORL626100000</v>
      </c>
      <c r="E1338">
        <v>662.46</v>
      </c>
      <c r="F1338">
        <v>0</v>
      </c>
      <c r="G1338">
        <f t="shared" si="92"/>
        <v>662.46</v>
      </c>
    </row>
    <row r="1339" spans="1:9">
      <c r="A1339" t="str">
        <f>"REN"</f>
        <v>REN</v>
      </c>
      <c r="B1339" t="str">
        <f t="shared" si="93"/>
        <v>62610000</v>
      </c>
      <c r="C1339" t="str">
        <f t="shared" si="91"/>
        <v>REN626100000</v>
      </c>
      <c r="E1339">
        <v>223.57</v>
      </c>
      <c r="F1339">
        <v>0</v>
      </c>
      <c r="G1339">
        <f t="shared" si="92"/>
        <v>223.57</v>
      </c>
    </row>
    <row r="1340" spans="1:9">
      <c r="A1340" t="str">
        <f>"ROA"</f>
        <v>ROA</v>
      </c>
      <c r="B1340" t="str">
        <f t="shared" si="93"/>
        <v>62610000</v>
      </c>
      <c r="C1340" t="str">
        <f t="shared" si="91"/>
        <v>ROA626100000</v>
      </c>
      <c r="E1340">
        <v>2619.0100000000002</v>
      </c>
      <c r="F1340">
        <v>0</v>
      </c>
      <c r="G1340">
        <f t="shared" si="92"/>
        <v>2619.0100000000002</v>
      </c>
    </row>
    <row r="1341" spans="1:9">
      <c r="A1341" t="str">
        <f>"SAU"</f>
        <v>SAU</v>
      </c>
      <c r="B1341" t="str">
        <f t="shared" si="93"/>
        <v>62610000</v>
      </c>
      <c r="C1341" t="str">
        <f t="shared" si="91"/>
        <v>SAU626100000</v>
      </c>
      <c r="E1341">
        <v>434.93</v>
      </c>
      <c r="F1341">
        <v>0</v>
      </c>
      <c r="G1341">
        <f t="shared" si="92"/>
        <v>434.93</v>
      </c>
    </row>
    <row r="1342" spans="1:9">
      <c r="A1342" t="str">
        <f>"SOM"</f>
        <v>SOM</v>
      </c>
      <c r="B1342" t="str">
        <f t="shared" si="93"/>
        <v>62610000</v>
      </c>
      <c r="C1342" t="str">
        <f t="shared" si="91"/>
        <v>SOM626100000</v>
      </c>
      <c r="E1342">
        <v>3364.08</v>
      </c>
      <c r="F1342">
        <v>0</v>
      </c>
      <c r="G1342">
        <f t="shared" si="92"/>
        <v>3364.08</v>
      </c>
    </row>
    <row r="1343" spans="1:9">
      <c r="A1343" t="str">
        <f>"THO"</f>
        <v>THO</v>
      </c>
      <c r="B1343" t="str">
        <f t="shared" si="93"/>
        <v>62610000</v>
      </c>
      <c r="C1343" t="str">
        <f t="shared" si="91"/>
        <v>THO626100000</v>
      </c>
      <c r="E1343">
        <v>1388.24</v>
      </c>
      <c r="F1343">
        <v>0</v>
      </c>
      <c r="G1343">
        <f t="shared" si="92"/>
        <v>1388.24</v>
      </c>
    </row>
    <row r="1344" spans="1:9">
      <c r="A1344" t="str">
        <f>"TOURC"</f>
        <v>TOURC</v>
      </c>
      <c r="B1344" t="str">
        <f t="shared" si="93"/>
        <v>62610000</v>
      </c>
      <c r="C1344" t="str">
        <f t="shared" si="91"/>
        <v>TOURC626100000</v>
      </c>
      <c r="E1344">
        <v>1073.4000000000001</v>
      </c>
      <c r="F1344">
        <v>0</v>
      </c>
      <c r="G1344">
        <f t="shared" si="92"/>
        <v>1073.4000000000001</v>
      </c>
    </row>
    <row r="1345" spans="1:7">
      <c r="A1345" t="str">
        <f>"VAN"</f>
        <v>VAN</v>
      </c>
      <c r="B1345" t="str">
        <f t="shared" si="93"/>
        <v>62610000</v>
      </c>
      <c r="C1345" t="str">
        <f t="shared" si="91"/>
        <v>VAN626100000</v>
      </c>
      <c r="E1345">
        <v>553.09</v>
      </c>
      <c r="F1345">
        <v>0</v>
      </c>
      <c r="G1345">
        <f t="shared" si="92"/>
        <v>553.09</v>
      </c>
    </row>
    <row r="1346" spans="1:7">
      <c r="A1346" t="str">
        <f>"LIL"</f>
        <v>LIL</v>
      </c>
      <c r="B1346" t="str">
        <f>"62751000"</f>
        <v>62751000</v>
      </c>
      <c r="C1346" t="str">
        <f t="shared" si="91"/>
        <v>LIL627510000</v>
      </c>
      <c r="E1346">
        <v>9892.2900000000009</v>
      </c>
      <c r="F1346">
        <v>0</v>
      </c>
      <c r="G1346">
        <f t="shared" si="92"/>
        <v>9892.2900000000009</v>
      </c>
    </row>
    <row r="1347" spans="1:7">
      <c r="A1347" t="str">
        <f>"AMI"</f>
        <v>AMI</v>
      </c>
      <c r="B1347" t="str">
        <f t="shared" ref="B1347:B1377" si="94">"62752000"</f>
        <v>62752000</v>
      </c>
      <c r="C1347" t="str">
        <f t="shared" ref="C1347:C1410" si="95">+A1347&amp;B1347*10</f>
        <v>AMI627520000</v>
      </c>
      <c r="E1347">
        <v>153</v>
      </c>
      <c r="F1347">
        <v>0</v>
      </c>
      <c r="G1347">
        <f t="shared" ref="G1347:G1410" si="96">+E1347-F1347</f>
        <v>153</v>
      </c>
    </row>
    <row r="1348" spans="1:7">
      <c r="A1348" t="str">
        <f>"ANG"</f>
        <v>ANG</v>
      </c>
      <c r="B1348" t="str">
        <f t="shared" si="94"/>
        <v>62752000</v>
      </c>
      <c r="C1348" t="str">
        <f t="shared" si="95"/>
        <v>ANG627520000</v>
      </c>
      <c r="E1348">
        <v>144</v>
      </c>
      <c r="F1348">
        <v>0</v>
      </c>
      <c r="G1348">
        <f t="shared" si="96"/>
        <v>144</v>
      </c>
    </row>
    <row r="1349" spans="1:7">
      <c r="A1349" t="str">
        <f>"BET"</f>
        <v>BET</v>
      </c>
      <c r="B1349" t="str">
        <f t="shared" si="94"/>
        <v>62752000</v>
      </c>
      <c r="C1349" t="str">
        <f t="shared" si="95"/>
        <v>BET627520000</v>
      </c>
      <c r="E1349">
        <v>99</v>
      </c>
      <c r="F1349">
        <v>0</v>
      </c>
      <c r="G1349">
        <f t="shared" si="96"/>
        <v>99</v>
      </c>
    </row>
    <row r="1350" spans="1:7">
      <c r="A1350" t="str">
        <f>"BOI"</f>
        <v>BOI</v>
      </c>
      <c r="B1350" t="str">
        <f t="shared" si="94"/>
        <v>62752000</v>
      </c>
      <c r="C1350" t="str">
        <f t="shared" si="95"/>
        <v>BOI627520000</v>
      </c>
      <c r="E1350">
        <v>18</v>
      </c>
      <c r="F1350">
        <v>0</v>
      </c>
      <c r="G1350">
        <f t="shared" si="96"/>
        <v>18</v>
      </c>
    </row>
    <row r="1351" spans="1:7">
      <c r="A1351" t="str">
        <f>"BOS"</f>
        <v>BOS</v>
      </c>
      <c r="B1351" t="str">
        <f t="shared" si="94"/>
        <v>62752000</v>
      </c>
      <c r="C1351" t="str">
        <f t="shared" si="95"/>
        <v>BOS627520000</v>
      </c>
      <c r="E1351">
        <v>292.39999999999998</v>
      </c>
      <c r="F1351">
        <v>0</v>
      </c>
      <c r="G1351">
        <f t="shared" si="96"/>
        <v>292.39999999999998</v>
      </c>
    </row>
    <row r="1352" spans="1:7">
      <c r="A1352" t="str">
        <f>"BOU"</f>
        <v>BOU</v>
      </c>
      <c r="B1352" t="str">
        <f t="shared" si="94"/>
        <v>62752000</v>
      </c>
      <c r="C1352" t="str">
        <f t="shared" si="95"/>
        <v>BOU627520000</v>
      </c>
      <c r="E1352">
        <v>429</v>
      </c>
      <c r="F1352">
        <v>0</v>
      </c>
      <c r="G1352">
        <f t="shared" si="96"/>
        <v>429</v>
      </c>
    </row>
    <row r="1353" spans="1:7">
      <c r="A1353" t="str">
        <f>"CAL"</f>
        <v>CAL</v>
      </c>
      <c r="B1353" t="str">
        <f t="shared" si="94"/>
        <v>62752000</v>
      </c>
      <c r="C1353" t="str">
        <f t="shared" si="95"/>
        <v>CAL627520000</v>
      </c>
      <c r="E1353">
        <v>308.3</v>
      </c>
      <c r="F1353">
        <v>0</v>
      </c>
      <c r="G1353">
        <f t="shared" si="96"/>
        <v>308.3</v>
      </c>
    </row>
    <row r="1354" spans="1:7">
      <c r="A1354" t="str">
        <f>"CAM"</f>
        <v>CAM</v>
      </c>
      <c r="B1354" t="str">
        <f t="shared" si="94"/>
        <v>62752000</v>
      </c>
      <c r="C1354" t="str">
        <f t="shared" si="95"/>
        <v>CAM627520000</v>
      </c>
      <c r="E1354">
        <v>54</v>
      </c>
      <c r="F1354">
        <v>0</v>
      </c>
      <c r="G1354">
        <f t="shared" si="96"/>
        <v>54</v>
      </c>
    </row>
    <row r="1355" spans="1:7">
      <c r="A1355" t="str">
        <f>"CAU"</f>
        <v>CAU</v>
      </c>
      <c r="B1355" t="str">
        <f t="shared" si="94"/>
        <v>62752000</v>
      </c>
      <c r="C1355" t="str">
        <f t="shared" si="95"/>
        <v>CAU627520000</v>
      </c>
      <c r="E1355">
        <v>83.6</v>
      </c>
      <c r="F1355">
        <v>0</v>
      </c>
      <c r="G1355">
        <f t="shared" si="96"/>
        <v>83.6</v>
      </c>
    </row>
    <row r="1356" spans="1:7">
      <c r="A1356" t="str">
        <f>"CHA"</f>
        <v>CHA</v>
      </c>
      <c r="B1356" t="str">
        <f t="shared" si="94"/>
        <v>62752000</v>
      </c>
      <c r="C1356" t="str">
        <f t="shared" si="95"/>
        <v>CHA627520000</v>
      </c>
      <c r="E1356">
        <v>106.5</v>
      </c>
      <c r="F1356">
        <v>0</v>
      </c>
      <c r="G1356">
        <f t="shared" si="96"/>
        <v>106.5</v>
      </c>
    </row>
    <row r="1357" spans="1:7">
      <c r="A1357" t="str">
        <f>"CHAM"</f>
        <v>CHAM</v>
      </c>
      <c r="B1357" t="str">
        <f t="shared" si="94"/>
        <v>62752000</v>
      </c>
      <c r="C1357" t="str">
        <f t="shared" si="95"/>
        <v>CHAM627520000</v>
      </c>
      <c r="E1357">
        <v>45</v>
      </c>
      <c r="F1357">
        <v>0</v>
      </c>
      <c r="G1357">
        <f t="shared" si="96"/>
        <v>45</v>
      </c>
    </row>
    <row r="1358" spans="1:7">
      <c r="A1358" t="str">
        <f>"CHART"</f>
        <v>CHART</v>
      </c>
      <c r="B1358" t="str">
        <f t="shared" si="94"/>
        <v>62752000</v>
      </c>
      <c r="C1358" t="str">
        <f t="shared" si="95"/>
        <v>CHART627520000</v>
      </c>
      <c r="E1358">
        <v>196.5</v>
      </c>
      <c r="F1358">
        <v>0</v>
      </c>
      <c r="G1358">
        <f t="shared" si="96"/>
        <v>196.5</v>
      </c>
    </row>
    <row r="1359" spans="1:7">
      <c r="A1359" t="str">
        <f>"CLE"</f>
        <v>CLE</v>
      </c>
      <c r="B1359" t="str">
        <f t="shared" si="94"/>
        <v>62752000</v>
      </c>
      <c r="C1359" t="str">
        <f t="shared" si="95"/>
        <v>CLE627520000</v>
      </c>
      <c r="E1359">
        <v>235.3</v>
      </c>
      <c r="F1359">
        <v>0</v>
      </c>
      <c r="G1359">
        <f t="shared" si="96"/>
        <v>235.3</v>
      </c>
    </row>
    <row r="1360" spans="1:7">
      <c r="A1360" t="str">
        <f>"COM"</f>
        <v>COM</v>
      </c>
      <c r="B1360" t="str">
        <f t="shared" si="94"/>
        <v>62752000</v>
      </c>
      <c r="C1360" t="str">
        <f t="shared" si="95"/>
        <v>COM627520000</v>
      </c>
      <c r="E1360">
        <v>63</v>
      </c>
      <c r="F1360">
        <v>0</v>
      </c>
      <c r="G1360">
        <f t="shared" si="96"/>
        <v>63</v>
      </c>
    </row>
    <row r="1361" spans="1:7">
      <c r="A1361" t="str">
        <f>"CST"</f>
        <v>CST</v>
      </c>
      <c r="B1361" t="str">
        <f t="shared" si="94"/>
        <v>62752000</v>
      </c>
      <c r="C1361" t="str">
        <f t="shared" si="95"/>
        <v>CST627520000</v>
      </c>
      <c r="E1361">
        <v>121.3</v>
      </c>
      <c r="F1361">
        <v>0</v>
      </c>
      <c r="G1361">
        <f t="shared" si="96"/>
        <v>121.3</v>
      </c>
    </row>
    <row r="1362" spans="1:7">
      <c r="A1362" t="str">
        <f>"EU"</f>
        <v>EU</v>
      </c>
      <c r="B1362" t="str">
        <f t="shared" si="94"/>
        <v>62752000</v>
      </c>
      <c r="C1362" t="str">
        <f t="shared" si="95"/>
        <v>EU627520000</v>
      </c>
      <c r="E1362">
        <v>57.54</v>
      </c>
      <c r="F1362">
        <v>0</v>
      </c>
      <c r="G1362">
        <f t="shared" si="96"/>
        <v>57.54</v>
      </c>
    </row>
    <row r="1363" spans="1:7">
      <c r="A1363" t="str">
        <f>"GRE"</f>
        <v>GRE</v>
      </c>
      <c r="B1363" t="str">
        <f t="shared" si="94"/>
        <v>62752000</v>
      </c>
      <c r="C1363" t="str">
        <f t="shared" si="95"/>
        <v>GRE627520000</v>
      </c>
      <c r="E1363">
        <v>426</v>
      </c>
      <c r="F1363">
        <v>0</v>
      </c>
      <c r="G1363">
        <f t="shared" si="96"/>
        <v>426</v>
      </c>
    </row>
    <row r="1364" spans="1:7">
      <c r="A1364" t="str">
        <f>"LEN"</f>
        <v>LEN</v>
      </c>
      <c r="B1364" t="str">
        <f t="shared" si="94"/>
        <v>62752000</v>
      </c>
      <c r="C1364" t="str">
        <f t="shared" si="95"/>
        <v>LEN627520000</v>
      </c>
      <c r="E1364">
        <v>9</v>
      </c>
      <c r="F1364">
        <v>0</v>
      </c>
      <c r="G1364">
        <f t="shared" si="96"/>
        <v>9</v>
      </c>
    </row>
    <row r="1365" spans="1:7">
      <c r="A1365" t="str">
        <f>"LIL"</f>
        <v>LIL</v>
      </c>
      <c r="B1365" t="str">
        <f t="shared" si="94"/>
        <v>62752000</v>
      </c>
      <c r="C1365" t="str">
        <f t="shared" si="95"/>
        <v>LIL627520000</v>
      </c>
      <c r="E1365">
        <v>54</v>
      </c>
      <c r="F1365">
        <v>0</v>
      </c>
      <c r="G1365">
        <f t="shared" si="96"/>
        <v>54</v>
      </c>
    </row>
    <row r="1366" spans="1:7">
      <c r="A1366" t="str">
        <f>"MAD"</f>
        <v>MAD</v>
      </c>
      <c r="B1366" t="str">
        <f t="shared" si="94"/>
        <v>62752000</v>
      </c>
      <c r="C1366" t="str">
        <f t="shared" si="95"/>
        <v>MAD627520000</v>
      </c>
      <c r="E1366">
        <v>76.3</v>
      </c>
      <c r="F1366">
        <v>0</v>
      </c>
      <c r="G1366">
        <f t="shared" si="96"/>
        <v>76.3</v>
      </c>
    </row>
    <row r="1367" spans="1:7">
      <c r="A1367" t="str">
        <f>"MAR"</f>
        <v>MAR</v>
      </c>
      <c r="B1367" t="str">
        <f t="shared" si="94"/>
        <v>62752000</v>
      </c>
      <c r="C1367" t="str">
        <f t="shared" si="95"/>
        <v>MAR627520000</v>
      </c>
      <c r="E1367">
        <v>9</v>
      </c>
      <c r="F1367">
        <v>0</v>
      </c>
      <c r="G1367">
        <f t="shared" si="96"/>
        <v>9</v>
      </c>
    </row>
    <row r="1368" spans="1:7">
      <c r="A1368" t="str">
        <f>"MON"</f>
        <v>MON</v>
      </c>
      <c r="B1368" t="str">
        <f t="shared" si="94"/>
        <v>62752000</v>
      </c>
      <c r="C1368" t="str">
        <f t="shared" si="95"/>
        <v>MON627520000</v>
      </c>
      <c r="E1368">
        <v>404.8</v>
      </c>
      <c r="F1368">
        <v>0</v>
      </c>
      <c r="G1368">
        <f t="shared" si="96"/>
        <v>404.8</v>
      </c>
    </row>
    <row r="1369" spans="1:7">
      <c r="A1369" t="str">
        <f>"NAN"</f>
        <v>NAN</v>
      </c>
      <c r="B1369" t="str">
        <f t="shared" si="94"/>
        <v>62752000</v>
      </c>
      <c r="C1369" t="str">
        <f t="shared" si="95"/>
        <v>NAN627520000</v>
      </c>
      <c r="E1369">
        <v>63</v>
      </c>
      <c r="F1369">
        <v>0</v>
      </c>
      <c r="G1369">
        <f t="shared" si="96"/>
        <v>63</v>
      </c>
    </row>
    <row r="1370" spans="1:7">
      <c r="A1370" t="str">
        <f>"ORL"</f>
        <v>ORL</v>
      </c>
      <c r="B1370" t="str">
        <f t="shared" si="94"/>
        <v>62752000</v>
      </c>
      <c r="C1370" t="str">
        <f t="shared" si="95"/>
        <v>ORL627520000</v>
      </c>
      <c r="E1370">
        <v>292.5</v>
      </c>
      <c r="F1370">
        <v>0</v>
      </c>
      <c r="G1370">
        <f t="shared" si="96"/>
        <v>292.5</v>
      </c>
    </row>
    <row r="1371" spans="1:7">
      <c r="A1371" t="str">
        <f>"REN"</f>
        <v>REN</v>
      </c>
      <c r="B1371" t="str">
        <f t="shared" si="94"/>
        <v>62752000</v>
      </c>
      <c r="C1371" t="str">
        <f t="shared" si="95"/>
        <v>REN627520000</v>
      </c>
      <c r="E1371">
        <v>72</v>
      </c>
      <c r="F1371">
        <v>0</v>
      </c>
      <c r="G1371">
        <f t="shared" si="96"/>
        <v>72</v>
      </c>
    </row>
    <row r="1372" spans="1:7">
      <c r="A1372" t="str">
        <f>"ROA"</f>
        <v>ROA</v>
      </c>
      <c r="B1372" t="str">
        <f t="shared" si="94"/>
        <v>62752000</v>
      </c>
      <c r="C1372" t="str">
        <f t="shared" si="95"/>
        <v>ROA627520000</v>
      </c>
      <c r="E1372">
        <v>286.5</v>
      </c>
      <c r="F1372">
        <v>0</v>
      </c>
      <c r="G1372">
        <f t="shared" si="96"/>
        <v>286.5</v>
      </c>
    </row>
    <row r="1373" spans="1:7">
      <c r="A1373" t="str">
        <f>"SAU"</f>
        <v>SAU</v>
      </c>
      <c r="B1373" t="str">
        <f t="shared" si="94"/>
        <v>62752000</v>
      </c>
      <c r="C1373" t="str">
        <f t="shared" si="95"/>
        <v>SAU627520000</v>
      </c>
      <c r="E1373">
        <v>52.5</v>
      </c>
      <c r="F1373">
        <v>0</v>
      </c>
      <c r="G1373">
        <f t="shared" si="96"/>
        <v>52.5</v>
      </c>
    </row>
    <row r="1374" spans="1:7">
      <c r="A1374" t="str">
        <f>"SOM"</f>
        <v>SOM</v>
      </c>
      <c r="B1374" t="str">
        <f t="shared" si="94"/>
        <v>62752000</v>
      </c>
      <c r="C1374" t="str">
        <f t="shared" si="95"/>
        <v>SOM627520000</v>
      </c>
      <c r="E1374">
        <v>45</v>
      </c>
      <c r="F1374">
        <v>0</v>
      </c>
      <c r="G1374">
        <f t="shared" si="96"/>
        <v>45</v>
      </c>
    </row>
    <row r="1375" spans="1:7">
      <c r="A1375" t="str">
        <f>"THO"</f>
        <v>THO</v>
      </c>
      <c r="B1375" t="str">
        <f t="shared" si="94"/>
        <v>62752000</v>
      </c>
      <c r="C1375" t="str">
        <f t="shared" si="95"/>
        <v>THO627520000</v>
      </c>
      <c r="E1375">
        <v>115</v>
      </c>
      <c r="F1375">
        <v>0</v>
      </c>
      <c r="G1375">
        <f t="shared" si="96"/>
        <v>115</v>
      </c>
    </row>
    <row r="1376" spans="1:7">
      <c r="A1376" t="str">
        <f>"TOURC"</f>
        <v>TOURC</v>
      </c>
      <c r="B1376" t="str">
        <f t="shared" si="94"/>
        <v>62752000</v>
      </c>
      <c r="C1376" t="str">
        <f t="shared" si="95"/>
        <v>TOURC627520000</v>
      </c>
      <c r="E1376">
        <v>134.4</v>
      </c>
      <c r="F1376">
        <v>0</v>
      </c>
      <c r="G1376">
        <f t="shared" si="96"/>
        <v>134.4</v>
      </c>
    </row>
    <row r="1377" spans="1:9">
      <c r="A1377" t="str">
        <f>"VAN"</f>
        <v>VAN</v>
      </c>
      <c r="B1377" t="str">
        <f t="shared" si="94"/>
        <v>62752000</v>
      </c>
      <c r="C1377" t="str">
        <f t="shared" si="95"/>
        <v>VAN627520000</v>
      </c>
      <c r="E1377">
        <v>81</v>
      </c>
      <c r="F1377">
        <v>0</v>
      </c>
      <c r="G1377">
        <f t="shared" si="96"/>
        <v>81</v>
      </c>
    </row>
    <row r="1378" spans="1:9">
      <c r="A1378" t="str">
        <f>"MAD"</f>
        <v>MAD</v>
      </c>
      <c r="B1378" t="str">
        <f>"62900000"</f>
        <v>62900000</v>
      </c>
      <c r="C1378" t="str">
        <f t="shared" si="95"/>
        <v>MAD629000000</v>
      </c>
      <c r="E1378">
        <v>-2658</v>
      </c>
      <c r="F1378">
        <v>0</v>
      </c>
      <c r="G1378">
        <f t="shared" si="96"/>
        <v>-2658</v>
      </c>
    </row>
    <row r="1379" spans="1:9">
      <c r="A1379" t="str">
        <f>"AMI"</f>
        <v>AMI</v>
      </c>
      <c r="B1379" t="str">
        <f t="shared" ref="B1379:B1410" si="97">"63330000"</f>
        <v>63330000</v>
      </c>
      <c r="C1379" t="str">
        <f t="shared" si="95"/>
        <v>AMI633300000</v>
      </c>
      <c r="E1379">
        <v>1892.39</v>
      </c>
      <c r="F1379">
        <v>0</v>
      </c>
      <c r="G1379">
        <f t="shared" si="96"/>
        <v>1892.39</v>
      </c>
    </row>
    <row r="1380" spans="1:9">
      <c r="A1380" t="str">
        <f>"ANG"</f>
        <v>ANG</v>
      </c>
      <c r="B1380" t="str">
        <f t="shared" si="97"/>
        <v>63330000</v>
      </c>
      <c r="C1380" t="str">
        <f t="shared" si="95"/>
        <v>ANG633300000</v>
      </c>
      <c r="E1380">
        <v>2104</v>
      </c>
      <c r="F1380">
        <v>0</v>
      </c>
      <c r="G1380">
        <f t="shared" si="96"/>
        <v>2104</v>
      </c>
    </row>
    <row r="1381" spans="1:9">
      <c r="A1381" t="str">
        <f>"BET"</f>
        <v>BET</v>
      </c>
      <c r="B1381" t="str">
        <f t="shared" si="97"/>
        <v>63330000</v>
      </c>
      <c r="C1381" t="str">
        <f t="shared" si="95"/>
        <v>BET633300000</v>
      </c>
      <c r="E1381">
        <v>780.36</v>
      </c>
      <c r="F1381">
        <v>0</v>
      </c>
      <c r="G1381">
        <f t="shared" si="96"/>
        <v>780.36</v>
      </c>
    </row>
    <row r="1382" spans="1:9">
      <c r="A1382" t="str">
        <f>"BOI"</f>
        <v>BOI</v>
      </c>
      <c r="B1382" t="str">
        <f t="shared" si="97"/>
        <v>63330000</v>
      </c>
      <c r="C1382" t="str">
        <f t="shared" si="95"/>
        <v>BOI633300000</v>
      </c>
      <c r="E1382">
        <v>265.48</v>
      </c>
      <c r="F1382">
        <v>0</v>
      </c>
      <c r="G1382">
        <f t="shared" si="96"/>
        <v>265.48</v>
      </c>
      <c r="I1382" s="353"/>
    </row>
    <row r="1383" spans="1:9">
      <c r="A1383" t="str">
        <f>"BOS"</f>
        <v>BOS</v>
      </c>
      <c r="B1383" t="str">
        <f t="shared" si="97"/>
        <v>63330000</v>
      </c>
      <c r="C1383" t="str">
        <f t="shared" si="95"/>
        <v>BOS633300000</v>
      </c>
      <c r="E1383">
        <v>1601.52</v>
      </c>
      <c r="F1383">
        <v>0</v>
      </c>
      <c r="G1383">
        <f t="shared" si="96"/>
        <v>1601.52</v>
      </c>
    </row>
    <row r="1384" spans="1:9">
      <c r="A1384" t="str">
        <f>"BOU"</f>
        <v>BOU</v>
      </c>
      <c r="B1384" t="str">
        <f t="shared" si="97"/>
        <v>63330000</v>
      </c>
      <c r="C1384" t="str">
        <f t="shared" si="95"/>
        <v>BOU633300000</v>
      </c>
      <c r="E1384">
        <v>2440.7199999999998</v>
      </c>
      <c r="F1384">
        <v>0</v>
      </c>
      <c r="G1384">
        <f t="shared" si="96"/>
        <v>2440.7199999999998</v>
      </c>
    </row>
    <row r="1385" spans="1:9">
      <c r="A1385" t="str">
        <f>"CAL"</f>
        <v>CAL</v>
      </c>
      <c r="B1385" t="str">
        <f t="shared" si="97"/>
        <v>63330000</v>
      </c>
      <c r="C1385" t="str">
        <f t="shared" si="95"/>
        <v>CAL633300000</v>
      </c>
      <c r="E1385">
        <v>1001.31</v>
      </c>
      <c r="F1385">
        <v>0</v>
      </c>
      <c r="G1385">
        <f t="shared" si="96"/>
        <v>1001.31</v>
      </c>
    </row>
    <row r="1386" spans="1:9">
      <c r="A1386" t="str">
        <f>"CAM"</f>
        <v>CAM</v>
      </c>
      <c r="B1386" t="str">
        <f t="shared" si="97"/>
        <v>63330000</v>
      </c>
      <c r="C1386" t="str">
        <f t="shared" si="95"/>
        <v>CAM633300000</v>
      </c>
      <c r="E1386">
        <v>1226.72</v>
      </c>
      <c r="F1386">
        <v>0</v>
      </c>
      <c r="G1386">
        <f t="shared" si="96"/>
        <v>1226.72</v>
      </c>
    </row>
    <row r="1387" spans="1:9">
      <c r="A1387" t="str">
        <f>"CAU"</f>
        <v>CAU</v>
      </c>
      <c r="B1387" t="str">
        <f t="shared" si="97"/>
        <v>63330000</v>
      </c>
      <c r="C1387" t="str">
        <f t="shared" si="95"/>
        <v>CAU633300000</v>
      </c>
      <c r="E1387">
        <v>1072.56</v>
      </c>
      <c r="F1387">
        <v>0</v>
      </c>
      <c r="G1387">
        <f t="shared" si="96"/>
        <v>1072.56</v>
      </c>
    </row>
    <row r="1388" spans="1:9">
      <c r="A1388" t="str">
        <f>"CHA"</f>
        <v>CHA</v>
      </c>
      <c r="B1388" t="str">
        <f t="shared" si="97"/>
        <v>63330000</v>
      </c>
      <c r="C1388" t="str">
        <f t="shared" si="95"/>
        <v>CHA633300000</v>
      </c>
      <c r="E1388">
        <v>661.84</v>
      </c>
      <c r="F1388">
        <v>0</v>
      </c>
      <c r="G1388">
        <f t="shared" si="96"/>
        <v>661.84</v>
      </c>
    </row>
    <row r="1389" spans="1:9">
      <c r="A1389" t="str">
        <f>"CHAM"</f>
        <v>CHAM</v>
      </c>
      <c r="B1389" t="str">
        <f t="shared" si="97"/>
        <v>63330000</v>
      </c>
      <c r="C1389" t="str">
        <f t="shared" si="95"/>
        <v>CHAM633300000</v>
      </c>
      <c r="E1389">
        <v>1033.44</v>
      </c>
      <c r="F1389">
        <v>0</v>
      </c>
      <c r="G1389">
        <f t="shared" si="96"/>
        <v>1033.44</v>
      </c>
    </row>
    <row r="1390" spans="1:9">
      <c r="A1390" t="str">
        <f>"CHART"</f>
        <v>CHART</v>
      </c>
      <c r="B1390" t="str">
        <f t="shared" si="97"/>
        <v>63330000</v>
      </c>
      <c r="C1390" t="str">
        <f t="shared" si="95"/>
        <v>CHART633300000</v>
      </c>
      <c r="E1390">
        <v>1187.3599999999999</v>
      </c>
      <c r="F1390">
        <v>0</v>
      </c>
      <c r="G1390">
        <f t="shared" si="96"/>
        <v>1187.3599999999999</v>
      </c>
    </row>
    <row r="1391" spans="1:9">
      <c r="A1391" t="str">
        <f>"CLE"</f>
        <v>CLE</v>
      </c>
      <c r="B1391" t="str">
        <f t="shared" si="97"/>
        <v>63330000</v>
      </c>
      <c r="C1391" t="str">
        <f t="shared" si="95"/>
        <v>CLE633300000</v>
      </c>
      <c r="E1391">
        <v>3423.17</v>
      </c>
      <c r="F1391">
        <v>0</v>
      </c>
      <c r="G1391">
        <f t="shared" si="96"/>
        <v>3423.17</v>
      </c>
    </row>
    <row r="1392" spans="1:9">
      <c r="A1392" t="str">
        <f>"COM"</f>
        <v>COM</v>
      </c>
      <c r="B1392" t="str">
        <f t="shared" si="97"/>
        <v>63330000</v>
      </c>
      <c r="C1392" t="str">
        <f t="shared" si="95"/>
        <v>COM633300000</v>
      </c>
      <c r="E1392">
        <v>981.83</v>
      </c>
      <c r="F1392">
        <v>0</v>
      </c>
      <c r="G1392">
        <f t="shared" si="96"/>
        <v>981.83</v>
      </c>
    </row>
    <row r="1393" spans="1:9">
      <c r="A1393" t="str">
        <f>"CST"</f>
        <v>CST</v>
      </c>
      <c r="B1393" t="str">
        <f t="shared" si="97"/>
        <v>63330000</v>
      </c>
      <c r="C1393" t="str">
        <f t="shared" si="95"/>
        <v>CST633300000</v>
      </c>
      <c r="E1393">
        <v>1930.23</v>
      </c>
      <c r="F1393">
        <v>0</v>
      </c>
      <c r="G1393">
        <f t="shared" si="96"/>
        <v>1930.23</v>
      </c>
    </row>
    <row r="1394" spans="1:9">
      <c r="A1394" t="str">
        <f>"DIJ"</f>
        <v>DIJ</v>
      </c>
      <c r="B1394" t="str">
        <f t="shared" si="97"/>
        <v>63330000</v>
      </c>
      <c r="C1394" t="str">
        <f t="shared" si="95"/>
        <v>DIJ633300000</v>
      </c>
      <c r="E1394">
        <v>803.48</v>
      </c>
      <c r="F1394">
        <v>0</v>
      </c>
      <c r="G1394">
        <f t="shared" si="96"/>
        <v>803.48</v>
      </c>
    </row>
    <row r="1395" spans="1:9">
      <c r="A1395" t="str">
        <f>"EU"</f>
        <v>EU</v>
      </c>
      <c r="B1395" t="str">
        <f t="shared" si="97"/>
        <v>63330000</v>
      </c>
      <c r="C1395" t="str">
        <f t="shared" si="95"/>
        <v>EU633300000</v>
      </c>
      <c r="E1395">
        <v>2404.0300000000002</v>
      </c>
      <c r="F1395">
        <v>0</v>
      </c>
      <c r="G1395">
        <f t="shared" si="96"/>
        <v>2404.0300000000002</v>
      </c>
    </row>
    <row r="1396" spans="1:9">
      <c r="A1396" t="str">
        <f>"GRE"</f>
        <v>GRE</v>
      </c>
      <c r="B1396" t="str">
        <f t="shared" si="97"/>
        <v>63330000</v>
      </c>
      <c r="C1396" t="str">
        <f t="shared" si="95"/>
        <v>GRE633300000</v>
      </c>
      <c r="E1396">
        <v>2719.18</v>
      </c>
      <c r="F1396">
        <v>0</v>
      </c>
      <c r="G1396">
        <f t="shared" si="96"/>
        <v>2719.18</v>
      </c>
    </row>
    <row r="1397" spans="1:9">
      <c r="A1397" t="str">
        <f>"LEN"</f>
        <v>LEN</v>
      </c>
      <c r="B1397" t="str">
        <f t="shared" si="97"/>
        <v>63330000</v>
      </c>
      <c r="C1397" t="str">
        <f t="shared" si="95"/>
        <v>LEN633300000</v>
      </c>
      <c r="E1397">
        <v>694.03</v>
      </c>
      <c r="F1397">
        <v>0</v>
      </c>
      <c r="G1397">
        <f t="shared" si="96"/>
        <v>694.03</v>
      </c>
    </row>
    <row r="1398" spans="1:9">
      <c r="A1398" t="str">
        <f>"LIL"</f>
        <v>LIL</v>
      </c>
      <c r="B1398" t="str">
        <f t="shared" si="97"/>
        <v>63330000</v>
      </c>
      <c r="C1398" t="str">
        <f t="shared" si="95"/>
        <v>LIL633300000</v>
      </c>
      <c r="E1398">
        <v>27926.799999999999</v>
      </c>
      <c r="F1398">
        <v>0</v>
      </c>
      <c r="G1398">
        <f t="shared" si="96"/>
        <v>27926.799999999999</v>
      </c>
    </row>
    <row r="1399" spans="1:9">
      <c r="A1399" t="str">
        <f>"MAD"</f>
        <v>MAD</v>
      </c>
      <c r="B1399" t="str">
        <f t="shared" si="97"/>
        <v>63330000</v>
      </c>
      <c r="C1399" t="str">
        <f t="shared" si="95"/>
        <v>MAD633300000</v>
      </c>
      <c r="E1399">
        <v>1740.8</v>
      </c>
      <c r="F1399">
        <v>83.36</v>
      </c>
      <c r="G1399">
        <f t="shared" si="96"/>
        <v>1657.44</v>
      </c>
    </row>
    <row r="1400" spans="1:9">
      <c r="A1400" t="str">
        <f>"MAR"</f>
        <v>MAR</v>
      </c>
      <c r="B1400" t="str">
        <f t="shared" si="97"/>
        <v>63330000</v>
      </c>
      <c r="C1400" t="str">
        <f t="shared" si="95"/>
        <v>MAR633300000</v>
      </c>
      <c r="E1400">
        <v>491.21</v>
      </c>
      <c r="F1400">
        <v>0</v>
      </c>
      <c r="G1400">
        <f t="shared" si="96"/>
        <v>491.21</v>
      </c>
    </row>
    <row r="1401" spans="1:9">
      <c r="A1401" t="str">
        <f>"MON"</f>
        <v>MON</v>
      </c>
      <c r="B1401" t="str">
        <f t="shared" si="97"/>
        <v>63330000</v>
      </c>
      <c r="C1401" t="str">
        <f t="shared" si="95"/>
        <v>MON633300000</v>
      </c>
      <c r="E1401">
        <v>1222.47</v>
      </c>
      <c r="F1401">
        <v>0</v>
      </c>
      <c r="G1401">
        <f t="shared" si="96"/>
        <v>1222.47</v>
      </c>
    </row>
    <row r="1402" spans="1:9">
      <c r="A1402" t="str">
        <f>"NAN"</f>
        <v>NAN</v>
      </c>
      <c r="B1402" t="str">
        <f t="shared" si="97"/>
        <v>63330000</v>
      </c>
      <c r="C1402" t="str">
        <f t="shared" si="95"/>
        <v>NAN633300000</v>
      </c>
      <c r="E1402">
        <v>2098.1799999999998</v>
      </c>
      <c r="F1402">
        <v>0</v>
      </c>
      <c r="G1402">
        <f t="shared" si="96"/>
        <v>2098.1799999999998</v>
      </c>
    </row>
    <row r="1403" spans="1:9">
      <c r="A1403" t="str">
        <f>"ORL"</f>
        <v>ORL</v>
      </c>
      <c r="B1403" t="str">
        <f t="shared" si="97"/>
        <v>63330000</v>
      </c>
      <c r="C1403" t="str">
        <f t="shared" si="95"/>
        <v>ORL633300000</v>
      </c>
      <c r="E1403">
        <v>1243.77</v>
      </c>
      <c r="F1403">
        <v>0</v>
      </c>
      <c r="G1403">
        <f t="shared" si="96"/>
        <v>1243.77</v>
      </c>
    </row>
    <row r="1404" spans="1:9">
      <c r="A1404" t="str">
        <f>"REN"</f>
        <v>REN</v>
      </c>
      <c r="B1404" t="str">
        <f t="shared" si="97"/>
        <v>63330000</v>
      </c>
      <c r="C1404" t="str">
        <f t="shared" si="95"/>
        <v>REN633300000</v>
      </c>
      <c r="E1404">
        <v>622.51</v>
      </c>
      <c r="F1404">
        <v>0</v>
      </c>
      <c r="G1404">
        <f t="shared" si="96"/>
        <v>622.51</v>
      </c>
    </row>
    <row r="1405" spans="1:9">
      <c r="A1405" t="str">
        <f>"ROA"</f>
        <v>ROA</v>
      </c>
      <c r="B1405" t="str">
        <f t="shared" si="97"/>
        <v>63330000</v>
      </c>
      <c r="C1405" t="str">
        <f t="shared" si="95"/>
        <v>ROA633300000</v>
      </c>
      <c r="E1405">
        <v>1967.42</v>
      </c>
      <c r="F1405">
        <v>0</v>
      </c>
      <c r="G1405">
        <f t="shared" si="96"/>
        <v>1967.42</v>
      </c>
    </row>
    <row r="1406" spans="1:9">
      <c r="A1406" t="str">
        <f>"SAU"</f>
        <v>SAU</v>
      </c>
      <c r="B1406" t="str">
        <f t="shared" si="97"/>
        <v>63330000</v>
      </c>
      <c r="C1406" t="str">
        <f t="shared" si="95"/>
        <v>SAU633300000</v>
      </c>
      <c r="E1406">
        <v>483.24</v>
      </c>
      <c r="F1406">
        <v>0</v>
      </c>
      <c r="G1406">
        <f t="shared" si="96"/>
        <v>483.24</v>
      </c>
      <c r="I1406" s="26"/>
    </row>
    <row r="1407" spans="1:9">
      <c r="A1407" t="str">
        <f>"SOM"</f>
        <v>SOM</v>
      </c>
      <c r="B1407" t="str">
        <f t="shared" si="97"/>
        <v>63330000</v>
      </c>
      <c r="C1407" t="str">
        <f t="shared" si="95"/>
        <v>SOM633300000</v>
      </c>
      <c r="E1407">
        <v>2154.3200000000002</v>
      </c>
      <c r="F1407">
        <v>0</v>
      </c>
      <c r="G1407">
        <f t="shared" si="96"/>
        <v>2154.3200000000002</v>
      </c>
    </row>
    <row r="1408" spans="1:9">
      <c r="A1408" t="str">
        <f>"THO"</f>
        <v>THO</v>
      </c>
      <c r="B1408" t="str">
        <f t="shared" si="97"/>
        <v>63330000</v>
      </c>
      <c r="C1408" t="str">
        <f t="shared" si="95"/>
        <v>THO633300000</v>
      </c>
      <c r="E1408">
        <v>1977.27</v>
      </c>
      <c r="F1408">
        <v>0</v>
      </c>
      <c r="G1408">
        <f t="shared" si="96"/>
        <v>1977.27</v>
      </c>
    </row>
    <row r="1409" spans="1:7">
      <c r="A1409" t="str">
        <f>"TOURC"</f>
        <v>TOURC</v>
      </c>
      <c r="B1409" t="str">
        <f t="shared" si="97"/>
        <v>63330000</v>
      </c>
      <c r="C1409" t="str">
        <f t="shared" si="95"/>
        <v>TOURC633300000</v>
      </c>
      <c r="E1409">
        <v>518.42999999999995</v>
      </c>
      <c r="F1409">
        <v>0</v>
      </c>
      <c r="G1409">
        <f t="shared" si="96"/>
        <v>518.42999999999995</v>
      </c>
    </row>
    <row r="1410" spans="1:7">
      <c r="A1410" t="str">
        <f>"VAN"</f>
        <v>VAN</v>
      </c>
      <c r="B1410" t="str">
        <f t="shared" si="97"/>
        <v>63330000</v>
      </c>
      <c r="C1410" t="str">
        <f t="shared" si="95"/>
        <v>VAN633300000</v>
      </c>
      <c r="E1410">
        <v>1641.72</v>
      </c>
      <c r="F1410">
        <v>0</v>
      </c>
      <c r="G1410">
        <f t="shared" si="96"/>
        <v>1641.72</v>
      </c>
    </row>
    <row r="1411" spans="1:7">
      <c r="A1411" t="str">
        <f>"AMI"</f>
        <v>AMI</v>
      </c>
      <c r="B1411" t="str">
        <f t="shared" ref="B1411:B1442" si="98">"63511000"</f>
        <v>63511000</v>
      </c>
      <c r="C1411" t="str">
        <f t="shared" ref="C1411:C1474" si="99">+A1411&amp;B1411*10</f>
        <v>AMI635110000</v>
      </c>
      <c r="E1411">
        <v>3265.02</v>
      </c>
      <c r="F1411">
        <v>0</v>
      </c>
      <c r="G1411">
        <f t="shared" ref="G1411:G1474" si="100">+E1411-F1411</f>
        <v>3265.02</v>
      </c>
    </row>
    <row r="1412" spans="1:7">
      <c r="A1412" t="str">
        <f>"ANG"</f>
        <v>ANG</v>
      </c>
      <c r="B1412" t="str">
        <f t="shared" si="98"/>
        <v>63511000</v>
      </c>
      <c r="C1412" t="str">
        <f t="shared" si="99"/>
        <v>ANG635110000</v>
      </c>
      <c r="E1412">
        <v>3665.79</v>
      </c>
      <c r="F1412">
        <v>0</v>
      </c>
      <c r="G1412">
        <f t="shared" si="100"/>
        <v>3665.79</v>
      </c>
    </row>
    <row r="1413" spans="1:7">
      <c r="A1413" t="str">
        <f>"BET"</f>
        <v>BET</v>
      </c>
      <c r="B1413" t="str">
        <f t="shared" si="98"/>
        <v>63511000</v>
      </c>
      <c r="C1413" t="str">
        <f t="shared" si="99"/>
        <v>BET635110000</v>
      </c>
      <c r="E1413">
        <v>2977.56</v>
      </c>
      <c r="F1413">
        <v>0</v>
      </c>
      <c r="G1413">
        <f t="shared" si="100"/>
        <v>2977.56</v>
      </c>
    </row>
    <row r="1414" spans="1:7">
      <c r="A1414" t="str">
        <f>"BOI"</f>
        <v>BOI</v>
      </c>
      <c r="B1414" t="str">
        <f t="shared" si="98"/>
        <v>63511000</v>
      </c>
      <c r="C1414" t="str">
        <f t="shared" si="99"/>
        <v>BOI635110000</v>
      </c>
      <c r="E1414">
        <v>2378.25</v>
      </c>
      <c r="F1414">
        <v>0</v>
      </c>
      <c r="G1414">
        <f t="shared" si="100"/>
        <v>2378.25</v>
      </c>
    </row>
    <row r="1415" spans="1:7">
      <c r="A1415" t="str">
        <f>"BOS"</f>
        <v>BOS</v>
      </c>
      <c r="B1415" t="str">
        <f t="shared" si="98"/>
        <v>63511000</v>
      </c>
      <c r="C1415" t="str">
        <f t="shared" si="99"/>
        <v>BOS635110000</v>
      </c>
      <c r="E1415">
        <v>4594.32</v>
      </c>
      <c r="F1415">
        <v>0</v>
      </c>
      <c r="G1415">
        <f t="shared" si="100"/>
        <v>4594.32</v>
      </c>
    </row>
    <row r="1416" spans="1:7">
      <c r="A1416" t="str">
        <f>"BOU"</f>
        <v>BOU</v>
      </c>
      <c r="B1416" t="str">
        <f t="shared" si="98"/>
        <v>63511000</v>
      </c>
      <c r="C1416" t="str">
        <f t="shared" si="99"/>
        <v>BOU635110000</v>
      </c>
      <c r="E1416">
        <v>4061.16</v>
      </c>
      <c r="F1416">
        <v>0</v>
      </c>
      <c r="G1416">
        <f t="shared" si="100"/>
        <v>4061.16</v>
      </c>
    </row>
    <row r="1417" spans="1:7">
      <c r="A1417" t="str">
        <f>"CAL"</f>
        <v>CAL</v>
      </c>
      <c r="B1417" t="str">
        <f t="shared" si="98"/>
        <v>63511000</v>
      </c>
      <c r="C1417" t="str">
        <f t="shared" si="99"/>
        <v>CAL635110000</v>
      </c>
      <c r="E1417">
        <v>2894.04</v>
      </c>
      <c r="F1417">
        <v>0</v>
      </c>
      <c r="G1417">
        <f t="shared" si="100"/>
        <v>2894.04</v>
      </c>
    </row>
    <row r="1418" spans="1:7">
      <c r="A1418" t="str">
        <f>"CAM"</f>
        <v>CAM</v>
      </c>
      <c r="B1418" t="str">
        <f t="shared" si="98"/>
        <v>63511000</v>
      </c>
      <c r="C1418" t="str">
        <f t="shared" si="99"/>
        <v>CAM635110000</v>
      </c>
      <c r="E1418">
        <v>2449.17</v>
      </c>
      <c r="F1418">
        <v>0</v>
      </c>
      <c r="G1418">
        <f t="shared" si="100"/>
        <v>2449.17</v>
      </c>
    </row>
    <row r="1419" spans="1:7">
      <c r="A1419" t="str">
        <f>"CAU"</f>
        <v>CAU</v>
      </c>
      <c r="B1419" t="str">
        <f t="shared" si="98"/>
        <v>63511000</v>
      </c>
      <c r="C1419" t="str">
        <f t="shared" si="99"/>
        <v>CAU635110000</v>
      </c>
      <c r="E1419">
        <v>2511.9</v>
      </c>
      <c r="F1419">
        <v>0</v>
      </c>
      <c r="G1419">
        <f t="shared" si="100"/>
        <v>2511.9</v>
      </c>
    </row>
    <row r="1420" spans="1:7">
      <c r="A1420" t="str">
        <f>"CHA"</f>
        <v>CHA</v>
      </c>
      <c r="B1420" t="str">
        <f t="shared" si="98"/>
        <v>63511000</v>
      </c>
      <c r="C1420" t="str">
        <f t="shared" si="99"/>
        <v>CHA635110000</v>
      </c>
      <c r="E1420">
        <v>2022.12</v>
      </c>
      <c r="F1420">
        <v>0</v>
      </c>
      <c r="G1420">
        <f t="shared" si="100"/>
        <v>2022.12</v>
      </c>
    </row>
    <row r="1421" spans="1:7">
      <c r="A1421" t="str">
        <f>"CHAM"</f>
        <v>CHAM</v>
      </c>
      <c r="B1421" t="str">
        <f t="shared" si="98"/>
        <v>63511000</v>
      </c>
      <c r="C1421" t="str">
        <f t="shared" si="99"/>
        <v>CHAM635110000</v>
      </c>
      <c r="E1421">
        <v>5032.17</v>
      </c>
      <c r="F1421">
        <v>0</v>
      </c>
      <c r="G1421">
        <f t="shared" si="100"/>
        <v>5032.17</v>
      </c>
    </row>
    <row r="1422" spans="1:7">
      <c r="A1422" t="str">
        <f>"CHART"</f>
        <v>CHART</v>
      </c>
      <c r="B1422" t="str">
        <f t="shared" si="98"/>
        <v>63511000</v>
      </c>
      <c r="C1422" t="str">
        <f t="shared" si="99"/>
        <v>CHART635110000</v>
      </c>
      <c r="E1422">
        <v>1912.05</v>
      </c>
      <c r="F1422">
        <v>0</v>
      </c>
      <c r="G1422">
        <f t="shared" si="100"/>
        <v>1912.05</v>
      </c>
    </row>
    <row r="1423" spans="1:7">
      <c r="A1423" t="str">
        <f>"CLE"</f>
        <v>CLE</v>
      </c>
      <c r="B1423" t="str">
        <f t="shared" si="98"/>
        <v>63511000</v>
      </c>
      <c r="C1423" t="str">
        <f t="shared" si="99"/>
        <v>CLE635110000</v>
      </c>
      <c r="E1423">
        <v>11565.81</v>
      </c>
      <c r="F1423">
        <v>0</v>
      </c>
      <c r="G1423">
        <f t="shared" si="100"/>
        <v>11565.81</v>
      </c>
    </row>
    <row r="1424" spans="1:7">
      <c r="A1424" t="str">
        <f>"COM"</f>
        <v>COM</v>
      </c>
      <c r="B1424" t="str">
        <f t="shared" si="98"/>
        <v>63511000</v>
      </c>
      <c r="C1424" t="str">
        <f t="shared" si="99"/>
        <v>COM635110000</v>
      </c>
      <c r="E1424">
        <v>3161.07</v>
      </c>
      <c r="F1424">
        <v>0</v>
      </c>
      <c r="G1424">
        <f t="shared" si="100"/>
        <v>3161.07</v>
      </c>
    </row>
    <row r="1425" spans="1:7">
      <c r="A1425" t="str">
        <f>"CST"</f>
        <v>CST</v>
      </c>
      <c r="B1425" t="str">
        <f t="shared" si="98"/>
        <v>63511000</v>
      </c>
      <c r="C1425" t="str">
        <f t="shared" si="99"/>
        <v>CST635110000</v>
      </c>
      <c r="E1425">
        <v>2617.65</v>
      </c>
      <c r="F1425">
        <v>0</v>
      </c>
      <c r="G1425">
        <f t="shared" si="100"/>
        <v>2617.65</v>
      </c>
    </row>
    <row r="1426" spans="1:7">
      <c r="A1426" t="str">
        <f>"DIJ"</f>
        <v>DIJ</v>
      </c>
      <c r="B1426" t="str">
        <f t="shared" si="98"/>
        <v>63511000</v>
      </c>
      <c r="C1426" t="str">
        <f t="shared" si="99"/>
        <v>DIJ635110000</v>
      </c>
      <c r="E1426">
        <v>1999.98</v>
      </c>
      <c r="F1426">
        <v>0</v>
      </c>
      <c r="G1426">
        <f t="shared" si="100"/>
        <v>1999.98</v>
      </c>
    </row>
    <row r="1427" spans="1:7">
      <c r="A1427" t="str">
        <f>"EU"</f>
        <v>EU</v>
      </c>
      <c r="B1427" t="str">
        <f t="shared" si="98"/>
        <v>63511000</v>
      </c>
      <c r="C1427" t="str">
        <f t="shared" si="99"/>
        <v>EU635110000</v>
      </c>
      <c r="E1427">
        <v>6863.04</v>
      </c>
      <c r="F1427">
        <v>0</v>
      </c>
      <c r="G1427">
        <f t="shared" si="100"/>
        <v>6863.04</v>
      </c>
    </row>
    <row r="1428" spans="1:7">
      <c r="A1428" t="str">
        <f>"GRE"</f>
        <v>GRE</v>
      </c>
      <c r="B1428" t="str">
        <f t="shared" si="98"/>
        <v>63511000</v>
      </c>
      <c r="C1428" t="str">
        <f t="shared" si="99"/>
        <v>GRE635110000</v>
      </c>
      <c r="E1428">
        <v>6188.22</v>
      </c>
      <c r="F1428">
        <v>0</v>
      </c>
      <c r="G1428">
        <f t="shared" si="100"/>
        <v>6188.22</v>
      </c>
    </row>
    <row r="1429" spans="1:7">
      <c r="A1429" t="str">
        <f>"LEN"</f>
        <v>LEN</v>
      </c>
      <c r="B1429" t="str">
        <f t="shared" si="98"/>
        <v>63511000</v>
      </c>
      <c r="C1429" t="str">
        <f t="shared" si="99"/>
        <v>LEN635110000</v>
      </c>
      <c r="E1429">
        <v>4013.91</v>
      </c>
      <c r="F1429">
        <v>0</v>
      </c>
      <c r="G1429">
        <f t="shared" si="100"/>
        <v>4013.91</v>
      </c>
    </row>
    <row r="1430" spans="1:7">
      <c r="A1430" t="str">
        <f>"LIL"</f>
        <v>LIL</v>
      </c>
      <c r="B1430" t="str">
        <f t="shared" si="98"/>
        <v>63511000</v>
      </c>
      <c r="C1430" t="str">
        <f t="shared" si="99"/>
        <v>LIL635110000</v>
      </c>
      <c r="E1430">
        <v>6561.99</v>
      </c>
      <c r="F1430">
        <v>0</v>
      </c>
      <c r="G1430">
        <f t="shared" si="100"/>
        <v>6561.99</v>
      </c>
    </row>
    <row r="1431" spans="1:7">
      <c r="A1431" t="str">
        <f>"MAD"</f>
        <v>MAD</v>
      </c>
      <c r="B1431" t="str">
        <f t="shared" si="98"/>
        <v>63511000</v>
      </c>
      <c r="C1431" t="str">
        <f t="shared" si="99"/>
        <v>MAD635110000</v>
      </c>
      <c r="E1431">
        <v>6169.86</v>
      </c>
      <c r="F1431">
        <v>0</v>
      </c>
      <c r="G1431">
        <f t="shared" si="100"/>
        <v>6169.86</v>
      </c>
    </row>
    <row r="1432" spans="1:7">
      <c r="A1432" t="str">
        <f>"MAR"</f>
        <v>MAR</v>
      </c>
      <c r="B1432" t="str">
        <f t="shared" si="98"/>
        <v>63511000</v>
      </c>
      <c r="C1432" t="str">
        <f t="shared" si="99"/>
        <v>MAR635110000</v>
      </c>
      <c r="E1432">
        <v>1945.89</v>
      </c>
      <c r="F1432">
        <v>0</v>
      </c>
      <c r="G1432">
        <f t="shared" si="100"/>
        <v>1945.89</v>
      </c>
    </row>
    <row r="1433" spans="1:7">
      <c r="A1433" t="str">
        <f>"MON"</f>
        <v>MON</v>
      </c>
      <c r="B1433" t="str">
        <f t="shared" si="98"/>
        <v>63511000</v>
      </c>
      <c r="C1433" t="str">
        <f t="shared" si="99"/>
        <v>MON635110000</v>
      </c>
      <c r="E1433">
        <v>6123.24</v>
      </c>
      <c r="F1433">
        <v>0</v>
      </c>
      <c r="G1433">
        <f t="shared" si="100"/>
        <v>6123.24</v>
      </c>
    </row>
    <row r="1434" spans="1:7">
      <c r="A1434" t="str">
        <f>"NAN"</f>
        <v>NAN</v>
      </c>
      <c r="B1434" t="str">
        <f t="shared" si="98"/>
        <v>63511000</v>
      </c>
      <c r="C1434" t="str">
        <f t="shared" si="99"/>
        <v>NAN635110000</v>
      </c>
      <c r="E1434">
        <v>5801.49</v>
      </c>
      <c r="F1434">
        <v>0</v>
      </c>
      <c r="G1434">
        <f t="shared" si="100"/>
        <v>5801.49</v>
      </c>
    </row>
    <row r="1435" spans="1:7">
      <c r="A1435" t="str">
        <f>"ORL"</f>
        <v>ORL</v>
      </c>
      <c r="B1435" t="str">
        <f t="shared" si="98"/>
        <v>63511000</v>
      </c>
      <c r="C1435" t="str">
        <f t="shared" si="99"/>
        <v>ORL635110000</v>
      </c>
      <c r="E1435">
        <v>3727.26</v>
      </c>
      <c r="F1435">
        <v>0</v>
      </c>
      <c r="G1435">
        <f t="shared" si="100"/>
        <v>3727.26</v>
      </c>
    </row>
    <row r="1436" spans="1:7">
      <c r="A1436" t="str">
        <f>"REN"</f>
        <v>REN</v>
      </c>
      <c r="B1436" t="str">
        <f t="shared" si="98"/>
        <v>63511000</v>
      </c>
      <c r="C1436" t="str">
        <f t="shared" si="99"/>
        <v>REN635110000</v>
      </c>
      <c r="E1436">
        <v>4373.01</v>
      </c>
      <c r="F1436">
        <v>0</v>
      </c>
      <c r="G1436">
        <f t="shared" si="100"/>
        <v>4373.01</v>
      </c>
    </row>
    <row r="1437" spans="1:7">
      <c r="A1437" t="str">
        <f>"ROA"</f>
        <v>ROA</v>
      </c>
      <c r="B1437" t="str">
        <f t="shared" si="98"/>
        <v>63511000</v>
      </c>
      <c r="C1437" t="str">
        <f t="shared" si="99"/>
        <v>ROA635110000</v>
      </c>
      <c r="E1437">
        <v>6245.64</v>
      </c>
      <c r="F1437">
        <v>0</v>
      </c>
      <c r="G1437">
        <f t="shared" si="100"/>
        <v>6245.64</v>
      </c>
    </row>
    <row r="1438" spans="1:7">
      <c r="A1438" t="str">
        <f>"SAU"</f>
        <v>SAU</v>
      </c>
      <c r="B1438" t="str">
        <f t="shared" si="98"/>
        <v>63511000</v>
      </c>
      <c r="C1438" t="str">
        <f t="shared" si="99"/>
        <v>SAU635110000</v>
      </c>
      <c r="E1438">
        <v>1740.42</v>
      </c>
      <c r="F1438">
        <v>0</v>
      </c>
      <c r="G1438">
        <f t="shared" si="100"/>
        <v>1740.42</v>
      </c>
    </row>
    <row r="1439" spans="1:7">
      <c r="A1439" t="str">
        <f>"SOM"</f>
        <v>SOM</v>
      </c>
      <c r="B1439" t="str">
        <f t="shared" si="98"/>
        <v>63511000</v>
      </c>
      <c r="C1439" t="str">
        <f t="shared" si="99"/>
        <v>SOM635110000</v>
      </c>
      <c r="E1439">
        <v>6226.02</v>
      </c>
      <c r="F1439">
        <v>0</v>
      </c>
      <c r="G1439">
        <f t="shared" si="100"/>
        <v>6226.02</v>
      </c>
    </row>
    <row r="1440" spans="1:7">
      <c r="A1440" t="str">
        <f>"THO"</f>
        <v>THO</v>
      </c>
      <c r="B1440" t="str">
        <f t="shared" si="98"/>
        <v>63511000</v>
      </c>
      <c r="C1440" t="str">
        <f t="shared" si="99"/>
        <v>THO635110000</v>
      </c>
      <c r="E1440">
        <v>2162.52</v>
      </c>
      <c r="F1440">
        <v>0</v>
      </c>
      <c r="G1440">
        <f t="shared" si="100"/>
        <v>2162.52</v>
      </c>
    </row>
    <row r="1441" spans="1:7">
      <c r="A1441" t="str">
        <f>"TOURC"</f>
        <v>TOURC</v>
      </c>
      <c r="B1441" t="str">
        <f t="shared" si="98"/>
        <v>63511000</v>
      </c>
      <c r="C1441" t="str">
        <f t="shared" si="99"/>
        <v>TOURC635110000</v>
      </c>
      <c r="E1441">
        <v>5763.51</v>
      </c>
      <c r="F1441">
        <v>0</v>
      </c>
      <c r="G1441">
        <f t="shared" si="100"/>
        <v>5763.51</v>
      </c>
    </row>
    <row r="1442" spans="1:7">
      <c r="A1442" t="str">
        <f>"VAN"</f>
        <v>VAN</v>
      </c>
      <c r="B1442" t="str">
        <f t="shared" si="98"/>
        <v>63511000</v>
      </c>
      <c r="C1442" t="str">
        <f t="shared" si="99"/>
        <v>VAN635110000</v>
      </c>
      <c r="E1442">
        <v>3685.32</v>
      </c>
      <c r="F1442">
        <v>0</v>
      </c>
      <c r="G1442">
        <f t="shared" si="100"/>
        <v>3685.32</v>
      </c>
    </row>
    <row r="1443" spans="1:7">
      <c r="A1443" t="str">
        <f>"AMI"</f>
        <v>AMI</v>
      </c>
      <c r="B1443" t="str">
        <f t="shared" ref="B1443:B1473" si="101">"63512000"</f>
        <v>63512000</v>
      </c>
      <c r="C1443" t="str">
        <f t="shared" si="99"/>
        <v>AMI635120000</v>
      </c>
      <c r="E1443">
        <v>3476.52</v>
      </c>
      <c r="F1443">
        <v>0</v>
      </c>
      <c r="G1443">
        <f t="shared" si="100"/>
        <v>3476.52</v>
      </c>
    </row>
    <row r="1444" spans="1:7">
      <c r="A1444" t="str">
        <f>"ANG"</f>
        <v>ANG</v>
      </c>
      <c r="B1444" t="str">
        <f t="shared" si="101"/>
        <v>63512000</v>
      </c>
      <c r="C1444" t="str">
        <f t="shared" si="99"/>
        <v>ANG635120000</v>
      </c>
      <c r="E1444">
        <v>2002.59</v>
      </c>
      <c r="F1444">
        <v>0</v>
      </c>
      <c r="G1444">
        <f t="shared" si="100"/>
        <v>2002.59</v>
      </c>
    </row>
    <row r="1445" spans="1:7">
      <c r="A1445" t="str">
        <f>"BET"</f>
        <v>BET</v>
      </c>
      <c r="B1445" t="str">
        <f t="shared" si="101"/>
        <v>63512000</v>
      </c>
      <c r="C1445" t="str">
        <f t="shared" si="99"/>
        <v>BET635120000</v>
      </c>
      <c r="E1445">
        <v>1285.56</v>
      </c>
      <c r="F1445">
        <v>0</v>
      </c>
      <c r="G1445">
        <f t="shared" si="100"/>
        <v>1285.56</v>
      </c>
    </row>
    <row r="1446" spans="1:7">
      <c r="A1446" t="str">
        <f>"BOI"</f>
        <v>BOI</v>
      </c>
      <c r="B1446" t="str">
        <f t="shared" si="101"/>
        <v>63512000</v>
      </c>
      <c r="C1446" t="str">
        <f t="shared" si="99"/>
        <v>BOI635120000</v>
      </c>
      <c r="E1446">
        <v>643.41</v>
      </c>
      <c r="F1446">
        <v>0</v>
      </c>
      <c r="G1446">
        <f t="shared" si="100"/>
        <v>643.41</v>
      </c>
    </row>
    <row r="1447" spans="1:7">
      <c r="A1447" t="str">
        <f>"BOS"</f>
        <v>BOS</v>
      </c>
      <c r="B1447" t="str">
        <f t="shared" si="101"/>
        <v>63512000</v>
      </c>
      <c r="C1447" t="str">
        <f t="shared" si="99"/>
        <v>BOS635120000</v>
      </c>
      <c r="E1447">
        <v>2178.27</v>
      </c>
      <c r="F1447">
        <v>0</v>
      </c>
      <c r="G1447">
        <f t="shared" si="100"/>
        <v>2178.27</v>
      </c>
    </row>
    <row r="1448" spans="1:7">
      <c r="A1448" t="str">
        <f>"BOU"</f>
        <v>BOU</v>
      </c>
      <c r="B1448" t="str">
        <f t="shared" si="101"/>
        <v>63512000</v>
      </c>
      <c r="C1448" t="str">
        <f t="shared" si="99"/>
        <v>BOU635120000</v>
      </c>
      <c r="E1448">
        <v>2600.37</v>
      </c>
      <c r="F1448">
        <v>0</v>
      </c>
      <c r="G1448">
        <f t="shared" si="100"/>
        <v>2600.37</v>
      </c>
    </row>
    <row r="1449" spans="1:7">
      <c r="A1449" t="str">
        <f>"CAL"</f>
        <v>CAL</v>
      </c>
      <c r="B1449" t="str">
        <f t="shared" si="101"/>
        <v>63512000</v>
      </c>
      <c r="C1449" t="str">
        <f t="shared" si="99"/>
        <v>CAL635120000</v>
      </c>
      <c r="E1449">
        <v>953.46</v>
      </c>
      <c r="F1449">
        <v>0</v>
      </c>
      <c r="G1449">
        <f t="shared" si="100"/>
        <v>953.46</v>
      </c>
    </row>
    <row r="1450" spans="1:7">
      <c r="A1450" t="str">
        <f>"CAM"</f>
        <v>CAM</v>
      </c>
      <c r="B1450" t="str">
        <f t="shared" si="101"/>
        <v>63512000</v>
      </c>
      <c r="C1450" t="str">
        <f t="shared" si="99"/>
        <v>CAM635120000</v>
      </c>
      <c r="E1450">
        <v>1218.24</v>
      </c>
      <c r="F1450">
        <v>0</v>
      </c>
      <c r="G1450">
        <f t="shared" si="100"/>
        <v>1218.24</v>
      </c>
    </row>
    <row r="1451" spans="1:7">
      <c r="A1451" t="str">
        <f>"CAU"</f>
        <v>CAU</v>
      </c>
      <c r="B1451" t="str">
        <f t="shared" si="101"/>
        <v>63512000</v>
      </c>
      <c r="C1451" t="str">
        <f t="shared" si="99"/>
        <v>CAU635120000</v>
      </c>
      <c r="E1451">
        <v>2811.42</v>
      </c>
      <c r="F1451">
        <v>0</v>
      </c>
      <c r="G1451">
        <f t="shared" si="100"/>
        <v>2811.42</v>
      </c>
    </row>
    <row r="1452" spans="1:7">
      <c r="A1452" t="str">
        <f>"CHA"</f>
        <v>CHA</v>
      </c>
      <c r="B1452" t="str">
        <f t="shared" si="101"/>
        <v>63512000</v>
      </c>
      <c r="C1452" t="str">
        <f t="shared" si="99"/>
        <v>CHA635120000</v>
      </c>
      <c r="E1452">
        <v>1379.7</v>
      </c>
      <c r="F1452">
        <v>0</v>
      </c>
      <c r="G1452">
        <f t="shared" si="100"/>
        <v>1379.7</v>
      </c>
    </row>
    <row r="1453" spans="1:7">
      <c r="A1453" t="str">
        <f>"CHAM"</f>
        <v>CHAM</v>
      </c>
      <c r="B1453" t="str">
        <f t="shared" si="101"/>
        <v>63512000</v>
      </c>
      <c r="C1453" t="str">
        <f t="shared" si="99"/>
        <v>CHAM635120000</v>
      </c>
      <c r="E1453">
        <v>1625.4</v>
      </c>
      <c r="F1453">
        <v>0</v>
      </c>
      <c r="G1453">
        <f t="shared" si="100"/>
        <v>1625.4</v>
      </c>
    </row>
    <row r="1454" spans="1:7">
      <c r="A1454" t="str">
        <f>"CHART"</f>
        <v>CHART</v>
      </c>
      <c r="B1454" t="str">
        <f t="shared" si="101"/>
        <v>63512000</v>
      </c>
      <c r="C1454" t="str">
        <f t="shared" si="99"/>
        <v>CHART635120000</v>
      </c>
      <c r="E1454">
        <v>1283.58</v>
      </c>
      <c r="F1454">
        <v>0</v>
      </c>
      <c r="G1454">
        <f t="shared" si="100"/>
        <v>1283.58</v>
      </c>
    </row>
    <row r="1455" spans="1:7">
      <c r="A1455" t="str">
        <f>"CLE"</f>
        <v>CLE</v>
      </c>
      <c r="B1455" t="str">
        <f t="shared" si="101"/>
        <v>63512000</v>
      </c>
      <c r="C1455" t="str">
        <f t="shared" si="99"/>
        <v>CLE635120000</v>
      </c>
      <c r="E1455">
        <v>14712.12</v>
      </c>
      <c r="F1455">
        <v>0</v>
      </c>
      <c r="G1455">
        <f t="shared" si="100"/>
        <v>14712.12</v>
      </c>
    </row>
    <row r="1456" spans="1:7">
      <c r="A1456" t="str">
        <f>"COM"</f>
        <v>COM</v>
      </c>
      <c r="B1456" t="str">
        <f t="shared" si="101"/>
        <v>63512000</v>
      </c>
      <c r="C1456" t="str">
        <f t="shared" si="99"/>
        <v>COM635120000</v>
      </c>
      <c r="E1456">
        <v>2264.2199999999998</v>
      </c>
      <c r="F1456">
        <v>0</v>
      </c>
      <c r="G1456">
        <f t="shared" si="100"/>
        <v>2264.2199999999998</v>
      </c>
    </row>
    <row r="1457" spans="1:9">
      <c r="A1457" t="str">
        <f>"CST"</f>
        <v>CST</v>
      </c>
      <c r="B1457" t="str">
        <f t="shared" si="101"/>
        <v>63512000</v>
      </c>
      <c r="C1457" t="str">
        <f t="shared" si="99"/>
        <v>CST635120000</v>
      </c>
      <c r="E1457">
        <v>1285.47</v>
      </c>
      <c r="F1457">
        <v>0</v>
      </c>
      <c r="G1457">
        <f t="shared" si="100"/>
        <v>1285.47</v>
      </c>
    </row>
    <row r="1458" spans="1:9">
      <c r="A1458" t="str">
        <f>"DIJ"</f>
        <v>DIJ</v>
      </c>
      <c r="B1458" t="str">
        <f t="shared" si="101"/>
        <v>63512000</v>
      </c>
      <c r="C1458" t="str">
        <f t="shared" si="99"/>
        <v>DIJ635120000</v>
      </c>
      <c r="E1458">
        <v>2334</v>
      </c>
      <c r="F1458">
        <v>0</v>
      </c>
      <c r="G1458">
        <f t="shared" si="100"/>
        <v>2334</v>
      </c>
    </row>
    <row r="1459" spans="1:9">
      <c r="A1459" t="str">
        <f>"EU"</f>
        <v>EU</v>
      </c>
      <c r="B1459" t="str">
        <f t="shared" si="101"/>
        <v>63512000</v>
      </c>
      <c r="C1459" t="str">
        <f t="shared" si="99"/>
        <v>EU635120000</v>
      </c>
      <c r="E1459">
        <v>7901.82</v>
      </c>
      <c r="F1459">
        <v>0</v>
      </c>
      <c r="G1459">
        <f t="shared" si="100"/>
        <v>7901.82</v>
      </c>
    </row>
    <row r="1460" spans="1:9">
      <c r="A1460" t="str">
        <f>"GRE"</f>
        <v>GRE</v>
      </c>
      <c r="B1460" t="str">
        <f t="shared" si="101"/>
        <v>63512000</v>
      </c>
      <c r="C1460" t="str">
        <f t="shared" si="99"/>
        <v>GRE635120000</v>
      </c>
      <c r="E1460">
        <v>4400.55</v>
      </c>
      <c r="F1460">
        <v>0</v>
      </c>
      <c r="G1460">
        <f t="shared" si="100"/>
        <v>4400.55</v>
      </c>
    </row>
    <row r="1461" spans="1:9">
      <c r="A1461" t="str">
        <f>"LEN"</f>
        <v>LEN</v>
      </c>
      <c r="B1461" t="str">
        <f t="shared" si="101"/>
        <v>63512000</v>
      </c>
      <c r="C1461" t="str">
        <f t="shared" si="99"/>
        <v>LEN635120000</v>
      </c>
      <c r="E1461">
        <v>1649.07</v>
      </c>
      <c r="F1461">
        <v>0</v>
      </c>
      <c r="G1461">
        <f t="shared" si="100"/>
        <v>1649.07</v>
      </c>
    </row>
    <row r="1462" spans="1:9">
      <c r="A1462" t="str">
        <f>"MAD"</f>
        <v>MAD</v>
      </c>
      <c r="B1462" t="str">
        <f t="shared" si="101"/>
        <v>63512000</v>
      </c>
      <c r="C1462" t="str">
        <f t="shared" si="99"/>
        <v>MAD635120000</v>
      </c>
      <c r="E1462">
        <v>4533.75</v>
      </c>
      <c r="F1462">
        <v>0</v>
      </c>
      <c r="G1462">
        <f t="shared" si="100"/>
        <v>4533.75</v>
      </c>
    </row>
    <row r="1463" spans="1:9">
      <c r="A1463" t="str">
        <f>"MAR"</f>
        <v>MAR</v>
      </c>
      <c r="B1463" t="str">
        <f t="shared" si="101"/>
        <v>63512000</v>
      </c>
      <c r="C1463" t="str">
        <f t="shared" si="99"/>
        <v>MAR635120000</v>
      </c>
      <c r="E1463">
        <v>2258.64</v>
      </c>
      <c r="F1463">
        <v>0</v>
      </c>
      <c r="G1463">
        <f t="shared" si="100"/>
        <v>2258.64</v>
      </c>
    </row>
    <row r="1464" spans="1:9">
      <c r="A1464" t="str">
        <f>"MON"</f>
        <v>MON</v>
      </c>
      <c r="B1464" t="str">
        <f t="shared" si="101"/>
        <v>63512000</v>
      </c>
      <c r="C1464" t="str">
        <f t="shared" si="99"/>
        <v>MON635120000</v>
      </c>
      <c r="E1464">
        <v>4260.33</v>
      </c>
      <c r="F1464">
        <v>0</v>
      </c>
      <c r="G1464">
        <f t="shared" si="100"/>
        <v>4260.33</v>
      </c>
    </row>
    <row r="1465" spans="1:9">
      <c r="A1465" t="str">
        <f>"NAN"</f>
        <v>NAN</v>
      </c>
      <c r="B1465" t="str">
        <f t="shared" si="101"/>
        <v>63512000</v>
      </c>
      <c r="C1465" t="str">
        <f t="shared" si="99"/>
        <v>NAN635120000</v>
      </c>
      <c r="E1465">
        <v>5176.26</v>
      </c>
      <c r="F1465">
        <v>0</v>
      </c>
      <c r="G1465">
        <f t="shared" si="100"/>
        <v>5176.26</v>
      </c>
    </row>
    <row r="1466" spans="1:9">
      <c r="A1466" t="str">
        <f>"ORL"</f>
        <v>ORL</v>
      </c>
      <c r="B1466" t="str">
        <f t="shared" si="101"/>
        <v>63512000</v>
      </c>
      <c r="C1466" t="str">
        <f t="shared" si="99"/>
        <v>ORL635120000</v>
      </c>
      <c r="E1466">
        <v>4632.75</v>
      </c>
      <c r="F1466">
        <v>0</v>
      </c>
      <c r="G1466">
        <f t="shared" si="100"/>
        <v>4632.75</v>
      </c>
    </row>
    <row r="1467" spans="1:9">
      <c r="A1467" t="str">
        <f>"REN"</f>
        <v>REN</v>
      </c>
      <c r="B1467" t="str">
        <f t="shared" si="101"/>
        <v>63512000</v>
      </c>
      <c r="C1467" t="str">
        <f t="shared" si="99"/>
        <v>REN635120000</v>
      </c>
      <c r="E1467">
        <v>4184.91</v>
      </c>
      <c r="F1467">
        <v>0</v>
      </c>
      <c r="G1467">
        <f t="shared" si="100"/>
        <v>4184.91</v>
      </c>
    </row>
    <row r="1468" spans="1:9">
      <c r="A1468" t="str">
        <f>"ROA"</f>
        <v>ROA</v>
      </c>
      <c r="B1468" t="str">
        <f t="shared" si="101"/>
        <v>63512000</v>
      </c>
      <c r="C1468" t="str">
        <f t="shared" si="99"/>
        <v>ROA635120000</v>
      </c>
      <c r="E1468">
        <v>3590.37</v>
      </c>
      <c r="F1468">
        <v>0</v>
      </c>
      <c r="G1468">
        <f t="shared" si="100"/>
        <v>3590.37</v>
      </c>
    </row>
    <row r="1469" spans="1:9">
      <c r="A1469" t="str">
        <f>"SAU"</f>
        <v>SAU</v>
      </c>
      <c r="B1469" t="str">
        <f t="shared" si="101"/>
        <v>63512000</v>
      </c>
      <c r="C1469" t="str">
        <f t="shared" si="99"/>
        <v>SAU635120000</v>
      </c>
      <c r="E1469">
        <v>1864.8</v>
      </c>
      <c r="F1469">
        <v>0</v>
      </c>
      <c r="G1469">
        <f t="shared" si="100"/>
        <v>1864.8</v>
      </c>
    </row>
    <row r="1470" spans="1:9">
      <c r="A1470" t="str">
        <f>"SOM"</f>
        <v>SOM</v>
      </c>
      <c r="B1470" t="str">
        <f t="shared" si="101"/>
        <v>63512000</v>
      </c>
      <c r="C1470" t="str">
        <f t="shared" si="99"/>
        <v>SOM635120000</v>
      </c>
      <c r="E1470">
        <v>3882.42</v>
      </c>
      <c r="F1470">
        <v>0</v>
      </c>
      <c r="G1470">
        <f t="shared" si="100"/>
        <v>3882.42</v>
      </c>
    </row>
    <row r="1471" spans="1:9">
      <c r="A1471" t="str">
        <f>"THO"</f>
        <v>THO</v>
      </c>
      <c r="B1471" t="str">
        <f t="shared" si="101"/>
        <v>63512000</v>
      </c>
      <c r="C1471" t="str">
        <f t="shared" si="99"/>
        <v>THO635120000</v>
      </c>
      <c r="E1471">
        <v>524.52</v>
      </c>
      <c r="F1471">
        <v>0</v>
      </c>
      <c r="G1471">
        <f t="shared" si="100"/>
        <v>524.52</v>
      </c>
      <c r="I1471" s="26"/>
    </row>
    <row r="1472" spans="1:9">
      <c r="A1472" t="str">
        <f>"TOURC"</f>
        <v>TOURC</v>
      </c>
      <c r="B1472" t="str">
        <f t="shared" si="101"/>
        <v>63512000</v>
      </c>
      <c r="C1472" t="str">
        <f t="shared" si="99"/>
        <v>TOURC635120000</v>
      </c>
      <c r="E1472">
        <v>2999.97</v>
      </c>
      <c r="F1472">
        <v>0</v>
      </c>
      <c r="G1472">
        <f t="shared" si="100"/>
        <v>2999.97</v>
      </c>
    </row>
    <row r="1473" spans="1:8">
      <c r="A1473" t="str">
        <f>"VAN"</f>
        <v>VAN</v>
      </c>
      <c r="B1473" t="str">
        <f t="shared" si="101"/>
        <v>63512000</v>
      </c>
      <c r="C1473" t="str">
        <f t="shared" si="99"/>
        <v>VAN635120000</v>
      </c>
      <c r="E1473">
        <v>3025.62</v>
      </c>
      <c r="F1473">
        <v>0</v>
      </c>
      <c r="G1473">
        <f t="shared" si="100"/>
        <v>3025.62</v>
      </c>
    </row>
    <row r="1474" spans="1:8">
      <c r="A1474" t="str">
        <f>"AMI"</f>
        <v>AMI</v>
      </c>
      <c r="B1474" t="str">
        <f>"63513000"</f>
        <v>63513000</v>
      </c>
      <c r="C1474" t="str">
        <f t="shared" si="99"/>
        <v>AMI635130000</v>
      </c>
      <c r="E1474">
        <v>424.8</v>
      </c>
      <c r="F1474">
        <v>0</v>
      </c>
      <c r="G1474">
        <f t="shared" si="100"/>
        <v>424.8</v>
      </c>
    </row>
    <row r="1475" spans="1:8">
      <c r="A1475" t="str">
        <f>"ROA"</f>
        <v>ROA</v>
      </c>
      <c r="B1475" t="str">
        <f>"63513000"</f>
        <v>63513000</v>
      </c>
      <c r="C1475" t="str">
        <f t="shared" ref="C1475:C1538" si="102">+A1475&amp;B1475*10</f>
        <v>ROA635130000</v>
      </c>
      <c r="E1475">
        <v>1272</v>
      </c>
      <c r="F1475">
        <v>0</v>
      </c>
      <c r="G1475">
        <f t="shared" ref="G1475:G1538" si="103">+E1475-F1475</f>
        <v>1272</v>
      </c>
    </row>
    <row r="1476" spans="1:8">
      <c r="A1476" t="str">
        <f>"CST"</f>
        <v>CST</v>
      </c>
      <c r="B1476" t="str">
        <f>"63513000"</f>
        <v>63513000</v>
      </c>
      <c r="C1476" t="str">
        <f t="shared" si="102"/>
        <v>CST635130000</v>
      </c>
      <c r="E1476">
        <f>+H1476</f>
        <v>2392.5</v>
      </c>
      <c r="F1476">
        <v>0</v>
      </c>
      <c r="G1476">
        <f t="shared" si="103"/>
        <v>2392.5</v>
      </c>
      <c r="H1476">
        <v>2392.5</v>
      </c>
    </row>
    <row r="1477" spans="1:8">
      <c r="A1477" t="str">
        <f>"COM"</f>
        <v>COM</v>
      </c>
      <c r="B1477" t="str">
        <f>"63514000"</f>
        <v>63514000</v>
      </c>
      <c r="C1477" t="str">
        <f t="shared" si="102"/>
        <v>COM635140000</v>
      </c>
      <c r="E1477">
        <v>208.5</v>
      </c>
      <c r="F1477">
        <v>0</v>
      </c>
      <c r="G1477">
        <f t="shared" si="103"/>
        <v>208.5</v>
      </c>
    </row>
    <row r="1478" spans="1:8">
      <c r="A1478" t="str">
        <f>"DIJ"</f>
        <v>DIJ</v>
      </c>
      <c r="B1478" t="str">
        <f>"63514000"</f>
        <v>63514000</v>
      </c>
      <c r="C1478" t="str">
        <f t="shared" si="102"/>
        <v>DIJ635140000</v>
      </c>
      <c r="E1478">
        <v>232.5</v>
      </c>
      <c r="F1478">
        <v>0</v>
      </c>
      <c r="G1478">
        <f t="shared" si="103"/>
        <v>232.5</v>
      </c>
    </row>
    <row r="1479" spans="1:8">
      <c r="A1479" t="str">
        <f>"ORL"</f>
        <v>ORL</v>
      </c>
      <c r="B1479" t="str">
        <f>"63514000"</f>
        <v>63514000</v>
      </c>
      <c r="C1479" t="str">
        <f t="shared" si="102"/>
        <v>ORL635140000</v>
      </c>
      <c r="E1479">
        <v>264.5</v>
      </c>
      <c r="F1479">
        <v>0</v>
      </c>
      <c r="G1479">
        <f t="shared" si="103"/>
        <v>264.5</v>
      </c>
    </row>
    <row r="1480" spans="1:8">
      <c r="A1480" t="str">
        <f>"CST"</f>
        <v>CST</v>
      </c>
      <c r="B1480" t="str">
        <f>"63530000"</f>
        <v>63530000</v>
      </c>
      <c r="C1480" t="str">
        <f t="shared" si="102"/>
        <v>CST635300000</v>
      </c>
      <c r="E1480">
        <f>2392.5+H1480</f>
        <v>0</v>
      </c>
      <c r="F1480">
        <v>0</v>
      </c>
      <c r="G1480">
        <f t="shared" si="103"/>
        <v>0</v>
      </c>
      <c r="H1480">
        <v>-2392.5</v>
      </c>
    </row>
    <row r="1481" spans="1:8">
      <c r="A1481" t="str">
        <f>"CLT"</f>
        <v>CLT</v>
      </c>
      <c r="B1481" t="str">
        <f>"63540000"</f>
        <v>63540000</v>
      </c>
      <c r="C1481" t="str">
        <f t="shared" si="102"/>
        <v>CLT635400000</v>
      </c>
      <c r="E1481">
        <v>578</v>
      </c>
      <c r="F1481">
        <v>0</v>
      </c>
      <c r="G1481">
        <f t="shared" si="103"/>
        <v>578</v>
      </c>
    </row>
    <row r="1482" spans="1:8">
      <c r="A1482" t="str">
        <f>"DIJ"</f>
        <v>DIJ</v>
      </c>
      <c r="B1482" t="str">
        <f>"63540000"</f>
        <v>63540000</v>
      </c>
      <c r="C1482" t="str">
        <f t="shared" si="102"/>
        <v>DIJ635400000</v>
      </c>
      <c r="E1482">
        <v>0</v>
      </c>
      <c r="F1482">
        <v>0</v>
      </c>
      <c r="G1482">
        <f t="shared" si="103"/>
        <v>0</v>
      </c>
    </row>
    <row r="1483" spans="1:8">
      <c r="A1483" t="str">
        <f>"LIL"</f>
        <v>LIL</v>
      </c>
      <c r="B1483" t="str">
        <f>"63540000"</f>
        <v>63540000</v>
      </c>
      <c r="C1483" t="str">
        <f t="shared" si="102"/>
        <v>LIL635400000</v>
      </c>
      <c r="E1483">
        <v>6447</v>
      </c>
      <c r="F1483">
        <v>0</v>
      </c>
      <c r="G1483">
        <f t="shared" si="103"/>
        <v>6447</v>
      </c>
    </row>
    <row r="1484" spans="1:8">
      <c r="A1484" t="str">
        <f>"LIL"</f>
        <v>LIL</v>
      </c>
      <c r="B1484" t="str">
        <f>"63581000"</f>
        <v>63581000</v>
      </c>
      <c r="C1484" t="str">
        <f t="shared" si="102"/>
        <v>LIL635810000</v>
      </c>
      <c r="E1484">
        <v>15375</v>
      </c>
      <c r="F1484">
        <v>0</v>
      </c>
      <c r="G1484">
        <f t="shared" si="103"/>
        <v>15375</v>
      </c>
    </row>
    <row r="1485" spans="1:8">
      <c r="A1485" t="str">
        <f>"AMI"</f>
        <v>AMI</v>
      </c>
      <c r="B1485" t="str">
        <f t="shared" ref="B1485:B1516" si="104">"63710000"</f>
        <v>63710000</v>
      </c>
      <c r="C1485" t="str">
        <f t="shared" si="102"/>
        <v>AMI637100000</v>
      </c>
      <c r="E1485">
        <v>556</v>
      </c>
      <c r="F1485">
        <v>0</v>
      </c>
      <c r="G1485">
        <f t="shared" si="103"/>
        <v>556</v>
      </c>
    </row>
    <row r="1486" spans="1:8">
      <c r="A1486" t="str">
        <f>"ANG"</f>
        <v>ANG</v>
      </c>
      <c r="B1486" t="str">
        <f t="shared" si="104"/>
        <v>63710000</v>
      </c>
      <c r="C1486" t="str">
        <f t="shared" si="102"/>
        <v>ANG637100000</v>
      </c>
      <c r="E1486">
        <v>1618.81</v>
      </c>
      <c r="F1486">
        <v>0</v>
      </c>
      <c r="G1486">
        <f t="shared" si="103"/>
        <v>1618.81</v>
      </c>
    </row>
    <row r="1487" spans="1:8">
      <c r="A1487" t="str">
        <f>"BET"</f>
        <v>BET</v>
      </c>
      <c r="B1487" t="str">
        <f t="shared" si="104"/>
        <v>63710000</v>
      </c>
      <c r="C1487" t="str">
        <f t="shared" si="102"/>
        <v>BET637100000</v>
      </c>
      <c r="E1487">
        <v>472.12</v>
      </c>
      <c r="F1487">
        <v>0</v>
      </c>
      <c r="G1487">
        <f t="shared" si="103"/>
        <v>472.12</v>
      </c>
    </row>
    <row r="1488" spans="1:8">
      <c r="A1488" t="str">
        <f>"BOI"</f>
        <v>BOI</v>
      </c>
      <c r="B1488" t="str">
        <f t="shared" si="104"/>
        <v>63710000</v>
      </c>
      <c r="C1488" t="str">
        <f t="shared" si="102"/>
        <v>BOI637100000</v>
      </c>
      <c r="E1488">
        <v>306.63</v>
      </c>
      <c r="F1488">
        <v>0</v>
      </c>
      <c r="G1488">
        <f t="shared" si="103"/>
        <v>306.63</v>
      </c>
    </row>
    <row r="1489" spans="1:12">
      <c r="A1489" t="str">
        <f>"BOS"</f>
        <v>BOS</v>
      </c>
      <c r="B1489" t="str">
        <f t="shared" si="104"/>
        <v>63710000</v>
      </c>
      <c r="C1489" t="str">
        <f t="shared" si="102"/>
        <v>BOS637100000</v>
      </c>
      <c r="E1489">
        <v>1880.99</v>
      </c>
      <c r="F1489">
        <v>0</v>
      </c>
      <c r="G1489">
        <f t="shared" si="103"/>
        <v>1880.99</v>
      </c>
    </row>
    <row r="1490" spans="1:12">
      <c r="A1490" t="str">
        <f>"BOU"</f>
        <v>BOU</v>
      </c>
      <c r="B1490" t="str">
        <f t="shared" si="104"/>
        <v>63710000</v>
      </c>
      <c r="C1490" t="str">
        <f t="shared" si="102"/>
        <v>BOU637100000</v>
      </c>
      <c r="E1490">
        <v>3136.03</v>
      </c>
      <c r="F1490">
        <v>0</v>
      </c>
      <c r="G1490">
        <f t="shared" si="103"/>
        <v>3136.03</v>
      </c>
    </row>
    <row r="1491" spans="1:12">
      <c r="A1491" t="str">
        <f>"CAL"</f>
        <v>CAL</v>
      </c>
      <c r="B1491" t="str">
        <f t="shared" si="104"/>
        <v>63710000</v>
      </c>
      <c r="C1491" t="str">
        <f t="shared" si="102"/>
        <v>CAL637100000</v>
      </c>
      <c r="E1491">
        <v>1537.18</v>
      </c>
      <c r="F1491">
        <v>0</v>
      </c>
      <c r="G1491">
        <f t="shared" si="103"/>
        <v>1537.18</v>
      </c>
    </row>
    <row r="1492" spans="1:12">
      <c r="A1492" t="str">
        <f>"CAM"</f>
        <v>CAM</v>
      </c>
      <c r="B1492" t="str">
        <f t="shared" si="104"/>
        <v>63710000</v>
      </c>
      <c r="C1492" t="str">
        <f t="shared" si="102"/>
        <v>CAM637100000</v>
      </c>
      <c r="E1492">
        <v>820.41</v>
      </c>
      <c r="F1492">
        <v>0</v>
      </c>
      <c r="G1492">
        <f t="shared" si="103"/>
        <v>820.41</v>
      </c>
    </row>
    <row r="1493" spans="1:12">
      <c r="A1493" t="str">
        <f>"CAU"</f>
        <v>CAU</v>
      </c>
      <c r="B1493" t="str">
        <f t="shared" si="104"/>
        <v>63710000</v>
      </c>
      <c r="C1493" t="str">
        <f t="shared" si="102"/>
        <v>CAU637100000</v>
      </c>
      <c r="E1493">
        <v>960.52</v>
      </c>
      <c r="F1493">
        <v>0</v>
      </c>
      <c r="G1493">
        <f t="shared" si="103"/>
        <v>960.52</v>
      </c>
    </row>
    <row r="1494" spans="1:12">
      <c r="A1494" t="str">
        <f>"CHA"</f>
        <v>CHA</v>
      </c>
      <c r="B1494" t="str">
        <f t="shared" si="104"/>
        <v>63710000</v>
      </c>
      <c r="C1494" t="str">
        <f t="shared" si="102"/>
        <v>CHA637100000</v>
      </c>
      <c r="E1494">
        <v>612.89</v>
      </c>
      <c r="F1494">
        <v>0</v>
      </c>
      <c r="G1494">
        <f t="shared" si="103"/>
        <v>612.89</v>
      </c>
      <c r="I1494" s="353"/>
    </row>
    <row r="1495" spans="1:12">
      <c r="A1495" t="str">
        <f>"CHAM"</f>
        <v>CHAM</v>
      </c>
      <c r="B1495" t="str">
        <f t="shared" si="104"/>
        <v>63710000</v>
      </c>
      <c r="C1495" t="str">
        <f t="shared" si="102"/>
        <v>CHAM637100000</v>
      </c>
      <c r="E1495">
        <v>939.59</v>
      </c>
      <c r="F1495">
        <v>0</v>
      </c>
      <c r="G1495">
        <f t="shared" si="103"/>
        <v>939.59</v>
      </c>
    </row>
    <row r="1496" spans="1:12">
      <c r="A1496" t="str">
        <f>"CHART"</f>
        <v>CHART</v>
      </c>
      <c r="B1496" t="str">
        <f t="shared" si="104"/>
        <v>63710000</v>
      </c>
      <c r="C1496" t="str">
        <f t="shared" si="102"/>
        <v>CHART637100000</v>
      </c>
      <c r="E1496">
        <v>1213.3399999999999</v>
      </c>
      <c r="F1496">
        <v>0</v>
      </c>
      <c r="G1496">
        <f t="shared" si="103"/>
        <v>1213.3399999999999</v>
      </c>
    </row>
    <row r="1497" spans="1:12">
      <c r="A1497" t="str">
        <f>"CLE"</f>
        <v>CLE</v>
      </c>
      <c r="B1497" t="str">
        <f t="shared" si="104"/>
        <v>63710000</v>
      </c>
      <c r="C1497" t="str">
        <f t="shared" si="102"/>
        <v>CLE637100000</v>
      </c>
      <c r="E1497">
        <v>5172.53</v>
      </c>
      <c r="F1497">
        <v>0</v>
      </c>
      <c r="G1497">
        <f t="shared" si="103"/>
        <v>5172.53</v>
      </c>
      <c r="J1497" s="26"/>
      <c r="K1497" s="353"/>
      <c r="L1497" s="353"/>
    </row>
    <row r="1498" spans="1:12">
      <c r="A1498" t="str">
        <f>"COM"</f>
        <v>COM</v>
      </c>
      <c r="B1498" t="str">
        <f t="shared" si="104"/>
        <v>63710000</v>
      </c>
      <c r="C1498" t="str">
        <f t="shared" si="102"/>
        <v>COM637100000</v>
      </c>
      <c r="E1498">
        <v>945.65</v>
      </c>
      <c r="F1498">
        <v>0</v>
      </c>
      <c r="G1498">
        <f t="shared" si="103"/>
        <v>945.65</v>
      </c>
      <c r="K1498" s="353"/>
      <c r="L1498" s="353"/>
    </row>
    <row r="1499" spans="1:12">
      <c r="A1499" t="str">
        <f>"CST"</f>
        <v>CST</v>
      </c>
      <c r="B1499" t="str">
        <f t="shared" si="104"/>
        <v>63710000</v>
      </c>
      <c r="C1499" t="str">
        <f t="shared" si="102"/>
        <v>CST637100000</v>
      </c>
      <c r="E1499">
        <v>1020.6</v>
      </c>
      <c r="F1499">
        <v>0</v>
      </c>
      <c r="G1499">
        <f t="shared" si="103"/>
        <v>1020.6</v>
      </c>
      <c r="L1499" s="353"/>
    </row>
    <row r="1500" spans="1:12">
      <c r="A1500" t="str">
        <f>"DIJ"</f>
        <v>DIJ</v>
      </c>
      <c r="B1500" t="str">
        <f t="shared" si="104"/>
        <v>63710000</v>
      </c>
      <c r="C1500" t="str">
        <f t="shared" si="102"/>
        <v>DIJ637100000</v>
      </c>
      <c r="E1500">
        <v>460.54</v>
      </c>
      <c r="F1500">
        <v>0</v>
      </c>
      <c r="G1500">
        <f t="shared" si="103"/>
        <v>460.54</v>
      </c>
    </row>
    <row r="1501" spans="1:12">
      <c r="A1501" t="str">
        <f>"EU"</f>
        <v>EU</v>
      </c>
      <c r="B1501" t="str">
        <f t="shared" si="104"/>
        <v>63710000</v>
      </c>
      <c r="C1501" t="str">
        <f t="shared" si="102"/>
        <v>EU637100000</v>
      </c>
      <c r="E1501">
        <v>5329.16</v>
      </c>
      <c r="F1501">
        <v>0</v>
      </c>
      <c r="G1501">
        <f t="shared" si="103"/>
        <v>5329.16</v>
      </c>
      <c r="K1501" s="26"/>
    </row>
    <row r="1502" spans="1:12">
      <c r="A1502" t="str">
        <f>"GRE"</f>
        <v>GRE</v>
      </c>
      <c r="B1502" t="str">
        <f t="shared" si="104"/>
        <v>63710000</v>
      </c>
      <c r="C1502" t="str">
        <f t="shared" si="102"/>
        <v>GRE637100000</v>
      </c>
      <c r="E1502">
        <v>2828.75</v>
      </c>
      <c r="F1502">
        <v>0</v>
      </c>
      <c r="G1502">
        <f t="shared" si="103"/>
        <v>2828.75</v>
      </c>
    </row>
    <row r="1503" spans="1:12">
      <c r="A1503" t="str">
        <f>"LEN"</f>
        <v>LEN</v>
      </c>
      <c r="B1503" t="str">
        <f t="shared" si="104"/>
        <v>63710000</v>
      </c>
      <c r="C1503" t="str">
        <f t="shared" si="102"/>
        <v>LEN637100000</v>
      </c>
      <c r="E1503">
        <v>523.44000000000005</v>
      </c>
      <c r="F1503">
        <v>0</v>
      </c>
      <c r="G1503">
        <f t="shared" si="103"/>
        <v>523.44000000000005</v>
      </c>
    </row>
    <row r="1504" spans="1:12">
      <c r="A1504" t="str">
        <f>"LIL"</f>
        <v>LIL</v>
      </c>
      <c r="B1504" t="str">
        <f t="shared" si="104"/>
        <v>63710000</v>
      </c>
      <c r="C1504" t="str">
        <f t="shared" si="102"/>
        <v>LIL637100000</v>
      </c>
      <c r="E1504">
        <v>262.10000000000002</v>
      </c>
      <c r="F1504">
        <v>0</v>
      </c>
      <c r="G1504">
        <f t="shared" si="103"/>
        <v>262.10000000000002</v>
      </c>
    </row>
    <row r="1505" spans="1:8">
      <c r="A1505" t="str">
        <f>"MAD"</f>
        <v>MAD</v>
      </c>
      <c r="B1505" t="str">
        <f t="shared" si="104"/>
        <v>63710000</v>
      </c>
      <c r="C1505" t="str">
        <f t="shared" si="102"/>
        <v>MAD637100000</v>
      </c>
      <c r="E1505">
        <v>1198.45</v>
      </c>
      <c r="F1505">
        <v>0</v>
      </c>
      <c r="G1505">
        <f t="shared" si="103"/>
        <v>1198.45</v>
      </c>
    </row>
    <row r="1506" spans="1:8">
      <c r="A1506" t="str">
        <f>"MAR"</f>
        <v>MAR</v>
      </c>
      <c r="B1506" t="str">
        <f t="shared" si="104"/>
        <v>63710000</v>
      </c>
      <c r="C1506" t="str">
        <f t="shared" si="102"/>
        <v>MAR637100000</v>
      </c>
      <c r="E1506">
        <v>354.52</v>
      </c>
      <c r="F1506">
        <v>0</v>
      </c>
      <c r="G1506">
        <f t="shared" si="103"/>
        <v>354.52</v>
      </c>
    </row>
    <row r="1507" spans="1:8">
      <c r="A1507" t="str">
        <f>"MON"</f>
        <v>MON</v>
      </c>
      <c r="B1507" t="str">
        <f t="shared" si="104"/>
        <v>63710000</v>
      </c>
      <c r="C1507" t="str">
        <f t="shared" si="102"/>
        <v>MON637100000</v>
      </c>
      <c r="E1507">
        <v>1104.21</v>
      </c>
      <c r="F1507">
        <v>0</v>
      </c>
      <c r="G1507">
        <f t="shared" si="103"/>
        <v>1104.21</v>
      </c>
    </row>
    <row r="1508" spans="1:8">
      <c r="A1508" t="str">
        <f>"NAN"</f>
        <v>NAN</v>
      </c>
      <c r="B1508" t="str">
        <f t="shared" si="104"/>
        <v>63710000</v>
      </c>
      <c r="C1508" t="str">
        <f t="shared" si="102"/>
        <v>NAN637100000</v>
      </c>
      <c r="E1508">
        <v>1125.54</v>
      </c>
      <c r="F1508">
        <v>0</v>
      </c>
      <c r="G1508">
        <f t="shared" si="103"/>
        <v>1125.54</v>
      </c>
    </row>
    <row r="1509" spans="1:8">
      <c r="A1509" t="str">
        <f>"ORL"</f>
        <v>ORL</v>
      </c>
      <c r="B1509" t="str">
        <f t="shared" si="104"/>
        <v>63710000</v>
      </c>
      <c r="C1509" t="str">
        <f t="shared" si="102"/>
        <v>ORL637100000</v>
      </c>
      <c r="E1509">
        <v>1470.35</v>
      </c>
      <c r="F1509">
        <v>0</v>
      </c>
      <c r="G1509">
        <f t="shared" si="103"/>
        <v>1470.35</v>
      </c>
    </row>
    <row r="1510" spans="1:8">
      <c r="A1510" t="str">
        <f>"REN"</f>
        <v>REN</v>
      </c>
      <c r="B1510" t="str">
        <f t="shared" si="104"/>
        <v>63710000</v>
      </c>
      <c r="C1510" t="str">
        <f t="shared" si="102"/>
        <v>REN637100000</v>
      </c>
      <c r="E1510">
        <v>617.26</v>
      </c>
      <c r="F1510">
        <v>0</v>
      </c>
      <c r="G1510">
        <f t="shared" si="103"/>
        <v>617.26</v>
      </c>
    </row>
    <row r="1511" spans="1:8">
      <c r="A1511" t="str">
        <f>"ROA"</f>
        <v>ROA</v>
      </c>
      <c r="B1511" t="str">
        <f t="shared" si="104"/>
        <v>63710000</v>
      </c>
      <c r="C1511" t="str">
        <f t="shared" si="102"/>
        <v>ROA637100000</v>
      </c>
      <c r="E1511">
        <v>2607.0100000000002</v>
      </c>
      <c r="F1511">
        <v>0</v>
      </c>
      <c r="G1511">
        <f t="shared" si="103"/>
        <v>2607.0100000000002</v>
      </c>
    </row>
    <row r="1512" spans="1:8">
      <c r="A1512" t="str">
        <f>"SAU"</f>
        <v>SAU</v>
      </c>
      <c r="B1512" t="str">
        <f t="shared" si="104"/>
        <v>63710000</v>
      </c>
      <c r="C1512" t="str">
        <f t="shared" si="102"/>
        <v>SAU637100000</v>
      </c>
      <c r="E1512">
        <v>339.41</v>
      </c>
      <c r="F1512">
        <v>0</v>
      </c>
      <c r="G1512">
        <f t="shared" si="103"/>
        <v>339.41</v>
      </c>
    </row>
    <row r="1513" spans="1:8">
      <c r="A1513" t="str">
        <f>"SOM"</f>
        <v>SOM</v>
      </c>
      <c r="B1513" t="str">
        <f t="shared" si="104"/>
        <v>63710000</v>
      </c>
      <c r="C1513" t="str">
        <f t="shared" si="102"/>
        <v>SOM637100000</v>
      </c>
      <c r="E1513">
        <v>3055.44</v>
      </c>
      <c r="F1513">
        <v>0</v>
      </c>
      <c r="G1513">
        <f t="shared" si="103"/>
        <v>3055.44</v>
      </c>
    </row>
    <row r="1514" spans="1:8">
      <c r="A1514" t="str">
        <f>"THO"</f>
        <v>THO</v>
      </c>
      <c r="B1514" t="str">
        <f t="shared" si="104"/>
        <v>63710000</v>
      </c>
      <c r="C1514" t="str">
        <f t="shared" si="102"/>
        <v>THO637100000</v>
      </c>
      <c r="E1514">
        <v>1156.9000000000001</v>
      </c>
      <c r="F1514">
        <v>0</v>
      </c>
      <c r="G1514">
        <f t="shared" si="103"/>
        <v>1156.9000000000001</v>
      </c>
    </row>
    <row r="1515" spans="1:8">
      <c r="A1515" t="str">
        <f>"TOURC"</f>
        <v>TOURC</v>
      </c>
      <c r="B1515" t="str">
        <f t="shared" si="104"/>
        <v>63710000</v>
      </c>
      <c r="C1515" t="str">
        <f t="shared" si="102"/>
        <v>TOURC637100000</v>
      </c>
      <c r="E1515">
        <v>385.45</v>
      </c>
      <c r="F1515">
        <v>0</v>
      </c>
      <c r="G1515">
        <f t="shared" si="103"/>
        <v>385.45</v>
      </c>
    </row>
    <row r="1516" spans="1:8">
      <c r="A1516" t="str">
        <f>"VAN"</f>
        <v>VAN</v>
      </c>
      <c r="B1516" t="str">
        <f t="shared" si="104"/>
        <v>63710000</v>
      </c>
      <c r="C1516" t="str">
        <f t="shared" si="102"/>
        <v>VAN637100000</v>
      </c>
      <c r="E1516">
        <v>1083.5999999999999</v>
      </c>
      <c r="F1516">
        <v>0</v>
      </c>
      <c r="G1516">
        <f t="shared" si="103"/>
        <v>1083.5999999999999</v>
      </c>
    </row>
    <row r="1517" spans="1:8">
      <c r="A1517" t="str">
        <f>"LIL"</f>
        <v>LIL</v>
      </c>
      <c r="B1517" t="str">
        <f>"63711000"</f>
        <v>63711000</v>
      </c>
      <c r="C1517" t="str">
        <f t="shared" si="102"/>
        <v>LIL637110000</v>
      </c>
      <c r="E1517">
        <v>15000</v>
      </c>
      <c r="F1517">
        <v>0</v>
      </c>
      <c r="G1517">
        <f t="shared" si="103"/>
        <v>15000</v>
      </c>
    </row>
    <row r="1518" spans="1:8">
      <c r="A1518" t="str">
        <f>"AMI"</f>
        <v>AMI</v>
      </c>
      <c r="B1518" t="str">
        <f t="shared" ref="B1518:B1549" si="105">"64110000"</f>
        <v>64110000</v>
      </c>
      <c r="C1518" t="str">
        <f t="shared" si="102"/>
        <v>AMI641100000</v>
      </c>
      <c r="E1518">
        <f>103271.21+H1518</f>
        <v>100791.21</v>
      </c>
      <c r="F1518">
        <v>57868.18</v>
      </c>
      <c r="G1518">
        <f t="shared" si="103"/>
        <v>42923.030000000006</v>
      </c>
      <c r="H1518">
        <f>-2976+496</f>
        <v>-2480</v>
      </c>
    </row>
    <row r="1519" spans="1:8">
      <c r="A1519" t="str">
        <f>"ANG"</f>
        <v>ANG</v>
      </c>
      <c r="B1519" t="str">
        <f t="shared" si="105"/>
        <v>64110000</v>
      </c>
      <c r="C1519" t="str">
        <f t="shared" si="102"/>
        <v>ANG641100000</v>
      </c>
      <c r="E1519">
        <v>112213.03</v>
      </c>
      <c r="F1519">
        <v>13167.12</v>
      </c>
      <c r="G1519">
        <f t="shared" si="103"/>
        <v>99045.91</v>
      </c>
    </row>
    <row r="1520" spans="1:8">
      <c r="A1520" t="str">
        <f>"BET"</f>
        <v>BET</v>
      </c>
      <c r="B1520" t="str">
        <f t="shared" si="105"/>
        <v>64110000</v>
      </c>
      <c r="C1520" t="str">
        <f t="shared" si="102"/>
        <v>BET641100000</v>
      </c>
      <c r="E1520">
        <v>55322.25</v>
      </c>
      <c r="F1520">
        <v>0</v>
      </c>
      <c r="G1520">
        <f t="shared" si="103"/>
        <v>55322.25</v>
      </c>
    </row>
    <row r="1521" spans="1:8">
      <c r="A1521" t="str">
        <f>"BOI"</f>
        <v>BOI</v>
      </c>
      <c r="B1521" t="str">
        <f t="shared" si="105"/>
        <v>64110000</v>
      </c>
      <c r="C1521" t="str">
        <f t="shared" si="102"/>
        <v>BOI641100000</v>
      </c>
      <c r="E1521">
        <v>22217.83</v>
      </c>
      <c r="F1521">
        <v>0</v>
      </c>
      <c r="G1521">
        <f t="shared" si="103"/>
        <v>22217.83</v>
      </c>
    </row>
    <row r="1522" spans="1:8">
      <c r="A1522" t="str">
        <f>"BOS"</f>
        <v>BOS</v>
      </c>
      <c r="B1522" t="str">
        <f t="shared" si="105"/>
        <v>64110000</v>
      </c>
      <c r="C1522" t="str">
        <f t="shared" si="102"/>
        <v>BOS641100000</v>
      </c>
      <c r="E1522">
        <v>92559.42</v>
      </c>
      <c r="F1522">
        <v>0</v>
      </c>
      <c r="G1522">
        <f t="shared" si="103"/>
        <v>92559.42</v>
      </c>
    </row>
    <row r="1523" spans="1:8">
      <c r="A1523" t="str">
        <f>"BOU"</f>
        <v>BOU</v>
      </c>
      <c r="B1523" t="str">
        <f t="shared" si="105"/>
        <v>64110000</v>
      </c>
      <c r="C1523" t="str">
        <f t="shared" si="102"/>
        <v>BOU641100000</v>
      </c>
      <c r="E1523">
        <v>114267.47</v>
      </c>
      <c r="F1523">
        <v>18672.349999999999</v>
      </c>
      <c r="G1523">
        <f t="shared" si="103"/>
        <v>95595.12</v>
      </c>
    </row>
    <row r="1524" spans="1:8">
      <c r="A1524" t="str">
        <f>"CAL"</f>
        <v>CAL</v>
      </c>
      <c r="B1524" t="str">
        <f t="shared" si="105"/>
        <v>64110000</v>
      </c>
      <c r="C1524" t="str">
        <f t="shared" si="102"/>
        <v>CAL641100000</v>
      </c>
      <c r="E1524">
        <v>65966.48</v>
      </c>
      <c r="F1524">
        <v>2406.6</v>
      </c>
      <c r="G1524">
        <f t="shared" si="103"/>
        <v>63559.88</v>
      </c>
    </row>
    <row r="1525" spans="1:8">
      <c r="A1525" t="str">
        <f>"CAM"</f>
        <v>CAM</v>
      </c>
      <c r="B1525" t="str">
        <f t="shared" si="105"/>
        <v>64110000</v>
      </c>
      <c r="C1525" t="str">
        <f t="shared" si="102"/>
        <v>CAM641100000</v>
      </c>
      <c r="E1525">
        <f>67155.43+H1525</f>
        <v>82035.429999999993</v>
      </c>
      <c r="F1525">
        <v>28768</v>
      </c>
      <c r="G1525">
        <f t="shared" si="103"/>
        <v>53267.429999999993</v>
      </c>
      <c r="H1525">
        <f>28768-13888</f>
        <v>14880</v>
      </c>
    </row>
    <row r="1526" spans="1:8">
      <c r="A1526" t="str">
        <f>"CAU"</f>
        <v>CAU</v>
      </c>
      <c r="B1526" t="str">
        <f t="shared" si="105"/>
        <v>64110000</v>
      </c>
      <c r="C1526" t="str">
        <f t="shared" si="102"/>
        <v>CAU641100000</v>
      </c>
      <c r="E1526" s="353">
        <f>74604.25+H1526</f>
        <v>64684.25</v>
      </c>
      <c r="F1526">
        <v>0</v>
      </c>
      <c r="G1526">
        <f t="shared" si="103"/>
        <v>64684.25</v>
      </c>
      <c r="H1526">
        <f>-14880+4960</f>
        <v>-9920</v>
      </c>
    </row>
    <row r="1527" spans="1:8">
      <c r="A1527" t="str">
        <f>"CHA"</f>
        <v>CHA</v>
      </c>
      <c r="B1527" t="str">
        <f t="shared" si="105"/>
        <v>64110000</v>
      </c>
      <c r="C1527" t="str">
        <f t="shared" si="102"/>
        <v>CHA641100000</v>
      </c>
      <c r="E1527">
        <v>37993.339999999997</v>
      </c>
      <c r="F1527">
        <v>0</v>
      </c>
      <c r="G1527">
        <f t="shared" si="103"/>
        <v>37993.339999999997</v>
      </c>
    </row>
    <row r="1528" spans="1:8">
      <c r="A1528" t="str">
        <f>"CHAM"</f>
        <v>CHAM</v>
      </c>
      <c r="B1528" t="str">
        <f t="shared" si="105"/>
        <v>64110000</v>
      </c>
      <c r="C1528" t="str">
        <f t="shared" si="102"/>
        <v>CHAM641100000</v>
      </c>
      <c r="E1528">
        <v>60517.65</v>
      </c>
      <c r="F1528">
        <v>1353.37</v>
      </c>
      <c r="G1528">
        <f t="shared" si="103"/>
        <v>59164.28</v>
      </c>
    </row>
    <row r="1529" spans="1:8">
      <c r="A1529" t="str">
        <f>"CHART"</f>
        <v>CHART</v>
      </c>
      <c r="B1529" t="str">
        <f t="shared" si="105"/>
        <v>64110000</v>
      </c>
      <c r="C1529" t="str">
        <f t="shared" si="102"/>
        <v>CHART641100000</v>
      </c>
      <c r="E1529">
        <v>67493.47</v>
      </c>
      <c r="F1529">
        <v>0</v>
      </c>
      <c r="G1529">
        <f t="shared" si="103"/>
        <v>67493.47</v>
      </c>
    </row>
    <row r="1530" spans="1:8">
      <c r="A1530" t="str">
        <f>"CLE"</f>
        <v>CLE</v>
      </c>
      <c r="B1530" t="str">
        <f t="shared" si="105"/>
        <v>64110000</v>
      </c>
      <c r="C1530" t="str">
        <f t="shared" si="102"/>
        <v>CLE641100000</v>
      </c>
      <c r="E1530">
        <v>185097.27</v>
      </c>
      <c r="F1530">
        <v>7896.41</v>
      </c>
      <c r="G1530">
        <f t="shared" si="103"/>
        <v>177200.86</v>
      </c>
    </row>
    <row r="1531" spans="1:8">
      <c r="A1531" t="str">
        <f>"COM"</f>
        <v>COM</v>
      </c>
      <c r="B1531" t="str">
        <f t="shared" si="105"/>
        <v>64110000</v>
      </c>
      <c r="C1531" t="str">
        <f t="shared" si="102"/>
        <v>COM641100000</v>
      </c>
      <c r="E1531">
        <f>62732.37+H1531</f>
        <v>60252.37</v>
      </c>
      <c r="F1531">
        <v>0</v>
      </c>
      <c r="G1531">
        <f t="shared" si="103"/>
        <v>60252.37</v>
      </c>
      <c r="H1531">
        <f>-2976+496</f>
        <v>-2480</v>
      </c>
    </row>
    <row r="1532" spans="1:8">
      <c r="A1532" t="str">
        <f>"CST"</f>
        <v>CST</v>
      </c>
      <c r="B1532" t="str">
        <f t="shared" si="105"/>
        <v>64110000</v>
      </c>
      <c r="C1532" t="str">
        <f t="shared" si="102"/>
        <v>CST641100000</v>
      </c>
      <c r="E1532">
        <v>82997.2</v>
      </c>
      <c r="F1532">
        <v>0</v>
      </c>
      <c r="G1532">
        <f t="shared" si="103"/>
        <v>82997.2</v>
      </c>
    </row>
    <row r="1533" spans="1:8">
      <c r="A1533" t="str">
        <f>"DIJ"</f>
        <v>DIJ</v>
      </c>
      <c r="B1533" t="str">
        <f t="shared" si="105"/>
        <v>64110000</v>
      </c>
      <c r="C1533" t="str">
        <f t="shared" si="102"/>
        <v>DIJ641100000</v>
      </c>
      <c r="E1533">
        <v>45262.68</v>
      </c>
      <c r="F1533">
        <v>0</v>
      </c>
      <c r="G1533">
        <f t="shared" si="103"/>
        <v>45262.68</v>
      </c>
    </row>
    <row r="1534" spans="1:8">
      <c r="A1534" t="str">
        <f>"EU"</f>
        <v>EU</v>
      </c>
      <c r="B1534" t="str">
        <f t="shared" si="105"/>
        <v>64110000</v>
      </c>
      <c r="C1534" t="str">
        <f t="shared" si="102"/>
        <v>EU641100000</v>
      </c>
      <c r="E1534">
        <v>139843.38</v>
      </c>
      <c r="F1534">
        <v>3211.6</v>
      </c>
      <c r="G1534">
        <f t="shared" si="103"/>
        <v>136631.78</v>
      </c>
    </row>
    <row r="1535" spans="1:8">
      <c r="A1535" t="str">
        <f>"GRE"</f>
        <v>GRE</v>
      </c>
      <c r="B1535" t="str">
        <f t="shared" si="105"/>
        <v>64110000</v>
      </c>
      <c r="C1535" t="str">
        <f t="shared" si="102"/>
        <v>GRE641100000</v>
      </c>
      <c r="E1535">
        <v>138133.51999999999</v>
      </c>
      <c r="F1535">
        <v>3150</v>
      </c>
      <c r="G1535">
        <f t="shared" si="103"/>
        <v>134983.51999999999</v>
      </c>
    </row>
    <row r="1536" spans="1:8">
      <c r="A1536" t="str">
        <f>"LEN"</f>
        <v>LEN</v>
      </c>
      <c r="B1536" t="str">
        <f t="shared" si="105"/>
        <v>64110000</v>
      </c>
      <c r="C1536" t="str">
        <f t="shared" si="102"/>
        <v>LEN641100000</v>
      </c>
      <c r="E1536">
        <f>55102.96+H1536</f>
        <v>48597.96</v>
      </c>
      <c r="F1536">
        <v>4900</v>
      </c>
      <c r="G1536">
        <f t="shared" si="103"/>
        <v>43697.96</v>
      </c>
      <c r="H1536">
        <f>-7806+1301</f>
        <v>-6505</v>
      </c>
    </row>
    <row r="1537" spans="1:9">
      <c r="A1537" t="str">
        <f>"LIL"</f>
        <v>LIL</v>
      </c>
      <c r="B1537" t="str">
        <f t="shared" si="105"/>
        <v>64110000</v>
      </c>
      <c r="C1537" t="str">
        <f t="shared" si="102"/>
        <v>LIL641100000</v>
      </c>
      <c r="E1537">
        <v>265682.64</v>
      </c>
      <c r="F1537">
        <v>0</v>
      </c>
      <c r="G1537">
        <f t="shared" si="103"/>
        <v>265682.64</v>
      </c>
      <c r="H1537" s="433"/>
      <c r="I1537" s="113"/>
    </row>
    <row r="1538" spans="1:9">
      <c r="A1538" t="str">
        <f>"MAD"</f>
        <v>MAD</v>
      </c>
      <c r="B1538" t="str">
        <f t="shared" si="105"/>
        <v>64110000</v>
      </c>
      <c r="C1538" t="str">
        <f t="shared" si="102"/>
        <v>MAD641100000</v>
      </c>
      <c r="E1538">
        <f>95908.58+H1538</f>
        <v>102413.58</v>
      </c>
      <c r="F1538">
        <v>16276.16</v>
      </c>
      <c r="G1538">
        <f t="shared" si="103"/>
        <v>86137.42</v>
      </c>
      <c r="H1538">
        <f>14311-7806</f>
        <v>6505</v>
      </c>
    </row>
    <row r="1539" spans="1:9">
      <c r="A1539" t="str">
        <f>"MAR"</f>
        <v>MAR</v>
      </c>
      <c r="B1539" t="str">
        <f t="shared" si="105"/>
        <v>64110000</v>
      </c>
      <c r="C1539" t="str">
        <f t="shared" ref="C1539:C1602" si="106">+A1539&amp;B1539*10</f>
        <v>MAR641100000</v>
      </c>
      <c r="E1539">
        <v>33832.879999999997</v>
      </c>
      <c r="F1539">
        <v>0</v>
      </c>
      <c r="G1539">
        <f t="shared" ref="G1539:G1602" si="107">+E1539-F1539</f>
        <v>33832.879999999997</v>
      </c>
    </row>
    <row r="1540" spans="1:9">
      <c r="A1540" t="str">
        <f>"MON"</f>
        <v>MON</v>
      </c>
      <c r="B1540" t="str">
        <f t="shared" si="105"/>
        <v>64110000</v>
      </c>
      <c r="C1540" t="str">
        <f t="shared" si="106"/>
        <v>MON641100000</v>
      </c>
      <c r="E1540">
        <v>69375.53</v>
      </c>
      <c r="F1540">
        <v>0</v>
      </c>
      <c r="G1540">
        <f t="shared" si="107"/>
        <v>69375.53</v>
      </c>
    </row>
    <row r="1541" spans="1:9">
      <c r="A1541" t="str">
        <f>"NAN"</f>
        <v>NAN</v>
      </c>
      <c r="B1541" t="str">
        <f t="shared" si="105"/>
        <v>64110000</v>
      </c>
      <c r="C1541" t="str">
        <f t="shared" si="106"/>
        <v>NAN641100000</v>
      </c>
      <c r="E1541">
        <v>84890.83</v>
      </c>
      <c r="F1541">
        <v>0</v>
      </c>
      <c r="G1541">
        <f t="shared" si="107"/>
        <v>84890.83</v>
      </c>
    </row>
    <row r="1542" spans="1:9">
      <c r="A1542" t="str">
        <f>"ORL"</f>
        <v>ORL</v>
      </c>
      <c r="B1542" t="str">
        <f t="shared" si="105"/>
        <v>64110000</v>
      </c>
      <c r="C1542" t="str">
        <f t="shared" si="106"/>
        <v>ORL641100000</v>
      </c>
      <c r="E1542">
        <v>71689.919999999998</v>
      </c>
      <c r="F1542">
        <v>0</v>
      </c>
      <c r="G1542">
        <f t="shared" si="107"/>
        <v>71689.919999999998</v>
      </c>
    </row>
    <row r="1543" spans="1:9">
      <c r="A1543" t="str">
        <f>"REN"</f>
        <v>REN</v>
      </c>
      <c r="B1543" t="str">
        <f t="shared" si="105"/>
        <v>64110000</v>
      </c>
      <c r="C1543" t="str">
        <f t="shared" si="106"/>
        <v>REN641100000</v>
      </c>
      <c r="E1543">
        <v>40763.75</v>
      </c>
      <c r="F1543">
        <v>0</v>
      </c>
      <c r="G1543">
        <f t="shared" si="107"/>
        <v>40763.75</v>
      </c>
    </row>
    <row r="1544" spans="1:9">
      <c r="A1544" t="str">
        <f>"ROA"</f>
        <v>ROA</v>
      </c>
      <c r="B1544" t="str">
        <f t="shared" si="105"/>
        <v>64110000</v>
      </c>
      <c r="C1544" t="str">
        <f t="shared" si="106"/>
        <v>ROA641100000</v>
      </c>
      <c r="E1544">
        <v>110469.11</v>
      </c>
      <c r="F1544">
        <v>825.83</v>
      </c>
      <c r="G1544">
        <f t="shared" si="107"/>
        <v>109643.28</v>
      </c>
    </row>
    <row r="1545" spans="1:9">
      <c r="A1545" t="str">
        <f>"SAU"</f>
        <v>SAU</v>
      </c>
      <c r="B1545" t="str">
        <f t="shared" si="105"/>
        <v>64110000</v>
      </c>
      <c r="C1545" t="str">
        <f t="shared" si="106"/>
        <v>SAU641100000</v>
      </c>
      <c r="E1545">
        <v>31230.43</v>
      </c>
      <c r="F1545">
        <v>0</v>
      </c>
      <c r="G1545">
        <f t="shared" si="107"/>
        <v>31230.43</v>
      </c>
    </row>
    <row r="1546" spans="1:9">
      <c r="A1546" t="str">
        <f>"SOM"</f>
        <v>SOM</v>
      </c>
      <c r="B1546" t="str">
        <f t="shared" si="105"/>
        <v>64110000</v>
      </c>
      <c r="C1546" t="str">
        <f t="shared" si="106"/>
        <v>SOM641100000</v>
      </c>
      <c r="E1546">
        <v>112374.95</v>
      </c>
      <c r="F1546">
        <v>3305.09</v>
      </c>
      <c r="G1546">
        <f t="shared" si="107"/>
        <v>109069.86</v>
      </c>
    </row>
    <row r="1547" spans="1:9">
      <c r="A1547" t="str">
        <f>"THO"</f>
        <v>THO</v>
      </c>
      <c r="B1547" t="str">
        <f t="shared" si="105"/>
        <v>64110000</v>
      </c>
      <c r="C1547" t="str">
        <f t="shared" si="106"/>
        <v>THO641100000</v>
      </c>
      <c r="E1547">
        <v>106879.27</v>
      </c>
      <c r="F1547">
        <v>34648.550000000003</v>
      </c>
      <c r="G1547">
        <f t="shared" si="107"/>
        <v>72230.720000000001</v>
      </c>
    </row>
    <row r="1548" spans="1:9">
      <c r="A1548" t="str">
        <f>"TOURC"</f>
        <v>TOURC</v>
      </c>
      <c r="B1548" t="str">
        <f t="shared" si="105"/>
        <v>64110000</v>
      </c>
      <c r="C1548" t="str">
        <f t="shared" si="106"/>
        <v>TOURC641100000</v>
      </c>
      <c r="E1548">
        <v>29641.1</v>
      </c>
      <c r="F1548">
        <v>7237.62</v>
      </c>
      <c r="G1548">
        <f t="shared" si="107"/>
        <v>22403.48</v>
      </c>
    </row>
    <row r="1549" spans="1:9">
      <c r="A1549" t="str">
        <f>"VAN"</f>
        <v>VAN</v>
      </c>
      <c r="B1549" t="str">
        <f t="shared" si="105"/>
        <v>64110000</v>
      </c>
      <c r="C1549" t="str">
        <f t="shared" si="106"/>
        <v>VAN641100000</v>
      </c>
      <c r="E1549">
        <v>92383.25</v>
      </c>
      <c r="F1549">
        <v>11628</v>
      </c>
      <c r="G1549">
        <f t="shared" si="107"/>
        <v>80755.25</v>
      </c>
    </row>
    <row r="1550" spans="1:9">
      <c r="A1550" t="str">
        <f>"AMI"</f>
        <v>AMI</v>
      </c>
      <c r="B1550" t="str">
        <f t="shared" ref="B1550:B1580" si="108">"64111000"</f>
        <v>64111000</v>
      </c>
      <c r="C1550" t="str">
        <f t="shared" si="106"/>
        <v>AMI641110000</v>
      </c>
      <c r="E1550">
        <v>-300</v>
      </c>
      <c r="F1550">
        <v>5400</v>
      </c>
      <c r="G1550">
        <f t="shared" si="107"/>
        <v>-5700</v>
      </c>
    </row>
    <row r="1551" spans="1:9">
      <c r="A1551" t="str">
        <f>"ANG"</f>
        <v>ANG</v>
      </c>
      <c r="B1551" t="str">
        <f t="shared" si="108"/>
        <v>64111000</v>
      </c>
      <c r="C1551" t="str">
        <f t="shared" si="106"/>
        <v>ANG641110000</v>
      </c>
      <c r="E1551">
        <v>-1000</v>
      </c>
      <c r="F1551">
        <v>0</v>
      </c>
      <c r="G1551">
        <f t="shared" si="107"/>
        <v>-1000</v>
      </c>
    </row>
    <row r="1552" spans="1:9">
      <c r="A1552" t="str">
        <f>"BET"</f>
        <v>BET</v>
      </c>
      <c r="B1552" t="str">
        <f t="shared" si="108"/>
        <v>64111000</v>
      </c>
      <c r="C1552" t="str">
        <f t="shared" si="106"/>
        <v>BET641110000</v>
      </c>
      <c r="E1552">
        <v>0</v>
      </c>
      <c r="F1552">
        <v>0</v>
      </c>
      <c r="G1552">
        <f t="shared" si="107"/>
        <v>0</v>
      </c>
    </row>
    <row r="1553" spans="1:9">
      <c r="A1553" t="str">
        <f>"BEZI"</f>
        <v>BEZI</v>
      </c>
      <c r="B1553" t="str">
        <f t="shared" si="108"/>
        <v>64111000</v>
      </c>
      <c r="C1553" t="str">
        <f t="shared" si="106"/>
        <v>BEZI641110000</v>
      </c>
      <c r="E1553">
        <v>0</v>
      </c>
      <c r="F1553">
        <v>0</v>
      </c>
      <c r="G1553">
        <f t="shared" si="107"/>
        <v>0</v>
      </c>
    </row>
    <row r="1554" spans="1:9">
      <c r="A1554" t="str">
        <f>"BOI"</f>
        <v>BOI</v>
      </c>
      <c r="B1554" t="str">
        <f t="shared" si="108"/>
        <v>64111000</v>
      </c>
      <c r="C1554" t="str">
        <f t="shared" si="106"/>
        <v>BOI641110000</v>
      </c>
      <c r="E1554">
        <v>0</v>
      </c>
      <c r="F1554">
        <v>0</v>
      </c>
      <c r="G1554">
        <f t="shared" si="107"/>
        <v>0</v>
      </c>
    </row>
    <row r="1555" spans="1:9">
      <c r="A1555" t="str">
        <f>"BOS"</f>
        <v>BOS</v>
      </c>
      <c r="B1555" t="str">
        <f t="shared" si="108"/>
        <v>64111000</v>
      </c>
      <c r="C1555" t="str">
        <f t="shared" si="106"/>
        <v>BOS641110000</v>
      </c>
      <c r="E1555">
        <v>-700</v>
      </c>
      <c r="F1555">
        <v>0</v>
      </c>
      <c r="G1555">
        <f t="shared" si="107"/>
        <v>-700</v>
      </c>
    </row>
    <row r="1556" spans="1:9">
      <c r="A1556" t="str">
        <f>"BOU"</f>
        <v>BOU</v>
      </c>
      <c r="B1556" t="str">
        <f t="shared" si="108"/>
        <v>64111000</v>
      </c>
      <c r="C1556" t="str">
        <f t="shared" si="106"/>
        <v>BOU641110000</v>
      </c>
      <c r="E1556">
        <v>-1270</v>
      </c>
      <c r="F1556">
        <v>0</v>
      </c>
      <c r="G1556">
        <f t="shared" si="107"/>
        <v>-1270</v>
      </c>
    </row>
    <row r="1557" spans="1:9">
      <c r="A1557" t="str">
        <f>"BRE"</f>
        <v>BRE</v>
      </c>
      <c r="B1557" t="str">
        <f t="shared" si="108"/>
        <v>64111000</v>
      </c>
      <c r="C1557" t="str">
        <f t="shared" si="106"/>
        <v>BRE641110000</v>
      </c>
      <c r="E1557">
        <v>0</v>
      </c>
      <c r="F1557">
        <v>0</v>
      </c>
      <c r="G1557">
        <f t="shared" si="107"/>
        <v>0</v>
      </c>
    </row>
    <row r="1558" spans="1:9">
      <c r="A1558" t="str">
        <f>"CAL"</f>
        <v>CAL</v>
      </c>
      <c r="B1558" t="str">
        <f t="shared" si="108"/>
        <v>64111000</v>
      </c>
      <c r="C1558" t="str">
        <f t="shared" si="106"/>
        <v>CAL641110000</v>
      </c>
      <c r="E1558">
        <v>-200</v>
      </c>
      <c r="F1558">
        <v>0</v>
      </c>
      <c r="G1558">
        <f t="shared" si="107"/>
        <v>-200</v>
      </c>
    </row>
    <row r="1559" spans="1:9">
      <c r="A1559" t="str">
        <f>"CAM"</f>
        <v>CAM</v>
      </c>
      <c r="B1559" t="str">
        <f t="shared" si="108"/>
        <v>64111000</v>
      </c>
      <c r="C1559" t="str">
        <f t="shared" si="106"/>
        <v>CAM641110000</v>
      </c>
      <c r="E1559">
        <v>-105</v>
      </c>
      <c r="F1559">
        <v>0</v>
      </c>
      <c r="G1559">
        <f t="shared" si="107"/>
        <v>-105</v>
      </c>
    </row>
    <row r="1560" spans="1:9">
      <c r="A1560" t="str">
        <f>"CAU"</f>
        <v>CAU</v>
      </c>
      <c r="B1560" t="str">
        <f t="shared" si="108"/>
        <v>64111000</v>
      </c>
      <c r="C1560" t="str">
        <f t="shared" si="106"/>
        <v>CAU641110000</v>
      </c>
      <c r="E1560">
        <v>0</v>
      </c>
      <c r="F1560">
        <v>0</v>
      </c>
      <c r="G1560">
        <f t="shared" si="107"/>
        <v>0</v>
      </c>
    </row>
    <row r="1561" spans="1:9">
      <c r="A1561" t="str">
        <f>"CHA"</f>
        <v>CHA</v>
      </c>
      <c r="B1561" t="str">
        <f t="shared" si="108"/>
        <v>64111000</v>
      </c>
      <c r="C1561" t="str">
        <f t="shared" si="106"/>
        <v>CHA641110000</v>
      </c>
      <c r="E1561">
        <v>-100</v>
      </c>
      <c r="F1561">
        <v>0</v>
      </c>
      <c r="G1561">
        <f t="shared" si="107"/>
        <v>-100</v>
      </c>
    </row>
    <row r="1562" spans="1:9">
      <c r="A1562" t="str">
        <f>"CHAM"</f>
        <v>CHAM</v>
      </c>
      <c r="B1562" t="str">
        <f t="shared" si="108"/>
        <v>64111000</v>
      </c>
      <c r="C1562" t="str">
        <f t="shared" si="106"/>
        <v>CHAM641110000</v>
      </c>
      <c r="E1562">
        <v>-300</v>
      </c>
      <c r="F1562">
        <v>0</v>
      </c>
      <c r="G1562">
        <f t="shared" si="107"/>
        <v>-300</v>
      </c>
    </row>
    <row r="1563" spans="1:9">
      <c r="A1563" t="str">
        <f>"CHART"</f>
        <v>CHART</v>
      </c>
      <c r="B1563" t="str">
        <f t="shared" si="108"/>
        <v>64111000</v>
      </c>
      <c r="C1563" t="str">
        <f t="shared" si="106"/>
        <v>CHART641110000</v>
      </c>
      <c r="E1563">
        <v>-1057.1600000000001</v>
      </c>
      <c r="F1563">
        <v>0</v>
      </c>
      <c r="G1563">
        <f t="shared" si="107"/>
        <v>-1057.1600000000001</v>
      </c>
    </row>
    <row r="1564" spans="1:9">
      <c r="A1564" t="str">
        <f>"CLE"</f>
        <v>CLE</v>
      </c>
      <c r="B1564" t="str">
        <f t="shared" si="108"/>
        <v>64111000</v>
      </c>
      <c r="C1564" t="str">
        <f t="shared" si="106"/>
        <v>CLE641110000</v>
      </c>
      <c r="E1564">
        <v>-1550</v>
      </c>
      <c r="F1564">
        <v>0</v>
      </c>
      <c r="G1564">
        <f t="shared" si="107"/>
        <v>-1550</v>
      </c>
    </row>
    <row r="1565" spans="1:9">
      <c r="A1565" t="str">
        <f>"COM"</f>
        <v>COM</v>
      </c>
      <c r="B1565" t="str">
        <f t="shared" si="108"/>
        <v>64111000</v>
      </c>
      <c r="C1565" t="str">
        <f t="shared" si="106"/>
        <v>COM641110000</v>
      </c>
      <c r="E1565">
        <v>0</v>
      </c>
      <c r="F1565">
        <v>0</v>
      </c>
      <c r="G1565">
        <f t="shared" si="107"/>
        <v>0</v>
      </c>
    </row>
    <row r="1566" spans="1:9">
      <c r="A1566" t="str">
        <f>"CST"</f>
        <v>CST</v>
      </c>
      <c r="B1566" t="str">
        <f t="shared" si="108"/>
        <v>64111000</v>
      </c>
      <c r="C1566" t="str">
        <f t="shared" si="106"/>
        <v>CST641110000</v>
      </c>
      <c r="E1566">
        <v>-323.31</v>
      </c>
      <c r="F1566">
        <v>0</v>
      </c>
      <c r="G1566">
        <f t="shared" si="107"/>
        <v>-323.31</v>
      </c>
    </row>
    <row r="1567" spans="1:9">
      <c r="A1567" t="str">
        <f>"EU"</f>
        <v>EU</v>
      </c>
      <c r="B1567" t="str">
        <f t="shared" si="108"/>
        <v>64111000</v>
      </c>
      <c r="C1567" t="str">
        <f t="shared" si="106"/>
        <v>EU641110000</v>
      </c>
      <c r="E1567">
        <v>-262.5</v>
      </c>
      <c r="F1567">
        <v>0</v>
      </c>
      <c r="G1567">
        <f t="shared" si="107"/>
        <v>-262.5</v>
      </c>
      <c r="I1567" s="353"/>
    </row>
    <row r="1568" spans="1:9">
      <c r="A1568" t="str">
        <f>"GRE"</f>
        <v>GRE</v>
      </c>
      <c r="B1568" t="str">
        <f t="shared" si="108"/>
        <v>64111000</v>
      </c>
      <c r="C1568" t="str">
        <f t="shared" si="106"/>
        <v>GRE641110000</v>
      </c>
      <c r="E1568">
        <v>-6600</v>
      </c>
      <c r="F1568">
        <v>0</v>
      </c>
      <c r="G1568">
        <f t="shared" si="107"/>
        <v>-6600</v>
      </c>
    </row>
    <row r="1569" spans="1:7">
      <c r="A1569" t="str">
        <f>"LEN"</f>
        <v>LEN</v>
      </c>
      <c r="B1569" t="str">
        <f t="shared" si="108"/>
        <v>64111000</v>
      </c>
      <c r="C1569" t="str">
        <f t="shared" si="106"/>
        <v>LEN641110000</v>
      </c>
      <c r="E1569">
        <v>-507.32</v>
      </c>
      <c r="F1569">
        <v>0</v>
      </c>
      <c r="G1569">
        <f t="shared" si="107"/>
        <v>-507.32</v>
      </c>
    </row>
    <row r="1570" spans="1:7">
      <c r="A1570" t="str">
        <f>"LIL"</f>
        <v>LIL</v>
      </c>
      <c r="B1570" t="str">
        <f t="shared" si="108"/>
        <v>64111000</v>
      </c>
      <c r="C1570" t="str">
        <f t="shared" si="106"/>
        <v>LIL641110000</v>
      </c>
      <c r="E1570">
        <v>6675</v>
      </c>
      <c r="F1570">
        <v>0</v>
      </c>
      <c r="G1570">
        <f t="shared" si="107"/>
        <v>6675</v>
      </c>
    </row>
    <row r="1571" spans="1:7">
      <c r="A1571" t="str">
        <f>"MAD"</f>
        <v>MAD</v>
      </c>
      <c r="B1571" t="str">
        <f t="shared" si="108"/>
        <v>64111000</v>
      </c>
      <c r="C1571" t="str">
        <f t="shared" si="106"/>
        <v>MAD641110000</v>
      </c>
      <c r="E1571">
        <v>-3000</v>
      </c>
      <c r="F1571">
        <v>0</v>
      </c>
      <c r="G1571">
        <f t="shared" si="107"/>
        <v>-3000</v>
      </c>
    </row>
    <row r="1572" spans="1:7">
      <c r="A1572" t="str">
        <f>"MAR"</f>
        <v>MAR</v>
      </c>
      <c r="B1572" t="str">
        <f t="shared" si="108"/>
        <v>64111000</v>
      </c>
      <c r="C1572" t="str">
        <f t="shared" si="106"/>
        <v>MAR641110000</v>
      </c>
      <c r="E1572">
        <v>-150</v>
      </c>
      <c r="F1572">
        <v>0</v>
      </c>
      <c r="G1572">
        <f t="shared" si="107"/>
        <v>-150</v>
      </c>
    </row>
    <row r="1573" spans="1:7">
      <c r="A1573" t="str">
        <f>"MON"</f>
        <v>MON</v>
      </c>
      <c r="B1573" t="str">
        <f t="shared" si="108"/>
        <v>64111000</v>
      </c>
      <c r="C1573" t="str">
        <f t="shared" si="106"/>
        <v>MON641110000</v>
      </c>
      <c r="E1573">
        <v>-250</v>
      </c>
      <c r="F1573">
        <v>0</v>
      </c>
      <c r="G1573">
        <f t="shared" si="107"/>
        <v>-250</v>
      </c>
    </row>
    <row r="1574" spans="1:7">
      <c r="A1574" t="str">
        <f>"NAN"</f>
        <v>NAN</v>
      </c>
      <c r="B1574" t="str">
        <f t="shared" si="108"/>
        <v>64111000</v>
      </c>
      <c r="C1574" t="str">
        <f t="shared" si="106"/>
        <v>NAN641110000</v>
      </c>
      <c r="E1574">
        <v>-200</v>
      </c>
      <c r="F1574">
        <v>0</v>
      </c>
      <c r="G1574">
        <f t="shared" si="107"/>
        <v>-200</v>
      </c>
    </row>
    <row r="1575" spans="1:7">
      <c r="A1575" t="str">
        <f>"ORL"</f>
        <v>ORL</v>
      </c>
      <c r="B1575" t="str">
        <f t="shared" si="108"/>
        <v>64111000</v>
      </c>
      <c r="C1575" t="str">
        <f t="shared" si="106"/>
        <v>ORL641110000</v>
      </c>
      <c r="E1575">
        <v>-400</v>
      </c>
      <c r="F1575">
        <v>0</v>
      </c>
      <c r="G1575">
        <f t="shared" si="107"/>
        <v>-400</v>
      </c>
    </row>
    <row r="1576" spans="1:7">
      <c r="A1576" t="str">
        <f>"REN"</f>
        <v>REN</v>
      </c>
      <c r="B1576" t="str">
        <f t="shared" si="108"/>
        <v>64111000</v>
      </c>
      <c r="C1576" t="str">
        <f t="shared" si="106"/>
        <v>REN641110000</v>
      </c>
      <c r="E1576">
        <v>-550</v>
      </c>
      <c r="F1576">
        <v>0</v>
      </c>
      <c r="G1576">
        <f t="shared" si="107"/>
        <v>-550</v>
      </c>
    </row>
    <row r="1577" spans="1:7">
      <c r="A1577" t="str">
        <f>"ROA"</f>
        <v>ROA</v>
      </c>
      <c r="B1577" t="str">
        <f t="shared" si="108"/>
        <v>64111000</v>
      </c>
      <c r="C1577" t="str">
        <f t="shared" si="106"/>
        <v>ROA641110000</v>
      </c>
      <c r="E1577">
        <v>-3800</v>
      </c>
      <c r="F1577">
        <v>0</v>
      </c>
      <c r="G1577">
        <f t="shared" si="107"/>
        <v>-3800</v>
      </c>
    </row>
    <row r="1578" spans="1:7">
      <c r="A1578" t="str">
        <f>"THO"</f>
        <v>THO</v>
      </c>
      <c r="B1578" t="str">
        <f t="shared" si="108"/>
        <v>64111000</v>
      </c>
      <c r="C1578" t="str">
        <f t="shared" si="106"/>
        <v>THO641110000</v>
      </c>
      <c r="E1578">
        <v>-700</v>
      </c>
      <c r="F1578">
        <v>5350</v>
      </c>
      <c r="G1578">
        <f t="shared" si="107"/>
        <v>-6050</v>
      </c>
    </row>
    <row r="1579" spans="1:7">
      <c r="A1579" t="str">
        <f>"TOURC"</f>
        <v>TOURC</v>
      </c>
      <c r="B1579" t="str">
        <f t="shared" si="108"/>
        <v>64111000</v>
      </c>
      <c r="C1579" t="str">
        <f t="shared" si="106"/>
        <v>TOURC641110000</v>
      </c>
      <c r="E1579">
        <v>0</v>
      </c>
      <c r="F1579">
        <v>0</v>
      </c>
      <c r="G1579">
        <f t="shared" si="107"/>
        <v>0</v>
      </c>
    </row>
    <row r="1580" spans="1:7">
      <c r="A1580" t="str">
        <f>"VAN"</f>
        <v>VAN</v>
      </c>
      <c r="B1580" t="str">
        <f t="shared" si="108"/>
        <v>64111000</v>
      </c>
      <c r="C1580" t="str">
        <f t="shared" si="106"/>
        <v>VAN641110000</v>
      </c>
      <c r="E1580">
        <v>-1500</v>
      </c>
      <c r="F1580">
        <v>0</v>
      </c>
      <c r="G1580">
        <f t="shared" si="107"/>
        <v>-1500</v>
      </c>
    </row>
    <row r="1581" spans="1:7">
      <c r="A1581" t="str">
        <f>"BOU"</f>
        <v>BOU</v>
      </c>
      <c r="B1581" t="str">
        <f t="shared" ref="B1581:B1589" si="109">"64111100"</f>
        <v>64111100</v>
      </c>
      <c r="C1581" t="str">
        <f t="shared" si="106"/>
        <v>BOU641111000</v>
      </c>
      <c r="E1581">
        <v>100</v>
      </c>
      <c r="F1581">
        <v>0</v>
      </c>
      <c r="G1581">
        <f t="shared" si="107"/>
        <v>100</v>
      </c>
    </row>
    <row r="1582" spans="1:7">
      <c r="A1582" t="str">
        <f>"CHART"</f>
        <v>CHART</v>
      </c>
      <c r="B1582" t="str">
        <f t="shared" si="109"/>
        <v>64111100</v>
      </c>
      <c r="C1582" t="str">
        <f t="shared" si="106"/>
        <v>CHART641111000</v>
      </c>
      <c r="E1582">
        <v>272</v>
      </c>
      <c r="F1582">
        <v>0</v>
      </c>
      <c r="G1582">
        <f t="shared" si="107"/>
        <v>272</v>
      </c>
    </row>
    <row r="1583" spans="1:7">
      <c r="A1583" t="str">
        <f>"CLE"</f>
        <v>CLE</v>
      </c>
      <c r="B1583" t="str">
        <f t="shared" si="109"/>
        <v>64111100</v>
      </c>
      <c r="C1583" t="str">
        <f t="shared" si="106"/>
        <v>CLE641111000</v>
      </c>
      <c r="E1583">
        <v>275</v>
      </c>
      <c r="F1583">
        <v>0</v>
      </c>
      <c r="G1583">
        <f t="shared" si="107"/>
        <v>275</v>
      </c>
    </row>
    <row r="1584" spans="1:7">
      <c r="A1584" t="str">
        <f>"EU"</f>
        <v>EU</v>
      </c>
      <c r="B1584" t="str">
        <f t="shared" si="109"/>
        <v>64111100</v>
      </c>
      <c r="C1584" t="str">
        <f t="shared" si="106"/>
        <v>EU641111000</v>
      </c>
      <c r="E1584">
        <v>75</v>
      </c>
      <c r="F1584">
        <v>0</v>
      </c>
      <c r="G1584">
        <f t="shared" si="107"/>
        <v>75</v>
      </c>
    </row>
    <row r="1585" spans="1:9">
      <c r="A1585" t="str">
        <f>"LIL"</f>
        <v>LIL</v>
      </c>
      <c r="B1585" t="str">
        <f t="shared" si="109"/>
        <v>64111100</v>
      </c>
      <c r="C1585" t="str">
        <f t="shared" si="106"/>
        <v>LIL641111000</v>
      </c>
      <c r="E1585">
        <v>3391.59</v>
      </c>
      <c r="F1585">
        <v>0</v>
      </c>
      <c r="G1585">
        <f t="shared" si="107"/>
        <v>3391.59</v>
      </c>
    </row>
    <row r="1586" spans="1:9">
      <c r="A1586" t="str">
        <f>"MAD"</f>
        <v>MAD</v>
      </c>
      <c r="B1586" t="str">
        <f t="shared" si="109"/>
        <v>64111100</v>
      </c>
      <c r="C1586" t="str">
        <f t="shared" si="106"/>
        <v>MAD641111000</v>
      </c>
      <c r="E1586">
        <v>250</v>
      </c>
      <c r="F1586">
        <v>0</v>
      </c>
      <c r="G1586">
        <f t="shared" si="107"/>
        <v>250</v>
      </c>
      <c r="H1586" s="433"/>
      <c r="I1586" s="113"/>
    </row>
    <row r="1587" spans="1:9">
      <c r="A1587" t="str">
        <f>"ROA"</f>
        <v>ROA</v>
      </c>
      <c r="B1587" t="str">
        <f t="shared" si="109"/>
        <v>64111100</v>
      </c>
      <c r="C1587" t="str">
        <f t="shared" si="106"/>
        <v>ROA641111000</v>
      </c>
      <c r="E1587">
        <v>150</v>
      </c>
      <c r="F1587">
        <v>0</v>
      </c>
      <c r="G1587">
        <f t="shared" si="107"/>
        <v>150</v>
      </c>
    </row>
    <row r="1588" spans="1:9">
      <c r="A1588" t="str">
        <f>"SOM"</f>
        <v>SOM</v>
      </c>
      <c r="B1588" t="str">
        <f t="shared" si="109"/>
        <v>64111100</v>
      </c>
      <c r="C1588" t="str">
        <f t="shared" si="106"/>
        <v>SOM641111000</v>
      </c>
      <c r="E1588">
        <v>10048.73</v>
      </c>
      <c r="F1588">
        <v>0</v>
      </c>
      <c r="G1588">
        <f t="shared" si="107"/>
        <v>10048.73</v>
      </c>
    </row>
    <row r="1589" spans="1:9">
      <c r="A1589" t="str">
        <f>"TOURC"</f>
        <v>TOURC</v>
      </c>
      <c r="B1589" t="str">
        <f t="shared" si="109"/>
        <v>64111100</v>
      </c>
      <c r="C1589" t="str">
        <f t="shared" si="106"/>
        <v>TOURC641111000</v>
      </c>
      <c r="E1589">
        <v>539</v>
      </c>
      <c r="F1589">
        <v>0</v>
      </c>
      <c r="G1589">
        <f t="shared" si="107"/>
        <v>539</v>
      </c>
    </row>
    <row r="1590" spans="1:9">
      <c r="A1590" t="str">
        <f>"BET"</f>
        <v>BET</v>
      </c>
      <c r="B1590" t="str">
        <f>"64111200"</f>
        <v>64111200</v>
      </c>
      <c r="C1590" t="str">
        <f t="shared" si="106"/>
        <v>BET641112000</v>
      </c>
      <c r="E1590">
        <v>1620.86</v>
      </c>
      <c r="F1590">
        <v>0</v>
      </c>
      <c r="G1590">
        <f t="shared" si="107"/>
        <v>1620.86</v>
      </c>
    </row>
    <row r="1591" spans="1:9">
      <c r="A1591" t="str">
        <f>"EU"</f>
        <v>EU</v>
      </c>
      <c r="B1591" t="str">
        <f>"64111200"</f>
        <v>64111200</v>
      </c>
      <c r="C1591" t="str">
        <f t="shared" si="106"/>
        <v>EU641112000</v>
      </c>
      <c r="E1591">
        <v>538.75</v>
      </c>
      <c r="F1591">
        <v>0</v>
      </c>
      <c r="G1591">
        <f t="shared" si="107"/>
        <v>538.75</v>
      </c>
    </row>
    <row r="1592" spans="1:9">
      <c r="A1592" t="str">
        <f>"LEN"</f>
        <v>LEN</v>
      </c>
      <c r="B1592" t="str">
        <f>"64111200"</f>
        <v>64111200</v>
      </c>
      <c r="C1592" t="str">
        <f t="shared" si="106"/>
        <v>LEN641112000</v>
      </c>
      <c r="E1592">
        <v>1075.1300000000001</v>
      </c>
      <c r="F1592">
        <v>2150.2600000000002</v>
      </c>
      <c r="G1592">
        <f t="shared" si="107"/>
        <v>-1075.1300000000001</v>
      </c>
    </row>
    <row r="1593" spans="1:9">
      <c r="A1593" t="str">
        <f>"SOM"</f>
        <v>SOM</v>
      </c>
      <c r="B1593" t="str">
        <f>"64111200"</f>
        <v>64111200</v>
      </c>
      <c r="C1593" t="str">
        <f t="shared" si="106"/>
        <v>SOM641112000</v>
      </c>
      <c r="E1593">
        <v>877.09</v>
      </c>
      <c r="F1593">
        <v>0</v>
      </c>
      <c r="G1593">
        <f t="shared" si="107"/>
        <v>877.09</v>
      </c>
    </row>
    <row r="1594" spans="1:9">
      <c r="A1594" t="str">
        <f>"ANG"</f>
        <v>ANG</v>
      </c>
      <c r="B1594" t="str">
        <f>"64142000"</f>
        <v>64142000</v>
      </c>
      <c r="C1594" t="str">
        <f t="shared" si="106"/>
        <v>ANG641420000</v>
      </c>
      <c r="E1594">
        <v>124.5</v>
      </c>
      <c r="F1594">
        <v>0</v>
      </c>
      <c r="G1594">
        <f t="shared" si="107"/>
        <v>124.5</v>
      </c>
    </row>
    <row r="1595" spans="1:9">
      <c r="A1595" t="str">
        <f>"LIL"</f>
        <v>LIL</v>
      </c>
      <c r="B1595" t="str">
        <f>"64142000"</f>
        <v>64142000</v>
      </c>
      <c r="C1595" t="str">
        <f t="shared" si="106"/>
        <v>LIL641420000</v>
      </c>
      <c r="E1595">
        <v>546</v>
      </c>
      <c r="F1595">
        <v>0</v>
      </c>
      <c r="G1595">
        <f t="shared" si="107"/>
        <v>546</v>
      </c>
    </row>
    <row r="1596" spans="1:9">
      <c r="A1596" t="str">
        <f>"MAD"</f>
        <v>MAD</v>
      </c>
      <c r="B1596" t="str">
        <f>"64142000"</f>
        <v>64142000</v>
      </c>
      <c r="C1596" t="str">
        <f t="shared" si="106"/>
        <v>MAD641420000</v>
      </c>
      <c r="E1596">
        <v>160.4</v>
      </c>
      <c r="F1596">
        <v>0</v>
      </c>
      <c r="G1596">
        <f t="shared" si="107"/>
        <v>160.4</v>
      </c>
    </row>
    <row r="1597" spans="1:9">
      <c r="A1597" t="str">
        <f>"NAN"</f>
        <v>NAN</v>
      </c>
      <c r="B1597" t="str">
        <f>"64142000"</f>
        <v>64142000</v>
      </c>
      <c r="C1597" t="str">
        <f t="shared" si="106"/>
        <v>NAN641420000</v>
      </c>
      <c r="E1597">
        <v>55.85</v>
      </c>
      <c r="F1597">
        <v>0</v>
      </c>
      <c r="G1597">
        <f t="shared" si="107"/>
        <v>55.85</v>
      </c>
    </row>
    <row r="1598" spans="1:9">
      <c r="A1598" t="str">
        <f>"ANG"</f>
        <v>ANG</v>
      </c>
      <c r="B1598" t="str">
        <f t="shared" ref="B1598:B1604" si="110">"64160000"</f>
        <v>64160000</v>
      </c>
      <c r="C1598" t="str">
        <f t="shared" si="106"/>
        <v>ANG641600000</v>
      </c>
      <c r="E1598">
        <v>3500</v>
      </c>
      <c r="F1598">
        <v>0</v>
      </c>
      <c r="G1598">
        <f t="shared" si="107"/>
        <v>3500</v>
      </c>
    </row>
    <row r="1599" spans="1:9">
      <c r="A1599" t="str">
        <f>"CAM"</f>
        <v>CAM</v>
      </c>
      <c r="B1599" t="str">
        <f t="shared" si="110"/>
        <v>64160000</v>
      </c>
      <c r="C1599" t="str">
        <f t="shared" si="106"/>
        <v>CAM641600000</v>
      </c>
      <c r="E1599">
        <v>0</v>
      </c>
      <c r="F1599">
        <v>0</v>
      </c>
      <c r="G1599">
        <f t="shared" si="107"/>
        <v>0</v>
      </c>
    </row>
    <row r="1600" spans="1:9">
      <c r="A1600" t="str">
        <f>"COM"</f>
        <v>COM</v>
      </c>
      <c r="B1600" t="str">
        <f t="shared" si="110"/>
        <v>64160000</v>
      </c>
      <c r="C1600" t="str">
        <f t="shared" si="106"/>
        <v>COM641600000</v>
      </c>
      <c r="E1600">
        <v>-0.01</v>
      </c>
      <c r="F1600">
        <v>0</v>
      </c>
      <c r="G1600">
        <f t="shared" si="107"/>
        <v>-0.01</v>
      </c>
    </row>
    <row r="1601" spans="1:9">
      <c r="A1601" t="str">
        <f>"EU"</f>
        <v>EU</v>
      </c>
      <c r="B1601" t="str">
        <f t="shared" si="110"/>
        <v>64160000</v>
      </c>
      <c r="C1601" t="str">
        <f t="shared" si="106"/>
        <v>EU641600000</v>
      </c>
      <c r="E1601">
        <v>6996.05</v>
      </c>
      <c r="F1601">
        <v>0</v>
      </c>
      <c r="G1601">
        <f t="shared" si="107"/>
        <v>6996.05</v>
      </c>
    </row>
    <row r="1602" spans="1:9">
      <c r="A1602" t="str">
        <f>"LEN"</f>
        <v>LEN</v>
      </c>
      <c r="B1602" t="str">
        <f t="shared" si="110"/>
        <v>64160000</v>
      </c>
      <c r="C1602" t="str">
        <f t="shared" si="106"/>
        <v>LEN641600000</v>
      </c>
      <c r="E1602">
        <v>0</v>
      </c>
      <c r="F1602">
        <v>0</v>
      </c>
      <c r="G1602">
        <f t="shared" si="107"/>
        <v>0</v>
      </c>
    </row>
    <row r="1603" spans="1:9">
      <c r="A1603" t="str">
        <f>"MON"</f>
        <v>MON</v>
      </c>
      <c r="B1603" t="str">
        <f t="shared" si="110"/>
        <v>64160000</v>
      </c>
      <c r="C1603" t="str">
        <f t="shared" ref="C1603:C1666" si="111">+A1603&amp;B1603*10</f>
        <v>MON641600000</v>
      </c>
      <c r="E1603">
        <v>0</v>
      </c>
      <c r="F1603">
        <v>0</v>
      </c>
      <c r="G1603">
        <f t="shared" ref="G1603:G1666" si="112">+E1603-F1603</f>
        <v>0</v>
      </c>
    </row>
    <row r="1604" spans="1:9">
      <c r="A1604" t="str">
        <f>"TOURC"</f>
        <v>TOURC</v>
      </c>
      <c r="B1604" t="str">
        <f t="shared" si="110"/>
        <v>64160000</v>
      </c>
      <c r="C1604" t="str">
        <f t="shared" si="111"/>
        <v>TOURC641600000</v>
      </c>
      <c r="E1604">
        <v>1349.99</v>
      </c>
      <c r="F1604">
        <v>0</v>
      </c>
      <c r="G1604">
        <f t="shared" si="112"/>
        <v>1349.99</v>
      </c>
    </row>
    <row r="1605" spans="1:9">
      <c r="A1605" t="str">
        <f>"AMI"</f>
        <v>AMI</v>
      </c>
      <c r="B1605" t="str">
        <f t="shared" ref="B1605:B1636" si="113">"64510000"</f>
        <v>64510000</v>
      </c>
      <c r="C1605" t="str">
        <f t="shared" si="111"/>
        <v>AMI645100000</v>
      </c>
      <c r="E1605">
        <f>27769.66+H1605</f>
        <v>26608.28</v>
      </c>
      <c r="F1605">
        <v>28477.13</v>
      </c>
      <c r="G1605">
        <f t="shared" si="112"/>
        <v>-1868.8500000000022</v>
      </c>
      <c r="H1605">
        <f>-1393.66+232.28</f>
        <v>-1161.3800000000001</v>
      </c>
    </row>
    <row r="1606" spans="1:9">
      <c r="A1606" t="str">
        <f>"ANG"</f>
        <v>ANG</v>
      </c>
      <c r="B1606" t="str">
        <f t="shared" si="113"/>
        <v>64510000</v>
      </c>
      <c r="C1606" t="str">
        <f t="shared" si="111"/>
        <v>ANG645100000</v>
      </c>
      <c r="E1606">
        <v>30789.83</v>
      </c>
      <c r="F1606">
        <v>5917.12</v>
      </c>
      <c r="G1606">
        <f t="shared" si="112"/>
        <v>24872.710000000003</v>
      </c>
    </row>
    <row r="1607" spans="1:9">
      <c r="A1607" t="str">
        <f>"BET"</f>
        <v>BET</v>
      </c>
      <c r="B1607" t="str">
        <f t="shared" si="113"/>
        <v>64510000</v>
      </c>
      <c r="C1607" t="str">
        <f t="shared" si="111"/>
        <v>BET645100000</v>
      </c>
      <c r="E1607">
        <v>18458.98</v>
      </c>
      <c r="F1607">
        <v>0</v>
      </c>
      <c r="G1607">
        <f t="shared" si="112"/>
        <v>18458.98</v>
      </c>
    </row>
    <row r="1608" spans="1:9">
      <c r="A1608" t="str">
        <f>"BOI"</f>
        <v>BOI</v>
      </c>
      <c r="B1608" t="str">
        <f t="shared" si="113"/>
        <v>64510000</v>
      </c>
      <c r="C1608" t="str">
        <f t="shared" si="111"/>
        <v>BOI645100000</v>
      </c>
      <c r="E1608">
        <v>7844.82</v>
      </c>
      <c r="F1608">
        <v>0</v>
      </c>
      <c r="G1608">
        <f t="shared" si="112"/>
        <v>7844.82</v>
      </c>
    </row>
    <row r="1609" spans="1:9">
      <c r="A1609" t="str">
        <f>"BOS"</f>
        <v>BOS</v>
      </c>
      <c r="B1609" t="str">
        <f t="shared" si="113"/>
        <v>64510000</v>
      </c>
      <c r="C1609" t="str">
        <f t="shared" si="111"/>
        <v>BOS645100000</v>
      </c>
      <c r="E1609">
        <v>23291.16</v>
      </c>
      <c r="F1609">
        <v>0</v>
      </c>
      <c r="G1609">
        <f t="shared" si="112"/>
        <v>23291.16</v>
      </c>
    </row>
    <row r="1610" spans="1:9">
      <c r="A1610" t="str">
        <f>"BOU"</f>
        <v>BOU</v>
      </c>
      <c r="B1610" t="str">
        <f t="shared" si="113"/>
        <v>64510000</v>
      </c>
      <c r="C1610" t="str">
        <f t="shared" si="111"/>
        <v>BOU645100000</v>
      </c>
      <c r="E1610">
        <v>28313.14</v>
      </c>
      <c r="F1610">
        <v>8033.34</v>
      </c>
      <c r="G1610">
        <f t="shared" si="112"/>
        <v>20279.8</v>
      </c>
    </row>
    <row r="1611" spans="1:9">
      <c r="A1611" t="str">
        <f>"CAL"</f>
        <v>CAL</v>
      </c>
      <c r="B1611" t="str">
        <f t="shared" si="113"/>
        <v>64510000</v>
      </c>
      <c r="C1611" t="str">
        <f t="shared" si="111"/>
        <v>CAL645100000</v>
      </c>
      <c r="E1611">
        <v>19550.09</v>
      </c>
      <c r="F1611">
        <v>1080.08</v>
      </c>
      <c r="G1611">
        <f t="shared" si="112"/>
        <v>18470.010000000002</v>
      </c>
    </row>
    <row r="1612" spans="1:9">
      <c r="A1612" t="str">
        <f>"CAM"</f>
        <v>CAM</v>
      </c>
      <c r="B1612" t="str">
        <f t="shared" si="113"/>
        <v>64510000</v>
      </c>
      <c r="C1612" t="str">
        <f t="shared" si="111"/>
        <v>CAM645100000</v>
      </c>
      <c r="E1612" s="26">
        <f>17672.6+H1612</f>
        <v>24640.899999999998</v>
      </c>
      <c r="F1612">
        <v>13472.05</v>
      </c>
      <c r="G1612">
        <f t="shared" si="112"/>
        <v>11168.849999999999</v>
      </c>
      <c r="H1612" s="113">
        <f>13472.05-6503.75</f>
        <v>6968.2999999999993</v>
      </c>
      <c r="I1612" s="113"/>
    </row>
    <row r="1613" spans="1:9">
      <c r="A1613" t="str">
        <f>"CAU"</f>
        <v>CAU</v>
      </c>
      <c r="B1613" t="str">
        <f t="shared" si="113"/>
        <v>64510000</v>
      </c>
      <c r="C1613" t="str">
        <f t="shared" si="111"/>
        <v>CAU645100000</v>
      </c>
      <c r="E1613">
        <f>23243.49+H1613</f>
        <v>18597.96</v>
      </c>
      <c r="F1613">
        <v>0</v>
      </c>
      <c r="G1613">
        <f t="shared" si="112"/>
        <v>18597.96</v>
      </c>
      <c r="H1613">
        <f>-6968.3+2322.77</f>
        <v>-4645.5300000000007</v>
      </c>
    </row>
    <row r="1614" spans="1:9">
      <c r="A1614" t="str">
        <f>"CHA"</f>
        <v>CHA</v>
      </c>
      <c r="B1614" t="str">
        <f t="shared" si="113"/>
        <v>64510000</v>
      </c>
      <c r="C1614" t="str">
        <f t="shared" si="111"/>
        <v>CHA645100000</v>
      </c>
      <c r="E1614">
        <v>9628.5499999999993</v>
      </c>
      <c r="F1614">
        <v>0</v>
      </c>
      <c r="G1614">
        <f t="shared" si="112"/>
        <v>9628.5499999999993</v>
      </c>
    </row>
    <row r="1615" spans="1:9">
      <c r="A1615" t="str">
        <f>"CHAM"</f>
        <v>CHAM</v>
      </c>
      <c r="B1615" t="str">
        <f t="shared" si="113"/>
        <v>64510000</v>
      </c>
      <c r="C1615" t="str">
        <f t="shared" si="111"/>
        <v>CHAM645100000</v>
      </c>
      <c r="E1615">
        <v>19444.07</v>
      </c>
      <c r="F1615">
        <v>405.96</v>
      </c>
      <c r="G1615">
        <f t="shared" si="112"/>
        <v>19038.11</v>
      </c>
    </row>
    <row r="1616" spans="1:9">
      <c r="A1616" t="str">
        <f>"CHART"</f>
        <v>CHART</v>
      </c>
      <c r="B1616" t="str">
        <f t="shared" si="113"/>
        <v>64510000</v>
      </c>
      <c r="C1616" t="str">
        <f t="shared" si="111"/>
        <v>CHART645100000</v>
      </c>
      <c r="E1616">
        <v>16394.87</v>
      </c>
      <c r="F1616">
        <v>0</v>
      </c>
      <c r="G1616">
        <f t="shared" si="112"/>
        <v>16394.87</v>
      </c>
    </row>
    <row r="1617" spans="1:8">
      <c r="A1617" t="str">
        <f>"CLE"</f>
        <v>CLE</v>
      </c>
      <c r="B1617" t="str">
        <f t="shared" si="113"/>
        <v>64510000</v>
      </c>
      <c r="C1617" t="str">
        <f t="shared" si="111"/>
        <v>CLE645100000</v>
      </c>
      <c r="E1617">
        <v>42911.93</v>
      </c>
      <c r="F1617">
        <v>3553.39</v>
      </c>
      <c r="G1617">
        <f t="shared" si="112"/>
        <v>39358.54</v>
      </c>
    </row>
    <row r="1618" spans="1:8">
      <c r="A1618" t="str">
        <f>"COM"</f>
        <v>COM</v>
      </c>
      <c r="B1618" t="str">
        <f t="shared" si="113"/>
        <v>64510000</v>
      </c>
      <c r="C1618" t="str">
        <f t="shared" si="111"/>
        <v>COM645100000</v>
      </c>
      <c r="E1618">
        <f>18720.61+H1618</f>
        <v>17559.23</v>
      </c>
      <c r="F1618">
        <v>0</v>
      </c>
      <c r="G1618">
        <f t="shared" si="112"/>
        <v>17559.23</v>
      </c>
      <c r="H1618">
        <f>-1393.66+232.28</f>
        <v>-1161.3800000000001</v>
      </c>
    </row>
    <row r="1619" spans="1:8">
      <c r="A1619" t="str">
        <f>"CST"</f>
        <v>CST</v>
      </c>
      <c r="B1619" t="str">
        <f t="shared" si="113"/>
        <v>64510000</v>
      </c>
      <c r="C1619" t="str">
        <f t="shared" si="111"/>
        <v>CST645100000</v>
      </c>
      <c r="E1619">
        <v>20910.36</v>
      </c>
      <c r="F1619">
        <v>0</v>
      </c>
      <c r="G1619">
        <f t="shared" si="112"/>
        <v>20910.36</v>
      </c>
    </row>
    <row r="1620" spans="1:8">
      <c r="A1620" t="str">
        <f>"DIJ"</f>
        <v>DIJ</v>
      </c>
      <c r="B1620" t="str">
        <f t="shared" si="113"/>
        <v>64510000</v>
      </c>
      <c r="C1620" t="str">
        <f t="shared" si="111"/>
        <v>DIJ645100000</v>
      </c>
      <c r="E1620">
        <v>13299.45</v>
      </c>
      <c r="F1620">
        <v>0</v>
      </c>
      <c r="G1620">
        <f t="shared" si="112"/>
        <v>13299.45</v>
      </c>
    </row>
    <row r="1621" spans="1:8">
      <c r="A1621" t="str">
        <f>"EU"</f>
        <v>EU</v>
      </c>
      <c r="B1621" t="str">
        <f t="shared" si="113"/>
        <v>64510000</v>
      </c>
      <c r="C1621" t="str">
        <f t="shared" si="111"/>
        <v>EU645100000</v>
      </c>
      <c r="E1621">
        <v>29826.09</v>
      </c>
      <c r="F1621">
        <v>977.69</v>
      </c>
      <c r="G1621">
        <f t="shared" si="112"/>
        <v>28848.400000000001</v>
      </c>
    </row>
    <row r="1622" spans="1:8">
      <c r="A1622" t="str">
        <f>"GRE"</f>
        <v>GRE</v>
      </c>
      <c r="B1622" t="str">
        <f t="shared" si="113"/>
        <v>64510000</v>
      </c>
      <c r="C1622" t="str">
        <f t="shared" si="111"/>
        <v>GRE645100000</v>
      </c>
      <c r="E1622">
        <v>33524.17</v>
      </c>
      <c r="F1622">
        <v>1158.8900000000001</v>
      </c>
      <c r="G1622">
        <f t="shared" si="112"/>
        <v>32365.279999999999</v>
      </c>
    </row>
    <row r="1623" spans="1:8">
      <c r="A1623" t="str">
        <f>"LEN"</f>
        <v>LEN</v>
      </c>
      <c r="B1623" t="str">
        <f t="shared" si="113"/>
        <v>64510000</v>
      </c>
      <c r="C1623" t="str">
        <f t="shared" si="111"/>
        <v>LEN645100000</v>
      </c>
      <c r="E1623">
        <f>16443.39+H1623</f>
        <v>15178.56</v>
      </c>
      <c r="F1623">
        <v>2355.92</v>
      </c>
      <c r="G1623">
        <f t="shared" si="112"/>
        <v>12822.64</v>
      </c>
      <c r="H1623">
        <f>-1897.25+632.42</f>
        <v>-1264.83</v>
      </c>
    </row>
    <row r="1624" spans="1:8">
      <c r="A1624" t="str">
        <f>"LIL"</f>
        <v>LIL</v>
      </c>
      <c r="B1624" t="str">
        <f t="shared" si="113"/>
        <v>64510000</v>
      </c>
      <c r="C1624" t="str">
        <f t="shared" si="111"/>
        <v>LIL645100000</v>
      </c>
      <c r="E1624">
        <v>67022.5</v>
      </c>
      <c r="F1624">
        <v>0</v>
      </c>
      <c r="G1624">
        <f t="shared" si="112"/>
        <v>67022.5</v>
      </c>
    </row>
    <row r="1625" spans="1:8">
      <c r="A1625" t="str">
        <f>"MAD"</f>
        <v>MAD</v>
      </c>
      <c r="B1625" t="str">
        <f t="shared" si="113"/>
        <v>64510000</v>
      </c>
      <c r="C1625" t="str">
        <f t="shared" si="111"/>
        <v>MAD645100000</v>
      </c>
      <c r="E1625">
        <f>26130.64+H1625</f>
        <v>27395.47</v>
      </c>
      <c r="F1625">
        <v>5801.18</v>
      </c>
      <c r="G1625">
        <f t="shared" si="112"/>
        <v>21594.29</v>
      </c>
      <c r="H1625">
        <f>5059.33-3794.5</f>
        <v>1264.83</v>
      </c>
    </row>
    <row r="1626" spans="1:8">
      <c r="A1626" t="str">
        <f>"MAR"</f>
        <v>MAR</v>
      </c>
      <c r="B1626" t="str">
        <f t="shared" si="113"/>
        <v>64510000</v>
      </c>
      <c r="C1626" t="str">
        <f t="shared" si="111"/>
        <v>MAR645100000</v>
      </c>
      <c r="E1626">
        <v>5928.59</v>
      </c>
      <c r="F1626">
        <v>0</v>
      </c>
      <c r="G1626">
        <f t="shared" si="112"/>
        <v>5928.59</v>
      </c>
    </row>
    <row r="1627" spans="1:8">
      <c r="A1627" t="str">
        <f>"MON"</f>
        <v>MON</v>
      </c>
      <c r="B1627" t="str">
        <f t="shared" si="113"/>
        <v>64510000</v>
      </c>
      <c r="C1627" t="str">
        <f t="shared" si="111"/>
        <v>MON645100000</v>
      </c>
      <c r="E1627">
        <v>19589.87</v>
      </c>
      <c r="F1627">
        <v>0</v>
      </c>
      <c r="G1627">
        <f t="shared" si="112"/>
        <v>19589.87</v>
      </c>
    </row>
    <row r="1628" spans="1:8">
      <c r="A1628" t="str">
        <f>"NAN"</f>
        <v>NAN</v>
      </c>
      <c r="B1628" t="str">
        <f t="shared" si="113"/>
        <v>64510000</v>
      </c>
      <c r="C1628" t="str">
        <f t="shared" si="111"/>
        <v>NAN645100000</v>
      </c>
      <c r="E1628">
        <v>23873.93</v>
      </c>
      <c r="F1628">
        <v>0</v>
      </c>
      <c r="G1628">
        <f t="shared" si="112"/>
        <v>23873.93</v>
      </c>
    </row>
    <row r="1629" spans="1:8">
      <c r="A1629" t="str">
        <f>"ORL"</f>
        <v>ORL</v>
      </c>
      <c r="B1629" t="str">
        <f t="shared" si="113"/>
        <v>64510000</v>
      </c>
      <c r="C1629" t="str">
        <f t="shared" si="111"/>
        <v>ORL645100000</v>
      </c>
      <c r="E1629">
        <v>17290.72</v>
      </c>
      <c r="F1629">
        <v>0</v>
      </c>
      <c r="G1629">
        <f t="shared" si="112"/>
        <v>17290.72</v>
      </c>
    </row>
    <row r="1630" spans="1:8">
      <c r="A1630" t="str">
        <f>"REN"</f>
        <v>REN</v>
      </c>
      <c r="B1630" t="str">
        <f t="shared" si="113"/>
        <v>64510000</v>
      </c>
      <c r="C1630" t="str">
        <f t="shared" si="111"/>
        <v>REN645100000</v>
      </c>
      <c r="E1630">
        <v>11182.42</v>
      </c>
      <c r="F1630">
        <v>0</v>
      </c>
      <c r="G1630">
        <f t="shared" si="112"/>
        <v>11182.42</v>
      </c>
    </row>
    <row r="1631" spans="1:8">
      <c r="A1631" t="str">
        <f>"ROA"</f>
        <v>ROA</v>
      </c>
      <c r="B1631" t="str">
        <f t="shared" si="113"/>
        <v>64510000</v>
      </c>
      <c r="C1631" t="str">
        <f t="shared" si="111"/>
        <v>ROA645100000</v>
      </c>
      <c r="E1631">
        <v>29141.22</v>
      </c>
      <c r="F1631">
        <v>247.19</v>
      </c>
      <c r="G1631">
        <f t="shared" si="112"/>
        <v>28894.030000000002</v>
      </c>
    </row>
    <row r="1632" spans="1:8">
      <c r="A1632" t="str">
        <f>"SAU"</f>
        <v>SAU</v>
      </c>
      <c r="B1632" t="str">
        <f t="shared" si="113"/>
        <v>64510000</v>
      </c>
      <c r="C1632" t="str">
        <f t="shared" si="111"/>
        <v>SAU645100000</v>
      </c>
      <c r="E1632">
        <v>6070.35</v>
      </c>
      <c r="F1632">
        <v>0</v>
      </c>
      <c r="G1632">
        <f t="shared" si="112"/>
        <v>6070.35</v>
      </c>
    </row>
    <row r="1633" spans="1:7">
      <c r="A1633" t="str">
        <f>"SOM"</f>
        <v>SOM</v>
      </c>
      <c r="B1633" t="str">
        <f t="shared" si="113"/>
        <v>64510000</v>
      </c>
      <c r="C1633" t="str">
        <f t="shared" si="111"/>
        <v>SOM645100000</v>
      </c>
      <c r="E1633">
        <v>26292.97</v>
      </c>
      <c r="F1633">
        <v>1017.16</v>
      </c>
      <c r="G1633">
        <f t="shared" si="112"/>
        <v>25275.81</v>
      </c>
    </row>
    <row r="1634" spans="1:7">
      <c r="A1634" t="str">
        <f>"THO"</f>
        <v>THO</v>
      </c>
      <c r="B1634" t="str">
        <f t="shared" si="113"/>
        <v>64510000</v>
      </c>
      <c r="C1634" t="str">
        <f t="shared" si="111"/>
        <v>THO645100000</v>
      </c>
      <c r="E1634">
        <v>35888.99</v>
      </c>
      <c r="F1634">
        <v>17116.38</v>
      </c>
      <c r="G1634">
        <f t="shared" si="112"/>
        <v>18772.609999999997</v>
      </c>
    </row>
    <row r="1635" spans="1:7">
      <c r="A1635" t="str">
        <f>"TOURC"</f>
        <v>TOURC</v>
      </c>
      <c r="B1635" t="str">
        <f t="shared" si="113"/>
        <v>64510000</v>
      </c>
      <c r="C1635" t="str">
        <f t="shared" si="111"/>
        <v>TOURC645100000</v>
      </c>
      <c r="E1635">
        <v>8793.58</v>
      </c>
      <c r="F1635">
        <v>2605.9699999999998</v>
      </c>
      <c r="G1635">
        <f t="shared" si="112"/>
        <v>6187.6100000000006</v>
      </c>
    </row>
    <row r="1636" spans="1:7">
      <c r="A1636" t="str">
        <f>"VAN"</f>
        <v>VAN</v>
      </c>
      <c r="B1636" t="str">
        <f t="shared" si="113"/>
        <v>64510000</v>
      </c>
      <c r="C1636" t="str">
        <f t="shared" si="111"/>
        <v>VAN645100000</v>
      </c>
      <c r="E1636">
        <v>22674.21</v>
      </c>
      <c r="F1636">
        <v>4470.96</v>
      </c>
      <c r="G1636">
        <f t="shared" si="112"/>
        <v>18203.25</v>
      </c>
    </row>
    <row r="1637" spans="1:7">
      <c r="A1637" t="str">
        <f>"AMI"</f>
        <v>AMI</v>
      </c>
      <c r="B1637" t="str">
        <f t="shared" ref="B1637:B1668" si="114">"64520000"</f>
        <v>64520000</v>
      </c>
      <c r="C1637" t="str">
        <f t="shared" si="111"/>
        <v>AMI645200000</v>
      </c>
      <c r="E1637">
        <v>2891.42</v>
      </c>
      <c r="F1637">
        <v>0</v>
      </c>
      <c r="G1637">
        <f t="shared" si="112"/>
        <v>2891.42</v>
      </c>
    </row>
    <row r="1638" spans="1:7">
      <c r="A1638" t="str">
        <f>"ANG"</f>
        <v>ANG</v>
      </c>
      <c r="B1638" t="str">
        <f t="shared" si="114"/>
        <v>64520000</v>
      </c>
      <c r="C1638" t="str">
        <f t="shared" si="111"/>
        <v>ANG645200000</v>
      </c>
      <c r="E1638">
        <v>2921.67</v>
      </c>
      <c r="F1638">
        <v>0</v>
      </c>
      <c r="G1638">
        <f t="shared" si="112"/>
        <v>2921.67</v>
      </c>
    </row>
    <row r="1639" spans="1:7">
      <c r="A1639" t="str">
        <f>"BET"</f>
        <v>BET</v>
      </c>
      <c r="B1639" t="str">
        <f t="shared" si="114"/>
        <v>64520000</v>
      </c>
      <c r="C1639" t="str">
        <f t="shared" si="111"/>
        <v>BET645200000</v>
      </c>
      <c r="E1639">
        <v>1094.5</v>
      </c>
      <c r="F1639">
        <v>0</v>
      </c>
      <c r="G1639">
        <f t="shared" si="112"/>
        <v>1094.5</v>
      </c>
    </row>
    <row r="1640" spans="1:7">
      <c r="A1640" t="str">
        <f>"BOI"</f>
        <v>BOI</v>
      </c>
      <c r="B1640" t="str">
        <f t="shared" si="114"/>
        <v>64520000</v>
      </c>
      <c r="C1640" t="str">
        <f t="shared" si="111"/>
        <v>BOI645200000</v>
      </c>
      <c r="E1640">
        <v>457.2</v>
      </c>
      <c r="F1640">
        <v>0</v>
      </c>
      <c r="G1640">
        <f t="shared" si="112"/>
        <v>457.2</v>
      </c>
    </row>
    <row r="1641" spans="1:7">
      <c r="A1641" t="str">
        <f>"BOS"</f>
        <v>BOS</v>
      </c>
      <c r="B1641" t="str">
        <f t="shared" si="114"/>
        <v>64520000</v>
      </c>
      <c r="C1641" t="str">
        <f t="shared" si="111"/>
        <v>BOS645200000</v>
      </c>
      <c r="E1641">
        <v>3361.79</v>
      </c>
      <c r="F1641">
        <v>0</v>
      </c>
      <c r="G1641">
        <f t="shared" si="112"/>
        <v>3361.79</v>
      </c>
    </row>
    <row r="1642" spans="1:7">
      <c r="A1642" t="str">
        <f>"BOU"</f>
        <v>BOU</v>
      </c>
      <c r="B1642" t="str">
        <f t="shared" si="114"/>
        <v>64520000</v>
      </c>
      <c r="C1642" t="str">
        <f t="shared" si="111"/>
        <v>BOU645200000</v>
      </c>
      <c r="E1642">
        <v>3209.2</v>
      </c>
      <c r="F1642">
        <v>0</v>
      </c>
      <c r="G1642">
        <f t="shared" si="112"/>
        <v>3209.2</v>
      </c>
    </row>
    <row r="1643" spans="1:7">
      <c r="A1643" t="str">
        <f>"CAL"</f>
        <v>CAL</v>
      </c>
      <c r="B1643" t="str">
        <f t="shared" si="114"/>
        <v>64520000</v>
      </c>
      <c r="C1643" t="str">
        <f t="shared" si="111"/>
        <v>CAL645200000</v>
      </c>
      <c r="E1643">
        <v>1288.97</v>
      </c>
      <c r="F1643">
        <v>0</v>
      </c>
      <c r="G1643">
        <f t="shared" si="112"/>
        <v>1288.97</v>
      </c>
    </row>
    <row r="1644" spans="1:7">
      <c r="A1644" t="str">
        <f>"CAM"</f>
        <v>CAM</v>
      </c>
      <c r="B1644" t="str">
        <f t="shared" si="114"/>
        <v>64520000</v>
      </c>
      <c r="C1644" t="str">
        <f t="shared" si="111"/>
        <v>CAM645200000</v>
      </c>
      <c r="E1644">
        <v>1782.51</v>
      </c>
      <c r="F1644">
        <v>0</v>
      </c>
      <c r="G1644">
        <f t="shared" si="112"/>
        <v>1782.51</v>
      </c>
    </row>
    <row r="1645" spans="1:7">
      <c r="A1645" t="str">
        <f>"CAU"</f>
        <v>CAU</v>
      </c>
      <c r="B1645" t="str">
        <f t="shared" si="114"/>
        <v>64520000</v>
      </c>
      <c r="C1645" t="str">
        <f t="shared" si="111"/>
        <v>CAU645200000</v>
      </c>
      <c r="E1645">
        <v>1369.02</v>
      </c>
      <c r="F1645">
        <v>0</v>
      </c>
      <c r="G1645">
        <f t="shared" si="112"/>
        <v>1369.02</v>
      </c>
    </row>
    <row r="1646" spans="1:7">
      <c r="A1646" t="str">
        <f>"CHA"</f>
        <v>CHA</v>
      </c>
      <c r="B1646" t="str">
        <f t="shared" si="114"/>
        <v>64520000</v>
      </c>
      <c r="C1646" t="str">
        <f t="shared" si="111"/>
        <v>CHA645200000</v>
      </c>
      <c r="E1646">
        <v>1108.69</v>
      </c>
      <c r="F1646">
        <v>0</v>
      </c>
      <c r="G1646">
        <f t="shared" si="112"/>
        <v>1108.69</v>
      </c>
    </row>
    <row r="1647" spans="1:7">
      <c r="A1647" t="str">
        <f>"CHAM"</f>
        <v>CHAM</v>
      </c>
      <c r="B1647" t="str">
        <f t="shared" si="114"/>
        <v>64520000</v>
      </c>
      <c r="C1647" t="str">
        <f t="shared" si="111"/>
        <v>CHAM645200000</v>
      </c>
      <c r="E1647">
        <v>1152</v>
      </c>
      <c r="F1647">
        <v>0</v>
      </c>
      <c r="G1647">
        <f t="shared" si="112"/>
        <v>1152</v>
      </c>
    </row>
    <row r="1648" spans="1:7">
      <c r="A1648" t="str">
        <f>"CHART"</f>
        <v>CHART</v>
      </c>
      <c r="B1648" t="str">
        <f t="shared" si="114"/>
        <v>64520000</v>
      </c>
      <c r="C1648" t="str">
        <f t="shared" si="111"/>
        <v>CHART645200000</v>
      </c>
      <c r="E1648">
        <v>1712.09</v>
      </c>
      <c r="F1648">
        <v>0</v>
      </c>
      <c r="G1648">
        <f t="shared" si="112"/>
        <v>1712.09</v>
      </c>
    </row>
    <row r="1649" spans="1:7">
      <c r="A1649" t="str">
        <f>"CLE"</f>
        <v>CLE</v>
      </c>
      <c r="B1649" t="str">
        <f t="shared" si="114"/>
        <v>64520000</v>
      </c>
      <c r="C1649" t="str">
        <f t="shared" si="111"/>
        <v>CLE645200000</v>
      </c>
      <c r="E1649">
        <v>5502.75</v>
      </c>
      <c r="F1649">
        <v>0</v>
      </c>
      <c r="G1649">
        <f t="shared" si="112"/>
        <v>5502.75</v>
      </c>
    </row>
    <row r="1650" spans="1:7">
      <c r="A1650" t="str">
        <f>"COM"</f>
        <v>COM</v>
      </c>
      <c r="B1650" t="str">
        <f t="shared" si="114"/>
        <v>64520000</v>
      </c>
      <c r="C1650" t="str">
        <f t="shared" si="111"/>
        <v>COM645200000</v>
      </c>
      <c r="E1650">
        <v>2964.27</v>
      </c>
      <c r="F1650">
        <v>0</v>
      </c>
      <c r="G1650">
        <f t="shared" si="112"/>
        <v>2964.27</v>
      </c>
    </row>
    <row r="1651" spans="1:7">
      <c r="A1651" t="str">
        <f>"CST"</f>
        <v>CST</v>
      </c>
      <c r="B1651" t="str">
        <f t="shared" si="114"/>
        <v>64520000</v>
      </c>
      <c r="C1651" t="str">
        <f t="shared" si="111"/>
        <v>CST645200000</v>
      </c>
      <c r="E1651">
        <v>1846.02</v>
      </c>
      <c r="F1651">
        <v>0</v>
      </c>
      <c r="G1651">
        <f t="shared" si="112"/>
        <v>1846.02</v>
      </c>
    </row>
    <row r="1652" spans="1:7">
      <c r="A1652" t="str">
        <f>"DIJ"</f>
        <v>DIJ</v>
      </c>
      <c r="B1652" t="str">
        <f t="shared" si="114"/>
        <v>64520000</v>
      </c>
      <c r="C1652" t="str">
        <f t="shared" si="111"/>
        <v>DIJ645200000</v>
      </c>
      <c r="E1652">
        <v>1216.6600000000001</v>
      </c>
      <c r="F1652">
        <v>0</v>
      </c>
      <c r="G1652">
        <f t="shared" si="112"/>
        <v>1216.6600000000001</v>
      </c>
    </row>
    <row r="1653" spans="1:7">
      <c r="A1653" t="str">
        <f>"EU"</f>
        <v>EU</v>
      </c>
      <c r="B1653" t="str">
        <f t="shared" si="114"/>
        <v>64520000</v>
      </c>
      <c r="C1653" t="str">
        <f t="shared" si="111"/>
        <v>EU645200000</v>
      </c>
      <c r="E1653">
        <v>4869.88</v>
      </c>
      <c r="F1653">
        <v>18.73</v>
      </c>
      <c r="G1653">
        <f t="shared" si="112"/>
        <v>4851.1500000000005</v>
      </c>
    </row>
    <row r="1654" spans="1:7">
      <c r="A1654" t="str">
        <f>"GRE"</f>
        <v>GRE</v>
      </c>
      <c r="B1654" t="str">
        <f t="shared" si="114"/>
        <v>64520000</v>
      </c>
      <c r="C1654" t="str">
        <f t="shared" si="111"/>
        <v>GRE645200000</v>
      </c>
      <c r="E1654">
        <v>2567.6799999999998</v>
      </c>
      <c r="F1654">
        <v>0</v>
      </c>
      <c r="G1654">
        <f t="shared" si="112"/>
        <v>2567.6799999999998</v>
      </c>
    </row>
    <row r="1655" spans="1:7">
      <c r="A1655" t="str">
        <f>"LEN"</f>
        <v>LEN</v>
      </c>
      <c r="B1655" t="str">
        <f t="shared" si="114"/>
        <v>64520000</v>
      </c>
      <c r="C1655" t="str">
        <f t="shared" si="111"/>
        <v>LEN645200000</v>
      </c>
      <c r="E1655">
        <v>873.66</v>
      </c>
      <c r="F1655">
        <v>0</v>
      </c>
      <c r="G1655">
        <f t="shared" si="112"/>
        <v>873.66</v>
      </c>
    </row>
    <row r="1656" spans="1:7">
      <c r="A1656" t="str">
        <f>"LIL"</f>
        <v>LIL</v>
      </c>
      <c r="B1656" t="str">
        <f t="shared" si="114"/>
        <v>64520000</v>
      </c>
      <c r="C1656" t="str">
        <f t="shared" si="111"/>
        <v>LIL645200000</v>
      </c>
      <c r="E1656">
        <v>8437.1299999999992</v>
      </c>
      <c r="F1656">
        <v>0</v>
      </c>
      <c r="G1656">
        <f t="shared" si="112"/>
        <v>8437.1299999999992</v>
      </c>
    </row>
    <row r="1657" spans="1:7">
      <c r="A1657" t="str">
        <f>"MAD"</f>
        <v>MAD</v>
      </c>
      <c r="B1657" t="str">
        <f t="shared" si="114"/>
        <v>64520000</v>
      </c>
      <c r="C1657" t="str">
        <f t="shared" si="111"/>
        <v>MAD645200000</v>
      </c>
      <c r="E1657">
        <v>2567.94</v>
      </c>
      <c r="F1657">
        <v>0</v>
      </c>
      <c r="G1657">
        <f t="shared" si="112"/>
        <v>2567.94</v>
      </c>
    </row>
    <row r="1658" spans="1:7">
      <c r="A1658" t="str">
        <f>"MAR"</f>
        <v>MAR</v>
      </c>
      <c r="B1658" t="str">
        <f t="shared" si="114"/>
        <v>64520000</v>
      </c>
      <c r="C1658" t="str">
        <f t="shared" si="111"/>
        <v>MAR645200000</v>
      </c>
      <c r="E1658">
        <v>897.04</v>
      </c>
      <c r="F1658">
        <v>0</v>
      </c>
      <c r="G1658">
        <f t="shared" si="112"/>
        <v>897.04</v>
      </c>
    </row>
    <row r="1659" spans="1:7">
      <c r="A1659" t="str">
        <f>"MON"</f>
        <v>MON</v>
      </c>
      <c r="B1659" t="str">
        <f t="shared" si="114"/>
        <v>64520000</v>
      </c>
      <c r="C1659" t="str">
        <f t="shared" si="111"/>
        <v>MON645200000</v>
      </c>
      <c r="E1659">
        <v>1812.18</v>
      </c>
      <c r="F1659">
        <v>0</v>
      </c>
      <c r="G1659">
        <f t="shared" si="112"/>
        <v>1812.18</v>
      </c>
    </row>
    <row r="1660" spans="1:7">
      <c r="A1660" t="str">
        <f>"NAN"</f>
        <v>NAN</v>
      </c>
      <c r="B1660" t="str">
        <f t="shared" si="114"/>
        <v>64520000</v>
      </c>
      <c r="C1660" t="str">
        <f t="shared" si="111"/>
        <v>NAN645200000</v>
      </c>
      <c r="E1660">
        <v>2287.11</v>
      </c>
      <c r="F1660">
        <v>0</v>
      </c>
      <c r="G1660">
        <f t="shared" si="112"/>
        <v>2287.11</v>
      </c>
    </row>
    <row r="1661" spans="1:7">
      <c r="A1661" t="str">
        <f>"ORL"</f>
        <v>ORL</v>
      </c>
      <c r="B1661" t="str">
        <f t="shared" si="114"/>
        <v>64520000</v>
      </c>
      <c r="C1661" t="str">
        <f t="shared" si="111"/>
        <v>ORL645200000</v>
      </c>
      <c r="E1661">
        <v>2507.81</v>
      </c>
      <c r="F1661">
        <v>0</v>
      </c>
      <c r="G1661">
        <f t="shared" si="112"/>
        <v>2507.81</v>
      </c>
    </row>
    <row r="1662" spans="1:7">
      <c r="A1662" t="str">
        <f>"REN"</f>
        <v>REN</v>
      </c>
      <c r="B1662" t="str">
        <f t="shared" si="114"/>
        <v>64520000</v>
      </c>
      <c r="C1662" t="str">
        <f t="shared" si="111"/>
        <v>REN645200000</v>
      </c>
      <c r="E1662">
        <v>1165.79</v>
      </c>
      <c r="F1662">
        <v>0</v>
      </c>
      <c r="G1662">
        <f t="shared" si="112"/>
        <v>1165.79</v>
      </c>
    </row>
    <row r="1663" spans="1:7">
      <c r="A1663" t="str">
        <f>"ROA"</f>
        <v>ROA</v>
      </c>
      <c r="B1663" t="str">
        <f t="shared" si="114"/>
        <v>64520000</v>
      </c>
      <c r="C1663" t="str">
        <f t="shared" si="111"/>
        <v>ROA645200000</v>
      </c>
      <c r="E1663">
        <v>3454.63</v>
      </c>
      <c r="F1663">
        <v>0</v>
      </c>
      <c r="G1663">
        <f t="shared" si="112"/>
        <v>3454.63</v>
      </c>
    </row>
    <row r="1664" spans="1:7">
      <c r="A1664" t="str">
        <f>"SAU"</f>
        <v>SAU</v>
      </c>
      <c r="B1664" t="str">
        <f t="shared" si="114"/>
        <v>64520000</v>
      </c>
      <c r="C1664" t="str">
        <f t="shared" si="111"/>
        <v>SAU645200000</v>
      </c>
      <c r="E1664">
        <v>842.59</v>
      </c>
      <c r="F1664">
        <v>0</v>
      </c>
      <c r="G1664">
        <f t="shared" si="112"/>
        <v>842.59</v>
      </c>
    </row>
    <row r="1665" spans="1:12">
      <c r="A1665" t="str">
        <f>"SOM"</f>
        <v>SOM</v>
      </c>
      <c r="B1665" t="str">
        <f t="shared" si="114"/>
        <v>64520000</v>
      </c>
      <c r="C1665" t="str">
        <f t="shared" si="111"/>
        <v>SOM645200000</v>
      </c>
      <c r="E1665">
        <v>4098.8500000000004</v>
      </c>
      <c r="F1665">
        <v>0</v>
      </c>
      <c r="G1665">
        <f t="shared" si="112"/>
        <v>4098.8500000000004</v>
      </c>
    </row>
    <row r="1666" spans="1:12">
      <c r="A1666" t="str">
        <f>"THO"</f>
        <v>THO</v>
      </c>
      <c r="B1666" t="str">
        <f t="shared" si="114"/>
        <v>64520000</v>
      </c>
      <c r="C1666" t="str">
        <f t="shared" si="111"/>
        <v>THO645200000</v>
      </c>
      <c r="E1666">
        <v>3081.66</v>
      </c>
      <c r="F1666">
        <v>0</v>
      </c>
      <c r="G1666">
        <f t="shared" si="112"/>
        <v>3081.66</v>
      </c>
    </row>
    <row r="1667" spans="1:12">
      <c r="A1667" t="str">
        <f>"TOURC"</f>
        <v>TOURC</v>
      </c>
      <c r="B1667" t="str">
        <f t="shared" si="114"/>
        <v>64520000</v>
      </c>
      <c r="C1667" t="str">
        <f t="shared" ref="C1667:C1730" si="115">+A1667&amp;B1667*10</f>
        <v>TOURC645200000</v>
      </c>
      <c r="E1667">
        <v>571.54</v>
      </c>
      <c r="F1667">
        <v>0</v>
      </c>
      <c r="G1667">
        <f t="shared" ref="G1667:G1730" si="116">+E1667-F1667</f>
        <v>571.54</v>
      </c>
    </row>
    <row r="1668" spans="1:12">
      <c r="A1668" t="str">
        <f>"VAN"</f>
        <v>VAN</v>
      </c>
      <c r="B1668" t="str">
        <f t="shared" si="114"/>
        <v>64520000</v>
      </c>
      <c r="C1668" t="str">
        <f t="shared" si="115"/>
        <v>VAN645200000</v>
      </c>
      <c r="E1668">
        <v>2659.28</v>
      </c>
      <c r="F1668">
        <v>0</v>
      </c>
      <c r="G1668">
        <f t="shared" si="116"/>
        <v>2659.28</v>
      </c>
    </row>
    <row r="1669" spans="1:12">
      <c r="A1669" t="str">
        <f>"AMI"</f>
        <v>AMI</v>
      </c>
      <c r="B1669" t="str">
        <f t="shared" ref="B1669:B1700" si="117">"64530000"</f>
        <v>64530000</v>
      </c>
      <c r="C1669" t="str">
        <f t="shared" si="115"/>
        <v>AMI645300000</v>
      </c>
      <c r="E1669">
        <v>9015.1299999999992</v>
      </c>
      <c r="F1669">
        <v>0</v>
      </c>
      <c r="G1669">
        <f t="shared" si="116"/>
        <v>9015.1299999999992</v>
      </c>
    </row>
    <row r="1670" spans="1:12">
      <c r="A1670" t="str">
        <f>"ANG"</f>
        <v>ANG</v>
      </c>
      <c r="B1670" t="str">
        <f t="shared" si="117"/>
        <v>64530000</v>
      </c>
      <c r="C1670" t="str">
        <f t="shared" si="115"/>
        <v>ANG645300000</v>
      </c>
      <c r="E1670">
        <v>6695.42</v>
      </c>
      <c r="F1670">
        <v>0</v>
      </c>
      <c r="G1670">
        <f t="shared" si="116"/>
        <v>6695.42</v>
      </c>
      <c r="J1670" s="26"/>
      <c r="L1670" s="353"/>
    </row>
    <row r="1671" spans="1:12">
      <c r="A1671" t="str">
        <f>"BET"</f>
        <v>BET</v>
      </c>
      <c r="B1671" t="str">
        <f t="shared" si="117"/>
        <v>64530000</v>
      </c>
      <c r="C1671" t="str">
        <f t="shared" si="115"/>
        <v>BET645300000</v>
      </c>
      <c r="E1671">
        <v>2770.86</v>
      </c>
      <c r="F1671">
        <v>0</v>
      </c>
      <c r="G1671">
        <f t="shared" si="116"/>
        <v>2770.86</v>
      </c>
      <c r="L1671" s="353"/>
    </row>
    <row r="1672" spans="1:12">
      <c r="A1672" t="str">
        <f>"BOI"</f>
        <v>BOI</v>
      </c>
      <c r="B1672" t="str">
        <f t="shared" si="117"/>
        <v>64530000</v>
      </c>
      <c r="C1672" t="str">
        <f t="shared" si="115"/>
        <v>BOI645300000</v>
      </c>
      <c r="E1672">
        <v>817.95</v>
      </c>
      <c r="F1672">
        <v>0</v>
      </c>
      <c r="G1672">
        <f t="shared" si="116"/>
        <v>817.95</v>
      </c>
    </row>
    <row r="1673" spans="1:12">
      <c r="A1673" t="str">
        <f>"BOS"</f>
        <v>BOS</v>
      </c>
      <c r="B1673" t="str">
        <f t="shared" si="117"/>
        <v>64530000</v>
      </c>
      <c r="C1673" t="str">
        <f t="shared" si="115"/>
        <v>BOS645300000</v>
      </c>
      <c r="E1673">
        <v>5604.62</v>
      </c>
      <c r="F1673">
        <v>0</v>
      </c>
      <c r="G1673">
        <f t="shared" si="116"/>
        <v>5604.62</v>
      </c>
      <c r="K1673" s="26"/>
    </row>
    <row r="1674" spans="1:12">
      <c r="A1674" t="str">
        <f>"BOU"</f>
        <v>BOU</v>
      </c>
      <c r="B1674" t="str">
        <f t="shared" si="117"/>
        <v>64530000</v>
      </c>
      <c r="C1674" t="str">
        <f t="shared" si="115"/>
        <v>BOU645300000</v>
      </c>
      <c r="E1674">
        <v>6878.08</v>
      </c>
      <c r="F1674">
        <v>0</v>
      </c>
      <c r="G1674">
        <f t="shared" si="116"/>
        <v>6878.08</v>
      </c>
    </row>
    <row r="1675" spans="1:12">
      <c r="A1675" t="str">
        <f>"CAL"</f>
        <v>CAL</v>
      </c>
      <c r="B1675" t="str">
        <f t="shared" si="117"/>
        <v>64530000</v>
      </c>
      <c r="C1675" t="str">
        <f t="shared" si="115"/>
        <v>CAL645300000</v>
      </c>
      <c r="E1675">
        <v>3097.16</v>
      </c>
      <c r="F1675">
        <v>0</v>
      </c>
      <c r="G1675">
        <f t="shared" si="116"/>
        <v>3097.16</v>
      </c>
    </row>
    <row r="1676" spans="1:12">
      <c r="A1676" t="str">
        <f>"CAM"</f>
        <v>CAM</v>
      </c>
      <c r="B1676" t="str">
        <f t="shared" si="117"/>
        <v>64530000</v>
      </c>
      <c r="C1676" t="str">
        <f t="shared" si="115"/>
        <v>CAM645300000</v>
      </c>
      <c r="E1676">
        <v>3846.97</v>
      </c>
      <c r="F1676">
        <v>0</v>
      </c>
      <c r="G1676">
        <f t="shared" si="116"/>
        <v>3846.97</v>
      </c>
    </row>
    <row r="1677" spans="1:12">
      <c r="A1677" t="str">
        <f>"CAU"</f>
        <v>CAU</v>
      </c>
      <c r="B1677" t="str">
        <f t="shared" si="117"/>
        <v>64530000</v>
      </c>
      <c r="C1677" t="str">
        <f t="shared" si="115"/>
        <v>CAU645300000</v>
      </c>
      <c r="E1677">
        <v>3509.12</v>
      </c>
      <c r="F1677">
        <v>0</v>
      </c>
      <c r="G1677">
        <f t="shared" si="116"/>
        <v>3509.12</v>
      </c>
    </row>
    <row r="1678" spans="1:12">
      <c r="A1678" t="str">
        <f>"CHA"</f>
        <v>CHA</v>
      </c>
      <c r="B1678" t="str">
        <f t="shared" si="117"/>
        <v>64530000</v>
      </c>
      <c r="C1678" t="str">
        <f t="shared" si="115"/>
        <v>CHA645300000</v>
      </c>
      <c r="E1678">
        <v>2438.15</v>
      </c>
      <c r="F1678">
        <v>0</v>
      </c>
      <c r="G1678">
        <f t="shared" si="116"/>
        <v>2438.15</v>
      </c>
    </row>
    <row r="1679" spans="1:12">
      <c r="A1679" t="str">
        <f>"CHAM"</f>
        <v>CHAM</v>
      </c>
      <c r="B1679" t="str">
        <f t="shared" si="117"/>
        <v>64530000</v>
      </c>
      <c r="C1679" t="str">
        <f t="shared" si="115"/>
        <v>CHAM645300000</v>
      </c>
      <c r="E1679">
        <v>3562.81</v>
      </c>
      <c r="F1679">
        <v>77.14</v>
      </c>
      <c r="G1679">
        <f t="shared" si="116"/>
        <v>3485.67</v>
      </c>
    </row>
    <row r="1680" spans="1:12">
      <c r="A1680" t="str">
        <f>"CHART"</f>
        <v>CHART</v>
      </c>
      <c r="B1680" t="str">
        <f t="shared" si="117"/>
        <v>64530000</v>
      </c>
      <c r="C1680" t="str">
        <f t="shared" si="115"/>
        <v>CHART645300000</v>
      </c>
      <c r="E1680">
        <v>4050.24</v>
      </c>
      <c r="F1680">
        <v>0</v>
      </c>
      <c r="G1680">
        <f t="shared" si="116"/>
        <v>4050.24</v>
      </c>
    </row>
    <row r="1681" spans="1:7">
      <c r="A1681" t="str">
        <f>"CLE"</f>
        <v>CLE</v>
      </c>
      <c r="B1681" t="str">
        <f t="shared" si="117"/>
        <v>64530000</v>
      </c>
      <c r="C1681" t="str">
        <f t="shared" si="115"/>
        <v>CLE645300000</v>
      </c>
      <c r="E1681">
        <v>11887.93</v>
      </c>
      <c r="F1681">
        <v>0</v>
      </c>
      <c r="G1681">
        <f t="shared" si="116"/>
        <v>11887.93</v>
      </c>
    </row>
    <row r="1682" spans="1:7">
      <c r="A1682" t="str">
        <f>"COM"</f>
        <v>COM</v>
      </c>
      <c r="B1682" t="str">
        <f t="shared" si="117"/>
        <v>64530000</v>
      </c>
      <c r="C1682" t="str">
        <f t="shared" si="115"/>
        <v>COM645300000</v>
      </c>
      <c r="E1682">
        <v>3673.94</v>
      </c>
      <c r="F1682">
        <v>0</v>
      </c>
      <c r="G1682">
        <f t="shared" si="116"/>
        <v>3673.94</v>
      </c>
    </row>
    <row r="1683" spans="1:7">
      <c r="A1683" t="str">
        <f>"CST"</f>
        <v>CST</v>
      </c>
      <c r="B1683" t="str">
        <f t="shared" si="117"/>
        <v>64530000</v>
      </c>
      <c r="C1683" t="str">
        <f t="shared" si="115"/>
        <v>CST645300000</v>
      </c>
      <c r="E1683">
        <v>4441.09</v>
      </c>
      <c r="F1683">
        <v>0</v>
      </c>
      <c r="G1683">
        <f t="shared" si="116"/>
        <v>4441.09</v>
      </c>
    </row>
    <row r="1684" spans="1:7">
      <c r="A1684" t="str">
        <f>"DIJ"</f>
        <v>DIJ</v>
      </c>
      <c r="B1684" t="str">
        <f t="shared" si="117"/>
        <v>64530000</v>
      </c>
      <c r="C1684" t="str">
        <f t="shared" si="115"/>
        <v>DIJ645300000</v>
      </c>
      <c r="E1684">
        <v>2775.03</v>
      </c>
      <c r="F1684">
        <v>0</v>
      </c>
      <c r="G1684">
        <f t="shared" si="116"/>
        <v>2775.03</v>
      </c>
    </row>
    <row r="1685" spans="1:7">
      <c r="A1685" t="str">
        <f>"EU"</f>
        <v>EU</v>
      </c>
      <c r="B1685" t="str">
        <f t="shared" si="117"/>
        <v>64530000</v>
      </c>
      <c r="C1685" t="str">
        <f t="shared" si="115"/>
        <v>EU645300000</v>
      </c>
      <c r="E1685">
        <v>7922.98</v>
      </c>
      <c r="F1685">
        <v>183.06</v>
      </c>
      <c r="G1685">
        <f t="shared" si="116"/>
        <v>7739.9199999999992</v>
      </c>
    </row>
    <row r="1686" spans="1:7">
      <c r="A1686" t="str">
        <f>"GRE"</f>
        <v>GRE</v>
      </c>
      <c r="B1686" t="str">
        <f t="shared" si="117"/>
        <v>64530000</v>
      </c>
      <c r="C1686" t="str">
        <f t="shared" si="115"/>
        <v>GRE645300000</v>
      </c>
      <c r="E1686">
        <v>8354.91</v>
      </c>
      <c r="F1686">
        <v>0</v>
      </c>
      <c r="G1686">
        <f t="shared" si="116"/>
        <v>8354.91</v>
      </c>
    </row>
    <row r="1687" spans="1:7">
      <c r="A1687" t="str">
        <f>"LEN"</f>
        <v>LEN</v>
      </c>
      <c r="B1687" t="str">
        <f t="shared" si="117"/>
        <v>64530000</v>
      </c>
      <c r="C1687" t="str">
        <f t="shared" si="115"/>
        <v>LEN645300000</v>
      </c>
      <c r="E1687">
        <v>1902.49</v>
      </c>
      <c r="F1687">
        <v>0</v>
      </c>
      <c r="G1687">
        <f t="shared" si="116"/>
        <v>1902.49</v>
      </c>
    </row>
    <row r="1688" spans="1:7">
      <c r="A1688" t="str">
        <f>"LIL"</f>
        <v>LIL</v>
      </c>
      <c r="B1688" t="str">
        <f t="shared" si="117"/>
        <v>64530000</v>
      </c>
      <c r="C1688" t="str">
        <f t="shared" si="115"/>
        <v>LIL645300000</v>
      </c>
      <c r="E1688">
        <v>17969.830000000002</v>
      </c>
      <c r="F1688">
        <v>0</v>
      </c>
      <c r="G1688">
        <f t="shared" si="116"/>
        <v>17969.830000000002</v>
      </c>
    </row>
    <row r="1689" spans="1:7">
      <c r="A1689" t="str">
        <f>"MAD"</f>
        <v>MAD</v>
      </c>
      <c r="B1689" t="str">
        <f t="shared" si="117"/>
        <v>64530000</v>
      </c>
      <c r="C1689" t="str">
        <f t="shared" si="115"/>
        <v>MAD645300000</v>
      </c>
      <c r="E1689">
        <v>6174.2</v>
      </c>
      <c r="F1689">
        <v>0</v>
      </c>
      <c r="G1689">
        <f t="shared" si="116"/>
        <v>6174.2</v>
      </c>
    </row>
    <row r="1690" spans="1:7">
      <c r="A1690" t="str">
        <f>"MAR"</f>
        <v>MAR</v>
      </c>
      <c r="B1690" t="str">
        <f t="shared" si="117"/>
        <v>64530000</v>
      </c>
      <c r="C1690" t="str">
        <f t="shared" si="115"/>
        <v>MAR645300000</v>
      </c>
      <c r="E1690">
        <v>1513.46</v>
      </c>
      <c r="F1690">
        <v>0</v>
      </c>
      <c r="G1690">
        <f t="shared" si="116"/>
        <v>1513.46</v>
      </c>
    </row>
    <row r="1691" spans="1:7">
      <c r="A1691" t="str">
        <f>"MON"</f>
        <v>MON</v>
      </c>
      <c r="B1691" t="str">
        <f t="shared" si="117"/>
        <v>64530000</v>
      </c>
      <c r="C1691" t="str">
        <f t="shared" si="115"/>
        <v>MON645300000</v>
      </c>
      <c r="E1691">
        <v>4218.96</v>
      </c>
      <c r="F1691">
        <v>0</v>
      </c>
      <c r="G1691">
        <f t="shared" si="116"/>
        <v>4218.96</v>
      </c>
    </row>
    <row r="1692" spans="1:7">
      <c r="A1692" t="str">
        <f>"NAN"</f>
        <v>NAN</v>
      </c>
      <c r="B1692" t="str">
        <f t="shared" si="117"/>
        <v>64530000</v>
      </c>
      <c r="C1692" t="str">
        <f t="shared" si="115"/>
        <v>NAN645300000</v>
      </c>
      <c r="E1692">
        <v>5400.48</v>
      </c>
      <c r="F1692">
        <v>0</v>
      </c>
      <c r="G1692">
        <f t="shared" si="116"/>
        <v>5400.48</v>
      </c>
    </row>
    <row r="1693" spans="1:7">
      <c r="A1693" t="str">
        <f>"ORL"</f>
        <v>ORL</v>
      </c>
      <c r="B1693" t="str">
        <f t="shared" si="117"/>
        <v>64530000</v>
      </c>
      <c r="C1693" t="str">
        <f t="shared" si="115"/>
        <v>ORL645300000</v>
      </c>
      <c r="E1693">
        <v>4528.1400000000003</v>
      </c>
      <c r="F1693">
        <v>0</v>
      </c>
      <c r="G1693">
        <f t="shared" si="116"/>
        <v>4528.1400000000003</v>
      </c>
    </row>
    <row r="1694" spans="1:7">
      <c r="A1694" t="str">
        <f>"REN"</f>
        <v>REN</v>
      </c>
      <c r="B1694" t="str">
        <f t="shared" si="117"/>
        <v>64530000</v>
      </c>
      <c r="C1694" t="str">
        <f t="shared" si="115"/>
        <v>REN645300000</v>
      </c>
      <c r="E1694">
        <v>2693.82</v>
      </c>
      <c r="F1694">
        <v>0</v>
      </c>
      <c r="G1694">
        <f t="shared" si="116"/>
        <v>2693.82</v>
      </c>
    </row>
    <row r="1695" spans="1:7">
      <c r="A1695" t="str">
        <f>"ROA"</f>
        <v>ROA</v>
      </c>
      <c r="B1695" t="str">
        <f t="shared" si="117"/>
        <v>64530000</v>
      </c>
      <c r="C1695" t="str">
        <f t="shared" si="115"/>
        <v>ROA645300000</v>
      </c>
      <c r="E1695">
        <v>7249.11</v>
      </c>
      <c r="F1695">
        <v>47.07</v>
      </c>
      <c r="G1695">
        <f t="shared" si="116"/>
        <v>7202.04</v>
      </c>
    </row>
    <row r="1696" spans="1:7">
      <c r="A1696" t="str">
        <f>"SAU"</f>
        <v>SAU</v>
      </c>
      <c r="B1696" t="str">
        <f t="shared" si="117"/>
        <v>64530000</v>
      </c>
      <c r="C1696" t="str">
        <f t="shared" si="115"/>
        <v>SAU645300000</v>
      </c>
      <c r="E1696">
        <v>1344.36</v>
      </c>
      <c r="F1696">
        <v>0</v>
      </c>
      <c r="G1696">
        <f t="shared" si="116"/>
        <v>1344.36</v>
      </c>
    </row>
    <row r="1697" spans="1:7">
      <c r="A1697" t="str">
        <f>"SOM"</f>
        <v>SOM</v>
      </c>
      <c r="B1697" t="str">
        <f t="shared" si="117"/>
        <v>64530000</v>
      </c>
      <c r="C1697" t="str">
        <f t="shared" si="115"/>
        <v>SOM645300000</v>
      </c>
      <c r="E1697">
        <v>7848.06</v>
      </c>
      <c r="F1697">
        <v>188.38</v>
      </c>
      <c r="G1697">
        <f t="shared" si="116"/>
        <v>7659.68</v>
      </c>
    </row>
    <row r="1698" spans="1:7">
      <c r="A1698" t="str">
        <f>"THO"</f>
        <v>THO</v>
      </c>
      <c r="B1698" t="str">
        <f t="shared" si="117"/>
        <v>64530000</v>
      </c>
      <c r="C1698" t="str">
        <f t="shared" si="115"/>
        <v>THO645300000</v>
      </c>
      <c r="E1698">
        <v>8728.02</v>
      </c>
      <c r="F1698">
        <v>0</v>
      </c>
      <c r="G1698">
        <f t="shared" si="116"/>
        <v>8728.02</v>
      </c>
    </row>
    <row r="1699" spans="1:7">
      <c r="A1699" t="str">
        <f>"TOURC"</f>
        <v>TOURC</v>
      </c>
      <c r="B1699" t="str">
        <f t="shared" si="117"/>
        <v>64530000</v>
      </c>
      <c r="C1699" t="str">
        <f t="shared" si="115"/>
        <v>TOURC645300000</v>
      </c>
      <c r="E1699">
        <v>1489.03</v>
      </c>
      <c r="F1699">
        <v>0</v>
      </c>
      <c r="G1699">
        <f t="shared" si="116"/>
        <v>1489.03</v>
      </c>
    </row>
    <row r="1700" spans="1:7">
      <c r="A1700" t="str">
        <f>"VAN"</f>
        <v>VAN</v>
      </c>
      <c r="B1700" t="str">
        <f t="shared" si="117"/>
        <v>64530000</v>
      </c>
      <c r="C1700" t="str">
        <f t="shared" si="115"/>
        <v>VAN645300000</v>
      </c>
      <c r="E1700">
        <v>6474.33</v>
      </c>
      <c r="F1700">
        <v>0</v>
      </c>
      <c r="G1700">
        <f t="shared" si="116"/>
        <v>6474.33</v>
      </c>
    </row>
    <row r="1701" spans="1:7">
      <c r="A1701" t="str">
        <f>"AMI"</f>
        <v>AMI</v>
      </c>
      <c r="B1701" t="str">
        <f>"64531000"</f>
        <v>64531000</v>
      </c>
      <c r="C1701" t="str">
        <f t="shared" si="115"/>
        <v>AMI645310000</v>
      </c>
      <c r="E1701">
        <v>259.64999999999998</v>
      </c>
      <c r="F1701">
        <v>0</v>
      </c>
      <c r="G1701">
        <f t="shared" si="116"/>
        <v>259.64999999999998</v>
      </c>
    </row>
    <row r="1702" spans="1:7">
      <c r="A1702" t="str">
        <f>"LIL"</f>
        <v>LIL</v>
      </c>
      <c r="B1702" t="str">
        <f>"64531000"</f>
        <v>64531000</v>
      </c>
      <c r="C1702" t="str">
        <f t="shared" si="115"/>
        <v>LIL645310000</v>
      </c>
      <c r="E1702">
        <v>1.1299999999999999</v>
      </c>
      <c r="F1702">
        <v>0</v>
      </c>
      <c r="G1702">
        <f t="shared" si="116"/>
        <v>1.1299999999999999</v>
      </c>
    </row>
    <row r="1703" spans="1:7">
      <c r="A1703" t="str">
        <f>"THO"</f>
        <v>THO</v>
      </c>
      <c r="B1703" t="str">
        <f>"64531000"</f>
        <v>64531000</v>
      </c>
      <c r="C1703" t="str">
        <f t="shared" si="115"/>
        <v>THO645310000</v>
      </c>
      <c r="E1703">
        <v>259.64999999999998</v>
      </c>
      <c r="F1703">
        <v>0</v>
      </c>
      <c r="G1703">
        <f t="shared" si="116"/>
        <v>259.64999999999998</v>
      </c>
    </row>
    <row r="1704" spans="1:7">
      <c r="A1704" t="str">
        <f>"VAN"</f>
        <v>VAN</v>
      </c>
      <c r="B1704" t="str">
        <f>"64531000"</f>
        <v>64531000</v>
      </c>
      <c r="C1704" t="str">
        <f t="shared" si="115"/>
        <v>VAN645310000</v>
      </c>
      <c r="E1704">
        <v>259.64999999999998</v>
      </c>
      <c r="F1704">
        <v>0</v>
      </c>
      <c r="G1704">
        <f t="shared" si="116"/>
        <v>259.64999999999998</v>
      </c>
    </row>
    <row r="1705" spans="1:7">
      <c r="A1705" t="str">
        <f>"AMI"</f>
        <v>AMI</v>
      </c>
      <c r="B1705" t="str">
        <f t="shared" ref="B1705:B1736" si="118">"64540000"</f>
        <v>64540000</v>
      </c>
      <c r="C1705" t="str">
        <f t="shared" si="115"/>
        <v>AMI645400000</v>
      </c>
      <c r="E1705">
        <v>4412.99</v>
      </c>
      <c r="F1705">
        <v>0</v>
      </c>
      <c r="G1705">
        <f t="shared" si="116"/>
        <v>4412.99</v>
      </c>
    </row>
    <row r="1706" spans="1:7">
      <c r="A1706" t="str">
        <f>"ANG"</f>
        <v>ANG</v>
      </c>
      <c r="B1706" t="str">
        <f t="shared" si="118"/>
        <v>64540000</v>
      </c>
      <c r="C1706" t="str">
        <f t="shared" si="115"/>
        <v>ANG645400000</v>
      </c>
      <c r="E1706">
        <v>4714.22</v>
      </c>
      <c r="F1706">
        <v>0</v>
      </c>
      <c r="G1706">
        <f t="shared" si="116"/>
        <v>4714.22</v>
      </c>
    </row>
    <row r="1707" spans="1:7">
      <c r="A1707" t="str">
        <f>"BET"</f>
        <v>BET</v>
      </c>
      <c r="B1707" t="str">
        <f t="shared" si="118"/>
        <v>64540000</v>
      </c>
      <c r="C1707" t="str">
        <f t="shared" si="115"/>
        <v>BET645400000</v>
      </c>
      <c r="E1707">
        <v>1855.99</v>
      </c>
      <c r="F1707">
        <v>0</v>
      </c>
      <c r="G1707">
        <f t="shared" si="116"/>
        <v>1855.99</v>
      </c>
    </row>
    <row r="1708" spans="1:7">
      <c r="A1708" t="str">
        <f>"BOI"</f>
        <v>BOI</v>
      </c>
      <c r="B1708" t="str">
        <f t="shared" si="118"/>
        <v>64540000</v>
      </c>
      <c r="C1708" t="str">
        <f t="shared" si="115"/>
        <v>BOI645400000</v>
      </c>
      <c r="E1708">
        <v>631.4</v>
      </c>
      <c r="F1708">
        <v>0</v>
      </c>
      <c r="G1708">
        <f t="shared" si="116"/>
        <v>631.4</v>
      </c>
    </row>
    <row r="1709" spans="1:7">
      <c r="A1709" t="str">
        <f>"BOS"</f>
        <v>BOS</v>
      </c>
      <c r="B1709" t="str">
        <f t="shared" si="118"/>
        <v>64540000</v>
      </c>
      <c r="C1709" t="str">
        <f t="shared" si="115"/>
        <v>BOS645400000</v>
      </c>
      <c r="E1709">
        <v>3710.86</v>
      </c>
      <c r="F1709">
        <v>0</v>
      </c>
      <c r="G1709">
        <f t="shared" si="116"/>
        <v>3710.86</v>
      </c>
    </row>
    <row r="1710" spans="1:7">
      <c r="A1710" t="str">
        <f>"BOU"</f>
        <v>BOU</v>
      </c>
      <c r="B1710" t="str">
        <f t="shared" si="118"/>
        <v>64540000</v>
      </c>
      <c r="C1710" t="str">
        <f t="shared" si="115"/>
        <v>BOU645400000</v>
      </c>
      <c r="E1710">
        <v>4882.7700000000004</v>
      </c>
      <c r="F1710">
        <v>0</v>
      </c>
      <c r="G1710">
        <f t="shared" si="116"/>
        <v>4882.7700000000004</v>
      </c>
    </row>
    <row r="1711" spans="1:7">
      <c r="A1711" t="str">
        <f>"CAL"</f>
        <v>CAL</v>
      </c>
      <c r="B1711" t="str">
        <f t="shared" si="118"/>
        <v>64540000</v>
      </c>
      <c r="C1711" t="str">
        <f t="shared" si="115"/>
        <v>CAL645400000</v>
      </c>
      <c r="E1711">
        <v>2285.44</v>
      </c>
      <c r="F1711">
        <v>0</v>
      </c>
      <c r="G1711">
        <f t="shared" si="116"/>
        <v>2285.44</v>
      </c>
    </row>
    <row r="1712" spans="1:7">
      <c r="A1712" t="str">
        <f>"CAM"</f>
        <v>CAM</v>
      </c>
      <c r="B1712" t="str">
        <f t="shared" si="118"/>
        <v>64540000</v>
      </c>
      <c r="C1712" t="str">
        <f t="shared" si="115"/>
        <v>CAM645400000</v>
      </c>
      <c r="E1712">
        <v>2717.49</v>
      </c>
      <c r="F1712">
        <v>0</v>
      </c>
      <c r="G1712">
        <f t="shared" si="116"/>
        <v>2717.49</v>
      </c>
    </row>
    <row r="1713" spans="1:9">
      <c r="A1713" t="str">
        <f>"CAU"</f>
        <v>CAU</v>
      </c>
      <c r="B1713" t="str">
        <f t="shared" si="118"/>
        <v>64540000</v>
      </c>
      <c r="C1713" t="str">
        <f t="shared" si="115"/>
        <v>CAU645400000</v>
      </c>
      <c r="E1713">
        <v>2507.02</v>
      </c>
      <c r="F1713">
        <v>0</v>
      </c>
      <c r="G1713">
        <f t="shared" si="116"/>
        <v>2507.02</v>
      </c>
    </row>
    <row r="1714" spans="1:9">
      <c r="A1714" t="str">
        <f>"CHA"</f>
        <v>CHA</v>
      </c>
      <c r="B1714" t="str">
        <f t="shared" si="118"/>
        <v>64540000</v>
      </c>
      <c r="C1714" t="str">
        <f t="shared" si="115"/>
        <v>CHA645400000</v>
      </c>
      <c r="E1714">
        <v>1574.1</v>
      </c>
      <c r="F1714">
        <v>0</v>
      </c>
      <c r="G1714">
        <f t="shared" si="116"/>
        <v>1574.1</v>
      </c>
    </row>
    <row r="1715" spans="1:9">
      <c r="A1715" t="str">
        <f>"CHAM"</f>
        <v>CHAM</v>
      </c>
      <c r="B1715" t="str">
        <f t="shared" si="118"/>
        <v>64540000</v>
      </c>
      <c r="C1715" t="str">
        <f t="shared" si="115"/>
        <v>CHAM645400000</v>
      </c>
      <c r="E1715">
        <v>2450.56</v>
      </c>
      <c r="F1715">
        <v>59.54</v>
      </c>
      <c r="G1715">
        <f t="shared" si="116"/>
        <v>2391.02</v>
      </c>
    </row>
    <row r="1716" spans="1:9">
      <c r="A1716" t="str">
        <f>"CHART"</f>
        <v>CHART</v>
      </c>
      <c r="B1716" t="str">
        <f t="shared" si="118"/>
        <v>64540000</v>
      </c>
      <c r="C1716" t="str">
        <f t="shared" si="115"/>
        <v>CHART645400000</v>
      </c>
      <c r="E1716">
        <v>2823.99</v>
      </c>
      <c r="F1716">
        <v>0</v>
      </c>
      <c r="G1716">
        <f t="shared" si="116"/>
        <v>2823.99</v>
      </c>
    </row>
    <row r="1717" spans="1:9">
      <c r="A1717" t="str">
        <f>"CLE"</f>
        <v>CLE</v>
      </c>
      <c r="B1717" t="str">
        <f t="shared" si="118"/>
        <v>64540000</v>
      </c>
      <c r="C1717" t="str">
        <f t="shared" si="115"/>
        <v>CLE645400000</v>
      </c>
      <c r="E1717">
        <v>7985.54</v>
      </c>
      <c r="F1717">
        <v>0</v>
      </c>
      <c r="G1717">
        <f t="shared" si="116"/>
        <v>7985.54</v>
      </c>
    </row>
    <row r="1718" spans="1:9">
      <c r="A1718" t="str">
        <f>"COM"</f>
        <v>COM</v>
      </c>
      <c r="B1718" t="str">
        <f t="shared" si="118"/>
        <v>64540000</v>
      </c>
      <c r="C1718" t="str">
        <f t="shared" si="115"/>
        <v>COM645400000</v>
      </c>
      <c r="E1718">
        <v>2287.1999999999998</v>
      </c>
      <c r="F1718">
        <v>0</v>
      </c>
      <c r="G1718">
        <f t="shared" si="116"/>
        <v>2287.1999999999998</v>
      </c>
    </row>
    <row r="1719" spans="1:9">
      <c r="A1719" t="str">
        <f>"CST"</f>
        <v>CST</v>
      </c>
      <c r="B1719" t="str">
        <f t="shared" si="118"/>
        <v>64540000</v>
      </c>
      <c r="C1719" t="str">
        <f t="shared" si="115"/>
        <v>CST645400000</v>
      </c>
      <c r="E1719">
        <v>3221.47</v>
      </c>
      <c r="F1719">
        <v>0</v>
      </c>
      <c r="G1719">
        <f t="shared" si="116"/>
        <v>3221.47</v>
      </c>
    </row>
    <row r="1720" spans="1:9">
      <c r="A1720" t="str">
        <f>"DIJ"</f>
        <v>DIJ</v>
      </c>
      <c r="B1720" t="str">
        <f t="shared" si="118"/>
        <v>64540000</v>
      </c>
      <c r="C1720" t="str">
        <f t="shared" si="115"/>
        <v>DIJ645400000</v>
      </c>
      <c r="E1720">
        <v>1910.99</v>
      </c>
      <c r="F1720">
        <v>0</v>
      </c>
      <c r="G1720">
        <f t="shared" si="116"/>
        <v>1910.99</v>
      </c>
    </row>
    <row r="1721" spans="1:9">
      <c r="A1721" t="str">
        <f>"EU"</f>
        <v>EU</v>
      </c>
      <c r="B1721" t="str">
        <f t="shared" si="118"/>
        <v>64540000</v>
      </c>
      <c r="C1721" t="str">
        <f t="shared" si="115"/>
        <v>EU645400000</v>
      </c>
      <c r="E1721">
        <v>5858.99</v>
      </c>
      <c r="F1721">
        <v>141.32</v>
      </c>
      <c r="G1721">
        <f t="shared" si="116"/>
        <v>5717.67</v>
      </c>
    </row>
    <row r="1722" spans="1:9">
      <c r="A1722" t="str">
        <f>"GRE"</f>
        <v>GRE</v>
      </c>
      <c r="B1722" t="str">
        <f t="shared" si="118"/>
        <v>64540000</v>
      </c>
      <c r="C1722" t="str">
        <f t="shared" si="115"/>
        <v>GRE645400000</v>
      </c>
      <c r="E1722">
        <v>5639.19</v>
      </c>
      <c r="F1722">
        <v>0</v>
      </c>
      <c r="G1722">
        <f t="shared" si="116"/>
        <v>5639.19</v>
      </c>
      <c r="I1722" s="26"/>
    </row>
    <row r="1723" spans="1:9">
      <c r="A1723" t="str">
        <f>"LEN"</f>
        <v>LEN</v>
      </c>
      <c r="B1723" t="str">
        <f t="shared" si="118"/>
        <v>64540000</v>
      </c>
      <c r="C1723" t="str">
        <f t="shared" si="115"/>
        <v>LEN645400000</v>
      </c>
      <c r="E1723">
        <v>1611.07</v>
      </c>
      <c r="F1723">
        <v>0</v>
      </c>
      <c r="G1723">
        <f t="shared" si="116"/>
        <v>1611.07</v>
      </c>
    </row>
    <row r="1724" spans="1:9">
      <c r="A1724" t="str">
        <f>"LIL"</f>
        <v>LIL</v>
      </c>
      <c r="B1724" t="str">
        <f t="shared" si="118"/>
        <v>64540000</v>
      </c>
      <c r="C1724" t="str">
        <f t="shared" si="115"/>
        <v>LIL645400000</v>
      </c>
      <c r="E1724">
        <v>11687.42</v>
      </c>
      <c r="F1724">
        <v>0</v>
      </c>
      <c r="G1724">
        <f t="shared" si="116"/>
        <v>11687.42</v>
      </c>
    </row>
    <row r="1725" spans="1:9">
      <c r="A1725" t="str">
        <f>"MAD"</f>
        <v>MAD</v>
      </c>
      <c r="B1725" t="str">
        <f t="shared" si="118"/>
        <v>64540000</v>
      </c>
      <c r="C1725" t="str">
        <f t="shared" si="115"/>
        <v>MAD645400000</v>
      </c>
      <c r="E1725">
        <v>3830.23</v>
      </c>
      <c r="F1725">
        <v>0</v>
      </c>
      <c r="G1725">
        <f t="shared" si="116"/>
        <v>3830.23</v>
      </c>
    </row>
    <row r="1726" spans="1:9">
      <c r="A1726" t="str">
        <f>"MAR"</f>
        <v>MAR</v>
      </c>
      <c r="B1726" t="str">
        <f t="shared" si="118"/>
        <v>64540000</v>
      </c>
      <c r="C1726" t="str">
        <f t="shared" si="115"/>
        <v>MAR645400000</v>
      </c>
      <c r="E1726">
        <v>1168.29</v>
      </c>
      <c r="F1726">
        <v>0</v>
      </c>
      <c r="G1726">
        <f t="shared" si="116"/>
        <v>1168.29</v>
      </c>
    </row>
    <row r="1727" spans="1:9">
      <c r="A1727" t="str">
        <f>"MON"</f>
        <v>MON</v>
      </c>
      <c r="B1727" t="str">
        <f t="shared" si="118"/>
        <v>64540000</v>
      </c>
      <c r="C1727" t="str">
        <f t="shared" si="115"/>
        <v>MON645400000</v>
      </c>
      <c r="E1727">
        <v>2907.49</v>
      </c>
      <c r="F1727">
        <v>0</v>
      </c>
      <c r="G1727">
        <f t="shared" si="116"/>
        <v>2907.49</v>
      </c>
    </row>
    <row r="1728" spans="1:9">
      <c r="A1728" t="str">
        <f>"NAN"</f>
        <v>NAN</v>
      </c>
      <c r="B1728" t="str">
        <f t="shared" si="118"/>
        <v>64540000</v>
      </c>
      <c r="C1728" t="str">
        <f t="shared" si="115"/>
        <v>NAN645400000</v>
      </c>
      <c r="E1728">
        <v>3614.35</v>
      </c>
      <c r="F1728">
        <v>0</v>
      </c>
      <c r="G1728">
        <f t="shared" si="116"/>
        <v>3614.35</v>
      </c>
    </row>
    <row r="1729" spans="1:7">
      <c r="A1729" t="str">
        <f>"ORL"</f>
        <v>ORL</v>
      </c>
      <c r="B1729" t="str">
        <f t="shared" si="118"/>
        <v>64540000</v>
      </c>
      <c r="C1729" t="str">
        <f t="shared" si="115"/>
        <v>ORL645400000</v>
      </c>
      <c r="E1729">
        <v>2883.86</v>
      </c>
      <c r="F1729">
        <v>0</v>
      </c>
      <c r="G1729">
        <f t="shared" si="116"/>
        <v>2883.86</v>
      </c>
    </row>
    <row r="1730" spans="1:7">
      <c r="A1730" t="str">
        <f>"REN"</f>
        <v>REN</v>
      </c>
      <c r="B1730" t="str">
        <f t="shared" si="118"/>
        <v>64540000</v>
      </c>
      <c r="C1730" t="str">
        <f t="shared" si="115"/>
        <v>REN645400000</v>
      </c>
      <c r="E1730">
        <v>1480.56</v>
      </c>
      <c r="F1730">
        <v>0</v>
      </c>
      <c r="G1730">
        <f t="shared" si="116"/>
        <v>1480.56</v>
      </c>
    </row>
    <row r="1731" spans="1:7">
      <c r="A1731" t="str">
        <f>"ROA"</f>
        <v>ROA</v>
      </c>
      <c r="B1731" t="str">
        <f t="shared" si="118"/>
        <v>64540000</v>
      </c>
      <c r="C1731" t="str">
        <f t="shared" ref="C1731:C1794" si="119">+A1731&amp;B1731*10</f>
        <v>ROA645400000</v>
      </c>
      <c r="E1731">
        <v>4715.59</v>
      </c>
      <c r="F1731">
        <v>36.33</v>
      </c>
      <c r="G1731">
        <f t="shared" ref="G1731:G1794" si="120">+E1731-F1731</f>
        <v>4679.26</v>
      </c>
    </row>
    <row r="1732" spans="1:7">
      <c r="A1732" t="str">
        <f>"SAU"</f>
        <v>SAU</v>
      </c>
      <c r="B1732" t="str">
        <f t="shared" si="118"/>
        <v>64540000</v>
      </c>
      <c r="C1732" t="str">
        <f t="shared" si="119"/>
        <v>SAU645400000</v>
      </c>
      <c r="E1732">
        <v>1037.7</v>
      </c>
      <c r="F1732">
        <v>0</v>
      </c>
      <c r="G1732">
        <f t="shared" si="120"/>
        <v>1037.7</v>
      </c>
    </row>
    <row r="1733" spans="1:7">
      <c r="A1733" t="str">
        <f>"SOM"</f>
        <v>SOM</v>
      </c>
      <c r="B1733" t="str">
        <f t="shared" si="118"/>
        <v>64540000</v>
      </c>
      <c r="C1733" t="str">
        <f t="shared" si="119"/>
        <v>SOM645400000</v>
      </c>
      <c r="E1733">
        <v>4544.68</v>
      </c>
      <c r="F1733">
        <v>145.43</v>
      </c>
      <c r="G1733">
        <f t="shared" si="120"/>
        <v>4399.25</v>
      </c>
    </row>
    <row r="1734" spans="1:7">
      <c r="A1734" t="str">
        <f>"THO"</f>
        <v>THO</v>
      </c>
      <c r="B1734" t="str">
        <f t="shared" si="118"/>
        <v>64540000</v>
      </c>
      <c r="C1734" t="str">
        <f t="shared" si="119"/>
        <v>THO645400000</v>
      </c>
      <c r="E1734">
        <v>4702.71</v>
      </c>
      <c r="F1734">
        <v>0</v>
      </c>
      <c r="G1734">
        <f t="shared" si="120"/>
        <v>4702.71</v>
      </c>
    </row>
    <row r="1735" spans="1:7">
      <c r="A1735" t="str">
        <f>"TOURC"</f>
        <v>TOURC</v>
      </c>
      <c r="B1735" t="str">
        <f t="shared" si="118"/>
        <v>64540000</v>
      </c>
      <c r="C1735" t="str">
        <f t="shared" si="119"/>
        <v>TOURC645400000</v>
      </c>
      <c r="E1735">
        <v>1149.43</v>
      </c>
      <c r="F1735">
        <v>0</v>
      </c>
      <c r="G1735">
        <f t="shared" si="120"/>
        <v>1149.43</v>
      </c>
    </row>
    <row r="1736" spans="1:7">
      <c r="A1736" t="str">
        <f>"VAN"</f>
        <v>VAN</v>
      </c>
      <c r="B1736" t="str">
        <f t="shared" si="118"/>
        <v>64540000</v>
      </c>
      <c r="C1736" t="str">
        <f t="shared" si="119"/>
        <v>VAN645400000</v>
      </c>
      <c r="E1736">
        <v>3904.62</v>
      </c>
      <c r="F1736">
        <v>0</v>
      </c>
      <c r="G1736">
        <f t="shared" si="120"/>
        <v>3904.62</v>
      </c>
    </row>
    <row r="1737" spans="1:7">
      <c r="A1737" t="str">
        <f>"CST"</f>
        <v>CST</v>
      </c>
      <c r="B1737" t="str">
        <f>"64580000"</f>
        <v>64580000</v>
      </c>
      <c r="C1737" t="str">
        <f t="shared" si="119"/>
        <v>CST645800000</v>
      </c>
      <c r="E1737">
        <v>438.24</v>
      </c>
      <c r="F1737">
        <v>0</v>
      </c>
      <c r="G1737">
        <f t="shared" si="120"/>
        <v>438.24</v>
      </c>
    </row>
    <row r="1738" spans="1:7">
      <c r="A1738" t="str">
        <f>"LEN"</f>
        <v>LEN</v>
      </c>
      <c r="B1738" t="str">
        <f>"64580000"</f>
        <v>64580000</v>
      </c>
      <c r="C1738" t="str">
        <f t="shared" si="119"/>
        <v>LEN645800000</v>
      </c>
      <c r="E1738">
        <v>389.15</v>
      </c>
      <c r="F1738">
        <v>0</v>
      </c>
      <c r="G1738">
        <f t="shared" si="120"/>
        <v>389.15</v>
      </c>
    </row>
    <row r="1739" spans="1:7">
      <c r="A1739" t="str">
        <f>"LIL"</f>
        <v>LIL</v>
      </c>
      <c r="B1739" t="str">
        <f>"64580000"</f>
        <v>64580000</v>
      </c>
      <c r="C1739" t="str">
        <f t="shared" si="119"/>
        <v>LIL645800000</v>
      </c>
      <c r="E1739">
        <v>0.96</v>
      </c>
      <c r="F1739">
        <v>0</v>
      </c>
      <c r="G1739">
        <f t="shared" si="120"/>
        <v>0.96</v>
      </c>
    </row>
    <row r="1740" spans="1:7">
      <c r="A1740" t="str">
        <f>"AMI"</f>
        <v>AMI</v>
      </c>
      <c r="B1740" t="str">
        <f t="shared" ref="B1740:B1771" si="121">"64590000"</f>
        <v>64590000</v>
      </c>
      <c r="C1740" t="str">
        <f t="shared" si="119"/>
        <v>AMI645900000</v>
      </c>
      <c r="E1740">
        <v>221.11</v>
      </c>
      <c r="F1740">
        <v>2700</v>
      </c>
      <c r="G1740">
        <f t="shared" si="120"/>
        <v>-2478.89</v>
      </c>
    </row>
    <row r="1741" spans="1:7">
      <c r="A1741" t="str">
        <f>"ANG"</f>
        <v>ANG</v>
      </c>
      <c r="B1741" t="str">
        <f t="shared" si="121"/>
        <v>64590000</v>
      </c>
      <c r="C1741" t="str">
        <f t="shared" si="119"/>
        <v>ANG645900000</v>
      </c>
      <c r="E1741">
        <v>-113.37</v>
      </c>
      <c r="F1741">
        <v>0</v>
      </c>
      <c r="G1741">
        <f t="shared" si="120"/>
        <v>-113.37</v>
      </c>
    </row>
    <row r="1742" spans="1:7">
      <c r="A1742" t="str">
        <f>"BET"</f>
        <v>BET</v>
      </c>
      <c r="B1742" t="str">
        <f t="shared" si="121"/>
        <v>64590000</v>
      </c>
      <c r="C1742" t="str">
        <f t="shared" si="119"/>
        <v>BET645900000</v>
      </c>
      <c r="E1742">
        <v>0</v>
      </c>
      <c r="F1742">
        <v>0</v>
      </c>
      <c r="G1742">
        <f t="shared" si="120"/>
        <v>0</v>
      </c>
    </row>
    <row r="1743" spans="1:7">
      <c r="A1743" t="str">
        <f>"BOI"</f>
        <v>BOI</v>
      </c>
      <c r="B1743" t="str">
        <f t="shared" si="121"/>
        <v>64590000</v>
      </c>
      <c r="C1743" t="str">
        <f t="shared" si="119"/>
        <v>BOI645900000</v>
      </c>
      <c r="E1743">
        <v>201.08</v>
      </c>
      <c r="F1743">
        <v>0</v>
      </c>
      <c r="G1743">
        <f t="shared" si="120"/>
        <v>201.08</v>
      </c>
    </row>
    <row r="1744" spans="1:7">
      <c r="A1744" t="str">
        <f>"BOS"</f>
        <v>BOS</v>
      </c>
      <c r="B1744" t="str">
        <f t="shared" si="121"/>
        <v>64590000</v>
      </c>
      <c r="C1744" t="str">
        <f t="shared" si="119"/>
        <v>BOS645900000</v>
      </c>
      <c r="E1744">
        <v>1375.51</v>
      </c>
      <c r="F1744">
        <v>0</v>
      </c>
      <c r="G1744">
        <f t="shared" si="120"/>
        <v>1375.51</v>
      </c>
    </row>
    <row r="1745" spans="1:12">
      <c r="A1745" t="str">
        <f>"BOU"</f>
        <v>BOU</v>
      </c>
      <c r="B1745" t="str">
        <f t="shared" si="121"/>
        <v>64590000</v>
      </c>
      <c r="C1745" t="str">
        <f t="shared" si="119"/>
        <v>BOU645900000</v>
      </c>
      <c r="E1745">
        <v>482.14</v>
      </c>
      <c r="F1745">
        <v>0</v>
      </c>
      <c r="G1745">
        <f t="shared" si="120"/>
        <v>482.14</v>
      </c>
    </row>
    <row r="1746" spans="1:12">
      <c r="A1746" t="str">
        <f>"CAL"</f>
        <v>CAL</v>
      </c>
      <c r="B1746" t="str">
        <f t="shared" si="121"/>
        <v>64590000</v>
      </c>
      <c r="C1746" t="str">
        <f t="shared" si="119"/>
        <v>CAL645900000</v>
      </c>
      <c r="E1746">
        <v>493.1</v>
      </c>
      <c r="F1746">
        <v>0</v>
      </c>
      <c r="G1746">
        <f t="shared" si="120"/>
        <v>493.1</v>
      </c>
    </row>
    <row r="1747" spans="1:12">
      <c r="A1747" t="str">
        <f>"CAM"</f>
        <v>CAM</v>
      </c>
      <c r="B1747" t="str">
        <f t="shared" si="121"/>
        <v>64590000</v>
      </c>
      <c r="C1747" t="str">
        <f t="shared" si="119"/>
        <v>CAM645900000</v>
      </c>
      <c r="E1747">
        <v>493.71</v>
      </c>
      <c r="F1747">
        <v>0</v>
      </c>
      <c r="G1747">
        <f t="shared" si="120"/>
        <v>493.71</v>
      </c>
    </row>
    <row r="1748" spans="1:12">
      <c r="A1748" t="str">
        <f>"CAU"</f>
        <v>CAU</v>
      </c>
      <c r="B1748" t="str">
        <f t="shared" si="121"/>
        <v>64590000</v>
      </c>
      <c r="C1748" t="str">
        <f t="shared" si="119"/>
        <v>CAU645900000</v>
      </c>
      <c r="E1748">
        <v>690.8</v>
      </c>
      <c r="F1748">
        <v>0</v>
      </c>
      <c r="G1748">
        <f t="shared" si="120"/>
        <v>690.8</v>
      </c>
    </row>
    <row r="1749" spans="1:12">
      <c r="A1749" t="str">
        <f>"CHA"</f>
        <v>CHA</v>
      </c>
      <c r="B1749" t="str">
        <f t="shared" si="121"/>
        <v>64590000</v>
      </c>
      <c r="C1749" t="str">
        <f t="shared" si="119"/>
        <v>CHA645900000</v>
      </c>
      <c r="E1749">
        <v>351.52</v>
      </c>
      <c r="F1749">
        <v>0</v>
      </c>
      <c r="G1749">
        <f t="shared" si="120"/>
        <v>351.52</v>
      </c>
    </row>
    <row r="1750" spans="1:12">
      <c r="A1750" t="str">
        <f>"CHAM"</f>
        <v>CHAM</v>
      </c>
      <c r="B1750" t="str">
        <f t="shared" si="121"/>
        <v>64590000</v>
      </c>
      <c r="C1750" t="str">
        <f t="shared" si="119"/>
        <v>CHAM645900000</v>
      </c>
      <c r="E1750">
        <v>166.2</v>
      </c>
      <c r="F1750">
        <v>0</v>
      </c>
      <c r="G1750">
        <f t="shared" si="120"/>
        <v>166.2</v>
      </c>
    </row>
    <row r="1751" spans="1:12">
      <c r="A1751" t="str">
        <f>"CHART"</f>
        <v>CHART</v>
      </c>
      <c r="B1751" t="str">
        <f t="shared" si="121"/>
        <v>64590000</v>
      </c>
      <c r="C1751" t="str">
        <f t="shared" si="119"/>
        <v>CHART645900000</v>
      </c>
      <c r="E1751">
        <v>2145.36</v>
      </c>
      <c r="F1751">
        <v>0</v>
      </c>
      <c r="G1751">
        <f t="shared" si="120"/>
        <v>2145.36</v>
      </c>
    </row>
    <row r="1752" spans="1:12">
      <c r="A1752" t="str">
        <f>"CLE"</f>
        <v>CLE</v>
      </c>
      <c r="B1752" t="str">
        <f t="shared" si="121"/>
        <v>64590000</v>
      </c>
      <c r="C1752" t="str">
        <f t="shared" si="119"/>
        <v>CLE645900000</v>
      </c>
      <c r="E1752">
        <v>699.71</v>
      </c>
      <c r="F1752">
        <v>0</v>
      </c>
      <c r="G1752">
        <f t="shared" si="120"/>
        <v>699.71</v>
      </c>
    </row>
    <row r="1753" spans="1:12">
      <c r="A1753" t="str">
        <f>"COM"</f>
        <v>COM</v>
      </c>
      <c r="B1753" t="str">
        <f t="shared" si="121"/>
        <v>64590000</v>
      </c>
      <c r="C1753" t="str">
        <f t="shared" si="119"/>
        <v>COM645900000</v>
      </c>
      <c r="E1753">
        <v>331.2</v>
      </c>
      <c r="F1753">
        <v>0</v>
      </c>
      <c r="G1753">
        <f t="shared" si="120"/>
        <v>331.2</v>
      </c>
    </row>
    <row r="1754" spans="1:12">
      <c r="A1754" t="str">
        <f>"CST"</f>
        <v>CST</v>
      </c>
      <c r="B1754" t="str">
        <f t="shared" si="121"/>
        <v>64590000</v>
      </c>
      <c r="C1754" t="str">
        <f t="shared" si="119"/>
        <v>CST645900000</v>
      </c>
      <c r="E1754">
        <v>-119.44</v>
      </c>
      <c r="F1754">
        <v>0</v>
      </c>
      <c r="G1754">
        <f t="shared" si="120"/>
        <v>-119.44</v>
      </c>
    </row>
    <row r="1755" spans="1:12">
      <c r="A1755" t="str">
        <f>"DIJ"</f>
        <v>DIJ</v>
      </c>
      <c r="B1755" t="str">
        <f t="shared" si="121"/>
        <v>64590000</v>
      </c>
      <c r="C1755" t="str">
        <f t="shared" si="119"/>
        <v>DIJ645900000</v>
      </c>
      <c r="E1755">
        <v>574.28</v>
      </c>
      <c r="F1755">
        <v>0</v>
      </c>
      <c r="G1755">
        <f t="shared" si="120"/>
        <v>574.28</v>
      </c>
    </row>
    <row r="1756" spans="1:12">
      <c r="A1756" t="str">
        <f>"EU"</f>
        <v>EU</v>
      </c>
      <c r="B1756" t="str">
        <f t="shared" si="121"/>
        <v>64590000</v>
      </c>
      <c r="C1756" t="str">
        <f t="shared" si="119"/>
        <v>EU645900000</v>
      </c>
      <c r="E1756">
        <v>116.44</v>
      </c>
      <c r="F1756">
        <v>0</v>
      </c>
      <c r="G1756">
        <f t="shared" si="120"/>
        <v>116.44</v>
      </c>
    </row>
    <row r="1757" spans="1:12">
      <c r="A1757" t="str">
        <f>"GRE"</f>
        <v>GRE</v>
      </c>
      <c r="B1757" t="str">
        <f t="shared" si="121"/>
        <v>64590000</v>
      </c>
      <c r="C1757" t="str">
        <f t="shared" si="119"/>
        <v>GRE645900000</v>
      </c>
      <c r="E1757">
        <v>-1156.5999999999999</v>
      </c>
      <c r="F1757">
        <v>0</v>
      </c>
      <c r="G1757">
        <f t="shared" si="120"/>
        <v>-1156.5999999999999</v>
      </c>
    </row>
    <row r="1758" spans="1:12">
      <c r="A1758" t="str">
        <f>"LEN"</f>
        <v>LEN</v>
      </c>
      <c r="B1758" t="str">
        <f t="shared" si="121"/>
        <v>64590000</v>
      </c>
      <c r="C1758" t="str">
        <f t="shared" si="119"/>
        <v>LEN645900000</v>
      </c>
      <c r="E1758">
        <v>-9.5299999999999994</v>
      </c>
      <c r="F1758">
        <v>0</v>
      </c>
      <c r="G1758">
        <f t="shared" si="120"/>
        <v>-9.5299999999999994</v>
      </c>
      <c r="L1758" s="353"/>
    </row>
    <row r="1759" spans="1:12">
      <c r="A1759" t="str">
        <f>"LIL"</f>
        <v>LIL</v>
      </c>
      <c r="B1759" t="str">
        <f t="shared" si="121"/>
        <v>64590000</v>
      </c>
      <c r="C1759" t="str">
        <f t="shared" si="119"/>
        <v>LIL645900000</v>
      </c>
      <c r="E1759">
        <v>4854.18</v>
      </c>
      <c r="F1759">
        <v>0</v>
      </c>
      <c r="G1759">
        <f t="shared" si="120"/>
        <v>4854.18</v>
      </c>
      <c r="L1759" s="353"/>
    </row>
    <row r="1760" spans="1:12">
      <c r="A1760" t="str">
        <f>"MAD"</f>
        <v>MAD</v>
      </c>
      <c r="B1760" t="str">
        <f t="shared" si="121"/>
        <v>64590000</v>
      </c>
      <c r="C1760" t="str">
        <f t="shared" si="119"/>
        <v>MAD645900000</v>
      </c>
      <c r="E1760">
        <v>-1217.0999999999999</v>
      </c>
      <c r="F1760">
        <v>0</v>
      </c>
      <c r="G1760">
        <f t="shared" si="120"/>
        <v>-1217.0999999999999</v>
      </c>
      <c r="J1760" s="26"/>
      <c r="K1760" s="353"/>
      <c r="L1760" s="353"/>
    </row>
    <row r="1761" spans="1:11">
      <c r="A1761" t="str">
        <f>"MAR"</f>
        <v>MAR</v>
      </c>
      <c r="B1761" t="str">
        <f t="shared" si="121"/>
        <v>64590000</v>
      </c>
      <c r="C1761" t="str">
        <f t="shared" si="119"/>
        <v>MAR645900000</v>
      </c>
      <c r="E1761">
        <v>255.68</v>
      </c>
      <c r="F1761">
        <v>0</v>
      </c>
      <c r="G1761">
        <f t="shared" si="120"/>
        <v>255.68</v>
      </c>
      <c r="K1761" s="353"/>
    </row>
    <row r="1762" spans="1:11">
      <c r="A1762" t="str">
        <f>"MON"</f>
        <v>MON</v>
      </c>
      <c r="B1762" t="str">
        <f t="shared" si="121"/>
        <v>64590000</v>
      </c>
      <c r="C1762" t="str">
        <f t="shared" si="119"/>
        <v>MON645900000</v>
      </c>
      <c r="E1762">
        <v>504.08</v>
      </c>
      <c r="F1762">
        <v>0</v>
      </c>
      <c r="G1762">
        <f t="shared" si="120"/>
        <v>504.08</v>
      </c>
      <c r="K1762" s="353"/>
    </row>
    <row r="1763" spans="1:11">
      <c r="A1763" t="str">
        <f>"NAN"</f>
        <v>NAN</v>
      </c>
      <c r="B1763" t="str">
        <f t="shared" si="121"/>
        <v>64590000</v>
      </c>
      <c r="C1763" t="str">
        <f t="shared" si="119"/>
        <v>NAN645900000</v>
      </c>
      <c r="E1763">
        <v>205.11</v>
      </c>
      <c r="F1763">
        <v>0</v>
      </c>
      <c r="G1763">
        <f t="shared" si="120"/>
        <v>205.11</v>
      </c>
      <c r="K1763" s="353"/>
    </row>
    <row r="1764" spans="1:11">
      <c r="A1764" t="str">
        <f>"ORL"</f>
        <v>ORL</v>
      </c>
      <c r="B1764" t="str">
        <f t="shared" si="121"/>
        <v>64590000</v>
      </c>
      <c r="C1764" t="str">
        <f t="shared" si="119"/>
        <v>ORL645900000</v>
      </c>
      <c r="E1764">
        <v>129.1</v>
      </c>
      <c r="F1764">
        <v>0</v>
      </c>
      <c r="G1764">
        <f t="shared" si="120"/>
        <v>129.1</v>
      </c>
      <c r="H1764" s="433"/>
      <c r="I1764" s="113"/>
      <c r="J1764" s="440"/>
      <c r="K1764" s="26"/>
    </row>
    <row r="1765" spans="1:11">
      <c r="A1765" t="str">
        <f>"REN"</f>
        <v>REN</v>
      </c>
      <c r="B1765" t="str">
        <f t="shared" si="121"/>
        <v>64590000</v>
      </c>
      <c r="C1765" t="str">
        <f t="shared" si="119"/>
        <v>REN645900000</v>
      </c>
      <c r="E1765">
        <v>-228.91</v>
      </c>
      <c r="F1765">
        <v>0</v>
      </c>
      <c r="G1765">
        <f t="shared" si="120"/>
        <v>-228.91</v>
      </c>
    </row>
    <row r="1766" spans="1:11">
      <c r="A1766" t="str">
        <f>"ROA"</f>
        <v>ROA</v>
      </c>
      <c r="B1766" t="str">
        <f t="shared" si="121"/>
        <v>64590000</v>
      </c>
      <c r="C1766" t="str">
        <f t="shared" si="119"/>
        <v>ROA645900000</v>
      </c>
      <c r="E1766">
        <v>-846.16</v>
      </c>
      <c r="F1766">
        <v>0</v>
      </c>
      <c r="G1766">
        <f t="shared" si="120"/>
        <v>-846.16</v>
      </c>
    </row>
    <row r="1767" spans="1:11">
      <c r="A1767" t="str">
        <f>"SAU"</f>
        <v>SAU</v>
      </c>
      <c r="B1767" t="str">
        <f t="shared" si="121"/>
        <v>64590000</v>
      </c>
      <c r="C1767" t="str">
        <f t="shared" si="119"/>
        <v>SAU645900000</v>
      </c>
      <c r="E1767">
        <v>0</v>
      </c>
      <c r="F1767">
        <v>0</v>
      </c>
      <c r="G1767">
        <f t="shared" si="120"/>
        <v>0</v>
      </c>
    </row>
    <row r="1768" spans="1:11">
      <c r="A1768" t="str">
        <f>"SOM"</f>
        <v>SOM</v>
      </c>
      <c r="B1768" t="str">
        <f t="shared" si="121"/>
        <v>64590000</v>
      </c>
      <c r="C1768" t="str">
        <f t="shared" si="119"/>
        <v>SOM645900000</v>
      </c>
      <c r="E1768">
        <v>599.46</v>
      </c>
      <c r="F1768">
        <v>0</v>
      </c>
      <c r="G1768">
        <f t="shared" si="120"/>
        <v>599.46</v>
      </c>
    </row>
    <row r="1769" spans="1:11">
      <c r="A1769" t="str">
        <f>"THO"</f>
        <v>THO</v>
      </c>
      <c r="B1769" t="str">
        <f t="shared" si="121"/>
        <v>64590000</v>
      </c>
      <c r="C1769" t="str">
        <f t="shared" si="119"/>
        <v>THO645900000</v>
      </c>
      <c r="E1769">
        <v>264.83999999999997</v>
      </c>
      <c r="F1769">
        <v>2675</v>
      </c>
      <c r="G1769">
        <f t="shared" si="120"/>
        <v>-2410.16</v>
      </c>
    </row>
    <row r="1770" spans="1:11">
      <c r="A1770" t="str">
        <f>"TOURC"</f>
        <v>TOURC</v>
      </c>
      <c r="B1770" t="str">
        <f t="shared" si="121"/>
        <v>64590000</v>
      </c>
      <c r="C1770" t="str">
        <f t="shared" si="119"/>
        <v>TOURC645900000</v>
      </c>
      <c r="E1770">
        <v>0</v>
      </c>
      <c r="F1770">
        <v>0</v>
      </c>
      <c r="G1770">
        <f t="shared" si="120"/>
        <v>0</v>
      </c>
    </row>
    <row r="1771" spans="1:11">
      <c r="A1771" t="str">
        <f>"VAN"</f>
        <v>VAN</v>
      </c>
      <c r="B1771" t="str">
        <f t="shared" si="121"/>
        <v>64590000</v>
      </c>
      <c r="C1771" t="str">
        <f t="shared" si="119"/>
        <v>VAN645900000</v>
      </c>
      <c r="E1771">
        <v>-602.25</v>
      </c>
      <c r="F1771">
        <v>0</v>
      </c>
      <c r="G1771">
        <f t="shared" si="120"/>
        <v>-602.25</v>
      </c>
    </row>
    <row r="1772" spans="1:11">
      <c r="A1772" t="str">
        <f>"ANG"</f>
        <v>ANG</v>
      </c>
      <c r="B1772" t="str">
        <f>"64710000"</f>
        <v>64710000</v>
      </c>
      <c r="C1772" t="str">
        <f t="shared" si="119"/>
        <v>ANG647100000</v>
      </c>
      <c r="E1772">
        <v>28.81</v>
      </c>
      <c r="F1772">
        <v>0</v>
      </c>
      <c r="G1772">
        <f t="shared" si="120"/>
        <v>28.81</v>
      </c>
    </row>
    <row r="1773" spans="1:11">
      <c r="A1773" t="str">
        <f>"CHART"</f>
        <v>CHART</v>
      </c>
      <c r="B1773" t="str">
        <f>"64710000"</f>
        <v>64710000</v>
      </c>
      <c r="C1773" t="str">
        <f t="shared" si="119"/>
        <v>CHART647100000</v>
      </c>
      <c r="E1773">
        <v>7.48</v>
      </c>
      <c r="F1773">
        <v>0</v>
      </c>
      <c r="G1773">
        <f t="shared" si="120"/>
        <v>7.48</v>
      </c>
    </row>
    <row r="1774" spans="1:11">
      <c r="A1774" t="str">
        <f>"CLE"</f>
        <v>CLE</v>
      </c>
      <c r="B1774" t="str">
        <f>"64710000"</f>
        <v>64710000</v>
      </c>
      <c r="C1774" t="str">
        <f t="shared" si="119"/>
        <v>CLE647100000</v>
      </c>
      <c r="E1774">
        <v>24.71</v>
      </c>
      <c r="F1774">
        <v>0</v>
      </c>
      <c r="G1774">
        <f t="shared" si="120"/>
        <v>24.71</v>
      </c>
    </row>
    <row r="1775" spans="1:11">
      <c r="A1775" t="str">
        <f>"ROA"</f>
        <v>ROA</v>
      </c>
      <c r="B1775" t="str">
        <f>"64710000"</f>
        <v>64710000</v>
      </c>
      <c r="C1775" t="str">
        <f t="shared" si="119"/>
        <v>ROA647100000</v>
      </c>
      <c r="E1775">
        <v>8.74</v>
      </c>
      <c r="F1775">
        <v>0</v>
      </c>
      <c r="G1775">
        <f t="shared" si="120"/>
        <v>8.74</v>
      </c>
    </row>
    <row r="1776" spans="1:11">
      <c r="A1776" t="str">
        <f>"LIL"</f>
        <v>LIL</v>
      </c>
      <c r="B1776" t="str">
        <f>"64720000"</f>
        <v>64720000</v>
      </c>
      <c r="C1776" t="str">
        <f t="shared" si="119"/>
        <v>LIL647200000</v>
      </c>
      <c r="E1776">
        <v>20175.64</v>
      </c>
      <c r="F1776">
        <v>0</v>
      </c>
      <c r="G1776">
        <f t="shared" si="120"/>
        <v>20175.64</v>
      </c>
    </row>
    <row r="1777" spans="1:7">
      <c r="A1777" t="str">
        <f>"BOU"</f>
        <v>BOU</v>
      </c>
      <c r="B1777" t="str">
        <f>"64740000"</f>
        <v>64740000</v>
      </c>
      <c r="C1777" t="str">
        <f t="shared" si="119"/>
        <v>BOU647400000</v>
      </c>
      <c r="E1777">
        <v>94.9</v>
      </c>
      <c r="F1777">
        <v>0</v>
      </c>
      <c r="G1777">
        <f t="shared" si="120"/>
        <v>94.9</v>
      </c>
    </row>
    <row r="1778" spans="1:7">
      <c r="A1778" t="str">
        <f>"LIL"</f>
        <v>LIL</v>
      </c>
      <c r="B1778" t="str">
        <f>"64740000"</f>
        <v>64740000</v>
      </c>
      <c r="C1778" t="str">
        <f t="shared" si="119"/>
        <v>LIL647400000</v>
      </c>
      <c r="E1778">
        <v>251.61</v>
      </c>
      <c r="F1778">
        <v>0</v>
      </c>
      <c r="G1778">
        <f t="shared" si="120"/>
        <v>251.61</v>
      </c>
    </row>
    <row r="1779" spans="1:7">
      <c r="A1779" t="str">
        <f>"MON"</f>
        <v>MON</v>
      </c>
      <c r="B1779" t="str">
        <f>"64740000"</f>
        <v>64740000</v>
      </c>
      <c r="C1779" t="str">
        <f t="shared" si="119"/>
        <v>MON647400000</v>
      </c>
      <c r="E1779">
        <v>65</v>
      </c>
      <c r="F1779">
        <v>0</v>
      </c>
      <c r="G1779">
        <f t="shared" si="120"/>
        <v>65</v>
      </c>
    </row>
    <row r="1780" spans="1:7">
      <c r="A1780" t="str">
        <f>"REN"</f>
        <v>REN</v>
      </c>
      <c r="B1780" t="str">
        <f>"64740000"</f>
        <v>64740000</v>
      </c>
      <c r="C1780" t="str">
        <f t="shared" si="119"/>
        <v>REN647400000</v>
      </c>
      <c r="E1780">
        <v>38.270000000000003</v>
      </c>
      <c r="F1780">
        <v>0</v>
      </c>
      <c r="G1780">
        <f t="shared" si="120"/>
        <v>38.270000000000003</v>
      </c>
    </row>
    <row r="1781" spans="1:7">
      <c r="A1781" t="str">
        <f>"VAN"</f>
        <v>VAN</v>
      </c>
      <c r="B1781" t="str">
        <f>"64740000"</f>
        <v>64740000</v>
      </c>
      <c r="C1781" t="str">
        <f t="shared" si="119"/>
        <v>VAN647400000</v>
      </c>
      <c r="E1781">
        <v>50</v>
      </c>
      <c r="F1781">
        <v>0</v>
      </c>
      <c r="G1781">
        <f t="shared" si="120"/>
        <v>50</v>
      </c>
    </row>
    <row r="1782" spans="1:7">
      <c r="A1782" t="str">
        <f>"LIL"</f>
        <v>LIL</v>
      </c>
      <c r="B1782" t="str">
        <f>"64741000"</f>
        <v>64741000</v>
      </c>
      <c r="C1782" t="str">
        <f t="shared" si="119"/>
        <v>LIL647410000</v>
      </c>
      <c r="E1782">
        <v>2853.14</v>
      </c>
      <c r="F1782">
        <v>2002.98</v>
      </c>
      <c r="G1782">
        <f t="shared" si="120"/>
        <v>850.15999999999985</v>
      </c>
    </row>
    <row r="1783" spans="1:7">
      <c r="A1783" t="str">
        <f>"ANG"</f>
        <v>ANG</v>
      </c>
      <c r="B1783" t="str">
        <f t="shared" ref="B1783:B1812" si="122">"64750000"</f>
        <v>64750000</v>
      </c>
      <c r="C1783" t="str">
        <f t="shared" si="119"/>
        <v>ANG647500000</v>
      </c>
      <c r="E1783">
        <v>258.05</v>
      </c>
      <c r="F1783">
        <v>0</v>
      </c>
      <c r="G1783">
        <f t="shared" si="120"/>
        <v>258.05</v>
      </c>
    </row>
    <row r="1784" spans="1:7">
      <c r="A1784" t="str">
        <f>"BET"</f>
        <v>BET</v>
      </c>
      <c r="B1784" t="str">
        <f t="shared" si="122"/>
        <v>64750000</v>
      </c>
      <c r="C1784" t="str">
        <f t="shared" si="119"/>
        <v>BET647500000</v>
      </c>
      <c r="E1784">
        <v>128</v>
      </c>
      <c r="F1784">
        <v>0</v>
      </c>
      <c r="G1784">
        <f t="shared" si="120"/>
        <v>128</v>
      </c>
    </row>
    <row r="1785" spans="1:7">
      <c r="A1785" t="str">
        <f>"BOI"</f>
        <v>BOI</v>
      </c>
      <c r="B1785" t="str">
        <f t="shared" si="122"/>
        <v>64750000</v>
      </c>
      <c r="C1785" t="str">
        <f t="shared" si="119"/>
        <v>BOI647500000</v>
      </c>
      <c r="E1785">
        <v>74.95</v>
      </c>
      <c r="F1785">
        <v>0</v>
      </c>
      <c r="G1785">
        <f t="shared" si="120"/>
        <v>74.95</v>
      </c>
    </row>
    <row r="1786" spans="1:7">
      <c r="A1786" t="str">
        <f>"BOS"</f>
        <v>BOS</v>
      </c>
      <c r="B1786" t="str">
        <f t="shared" si="122"/>
        <v>64750000</v>
      </c>
      <c r="C1786" t="str">
        <f t="shared" si="119"/>
        <v>BOS647500000</v>
      </c>
      <c r="E1786">
        <v>509</v>
      </c>
      <c r="F1786">
        <v>0</v>
      </c>
      <c r="G1786">
        <f t="shared" si="120"/>
        <v>509</v>
      </c>
    </row>
    <row r="1787" spans="1:7">
      <c r="A1787" t="str">
        <f>"BOU"</f>
        <v>BOU</v>
      </c>
      <c r="B1787" t="str">
        <f t="shared" si="122"/>
        <v>64750000</v>
      </c>
      <c r="C1787" t="str">
        <f t="shared" si="119"/>
        <v>BOU647500000</v>
      </c>
      <c r="E1787">
        <v>533.08000000000004</v>
      </c>
      <c r="F1787">
        <v>0</v>
      </c>
      <c r="G1787">
        <f t="shared" si="120"/>
        <v>533.08000000000004</v>
      </c>
    </row>
    <row r="1788" spans="1:7">
      <c r="A1788" t="str">
        <f>"CAL"</f>
        <v>CAL</v>
      </c>
      <c r="B1788" t="str">
        <f t="shared" si="122"/>
        <v>64750000</v>
      </c>
      <c r="C1788" t="str">
        <f t="shared" si="119"/>
        <v>CAL647500000</v>
      </c>
      <c r="E1788">
        <v>266.54000000000002</v>
      </c>
      <c r="F1788">
        <v>0</v>
      </c>
      <c r="G1788">
        <f t="shared" si="120"/>
        <v>266.54000000000002</v>
      </c>
    </row>
    <row r="1789" spans="1:7">
      <c r="A1789" t="str">
        <f>"CAM"</f>
        <v>CAM</v>
      </c>
      <c r="B1789" t="str">
        <f t="shared" si="122"/>
        <v>64750000</v>
      </c>
      <c r="C1789" t="str">
        <f t="shared" si="119"/>
        <v>CAM647500000</v>
      </c>
      <c r="E1789">
        <v>439.19</v>
      </c>
      <c r="F1789">
        <v>0</v>
      </c>
      <c r="G1789">
        <f t="shared" si="120"/>
        <v>439.19</v>
      </c>
    </row>
    <row r="1790" spans="1:7">
      <c r="A1790" t="str">
        <f>"CAU"</f>
        <v>CAU</v>
      </c>
      <c r="B1790" t="str">
        <f t="shared" si="122"/>
        <v>64750000</v>
      </c>
      <c r="C1790" t="str">
        <f t="shared" si="119"/>
        <v>CAU647500000</v>
      </c>
      <c r="E1790">
        <v>241.53</v>
      </c>
      <c r="F1790">
        <v>0</v>
      </c>
      <c r="G1790">
        <f t="shared" si="120"/>
        <v>241.53</v>
      </c>
    </row>
    <row r="1791" spans="1:7">
      <c r="A1791" t="str">
        <f>"CHA"</f>
        <v>CHA</v>
      </c>
      <c r="B1791" t="str">
        <f t="shared" si="122"/>
        <v>64750000</v>
      </c>
      <c r="C1791" t="str">
        <f t="shared" si="119"/>
        <v>CHA647500000</v>
      </c>
      <c r="E1791">
        <v>117.05</v>
      </c>
      <c r="F1791">
        <v>0</v>
      </c>
      <c r="G1791">
        <f t="shared" si="120"/>
        <v>117.05</v>
      </c>
    </row>
    <row r="1792" spans="1:7">
      <c r="A1792" t="str">
        <f>"CHAM"</f>
        <v>CHAM</v>
      </c>
      <c r="B1792" t="str">
        <f t="shared" si="122"/>
        <v>64750000</v>
      </c>
      <c r="C1792" t="str">
        <f t="shared" si="119"/>
        <v>CHAM647500000</v>
      </c>
      <c r="E1792">
        <v>252</v>
      </c>
      <c r="F1792">
        <v>0</v>
      </c>
      <c r="G1792">
        <f t="shared" si="120"/>
        <v>252</v>
      </c>
    </row>
    <row r="1793" spans="1:7">
      <c r="A1793" t="str">
        <f>"CHART"</f>
        <v>CHART</v>
      </c>
      <c r="B1793" t="str">
        <f t="shared" si="122"/>
        <v>64750000</v>
      </c>
      <c r="C1793" t="str">
        <f t="shared" si="119"/>
        <v>CHART647500000</v>
      </c>
      <c r="E1793">
        <v>167.86</v>
      </c>
      <c r="F1793">
        <v>0</v>
      </c>
      <c r="G1793">
        <f t="shared" si="120"/>
        <v>167.86</v>
      </c>
    </row>
    <row r="1794" spans="1:7">
      <c r="A1794" t="str">
        <f>"CLE"</f>
        <v>CLE</v>
      </c>
      <c r="B1794" t="str">
        <f t="shared" si="122"/>
        <v>64750000</v>
      </c>
      <c r="C1794" t="str">
        <f t="shared" si="119"/>
        <v>CLE647500000</v>
      </c>
      <c r="E1794">
        <v>790</v>
      </c>
      <c r="F1794">
        <v>0</v>
      </c>
      <c r="G1794">
        <f t="shared" si="120"/>
        <v>790</v>
      </c>
    </row>
    <row r="1795" spans="1:7">
      <c r="A1795" t="str">
        <f>"COM"</f>
        <v>COM</v>
      </c>
      <c r="B1795" t="str">
        <f t="shared" si="122"/>
        <v>64750000</v>
      </c>
      <c r="C1795" t="str">
        <f t="shared" ref="C1795:C1858" si="123">+A1795&amp;B1795*10</f>
        <v>COM647500000</v>
      </c>
      <c r="E1795">
        <v>204</v>
      </c>
      <c r="F1795">
        <v>0</v>
      </c>
      <c r="G1795">
        <f t="shared" ref="G1795:G1858" si="124">+E1795-F1795</f>
        <v>204</v>
      </c>
    </row>
    <row r="1796" spans="1:7">
      <c r="A1796" t="str">
        <f>"CST"</f>
        <v>CST</v>
      </c>
      <c r="B1796" t="str">
        <f t="shared" si="122"/>
        <v>64750000</v>
      </c>
      <c r="C1796" t="str">
        <f t="shared" si="123"/>
        <v>CST647500000</v>
      </c>
      <c r="E1796">
        <v>344</v>
      </c>
      <c r="F1796">
        <v>0</v>
      </c>
      <c r="G1796">
        <f t="shared" si="124"/>
        <v>344</v>
      </c>
    </row>
    <row r="1797" spans="1:7">
      <c r="A1797" t="str">
        <f>"EU"</f>
        <v>EU</v>
      </c>
      <c r="B1797" t="str">
        <f t="shared" si="122"/>
        <v>64750000</v>
      </c>
      <c r="C1797" t="str">
        <f t="shared" si="123"/>
        <v>EU647500000</v>
      </c>
      <c r="E1797">
        <v>715.3</v>
      </c>
      <c r="F1797">
        <v>0</v>
      </c>
      <c r="G1797">
        <f t="shared" si="124"/>
        <v>715.3</v>
      </c>
    </row>
    <row r="1798" spans="1:7">
      <c r="A1798" t="str">
        <f>"GRE"</f>
        <v>GRE</v>
      </c>
      <c r="B1798" t="str">
        <f t="shared" si="122"/>
        <v>64750000</v>
      </c>
      <c r="C1798" t="str">
        <f t="shared" si="123"/>
        <v>GRE647500000</v>
      </c>
      <c r="E1798">
        <v>333.6</v>
      </c>
      <c r="F1798">
        <v>0</v>
      </c>
      <c r="G1798">
        <f t="shared" si="124"/>
        <v>333.6</v>
      </c>
    </row>
    <row r="1799" spans="1:7">
      <c r="A1799" t="str">
        <f>"LEN"</f>
        <v>LEN</v>
      </c>
      <c r="B1799" t="str">
        <f t="shared" si="122"/>
        <v>64750000</v>
      </c>
      <c r="C1799" t="str">
        <f t="shared" si="123"/>
        <v>LEN647500000</v>
      </c>
      <c r="E1799">
        <v>128</v>
      </c>
      <c r="F1799">
        <v>0</v>
      </c>
      <c r="G1799">
        <f t="shared" si="124"/>
        <v>128</v>
      </c>
    </row>
    <row r="1800" spans="1:7">
      <c r="A1800" t="str">
        <f>"LIL"</f>
        <v>LIL</v>
      </c>
      <c r="B1800" t="str">
        <f t="shared" si="122"/>
        <v>64750000</v>
      </c>
      <c r="C1800" t="str">
        <f t="shared" si="123"/>
        <v>LIL647500000</v>
      </c>
      <c r="E1800">
        <v>652.55999999999995</v>
      </c>
      <c r="F1800">
        <v>0</v>
      </c>
      <c r="G1800">
        <f t="shared" si="124"/>
        <v>652.55999999999995</v>
      </c>
    </row>
    <row r="1801" spans="1:7">
      <c r="A1801" t="str">
        <f>"MAD"</f>
        <v>MAD</v>
      </c>
      <c r="B1801" t="str">
        <f t="shared" si="122"/>
        <v>64750000</v>
      </c>
      <c r="C1801" t="str">
        <f t="shared" si="123"/>
        <v>MAD647500000</v>
      </c>
      <c r="E1801">
        <v>160.72</v>
      </c>
      <c r="F1801">
        <v>0</v>
      </c>
      <c r="G1801">
        <f t="shared" si="124"/>
        <v>160.72</v>
      </c>
    </row>
    <row r="1802" spans="1:7">
      <c r="A1802" t="str">
        <f>"MAR"</f>
        <v>MAR</v>
      </c>
      <c r="B1802" t="str">
        <f t="shared" si="122"/>
        <v>64750000</v>
      </c>
      <c r="C1802" t="str">
        <f t="shared" si="123"/>
        <v>MAR647500000</v>
      </c>
      <c r="E1802">
        <v>139</v>
      </c>
      <c r="F1802">
        <v>0</v>
      </c>
      <c r="G1802">
        <f t="shared" si="124"/>
        <v>139</v>
      </c>
    </row>
    <row r="1803" spans="1:7">
      <c r="A1803" t="str">
        <f>"MON"</f>
        <v>MON</v>
      </c>
      <c r="B1803" t="str">
        <f t="shared" si="122"/>
        <v>64750000</v>
      </c>
      <c r="C1803" t="str">
        <f t="shared" si="123"/>
        <v>MON647500000</v>
      </c>
      <c r="E1803">
        <v>318.95</v>
      </c>
      <c r="F1803">
        <v>0</v>
      </c>
      <c r="G1803">
        <f t="shared" si="124"/>
        <v>318.95</v>
      </c>
    </row>
    <row r="1804" spans="1:7">
      <c r="A1804" t="str">
        <f>"NAN"</f>
        <v>NAN</v>
      </c>
      <c r="B1804" t="str">
        <f t="shared" si="122"/>
        <v>64750000</v>
      </c>
      <c r="C1804" t="str">
        <f t="shared" si="123"/>
        <v>NAN647500000</v>
      </c>
      <c r="E1804">
        <v>330.62</v>
      </c>
      <c r="F1804">
        <v>0</v>
      </c>
      <c r="G1804">
        <f t="shared" si="124"/>
        <v>330.62</v>
      </c>
    </row>
    <row r="1805" spans="1:7">
      <c r="A1805" t="str">
        <f>"ORL"</f>
        <v>ORL</v>
      </c>
      <c r="B1805" t="str">
        <f t="shared" si="122"/>
        <v>64750000</v>
      </c>
      <c r="C1805" t="str">
        <f t="shared" si="123"/>
        <v>ORL647500000</v>
      </c>
      <c r="E1805">
        <v>100</v>
      </c>
      <c r="F1805">
        <v>0</v>
      </c>
      <c r="G1805">
        <f t="shared" si="124"/>
        <v>100</v>
      </c>
    </row>
    <row r="1806" spans="1:7">
      <c r="A1806" t="str">
        <f>"REN"</f>
        <v>REN</v>
      </c>
      <c r="B1806" t="str">
        <f t="shared" si="122"/>
        <v>64750000</v>
      </c>
      <c r="C1806" t="str">
        <f t="shared" si="123"/>
        <v>REN647500000</v>
      </c>
      <c r="E1806">
        <v>52.6</v>
      </c>
      <c r="F1806">
        <v>0</v>
      </c>
      <c r="G1806">
        <f t="shared" si="124"/>
        <v>52.6</v>
      </c>
    </row>
    <row r="1807" spans="1:7">
      <c r="A1807" t="str">
        <f>"ROA"</f>
        <v>ROA</v>
      </c>
      <c r="B1807" t="str">
        <f t="shared" si="122"/>
        <v>64750000</v>
      </c>
      <c r="C1807" t="str">
        <f t="shared" si="123"/>
        <v>ROA647500000</v>
      </c>
      <c r="E1807">
        <v>452</v>
      </c>
      <c r="F1807">
        <v>0</v>
      </c>
      <c r="G1807">
        <f t="shared" si="124"/>
        <v>452</v>
      </c>
    </row>
    <row r="1808" spans="1:7">
      <c r="A1808" t="str">
        <f>"SAU"</f>
        <v>SAU</v>
      </c>
      <c r="B1808" t="str">
        <f t="shared" si="122"/>
        <v>64750000</v>
      </c>
      <c r="C1808" t="str">
        <f t="shared" si="123"/>
        <v>SAU647500000</v>
      </c>
      <c r="E1808">
        <v>116</v>
      </c>
      <c r="F1808">
        <v>0</v>
      </c>
      <c r="G1808">
        <f t="shared" si="124"/>
        <v>116</v>
      </c>
    </row>
    <row r="1809" spans="1:11">
      <c r="A1809" t="str">
        <f>"SOM"</f>
        <v>SOM</v>
      </c>
      <c r="B1809" t="str">
        <f t="shared" si="122"/>
        <v>64750000</v>
      </c>
      <c r="C1809" t="str">
        <f t="shared" si="123"/>
        <v>SOM647500000</v>
      </c>
      <c r="E1809">
        <v>560.17999999999995</v>
      </c>
      <c r="F1809">
        <v>0</v>
      </c>
      <c r="G1809">
        <f t="shared" si="124"/>
        <v>560.17999999999995</v>
      </c>
    </row>
    <row r="1810" spans="1:11">
      <c r="A1810" t="str">
        <f>"THO"</f>
        <v>THO</v>
      </c>
      <c r="B1810" t="str">
        <f t="shared" si="122"/>
        <v>64750000</v>
      </c>
      <c r="C1810" t="str">
        <f t="shared" si="123"/>
        <v>THO647500000</v>
      </c>
      <c r="E1810">
        <v>296</v>
      </c>
      <c r="F1810">
        <v>0</v>
      </c>
      <c r="G1810">
        <f t="shared" si="124"/>
        <v>296</v>
      </c>
      <c r="J1810" s="26"/>
      <c r="K1810" s="353"/>
    </row>
    <row r="1811" spans="1:11">
      <c r="A1811" t="str">
        <f>"TOURC"</f>
        <v>TOURC</v>
      </c>
      <c r="B1811" t="str">
        <f t="shared" si="122"/>
        <v>64750000</v>
      </c>
      <c r="C1811" t="str">
        <f t="shared" si="123"/>
        <v>TOURC647500000</v>
      </c>
      <c r="E1811">
        <v>81.510000000000005</v>
      </c>
      <c r="F1811">
        <v>0</v>
      </c>
      <c r="G1811">
        <f t="shared" si="124"/>
        <v>81.510000000000005</v>
      </c>
    </row>
    <row r="1812" spans="1:11">
      <c r="A1812" t="str">
        <f>"VAN"</f>
        <v>VAN</v>
      </c>
      <c r="B1812" t="str">
        <f t="shared" si="122"/>
        <v>64750000</v>
      </c>
      <c r="C1812" t="str">
        <f t="shared" si="123"/>
        <v>VAN647500000</v>
      </c>
      <c r="E1812">
        <v>400</v>
      </c>
      <c r="F1812">
        <v>0</v>
      </c>
      <c r="G1812">
        <f t="shared" si="124"/>
        <v>400</v>
      </c>
    </row>
    <row r="1813" spans="1:11">
      <c r="A1813" t="str">
        <f>"LIL"</f>
        <v>LIL</v>
      </c>
      <c r="B1813" t="str">
        <f>"64800000"</f>
        <v>64800000</v>
      </c>
      <c r="C1813" t="str">
        <f t="shared" si="123"/>
        <v>LIL648000000</v>
      </c>
      <c r="E1813">
        <v>82500</v>
      </c>
      <c r="F1813">
        <v>0</v>
      </c>
      <c r="G1813">
        <f t="shared" si="124"/>
        <v>82500</v>
      </c>
    </row>
    <row r="1814" spans="1:11">
      <c r="A1814" t="str">
        <f>"AMI"</f>
        <v>AMI</v>
      </c>
      <c r="B1814" t="str">
        <f t="shared" ref="B1814:B1819" si="125">"65160000"</f>
        <v>65160000</v>
      </c>
      <c r="C1814" t="str">
        <f t="shared" si="123"/>
        <v>AMI651600000</v>
      </c>
      <c r="E1814">
        <v>185.84</v>
      </c>
      <c r="F1814">
        <v>0</v>
      </c>
      <c r="G1814">
        <f t="shared" si="124"/>
        <v>185.84</v>
      </c>
    </row>
    <row r="1815" spans="1:11">
      <c r="A1815" t="str">
        <f>"ANG"</f>
        <v>ANG</v>
      </c>
      <c r="B1815" t="str">
        <f t="shared" si="125"/>
        <v>65160000</v>
      </c>
      <c r="C1815" t="str">
        <f t="shared" si="123"/>
        <v>ANG651600000</v>
      </c>
      <c r="E1815">
        <v>188.41</v>
      </c>
      <c r="F1815">
        <v>0</v>
      </c>
      <c r="G1815">
        <f t="shared" si="124"/>
        <v>188.41</v>
      </c>
    </row>
    <row r="1816" spans="1:11">
      <c r="A1816" t="str">
        <f>"EU"</f>
        <v>EU</v>
      </c>
      <c r="B1816" t="str">
        <f t="shared" si="125"/>
        <v>65160000</v>
      </c>
      <c r="C1816" t="str">
        <f t="shared" si="123"/>
        <v>EU651600000</v>
      </c>
      <c r="E1816">
        <v>592.45000000000005</v>
      </c>
      <c r="F1816">
        <v>0</v>
      </c>
      <c r="G1816">
        <f t="shared" si="124"/>
        <v>592.45000000000005</v>
      </c>
    </row>
    <row r="1817" spans="1:11">
      <c r="A1817" t="str">
        <f>"MON"</f>
        <v>MON</v>
      </c>
      <c r="B1817" t="str">
        <f t="shared" si="125"/>
        <v>65160000</v>
      </c>
      <c r="C1817" t="str">
        <f t="shared" si="123"/>
        <v>MON651600000</v>
      </c>
      <c r="E1817">
        <v>221.89</v>
      </c>
      <c r="F1817">
        <v>0</v>
      </c>
      <c r="G1817">
        <f t="shared" si="124"/>
        <v>221.89</v>
      </c>
    </row>
    <row r="1818" spans="1:11">
      <c r="A1818" t="str">
        <f>"NAN"</f>
        <v>NAN</v>
      </c>
      <c r="B1818" t="str">
        <f t="shared" si="125"/>
        <v>65160000</v>
      </c>
      <c r="C1818" t="str">
        <f t="shared" si="123"/>
        <v>NAN651600000</v>
      </c>
      <c r="E1818">
        <v>222.58</v>
      </c>
      <c r="F1818">
        <v>0</v>
      </c>
      <c r="G1818">
        <f t="shared" si="124"/>
        <v>222.58</v>
      </c>
    </row>
    <row r="1819" spans="1:11">
      <c r="A1819" t="str">
        <f>"VAN"</f>
        <v>VAN</v>
      </c>
      <c r="B1819" t="str">
        <f t="shared" si="125"/>
        <v>65160000</v>
      </c>
      <c r="C1819" t="str">
        <f t="shared" si="123"/>
        <v>VAN651600000</v>
      </c>
      <c r="E1819">
        <v>145.72999999999999</v>
      </c>
      <c r="F1819">
        <v>0</v>
      </c>
      <c r="G1819">
        <f t="shared" si="124"/>
        <v>145.72999999999999</v>
      </c>
    </row>
    <row r="1820" spans="1:11">
      <c r="A1820" t="str">
        <f>"AMI"</f>
        <v>AMI</v>
      </c>
      <c r="B1820" t="str">
        <f t="shared" ref="B1820:B1851" si="126">"65410000"</f>
        <v>65410000</v>
      </c>
      <c r="C1820" t="str">
        <f t="shared" si="123"/>
        <v>AMI654100000</v>
      </c>
      <c r="E1820">
        <v>-7.82</v>
      </c>
      <c r="F1820">
        <v>0.01</v>
      </c>
      <c r="G1820">
        <f t="shared" si="124"/>
        <v>-7.83</v>
      </c>
    </row>
    <row r="1821" spans="1:11">
      <c r="A1821" t="str">
        <f>"ANG"</f>
        <v>ANG</v>
      </c>
      <c r="B1821" t="str">
        <f t="shared" si="126"/>
        <v>65410000</v>
      </c>
      <c r="C1821" t="str">
        <f t="shared" si="123"/>
        <v>ANG654100000</v>
      </c>
      <c r="E1821">
        <v>0.18</v>
      </c>
      <c r="F1821">
        <v>0.6</v>
      </c>
      <c r="G1821">
        <f t="shared" si="124"/>
        <v>-0.42</v>
      </c>
    </row>
    <row r="1822" spans="1:11">
      <c r="A1822" t="str">
        <f>"BET"</f>
        <v>BET</v>
      </c>
      <c r="B1822" t="str">
        <f t="shared" si="126"/>
        <v>65410000</v>
      </c>
      <c r="C1822" t="str">
        <f t="shared" si="123"/>
        <v>BET654100000</v>
      </c>
      <c r="E1822">
        <v>0.33</v>
      </c>
      <c r="F1822">
        <v>0</v>
      </c>
      <c r="G1822">
        <f t="shared" si="124"/>
        <v>0.33</v>
      </c>
      <c r="H1822" s="433"/>
      <c r="I1822" s="113"/>
    </row>
    <row r="1823" spans="1:11">
      <c r="A1823" t="str">
        <f>"BOI"</f>
        <v>BOI</v>
      </c>
      <c r="B1823" t="str">
        <f t="shared" si="126"/>
        <v>65410000</v>
      </c>
      <c r="C1823" t="str">
        <f t="shared" si="123"/>
        <v>BOI654100000</v>
      </c>
      <c r="E1823">
        <v>0.01</v>
      </c>
      <c r="F1823">
        <v>0.01</v>
      </c>
      <c r="G1823">
        <f t="shared" si="124"/>
        <v>0</v>
      </c>
    </row>
    <row r="1824" spans="1:11">
      <c r="A1824" t="str">
        <f>"BOS"</f>
        <v>BOS</v>
      </c>
      <c r="B1824" t="str">
        <f t="shared" si="126"/>
        <v>65410000</v>
      </c>
      <c r="C1824" t="str">
        <f t="shared" si="123"/>
        <v>BOS654100000</v>
      </c>
      <c r="E1824">
        <v>3.69</v>
      </c>
      <c r="F1824">
        <v>0.09</v>
      </c>
      <c r="G1824">
        <f t="shared" si="124"/>
        <v>3.6</v>
      </c>
    </row>
    <row r="1825" spans="1:7">
      <c r="A1825" t="str">
        <f>"BOU"</f>
        <v>BOU</v>
      </c>
      <c r="B1825" t="str">
        <f t="shared" si="126"/>
        <v>65410000</v>
      </c>
      <c r="C1825" t="str">
        <f t="shared" si="123"/>
        <v>BOU654100000</v>
      </c>
      <c r="E1825">
        <v>10.130000000000001</v>
      </c>
      <c r="F1825">
        <v>6.14</v>
      </c>
      <c r="G1825">
        <f t="shared" si="124"/>
        <v>3.9900000000000011</v>
      </c>
    </row>
    <row r="1826" spans="1:7">
      <c r="A1826" t="str">
        <f>"CAL"</f>
        <v>CAL</v>
      </c>
      <c r="B1826" t="str">
        <f t="shared" si="126"/>
        <v>65410000</v>
      </c>
      <c r="C1826" t="str">
        <f t="shared" si="123"/>
        <v>CAL654100000</v>
      </c>
      <c r="E1826">
        <v>-4.4000000000000004</v>
      </c>
      <c r="F1826">
        <v>2.4</v>
      </c>
      <c r="G1826">
        <f t="shared" si="124"/>
        <v>-6.8000000000000007</v>
      </c>
    </row>
    <row r="1827" spans="1:7">
      <c r="A1827" t="str">
        <f>"CAM"</f>
        <v>CAM</v>
      </c>
      <c r="B1827" t="str">
        <f t="shared" si="126"/>
        <v>65410000</v>
      </c>
      <c r="C1827" t="str">
        <f t="shared" si="123"/>
        <v>CAM654100000</v>
      </c>
      <c r="E1827">
        <v>2.31</v>
      </c>
      <c r="F1827">
        <v>9.69</v>
      </c>
      <c r="G1827">
        <f t="shared" si="124"/>
        <v>-7.379999999999999</v>
      </c>
    </row>
    <row r="1828" spans="1:7">
      <c r="A1828" t="str">
        <f>"CAU"</f>
        <v>CAU</v>
      </c>
      <c r="B1828" t="str">
        <f t="shared" si="126"/>
        <v>65410000</v>
      </c>
      <c r="C1828" t="str">
        <f t="shared" si="123"/>
        <v>CAU654100000</v>
      </c>
      <c r="E1828">
        <v>4.0999999999999996</v>
      </c>
      <c r="F1828">
        <v>0.05</v>
      </c>
      <c r="G1828">
        <f t="shared" si="124"/>
        <v>4.05</v>
      </c>
    </row>
    <row r="1829" spans="1:7">
      <c r="A1829" t="str">
        <f>"CHA"</f>
        <v>CHA</v>
      </c>
      <c r="B1829" t="str">
        <f t="shared" si="126"/>
        <v>65410000</v>
      </c>
      <c r="C1829" t="str">
        <f t="shared" si="123"/>
        <v>CHA654100000</v>
      </c>
      <c r="E1829">
        <v>1.78</v>
      </c>
      <c r="F1829">
        <v>1.26</v>
      </c>
      <c r="G1829">
        <f t="shared" si="124"/>
        <v>0.52</v>
      </c>
    </row>
    <row r="1830" spans="1:7">
      <c r="A1830" t="str">
        <f>"CHAM"</f>
        <v>CHAM</v>
      </c>
      <c r="B1830" t="str">
        <f t="shared" si="126"/>
        <v>65410000</v>
      </c>
      <c r="C1830" t="str">
        <f t="shared" si="123"/>
        <v>CHAM654100000</v>
      </c>
      <c r="E1830">
        <v>5.48</v>
      </c>
      <c r="F1830">
        <v>0.24</v>
      </c>
      <c r="G1830">
        <f t="shared" si="124"/>
        <v>5.24</v>
      </c>
    </row>
    <row r="1831" spans="1:7">
      <c r="A1831" t="str">
        <f>"CHART"</f>
        <v>CHART</v>
      </c>
      <c r="B1831" t="str">
        <f t="shared" si="126"/>
        <v>65410000</v>
      </c>
      <c r="C1831" t="str">
        <f t="shared" si="123"/>
        <v>CHART654100000</v>
      </c>
      <c r="E1831">
        <v>0.21</v>
      </c>
      <c r="F1831">
        <v>0.42</v>
      </c>
      <c r="G1831">
        <f t="shared" si="124"/>
        <v>-0.21</v>
      </c>
    </row>
    <row r="1832" spans="1:7">
      <c r="A1832" t="str">
        <f>"CLE"</f>
        <v>CLE</v>
      </c>
      <c r="B1832" t="str">
        <f t="shared" si="126"/>
        <v>65410000</v>
      </c>
      <c r="C1832" t="str">
        <f t="shared" si="123"/>
        <v>CLE654100000</v>
      </c>
      <c r="E1832">
        <v>-3.89</v>
      </c>
      <c r="F1832">
        <v>1.36</v>
      </c>
      <c r="G1832">
        <f t="shared" si="124"/>
        <v>-5.25</v>
      </c>
    </row>
    <row r="1833" spans="1:7">
      <c r="A1833" t="str">
        <f>"COM"</f>
        <v>COM</v>
      </c>
      <c r="B1833" t="str">
        <f t="shared" si="126"/>
        <v>65410000</v>
      </c>
      <c r="C1833" t="str">
        <f t="shared" si="123"/>
        <v>COM654100000</v>
      </c>
      <c r="E1833">
        <v>2.57</v>
      </c>
      <c r="F1833">
        <v>0.89</v>
      </c>
      <c r="G1833">
        <f t="shared" si="124"/>
        <v>1.6799999999999997</v>
      </c>
    </row>
    <row r="1834" spans="1:7">
      <c r="A1834" t="str">
        <f>"CST"</f>
        <v>CST</v>
      </c>
      <c r="B1834" t="str">
        <f t="shared" si="126"/>
        <v>65410000</v>
      </c>
      <c r="C1834" t="str">
        <f t="shared" si="123"/>
        <v>CST654100000</v>
      </c>
      <c r="E1834">
        <v>6.17</v>
      </c>
      <c r="F1834">
        <v>0.01</v>
      </c>
      <c r="G1834">
        <f t="shared" si="124"/>
        <v>6.16</v>
      </c>
    </row>
    <row r="1835" spans="1:7">
      <c r="A1835" t="str">
        <f>"DIJ"</f>
        <v>DIJ</v>
      </c>
      <c r="B1835" t="str">
        <f t="shared" si="126"/>
        <v>65410000</v>
      </c>
      <c r="C1835" t="str">
        <f t="shared" si="123"/>
        <v>DIJ654100000</v>
      </c>
      <c r="E1835">
        <v>0.31</v>
      </c>
      <c r="F1835">
        <v>0.35</v>
      </c>
      <c r="G1835">
        <f t="shared" si="124"/>
        <v>-3.999999999999998E-2</v>
      </c>
    </row>
    <row r="1836" spans="1:7">
      <c r="A1836" t="str">
        <f>"EU"</f>
        <v>EU</v>
      </c>
      <c r="B1836" t="str">
        <f t="shared" si="126"/>
        <v>65410000</v>
      </c>
      <c r="C1836" t="str">
        <f t="shared" si="123"/>
        <v>EU654100000</v>
      </c>
      <c r="E1836">
        <v>100.52</v>
      </c>
      <c r="F1836">
        <v>1.56</v>
      </c>
      <c r="G1836">
        <f t="shared" si="124"/>
        <v>98.96</v>
      </c>
    </row>
    <row r="1837" spans="1:7">
      <c r="A1837" t="str">
        <f>"GRE"</f>
        <v>GRE</v>
      </c>
      <c r="B1837" t="str">
        <f t="shared" si="126"/>
        <v>65410000</v>
      </c>
      <c r="C1837" t="str">
        <f t="shared" si="123"/>
        <v>GRE654100000</v>
      </c>
      <c r="E1837">
        <v>0.68</v>
      </c>
      <c r="F1837">
        <v>0.08</v>
      </c>
      <c r="G1837">
        <f t="shared" si="124"/>
        <v>0.60000000000000009</v>
      </c>
    </row>
    <row r="1838" spans="1:7">
      <c r="A1838" t="str">
        <f>"LEN"</f>
        <v>LEN</v>
      </c>
      <c r="B1838" t="str">
        <f t="shared" si="126"/>
        <v>65410000</v>
      </c>
      <c r="C1838" t="str">
        <f t="shared" si="123"/>
        <v>LEN654100000</v>
      </c>
      <c r="E1838">
        <v>0.41</v>
      </c>
      <c r="F1838">
        <v>0.01</v>
      </c>
      <c r="G1838">
        <f t="shared" si="124"/>
        <v>0.39999999999999997</v>
      </c>
    </row>
    <row r="1839" spans="1:7">
      <c r="A1839" t="str">
        <f>"LIL"</f>
        <v>LIL</v>
      </c>
      <c r="B1839" t="str">
        <f t="shared" si="126"/>
        <v>65410000</v>
      </c>
      <c r="C1839" t="str">
        <f t="shared" si="123"/>
        <v>LIL654100000</v>
      </c>
      <c r="E1839">
        <v>9.4600000000000009</v>
      </c>
      <c r="F1839">
        <v>1.92</v>
      </c>
      <c r="G1839">
        <f t="shared" si="124"/>
        <v>7.5400000000000009</v>
      </c>
    </row>
    <row r="1840" spans="1:7">
      <c r="A1840" t="str">
        <f>"MAD"</f>
        <v>MAD</v>
      </c>
      <c r="B1840" t="str">
        <f t="shared" si="126"/>
        <v>65410000</v>
      </c>
      <c r="C1840" t="str">
        <f t="shared" si="123"/>
        <v>MAD654100000</v>
      </c>
      <c r="E1840">
        <v>1.4</v>
      </c>
      <c r="F1840">
        <v>1.1200000000000001</v>
      </c>
      <c r="G1840">
        <f t="shared" si="124"/>
        <v>0.2799999999999998</v>
      </c>
    </row>
    <row r="1841" spans="1:9">
      <c r="A1841" t="str">
        <f>"MAR"</f>
        <v>MAR</v>
      </c>
      <c r="B1841" t="str">
        <f t="shared" si="126"/>
        <v>65410000</v>
      </c>
      <c r="C1841" t="str">
        <f t="shared" si="123"/>
        <v>MAR654100000</v>
      </c>
      <c r="E1841">
        <v>1.26</v>
      </c>
      <c r="F1841">
        <v>0.04</v>
      </c>
      <c r="G1841">
        <f t="shared" si="124"/>
        <v>1.22</v>
      </c>
    </row>
    <row r="1842" spans="1:9">
      <c r="A1842" t="str">
        <f>"MON"</f>
        <v>MON</v>
      </c>
      <c r="B1842" t="str">
        <f t="shared" si="126"/>
        <v>65410000</v>
      </c>
      <c r="C1842" t="str">
        <f t="shared" si="123"/>
        <v>MON654100000</v>
      </c>
      <c r="E1842">
        <v>11.39</v>
      </c>
      <c r="F1842">
        <v>0.13</v>
      </c>
      <c r="G1842">
        <f t="shared" si="124"/>
        <v>11.26</v>
      </c>
    </row>
    <row r="1843" spans="1:9">
      <c r="A1843" t="str">
        <f>"NAN"</f>
        <v>NAN</v>
      </c>
      <c r="B1843" t="str">
        <f t="shared" si="126"/>
        <v>65410000</v>
      </c>
      <c r="C1843" t="str">
        <f t="shared" si="123"/>
        <v>NAN654100000</v>
      </c>
      <c r="E1843">
        <v>46.14</v>
      </c>
      <c r="F1843">
        <v>0.72</v>
      </c>
      <c r="G1843">
        <f t="shared" si="124"/>
        <v>45.42</v>
      </c>
    </row>
    <row r="1844" spans="1:9">
      <c r="A1844" t="str">
        <f>"ORL"</f>
        <v>ORL</v>
      </c>
      <c r="B1844" t="str">
        <f t="shared" si="126"/>
        <v>65410000</v>
      </c>
      <c r="C1844" t="str">
        <f t="shared" si="123"/>
        <v>ORL654100000</v>
      </c>
      <c r="E1844">
        <v>2.2599999999999998</v>
      </c>
      <c r="F1844">
        <v>0.49</v>
      </c>
      <c r="G1844">
        <f t="shared" si="124"/>
        <v>1.7699999999999998</v>
      </c>
    </row>
    <row r="1845" spans="1:9">
      <c r="A1845" t="str">
        <f>"REN"</f>
        <v>REN</v>
      </c>
      <c r="B1845" t="str">
        <f t="shared" si="126"/>
        <v>65410000</v>
      </c>
      <c r="C1845" t="str">
        <f t="shared" si="123"/>
        <v>REN654100000</v>
      </c>
      <c r="E1845">
        <v>0.71</v>
      </c>
      <c r="F1845">
        <v>0.1</v>
      </c>
      <c r="G1845">
        <f t="shared" si="124"/>
        <v>0.61</v>
      </c>
    </row>
    <row r="1846" spans="1:9">
      <c r="A1846" t="str">
        <f>"ROA"</f>
        <v>ROA</v>
      </c>
      <c r="B1846" t="str">
        <f t="shared" si="126"/>
        <v>65410000</v>
      </c>
      <c r="C1846" t="str">
        <f t="shared" si="123"/>
        <v>ROA654100000</v>
      </c>
      <c r="E1846">
        <v>37.15</v>
      </c>
      <c r="F1846">
        <v>3.16</v>
      </c>
      <c r="G1846">
        <f t="shared" si="124"/>
        <v>33.989999999999995</v>
      </c>
    </row>
    <row r="1847" spans="1:9">
      <c r="A1847" t="str">
        <f>"SAU"</f>
        <v>SAU</v>
      </c>
      <c r="B1847" t="str">
        <f t="shared" si="126"/>
        <v>65410000</v>
      </c>
      <c r="C1847" t="str">
        <f t="shared" si="123"/>
        <v>SAU654100000</v>
      </c>
      <c r="E1847">
        <v>1.75</v>
      </c>
      <c r="F1847">
        <v>0.01</v>
      </c>
      <c r="G1847">
        <f t="shared" si="124"/>
        <v>1.74</v>
      </c>
    </row>
    <row r="1848" spans="1:9">
      <c r="A1848" t="str">
        <f>"SOM"</f>
        <v>SOM</v>
      </c>
      <c r="B1848" t="str">
        <f t="shared" si="126"/>
        <v>65410000</v>
      </c>
      <c r="C1848" t="str">
        <f t="shared" si="123"/>
        <v>SOM654100000</v>
      </c>
      <c r="E1848">
        <v>8.3000000000000007</v>
      </c>
      <c r="F1848">
        <v>8.86</v>
      </c>
      <c r="G1848">
        <f t="shared" si="124"/>
        <v>-0.55999999999999872</v>
      </c>
    </row>
    <row r="1849" spans="1:9">
      <c r="A1849" t="str">
        <f>"THO"</f>
        <v>THO</v>
      </c>
      <c r="B1849" t="str">
        <f t="shared" si="126"/>
        <v>65410000</v>
      </c>
      <c r="C1849" t="str">
        <f t="shared" si="123"/>
        <v>THO654100000</v>
      </c>
      <c r="E1849">
        <v>0.91</v>
      </c>
      <c r="F1849">
        <v>0.01</v>
      </c>
      <c r="G1849">
        <f t="shared" si="124"/>
        <v>0.9</v>
      </c>
    </row>
    <row r="1850" spans="1:9">
      <c r="A1850" t="str">
        <f>"TOURC"</f>
        <v>TOURC</v>
      </c>
      <c r="B1850" t="str">
        <f t="shared" si="126"/>
        <v>65410000</v>
      </c>
      <c r="C1850" t="str">
        <f t="shared" si="123"/>
        <v>TOURC654100000</v>
      </c>
      <c r="E1850">
        <v>0.02</v>
      </c>
      <c r="F1850">
        <v>0</v>
      </c>
      <c r="G1850">
        <f t="shared" si="124"/>
        <v>0.02</v>
      </c>
      <c r="H1850" s="433"/>
      <c r="I1850" s="113"/>
    </row>
    <row r="1851" spans="1:9">
      <c r="A1851" t="str">
        <f>"VAN"</f>
        <v>VAN</v>
      </c>
      <c r="B1851" t="str">
        <f t="shared" si="126"/>
        <v>65410000</v>
      </c>
      <c r="C1851" t="str">
        <f t="shared" si="123"/>
        <v>VAN654100000</v>
      </c>
      <c r="E1851">
        <v>3944.65</v>
      </c>
      <c r="F1851">
        <v>3957.33</v>
      </c>
      <c r="G1851">
        <f t="shared" si="124"/>
        <v>-12.679999999999836</v>
      </c>
    </row>
    <row r="1852" spans="1:9">
      <c r="A1852" t="str">
        <f>"AMI"</f>
        <v>AMI</v>
      </c>
      <c r="B1852" t="str">
        <f t="shared" ref="B1852:B1876" si="127">"65420000"</f>
        <v>65420000</v>
      </c>
      <c r="C1852" t="str">
        <f t="shared" si="123"/>
        <v>AMI654200000</v>
      </c>
      <c r="E1852">
        <v>17.97</v>
      </c>
      <c r="F1852">
        <v>0</v>
      </c>
      <c r="G1852">
        <f t="shared" si="124"/>
        <v>17.97</v>
      </c>
    </row>
    <row r="1853" spans="1:9">
      <c r="A1853" t="str">
        <f>"ANG"</f>
        <v>ANG</v>
      </c>
      <c r="B1853" t="str">
        <f t="shared" si="127"/>
        <v>65420000</v>
      </c>
      <c r="C1853" t="str">
        <f t="shared" si="123"/>
        <v>ANG654200000</v>
      </c>
      <c r="E1853">
        <v>28.74</v>
      </c>
      <c r="F1853">
        <v>0</v>
      </c>
      <c r="G1853">
        <f t="shared" si="124"/>
        <v>28.74</v>
      </c>
    </row>
    <row r="1854" spans="1:9">
      <c r="A1854" t="str">
        <f>"BET"</f>
        <v>BET</v>
      </c>
      <c r="B1854" t="str">
        <f t="shared" si="127"/>
        <v>65420000</v>
      </c>
      <c r="C1854" t="str">
        <f t="shared" si="123"/>
        <v>BET654200000</v>
      </c>
      <c r="E1854">
        <v>7.19</v>
      </c>
      <c r="F1854">
        <v>0</v>
      </c>
      <c r="G1854">
        <f t="shared" si="124"/>
        <v>7.19</v>
      </c>
      <c r="H1854" s="26"/>
    </row>
    <row r="1855" spans="1:9">
      <c r="A1855" t="str">
        <f>"BOS"</f>
        <v>BOS</v>
      </c>
      <c r="B1855" t="str">
        <f t="shared" si="127"/>
        <v>65420000</v>
      </c>
      <c r="C1855" t="str">
        <f t="shared" si="123"/>
        <v>BOS654200000</v>
      </c>
      <c r="E1855">
        <v>14.35</v>
      </c>
      <c r="F1855">
        <v>0</v>
      </c>
      <c r="G1855">
        <f t="shared" si="124"/>
        <v>14.35</v>
      </c>
    </row>
    <row r="1856" spans="1:9">
      <c r="A1856" t="str">
        <f>"BOU"</f>
        <v>BOU</v>
      </c>
      <c r="B1856" t="str">
        <f t="shared" si="127"/>
        <v>65420000</v>
      </c>
      <c r="C1856" t="str">
        <f t="shared" si="123"/>
        <v>BOU654200000</v>
      </c>
      <c r="E1856">
        <v>25.13</v>
      </c>
      <c r="F1856">
        <v>0</v>
      </c>
      <c r="G1856">
        <f t="shared" si="124"/>
        <v>25.13</v>
      </c>
    </row>
    <row r="1857" spans="1:10">
      <c r="A1857" t="str">
        <f>"CAL"</f>
        <v>CAL</v>
      </c>
      <c r="B1857" t="str">
        <f t="shared" si="127"/>
        <v>65420000</v>
      </c>
      <c r="C1857" t="str">
        <f t="shared" si="123"/>
        <v>CAL654200000</v>
      </c>
      <c r="E1857">
        <v>28.72</v>
      </c>
      <c r="F1857">
        <v>0</v>
      </c>
      <c r="G1857">
        <f t="shared" si="124"/>
        <v>28.72</v>
      </c>
    </row>
    <row r="1858" spans="1:10">
      <c r="A1858" t="str">
        <f>"CAM"</f>
        <v>CAM</v>
      </c>
      <c r="B1858" t="str">
        <f t="shared" si="127"/>
        <v>65420000</v>
      </c>
      <c r="C1858" t="str">
        <f t="shared" si="123"/>
        <v>CAM654200000</v>
      </c>
      <c r="E1858">
        <v>3.59</v>
      </c>
      <c r="F1858">
        <v>0</v>
      </c>
      <c r="G1858">
        <f t="shared" si="124"/>
        <v>3.59</v>
      </c>
    </row>
    <row r="1859" spans="1:10">
      <c r="A1859" t="str">
        <f>"CAU"</f>
        <v>CAU</v>
      </c>
      <c r="B1859" t="str">
        <f t="shared" si="127"/>
        <v>65420000</v>
      </c>
      <c r="C1859" t="str">
        <f t="shared" ref="C1859:C1922" si="128">+A1859&amp;B1859*10</f>
        <v>CAU654200000</v>
      </c>
      <c r="E1859">
        <v>10.77</v>
      </c>
      <c r="F1859">
        <v>0</v>
      </c>
      <c r="G1859">
        <f t="shared" ref="G1859:G1922" si="129">+E1859-F1859</f>
        <v>10.77</v>
      </c>
    </row>
    <row r="1860" spans="1:10">
      <c r="A1860" t="str">
        <f>"CHAM"</f>
        <v>CHAM</v>
      </c>
      <c r="B1860" t="str">
        <f t="shared" si="127"/>
        <v>65420000</v>
      </c>
      <c r="C1860" t="str">
        <f t="shared" si="128"/>
        <v>CHAM654200000</v>
      </c>
      <c r="E1860">
        <v>10.18</v>
      </c>
      <c r="F1860">
        <v>0</v>
      </c>
      <c r="G1860">
        <f t="shared" si="129"/>
        <v>10.18</v>
      </c>
    </row>
    <row r="1861" spans="1:10">
      <c r="A1861" t="str">
        <f>"CHART"</f>
        <v>CHART</v>
      </c>
      <c r="B1861" t="str">
        <f t="shared" si="127"/>
        <v>65420000</v>
      </c>
      <c r="C1861" t="str">
        <f t="shared" si="128"/>
        <v>CHART654200000</v>
      </c>
      <c r="E1861">
        <v>6.59</v>
      </c>
      <c r="F1861">
        <v>0</v>
      </c>
      <c r="G1861">
        <f t="shared" si="129"/>
        <v>6.59</v>
      </c>
    </row>
    <row r="1862" spans="1:10">
      <c r="A1862" t="str">
        <f>"CLE"</f>
        <v>CLE</v>
      </c>
      <c r="B1862" t="str">
        <f t="shared" si="127"/>
        <v>65420000</v>
      </c>
      <c r="C1862" t="str">
        <f t="shared" si="128"/>
        <v>CLE654200000</v>
      </c>
      <c r="E1862">
        <v>4.7300000000000004</v>
      </c>
      <c r="F1862">
        <v>0</v>
      </c>
      <c r="G1862">
        <f t="shared" si="129"/>
        <v>4.7300000000000004</v>
      </c>
    </row>
    <row r="1863" spans="1:10">
      <c r="A1863" t="str">
        <f>"COM"</f>
        <v>COM</v>
      </c>
      <c r="B1863" t="str">
        <f t="shared" si="127"/>
        <v>65420000</v>
      </c>
      <c r="C1863" t="str">
        <f t="shared" si="128"/>
        <v>COM654200000</v>
      </c>
      <c r="E1863">
        <v>14.36</v>
      </c>
      <c r="F1863">
        <v>0</v>
      </c>
      <c r="G1863">
        <f t="shared" si="129"/>
        <v>14.36</v>
      </c>
    </row>
    <row r="1864" spans="1:10">
      <c r="A1864" t="str">
        <f>"CST"</f>
        <v>CST</v>
      </c>
      <c r="B1864" t="str">
        <f t="shared" si="127"/>
        <v>65420000</v>
      </c>
      <c r="C1864" t="str">
        <f t="shared" si="128"/>
        <v>CST654200000</v>
      </c>
      <c r="E1864">
        <v>0</v>
      </c>
      <c r="F1864">
        <v>0</v>
      </c>
      <c r="G1864">
        <f t="shared" si="129"/>
        <v>0</v>
      </c>
    </row>
    <row r="1865" spans="1:10">
      <c r="A1865" t="str">
        <f>"DIJ"</f>
        <v>DIJ</v>
      </c>
      <c r="B1865" t="str">
        <f t="shared" si="127"/>
        <v>65420000</v>
      </c>
      <c r="C1865" t="str">
        <f t="shared" si="128"/>
        <v>DIJ654200000</v>
      </c>
      <c r="E1865">
        <v>10.77</v>
      </c>
      <c r="F1865">
        <v>0</v>
      </c>
      <c r="G1865">
        <f t="shared" si="129"/>
        <v>10.77</v>
      </c>
    </row>
    <row r="1866" spans="1:10">
      <c r="A1866" t="str">
        <f>"EU"</f>
        <v>EU</v>
      </c>
      <c r="B1866" t="str">
        <f t="shared" si="127"/>
        <v>65420000</v>
      </c>
      <c r="C1866" t="str">
        <f t="shared" si="128"/>
        <v>EU654200000</v>
      </c>
      <c r="E1866">
        <v>21.54</v>
      </c>
      <c r="F1866">
        <v>0</v>
      </c>
      <c r="G1866">
        <f t="shared" si="129"/>
        <v>21.54</v>
      </c>
    </row>
    <row r="1867" spans="1:10">
      <c r="A1867" t="str">
        <f>"GRE"</f>
        <v>GRE</v>
      </c>
      <c r="B1867" t="str">
        <f t="shared" si="127"/>
        <v>65420000</v>
      </c>
      <c r="C1867" t="str">
        <f t="shared" si="128"/>
        <v>GRE654200000</v>
      </c>
      <c r="E1867">
        <v>31.1</v>
      </c>
      <c r="F1867">
        <v>0</v>
      </c>
      <c r="G1867">
        <f t="shared" si="129"/>
        <v>31.1</v>
      </c>
    </row>
    <row r="1868" spans="1:10">
      <c r="A1868" t="str">
        <f>"LIL"</f>
        <v>LIL</v>
      </c>
      <c r="B1868" t="str">
        <f t="shared" si="127"/>
        <v>65420000</v>
      </c>
      <c r="C1868" t="str">
        <f t="shared" si="128"/>
        <v>LIL654200000</v>
      </c>
      <c r="E1868">
        <v>4.17</v>
      </c>
      <c r="F1868">
        <v>0</v>
      </c>
      <c r="G1868">
        <f t="shared" si="129"/>
        <v>4.17</v>
      </c>
    </row>
    <row r="1869" spans="1:10">
      <c r="A1869" t="str">
        <f>"MON"</f>
        <v>MON</v>
      </c>
      <c r="B1869" t="str">
        <f t="shared" si="127"/>
        <v>65420000</v>
      </c>
      <c r="C1869" t="str">
        <f t="shared" si="128"/>
        <v>MON654200000</v>
      </c>
      <c r="E1869">
        <v>3.59</v>
      </c>
      <c r="F1869">
        <v>0</v>
      </c>
      <c r="G1869">
        <f t="shared" si="129"/>
        <v>3.59</v>
      </c>
      <c r="J1869" s="26"/>
    </row>
    <row r="1870" spans="1:10">
      <c r="A1870" t="str">
        <f>"NAN"</f>
        <v>NAN</v>
      </c>
      <c r="B1870" t="str">
        <f t="shared" si="127"/>
        <v>65420000</v>
      </c>
      <c r="C1870" t="str">
        <f t="shared" si="128"/>
        <v>NAN654200000</v>
      </c>
      <c r="E1870">
        <v>41.91</v>
      </c>
      <c r="F1870">
        <v>0</v>
      </c>
      <c r="G1870">
        <f t="shared" si="129"/>
        <v>41.91</v>
      </c>
    </row>
    <row r="1871" spans="1:10">
      <c r="A1871" t="str">
        <f>"ORL"</f>
        <v>ORL</v>
      </c>
      <c r="B1871" t="str">
        <f t="shared" si="127"/>
        <v>65420000</v>
      </c>
      <c r="C1871" t="str">
        <f t="shared" si="128"/>
        <v>ORL654200000</v>
      </c>
      <c r="E1871">
        <v>3.59</v>
      </c>
      <c r="F1871">
        <v>0</v>
      </c>
      <c r="G1871">
        <f t="shared" si="129"/>
        <v>3.59</v>
      </c>
    </row>
    <row r="1872" spans="1:10">
      <c r="A1872" t="str">
        <f>"REN"</f>
        <v>REN</v>
      </c>
      <c r="B1872" t="str">
        <f t="shared" si="127"/>
        <v>65420000</v>
      </c>
      <c r="C1872" t="str">
        <f t="shared" si="128"/>
        <v>REN654200000</v>
      </c>
      <c r="E1872">
        <v>10.78</v>
      </c>
      <c r="F1872">
        <v>0</v>
      </c>
      <c r="G1872">
        <f t="shared" si="129"/>
        <v>10.78</v>
      </c>
    </row>
    <row r="1873" spans="1:11">
      <c r="A1873" t="str">
        <f>"ROA"</f>
        <v>ROA</v>
      </c>
      <c r="B1873" t="str">
        <f t="shared" si="127"/>
        <v>65420000</v>
      </c>
      <c r="C1873" t="str">
        <f t="shared" si="128"/>
        <v>ROA654200000</v>
      </c>
      <c r="E1873">
        <v>57.34</v>
      </c>
      <c r="F1873">
        <v>0</v>
      </c>
      <c r="G1873">
        <f t="shared" si="129"/>
        <v>57.34</v>
      </c>
    </row>
    <row r="1874" spans="1:11">
      <c r="A1874" t="str">
        <f>"SOM"</f>
        <v>SOM</v>
      </c>
      <c r="B1874" t="str">
        <f t="shared" si="127"/>
        <v>65420000</v>
      </c>
      <c r="C1874" t="str">
        <f t="shared" si="128"/>
        <v>SOM654200000</v>
      </c>
      <c r="E1874">
        <v>3.59</v>
      </c>
      <c r="F1874">
        <v>0</v>
      </c>
      <c r="G1874">
        <f t="shared" si="129"/>
        <v>3.59</v>
      </c>
    </row>
    <row r="1875" spans="1:11">
      <c r="A1875" t="str">
        <f>"THO"</f>
        <v>THO</v>
      </c>
      <c r="B1875" t="str">
        <f t="shared" si="127"/>
        <v>65420000</v>
      </c>
      <c r="C1875" t="str">
        <f t="shared" si="128"/>
        <v>THO654200000</v>
      </c>
      <c r="E1875">
        <v>21.55</v>
      </c>
      <c r="F1875">
        <v>0</v>
      </c>
      <c r="G1875">
        <f t="shared" si="129"/>
        <v>21.55</v>
      </c>
    </row>
    <row r="1876" spans="1:11">
      <c r="A1876" t="str">
        <f>"TOURC"</f>
        <v>TOURC</v>
      </c>
      <c r="B1876" t="str">
        <f t="shared" si="127"/>
        <v>65420000</v>
      </c>
      <c r="C1876" t="str">
        <f t="shared" si="128"/>
        <v>TOURC654200000</v>
      </c>
      <c r="E1876">
        <v>3.59</v>
      </c>
      <c r="F1876">
        <v>0</v>
      </c>
      <c r="G1876">
        <f t="shared" si="129"/>
        <v>3.59</v>
      </c>
    </row>
    <row r="1877" spans="1:11">
      <c r="A1877" t="str">
        <f>"AMI"</f>
        <v>AMI</v>
      </c>
      <c r="B1877" t="str">
        <f t="shared" ref="B1877:B1906" si="130">"65440000"</f>
        <v>65440000</v>
      </c>
      <c r="C1877" t="str">
        <f t="shared" si="128"/>
        <v>AMI654400000</v>
      </c>
      <c r="E1877">
        <v>6081.02</v>
      </c>
      <c r="F1877">
        <v>0</v>
      </c>
      <c r="G1877">
        <f t="shared" si="129"/>
        <v>6081.02</v>
      </c>
    </row>
    <row r="1878" spans="1:11">
      <c r="A1878" t="str">
        <f>"ANG"</f>
        <v>ANG</v>
      </c>
      <c r="B1878" t="str">
        <f t="shared" si="130"/>
        <v>65440000</v>
      </c>
      <c r="C1878" t="str">
        <f t="shared" si="128"/>
        <v>ANG654400000</v>
      </c>
      <c r="E1878">
        <v>32.49</v>
      </c>
      <c r="F1878">
        <v>0</v>
      </c>
      <c r="G1878">
        <f t="shared" si="129"/>
        <v>32.49</v>
      </c>
    </row>
    <row r="1879" spans="1:11">
      <c r="A1879" t="str">
        <f>"BET"</f>
        <v>BET</v>
      </c>
      <c r="B1879" t="str">
        <f t="shared" si="130"/>
        <v>65440000</v>
      </c>
      <c r="C1879" t="str">
        <f t="shared" si="128"/>
        <v>BET654400000</v>
      </c>
      <c r="E1879">
        <v>1826.37</v>
      </c>
      <c r="F1879">
        <v>0</v>
      </c>
      <c r="G1879">
        <f t="shared" si="129"/>
        <v>1826.37</v>
      </c>
    </row>
    <row r="1880" spans="1:11">
      <c r="A1880" t="str">
        <f>"BEZI"</f>
        <v>BEZI</v>
      </c>
      <c r="B1880" t="str">
        <f t="shared" si="130"/>
        <v>65440000</v>
      </c>
      <c r="C1880" t="str">
        <f t="shared" si="128"/>
        <v>BEZI654400000</v>
      </c>
      <c r="E1880">
        <v>4640.84</v>
      </c>
      <c r="F1880">
        <v>0</v>
      </c>
      <c r="G1880">
        <f t="shared" si="129"/>
        <v>4640.84</v>
      </c>
    </row>
    <row r="1881" spans="1:11">
      <c r="A1881" t="str">
        <f>"BOI"</f>
        <v>BOI</v>
      </c>
      <c r="B1881" t="str">
        <f t="shared" si="130"/>
        <v>65440000</v>
      </c>
      <c r="C1881" t="str">
        <f t="shared" si="128"/>
        <v>BOI654400000</v>
      </c>
      <c r="E1881">
        <v>158.44</v>
      </c>
      <c r="F1881">
        <v>0</v>
      </c>
      <c r="G1881">
        <f t="shared" si="129"/>
        <v>158.44</v>
      </c>
    </row>
    <row r="1882" spans="1:11">
      <c r="A1882" t="str">
        <f>"BOS"</f>
        <v>BOS</v>
      </c>
      <c r="B1882" t="str">
        <f t="shared" si="130"/>
        <v>65440000</v>
      </c>
      <c r="C1882" t="str">
        <f t="shared" si="128"/>
        <v>BOS654400000</v>
      </c>
      <c r="E1882">
        <v>39959.9</v>
      </c>
      <c r="F1882">
        <v>0</v>
      </c>
      <c r="G1882">
        <f t="shared" si="129"/>
        <v>39959.9</v>
      </c>
      <c r="J1882" s="26"/>
      <c r="K1882" s="353"/>
    </row>
    <row r="1883" spans="1:11">
      <c r="A1883" t="str">
        <f>"BOU"</f>
        <v>BOU</v>
      </c>
      <c r="B1883" t="str">
        <f t="shared" si="130"/>
        <v>65440000</v>
      </c>
      <c r="C1883" t="str">
        <f t="shared" si="128"/>
        <v>BOU654400000</v>
      </c>
      <c r="E1883">
        <v>8734.5400000000009</v>
      </c>
      <c r="F1883">
        <v>0</v>
      </c>
      <c r="G1883">
        <f t="shared" si="129"/>
        <v>8734.5400000000009</v>
      </c>
      <c r="K1883" s="353"/>
    </row>
    <row r="1884" spans="1:11">
      <c r="A1884" t="str">
        <f>"BRE"</f>
        <v>BRE</v>
      </c>
      <c r="B1884" t="str">
        <f t="shared" si="130"/>
        <v>65440000</v>
      </c>
      <c r="C1884" t="str">
        <f t="shared" si="128"/>
        <v>BRE654400000</v>
      </c>
      <c r="E1884">
        <v>0</v>
      </c>
      <c r="F1884">
        <v>0</v>
      </c>
      <c r="G1884">
        <f t="shared" si="129"/>
        <v>0</v>
      </c>
      <c r="I1884" s="353"/>
      <c r="K1884" s="353"/>
    </row>
    <row r="1885" spans="1:11">
      <c r="A1885" t="str">
        <f>"CAL"</f>
        <v>CAL</v>
      </c>
      <c r="B1885" t="str">
        <f t="shared" si="130"/>
        <v>65440000</v>
      </c>
      <c r="C1885" t="str">
        <f t="shared" si="128"/>
        <v>CAL654400000</v>
      </c>
      <c r="E1885">
        <v>951.29</v>
      </c>
      <c r="F1885">
        <v>0</v>
      </c>
      <c r="G1885">
        <f t="shared" si="129"/>
        <v>951.29</v>
      </c>
      <c r="K1885" s="353"/>
    </row>
    <row r="1886" spans="1:11">
      <c r="A1886" t="str">
        <f>"CAM"</f>
        <v>CAM</v>
      </c>
      <c r="B1886" t="str">
        <f t="shared" si="130"/>
        <v>65440000</v>
      </c>
      <c r="C1886" t="str">
        <f t="shared" si="128"/>
        <v>CAM654400000</v>
      </c>
      <c r="E1886">
        <v>2324.83</v>
      </c>
      <c r="F1886">
        <v>0</v>
      </c>
      <c r="G1886">
        <f t="shared" si="129"/>
        <v>2324.83</v>
      </c>
      <c r="J1886" s="440"/>
      <c r="K1886" s="26"/>
    </row>
    <row r="1887" spans="1:11">
      <c r="A1887" t="str">
        <f>"CAU"</f>
        <v>CAU</v>
      </c>
      <c r="B1887" t="str">
        <f t="shared" si="130"/>
        <v>65440000</v>
      </c>
      <c r="C1887" t="str">
        <f t="shared" si="128"/>
        <v>CAU654400000</v>
      </c>
      <c r="E1887">
        <v>399.74</v>
      </c>
      <c r="F1887">
        <v>0</v>
      </c>
      <c r="G1887">
        <f t="shared" si="129"/>
        <v>399.74</v>
      </c>
    </row>
    <row r="1888" spans="1:11">
      <c r="A1888" t="str">
        <f>"CHA"</f>
        <v>CHA</v>
      </c>
      <c r="B1888" t="str">
        <f t="shared" si="130"/>
        <v>65440000</v>
      </c>
      <c r="C1888" t="str">
        <f t="shared" si="128"/>
        <v>CHA654400000</v>
      </c>
      <c r="E1888">
        <v>0</v>
      </c>
      <c r="F1888">
        <v>0</v>
      </c>
      <c r="G1888">
        <f t="shared" si="129"/>
        <v>0</v>
      </c>
    </row>
    <row r="1889" spans="1:7">
      <c r="A1889" t="str">
        <f>"CHAM"</f>
        <v>CHAM</v>
      </c>
      <c r="B1889" t="str">
        <f t="shared" si="130"/>
        <v>65440000</v>
      </c>
      <c r="C1889" t="str">
        <f t="shared" si="128"/>
        <v>CHAM654400000</v>
      </c>
      <c r="E1889">
        <v>0</v>
      </c>
      <c r="F1889">
        <v>0</v>
      </c>
      <c r="G1889">
        <f t="shared" si="129"/>
        <v>0</v>
      </c>
    </row>
    <row r="1890" spans="1:7">
      <c r="A1890" t="str">
        <f>"CHART"</f>
        <v>CHART</v>
      </c>
      <c r="B1890" t="str">
        <f t="shared" si="130"/>
        <v>65440000</v>
      </c>
      <c r="C1890" t="str">
        <f t="shared" si="128"/>
        <v>CHART654400000</v>
      </c>
      <c r="E1890">
        <v>1133.07</v>
      </c>
      <c r="F1890">
        <v>0</v>
      </c>
      <c r="G1890">
        <f t="shared" si="129"/>
        <v>1133.07</v>
      </c>
    </row>
    <row r="1891" spans="1:7">
      <c r="A1891" t="str">
        <f>"CLE"</f>
        <v>CLE</v>
      </c>
      <c r="B1891" t="str">
        <f t="shared" si="130"/>
        <v>65440000</v>
      </c>
      <c r="C1891" t="str">
        <f t="shared" si="128"/>
        <v>CLE654400000</v>
      </c>
      <c r="E1891">
        <v>6137.32</v>
      </c>
      <c r="F1891">
        <v>0</v>
      </c>
      <c r="G1891">
        <f t="shared" si="129"/>
        <v>6137.32</v>
      </c>
    </row>
    <row r="1892" spans="1:7">
      <c r="A1892" t="str">
        <f>"COM"</f>
        <v>COM</v>
      </c>
      <c r="B1892" t="str">
        <f t="shared" si="130"/>
        <v>65440000</v>
      </c>
      <c r="C1892" t="str">
        <f t="shared" si="128"/>
        <v>COM654400000</v>
      </c>
      <c r="E1892">
        <v>0</v>
      </c>
      <c r="F1892">
        <v>0</v>
      </c>
      <c r="G1892">
        <f t="shared" si="129"/>
        <v>0</v>
      </c>
    </row>
    <row r="1893" spans="1:7">
      <c r="A1893" t="str">
        <f>"CST"</f>
        <v>CST</v>
      </c>
      <c r="B1893" t="str">
        <f t="shared" si="130"/>
        <v>65440000</v>
      </c>
      <c r="C1893" t="str">
        <f t="shared" si="128"/>
        <v>CST654400000</v>
      </c>
      <c r="E1893">
        <v>5879.7</v>
      </c>
      <c r="F1893">
        <v>0</v>
      </c>
      <c r="G1893">
        <f t="shared" si="129"/>
        <v>5879.7</v>
      </c>
    </row>
    <row r="1894" spans="1:7">
      <c r="A1894" t="str">
        <f>"EU"</f>
        <v>EU</v>
      </c>
      <c r="B1894" t="str">
        <f t="shared" si="130"/>
        <v>65440000</v>
      </c>
      <c r="C1894" t="str">
        <f t="shared" si="128"/>
        <v>EU654400000</v>
      </c>
      <c r="E1894">
        <v>238.23</v>
      </c>
      <c r="F1894">
        <v>0</v>
      </c>
      <c r="G1894">
        <f t="shared" si="129"/>
        <v>238.23</v>
      </c>
    </row>
    <row r="1895" spans="1:7">
      <c r="A1895" t="str">
        <f>"GRE"</f>
        <v>GRE</v>
      </c>
      <c r="B1895" t="str">
        <f t="shared" si="130"/>
        <v>65440000</v>
      </c>
      <c r="C1895" t="str">
        <f t="shared" si="128"/>
        <v>GRE654400000</v>
      </c>
      <c r="E1895">
        <v>2350.58</v>
      </c>
      <c r="F1895">
        <v>0</v>
      </c>
      <c r="G1895">
        <f t="shared" si="129"/>
        <v>2350.58</v>
      </c>
    </row>
    <row r="1896" spans="1:7">
      <c r="A1896" t="str">
        <f>"LEN"</f>
        <v>LEN</v>
      </c>
      <c r="B1896" t="str">
        <f t="shared" si="130"/>
        <v>65440000</v>
      </c>
      <c r="C1896" t="str">
        <f t="shared" si="128"/>
        <v>LEN654400000</v>
      </c>
      <c r="E1896">
        <v>2011.26</v>
      </c>
      <c r="F1896">
        <v>0</v>
      </c>
      <c r="G1896">
        <f t="shared" si="129"/>
        <v>2011.26</v>
      </c>
    </row>
    <row r="1897" spans="1:7">
      <c r="A1897" t="str">
        <f>"MAD"</f>
        <v>MAD</v>
      </c>
      <c r="B1897" t="str">
        <f t="shared" si="130"/>
        <v>65440000</v>
      </c>
      <c r="C1897" t="str">
        <f t="shared" si="128"/>
        <v>MAD654400000</v>
      </c>
      <c r="E1897">
        <v>101315.24</v>
      </c>
      <c r="F1897">
        <v>0</v>
      </c>
      <c r="G1897">
        <f t="shared" si="129"/>
        <v>101315.24</v>
      </c>
    </row>
    <row r="1898" spans="1:7">
      <c r="A1898" t="str">
        <f>"MON"</f>
        <v>MON</v>
      </c>
      <c r="B1898" t="str">
        <f t="shared" si="130"/>
        <v>65440000</v>
      </c>
      <c r="C1898" t="str">
        <f t="shared" si="128"/>
        <v>MON654400000</v>
      </c>
      <c r="E1898">
        <v>20680.919999999998</v>
      </c>
      <c r="F1898">
        <v>0</v>
      </c>
      <c r="G1898">
        <f t="shared" si="129"/>
        <v>20680.919999999998</v>
      </c>
    </row>
    <row r="1899" spans="1:7">
      <c r="A1899" t="str">
        <f>"NAN"</f>
        <v>NAN</v>
      </c>
      <c r="B1899" t="str">
        <f t="shared" si="130"/>
        <v>65440000</v>
      </c>
      <c r="C1899" t="str">
        <f t="shared" si="128"/>
        <v>NAN654400000</v>
      </c>
      <c r="E1899">
        <v>6427.8</v>
      </c>
      <c r="F1899">
        <v>0</v>
      </c>
      <c r="G1899">
        <f t="shared" si="129"/>
        <v>6427.8</v>
      </c>
    </row>
    <row r="1900" spans="1:7">
      <c r="A1900" t="str">
        <f>"ORL"</f>
        <v>ORL</v>
      </c>
      <c r="B1900" t="str">
        <f t="shared" si="130"/>
        <v>65440000</v>
      </c>
      <c r="C1900" t="str">
        <f t="shared" si="128"/>
        <v>ORL654400000</v>
      </c>
      <c r="E1900">
        <v>69.3</v>
      </c>
      <c r="F1900">
        <v>0</v>
      </c>
      <c r="G1900">
        <f t="shared" si="129"/>
        <v>69.3</v>
      </c>
    </row>
    <row r="1901" spans="1:7">
      <c r="A1901" t="str">
        <f>"REN"</f>
        <v>REN</v>
      </c>
      <c r="B1901" t="str">
        <f t="shared" si="130"/>
        <v>65440000</v>
      </c>
      <c r="C1901" t="str">
        <f t="shared" si="128"/>
        <v>REN654400000</v>
      </c>
      <c r="E1901">
        <v>3525.04</v>
      </c>
      <c r="F1901">
        <v>0</v>
      </c>
      <c r="G1901">
        <f t="shared" si="129"/>
        <v>3525.04</v>
      </c>
    </row>
    <row r="1902" spans="1:7">
      <c r="A1902" t="str">
        <f>"ROA"</f>
        <v>ROA</v>
      </c>
      <c r="B1902" t="str">
        <f t="shared" si="130"/>
        <v>65440000</v>
      </c>
      <c r="C1902" t="str">
        <f t="shared" si="128"/>
        <v>ROA654400000</v>
      </c>
      <c r="E1902">
        <v>5185.18</v>
      </c>
      <c r="F1902">
        <v>0</v>
      </c>
      <c r="G1902">
        <f t="shared" si="129"/>
        <v>5185.18</v>
      </c>
    </row>
    <row r="1903" spans="1:7">
      <c r="A1903" t="str">
        <f>"THO"</f>
        <v>THO</v>
      </c>
      <c r="B1903" t="str">
        <f t="shared" si="130"/>
        <v>65440000</v>
      </c>
      <c r="C1903" t="str">
        <f t="shared" si="128"/>
        <v>THO654400000</v>
      </c>
      <c r="E1903">
        <v>4873.6899999999996</v>
      </c>
      <c r="F1903">
        <v>0</v>
      </c>
      <c r="G1903">
        <f t="shared" si="129"/>
        <v>4873.6899999999996</v>
      </c>
    </row>
    <row r="1904" spans="1:7">
      <c r="A1904" t="str">
        <f>"TOURC"</f>
        <v>TOURC</v>
      </c>
      <c r="B1904" t="str">
        <f t="shared" si="130"/>
        <v>65440000</v>
      </c>
      <c r="C1904" t="str">
        <f t="shared" si="128"/>
        <v>TOURC654400000</v>
      </c>
      <c r="E1904">
        <v>5198.58</v>
      </c>
      <c r="F1904">
        <v>0</v>
      </c>
      <c r="G1904">
        <f t="shared" si="129"/>
        <v>5198.58</v>
      </c>
    </row>
    <row r="1905" spans="1:7">
      <c r="A1905" t="str">
        <f>"VAL"</f>
        <v>VAL</v>
      </c>
      <c r="B1905" t="str">
        <f t="shared" si="130"/>
        <v>65440000</v>
      </c>
      <c r="C1905" t="str">
        <f t="shared" si="128"/>
        <v>VAL654400000</v>
      </c>
      <c r="E1905">
        <v>7421.51</v>
      </c>
      <c r="F1905">
        <v>0</v>
      </c>
      <c r="G1905">
        <f t="shared" si="129"/>
        <v>7421.51</v>
      </c>
    </row>
    <row r="1906" spans="1:7">
      <c r="A1906" t="str">
        <f>"VAN"</f>
        <v>VAN</v>
      </c>
      <c r="B1906" t="str">
        <f t="shared" si="130"/>
        <v>65440000</v>
      </c>
      <c r="C1906" t="str">
        <f t="shared" si="128"/>
        <v>VAN654400000</v>
      </c>
      <c r="E1906">
        <v>0</v>
      </c>
      <c r="F1906">
        <v>0</v>
      </c>
      <c r="G1906">
        <f t="shared" si="129"/>
        <v>0</v>
      </c>
    </row>
    <row r="1907" spans="1:7">
      <c r="A1907" t="str">
        <f>"CST"</f>
        <v>CST</v>
      </c>
      <c r="B1907" t="str">
        <f>"66116000"</f>
        <v>66116000</v>
      </c>
      <c r="C1907" t="str">
        <f t="shared" si="128"/>
        <v>CST661160000</v>
      </c>
      <c r="E1907">
        <v>6094.41</v>
      </c>
      <c r="F1907">
        <v>0</v>
      </c>
      <c r="G1907">
        <f t="shared" si="129"/>
        <v>6094.41</v>
      </c>
    </row>
    <row r="1908" spans="1:7">
      <c r="A1908" t="str">
        <f t="shared" ref="A1908:A1913" si="131">"LIL"</f>
        <v>LIL</v>
      </c>
      <c r="B1908" t="str">
        <f>"66116000"</f>
        <v>66116000</v>
      </c>
      <c r="C1908" t="str">
        <f t="shared" si="128"/>
        <v>LIL661160000</v>
      </c>
      <c r="E1908">
        <v>20200.55</v>
      </c>
      <c r="F1908">
        <v>0</v>
      </c>
      <c r="G1908">
        <f t="shared" si="129"/>
        <v>20200.55</v>
      </c>
    </row>
    <row r="1909" spans="1:7">
      <c r="A1909" t="str">
        <f t="shared" si="131"/>
        <v>LIL</v>
      </c>
      <c r="B1909" t="str">
        <f>"66151000"</f>
        <v>66151000</v>
      </c>
      <c r="C1909" t="str">
        <f t="shared" si="128"/>
        <v>LIL661510000</v>
      </c>
      <c r="E1909">
        <v>3843.98</v>
      </c>
      <c r="F1909">
        <v>0</v>
      </c>
      <c r="G1909">
        <f t="shared" si="129"/>
        <v>3843.98</v>
      </c>
    </row>
    <row r="1910" spans="1:7">
      <c r="A1910" t="str">
        <f t="shared" si="131"/>
        <v>LIL</v>
      </c>
      <c r="B1910" t="str">
        <f>"66160000"</f>
        <v>66160000</v>
      </c>
      <c r="C1910" t="str">
        <f t="shared" si="128"/>
        <v>LIL661600000</v>
      </c>
      <c r="E1910">
        <v>15444.2</v>
      </c>
      <c r="F1910">
        <v>0</v>
      </c>
      <c r="G1910">
        <f t="shared" si="129"/>
        <v>15444.2</v>
      </c>
    </row>
    <row r="1911" spans="1:7">
      <c r="A1911" t="str">
        <f t="shared" si="131"/>
        <v>LIL</v>
      </c>
      <c r="B1911" t="str">
        <f>"66162000"</f>
        <v>66162000</v>
      </c>
      <c r="C1911" t="str">
        <f t="shared" si="128"/>
        <v>LIL661620000</v>
      </c>
      <c r="E1911">
        <v>4555.6400000000003</v>
      </c>
      <c r="F1911">
        <v>0</v>
      </c>
      <c r="G1911">
        <f t="shared" si="129"/>
        <v>4555.6400000000003</v>
      </c>
    </row>
    <row r="1912" spans="1:7">
      <c r="A1912" t="str">
        <f t="shared" si="131"/>
        <v>LIL</v>
      </c>
      <c r="B1912" t="str">
        <f>"66181000"</f>
        <v>66181000</v>
      </c>
      <c r="C1912" t="str">
        <f t="shared" si="128"/>
        <v>LIL661810000</v>
      </c>
      <c r="E1912">
        <v>0</v>
      </c>
      <c r="F1912">
        <v>0</v>
      </c>
      <c r="G1912">
        <f t="shared" si="129"/>
        <v>0</v>
      </c>
    </row>
    <row r="1913" spans="1:7">
      <c r="A1913" t="str">
        <f t="shared" si="131"/>
        <v>LIL</v>
      </c>
      <c r="B1913" t="str">
        <f>"66188000"</f>
        <v>66188000</v>
      </c>
      <c r="C1913" t="str">
        <f t="shared" si="128"/>
        <v>LIL661880000</v>
      </c>
      <c r="E1913">
        <v>629.46</v>
      </c>
      <c r="F1913">
        <v>0</v>
      </c>
      <c r="G1913">
        <f t="shared" si="129"/>
        <v>629.46</v>
      </c>
    </row>
    <row r="1914" spans="1:7">
      <c r="A1914" t="str">
        <f>"ANG"</f>
        <v>ANG</v>
      </c>
      <c r="B1914" t="str">
        <f t="shared" ref="B1914:B1935" si="132">"66500000"</f>
        <v>66500000</v>
      </c>
      <c r="C1914" t="str">
        <f t="shared" si="128"/>
        <v>ANG665000000</v>
      </c>
      <c r="E1914">
        <v>1155.56</v>
      </c>
      <c r="F1914">
        <v>0</v>
      </c>
      <c r="G1914">
        <f t="shared" si="129"/>
        <v>1155.56</v>
      </c>
    </row>
    <row r="1915" spans="1:7">
      <c r="A1915" t="str">
        <f>"BET"</f>
        <v>BET</v>
      </c>
      <c r="B1915" t="str">
        <f t="shared" si="132"/>
        <v>66500000</v>
      </c>
      <c r="C1915" t="str">
        <f t="shared" si="128"/>
        <v>BET665000000</v>
      </c>
      <c r="E1915">
        <v>2.04</v>
      </c>
      <c r="F1915">
        <v>0</v>
      </c>
      <c r="G1915">
        <f t="shared" si="129"/>
        <v>2.04</v>
      </c>
    </row>
    <row r="1916" spans="1:7">
      <c r="A1916" t="str">
        <f>"BOI"</f>
        <v>BOI</v>
      </c>
      <c r="B1916" t="str">
        <f t="shared" si="132"/>
        <v>66500000</v>
      </c>
      <c r="C1916" t="str">
        <f t="shared" si="128"/>
        <v>BOI665000000</v>
      </c>
      <c r="E1916">
        <v>98.1</v>
      </c>
      <c r="F1916">
        <v>0</v>
      </c>
      <c r="G1916">
        <f t="shared" si="129"/>
        <v>98.1</v>
      </c>
    </row>
    <row r="1917" spans="1:7">
      <c r="A1917" t="str">
        <f>"BOU"</f>
        <v>BOU</v>
      </c>
      <c r="B1917" t="str">
        <f t="shared" si="132"/>
        <v>66500000</v>
      </c>
      <c r="C1917" t="str">
        <f t="shared" si="128"/>
        <v>BOU665000000</v>
      </c>
      <c r="E1917">
        <v>328.99</v>
      </c>
      <c r="F1917">
        <v>5.22</v>
      </c>
      <c r="G1917">
        <f t="shared" si="129"/>
        <v>323.77</v>
      </c>
    </row>
    <row r="1918" spans="1:7">
      <c r="A1918" t="str">
        <f>"CAL"</f>
        <v>CAL</v>
      </c>
      <c r="B1918" t="str">
        <f t="shared" si="132"/>
        <v>66500000</v>
      </c>
      <c r="C1918" t="str">
        <f t="shared" si="128"/>
        <v>CAL665000000</v>
      </c>
      <c r="E1918">
        <v>25.93</v>
      </c>
      <c r="F1918">
        <v>0</v>
      </c>
      <c r="G1918">
        <f t="shared" si="129"/>
        <v>25.93</v>
      </c>
    </row>
    <row r="1919" spans="1:7">
      <c r="A1919" t="str">
        <f>"CAM"</f>
        <v>CAM</v>
      </c>
      <c r="B1919" t="str">
        <f t="shared" si="132"/>
        <v>66500000</v>
      </c>
      <c r="C1919" t="str">
        <f t="shared" si="128"/>
        <v>CAM665000000</v>
      </c>
      <c r="E1919">
        <v>424.79</v>
      </c>
      <c r="F1919">
        <v>0</v>
      </c>
      <c r="G1919">
        <f t="shared" si="129"/>
        <v>424.79</v>
      </c>
    </row>
    <row r="1920" spans="1:7">
      <c r="A1920" t="str">
        <f>"CAU"</f>
        <v>CAU</v>
      </c>
      <c r="B1920" t="str">
        <f t="shared" si="132"/>
        <v>66500000</v>
      </c>
      <c r="C1920" t="str">
        <f t="shared" si="128"/>
        <v>CAU665000000</v>
      </c>
      <c r="E1920">
        <v>46.98</v>
      </c>
      <c r="F1920">
        <v>0</v>
      </c>
      <c r="G1920">
        <f t="shared" si="129"/>
        <v>46.98</v>
      </c>
    </row>
    <row r="1921" spans="1:11">
      <c r="A1921" t="str">
        <f>"CLE"</f>
        <v>CLE</v>
      </c>
      <c r="B1921" t="str">
        <f t="shared" si="132"/>
        <v>66500000</v>
      </c>
      <c r="C1921" t="str">
        <f t="shared" si="128"/>
        <v>CLE665000000</v>
      </c>
      <c r="E1921">
        <v>1406.53</v>
      </c>
      <c r="F1921">
        <v>0</v>
      </c>
      <c r="G1921">
        <f t="shared" si="129"/>
        <v>1406.53</v>
      </c>
    </row>
    <row r="1922" spans="1:11">
      <c r="A1922" t="str">
        <f>"COM"</f>
        <v>COM</v>
      </c>
      <c r="B1922" t="str">
        <f t="shared" si="132"/>
        <v>66500000</v>
      </c>
      <c r="C1922" t="str">
        <f t="shared" si="128"/>
        <v>COM665000000</v>
      </c>
      <c r="E1922">
        <v>289.48</v>
      </c>
      <c r="F1922">
        <v>0</v>
      </c>
      <c r="G1922">
        <f t="shared" si="129"/>
        <v>289.48</v>
      </c>
    </row>
    <row r="1923" spans="1:11">
      <c r="A1923" t="str">
        <f>"DIJ"</f>
        <v>DIJ</v>
      </c>
      <c r="B1923" t="str">
        <f t="shared" si="132"/>
        <v>66500000</v>
      </c>
      <c r="C1923" t="str">
        <f t="shared" ref="C1923:C1986" si="133">+A1923&amp;B1923*10</f>
        <v>DIJ665000000</v>
      </c>
      <c r="E1923">
        <v>40.53</v>
      </c>
      <c r="F1923">
        <v>0</v>
      </c>
      <c r="G1923">
        <f t="shared" ref="G1923:G1986" si="134">+E1923-F1923</f>
        <v>40.53</v>
      </c>
    </row>
    <row r="1924" spans="1:11">
      <c r="A1924" t="str">
        <f>"EU"</f>
        <v>EU</v>
      </c>
      <c r="B1924" t="str">
        <f t="shared" si="132"/>
        <v>66500000</v>
      </c>
      <c r="C1924" t="str">
        <f t="shared" si="133"/>
        <v>EU665000000</v>
      </c>
      <c r="E1924">
        <v>100.79</v>
      </c>
      <c r="F1924">
        <v>0</v>
      </c>
      <c r="G1924">
        <f t="shared" si="134"/>
        <v>100.79</v>
      </c>
    </row>
    <row r="1925" spans="1:11">
      <c r="A1925" t="str">
        <f>"GRE"</f>
        <v>GRE</v>
      </c>
      <c r="B1925" t="str">
        <f t="shared" si="132"/>
        <v>66500000</v>
      </c>
      <c r="C1925" t="str">
        <f t="shared" si="133"/>
        <v>GRE665000000</v>
      </c>
      <c r="E1925">
        <v>1310.56</v>
      </c>
      <c r="F1925">
        <v>0</v>
      </c>
      <c r="G1925">
        <f t="shared" si="134"/>
        <v>1310.56</v>
      </c>
    </row>
    <row r="1926" spans="1:11">
      <c r="A1926" t="str">
        <f>"LIL"</f>
        <v>LIL</v>
      </c>
      <c r="B1926" t="str">
        <f t="shared" si="132"/>
        <v>66500000</v>
      </c>
      <c r="C1926" t="str">
        <f t="shared" si="133"/>
        <v>LIL665000000</v>
      </c>
      <c r="E1926">
        <v>453.25</v>
      </c>
      <c r="F1926">
        <v>0</v>
      </c>
      <c r="G1926">
        <f t="shared" si="134"/>
        <v>453.25</v>
      </c>
    </row>
    <row r="1927" spans="1:11">
      <c r="A1927" t="str">
        <f>"MAD"</f>
        <v>MAD</v>
      </c>
      <c r="B1927" t="str">
        <f t="shared" si="132"/>
        <v>66500000</v>
      </c>
      <c r="C1927" t="str">
        <f t="shared" si="133"/>
        <v>MAD665000000</v>
      </c>
      <c r="E1927">
        <v>632.85</v>
      </c>
      <c r="F1927">
        <v>0</v>
      </c>
      <c r="G1927">
        <f t="shared" si="134"/>
        <v>632.85</v>
      </c>
    </row>
    <row r="1928" spans="1:11">
      <c r="A1928" t="str">
        <f>"MON"</f>
        <v>MON</v>
      </c>
      <c r="B1928" t="str">
        <f t="shared" si="132"/>
        <v>66500000</v>
      </c>
      <c r="C1928" t="str">
        <f t="shared" si="133"/>
        <v>MON665000000</v>
      </c>
      <c r="E1928">
        <v>46.25</v>
      </c>
      <c r="F1928">
        <v>0</v>
      </c>
      <c r="G1928">
        <f t="shared" si="134"/>
        <v>46.25</v>
      </c>
    </row>
    <row r="1929" spans="1:11">
      <c r="A1929" t="str">
        <f>"NAN"</f>
        <v>NAN</v>
      </c>
      <c r="B1929" t="str">
        <f t="shared" si="132"/>
        <v>66500000</v>
      </c>
      <c r="C1929" t="str">
        <f t="shared" si="133"/>
        <v>NAN665000000</v>
      </c>
      <c r="E1929">
        <v>116.28</v>
      </c>
      <c r="F1929">
        <v>0</v>
      </c>
      <c r="G1929">
        <f t="shared" si="134"/>
        <v>116.28</v>
      </c>
    </row>
    <row r="1930" spans="1:11">
      <c r="A1930" t="str">
        <f>"ORL"</f>
        <v>ORL</v>
      </c>
      <c r="B1930" t="str">
        <f t="shared" si="132"/>
        <v>66500000</v>
      </c>
      <c r="C1930" t="str">
        <f t="shared" si="133"/>
        <v>ORL665000000</v>
      </c>
      <c r="E1930">
        <v>627.02</v>
      </c>
      <c r="F1930">
        <v>0</v>
      </c>
      <c r="G1930">
        <f t="shared" si="134"/>
        <v>627.02</v>
      </c>
    </row>
    <row r="1931" spans="1:11">
      <c r="A1931" t="str">
        <f>"REN"</f>
        <v>REN</v>
      </c>
      <c r="B1931" t="str">
        <f t="shared" si="132"/>
        <v>66500000</v>
      </c>
      <c r="C1931" t="str">
        <f t="shared" si="133"/>
        <v>REN665000000</v>
      </c>
      <c r="E1931">
        <v>103.66</v>
      </c>
      <c r="F1931">
        <v>0</v>
      </c>
      <c r="G1931">
        <f t="shared" si="134"/>
        <v>103.66</v>
      </c>
    </row>
    <row r="1932" spans="1:11">
      <c r="A1932" t="str">
        <f>"ROA"</f>
        <v>ROA</v>
      </c>
      <c r="B1932" t="str">
        <f t="shared" si="132"/>
        <v>66500000</v>
      </c>
      <c r="C1932" t="str">
        <f t="shared" si="133"/>
        <v>ROA665000000</v>
      </c>
      <c r="E1932">
        <v>1218.6099999999999</v>
      </c>
      <c r="F1932">
        <v>0</v>
      </c>
      <c r="G1932">
        <f t="shared" si="134"/>
        <v>1218.6099999999999</v>
      </c>
    </row>
    <row r="1933" spans="1:11">
      <c r="A1933" t="str">
        <f>"SOM"</f>
        <v>SOM</v>
      </c>
      <c r="B1933" t="str">
        <f t="shared" si="132"/>
        <v>66500000</v>
      </c>
      <c r="C1933" t="str">
        <f t="shared" si="133"/>
        <v>SOM665000000</v>
      </c>
      <c r="E1933">
        <v>22.17</v>
      </c>
      <c r="F1933">
        <v>0</v>
      </c>
      <c r="G1933">
        <f t="shared" si="134"/>
        <v>22.17</v>
      </c>
      <c r="J1933" s="26"/>
      <c r="K1933" s="353"/>
    </row>
    <row r="1934" spans="1:11">
      <c r="A1934" t="str">
        <f>"THO"</f>
        <v>THO</v>
      </c>
      <c r="B1934" t="str">
        <f t="shared" si="132"/>
        <v>66500000</v>
      </c>
      <c r="C1934" t="str">
        <f t="shared" si="133"/>
        <v>THO665000000</v>
      </c>
      <c r="E1934">
        <v>18.79</v>
      </c>
      <c r="F1934">
        <v>0</v>
      </c>
      <c r="G1934">
        <f t="shared" si="134"/>
        <v>18.79</v>
      </c>
      <c r="K1934" s="353"/>
    </row>
    <row r="1935" spans="1:11">
      <c r="A1935" t="str">
        <f>"VAN"</f>
        <v>VAN</v>
      </c>
      <c r="B1935" t="str">
        <f t="shared" si="132"/>
        <v>66500000</v>
      </c>
      <c r="C1935" t="str">
        <f t="shared" si="133"/>
        <v>VAN665000000</v>
      </c>
      <c r="E1935">
        <v>12.61</v>
      </c>
      <c r="F1935">
        <v>0</v>
      </c>
      <c r="G1935">
        <f t="shared" si="134"/>
        <v>12.61</v>
      </c>
      <c r="K1935" s="353"/>
    </row>
    <row r="1936" spans="1:11">
      <c r="A1936" t="str">
        <f>"ANG"</f>
        <v>ANG</v>
      </c>
      <c r="B1936" t="str">
        <f t="shared" ref="B1936:B1945" si="135">"66510000"</f>
        <v>66510000</v>
      </c>
      <c r="C1936" t="str">
        <f t="shared" si="133"/>
        <v>ANG665100000</v>
      </c>
      <c r="E1936">
        <v>170.03</v>
      </c>
      <c r="F1936">
        <v>0</v>
      </c>
      <c r="G1936">
        <f t="shared" si="134"/>
        <v>170.03</v>
      </c>
      <c r="K1936" s="353"/>
    </row>
    <row r="1937" spans="1:11">
      <c r="A1937" t="str">
        <f>"BET"</f>
        <v>BET</v>
      </c>
      <c r="B1937" t="str">
        <f t="shared" si="135"/>
        <v>66510000</v>
      </c>
      <c r="C1937" t="str">
        <f t="shared" si="133"/>
        <v>BET665100000</v>
      </c>
      <c r="E1937">
        <v>61.75</v>
      </c>
      <c r="F1937">
        <v>0</v>
      </c>
      <c r="G1937">
        <f t="shared" si="134"/>
        <v>61.75</v>
      </c>
      <c r="J1937" s="440"/>
      <c r="K1937" s="26"/>
    </row>
    <row r="1938" spans="1:11">
      <c r="A1938" t="str">
        <f>"BOI"</f>
        <v>BOI</v>
      </c>
      <c r="B1938" t="str">
        <f t="shared" si="135"/>
        <v>66510000</v>
      </c>
      <c r="C1938" t="str">
        <f t="shared" si="133"/>
        <v>BOI665100000</v>
      </c>
      <c r="E1938">
        <v>38.82</v>
      </c>
      <c r="F1938">
        <v>0</v>
      </c>
      <c r="G1938">
        <f t="shared" si="134"/>
        <v>38.82</v>
      </c>
    </row>
    <row r="1939" spans="1:11">
      <c r="A1939" t="str">
        <f>"CAU"</f>
        <v>CAU</v>
      </c>
      <c r="B1939" t="str">
        <f t="shared" si="135"/>
        <v>66510000</v>
      </c>
      <c r="C1939" t="str">
        <f t="shared" si="133"/>
        <v>CAU665100000</v>
      </c>
      <c r="E1939">
        <v>9.4600000000000009</v>
      </c>
      <c r="F1939">
        <v>0</v>
      </c>
      <c r="G1939">
        <f t="shared" si="134"/>
        <v>9.4600000000000009</v>
      </c>
      <c r="H1939" s="433"/>
      <c r="I1939" s="113"/>
    </row>
    <row r="1940" spans="1:11">
      <c r="A1940" t="str">
        <f>"CHA"</f>
        <v>CHA</v>
      </c>
      <c r="B1940" t="str">
        <f t="shared" si="135"/>
        <v>66510000</v>
      </c>
      <c r="C1940" t="str">
        <f t="shared" si="133"/>
        <v>CHA665100000</v>
      </c>
      <c r="E1940">
        <v>13.7</v>
      </c>
      <c r="F1940">
        <v>0</v>
      </c>
      <c r="G1940">
        <f t="shared" si="134"/>
        <v>13.7</v>
      </c>
    </row>
    <row r="1941" spans="1:11">
      <c r="A1941" t="str">
        <f>"CHART"</f>
        <v>CHART</v>
      </c>
      <c r="B1941" t="str">
        <f t="shared" si="135"/>
        <v>66510000</v>
      </c>
      <c r="C1941" t="str">
        <f t="shared" si="133"/>
        <v>CHART665100000</v>
      </c>
      <c r="E1941">
        <v>253</v>
      </c>
      <c r="F1941">
        <v>1.78</v>
      </c>
      <c r="G1941">
        <f t="shared" si="134"/>
        <v>251.22</v>
      </c>
    </row>
    <row r="1942" spans="1:11">
      <c r="A1942" t="str">
        <f>"CLE"</f>
        <v>CLE</v>
      </c>
      <c r="B1942" t="str">
        <f t="shared" si="135"/>
        <v>66510000</v>
      </c>
      <c r="C1942" t="str">
        <f t="shared" si="133"/>
        <v>CLE665100000</v>
      </c>
      <c r="E1942">
        <v>4.7</v>
      </c>
      <c r="F1942">
        <v>0</v>
      </c>
      <c r="G1942">
        <f t="shared" si="134"/>
        <v>4.7</v>
      </c>
    </row>
    <row r="1943" spans="1:11">
      <c r="A1943" t="str">
        <f>"MON"</f>
        <v>MON</v>
      </c>
      <c r="B1943" t="str">
        <f t="shared" si="135"/>
        <v>66510000</v>
      </c>
      <c r="C1943" t="str">
        <f t="shared" si="133"/>
        <v>MON665100000</v>
      </c>
      <c r="E1943">
        <v>461.28</v>
      </c>
      <c r="F1943">
        <v>1.94</v>
      </c>
      <c r="G1943">
        <f t="shared" si="134"/>
        <v>459.34</v>
      </c>
    </row>
    <row r="1944" spans="1:11">
      <c r="A1944" t="str">
        <f>"ROA"</f>
        <v>ROA</v>
      </c>
      <c r="B1944" t="str">
        <f t="shared" si="135"/>
        <v>66510000</v>
      </c>
      <c r="C1944" t="str">
        <f t="shared" si="133"/>
        <v>ROA665100000</v>
      </c>
      <c r="E1944">
        <v>58.42</v>
      </c>
      <c r="F1944">
        <v>0</v>
      </c>
      <c r="G1944">
        <f t="shared" si="134"/>
        <v>58.42</v>
      </c>
    </row>
    <row r="1945" spans="1:11">
      <c r="A1945" t="str">
        <f>"TOURC"</f>
        <v>TOURC</v>
      </c>
      <c r="B1945" t="str">
        <f t="shared" si="135"/>
        <v>66510000</v>
      </c>
      <c r="C1945" t="str">
        <f t="shared" si="133"/>
        <v>TOURC665100000</v>
      </c>
      <c r="E1945">
        <v>527.84</v>
      </c>
      <c r="F1945">
        <v>12.96</v>
      </c>
      <c r="G1945">
        <f t="shared" si="134"/>
        <v>514.88</v>
      </c>
    </row>
    <row r="1946" spans="1:11">
      <c r="A1946" t="str">
        <f>"ANG"</f>
        <v>ANG</v>
      </c>
      <c r="B1946" t="str">
        <f t="shared" ref="B1946:B1965" si="136">"67180000"</f>
        <v>67180000</v>
      </c>
      <c r="C1946" t="str">
        <f t="shared" si="133"/>
        <v>ANG671800000</v>
      </c>
      <c r="E1946">
        <v>15</v>
      </c>
      <c r="F1946">
        <v>0</v>
      </c>
      <c r="G1946">
        <f t="shared" si="134"/>
        <v>15</v>
      </c>
    </row>
    <row r="1947" spans="1:11">
      <c r="A1947" t="str">
        <f>"BOS"</f>
        <v>BOS</v>
      </c>
      <c r="B1947" t="str">
        <f t="shared" si="136"/>
        <v>67180000</v>
      </c>
      <c r="C1947" t="str">
        <f t="shared" si="133"/>
        <v>BOS671800000</v>
      </c>
      <c r="E1947">
        <v>0.22</v>
      </c>
      <c r="F1947">
        <v>0</v>
      </c>
      <c r="G1947">
        <f t="shared" si="134"/>
        <v>0.22</v>
      </c>
    </row>
    <row r="1948" spans="1:11">
      <c r="A1948" t="str">
        <f>"BOU"</f>
        <v>BOU</v>
      </c>
      <c r="B1948" t="str">
        <f t="shared" si="136"/>
        <v>67180000</v>
      </c>
      <c r="C1948" t="str">
        <f t="shared" si="133"/>
        <v>BOU671800000</v>
      </c>
      <c r="E1948">
        <v>7.5</v>
      </c>
      <c r="F1948">
        <v>0</v>
      </c>
      <c r="G1948">
        <f t="shared" si="134"/>
        <v>7.5</v>
      </c>
    </row>
    <row r="1949" spans="1:11">
      <c r="A1949" t="str">
        <f>"CAL"</f>
        <v>CAL</v>
      </c>
      <c r="B1949" t="str">
        <f t="shared" si="136"/>
        <v>67180000</v>
      </c>
      <c r="C1949" t="str">
        <f t="shared" si="133"/>
        <v>CAL671800000</v>
      </c>
      <c r="E1949">
        <v>223.16</v>
      </c>
      <c r="F1949">
        <v>0</v>
      </c>
      <c r="G1949">
        <f t="shared" si="134"/>
        <v>223.16</v>
      </c>
    </row>
    <row r="1950" spans="1:11">
      <c r="A1950" t="str">
        <f>"CAM"</f>
        <v>CAM</v>
      </c>
      <c r="B1950" t="str">
        <f t="shared" si="136"/>
        <v>67180000</v>
      </c>
      <c r="C1950" t="str">
        <f t="shared" si="133"/>
        <v>CAM671800000</v>
      </c>
      <c r="E1950">
        <v>161.53</v>
      </c>
      <c r="F1950">
        <v>0</v>
      </c>
      <c r="G1950">
        <f t="shared" si="134"/>
        <v>161.53</v>
      </c>
    </row>
    <row r="1951" spans="1:11">
      <c r="A1951" t="str">
        <f>"CHA"</f>
        <v>CHA</v>
      </c>
      <c r="B1951" t="str">
        <f t="shared" si="136"/>
        <v>67180000</v>
      </c>
      <c r="C1951" t="str">
        <f t="shared" si="133"/>
        <v>CHA671800000</v>
      </c>
      <c r="E1951">
        <v>33.880000000000003</v>
      </c>
      <c r="F1951">
        <v>0</v>
      </c>
      <c r="G1951">
        <f t="shared" si="134"/>
        <v>33.880000000000003</v>
      </c>
    </row>
    <row r="1952" spans="1:11">
      <c r="A1952" t="str">
        <f>"CHAM"</f>
        <v>CHAM</v>
      </c>
      <c r="B1952" t="str">
        <f t="shared" si="136"/>
        <v>67180000</v>
      </c>
      <c r="C1952" t="str">
        <f t="shared" si="133"/>
        <v>CHAM671800000</v>
      </c>
      <c r="E1952">
        <v>15.01</v>
      </c>
      <c r="F1952">
        <v>0</v>
      </c>
      <c r="G1952">
        <f t="shared" si="134"/>
        <v>15.01</v>
      </c>
    </row>
    <row r="1953" spans="1:7">
      <c r="A1953" t="str">
        <f>"CLE"</f>
        <v>CLE</v>
      </c>
      <c r="B1953" t="str">
        <f t="shared" si="136"/>
        <v>67180000</v>
      </c>
      <c r="C1953" t="str">
        <f t="shared" si="133"/>
        <v>CLE671800000</v>
      </c>
      <c r="E1953">
        <v>5806.77</v>
      </c>
      <c r="F1953">
        <v>0</v>
      </c>
      <c r="G1953">
        <f t="shared" si="134"/>
        <v>5806.77</v>
      </c>
    </row>
    <row r="1954" spans="1:7">
      <c r="A1954" t="str">
        <f>"COM"</f>
        <v>COM</v>
      </c>
      <c r="B1954" t="str">
        <f t="shared" si="136"/>
        <v>67180000</v>
      </c>
      <c r="C1954" t="str">
        <f t="shared" si="133"/>
        <v>COM671800000</v>
      </c>
      <c r="E1954">
        <v>1442.44</v>
      </c>
      <c r="F1954">
        <v>0</v>
      </c>
      <c r="G1954">
        <f t="shared" si="134"/>
        <v>1442.44</v>
      </c>
    </row>
    <row r="1955" spans="1:7">
      <c r="A1955" t="str">
        <f>"GRE"</f>
        <v>GRE</v>
      </c>
      <c r="B1955" t="str">
        <f t="shared" si="136"/>
        <v>67180000</v>
      </c>
      <c r="C1955" t="str">
        <f t="shared" si="133"/>
        <v>GRE671800000</v>
      </c>
      <c r="E1955">
        <v>290.75</v>
      </c>
      <c r="F1955">
        <v>0</v>
      </c>
      <c r="G1955">
        <f t="shared" si="134"/>
        <v>290.75</v>
      </c>
    </row>
    <row r="1956" spans="1:7">
      <c r="A1956" t="str">
        <f>"LIL"</f>
        <v>LIL</v>
      </c>
      <c r="B1956" t="str">
        <f t="shared" si="136"/>
        <v>67180000</v>
      </c>
      <c r="C1956" t="str">
        <f t="shared" si="133"/>
        <v>LIL671800000</v>
      </c>
      <c r="E1956">
        <v>0</v>
      </c>
      <c r="F1956">
        <v>0</v>
      </c>
      <c r="G1956">
        <f t="shared" si="134"/>
        <v>0</v>
      </c>
    </row>
    <row r="1957" spans="1:7">
      <c r="A1957" t="str">
        <f>"MAD"</f>
        <v>MAD</v>
      </c>
      <c r="B1957" t="str">
        <f t="shared" si="136"/>
        <v>67180000</v>
      </c>
      <c r="C1957" t="str">
        <f t="shared" si="133"/>
        <v>MAD671800000</v>
      </c>
      <c r="E1957">
        <v>46.01</v>
      </c>
      <c r="F1957">
        <v>0</v>
      </c>
      <c r="G1957">
        <f t="shared" si="134"/>
        <v>46.01</v>
      </c>
    </row>
    <row r="1958" spans="1:7">
      <c r="A1958" t="str">
        <f>"MAR"</f>
        <v>MAR</v>
      </c>
      <c r="B1958" t="str">
        <f t="shared" si="136"/>
        <v>67180000</v>
      </c>
      <c r="C1958" t="str">
        <f t="shared" si="133"/>
        <v>MAR671800000</v>
      </c>
      <c r="E1958">
        <v>489.67</v>
      </c>
      <c r="F1958">
        <v>0</v>
      </c>
      <c r="G1958">
        <f t="shared" si="134"/>
        <v>489.67</v>
      </c>
    </row>
    <row r="1959" spans="1:7">
      <c r="A1959" t="str">
        <f>"MON"</f>
        <v>MON</v>
      </c>
      <c r="B1959" t="str">
        <f t="shared" si="136"/>
        <v>67180000</v>
      </c>
      <c r="C1959" t="str">
        <f t="shared" si="133"/>
        <v>MON671800000</v>
      </c>
      <c r="E1959">
        <v>386.38</v>
      </c>
      <c r="F1959">
        <v>0</v>
      </c>
      <c r="G1959">
        <f t="shared" si="134"/>
        <v>386.38</v>
      </c>
    </row>
    <row r="1960" spans="1:7">
      <c r="A1960" t="str">
        <f>"ORL"</f>
        <v>ORL</v>
      </c>
      <c r="B1960" t="str">
        <f t="shared" si="136"/>
        <v>67180000</v>
      </c>
      <c r="C1960" t="str">
        <f t="shared" si="133"/>
        <v>ORL671800000</v>
      </c>
      <c r="E1960">
        <v>3421.66</v>
      </c>
      <c r="F1960">
        <v>0</v>
      </c>
      <c r="G1960">
        <f t="shared" si="134"/>
        <v>3421.66</v>
      </c>
    </row>
    <row r="1961" spans="1:7">
      <c r="A1961" t="str">
        <f>"REN"</f>
        <v>REN</v>
      </c>
      <c r="B1961" t="str">
        <f t="shared" si="136"/>
        <v>67180000</v>
      </c>
      <c r="C1961" t="str">
        <f t="shared" si="133"/>
        <v>REN671800000</v>
      </c>
      <c r="E1961">
        <v>7.5</v>
      </c>
      <c r="F1961">
        <v>0</v>
      </c>
      <c r="G1961">
        <f t="shared" si="134"/>
        <v>7.5</v>
      </c>
    </row>
    <row r="1962" spans="1:7">
      <c r="A1962" t="str">
        <f>"ROA"</f>
        <v>ROA</v>
      </c>
      <c r="B1962" t="str">
        <f t="shared" si="136"/>
        <v>67180000</v>
      </c>
      <c r="C1962" t="str">
        <f t="shared" si="133"/>
        <v>ROA671800000</v>
      </c>
      <c r="E1962">
        <v>58</v>
      </c>
      <c r="F1962">
        <v>0</v>
      </c>
      <c r="G1962">
        <f t="shared" si="134"/>
        <v>58</v>
      </c>
    </row>
    <row r="1963" spans="1:7">
      <c r="A1963" t="str">
        <f>"SOM"</f>
        <v>SOM</v>
      </c>
      <c r="B1963" t="str">
        <f t="shared" si="136"/>
        <v>67180000</v>
      </c>
      <c r="C1963" t="str">
        <f t="shared" si="133"/>
        <v>SOM671800000</v>
      </c>
      <c r="E1963">
        <v>1731.89</v>
      </c>
      <c r="F1963">
        <v>0</v>
      </c>
      <c r="G1963">
        <f t="shared" si="134"/>
        <v>1731.89</v>
      </c>
    </row>
    <row r="1964" spans="1:7">
      <c r="A1964" t="str">
        <f>"TOURC"</f>
        <v>TOURC</v>
      </c>
      <c r="B1964" t="str">
        <f t="shared" si="136"/>
        <v>67180000</v>
      </c>
      <c r="C1964" t="str">
        <f t="shared" si="133"/>
        <v>TOURC671800000</v>
      </c>
      <c r="E1964">
        <v>90.62</v>
      </c>
      <c r="F1964">
        <v>0</v>
      </c>
      <c r="G1964">
        <f t="shared" si="134"/>
        <v>90.62</v>
      </c>
    </row>
    <row r="1965" spans="1:7">
      <c r="A1965" t="str">
        <f>"VAN"</f>
        <v>VAN</v>
      </c>
      <c r="B1965" t="str">
        <f t="shared" si="136"/>
        <v>67180000</v>
      </c>
      <c r="C1965" t="str">
        <f t="shared" si="133"/>
        <v>VAN671800000</v>
      </c>
      <c r="E1965">
        <v>0.01</v>
      </c>
      <c r="F1965">
        <v>0</v>
      </c>
      <c r="G1965">
        <f t="shared" si="134"/>
        <v>0.01</v>
      </c>
    </row>
    <row r="1966" spans="1:7">
      <c r="A1966" t="str">
        <f>"AMI"</f>
        <v>AMI</v>
      </c>
      <c r="B1966" t="str">
        <f t="shared" ref="B1966:B1996" si="137">"68112000"</f>
        <v>68112000</v>
      </c>
      <c r="C1966" t="str">
        <f t="shared" si="133"/>
        <v>AMI681120000</v>
      </c>
      <c r="E1966">
        <v>4200.03</v>
      </c>
      <c r="F1966">
        <v>0</v>
      </c>
      <c r="G1966">
        <f t="shared" si="134"/>
        <v>4200.03</v>
      </c>
    </row>
    <row r="1967" spans="1:7">
      <c r="A1967" t="str">
        <f>"ANG"</f>
        <v>ANG</v>
      </c>
      <c r="B1967" t="str">
        <f t="shared" si="137"/>
        <v>68112000</v>
      </c>
      <c r="C1967" t="str">
        <f t="shared" si="133"/>
        <v>ANG681120000</v>
      </c>
      <c r="E1967">
        <v>9749.9699999999993</v>
      </c>
      <c r="F1967">
        <v>0</v>
      </c>
      <c r="G1967">
        <f t="shared" si="134"/>
        <v>9749.9699999999993</v>
      </c>
    </row>
    <row r="1968" spans="1:7">
      <c r="A1968" t="str">
        <f>"BET"</f>
        <v>BET</v>
      </c>
      <c r="B1968" t="str">
        <f t="shared" si="137"/>
        <v>68112000</v>
      </c>
      <c r="C1968" t="str">
        <f t="shared" si="133"/>
        <v>BET681120000</v>
      </c>
      <c r="E1968">
        <v>2625.03</v>
      </c>
      <c r="F1968">
        <v>0</v>
      </c>
      <c r="G1968">
        <f t="shared" si="134"/>
        <v>2625.03</v>
      </c>
    </row>
    <row r="1969" spans="1:11">
      <c r="A1969" t="str">
        <f>"BOI"</f>
        <v>BOI</v>
      </c>
      <c r="B1969" t="str">
        <f t="shared" si="137"/>
        <v>68112000</v>
      </c>
      <c r="C1969" t="str">
        <f t="shared" si="133"/>
        <v>BOI681120000</v>
      </c>
      <c r="E1969">
        <v>2032.47</v>
      </c>
      <c r="F1969">
        <v>0</v>
      </c>
      <c r="G1969">
        <f t="shared" si="134"/>
        <v>2032.47</v>
      </c>
    </row>
    <row r="1970" spans="1:11">
      <c r="A1970" t="str">
        <f>"BOU"</f>
        <v>BOU</v>
      </c>
      <c r="B1970" t="str">
        <f t="shared" si="137"/>
        <v>68112000</v>
      </c>
      <c r="C1970" t="str">
        <f t="shared" si="133"/>
        <v>BOU681120000</v>
      </c>
      <c r="E1970">
        <v>10950.03</v>
      </c>
      <c r="F1970">
        <v>0</v>
      </c>
      <c r="G1970">
        <f t="shared" si="134"/>
        <v>10950.03</v>
      </c>
    </row>
    <row r="1971" spans="1:11">
      <c r="A1971" t="str">
        <f>"CAL"</f>
        <v>CAL</v>
      </c>
      <c r="B1971" t="str">
        <f t="shared" si="137"/>
        <v>68112000</v>
      </c>
      <c r="C1971" t="str">
        <f t="shared" si="133"/>
        <v>CAL681120000</v>
      </c>
      <c r="E1971">
        <v>2774.97</v>
      </c>
      <c r="F1971">
        <v>0</v>
      </c>
      <c r="G1971">
        <f t="shared" si="134"/>
        <v>2774.97</v>
      </c>
    </row>
    <row r="1972" spans="1:11">
      <c r="A1972" t="str">
        <f>"CAM"</f>
        <v>CAM</v>
      </c>
      <c r="B1972" t="str">
        <f t="shared" si="137"/>
        <v>68112000</v>
      </c>
      <c r="C1972" t="str">
        <f t="shared" si="133"/>
        <v>CAM681120000</v>
      </c>
      <c r="E1972">
        <v>2700</v>
      </c>
      <c r="F1972">
        <v>0</v>
      </c>
      <c r="G1972">
        <f t="shared" si="134"/>
        <v>2700</v>
      </c>
    </row>
    <row r="1973" spans="1:11">
      <c r="A1973" t="str">
        <f>"CAU"</f>
        <v>CAU</v>
      </c>
      <c r="B1973" t="str">
        <f t="shared" si="137"/>
        <v>68112000</v>
      </c>
      <c r="C1973" t="str">
        <f t="shared" si="133"/>
        <v>CAU681120000</v>
      </c>
      <c r="E1973">
        <v>8550</v>
      </c>
      <c r="F1973">
        <v>0</v>
      </c>
      <c r="G1973">
        <f t="shared" si="134"/>
        <v>8550</v>
      </c>
    </row>
    <row r="1974" spans="1:11">
      <c r="A1974" t="str">
        <f>"CHA"</f>
        <v>CHA</v>
      </c>
      <c r="B1974" t="str">
        <f t="shared" si="137"/>
        <v>68112000</v>
      </c>
      <c r="C1974" t="str">
        <f t="shared" si="133"/>
        <v>CHA681120000</v>
      </c>
      <c r="E1974">
        <v>1950.03</v>
      </c>
      <c r="F1974">
        <v>0</v>
      </c>
      <c r="G1974">
        <f t="shared" si="134"/>
        <v>1950.03</v>
      </c>
    </row>
    <row r="1975" spans="1:11">
      <c r="A1975" t="str">
        <f>"CHAM"</f>
        <v>CHAM</v>
      </c>
      <c r="B1975" t="str">
        <f t="shared" si="137"/>
        <v>68112000</v>
      </c>
      <c r="C1975" t="str">
        <f t="shared" si="133"/>
        <v>CHAM681120000</v>
      </c>
      <c r="E1975">
        <v>7724.97</v>
      </c>
      <c r="F1975">
        <v>0</v>
      </c>
      <c r="G1975">
        <f t="shared" si="134"/>
        <v>7724.97</v>
      </c>
    </row>
    <row r="1976" spans="1:11">
      <c r="A1976" t="str">
        <f>"CHART"</f>
        <v>CHART</v>
      </c>
      <c r="B1976" t="str">
        <f t="shared" si="137"/>
        <v>68112000</v>
      </c>
      <c r="C1976" t="str">
        <f t="shared" si="133"/>
        <v>CHART681120000</v>
      </c>
      <c r="E1976">
        <v>2025</v>
      </c>
      <c r="F1976">
        <v>0</v>
      </c>
      <c r="G1976">
        <f t="shared" si="134"/>
        <v>2025</v>
      </c>
    </row>
    <row r="1977" spans="1:11">
      <c r="A1977" t="str">
        <f>"CLE"</f>
        <v>CLE</v>
      </c>
      <c r="B1977" t="str">
        <f t="shared" si="137"/>
        <v>68112000</v>
      </c>
      <c r="C1977" t="str">
        <f t="shared" si="133"/>
        <v>CLE681120000</v>
      </c>
      <c r="E1977">
        <v>6450.03</v>
      </c>
      <c r="F1977">
        <v>0</v>
      </c>
      <c r="G1977">
        <f t="shared" si="134"/>
        <v>6450.03</v>
      </c>
      <c r="I1977" s="26"/>
    </row>
    <row r="1978" spans="1:11">
      <c r="A1978" t="str">
        <f>"COM"</f>
        <v>COM</v>
      </c>
      <c r="B1978" t="str">
        <f t="shared" si="137"/>
        <v>68112000</v>
      </c>
      <c r="C1978" t="str">
        <f t="shared" si="133"/>
        <v>COM681120000</v>
      </c>
      <c r="E1978">
        <v>3750.03</v>
      </c>
      <c r="F1978">
        <v>0</v>
      </c>
      <c r="G1978">
        <f t="shared" si="134"/>
        <v>3750.03</v>
      </c>
    </row>
    <row r="1979" spans="1:11">
      <c r="A1979" t="str">
        <f>"CST"</f>
        <v>CST</v>
      </c>
      <c r="B1979" t="str">
        <f t="shared" si="137"/>
        <v>68112000</v>
      </c>
      <c r="C1979" t="str">
        <f t="shared" si="133"/>
        <v>CST681120000</v>
      </c>
      <c r="E1979">
        <v>9825.0300000000007</v>
      </c>
      <c r="F1979">
        <v>0</v>
      </c>
      <c r="G1979">
        <f t="shared" si="134"/>
        <v>9825.0300000000007</v>
      </c>
    </row>
    <row r="1980" spans="1:11">
      <c r="A1980" t="str">
        <f>"DIJ"</f>
        <v>DIJ</v>
      </c>
      <c r="B1980" t="str">
        <f t="shared" si="137"/>
        <v>68112000</v>
      </c>
      <c r="C1980" t="str">
        <f t="shared" si="133"/>
        <v>DIJ681120000</v>
      </c>
      <c r="E1980">
        <v>3000</v>
      </c>
      <c r="F1980">
        <v>0</v>
      </c>
      <c r="G1980">
        <f t="shared" si="134"/>
        <v>3000</v>
      </c>
    </row>
    <row r="1981" spans="1:11">
      <c r="A1981" t="str">
        <f>"EU"</f>
        <v>EU</v>
      </c>
      <c r="B1981" t="str">
        <f t="shared" si="137"/>
        <v>68112000</v>
      </c>
      <c r="C1981" t="str">
        <f t="shared" si="133"/>
        <v>EU681120000</v>
      </c>
      <c r="E1981">
        <v>9225</v>
      </c>
      <c r="F1981">
        <v>0</v>
      </c>
      <c r="G1981">
        <f t="shared" si="134"/>
        <v>9225</v>
      </c>
    </row>
    <row r="1982" spans="1:11">
      <c r="A1982" t="str">
        <f>"GRE"</f>
        <v>GRE</v>
      </c>
      <c r="B1982" t="str">
        <f t="shared" si="137"/>
        <v>68112000</v>
      </c>
      <c r="C1982" t="str">
        <f t="shared" si="133"/>
        <v>GRE681120000</v>
      </c>
      <c r="E1982">
        <v>7200</v>
      </c>
      <c r="F1982">
        <v>0</v>
      </c>
      <c r="G1982">
        <f t="shared" si="134"/>
        <v>7200</v>
      </c>
    </row>
    <row r="1983" spans="1:11">
      <c r="A1983" t="str">
        <f>"LEN"</f>
        <v>LEN</v>
      </c>
      <c r="B1983" t="str">
        <f t="shared" si="137"/>
        <v>68112000</v>
      </c>
      <c r="C1983" t="str">
        <f t="shared" si="133"/>
        <v>LEN681120000</v>
      </c>
      <c r="E1983">
        <v>1649.97</v>
      </c>
      <c r="F1983">
        <v>0</v>
      </c>
      <c r="G1983">
        <f t="shared" si="134"/>
        <v>1649.97</v>
      </c>
    </row>
    <row r="1984" spans="1:11">
      <c r="A1984" t="str">
        <f>"LIL"</f>
        <v>LIL</v>
      </c>
      <c r="B1984" t="str">
        <f t="shared" si="137"/>
        <v>68112000</v>
      </c>
      <c r="C1984" t="str">
        <f t="shared" si="133"/>
        <v>LIL681120000</v>
      </c>
      <c r="E1984">
        <v>13125.06</v>
      </c>
      <c r="F1984">
        <v>0</v>
      </c>
      <c r="G1984">
        <f t="shared" si="134"/>
        <v>13125.06</v>
      </c>
      <c r="J1984" s="26"/>
      <c r="K1984" s="353"/>
    </row>
    <row r="1985" spans="1:11">
      <c r="A1985" t="str">
        <f>"MAD"</f>
        <v>MAD</v>
      </c>
      <c r="B1985" t="str">
        <f t="shared" si="137"/>
        <v>68112000</v>
      </c>
      <c r="C1985" t="str">
        <f t="shared" si="133"/>
        <v>MAD681120000</v>
      </c>
      <c r="E1985">
        <v>6675.03</v>
      </c>
      <c r="F1985">
        <v>0</v>
      </c>
      <c r="G1985">
        <f t="shared" si="134"/>
        <v>6675.03</v>
      </c>
      <c r="K1985" s="353"/>
    </row>
    <row r="1986" spans="1:11">
      <c r="A1986" t="str">
        <f>"MAR"</f>
        <v>MAR</v>
      </c>
      <c r="B1986" t="str">
        <f t="shared" si="137"/>
        <v>68112000</v>
      </c>
      <c r="C1986" t="str">
        <f t="shared" si="133"/>
        <v>MAR681120000</v>
      </c>
      <c r="E1986">
        <v>1800</v>
      </c>
      <c r="F1986">
        <v>0</v>
      </c>
      <c r="G1986">
        <f t="shared" si="134"/>
        <v>1800</v>
      </c>
      <c r="K1986" s="353"/>
    </row>
    <row r="1987" spans="1:11">
      <c r="A1987" t="str">
        <f>"MON"</f>
        <v>MON</v>
      </c>
      <c r="B1987" t="str">
        <f t="shared" si="137"/>
        <v>68112000</v>
      </c>
      <c r="C1987" t="str">
        <f t="shared" ref="C1987:C2050" si="138">+A1987&amp;B1987*10</f>
        <v>MON681120000</v>
      </c>
      <c r="E1987">
        <v>6675.03</v>
      </c>
      <c r="F1987">
        <v>0</v>
      </c>
      <c r="G1987">
        <f t="shared" ref="G1987:G2050" si="139">+E1987-F1987</f>
        <v>6675.03</v>
      </c>
      <c r="K1987" s="353"/>
    </row>
    <row r="1988" spans="1:11">
      <c r="A1988" t="str">
        <f>"NAN"</f>
        <v>NAN</v>
      </c>
      <c r="B1988" t="str">
        <f t="shared" si="137"/>
        <v>68112000</v>
      </c>
      <c r="C1988" t="str">
        <f t="shared" si="138"/>
        <v>NAN681120000</v>
      </c>
      <c r="E1988">
        <v>3674.97</v>
      </c>
      <c r="F1988">
        <v>0</v>
      </c>
      <c r="G1988">
        <f t="shared" si="139"/>
        <v>3674.97</v>
      </c>
      <c r="J1988" s="440"/>
      <c r="K1988" s="26"/>
    </row>
    <row r="1989" spans="1:11">
      <c r="A1989" t="str">
        <f>"ORL"</f>
        <v>ORL</v>
      </c>
      <c r="B1989" t="str">
        <f t="shared" si="137"/>
        <v>68112000</v>
      </c>
      <c r="C1989" t="str">
        <f t="shared" si="138"/>
        <v>ORL681120000</v>
      </c>
      <c r="E1989">
        <v>13425.03</v>
      </c>
      <c r="F1989">
        <v>0</v>
      </c>
      <c r="G1989">
        <f t="shared" si="139"/>
        <v>13425.03</v>
      </c>
    </row>
    <row r="1990" spans="1:11">
      <c r="A1990" t="str">
        <f>"REN"</f>
        <v>REN</v>
      </c>
      <c r="B1990" t="str">
        <f t="shared" si="137"/>
        <v>68112000</v>
      </c>
      <c r="C1990" t="str">
        <f t="shared" si="138"/>
        <v>REN681120000</v>
      </c>
      <c r="E1990">
        <v>1350</v>
      </c>
      <c r="F1990">
        <v>0</v>
      </c>
      <c r="G1990">
        <f t="shared" si="139"/>
        <v>1350</v>
      </c>
    </row>
    <row r="1991" spans="1:11">
      <c r="A1991" t="str">
        <f>"ROA"</f>
        <v>ROA</v>
      </c>
      <c r="B1991" t="str">
        <f t="shared" si="137"/>
        <v>68112000</v>
      </c>
      <c r="C1991" t="str">
        <f t="shared" si="138"/>
        <v>ROA681120000</v>
      </c>
      <c r="E1991">
        <v>6525</v>
      </c>
      <c r="F1991">
        <v>0</v>
      </c>
      <c r="G1991">
        <f t="shared" si="139"/>
        <v>6525</v>
      </c>
    </row>
    <row r="1992" spans="1:11">
      <c r="A1992" t="str">
        <f>"SAU"</f>
        <v>SAU</v>
      </c>
      <c r="B1992" t="str">
        <f t="shared" si="137"/>
        <v>68112000</v>
      </c>
      <c r="C1992" t="str">
        <f t="shared" si="138"/>
        <v>SAU681120000</v>
      </c>
      <c r="E1992">
        <v>4950</v>
      </c>
      <c r="F1992">
        <v>0</v>
      </c>
      <c r="G1992">
        <f t="shared" si="139"/>
        <v>4950</v>
      </c>
    </row>
    <row r="1993" spans="1:11">
      <c r="A1993" t="str">
        <f>"SOM"</f>
        <v>SOM</v>
      </c>
      <c r="B1993" t="str">
        <f t="shared" si="137"/>
        <v>68112000</v>
      </c>
      <c r="C1993" t="str">
        <f t="shared" si="138"/>
        <v>SOM681120000</v>
      </c>
      <c r="E1993">
        <v>16875</v>
      </c>
      <c r="F1993">
        <v>0</v>
      </c>
      <c r="G1993">
        <f t="shared" si="139"/>
        <v>16875</v>
      </c>
    </row>
    <row r="1994" spans="1:11">
      <c r="A1994" t="str">
        <f>"THO"</f>
        <v>THO</v>
      </c>
      <c r="B1994" t="str">
        <f t="shared" si="137"/>
        <v>68112000</v>
      </c>
      <c r="C1994" t="str">
        <f t="shared" si="138"/>
        <v>THO681120000</v>
      </c>
      <c r="E1994">
        <v>2475</v>
      </c>
      <c r="F1994">
        <v>0</v>
      </c>
      <c r="G1994">
        <f t="shared" si="139"/>
        <v>2475</v>
      </c>
    </row>
    <row r="1995" spans="1:11">
      <c r="A1995" t="str">
        <f>"TOURC"</f>
        <v>TOURC</v>
      </c>
      <c r="B1995" t="str">
        <f t="shared" si="137"/>
        <v>68112000</v>
      </c>
      <c r="C1995" t="str">
        <f t="shared" si="138"/>
        <v>TOURC681120000</v>
      </c>
      <c r="E1995">
        <v>6000.03</v>
      </c>
      <c r="F1995">
        <v>0</v>
      </c>
      <c r="G1995">
        <f t="shared" si="139"/>
        <v>6000.03</v>
      </c>
    </row>
    <row r="1996" spans="1:11">
      <c r="A1996" t="str">
        <f>"VAN"</f>
        <v>VAN</v>
      </c>
      <c r="B1996" t="str">
        <f t="shared" si="137"/>
        <v>68112000</v>
      </c>
      <c r="C1996" t="str">
        <f t="shared" si="138"/>
        <v>VAN681120000</v>
      </c>
      <c r="E1996">
        <v>2850.03</v>
      </c>
      <c r="F1996">
        <v>0</v>
      </c>
      <c r="G1996">
        <f t="shared" si="139"/>
        <v>2850.03</v>
      </c>
    </row>
    <row r="1997" spans="1:11">
      <c r="A1997" t="str">
        <f>"AMI"</f>
        <v>AMI</v>
      </c>
      <c r="B1997" t="str">
        <f t="shared" ref="B1997:B2027" si="140">"68174000"</f>
        <v>68174000</v>
      </c>
      <c r="C1997" t="str">
        <f t="shared" si="138"/>
        <v>AMI681740000</v>
      </c>
      <c r="E1997">
        <v>5529.14</v>
      </c>
      <c r="F1997">
        <v>0</v>
      </c>
      <c r="G1997">
        <f t="shared" si="139"/>
        <v>5529.14</v>
      </c>
    </row>
    <row r="1998" spans="1:11">
      <c r="A1998" t="str">
        <f>"ANG"</f>
        <v>ANG</v>
      </c>
      <c r="B1998" t="str">
        <f t="shared" si="140"/>
        <v>68174000</v>
      </c>
      <c r="C1998" t="str">
        <f t="shared" si="138"/>
        <v>ANG681740000</v>
      </c>
      <c r="E1998">
        <v>4140.72</v>
      </c>
      <c r="F1998">
        <v>0</v>
      </c>
      <c r="G1998">
        <f t="shared" si="139"/>
        <v>4140.72</v>
      </c>
    </row>
    <row r="1999" spans="1:11">
      <c r="A1999" t="str">
        <f>"BET"</f>
        <v>BET</v>
      </c>
      <c r="B1999" t="str">
        <f t="shared" si="140"/>
        <v>68174000</v>
      </c>
      <c r="C1999" t="str">
        <f t="shared" si="138"/>
        <v>BET681740000</v>
      </c>
      <c r="E1999">
        <v>1405</v>
      </c>
      <c r="F1999">
        <v>0</v>
      </c>
      <c r="G1999">
        <f t="shared" si="139"/>
        <v>1405</v>
      </c>
    </row>
    <row r="2000" spans="1:11">
      <c r="A2000" t="str">
        <f>"BOI"</f>
        <v>BOI</v>
      </c>
      <c r="B2000" t="str">
        <f t="shared" si="140"/>
        <v>68174000</v>
      </c>
      <c r="C2000" t="str">
        <f t="shared" si="138"/>
        <v>BOI681740000</v>
      </c>
      <c r="E2000">
        <v>570.75</v>
      </c>
      <c r="F2000">
        <v>0</v>
      </c>
      <c r="G2000">
        <f t="shared" si="139"/>
        <v>570.75</v>
      </c>
    </row>
    <row r="2001" spans="1:7">
      <c r="A2001" t="str">
        <f>"BOS"</f>
        <v>BOS</v>
      </c>
      <c r="B2001" t="str">
        <f t="shared" si="140"/>
        <v>68174000</v>
      </c>
      <c r="C2001" t="str">
        <f t="shared" si="138"/>
        <v>BOS681740000</v>
      </c>
      <c r="E2001">
        <v>5898.74</v>
      </c>
      <c r="F2001">
        <v>0</v>
      </c>
      <c r="G2001">
        <f t="shared" si="139"/>
        <v>5898.74</v>
      </c>
    </row>
    <row r="2002" spans="1:7">
      <c r="A2002" t="str">
        <f>"BOU"</f>
        <v>BOU</v>
      </c>
      <c r="B2002" t="str">
        <f t="shared" si="140"/>
        <v>68174000</v>
      </c>
      <c r="C2002" t="str">
        <f t="shared" si="138"/>
        <v>BOU681740000</v>
      </c>
      <c r="E2002">
        <v>13973.63</v>
      </c>
      <c r="F2002">
        <v>0</v>
      </c>
      <c r="G2002">
        <f t="shared" si="139"/>
        <v>13973.63</v>
      </c>
    </row>
    <row r="2003" spans="1:7">
      <c r="A2003" t="str">
        <f>"CAL"</f>
        <v>CAL</v>
      </c>
      <c r="B2003" t="str">
        <f t="shared" si="140"/>
        <v>68174000</v>
      </c>
      <c r="C2003" t="str">
        <f t="shared" si="138"/>
        <v>CAL681740000</v>
      </c>
      <c r="E2003">
        <v>6136.36</v>
      </c>
      <c r="F2003">
        <v>0</v>
      </c>
      <c r="G2003">
        <f t="shared" si="139"/>
        <v>6136.36</v>
      </c>
    </row>
    <row r="2004" spans="1:7">
      <c r="A2004" t="str">
        <f>"CAM"</f>
        <v>CAM</v>
      </c>
      <c r="B2004" t="str">
        <f t="shared" si="140"/>
        <v>68174000</v>
      </c>
      <c r="C2004" t="str">
        <f t="shared" si="138"/>
        <v>CAM681740000</v>
      </c>
      <c r="E2004">
        <v>2282.14</v>
      </c>
      <c r="F2004">
        <v>0</v>
      </c>
      <c r="G2004">
        <f t="shared" si="139"/>
        <v>2282.14</v>
      </c>
    </row>
    <row r="2005" spans="1:7">
      <c r="A2005" t="str">
        <f>"CAU"</f>
        <v>CAU</v>
      </c>
      <c r="B2005" t="str">
        <f t="shared" si="140"/>
        <v>68174000</v>
      </c>
      <c r="C2005" t="str">
        <f t="shared" si="138"/>
        <v>CAU681740000</v>
      </c>
      <c r="E2005">
        <v>3464.58</v>
      </c>
      <c r="F2005">
        <v>0</v>
      </c>
      <c r="G2005">
        <f t="shared" si="139"/>
        <v>3464.58</v>
      </c>
    </row>
    <row r="2006" spans="1:7">
      <c r="A2006" t="str">
        <f>"CHA"</f>
        <v>CHA</v>
      </c>
      <c r="B2006" t="str">
        <f t="shared" si="140"/>
        <v>68174000</v>
      </c>
      <c r="C2006" t="str">
        <f t="shared" si="138"/>
        <v>CHA681740000</v>
      </c>
      <c r="E2006">
        <v>3553.82</v>
      </c>
      <c r="F2006">
        <v>0</v>
      </c>
      <c r="G2006">
        <f t="shared" si="139"/>
        <v>3553.82</v>
      </c>
    </row>
    <row r="2007" spans="1:7">
      <c r="A2007" t="str">
        <f>"CHAM"</f>
        <v>CHAM</v>
      </c>
      <c r="B2007" t="str">
        <f t="shared" si="140"/>
        <v>68174000</v>
      </c>
      <c r="C2007" t="str">
        <f t="shared" si="138"/>
        <v>CHAM681740000</v>
      </c>
      <c r="E2007">
        <v>3161.61</v>
      </c>
      <c r="F2007">
        <v>0</v>
      </c>
      <c r="G2007">
        <f t="shared" si="139"/>
        <v>3161.61</v>
      </c>
    </row>
    <row r="2008" spans="1:7">
      <c r="A2008" t="str">
        <f>"CHART"</f>
        <v>CHART</v>
      </c>
      <c r="B2008" t="str">
        <f t="shared" si="140"/>
        <v>68174000</v>
      </c>
      <c r="C2008" t="str">
        <f t="shared" si="138"/>
        <v>CHART681740000</v>
      </c>
      <c r="E2008">
        <v>-93.21</v>
      </c>
      <c r="F2008">
        <v>0</v>
      </c>
      <c r="G2008">
        <f t="shared" si="139"/>
        <v>-93.21</v>
      </c>
    </row>
    <row r="2009" spans="1:7">
      <c r="A2009" t="str">
        <f>"CLE"</f>
        <v>CLE</v>
      </c>
      <c r="B2009" t="str">
        <f t="shared" si="140"/>
        <v>68174000</v>
      </c>
      <c r="C2009" t="str">
        <f t="shared" si="138"/>
        <v>CLE681740000</v>
      </c>
      <c r="E2009">
        <v>10021.31</v>
      </c>
      <c r="F2009">
        <v>0</v>
      </c>
      <c r="G2009">
        <f t="shared" si="139"/>
        <v>10021.31</v>
      </c>
    </row>
    <row r="2010" spans="1:7">
      <c r="A2010" t="str">
        <f>"COM"</f>
        <v>COM</v>
      </c>
      <c r="B2010" t="str">
        <f t="shared" si="140"/>
        <v>68174000</v>
      </c>
      <c r="C2010" t="str">
        <f t="shared" si="138"/>
        <v>COM681740000</v>
      </c>
      <c r="E2010">
        <v>3193.1</v>
      </c>
      <c r="F2010">
        <v>0</v>
      </c>
      <c r="G2010">
        <f t="shared" si="139"/>
        <v>3193.1</v>
      </c>
    </row>
    <row r="2011" spans="1:7">
      <c r="A2011" t="str">
        <f>"CST"</f>
        <v>CST</v>
      </c>
      <c r="B2011" t="str">
        <f t="shared" si="140"/>
        <v>68174000</v>
      </c>
      <c r="C2011" t="str">
        <f t="shared" si="138"/>
        <v>CST681740000</v>
      </c>
      <c r="E2011">
        <v>2556.63</v>
      </c>
      <c r="F2011">
        <v>0</v>
      </c>
      <c r="G2011">
        <f t="shared" si="139"/>
        <v>2556.63</v>
      </c>
    </row>
    <row r="2012" spans="1:7">
      <c r="A2012" t="str">
        <f>"DIJ"</f>
        <v>DIJ</v>
      </c>
      <c r="B2012" t="str">
        <f t="shared" si="140"/>
        <v>68174000</v>
      </c>
      <c r="C2012" t="str">
        <f t="shared" si="138"/>
        <v>DIJ681740000</v>
      </c>
      <c r="E2012">
        <v>1596.5</v>
      </c>
      <c r="F2012">
        <v>0</v>
      </c>
      <c r="G2012">
        <f t="shared" si="139"/>
        <v>1596.5</v>
      </c>
    </row>
    <row r="2013" spans="1:7">
      <c r="A2013" t="str">
        <f>"EU"</f>
        <v>EU</v>
      </c>
      <c r="B2013" t="str">
        <f t="shared" si="140"/>
        <v>68174000</v>
      </c>
      <c r="C2013" t="str">
        <f t="shared" si="138"/>
        <v>EU681740000</v>
      </c>
      <c r="E2013">
        <v>2352.04</v>
      </c>
      <c r="F2013">
        <v>0</v>
      </c>
      <c r="G2013">
        <f t="shared" si="139"/>
        <v>2352.04</v>
      </c>
    </row>
    <row r="2014" spans="1:7">
      <c r="A2014" t="str">
        <f>"GRE"</f>
        <v>GRE</v>
      </c>
      <c r="B2014" t="str">
        <f t="shared" si="140"/>
        <v>68174000</v>
      </c>
      <c r="C2014" t="str">
        <f t="shared" si="138"/>
        <v>GRE681740000</v>
      </c>
      <c r="E2014">
        <v>12145.69</v>
      </c>
      <c r="F2014">
        <v>0</v>
      </c>
      <c r="G2014">
        <f t="shared" si="139"/>
        <v>12145.69</v>
      </c>
    </row>
    <row r="2015" spans="1:7">
      <c r="A2015" t="str">
        <f>"LEN"</f>
        <v>LEN</v>
      </c>
      <c r="B2015" t="str">
        <f t="shared" si="140"/>
        <v>68174000</v>
      </c>
      <c r="C2015" t="str">
        <f t="shared" si="138"/>
        <v>LEN681740000</v>
      </c>
      <c r="E2015">
        <v>1776.18</v>
      </c>
      <c r="F2015">
        <v>0</v>
      </c>
      <c r="G2015">
        <f t="shared" si="139"/>
        <v>1776.18</v>
      </c>
    </row>
    <row r="2016" spans="1:7">
      <c r="A2016" t="str">
        <f>"MAD"</f>
        <v>MAD</v>
      </c>
      <c r="B2016" t="str">
        <f t="shared" si="140"/>
        <v>68174000</v>
      </c>
      <c r="C2016" t="str">
        <f t="shared" si="138"/>
        <v>MAD681740000</v>
      </c>
      <c r="E2016">
        <v>9753.7800000000007</v>
      </c>
      <c r="F2016">
        <v>0</v>
      </c>
      <c r="G2016">
        <f t="shared" si="139"/>
        <v>9753.7800000000007</v>
      </c>
    </row>
    <row r="2017" spans="1:11">
      <c r="A2017" t="str">
        <f>"MAR"</f>
        <v>MAR</v>
      </c>
      <c r="B2017" t="str">
        <f t="shared" si="140"/>
        <v>68174000</v>
      </c>
      <c r="C2017" t="str">
        <f t="shared" si="138"/>
        <v>MAR681740000</v>
      </c>
      <c r="E2017">
        <v>2513.61</v>
      </c>
      <c r="F2017">
        <v>0</v>
      </c>
      <c r="G2017">
        <f t="shared" si="139"/>
        <v>2513.61</v>
      </c>
    </row>
    <row r="2018" spans="1:11">
      <c r="A2018" t="str">
        <f>"MON"</f>
        <v>MON</v>
      </c>
      <c r="B2018" t="str">
        <f t="shared" si="140"/>
        <v>68174000</v>
      </c>
      <c r="C2018" t="str">
        <f t="shared" si="138"/>
        <v>MON681740000</v>
      </c>
      <c r="E2018">
        <v>12780.8</v>
      </c>
      <c r="F2018">
        <v>0</v>
      </c>
      <c r="G2018">
        <f t="shared" si="139"/>
        <v>12780.8</v>
      </c>
    </row>
    <row r="2019" spans="1:11">
      <c r="A2019" t="str">
        <f>"NAN"</f>
        <v>NAN</v>
      </c>
      <c r="B2019" t="str">
        <f t="shared" si="140"/>
        <v>68174000</v>
      </c>
      <c r="C2019" t="str">
        <f t="shared" si="138"/>
        <v>NAN681740000</v>
      </c>
      <c r="E2019">
        <v>6604.56</v>
      </c>
      <c r="F2019">
        <v>0</v>
      </c>
      <c r="G2019">
        <f t="shared" si="139"/>
        <v>6604.56</v>
      </c>
    </row>
    <row r="2020" spans="1:11">
      <c r="A2020" t="str">
        <f>"ORL"</f>
        <v>ORL</v>
      </c>
      <c r="B2020" t="str">
        <f t="shared" si="140"/>
        <v>68174000</v>
      </c>
      <c r="C2020" t="str">
        <f t="shared" si="138"/>
        <v>ORL681740000</v>
      </c>
      <c r="E2020">
        <v>9070.5499999999993</v>
      </c>
      <c r="F2020">
        <v>0</v>
      </c>
      <c r="G2020">
        <f t="shared" si="139"/>
        <v>9070.5499999999993</v>
      </c>
    </row>
    <row r="2021" spans="1:11">
      <c r="A2021" t="str">
        <f>"REN"</f>
        <v>REN</v>
      </c>
      <c r="B2021" t="str">
        <f t="shared" si="140"/>
        <v>68174000</v>
      </c>
      <c r="C2021" t="str">
        <f t="shared" si="138"/>
        <v>REN681740000</v>
      </c>
      <c r="E2021">
        <v>1794.69</v>
      </c>
      <c r="F2021">
        <v>0</v>
      </c>
      <c r="G2021">
        <f t="shared" si="139"/>
        <v>1794.69</v>
      </c>
    </row>
    <row r="2022" spans="1:11">
      <c r="A2022" t="str">
        <f>"ROA"</f>
        <v>ROA</v>
      </c>
      <c r="B2022" t="str">
        <f t="shared" si="140"/>
        <v>68174000</v>
      </c>
      <c r="C2022" t="str">
        <f t="shared" si="138"/>
        <v>ROA681740000</v>
      </c>
      <c r="E2022">
        <v>7742.25</v>
      </c>
      <c r="F2022">
        <v>0</v>
      </c>
      <c r="G2022">
        <f t="shared" si="139"/>
        <v>7742.25</v>
      </c>
    </row>
    <row r="2023" spans="1:11">
      <c r="A2023" t="str">
        <f>"SAU"</f>
        <v>SAU</v>
      </c>
      <c r="B2023" t="str">
        <f t="shared" si="140"/>
        <v>68174000</v>
      </c>
      <c r="C2023" t="str">
        <f t="shared" si="138"/>
        <v>SAU681740000</v>
      </c>
      <c r="E2023">
        <v>1911</v>
      </c>
      <c r="F2023">
        <v>0</v>
      </c>
      <c r="G2023">
        <f t="shared" si="139"/>
        <v>1911</v>
      </c>
    </row>
    <row r="2024" spans="1:11">
      <c r="A2024" t="str">
        <f>"SOM"</f>
        <v>SOM</v>
      </c>
      <c r="B2024" t="str">
        <f t="shared" si="140"/>
        <v>68174000</v>
      </c>
      <c r="C2024" t="str">
        <f t="shared" si="138"/>
        <v>SOM681740000</v>
      </c>
      <c r="E2024">
        <v>634.25</v>
      </c>
      <c r="F2024">
        <v>0</v>
      </c>
      <c r="G2024">
        <f t="shared" si="139"/>
        <v>634.25</v>
      </c>
    </row>
    <row r="2025" spans="1:11">
      <c r="A2025" t="str">
        <f>"THO"</f>
        <v>THO</v>
      </c>
      <c r="B2025" t="str">
        <f t="shared" si="140"/>
        <v>68174000</v>
      </c>
      <c r="C2025" t="str">
        <f t="shared" si="138"/>
        <v>THO681740000</v>
      </c>
      <c r="E2025">
        <v>2643.35</v>
      </c>
      <c r="F2025">
        <v>0</v>
      </c>
      <c r="G2025">
        <f t="shared" si="139"/>
        <v>2643.35</v>
      </c>
    </row>
    <row r="2026" spans="1:11">
      <c r="A2026" t="str">
        <f>"TOURC"</f>
        <v>TOURC</v>
      </c>
      <c r="B2026" t="str">
        <f t="shared" si="140"/>
        <v>68174000</v>
      </c>
      <c r="C2026" t="str">
        <f t="shared" si="138"/>
        <v>TOURC681740000</v>
      </c>
      <c r="E2026">
        <v>1193.21</v>
      </c>
      <c r="F2026">
        <v>0</v>
      </c>
      <c r="G2026">
        <f t="shared" si="139"/>
        <v>1193.21</v>
      </c>
    </row>
    <row r="2027" spans="1:11">
      <c r="A2027" t="str">
        <f>"VAN"</f>
        <v>VAN</v>
      </c>
      <c r="B2027" t="str">
        <f t="shared" si="140"/>
        <v>68174000</v>
      </c>
      <c r="C2027" t="str">
        <f t="shared" si="138"/>
        <v>VAN681740000</v>
      </c>
      <c r="E2027">
        <v>3308</v>
      </c>
      <c r="F2027">
        <v>0</v>
      </c>
      <c r="G2027">
        <f t="shared" si="139"/>
        <v>3308</v>
      </c>
      <c r="H2027" s="330">
        <f>SUM(G2:G2027)</f>
        <v>21187060.04000001</v>
      </c>
      <c r="I2027" s="26">
        <f>+[2]Conso!$F$223</f>
        <v>21262246.330000006</v>
      </c>
    </row>
    <row r="2028" spans="1:11">
      <c r="A2028" t="str">
        <f>"LIL"</f>
        <v>LIL</v>
      </c>
      <c r="B2028" t="str">
        <f>"69120000"</f>
        <v>69120000</v>
      </c>
      <c r="C2028" t="str">
        <f t="shared" si="138"/>
        <v>LIL691200000</v>
      </c>
      <c r="E2028">
        <v>88268.42</v>
      </c>
      <c r="F2028">
        <v>0</v>
      </c>
      <c r="G2028">
        <f t="shared" si="139"/>
        <v>88268.42</v>
      </c>
      <c r="J2028" s="26">
        <f>+H2028-I2028</f>
        <v>0</v>
      </c>
      <c r="K2028" s="353"/>
    </row>
    <row r="2029" spans="1:11">
      <c r="A2029" t="str">
        <f t="shared" ref="A2029:A2042" si="141">"AMI"</f>
        <v>AMI</v>
      </c>
      <c r="B2029" t="str">
        <f>"70600000"</f>
        <v>70600000</v>
      </c>
      <c r="C2029" t="str">
        <f t="shared" si="138"/>
        <v>AMI706000000</v>
      </c>
      <c r="E2029">
        <v>1668.8</v>
      </c>
      <c r="F2029">
        <v>1596.8</v>
      </c>
      <c r="G2029">
        <f t="shared" si="139"/>
        <v>72</v>
      </c>
      <c r="J2029">
        <f>+G1965</f>
        <v>0.01</v>
      </c>
      <c r="K2029" s="353" t="s">
        <v>567</v>
      </c>
    </row>
    <row r="2030" spans="1:11">
      <c r="A2030" t="str">
        <f t="shared" si="141"/>
        <v>AMI</v>
      </c>
      <c r="B2030" t="str">
        <f>"70601000"</f>
        <v>70601000</v>
      </c>
      <c r="C2030" t="str">
        <f t="shared" si="138"/>
        <v>AMI706010000</v>
      </c>
      <c r="E2030">
        <v>0</v>
      </c>
      <c r="F2030">
        <v>72</v>
      </c>
      <c r="G2030">
        <f t="shared" si="139"/>
        <v>-72</v>
      </c>
      <c r="J2030">
        <f>SUM(G821:G824)</f>
        <v>961.25000000000011</v>
      </c>
      <c r="K2030" s="353" t="s">
        <v>568</v>
      </c>
    </row>
    <row r="2031" spans="1:11">
      <c r="A2031" t="str">
        <f t="shared" si="141"/>
        <v>AMI</v>
      </c>
      <c r="B2031" t="str">
        <f>"70610000"</f>
        <v>70610000</v>
      </c>
      <c r="C2031" t="str">
        <f t="shared" si="138"/>
        <v>AMI706100000</v>
      </c>
      <c r="E2031">
        <v>0</v>
      </c>
      <c r="F2031">
        <v>5597.62</v>
      </c>
      <c r="G2031">
        <f t="shared" si="139"/>
        <v>-5597.62</v>
      </c>
      <c r="J2031">
        <f>+G188</f>
        <v>245784.59</v>
      </c>
      <c r="K2031" s="353" t="s">
        <v>569</v>
      </c>
    </row>
    <row r="2032" spans="1:11">
      <c r="A2032" t="str">
        <f t="shared" si="141"/>
        <v>AMI</v>
      </c>
      <c r="B2032" t="str">
        <f>"70711000"</f>
        <v>70711000</v>
      </c>
      <c r="C2032" t="str">
        <f t="shared" si="138"/>
        <v>AMI707110000</v>
      </c>
      <c r="E2032">
        <v>0</v>
      </c>
      <c r="F2032">
        <v>284.39999999999998</v>
      </c>
      <c r="G2032">
        <f t="shared" si="139"/>
        <v>-284.39999999999998</v>
      </c>
      <c r="J2032" s="440">
        <f>SUM(J2029:J2031)-J2028</f>
        <v>246745.85</v>
      </c>
      <c r="K2032" s="26"/>
    </row>
    <row r="2033" spans="1:10">
      <c r="A2033" t="str">
        <f t="shared" si="141"/>
        <v>AMI</v>
      </c>
      <c r="B2033" t="str">
        <f>"70713000"</f>
        <v>70713000</v>
      </c>
      <c r="C2033" t="str">
        <f t="shared" si="138"/>
        <v>AMI707130000</v>
      </c>
      <c r="E2033">
        <v>32509.18</v>
      </c>
      <c r="F2033">
        <v>351084.22</v>
      </c>
      <c r="G2033">
        <f t="shared" si="139"/>
        <v>-318575.03999999998</v>
      </c>
    </row>
    <row r="2034" spans="1:10">
      <c r="A2034" t="str">
        <f t="shared" si="141"/>
        <v>AMI</v>
      </c>
      <c r="B2034" t="str">
        <f>"70850000"</f>
        <v>70850000</v>
      </c>
      <c r="C2034" t="str">
        <f t="shared" si="138"/>
        <v>AMI708500000</v>
      </c>
      <c r="E2034">
        <v>0</v>
      </c>
      <c r="F2034">
        <v>879</v>
      </c>
      <c r="G2034">
        <f t="shared" si="139"/>
        <v>-879</v>
      </c>
      <c r="J2034" s="26"/>
    </row>
    <row r="2035" spans="1:10">
      <c r="A2035" t="str">
        <f t="shared" si="141"/>
        <v>AMI</v>
      </c>
      <c r="B2035" t="str">
        <f>"70882000"</f>
        <v>70882000</v>
      </c>
      <c r="C2035" t="str">
        <f t="shared" si="138"/>
        <v>AMI708820000</v>
      </c>
      <c r="E2035">
        <v>0</v>
      </c>
      <c r="F2035">
        <v>10</v>
      </c>
      <c r="G2035">
        <f t="shared" si="139"/>
        <v>-10</v>
      </c>
    </row>
    <row r="2036" spans="1:10">
      <c r="A2036" t="str">
        <f t="shared" si="141"/>
        <v>AMI</v>
      </c>
      <c r="B2036" t="str">
        <f>"70970000"</f>
        <v>70970000</v>
      </c>
      <c r="C2036" t="str">
        <f t="shared" si="138"/>
        <v>AMI709700000</v>
      </c>
      <c r="E2036">
        <v>0</v>
      </c>
      <c r="F2036">
        <v>-7181.25</v>
      </c>
      <c r="G2036">
        <f t="shared" si="139"/>
        <v>7181.25</v>
      </c>
    </row>
    <row r="2037" spans="1:10">
      <c r="A2037" t="str">
        <f t="shared" si="141"/>
        <v>AMI</v>
      </c>
      <c r="B2037" t="str">
        <f>"74000000"</f>
        <v>74000000</v>
      </c>
      <c r="C2037" t="str">
        <f t="shared" si="138"/>
        <v>AMI740000000</v>
      </c>
      <c r="E2037">
        <v>0</v>
      </c>
      <c r="F2037">
        <v>400</v>
      </c>
      <c r="G2037">
        <f t="shared" si="139"/>
        <v>-400</v>
      </c>
    </row>
    <row r="2038" spans="1:10">
      <c r="A2038" t="str">
        <f t="shared" si="141"/>
        <v>AMI</v>
      </c>
      <c r="B2038" t="str">
        <f>"75810000"</f>
        <v>75810000</v>
      </c>
      <c r="C2038" t="str">
        <f t="shared" si="138"/>
        <v>AMI758100000</v>
      </c>
      <c r="E2038">
        <v>0</v>
      </c>
      <c r="F2038">
        <v>2485.2800000000002</v>
      </c>
      <c r="G2038">
        <f t="shared" si="139"/>
        <v>-2485.2800000000002</v>
      </c>
    </row>
    <row r="2039" spans="1:10">
      <c r="A2039" t="str">
        <f t="shared" si="141"/>
        <v>AMI</v>
      </c>
      <c r="B2039" t="str">
        <f>"76300000"</f>
        <v>76300000</v>
      </c>
      <c r="C2039" t="str">
        <f t="shared" si="138"/>
        <v>AMI763000000</v>
      </c>
      <c r="E2039">
        <v>36</v>
      </c>
      <c r="F2039">
        <v>63</v>
      </c>
      <c r="G2039">
        <f t="shared" si="139"/>
        <v>-27</v>
      </c>
      <c r="H2039" s="433"/>
      <c r="I2039" s="113"/>
    </row>
    <row r="2040" spans="1:10">
      <c r="A2040" t="str">
        <f t="shared" si="141"/>
        <v>AMI</v>
      </c>
      <c r="B2040" t="str">
        <f>"77180000"</f>
        <v>77180000</v>
      </c>
      <c r="C2040" t="str">
        <f t="shared" si="138"/>
        <v>AMI771800000</v>
      </c>
      <c r="E2040">
        <v>0</v>
      </c>
      <c r="F2040">
        <v>639</v>
      </c>
      <c r="G2040">
        <f t="shared" si="139"/>
        <v>-639</v>
      </c>
    </row>
    <row r="2041" spans="1:10">
      <c r="A2041" t="str">
        <f t="shared" si="141"/>
        <v>AMI</v>
      </c>
      <c r="B2041" t="str">
        <f>"78173000"</f>
        <v>78173000</v>
      </c>
      <c r="C2041" t="str">
        <f t="shared" si="138"/>
        <v>AMI781730000</v>
      </c>
      <c r="E2041">
        <v>0</v>
      </c>
      <c r="F2041">
        <v>1862.73</v>
      </c>
      <c r="G2041">
        <f t="shared" si="139"/>
        <v>-1862.73</v>
      </c>
    </row>
    <row r="2042" spans="1:10">
      <c r="A2042" t="str">
        <f t="shared" si="141"/>
        <v>AMI</v>
      </c>
      <c r="B2042" t="str">
        <f>"78174000"</f>
        <v>78174000</v>
      </c>
      <c r="C2042" t="str">
        <f t="shared" si="138"/>
        <v>AMI781740000</v>
      </c>
      <c r="E2042">
        <v>0</v>
      </c>
      <c r="F2042">
        <v>5078.71</v>
      </c>
      <c r="G2042">
        <f t="shared" si="139"/>
        <v>-5078.71</v>
      </c>
    </row>
    <row r="2043" spans="1:10">
      <c r="A2043" t="str">
        <f t="shared" ref="A2043:A2053" si="142">"ANG"</f>
        <v>ANG</v>
      </c>
      <c r="B2043" t="str">
        <f>"70600000"</f>
        <v>70600000</v>
      </c>
      <c r="C2043" t="str">
        <f t="shared" si="138"/>
        <v>ANG706000000</v>
      </c>
      <c r="E2043">
        <v>0</v>
      </c>
      <c r="F2043">
        <v>0</v>
      </c>
      <c r="G2043">
        <f t="shared" si="139"/>
        <v>0</v>
      </c>
    </row>
    <row r="2044" spans="1:10">
      <c r="A2044" t="str">
        <f t="shared" si="142"/>
        <v>ANG</v>
      </c>
      <c r="B2044" t="str">
        <f>"70711000"</f>
        <v>70711000</v>
      </c>
      <c r="C2044" t="str">
        <f t="shared" si="138"/>
        <v>ANG707110000</v>
      </c>
      <c r="E2044">
        <v>178.28</v>
      </c>
      <c r="F2044">
        <v>457.82</v>
      </c>
      <c r="G2044">
        <f t="shared" si="139"/>
        <v>-279.53999999999996</v>
      </c>
    </row>
    <row r="2045" spans="1:10">
      <c r="A2045" t="str">
        <f t="shared" si="142"/>
        <v>ANG</v>
      </c>
      <c r="B2045" t="str">
        <f>"70713000"</f>
        <v>70713000</v>
      </c>
      <c r="C2045" t="str">
        <f t="shared" si="138"/>
        <v>ANG707130000</v>
      </c>
      <c r="E2045">
        <v>24808.58</v>
      </c>
      <c r="F2045">
        <v>954468.64</v>
      </c>
      <c r="G2045">
        <f t="shared" si="139"/>
        <v>-929660.06</v>
      </c>
    </row>
    <row r="2046" spans="1:10">
      <c r="A2046" t="str">
        <f t="shared" si="142"/>
        <v>ANG</v>
      </c>
      <c r="B2046" t="str">
        <f>"70850000"</f>
        <v>70850000</v>
      </c>
      <c r="C2046" t="str">
        <f t="shared" si="138"/>
        <v>ANG708500000</v>
      </c>
      <c r="E2046">
        <v>0</v>
      </c>
      <c r="F2046">
        <v>1101</v>
      </c>
      <c r="G2046">
        <f t="shared" si="139"/>
        <v>-1101</v>
      </c>
    </row>
    <row r="2047" spans="1:10">
      <c r="A2047" t="str">
        <f t="shared" si="142"/>
        <v>ANG</v>
      </c>
      <c r="B2047" t="str">
        <f>"70882000"</f>
        <v>70882000</v>
      </c>
      <c r="C2047" t="str">
        <f t="shared" si="138"/>
        <v>ANG708820000</v>
      </c>
      <c r="E2047">
        <v>0</v>
      </c>
      <c r="F2047">
        <v>385.59</v>
      </c>
      <c r="G2047">
        <f t="shared" si="139"/>
        <v>-385.59</v>
      </c>
    </row>
    <row r="2048" spans="1:10">
      <c r="A2048" t="str">
        <f t="shared" si="142"/>
        <v>ANG</v>
      </c>
      <c r="B2048" t="str">
        <f>"70970000"</f>
        <v>70970000</v>
      </c>
      <c r="C2048" t="str">
        <f t="shared" si="138"/>
        <v>ANG709700000</v>
      </c>
      <c r="E2048">
        <v>1242.48</v>
      </c>
      <c r="F2048">
        <v>-7007.52</v>
      </c>
      <c r="G2048">
        <f t="shared" si="139"/>
        <v>8250</v>
      </c>
    </row>
    <row r="2049" spans="1:7">
      <c r="A2049" t="str">
        <f t="shared" si="142"/>
        <v>ANG</v>
      </c>
      <c r="B2049" t="str">
        <f>"72200000"</f>
        <v>72200000</v>
      </c>
      <c r="C2049" t="str">
        <f t="shared" si="138"/>
        <v>ANG722000000</v>
      </c>
      <c r="E2049">
        <v>0</v>
      </c>
      <c r="F2049">
        <v>0</v>
      </c>
      <c r="G2049">
        <f t="shared" si="139"/>
        <v>0</v>
      </c>
    </row>
    <row r="2050" spans="1:7">
      <c r="A2050" t="str">
        <f t="shared" si="142"/>
        <v>ANG</v>
      </c>
      <c r="B2050" t="str">
        <f>"76300000"</f>
        <v>76300000</v>
      </c>
      <c r="C2050" t="str">
        <f t="shared" si="138"/>
        <v>ANG763000000</v>
      </c>
      <c r="E2050">
        <v>36</v>
      </c>
      <c r="F2050">
        <v>54</v>
      </c>
      <c r="G2050">
        <f t="shared" si="139"/>
        <v>-18</v>
      </c>
    </row>
    <row r="2051" spans="1:7">
      <c r="A2051" t="str">
        <f t="shared" si="142"/>
        <v>ANG</v>
      </c>
      <c r="B2051" t="str">
        <f>"77180000"</f>
        <v>77180000</v>
      </c>
      <c r="C2051" t="str">
        <f>+A2051&amp;B2051*10</f>
        <v>ANG771800000</v>
      </c>
      <c r="E2051">
        <v>0</v>
      </c>
      <c r="F2051">
        <v>86.05</v>
      </c>
      <c r="G2051">
        <f>+E2051-F2051</f>
        <v>-86.05</v>
      </c>
    </row>
    <row r="2052" spans="1:7">
      <c r="A2052" t="str">
        <f t="shared" si="142"/>
        <v>ANG</v>
      </c>
      <c r="B2052" t="str">
        <f>"78173000"</f>
        <v>78173000</v>
      </c>
      <c r="C2052" t="str">
        <f>+A2052&amp;B2052*10</f>
        <v>ANG781730000</v>
      </c>
      <c r="E2052">
        <v>0</v>
      </c>
      <c r="F2052">
        <v>3771.34</v>
      </c>
      <c r="G2052">
        <f>+E2052-F2052</f>
        <v>-3771.34</v>
      </c>
    </row>
    <row r="2053" spans="1:7">
      <c r="A2053" t="str">
        <f t="shared" si="142"/>
        <v>ANG</v>
      </c>
      <c r="B2053" t="str">
        <f>"78174000"</f>
        <v>78174000</v>
      </c>
      <c r="C2053" t="str">
        <f t="shared" ref="C2053:C2116" si="143">+A2053&amp;B2053*10</f>
        <v>ANG781740000</v>
      </c>
      <c r="E2053">
        <v>0</v>
      </c>
      <c r="F2053">
        <v>32.49</v>
      </c>
      <c r="G2053">
        <f>+E2053-F2053</f>
        <v>-32.49</v>
      </c>
    </row>
    <row r="2054" spans="1:7">
      <c r="A2054" t="str">
        <f t="shared" ref="A2054:A2064" si="144">"BET"</f>
        <v>BET</v>
      </c>
      <c r="B2054" t="str">
        <f>"70600000"</f>
        <v>70600000</v>
      </c>
      <c r="C2054" t="str">
        <f t="shared" si="143"/>
        <v>BET706000000</v>
      </c>
      <c r="E2054">
        <v>1460.2</v>
      </c>
      <c r="F2054">
        <v>1397.2</v>
      </c>
      <c r="G2054">
        <f t="shared" ref="G2054:G2117" si="145">+E2054-F2054</f>
        <v>63</v>
      </c>
    </row>
    <row r="2055" spans="1:7">
      <c r="A2055" t="str">
        <f t="shared" si="144"/>
        <v>BET</v>
      </c>
      <c r="B2055" t="str">
        <f>"70601000"</f>
        <v>70601000</v>
      </c>
      <c r="C2055" t="str">
        <f t="shared" si="143"/>
        <v>BET706010000</v>
      </c>
      <c r="E2055">
        <v>0</v>
      </c>
      <c r="F2055">
        <v>63</v>
      </c>
      <c r="G2055">
        <f t="shared" si="145"/>
        <v>-63</v>
      </c>
    </row>
    <row r="2056" spans="1:7">
      <c r="A2056" t="str">
        <f t="shared" si="144"/>
        <v>BET</v>
      </c>
      <c r="B2056" t="str">
        <f>"70610000"</f>
        <v>70610000</v>
      </c>
      <c r="C2056" t="str">
        <f t="shared" si="143"/>
        <v>BET706100000</v>
      </c>
      <c r="E2056">
        <v>0</v>
      </c>
      <c r="F2056">
        <v>0</v>
      </c>
      <c r="G2056">
        <f t="shared" si="145"/>
        <v>0</v>
      </c>
    </row>
    <row r="2057" spans="1:7">
      <c r="A2057" t="str">
        <f t="shared" si="144"/>
        <v>BET</v>
      </c>
      <c r="B2057" t="str">
        <f>"70713000"</f>
        <v>70713000</v>
      </c>
      <c r="C2057" t="str">
        <f t="shared" si="143"/>
        <v>BET707130000</v>
      </c>
      <c r="E2057">
        <v>6516.15</v>
      </c>
      <c r="F2057">
        <v>276241.02</v>
      </c>
      <c r="G2057">
        <f t="shared" si="145"/>
        <v>-269724.87</v>
      </c>
    </row>
    <row r="2058" spans="1:7">
      <c r="A2058" t="str">
        <f t="shared" si="144"/>
        <v>BET</v>
      </c>
      <c r="B2058" t="str">
        <f>"70850000"</f>
        <v>70850000</v>
      </c>
      <c r="C2058" t="str">
        <f t="shared" si="143"/>
        <v>BET708500000</v>
      </c>
      <c r="E2058">
        <v>0</v>
      </c>
      <c r="F2058">
        <v>690</v>
      </c>
      <c r="G2058">
        <f t="shared" si="145"/>
        <v>-690</v>
      </c>
    </row>
    <row r="2059" spans="1:7">
      <c r="A2059" t="str">
        <f t="shared" si="144"/>
        <v>BET</v>
      </c>
      <c r="B2059" t="str">
        <f>"70970000"</f>
        <v>70970000</v>
      </c>
      <c r="C2059" t="str">
        <f t="shared" si="143"/>
        <v>BET709700000</v>
      </c>
      <c r="E2059">
        <v>0</v>
      </c>
      <c r="F2059">
        <v>-1098</v>
      </c>
      <c r="G2059">
        <f t="shared" si="145"/>
        <v>1098</v>
      </c>
    </row>
    <row r="2060" spans="1:7">
      <c r="A2060" t="str">
        <f t="shared" si="144"/>
        <v>BET</v>
      </c>
      <c r="B2060" t="str">
        <f>"74000000"</f>
        <v>74000000</v>
      </c>
      <c r="C2060" t="str">
        <f t="shared" si="143"/>
        <v>BET740000000</v>
      </c>
      <c r="E2060">
        <v>0</v>
      </c>
      <c r="F2060">
        <v>-1857.1</v>
      </c>
      <c r="G2060">
        <f t="shared" si="145"/>
        <v>1857.1</v>
      </c>
    </row>
    <row r="2061" spans="1:7">
      <c r="A2061" t="str">
        <f t="shared" si="144"/>
        <v>BET</v>
      </c>
      <c r="B2061" t="str">
        <f>"76300000"</f>
        <v>76300000</v>
      </c>
      <c r="C2061" t="str">
        <f t="shared" si="143"/>
        <v>BET763000000</v>
      </c>
      <c r="E2061">
        <v>0</v>
      </c>
      <c r="F2061">
        <v>45</v>
      </c>
      <c r="G2061">
        <f t="shared" si="145"/>
        <v>-45</v>
      </c>
    </row>
    <row r="2062" spans="1:7">
      <c r="A2062" t="str">
        <f t="shared" si="144"/>
        <v>BET</v>
      </c>
      <c r="B2062" t="str">
        <f>"78173000"</f>
        <v>78173000</v>
      </c>
      <c r="C2062" t="str">
        <f t="shared" si="143"/>
        <v>BET781730000</v>
      </c>
      <c r="E2062">
        <v>0</v>
      </c>
      <c r="F2062">
        <v>3794.71</v>
      </c>
      <c r="G2062">
        <f t="shared" si="145"/>
        <v>-3794.71</v>
      </c>
    </row>
    <row r="2063" spans="1:7">
      <c r="A2063" t="str">
        <f t="shared" si="144"/>
        <v>BET</v>
      </c>
      <c r="B2063" t="str">
        <f>"78174000"</f>
        <v>78174000</v>
      </c>
      <c r="C2063" t="str">
        <f t="shared" si="143"/>
        <v>BET781740000</v>
      </c>
      <c r="E2063">
        <v>0</v>
      </c>
      <c r="F2063">
        <v>1826.37</v>
      </c>
      <c r="G2063">
        <f t="shared" si="145"/>
        <v>-1826.37</v>
      </c>
    </row>
    <row r="2064" spans="1:7">
      <c r="A2064" t="str">
        <f t="shared" si="144"/>
        <v>BET</v>
      </c>
      <c r="B2064" t="str">
        <f>"79100000"</f>
        <v>79100000</v>
      </c>
      <c r="C2064" t="str">
        <f t="shared" si="143"/>
        <v>BET791000000</v>
      </c>
      <c r="E2064">
        <v>0</v>
      </c>
      <c r="F2064">
        <v>9452.7999999999993</v>
      </c>
      <c r="G2064">
        <f t="shared" si="145"/>
        <v>-9452.7999999999993</v>
      </c>
    </row>
    <row r="2065" spans="1:14">
      <c r="A2065" t="str">
        <f>"BEZI"</f>
        <v>BEZI</v>
      </c>
      <c r="B2065" t="str">
        <f>"78174000"</f>
        <v>78174000</v>
      </c>
      <c r="C2065" t="str">
        <f t="shared" si="143"/>
        <v>BEZI781740000</v>
      </c>
      <c r="E2065">
        <v>0</v>
      </c>
      <c r="F2065">
        <v>4640.83</v>
      </c>
      <c r="G2065">
        <f t="shared" si="145"/>
        <v>-4640.83</v>
      </c>
    </row>
    <row r="2066" spans="1:14">
      <c r="A2066" t="str">
        <f t="shared" ref="A2066:A2074" si="146">"BOI"</f>
        <v>BOI</v>
      </c>
      <c r="B2066" t="str">
        <f>"70600000"</f>
        <v>70600000</v>
      </c>
      <c r="C2066" t="str">
        <f t="shared" si="143"/>
        <v>BOI706000000</v>
      </c>
      <c r="E2066">
        <v>625.79999999999995</v>
      </c>
      <c r="F2066">
        <v>598.79999999999995</v>
      </c>
      <c r="G2066">
        <f t="shared" si="145"/>
        <v>27</v>
      </c>
    </row>
    <row r="2067" spans="1:14">
      <c r="A2067" t="str">
        <f t="shared" si="146"/>
        <v>BOI</v>
      </c>
      <c r="B2067" t="str">
        <f>"70601000"</f>
        <v>70601000</v>
      </c>
      <c r="C2067" t="str">
        <f t="shared" si="143"/>
        <v>BOI706010000</v>
      </c>
      <c r="E2067">
        <v>0</v>
      </c>
      <c r="F2067">
        <v>27</v>
      </c>
      <c r="G2067">
        <f t="shared" si="145"/>
        <v>-27</v>
      </c>
    </row>
    <row r="2068" spans="1:14">
      <c r="A2068" t="str">
        <f t="shared" si="146"/>
        <v>BOI</v>
      </c>
      <c r="B2068" t="str">
        <f>"70610000"</f>
        <v>70610000</v>
      </c>
      <c r="C2068" t="str">
        <f t="shared" si="143"/>
        <v>BOI706100000</v>
      </c>
      <c r="E2068">
        <v>0</v>
      </c>
      <c r="F2068">
        <v>0</v>
      </c>
      <c r="G2068">
        <f t="shared" si="145"/>
        <v>0</v>
      </c>
    </row>
    <row r="2069" spans="1:14">
      <c r="A2069" t="str">
        <f t="shared" si="146"/>
        <v>BOI</v>
      </c>
      <c r="B2069" t="str">
        <f>"70711000"</f>
        <v>70711000</v>
      </c>
      <c r="C2069" t="str">
        <f t="shared" si="143"/>
        <v>BOI707110000</v>
      </c>
      <c r="E2069">
        <v>0</v>
      </c>
      <c r="F2069">
        <v>149.59</v>
      </c>
      <c r="G2069">
        <f t="shared" si="145"/>
        <v>-149.59</v>
      </c>
    </row>
    <row r="2070" spans="1:14">
      <c r="A2070" t="str">
        <f t="shared" si="146"/>
        <v>BOI</v>
      </c>
      <c r="B2070" t="str">
        <f>"70713000"</f>
        <v>70713000</v>
      </c>
      <c r="C2070" t="str">
        <f t="shared" si="143"/>
        <v>BOI707130000</v>
      </c>
      <c r="E2070">
        <v>13560.79</v>
      </c>
      <c r="F2070">
        <v>190393.11</v>
      </c>
      <c r="G2070">
        <f t="shared" si="145"/>
        <v>-176832.31999999998</v>
      </c>
    </row>
    <row r="2071" spans="1:14">
      <c r="A2071" t="str">
        <f t="shared" si="146"/>
        <v>BOI</v>
      </c>
      <c r="B2071" t="str">
        <f>"70850000"</f>
        <v>70850000</v>
      </c>
      <c r="C2071" t="str">
        <f t="shared" si="143"/>
        <v>BOI708500000</v>
      </c>
      <c r="E2071">
        <v>0</v>
      </c>
      <c r="F2071">
        <v>366</v>
      </c>
      <c r="G2071">
        <f t="shared" si="145"/>
        <v>-366</v>
      </c>
    </row>
    <row r="2072" spans="1:14">
      <c r="A2072" t="str">
        <f t="shared" si="146"/>
        <v>BOI</v>
      </c>
      <c r="B2072" t="str">
        <f>"70970000"</f>
        <v>70970000</v>
      </c>
      <c r="C2072" t="str">
        <f t="shared" si="143"/>
        <v>BOI709700000</v>
      </c>
      <c r="E2072">
        <v>0</v>
      </c>
      <c r="F2072">
        <v>0</v>
      </c>
      <c r="G2072">
        <f t="shared" si="145"/>
        <v>0</v>
      </c>
    </row>
    <row r="2073" spans="1:14">
      <c r="A2073" t="str">
        <f t="shared" si="146"/>
        <v>BOI</v>
      </c>
      <c r="B2073" t="str">
        <f>"78173000"</f>
        <v>78173000</v>
      </c>
      <c r="C2073" t="str">
        <f t="shared" si="143"/>
        <v>BOI781730000</v>
      </c>
      <c r="E2073">
        <v>0</v>
      </c>
      <c r="F2073">
        <v>201.49</v>
      </c>
      <c r="G2073">
        <f t="shared" si="145"/>
        <v>-201.49</v>
      </c>
    </row>
    <row r="2074" spans="1:14">
      <c r="A2074" t="str">
        <f t="shared" si="146"/>
        <v>BOI</v>
      </c>
      <c r="B2074" t="str">
        <f>"78174000"</f>
        <v>78174000</v>
      </c>
      <c r="C2074" t="str">
        <f t="shared" si="143"/>
        <v>BOI781740000</v>
      </c>
      <c r="E2074">
        <v>0</v>
      </c>
      <c r="F2074">
        <v>158.44</v>
      </c>
      <c r="G2074">
        <f t="shared" si="145"/>
        <v>-158.44</v>
      </c>
    </row>
    <row r="2075" spans="1:14">
      <c r="A2075" t="str">
        <f t="shared" ref="A2075:A2085" si="147">"BOS"</f>
        <v>BOS</v>
      </c>
      <c r="B2075" t="str">
        <f>"70600000"</f>
        <v>70600000</v>
      </c>
      <c r="C2075" t="str">
        <f t="shared" si="143"/>
        <v>BOS706000000</v>
      </c>
      <c r="E2075">
        <v>0</v>
      </c>
      <c r="F2075">
        <v>0</v>
      </c>
      <c r="G2075">
        <f t="shared" si="145"/>
        <v>0</v>
      </c>
    </row>
    <row r="2076" spans="1:14">
      <c r="A2076" t="str">
        <f t="shared" si="147"/>
        <v>BOS</v>
      </c>
      <c r="B2076" t="str">
        <f>"70713000"</f>
        <v>70713000</v>
      </c>
      <c r="C2076" t="str">
        <f t="shared" si="143"/>
        <v>BOS707130000</v>
      </c>
      <c r="E2076">
        <v>38487.86</v>
      </c>
      <c r="F2076">
        <v>1124156.8899999999</v>
      </c>
      <c r="G2076">
        <f t="shared" si="145"/>
        <v>-1085669.0299999998</v>
      </c>
    </row>
    <row r="2077" spans="1:14">
      <c r="A2077" t="str">
        <f t="shared" si="147"/>
        <v>BOS</v>
      </c>
      <c r="B2077" t="str">
        <f>"70850000"</f>
        <v>70850000</v>
      </c>
      <c r="C2077" t="str">
        <f t="shared" si="143"/>
        <v>BOS708500000</v>
      </c>
      <c r="E2077">
        <v>0</v>
      </c>
      <c r="F2077">
        <v>1515</v>
      </c>
      <c r="G2077">
        <f t="shared" si="145"/>
        <v>-1515</v>
      </c>
    </row>
    <row r="2078" spans="1:14">
      <c r="A2078" t="str">
        <f t="shared" si="147"/>
        <v>BOS</v>
      </c>
      <c r="B2078" t="str">
        <f>"70882000"</f>
        <v>70882000</v>
      </c>
      <c r="C2078" t="str">
        <f t="shared" si="143"/>
        <v>BOS708820000</v>
      </c>
      <c r="E2078">
        <v>0</v>
      </c>
      <c r="F2078">
        <v>782.64</v>
      </c>
      <c r="G2078">
        <f t="shared" si="145"/>
        <v>-782.64</v>
      </c>
      <c r="J2078" s="113"/>
      <c r="K2078" s="434"/>
      <c r="L2078" s="435"/>
      <c r="M2078" s="27"/>
      <c r="N2078" s="435"/>
    </row>
    <row r="2079" spans="1:14">
      <c r="A2079" t="str">
        <f t="shared" si="147"/>
        <v>BOS</v>
      </c>
      <c r="B2079" t="str">
        <f>"70970000"</f>
        <v>70970000</v>
      </c>
      <c r="C2079" t="str">
        <f t="shared" si="143"/>
        <v>BOS709700000</v>
      </c>
      <c r="E2079">
        <v>0</v>
      </c>
      <c r="F2079">
        <v>-21000</v>
      </c>
      <c r="G2079">
        <f t="shared" si="145"/>
        <v>21000</v>
      </c>
      <c r="I2079" s="436"/>
      <c r="J2079" s="113"/>
      <c r="K2079" s="434"/>
      <c r="L2079" s="435"/>
      <c r="M2079" s="27"/>
      <c r="N2079" s="435"/>
    </row>
    <row r="2080" spans="1:14">
      <c r="A2080" t="str">
        <f t="shared" si="147"/>
        <v>BOS</v>
      </c>
      <c r="B2080" t="str">
        <f>"75810000"</f>
        <v>75810000</v>
      </c>
      <c r="C2080" t="str">
        <f t="shared" si="143"/>
        <v>BOS758100000</v>
      </c>
      <c r="E2080">
        <v>0</v>
      </c>
      <c r="F2080">
        <v>3501.32</v>
      </c>
      <c r="G2080">
        <f t="shared" si="145"/>
        <v>-3501.32</v>
      </c>
      <c r="I2080" s="436"/>
      <c r="J2080" s="113"/>
      <c r="K2080" s="431"/>
      <c r="L2080" s="435"/>
      <c r="M2080" s="27"/>
      <c r="N2080" s="435"/>
    </row>
    <row r="2081" spans="1:14">
      <c r="A2081" t="str">
        <f t="shared" si="147"/>
        <v>BOS</v>
      </c>
      <c r="B2081" t="str">
        <f>"76300000"</f>
        <v>76300000</v>
      </c>
      <c r="C2081" t="str">
        <f t="shared" si="143"/>
        <v>BOS763000000</v>
      </c>
      <c r="E2081">
        <v>27</v>
      </c>
      <c r="F2081">
        <v>27</v>
      </c>
      <c r="G2081">
        <f t="shared" si="145"/>
        <v>0</v>
      </c>
      <c r="I2081" s="434"/>
      <c r="J2081" s="113"/>
      <c r="K2081" s="431"/>
      <c r="L2081" s="435"/>
      <c r="M2081" s="27"/>
      <c r="N2081" s="435"/>
    </row>
    <row r="2082" spans="1:14">
      <c r="A2082" t="str">
        <f t="shared" si="147"/>
        <v>BOS</v>
      </c>
      <c r="B2082" t="str">
        <f>"77180000"</f>
        <v>77180000</v>
      </c>
      <c r="C2082" t="str">
        <f t="shared" si="143"/>
        <v>BOS771800000</v>
      </c>
      <c r="E2082">
        <v>0</v>
      </c>
      <c r="F2082">
        <v>119.23</v>
      </c>
      <c r="G2082">
        <f t="shared" si="145"/>
        <v>-119.23</v>
      </c>
      <c r="I2082" s="436"/>
      <c r="J2082" s="113"/>
      <c r="K2082" s="431"/>
      <c r="L2082" s="435"/>
      <c r="M2082" s="27"/>
      <c r="N2082" s="435"/>
    </row>
    <row r="2083" spans="1:14">
      <c r="A2083" t="str">
        <f t="shared" si="147"/>
        <v>BOS</v>
      </c>
      <c r="B2083" t="str">
        <f>"78173000"</f>
        <v>78173000</v>
      </c>
      <c r="C2083" t="str">
        <f t="shared" si="143"/>
        <v>BOS781730000</v>
      </c>
      <c r="E2083">
        <v>0</v>
      </c>
      <c r="F2083">
        <v>6703.84</v>
      </c>
      <c r="G2083">
        <f t="shared" si="145"/>
        <v>-6703.84</v>
      </c>
      <c r="I2083" s="434"/>
      <c r="J2083" s="113"/>
      <c r="K2083" s="431"/>
      <c r="L2083" s="435"/>
      <c r="M2083" s="27"/>
      <c r="N2083" s="435"/>
    </row>
    <row r="2084" spans="1:14">
      <c r="A2084" t="str">
        <f t="shared" si="147"/>
        <v>BOS</v>
      </c>
      <c r="B2084" t="str">
        <f>"78174000"</f>
        <v>78174000</v>
      </c>
      <c r="C2084" t="str">
        <f t="shared" si="143"/>
        <v>BOS781740000</v>
      </c>
      <c r="E2084">
        <v>0</v>
      </c>
      <c r="F2084">
        <v>39491.360000000001</v>
      </c>
      <c r="G2084">
        <f t="shared" si="145"/>
        <v>-39491.360000000001</v>
      </c>
      <c r="I2084" s="434"/>
      <c r="J2084" s="113"/>
      <c r="K2084" s="431"/>
      <c r="L2084" s="435"/>
      <c r="M2084" s="27"/>
      <c r="N2084" s="435"/>
    </row>
    <row r="2085" spans="1:14">
      <c r="A2085" t="str">
        <f t="shared" si="147"/>
        <v>BOS</v>
      </c>
      <c r="B2085" t="str">
        <f>"79110000"</f>
        <v>79110000</v>
      </c>
      <c r="C2085" t="str">
        <f t="shared" si="143"/>
        <v>BOS791100000</v>
      </c>
      <c r="E2085">
        <v>0</v>
      </c>
      <c r="F2085">
        <v>-1181.9000000000001</v>
      </c>
      <c r="G2085">
        <f t="shared" si="145"/>
        <v>1181.9000000000001</v>
      </c>
      <c r="I2085" s="434"/>
      <c r="J2085" s="113"/>
      <c r="K2085" s="431"/>
      <c r="M2085" s="27"/>
      <c r="N2085" s="435"/>
    </row>
    <row r="2086" spans="1:14">
      <c r="A2086" t="str">
        <f t="shared" ref="A2086:A2098" si="148">"BOU"</f>
        <v>BOU</v>
      </c>
      <c r="B2086" t="str">
        <f>"70600000"</f>
        <v>70600000</v>
      </c>
      <c r="C2086" t="str">
        <f t="shared" si="143"/>
        <v>BOU706000000</v>
      </c>
      <c r="E2086">
        <v>3262.6</v>
      </c>
      <c r="F2086">
        <v>3163.6</v>
      </c>
      <c r="G2086">
        <f t="shared" si="145"/>
        <v>99</v>
      </c>
      <c r="I2086" s="434"/>
      <c r="J2086" s="113"/>
      <c r="K2086" s="431"/>
      <c r="M2086" s="27"/>
      <c r="N2086" s="435"/>
    </row>
    <row r="2087" spans="1:14">
      <c r="A2087" t="str">
        <f t="shared" si="148"/>
        <v>BOU</v>
      </c>
      <c r="B2087" t="str">
        <f>"70601000"</f>
        <v>70601000</v>
      </c>
      <c r="C2087" t="str">
        <f t="shared" si="143"/>
        <v>BOU706010000</v>
      </c>
      <c r="E2087">
        <v>0</v>
      </c>
      <c r="F2087">
        <v>99</v>
      </c>
      <c r="G2087">
        <f t="shared" si="145"/>
        <v>-99</v>
      </c>
      <c r="I2087" s="434"/>
      <c r="J2087" s="113"/>
      <c r="K2087" s="431"/>
      <c r="M2087" s="27"/>
      <c r="N2087" s="435"/>
    </row>
    <row r="2088" spans="1:14">
      <c r="A2088" t="str">
        <f t="shared" si="148"/>
        <v>BOU</v>
      </c>
      <c r="B2088" t="str">
        <f>"70610000"</f>
        <v>70610000</v>
      </c>
      <c r="C2088" t="str">
        <f t="shared" si="143"/>
        <v>BOU706100000</v>
      </c>
      <c r="E2088">
        <v>0</v>
      </c>
      <c r="F2088">
        <v>0</v>
      </c>
      <c r="G2088">
        <f t="shared" si="145"/>
        <v>0</v>
      </c>
      <c r="I2088" s="434"/>
      <c r="J2088" s="113"/>
      <c r="K2088" s="434"/>
      <c r="L2088" s="435"/>
      <c r="M2088" s="27"/>
      <c r="N2088" s="435"/>
    </row>
    <row r="2089" spans="1:14">
      <c r="A2089" t="str">
        <f t="shared" si="148"/>
        <v>BOU</v>
      </c>
      <c r="B2089" t="str">
        <f>"70711000"</f>
        <v>70711000</v>
      </c>
      <c r="C2089" t="str">
        <f t="shared" si="143"/>
        <v>BOU707110000</v>
      </c>
      <c r="E2089">
        <v>0</v>
      </c>
      <c r="F2089">
        <v>142.53</v>
      </c>
      <c r="G2089">
        <f t="shared" si="145"/>
        <v>-142.53</v>
      </c>
      <c r="I2089" s="436"/>
      <c r="J2089" s="113"/>
      <c r="K2089" s="434"/>
      <c r="L2089" s="435"/>
      <c r="M2089" s="27"/>
      <c r="N2089" s="435"/>
    </row>
    <row r="2090" spans="1:14">
      <c r="A2090" t="str">
        <f t="shared" si="148"/>
        <v>BOU</v>
      </c>
      <c r="B2090" t="str">
        <f>"70713000"</f>
        <v>70713000</v>
      </c>
      <c r="C2090" t="str">
        <f t="shared" si="143"/>
        <v>BOU707130000</v>
      </c>
      <c r="E2090">
        <v>30258.27</v>
      </c>
      <c r="F2090">
        <v>1772896.22</v>
      </c>
      <c r="G2090">
        <f t="shared" si="145"/>
        <v>-1742637.95</v>
      </c>
      <c r="I2090" s="434"/>
      <c r="J2090" s="113"/>
      <c r="K2090" s="434"/>
      <c r="L2090" s="435"/>
      <c r="M2090" s="27"/>
      <c r="N2090" s="435"/>
    </row>
    <row r="2091" spans="1:14">
      <c r="A2091" t="str">
        <f t="shared" si="148"/>
        <v>BOU</v>
      </c>
      <c r="B2091" t="str">
        <f>"70850000"</f>
        <v>70850000</v>
      </c>
      <c r="C2091" t="str">
        <f t="shared" si="143"/>
        <v>BOU708500000</v>
      </c>
      <c r="E2091">
        <v>0</v>
      </c>
      <c r="F2091">
        <v>2811</v>
      </c>
      <c r="G2091">
        <f t="shared" si="145"/>
        <v>-2811</v>
      </c>
      <c r="I2091" s="434"/>
      <c r="J2091" s="113"/>
      <c r="K2091" s="434"/>
      <c r="L2091" s="435"/>
      <c r="M2091" s="27"/>
      <c r="N2091" s="435"/>
    </row>
    <row r="2092" spans="1:14">
      <c r="A2092" t="str">
        <f t="shared" si="148"/>
        <v>BOU</v>
      </c>
      <c r="B2092" t="str">
        <f>"70970000"</f>
        <v>70970000</v>
      </c>
      <c r="C2092" t="str">
        <f t="shared" si="143"/>
        <v>BOU709700000</v>
      </c>
      <c r="E2092">
        <v>0</v>
      </c>
      <c r="F2092">
        <v>-24378</v>
      </c>
      <c r="G2092">
        <f t="shared" si="145"/>
        <v>24378</v>
      </c>
      <c r="I2092" s="434"/>
      <c r="J2092" s="113"/>
      <c r="K2092" s="434"/>
      <c r="L2092" s="435"/>
      <c r="M2092" s="27"/>
      <c r="N2092" s="435"/>
    </row>
    <row r="2093" spans="1:14">
      <c r="A2093" t="str">
        <f t="shared" si="148"/>
        <v>BOU</v>
      </c>
      <c r="B2093" t="str">
        <f>"75810000"</f>
        <v>75810000</v>
      </c>
      <c r="C2093" t="str">
        <f t="shared" si="143"/>
        <v>BOU758100000</v>
      </c>
      <c r="E2093">
        <v>0</v>
      </c>
      <c r="F2093">
        <v>412</v>
      </c>
      <c r="G2093">
        <f t="shared" si="145"/>
        <v>-412</v>
      </c>
      <c r="I2093" s="436"/>
      <c r="J2093" s="113"/>
      <c r="K2093" s="434"/>
      <c r="L2093" s="435"/>
      <c r="M2093" s="27"/>
      <c r="N2093" s="435"/>
    </row>
    <row r="2094" spans="1:14">
      <c r="A2094" t="str">
        <f t="shared" si="148"/>
        <v>BOU</v>
      </c>
      <c r="B2094" t="str">
        <f>"76300000"</f>
        <v>76300000</v>
      </c>
      <c r="C2094" t="str">
        <f t="shared" si="143"/>
        <v>BOU763000000</v>
      </c>
      <c r="E2094">
        <v>99</v>
      </c>
      <c r="F2094">
        <v>205.53</v>
      </c>
      <c r="G2094">
        <f t="shared" si="145"/>
        <v>-106.53</v>
      </c>
      <c r="I2094" s="434"/>
      <c r="J2094" s="113"/>
      <c r="K2094" s="434"/>
      <c r="L2094" s="435"/>
      <c r="M2094" s="27"/>
      <c r="N2094" s="435"/>
    </row>
    <row r="2095" spans="1:14">
      <c r="A2095" t="str">
        <f t="shared" si="148"/>
        <v>BOU</v>
      </c>
      <c r="B2095" t="str">
        <f>"77180000"</f>
        <v>77180000</v>
      </c>
      <c r="C2095" t="str">
        <f t="shared" si="143"/>
        <v>BOU771800000</v>
      </c>
      <c r="E2095">
        <v>0</v>
      </c>
      <c r="F2095">
        <v>129.5</v>
      </c>
      <c r="G2095">
        <f t="shared" si="145"/>
        <v>-129.5</v>
      </c>
      <c r="I2095" s="434"/>
      <c r="J2095" s="437"/>
      <c r="K2095" s="434"/>
      <c r="L2095" s="435"/>
      <c r="M2095" s="27"/>
      <c r="N2095" s="435"/>
    </row>
    <row r="2096" spans="1:14">
      <c r="A2096" t="str">
        <f t="shared" si="148"/>
        <v>BOU</v>
      </c>
      <c r="B2096" t="str">
        <f>"78173000"</f>
        <v>78173000</v>
      </c>
      <c r="C2096" t="str">
        <f t="shared" si="143"/>
        <v>BOU781730000</v>
      </c>
      <c r="E2096">
        <v>0</v>
      </c>
      <c r="F2096">
        <v>4112.03</v>
      </c>
      <c r="G2096">
        <f t="shared" si="145"/>
        <v>-4112.03</v>
      </c>
      <c r="I2096" s="434"/>
      <c r="J2096" s="113"/>
      <c r="K2096" s="431"/>
      <c r="M2096" s="27"/>
      <c r="N2096" s="435"/>
    </row>
    <row r="2097" spans="1:14">
      <c r="A2097" t="str">
        <f t="shared" si="148"/>
        <v>BOU</v>
      </c>
      <c r="B2097" t="str">
        <f>"78174000"</f>
        <v>78174000</v>
      </c>
      <c r="C2097" t="str">
        <f t="shared" si="143"/>
        <v>BOU781740000</v>
      </c>
      <c r="E2097">
        <v>0</v>
      </c>
      <c r="F2097">
        <v>2664.33</v>
      </c>
      <c r="G2097">
        <f t="shared" si="145"/>
        <v>-2664.33</v>
      </c>
      <c r="I2097" s="434"/>
      <c r="J2097" s="113"/>
      <c r="K2097" s="431"/>
      <c r="M2097" s="27"/>
      <c r="N2097" s="435"/>
    </row>
    <row r="2098" spans="1:14">
      <c r="A2098" t="str">
        <f t="shared" si="148"/>
        <v>BOU</v>
      </c>
      <c r="B2098" t="str">
        <f>"79110000"</f>
        <v>79110000</v>
      </c>
      <c r="C2098" t="str">
        <f t="shared" si="143"/>
        <v>BOU791100000</v>
      </c>
      <c r="E2098">
        <v>0</v>
      </c>
      <c r="F2098">
        <v>-0.01</v>
      </c>
      <c r="G2098">
        <f t="shared" si="145"/>
        <v>0.01</v>
      </c>
      <c r="I2098" s="434"/>
      <c r="J2098" s="113"/>
      <c r="K2098" s="434"/>
      <c r="L2098" s="435"/>
      <c r="M2098" s="27"/>
      <c r="N2098" s="435"/>
    </row>
    <row r="2099" spans="1:14">
      <c r="A2099" t="str">
        <f t="shared" ref="A2099:A2109" si="149">"CAL"</f>
        <v>CAL</v>
      </c>
      <c r="B2099" t="str">
        <f>"70600000"</f>
        <v>70600000</v>
      </c>
      <c r="C2099" t="str">
        <f t="shared" si="143"/>
        <v>CAL706000000</v>
      </c>
      <c r="E2099">
        <v>1668.8</v>
      </c>
      <c r="F2099">
        <v>1596.8</v>
      </c>
      <c r="G2099">
        <f t="shared" si="145"/>
        <v>72</v>
      </c>
      <c r="I2099" s="434"/>
      <c r="J2099" s="113"/>
      <c r="K2099" s="434"/>
      <c r="L2099" s="435"/>
      <c r="M2099" s="27"/>
      <c r="N2099" s="435"/>
    </row>
    <row r="2100" spans="1:14">
      <c r="A2100" t="str">
        <f t="shared" si="149"/>
        <v>CAL</v>
      </c>
      <c r="B2100" t="str">
        <f>"70601000"</f>
        <v>70601000</v>
      </c>
      <c r="C2100" t="str">
        <f t="shared" si="143"/>
        <v>CAL706010000</v>
      </c>
      <c r="E2100">
        <v>0</v>
      </c>
      <c r="F2100">
        <v>72</v>
      </c>
      <c r="G2100">
        <f t="shared" si="145"/>
        <v>-72</v>
      </c>
      <c r="I2100" s="434"/>
      <c r="J2100" s="113"/>
      <c r="K2100" s="434"/>
      <c r="L2100" s="435"/>
      <c r="M2100" s="27"/>
      <c r="N2100" s="435"/>
    </row>
    <row r="2101" spans="1:14">
      <c r="A2101" t="str">
        <f t="shared" si="149"/>
        <v>CAL</v>
      </c>
      <c r="B2101" t="str">
        <f>"70610000"</f>
        <v>70610000</v>
      </c>
      <c r="C2101" t="str">
        <f t="shared" si="143"/>
        <v>CAL706100000</v>
      </c>
      <c r="E2101">
        <v>0</v>
      </c>
      <c r="F2101">
        <v>0</v>
      </c>
      <c r="G2101">
        <f t="shared" si="145"/>
        <v>0</v>
      </c>
      <c r="I2101" s="436"/>
      <c r="J2101" s="113"/>
      <c r="K2101" s="434"/>
      <c r="L2101" s="435"/>
      <c r="M2101" s="27"/>
      <c r="N2101" s="435"/>
    </row>
    <row r="2102" spans="1:14">
      <c r="A2102" t="str">
        <f t="shared" si="149"/>
        <v>CAL</v>
      </c>
      <c r="B2102" t="str">
        <f>"70713000"</f>
        <v>70713000</v>
      </c>
      <c r="C2102" t="str">
        <f t="shared" si="143"/>
        <v>CAL707130000</v>
      </c>
      <c r="E2102">
        <v>62884.18</v>
      </c>
      <c r="F2102">
        <v>913851.96</v>
      </c>
      <c r="G2102">
        <f t="shared" si="145"/>
        <v>-850967.77999999991</v>
      </c>
      <c r="I2102" s="436"/>
      <c r="J2102" s="113"/>
      <c r="K2102" s="434"/>
      <c r="M2102" s="27"/>
      <c r="N2102" s="435"/>
    </row>
    <row r="2103" spans="1:14">
      <c r="A2103" t="str">
        <f t="shared" si="149"/>
        <v>CAL</v>
      </c>
      <c r="B2103" t="str">
        <f>"70850000"</f>
        <v>70850000</v>
      </c>
      <c r="C2103" t="str">
        <f t="shared" si="143"/>
        <v>CAL708500000</v>
      </c>
      <c r="E2103">
        <v>0</v>
      </c>
      <c r="F2103">
        <v>1209</v>
      </c>
      <c r="G2103">
        <f t="shared" si="145"/>
        <v>-1209</v>
      </c>
      <c r="I2103" s="434"/>
      <c r="J2103" s="113"/>
      <c r="K2103" s="434"/>
      <c r="M2103" s="27"/>
      <c r="N2103" s="435"/>
    </row>
    <row r="2104" spans="1:14">
      <c r="A2104" t="str">
        <f t="shared" si="149"/>
        <v>CAL</v>
      </c>
      <c r="B2104" t="str">
        <f>"70970000"</f>
        <v>70970000</v>
      </c>
      <c r="C2104" t="str">
        <f t="shared" si="143"/>
        <v>CAL709700000</v>
      </c>
      <c r="E2104">
        <v>83.61</v>
      </c>
      <c r="F2104">
        <v>-7721.64</v>
      </c>
      <c r="G2104">
        <f t="shared" si="145"/>
        <v>7805.25</v>
      </c>
      <c r="I2104" s="434"/>
      <c r="J2104" s="113"/>
      <c r="K2104" s="434"/>
      <c r="L2104" s="435"/>
      <c r="M2104" s="27"/>
      <c r="N2104" s="435"/>
    </row>
    <row r="2105" spans="1:14">
      <c r="A2105" t="str">
        <f t="shared" si="149"/>
        <v>CAL</v>
      </c>
      <c r="B2105" t="str">
        <f>"76300000"</f>
        <v>76300000</v>
      </c>
      <c r="C2105" t="str">
        <f t="shared" si="143"/>
        <v>CAL763000000</v>
      </c>
      <c r="E2105">
        <v>113.49</v>
      </c>
      <c r="F2105">
        <v>120.5</v>
      </c>
      <c r="G2105">
        <f t="shared" si="145"/>
        <v>-7.0100000000000051</v>
      </c>
      <c r="I2105" s="434"/>
      <c r="J2105" s="113"/>
      <c r="K2105" s="434"/>
      <c r="L2105" s="435"/>
      <c r="M2105" s="27"/>
      <c r="N2105" s="435"/>
    </row>
    <row r="2106" spans="1:14">
      <c r="A2106" t="str">
        <f t="shared" si="149"/>
        <v>CAL</v>
      </c>
      <c r="B2106" t="str">
        <f>"77180000"</f>
        <v>77180000</v>
      </c>
      <c r="C2106" t="str">
        <f t="shared" si="143"/>
        <v>CAL771800000</v>
      </c>
      <c r="E2106">
        <v>0</v>
      </c>
      <c r="F2106">
        <v>79.069999999999993</v>
      </c>
      <c r="G2106">
        <f t="shared" si="145"/>
        <v>-79.069999999999993</v>
      </c>
      <c r="I2106" s="436"/>
      <c r="J2106" s="113"/>
      <c r="K2106" s="434"/>
      <c r="L2106" s="435"/>
      <c r="M2106" s="27"/>
      <c r="N2106" s="435"/>
    </row>
    <row r="2107" spans="1:14">
      <c r="A2107" t="str">
        <f t="shared" si="149"/>
        <v>CAL</v>
      </c>
      <c r="B2107" t="str">
        <f>"78173000"</f>
        <v>78173000</v>
      </c>
      <c r="C2107" t="str">
        <f t="shared" si="143"/>
        <v>CAL781730000</v>
      </c>
      <c r="E2107">
        <v>0</v>
      </c>
      <c r="F2107">
        <v>2375.9299999999998</v>
      </c>
      <c r="G2107">
        <f t="shared" si="145"/>
        <v>-2375.9299999999998</v>
      </c>
      <c r="I2107" s="436"/>
      <c r="J2107" s="113"/>
      <c r="K2107" s="434"/>
      <c r="M2107" s="27"/>
      <c r="N2107" s="435"/>
    </row>
    <row r="2108" spans="1:14">
      <c r="A2108" t="str">
        <f t="shared" si="149"/>
        <v>CAL</v>
      </c>
      <c r="B2108" t="str">
        <f>"78174000"</f>
        <v>78174000</v>
      </c>
      <c r="C2108" t="str">
        <f t="shared" si="143"/>
        <v>CAL781740000</v>
      </c>
      <c r="E2108">
        <v>0</v>
      </c>
      <c r="F2108">
        <v>211.27</v>
      </c>
      <c r="G2108">
        <f t="shared" si="145"/>
        <v>-211.27</v>
      </c>
      <c r="I2108" s="436"/>
      <c r="J2108" s="113"/>
      <c r="K2108" s="434"/>
      <c r="M2108" s="27"/>
      <c r="N2108" s="435"/>
    </row>
    <row r="2109" spans="1:14">
      <c r="A2109" t="str">
        <f t="shared" si="149"/>
        <v>CAL</v>
      </c>
      <c r="B2109" t="str">
        <f>"79110000"</f>
        <v>79110000</v>
      </c>
      <c r="C2109" t="str">
        <f t="shared" si="143"/>
        <v>CAL791100000</v>
      </c>
      <c r="E2109">
        <v>0</v>
      </c>
      <c r="F2109">
        <v>-7392.51</v>
      </c>
      <c r="G2109">
        <f t="shared" si="145"/>
        <v>7392.51</v>
      </c>
      <c r="N2109" s="438"/>
    </row>
    <row r="2110" spans="1:14">
      <c r="A2110" t="str">
        <f t="shared" ref="A2110:A2122" si="150">"CAM"</f>
        <v>CAM</v>
      </c>
      <c r="B2110" t="str">
        <f>"70600000"</f>
        <v>70600000</v>
      </c>
      <c r="C2110" t="str">
        <f t="shared" si="143"/>
        <v>CAM706000000</v>
      </c>
      <c r="E2110">
        <v>2086</v>
      </c>
      <c r="F2110">
        <v>1996</v>
      </c>
      <c r="G2110">
        <f t="shared" si="145"/>
        <v>90</v>
      </c>
      <c r="N2110" s="435"/>
    </row>
    <row r="2111" spans="1:14">
      <c r="A2111" t="str">
        <f t="shared" si="150"/>
        <v>CAM</v>
      </c>
      <c r="B2111" t="str">
        <f>"70601000"</f>
        <v>70601000</v>
      </c>
      <c r="C2111" t="str">
        <f t="shared" si="143"/>
        <v>CAM706010000</v>
      </c>
      <c r="E2111">
        <v>0</v>
      </c>
      <c r="F2111">
        <v>90</v>
      </c>
      <c r="G2111">
        <f t="shared" si="145"/>
        <v>-90</v>
      </c>
      <c r="N2111" s="435"/>
    </row>
    <row r="2112" spans="1:14">
      <c r="A2112" t="str">
        <f t="shared" si="150"/>
        <v>CAM</v>
      </c>
      <c r="B2112" t="str">
        <f>"70610000"</f>
        <v>70610000</v>
      </c>
      <c r="C2112" t="str">
        <f t="shared" si="143"/>
        <v>CAM706100000</v>
      </c>
      <c r="E2112">
        <v>0</v>
      </c>
      <c r="F2112">
        <v>0</v>
      </c>
      <c r="G2112">
        <f t="shared" si="145"/>
        <v>0</v>
      </c>
      <c r="N2112" s="435"/>
    </row>
    <row r="2113" spans="1:14">
      <c r="A2113" t="str">
        <f t="shared" si="150"/>
        <v>CAM</v>
      </c>
      <c r="B2113" t="str">
        <f>"70713000"</f>
        <v>70713000</v>
      </c>
      <c r="C2113" t="str">
        <f t="shared" si="143"/>
        <v>CAM707130000</v>
      </c>
      <c r="E2113">
        <v>14823.6</v>
      </c>
      <c r="F2113">
        <v>463818</v>
      </c>
      <c r="G2113">
        <f t="shared" si="145"/>
        <v>-448994.4</v>
      </c>
    </row>
    <row r="2114" spans="1:14">
      <c r="A2114" t="str">
        <f t="shared" si="150"/>
        <v>CAM</v>
      </c>
      <c r="B2114" t="str">
        <f>"70850000"</f>
        <v>70850000</v>
      </c>
      <c r="C2114" t="str">
        <f t="shared" si="143"/>
        <v>CAM708500000</v>
      </c>
      <c r="E2114">
        <v>0</v>
      </c>
      <c r="F2114">
        <v>1428</v>
      </c>
      <c r="G2114">
        <f t="shared" si="145"/>
        <v>-1428</v>
      </c>
      <c r="H2114" s="433"/>
      <c r="I2114" s="113"/>
    </row>
    <row r="2115" spans="1:14">
      <c r="A2115" t="str">
        <f t="shared" si="150"/>
        <v>CAM</v>
      </c>
      <c r="B2115" t="str">
        <f>"70882000"</f>
        <v>70882000</v>
      </c>
      <c r="C2115" t="str">
        <f t="shared" si="143"/>
        <v>CAM708820000</v>
      </c>
      <c r="E2115">
        <v>0</v>
      </c>
      <c r="F2115">
        <v>13.5</v>
      </c>
      <c r="G2115">
        <f t="shared" si="145"/>
        <v>-13.5</v>
      </c>
    </row>
    <row r="2116" spans="1:14">
      <c r="A2116" t="str">
        <f t="shared" si="150"/>
        <v>CAM</v>
      </c>
      <c r="B2116" t="str">
        <f>"70970000"</f>
        <v>70970000</v>
      </c>
      <c r="C2116" t="str">
        <f t="shared" si="143"/>
        <v>CAM709700000</v>
      </c>
      <c r="E2116">
        <v>0</v>
      </c>
      <c r="F2116">
        <v>-5849.25</v>
      </c>
      <c r="G2116">
        <f t="shared" si="145"/>
        <v>5849.25</v>
      </c>
    </row>
    <row r="2117" spans="1:14">
      <c r="A2117" t="str">
        <f t="shared" si="150"/>
        <v>CAM</v>
      </c>
      <c r="B2117" t="str">
        <f>"74000000"</f>
        <v>74000000</v>
      </c>
      <c r="C2117" t="str">
        <f t="shared" ref="C2117:C2180" si="151">+A2117&amp;B2117*10</f>
        <v>CAM740000000</v>
      </c>
      <c r="E2117">
        <v>0</v>
      </c>
      <c r="F2117">
        <v>1772.5</v>
      </c>
      <c r="G2117">
        <f t="shared" si="145"/>
        <v>-1772.5</v>
      </c>
    </row>
    <row r="2118" spans="1:14">
      <c r="A2118" t="str">
        <f t="shared" si="150"/>
        <v>CAM</v>
      </c>
      <c r="B2118" t="str">
        <f>"76300000"</f>
        <v>76300000</v>
      </c>
      <c r="C2118" t="str">
        <f t="shared" si="151"/>
        <v>CAM763000000</v>
      </c>
      <c r="E2118">
        <v>18</v>
      </c>
      <c r="F2118">
        <v>27</v>
      </c>
      <c r="G2118">
        <f t="shared" ref="G2118:G2181" si="152">+E2118-F2118</f>
        <v>-9</v>
      </c>
    </row>
    <row r="2119" spans="1:14">
      <c r="A2119" t="str">
        <f t="shared" si="150"/>
        <v>CAM</v>
      </c>
      <c r="B2119" t="str">
        <f>"78150000"</f>
        <v>78150000</v>
      </c>
      <c r="C2119" t="str">
        <f t="shared" si="151"/>
        <v>CAM781500000</v>
      </c>
      <c r="E2119">
        <v>0</v>
      </c>
      <c r="F2119">
        <v>0</v>
      </c>
      <c r="G2119">
        <f t="shared" si="152"/>
        <v>0</v>
      </c>
    </row>
    <row r="2120" spans="1:14">
      <c r="A2120" t="str">
        <f t="shared" si="150"/>
        <v>CAM</v>
      </c>
      <c r="B2120" t="str">
        <f>"78173000"</f>
        <v>78173000</v>
      </c>
      <c r="C2120" t="str">
        <f t="shared" si="151"/>
        <v>CAM781730000</v>
      </c>
      <c r="E2120">
        <v>0</v>
      </c>
      <c r="F2120">
        <v>847</v>
      </c>
      <c r="G2120">
        <f t="shared" si="152"/>
        <v>-847</v>
      </c>
    </row>
    <row r="2121" spans="1:14">
      <c r="A2121" t="str">
        <f t="shared" si="150"/>
        <v>CAM</v>
      </c>
      <c r="B2121" t="str">
        <f>"78174000"</f>
        <v>78174000</v>
      </c>
      <c r="C2121" t="str">
        <f t="shared" si="151"/>
        <v>CAM781740000</v>
      </c>
      <c r="E2121">
        <v>0</v>
      </c>
      <c r="F2121">
        <v>2014.6</v>
      </c>
      <c r="G2121">
        <f t="shared" si="152"/>
        <v>-2014.6</v>
      </c>
    </row>
    <row r="2122" spans="1:14">
      <c r="A2122" t="str">
        <f t="shared" si="150"/>
        <v>CAM</v>
      </c>
      <c r="B2122" t="str">
        <f>"79110000"</f>
        <v>79110000</v>
      </c>
      <c r="C2122" t="str">
        <f t="shared" si="151"/>
        <v>CAM791100000</v>
      </c>
      <c r="E2122">
        <v>0</v>
      </c>
      <c r="F2122">
        <v>-245.18</v>
      </c>
      <c r="G2122">
        <f t="shared" si="152"/>
        <v>245.18</v>
      </c>
    </row>
    <row r="2123" spans="1:14">
      <c r="A2123" t="str">
        <f t="shared" ref="A2123:A2134" si="153">"CAU"</f>
        <v>CAU</v>
      </c>
      <c r="B2123" t="str">
        <f>"70600000"</f>
        <v>70600000</v>
      </c>
      <c r="C2123" t="str">
        <f t="shared" si="151"/>
        <v>CAU706000000</v>
      </c>
      <c r="E2123">
        <v>2294.6</v>
      </c>
      <c r="F2123">
        <v>2195.6</v>
      </c>
      <c r="G2123">
        <f t="shared" si="152"/>
        <v>99</v>
      </c>
      <c r="M2123" s="113"/>
    </row>
    <row r="2124" spans="1:14">
      <c r="A2124" t="str">
        <f t="shared" si="153"/>
        <v>CAU</v>
      </c>
      <c r="B2124" t="str">
        <f>"70601000"</f>
        <v>70601000</v>
      </c>
      <c r="C2124" t="str">
        <f t="shared" si="151"/>
        <v>CAU706010000</v>
      </c>
      <c r="E2124">
        <v>0</v>
      </c>
      <c r="F2124">
        <v>99</v>
      </c>
      <c r="G2124">
        <f t="shared" si="152"/>
        <v>-99</v>
      </c>
    </row>
    <row r="2125" spans="1:14">
      <c r="A2125" t="str">
        <f t="shared" si="153"/>
        <v>CAU</v>
      </c>
      <c r="B2125" t="str">
        <f>"70610000"</f>
        <v>70610000</v>
      </c>
      <c r="C2125" t="str">
        <f t="shared" si="151"/>
        <v>CAU706100000</v>
      </c>
      <c r="E2125">
        <v>0</v>
      </c>
      <c r="F2125">
        <v>0</v>
      </c>
      <c r="G2125">
        <f t="shared" si="152"/>
        <v>0</v>
      </c>
      <c r="M2125" s="113"/>
      <c r="N2125" s="438"/>
    </row>
    <row r="2126" spans="1:14">
      <c r="A2126" t="str">
        <f t="shared" si="153"/>
        <v>CAU</v>
      </c>
      <c r="B2126" t="str">
        <f>"70713000"</f>
        <v>70713000</v>
      </c>
      <c r="C2126" t="str">
        <f t="shared" si="151"/>
        <v>CAU707130000</v>
      </c>
      <c r="E2126">
        <v>33414.400000000001</v>
      </c>
      <c r="F2126">
        <v>562495.35</v>
      </c>
      <c r="G2126">
        <f t="shared" si="152"/>
        <v>-529080.94999999995</v>
      </c>
    </row>
    <row r="2127" spans="1:14">
      <c r="A2127" t="str">
        <f t="shared" si="153"/>
        <v>CAU</v>
      </c>
      <c r="B2127" t="str">
        <f>"70830000"</f>
        <v>70830000</v>
      </c>
      <c r="C2127" t="str">
        <f t="shared" si="151"/>
        <v>CAU708300000</v>
      </c>
      <c r="E2127">
        <v>7962.03</v>
      </c>
      <c r="F2127">
        <v>7962.03</v>
      </c>
      <c r="G2127">
        <f t="shared" si="152"/>
        <v>0</v>
      </c>
    </row>
    <row r="2128" spans="1:14">
      <c r="A2128" t="str">
        <f t="shared" si="153"/>
        <v>CAU</v>
      </c>
      <c r="B2128" t="str">
        <f>"70850000"</f>
        <v>70850000</v>
      </c>
      <c r="C2128" t="str">
        <f t="shared" si="151"/>
        <v>CAU708500000</v>
      </c>
      <c r="E2128">
        <v>0</v>
      </c>
      <c r="F2128">
        <v>1008</v>
      </c>
      <c r="G2128">
        <f t="shared" si="152"/>
        <v>-1008</v>
      </c>
    </row>
    <row r="2129" spans="1:7">
      <c r="A2129" t="str">
        <f t="shared" si="153"/>
        <v>CAU</v>
      </c>
      <c r="B2129" t="str">
        <f>"70970000"</f>
        <v>70970000</v>
      </c>
      <c r="C2129" t="str">
        <f t="shared" si="151"/>
        <v>CAU709700000</v>
      </c>
      <c r="E2129">
        <v>0</v>
      </c>
      <c r="F2129">
        <v>-4812</v>
      </c>
      <c r="G2129">
        <f t="shared" si="152"/>
        <v>4812</v>
      </c>
    </row>
    <row r="2130" spans="1:7">
      <c r="A2130" t="str">
        <f t="shared" si="153"/>
        <v>CAU</v>
      </c>
      <c r="B2130" t="str">
        <f>"75800000"</f>
        <v>75800000</v>
      </c>
      <c r="C2130" t="str">
        <f t="shared" si="151"/>
        <v>CAU758000000</v>
      </c>
      <c r="E2130">
        <v>0</v>
      </c>
      <c r="F2130">
        <v>0.05</v>
      </c>
      <c r="G2130">
        <f t="shared" si="152"/>
        <v>-0.05</v>
      </c>
    </row>
    <row r="2131" spans="1:7">
      <c r="A2131" t="str">
        <f t="shared" si="153"/>
        <v>CAU</v>
      </c>
      <c r="B2131" t="str">
        <f>"76300000"</f>
        <v>76300000</v>
      </c>
      <c r="C2131" t="str">
        <f t="shared" si="151"/>
        <v>CAU763000000</v>
      </c>
      <c r="E2131">
        <v>0</v>
      </c>
      <c r="F2131">
        <v>9</v>
      </c>
      <c r="G2131">
        <f t="shared" si="152"/>
        <v>-9</v>
      </c>
    </row>
    <row r="2132" spans="1:7">
      <c r="A2132" t="str">
        <f t="shared" si="153"/>
        <v>CAU</v>
      </c>
      <c r="B2132" t="str">
        <f>"77180000"</f>
        <v>77180000</v>
      </c>
      <c r="C2132" t="str">
        <f t="shared" si="151"/>
        <v>CAU771800000</v>
      </c>
      <c r="E2132">
        <v>0</v>
      </c>
      <c r="F2132">
        <v>43.8</v>
      </c>
      <c r="G2132">
        <f t="shared" si="152"/>
        <v>-43.8</v>
      </c>
    </row>
    <row r="2133" spans="1:7">
      <c r="A2133" t="str">
        <f t="shared" si="153"/>
        <v>CAU</v>
      </c>
      <c r="B2133" t="str">
        <f>"78173000"</f>
        <v>78173000</v>
      </c>
      <c r="C2133" t="str">
        <f t="shared" si="151"/>
        <v>CAU781730000</v>
      </c>
      <c r="E2133">
        <v>0</v>
      </c>
      <c r="F2133">
        <v>3330.69</v>
      </c>
      <c r="G2133">
        <f t="shared" si="152"/>
        <v>-3330.69</v>
      </c>
    </row>
    <row r="2134" spans="1:7">
      <c r="A2134" t="str">
        <f t="shared" si="153"/>
        <v>CAU</v>
      </c>
      <c r="B2134" t="str">
        <f>"78174000"</f>
        <v>78174000</v>
      </c>
      <c r="C2134" t="str">
        <f t="shared" si="151"/>
        <v>CAU781740000</v>
      </c>
      <c r="E2134">
        <v>0</v>
      </c>
      <c r="F2134">
        <v>399.74</v>
      </c>
      <c r="G2134">
        <f t="shared" si="152"/>
        <v>-399.74</v>
      </c>
    </row>
    <row r="2135" spans="1:7">
      <c r="A2135" t="str">
        <f t="shared" ref="A2135:A2142" si="154">"CHA"</f>
        <v>CHA</v>
      </c>
      <c r="B2135" t="str">
        <f>"70600000"</f>
        <v>70600000</v>
      </c>
      <c r="C2135" t="str">
        <f t="shared" si="151"/>
        <v>CHA706000000</v>
      </c>
      <c r="E2135">
        <v>0</v>
      </c>
      <c r="F2135">
        <v>0</v>
      </c>
      <c r="G2135">
        <f t="shared" si="152"/>
        <v>0</v>
      </c>
    </row>
    <row r="2136" spans="1:7">
      <c r="A2136" t="str">
        <f t="shared" si="154"/>
        <v>CHA</v>
      </c>
      <c r="B2136" t="str">
        <f>"70711000"</f>
        <v>70711000</v>
      </c>
      <c r="C2136" t="str">
        <f t="shared" si="151"/>
        <v>CHA707110000</v>
      </c>
      <c r="E2136">
        <v>0</v>
      </c>
      <c r="F2136">
        <v>94.08</v>
      </c>
      <c r="G2136">
        <f t="shared" si="152"/>
        <v>-94.08</v>
      </c>
    </row>
    <row r="2137" spans="1:7">
      <c r="A2137" t="str">
        <f t="shared" si="154"/>
        <v>CHA</v>
      </c>
      <c r="B2137" t="str">
        <f>"70713000"</f>
        <v>70713000</v>
      </c>
      <c r="C2137" t="str">
        <f t="shared" si="151"/>
        <v>CHA707130000</v>
      </c>
      <c r="E2137">
        <v>7743.23</v>
      </c>
      <c r="F2137">
        <v>362931.79</v>
      </c>
      <c r="G2137">
        <f t="shared" si="152"/>
        <v>-355188.56</v>
      </c>
    </row>
    <row r="2138" spans="1:7">
      <c r="A2138" t="str">
        <f t="shared" si="154"/>
        <v>CHA</v>
      </c>
      <c r="B2138" t="str">
        <f>"70850000"</f>
        <v>70850000</v>
      </c>
      <c r="C2138" t="str">
        <f t="shared" si="151"/>
        <v>CHA708500000</v>
      </c>
      <c r="E2138">
        <v>0</v>
      </c>
      <c r="F2138">
        <v>126</v>
      </c>
      <c r="G2138">
        <f t="shared" si="152"/>
        <v>-126</v>
      </c>
    </row>
    <row r="2139" spans="1:7">
      <c r="A2139" t="str">
        <f t="shared" si="154"/>
        <v>CHA</v>
      </c>
      <c r="B2139" t="str">
        <f>"70882000"</f>
        <v>70882000</v>
      </c>
      <c r="C2139" t="str">
        <f t="shared" si="151"/>
        <v>CHA708820000</v>
      </c>
      <c r="E2139">
        <v>0</v>
      </c>
      <c r="F2139">
        <v>28.66</v>
      </c>
      <c r="G2139">
        <f t="shared" si="152"/>
        <v>-28.66</v>
      </c>
    </row>
    <row r="2140" spans="1:7">
      <c r="A2140" t="str">
        <f t="shared" si="154"/>
        <v>CHA</v>
      </c>
      <c r="B2140" t="str">
        <f>"70970000"</f>
        <v>70970000</v>
      </c>
      <c r="C2140" t="str">
        <f t="shared" si="151"/>
        <v>CHA709700000</v>
      </c>
      <c r="E2140">
        <v>0</v>
      </c>
      <c r="F2140">
        <v>-9000</v>
      </c>
      <c r="G2140">
        <f t="shared" si="152"/>
        <v>9000</v>
      </c>
    </row>
    <row r="2141" spans="1:7">
      <c r="A2141" t="str">
        <f t="shared" si="154"/>
        <v>CHA</v>
      </c>
      <c r="B2141" t="str">
        <f>"76300000"</f>
        <v>76300000</v>
      </c>
      <c r="C2141" t="str">
        <f t="shared" si="151"/>
        <v>CHA763000000</v>
      </c>
      <c r="E2141">
        <v>18</v>
      </c>
      <c r="F2141">
        <v>52.5</v>
      </c>
      <c r="G2141">
        <f t="shared" si="152"/>
        <v>-34.5</v>
      </c>
    </row>
    <row r="2142" spans="1:7">
      <c r="A2142" t="str">
        <f t="shared" si="154"/>
        <v>CHA</v>
      </c>
      <c r="B2142" t="str">
        <f>"78173000"</f>
        <v>78173000</v>
      </c>
      <c r="C2142" t="str">
        <f t="shared" si="151"/>
        <v>CHA781730000</v>
      </c>
      <c r="E2142">
        <v>0</v>
      </c>
      <c r="F2142">
        <v>2418.58</v>
      </c>
      <c r="G2142">
        <f t="shared" si="152"/>
        <v>-2418.58</v>
      </c>
    </row>
    <row r="2143" spans="1:7">
      <c r="A2143" t="str">
        <f t="shared" ref="A2143:A2155" si="155">"CHAM"</f>
        <v>CHAM</v>
      </c>
      <c r="B2143" t="str">
        <f>"70600000"</f>
        <v>70600000</v>
      </c>
      <c r="C2143" t="str">
        <f t="shared" si="151"/>
        <v>CHAM706000000</v>
      </c>
      <c r="E2143">
        <v>0</v>
      </c>
      <c r="F2143">
        <v>0</v>
      </c>
      <c r="G2143">
        <f t="shared" si="152"/>
        <v>0</v>
      </c>
    </row>
    <row r="2144" spans="1:7">
      <c r="A2144" t="str">
        <f t="shared" si="155"/>
        <v>CHAM</v>
      </c>
      <c r="B2144" t="str">
        <f>"70711000"</f>
        <v>70711000</v>
      </c>
      <c r="C2144" t="str">
        <f t="shared" si="151"/>
        <v>CHAM707110000</v>
      </c>
      <c r="E2144">
        <v>0</v>
      </c>
      <c r="F2144">
        <v>562.96</v>
      </c>
      <c r="G2144">
        <f t="shared" si="152"/>
        <v>-562.96</v>
      </c>
    </row>
    <row r="2145" spans="1:7">
      <c r="A2145" t="str">
        <f t="shared" si="155"/>
        <v>CHAM</v>
      </c>
      <c r="B2145" t="str">
        <f>"70713000"</f>
        <v>70713000</v>
      </c>
      <c r="C2145" t="str">
        <f t="shared" si="151"/>
        <v>CHAM707130000</v>
      </c>
      <c r="E2145">
        <v>20889.27</v>
      </c>
      <c r="F2145">
        <v>553154.96</v>
      </c>
      <c r="G2145">
        <f t="shared" si="152"/>
        <v>-532265.68999999994</v>
      </c>
    </row>
    <row r="2146" spans="1:7">
      <c r="A2146" t="str">
        <f t="shared" si="155"/>
        <v>CHAM</v>
      </c>
      <c r="B2146" t="str">
        <f>"70850000"</f>
        <v>70850000</v>
      </c>
      <c r="C2146" t="str">
        <f t="shared" si="151"/>
        <v>CHAM708500000</v>
      </c>
      <c r="E2146">
        <v>0</v>
      </c>
      <c r="F2146">
        <v>420</v>
      </c>
      <c r="G2146">
        <f t="shared" si="152"/>
        <v>-420</v>
      </c>
    </row>
    <row r="2147" spans="1:7">
      <c r="A2147" t="str">
        <f t="shared" si="155"/>
        <v>CHAM</v>
      </c>
      <c r="B2147" t="str">
        <f>"70882000"</f>
        <v>70882000</v>
      </c>
      <c r="C2147" t="str">
        <f t="shared" si="151"/>
        <v>CHAM708820000</v>
      </c>
      <c r="E2147">
        <v>0</v>
      </c>
      <c r="F2147">
        <v>437.17</v>
      </c>
      <c r="G2147">
        <f t="shared" si="152"/>
        <v>-437.17</v>
      </c>
    </row>
    <row r="2148" spans="1:7">
      <c r="A2148" t="str">
        <f t="shared" si="155"/>
        <v>CHAM</v>
      </c>
      <c r="B2148" t="str">
        <f>"70970000"</f>
        <v>70970000</v>
      </c>
      <c r="C2148" t="str">
        <f t="shared" si="151"/>
        <v>CHAM709700000</v>
      </c>
      <c r="E2148">
        <v>0</v>
      </c>
      <c r="F2148">
        <v>-8250</v>
      </c>
      <c r="G2148">
        <f t="shared" si="152"/>
        <v>8250</v>
      </c>
    </row>
    <row r="2149" spans="1:7">
      <c r="A2149" t="str">
        <f t="shared" si="155"/>
        <v>CHAM</v>
      </c>
      <c r="B2149" t="str">
        <f>"74000000"</f>
        <v>74000000</v>
      </c>
      <c r="C2149" t="str">
        <f t="shared" si="151"/>
        <v>CHAM740000000</v>
      </c>
      <c r="E2149">
        <v>0</v>
      </c>
      <c r="F2149">
        <v>1700</v>
      </c>
      <c r="G2149">
        <f t="shared" si="152"/>
        <v>-1700</v>
      </c>
    </row>
    <row r="2150" spans="1:7">
      <c r="A2150" t="str">
        <f t="shared" si="155"/>
        <v>CHAM</v>
      </c>
      <c r="B2150" t="str">
        <f>"75810000"</f>
        <v>75810000</v>
      </c>
      <c r="C2150" t="str">
        <f t="shared" si="151"/>
        <v>CHAM758100000</v>
      </c>
      <c r="E2150">
        <v>0</v>
      </c>
      <c r="F2150">
        <v>4175.51</v>
      </c>
      <c r="G2150">
        <f t="shared" si="152"/>
        <v>-4175.51</v>
      </c>
    </row>
    <row r="2151" spans="1:7">
      <c r="A2151" t="str">
        <f t="shared" si="155"/>
        <v>CHAM</v>
      </c>
      <c r="B2151" t="str">
        <f>"76300000"</f>
        <v>76300000</v>
      </c>
      <c r="C2151" t="str">
        <f t="shared" si="151"/>
        <v>CHAM763000000</v>
      </c>
      <c r="E2151">
        <v>0</v>
      </c>
      <c r="F2151">
        <v>9</v>
      </c>
      <c r="G2151">
        <f t="shared" si="152"/>
        <v>-9</v>
      </c>
    </row>
    <row r="2152" spans="1:7">
      <c r="A2152" t="str">
        <f t="shared" si="155"/>
        <v>CHAM</v>
      </c>
      <c r="B2152" t="str">
        <f>"77180000"</f>
        <v>77180000</v>
      </c>
      <c r="C2152" t="str">
        <f t="shared" si="151"/>
        <v>CHAM771800000</v>
      </c>
      <c r="E2152">
        <v>0</v>
      </c>
      <c r="F2152">
        <v>0.47</v>
      </c>
      <c r="G2152">
        <f t="shared" si="152"/>
        <v>-0.47</v>
      </c>
    </row>
    <row r="2153" spans="1:7">
      <c r="A2153" t="str">
        <f t="shared" si="155"/>
        <v>CHAM</v>
      </c>
      <c r="B2153" t="str">
        <f>"77520000"</f>
        <v>77520000</v>
      </c>
      <c r="C2153" t="str">
        <f t="shared" si="151"/>
        <v>CHAM775200000</v>
      </c>
      <c r="E2153">
        <v>0</v>
      </c>
      <c r="F2153">
        <v>700</v>
      </c>
      <c r="G2153">
        <f t="shared" si="152"/>
        <v>-700</v>
      </c>
    </row>
    <row r="2154" spans="1:7">
      <c r="A2154" t="str">
        <f t="shared" si="155"/>
        <v>CHAM</v>
      </c>
      <c r="B2154" t="str">
        <f>"78173000"</f>
        <v>78173000</v>
      </c>
      <c r="C2154" t="str">
        <f t="shared" si="151"/>
        <v>CHAM781730000</v>
      </c>
      <c r="E2154">
        <v>0</v>
      </c>
      <c r="F2154">
        <v>7336.57</v>
      </c>
      <c r="G2154">
        <f t="shared" si="152"/>
        <v>-7336.57</v>
      </c>
    </row>
    <row r="2155" spans="1:7">
      <c r="A2155" t="str">
        <f t="shared" si="155"/>
        <v>CHAM</v>
      </c>
      <c r="B2155" t="str">
        <f>"79110000"</f>
        <v>79110000</v>
      </c>
      <c r="C2155" t="str">
        <f t="shared" si="151"/>
        <v>CHAM791100000</v>
      </c>
      <c r="E2155">
        <v>0</v>
      </c>
      <c r="F2155">
        <v>-1698.11</v>
      </c>
      <c r="G2155">
        <f t="shared" si="152"/>
        <v>1698.11</v>
      </c>
    </row>
    <row r="2156" spans="1:7">
      <c r="A2156" t="str">
        <f t="shared" ref="A2156:A2165" si="156">"CHART"</f>
        <v>CHART</v>
      </c>
      <c r="B2156" t="str">
        <f>"70600000"</f>
        <v>70600000</v>
      </c>
      <c r="C2156" t="str">
        <f t="shared" si="151"/>
        <v>CHART706000000</v>
      </c>
      <c r="E2156">
        <v>0</v>
      </c>
      <c r="F2156">
        <v>0</v>
      </c>
      <c r="G2156">
        <f t="shared" si="152"/>
        <v>0</v>
      </c>
    </row>
    <row r="2157" spans="1:7">
      <c r="A2157" t="str">
        <f t="shared" si="156"/>
        <v>CHART</v>
      </c>
      <c r="B2157" t="str">
        <f>"70713000"</f>
        <v>70713000</v>
      </c>
      <c r="C2157" t="str">
        <f t="shared" si="151"/>
        <v>CHART707130000</v>
      </c>
      <c r="E2157">
        <v>22255.95</v>
      </c>
      <c r="F2157">
        <v>709957.99</v>
      </c>
      <c r="G2157">
        <f t="shared" si="152"/>
        <v>-687702.04</v>
      </c>
    </row>
    <row r="2158" spans="1:7">
      <c r="A2158" t="str">
        <f t="shared" si="156"/>
        <v>CHART</v>
      </c>
      <c r="B2158" t="str">
        <f>"70850000"</f>
        <v>70850000</v>
      </c>
      <c r="C2158" t="str">
        <f t="shared" si="151"/>
        <v>CHART708500000</v>
      </c>
      <c r="E2158">
        <v>0</v>
      </c>
      <c r="F2158">
        <v>1521</v>
      </c>
      <c r="G2158">
        <f t="shared" si="152"/>
        <v>-1521</v>
      </c>
    </row>
    <row r="2159" spans="1:7">
      <c r="A2159" t="str">
        <f t="shared" si="156"/>
        <v>CHART</v>
      </c>
      <c r="B2159" t="str">
        <f>"70882000"</f>
        <v>70882000</v>
      </c>
      <c r="C2159" t="str">
        <f t="shared" si="151"/>
        <v>CHART708820000</v>
      </c>
      <c r="E2159">
        <v>0</v>
      </c>
      <c r="F2159">
        <v>229.12</v>
      </c>
      <c r="G2159">
        <f t="shared" si="152"/>
        <v>-229.12</v>
      </c>
    </row>
    <row r="2160" spans="1:7">
      <c r="A2160" t="str">
        <f t="shared" si="156"/>
        <v>CHART</v>
      </c>
      <c r="B2160" t="str">
        <f>"70970000"</f>
        <v>70970000</v>
      </c>
      <c r="C2160" t="str">
        <f t="shared" si="151"/>
        <v>CHART709700000</v>
      </c>
      <c r="E2160">
        <v>0</v>
      </c>
      <c r="F2160">
        <v>-7500</v>
      </c>
      <c r="G2160">
        <f t="shared" si="152"/>
        <v>7500</v>
      </c>
    </row>
    <row r="2161" spans="1:11">
      <c r="A2161" t="str">
        <f t="shared" si="156"/>
        <v>CHART</v>
      </c>
      <c r="B2161" t="str">
        <f>"76300000"</f>
        <v>76300000</v>
      </c>
      <c r="C2161" t="str">
        <f t="shared" si="151"/>
        <v>CHART763000000</v>
      </c>
      <c r="E2161">
        <v>18</v>
      </c>
      <c r="F2161">
        <v>27</v>
      </c>
      <c r="G2161">
        <f t="shared" si="152"/>
        <v>-9</v>
      </c>
    </row>
    <row r="2162" spans="1:11">
      <c r="A2162" t="str">
        <f t="shared" si="156"/>
        <v>CHART</v>
      </c>
      <c r="B2162" t="str">
        <f>"77180000"</f>
        <v>77180000</v>
      </c>
      <c r="C2162" t="str">
        <f t="shared" si="151"/>
        <v>CHART771800000</v>
      </c>
      <c r="E2162">
        <v>0</v>
      </c>
      <c r="F2162">
        <v>14</v>
      </c>
      <c r="G2162">
        <f t="shared" si="152"/>
        <v>-14</v>
      </c>
    </row>
    <row r="2163" spans="1:11">
      <c r="A2163" t="str">
        <f t="shared" si="156"/>
        <v>CHART</v>
      </c>
      <c r="B2163" t="str">
        <f>"78173000"</f>
        <v>78173000</v>
      </c>
      <c r="C2163" t="str">
        <f t="shared" si="151"/>
        <v>CHART781730000</v>
      </c>
      <c r="E2163">
        <v>0</v>
      </c>
      <c r="F2163">
        <v>4726.3999999999996</v>
      </c>
      <c r="G2163">
        <f t="shared" si="152"/>
        <v>-4726.3999999999996</v>
      </c>
    </row>
    <row r="2164" spans="1:11">
      <c r="A2164" t="str">
        <f t="shared" si="156"/>
        <v>CHART</v>
      </c>
      <c r="B2164" t="str">
        <f>"78174000"</f>
        <v>78174000</v>
      </c>
      <c r="C2164" t="str">
        <f t="shared" si="151"/>
        <v>CHART781740000</v>
      </c>
      <c r="E2164">
        <v>0</v>
      </c>
      <c r="F2164">
        <v>1133.07</v>
      </c>
      <c r="G2164">
        <f t="shared" si="152"/>
        <v>-1133.07</v>
      </c>
    </row>
    <row r="2165" spans="1:11">
      <c r="A2165" t="str">
        <f t="shared" si="156"/>
        <v>CHART</v>
      </c>
      <c r="B2165" t="str">
        <f>"79110000"</f>
        <v>79110000</v>
      </c>
      <c r="C2165" t="str">
        <f t="shared" si="151"/>
        <v>CHART791100000</v>
      </c>
      <c r="E2165">
        <v>0</v>
      </c>
      <c r="F2165">
        <v>-2135.62</v>
      </c>
      <c r="G2165">
        <f t="shared" si="152"/>
        <v>2135.62</v>
      </c>
    </row>
    <row r="2166" spans="1:11">
      <c r="A2166" t="str">
        <f t="shared" ref="A2166:A2179" si="157">"CLE"</f>
        <v>CLE</v>
      </c>
      <c r="B2166" t="str">
        <f>"70600000"</f>
        <v>70600000</v>
      </c>
      <c r="C2166" t="str">
        <f t="shared" si="151"/>
        <v>CLE706000000</v>
      </c>
      <c r="E2166">
        <v>0</v>
      </c>
      <c r="F2166">
        <v>0</v>
      </c>
      <c r="G2166">
        <f t="shared" si="152"/>
        <v>0</v>
      </c>
    </row>
    <row r="2167" spans="1:11">
      <c r="A2167" t="str">
        <f t="shared" si="157"/>
        <v>CLE</v>
      </c>
      <c r="B2167" t="str">
        <f>"70713000"</f>
        <v>70713000</v>
      </c>
      <c r="C2167" t="str">
        <f t="shared" si="151"/>
        <v>CLE707130000</v>
      </c>
      <c r="E2167">
        <v>1135137.8500000001</v>
      </c>
      <c r="F2167">
        <v>2858533</v>
      </c>
      <c r="G2167">
        <f t="shared" si="152"/>
        <v>-1723395.15</v>
      </c>
    </row>
    <row r="2168" spans="1:11">
      <c r="A2168" t="str">
        <f t="shared" si="157"/>
        <v>CLE</v>
      </c>
      <c r="B2168" t="str">
        <f>"70723000"</f>
        <v>70723000</v>
      </c>
      <c r="C2168" t="str">
        <f t="shared" si="151"/>
        <v>CLE707230000</v>
      </c>
      <c r="E2168">
        <v>0</v>
      </c>
      <c r="F2168">
        <v>1772.26</v>
      </c>
      <c r="G2168">
        <f t="shared" si="152"/>
        <v>-1772.26</v>
      </c>
    </row>
    <row r="2169" spans="1:11">
      <c r="A2169" t="str">
        <f t="shared" si="157"/>
        <v>CLE</v>
      </c>
      <c r="B2169" t="str">
        <f>"70830000"</f>
        <v>70830000</v>
      </c>
      <c r="C2169" t="str">
        <f t="shared" si="151"/>
        <v>CLE708300000</v>
      </c>
      <c r="E2169">
        <v>6479.52</v>
      </c>
      <c r="F2169">
        <v>7736.73</v>
      </c>
      <c r="G2169">
        <f t="shared" si="152"/>
        <v>-1257.2099999999991</v>
      </c>
    </row>
    <row r="2170" spans="1:11">
      <c r="A2170" t="str">
        <f t="shared" si="157"/>
        <v>CLE</v>
      </c>
      <c r="B2170" t="str">
        <f>"70850000"</f>
        <v>70850000</v>
      </c>
      <c r="C2170" t="str">
        <f t="shared" si="151"/>
        <v>CLE708500000</v>
      </c>
      <c r="E2170">
        <v>0</v>
      </c>
      <c r="F2170">
        <v>242</v>
      </c>
      <c r="G2170">
        <f t="shared" si="152"/>
        <v>-242</v>
      </c>
      <c r="I2170" s="26"/>
      <c r="J2170" s="26"/>
    </row>
    <row r="2171" spans="1:11">
      <c r="A2171" t="str">
        <f t="shared" si="157"/>
        <v>CLE</v>
      </c>
      <c r="B2171" t="str">
        <f>"70882000"</f>
        <v>70882000</v>
      </c>
      <c r="C2171" t="str">
        <f t="shared" si="151"/>
        <v>CLE708820000</v>
      </c>
      <c r="E2171">
        <v>20</v>
      </c>
      <c r="F2171">
        <v>328.71</v>
      </c>
      <c r="G2171">
        <f t="shared" si="152"/>
        <v>-308.70999999999998</v>
      </c>
      <c r="K2171" s="353"/>
    </row>
    <row r="2172" spans="1:11">
      <c r="A2172" t="str">
        <f t="shared" si="157"/>
        <v>CLE</v>
      </c>
      <c r="B2172" t="str">
        <f>"70970000"</f>
        <v>70970000</v>
      </c>
      <c r="C2172" t="str">
        <f t="shared" si="151"/>
        <v>CLE709700000</v>
      </c>
      <c r="E2172">
        <v>0</v>
      </c>
      <c r="F2172">
        <v>-34076.25</v>
      </c>
      <c r="G2172">
        <f t="shared" si="152"/>
        <v>34076.25</v>
      </c>
      <c r="K2172" s="353"/>
    </row>
    <row r="2173" spans="1:11" ht="15">
      <c r="A2173" t="str">
        <f t="shared" si="157"/>
        <v>CLE</v>
      </c>
      <c r="B2173" t="str">
        <f>"74000000"</f>
        <v>74000000</v>
      </c>
      <c r="C2173" t="str">
        <f t="shared" si="151"/>
        <v>CLE740000000</v>
      </c>
      <c r="E2173">
        <v>0</v>
      </c>
      <c r="F2173">
        <v>1200</v>
      </c>
      <c r="G2173">
        <f t="shared" si="152"/>
        <v>-1200</v>
      </c>
      <c r="H2173" s="441"/>
    </row>
    <row r="2174" spans="1:11">
      <c r="A2174" t="str">
        <f t="shared" si="157"/>
        <v>CLE</v>
      </c>
      <c r="B2174" t="str">
        <f>"75810000"</f>
        <v>75810000</v>
      </c>
      <c r="C2174" t="str">
        <f t="shared" si="151"/>
        <v>CLE758100000</v>
      </c>
      <c r="E2174">
        <v>0</v>
      </c>
      <c r="F2174">
        <v>433.22</v>
      </c>
      <c r="G2174">
        <f t="shared" si="152"/>
        <v>-433.22</v>
      </c>
      <c r="J2174" s="26"/>
    </row>
    <row r="2175" spans="1:11">
      <c r="A2175" t="str">
        <f t="shared" si="157"/>
        <v>CLE</v>
      </c>
      <c r="B2175" t="str">
        <f>"76300000"</f>
        <v>76300000</v>
      </c>
      <c r="C2175" t="str">
        <f t="shared" si="151"/>
        <v>CLE763000000</v>
      </c>
      <c r="E2175">
        <v>27</v>
      </c>
      <c r="F2175">
        <v>96</v>
      </c>
      <c r="G2175">
        <f t="shared" si="152"/>
        <v>-69</v>
      </c>
    </row>
    <row r="2176" spans="1:11">
      <c r="A2176" t="str">
        <f t="shared" si="157"/>
        <v>CLE</v>
      </c>
      <c r="B2176" t="str">
        <f>"77180000"</f>
        <v>77180000</v>
      </c>
      <c r="C2176" t="str">
        <f t="shared" si="151"/>
        <v>CLE771800000</v>
      </c>
      <c r="E2176">
        <v>0</v>
      </c>
      <c r="F2176">
        <v>50.9</v>
      </c>
      <c r="G2176">
        <f t="shared" si="152"/>
        <v>-50.9</v>
      </c>
    </row>
    <row r="2177" spans="1:9">
      <c r="A2177" t="str">
        <f t="shared" si="157"/>
        <v>CLE</v>
      </c>
      <c r="B2177" t="str">
        <f>"78173000"</f>
        <v>78173000</v>
      </c>
      <c r="C2177" t="str">
        <f t="shared" si="151"/>
        <v>CLE781730000</v>
      </c>
      <c r="E2177">
        <v>0</v>
      </c>
      <c r="F2177">
        <v>10873.73</v>
      </c>
      <c r="G2177">
        <f t="shared" si="152"/>
        <v>-10873.73</v>
      </c>
    </row>
    <row r="2178" spans="1:9">
      <c r="A2178" t="str">
        <f t="shared" si="157"/>
        <v>CLE</v>
      </c>
      <c r="B2178" t="str">
        <f>"78174000"</f>
        <v>78174000</v>
      </c>
      <c r="C2178" t="str">
        <f t="shared" si="151"/>
        <v>CLE781740000</v>
      </c>
      <c r="E2178">
        <v>0</v>
      </c>
      <c r="F2178">
        <v>0</v>
      </c>
      <c r="G2178">
        <f t="shared" si="152"/>
        <v>0</v>
      </c>
    </row>
    <row r="2179" spans="1:9">
      <c r="A2179" t="str">
        <f t="shared" si="157"/>
        <v>CLE</v>
      </c>
      <c r="B2179" t="str">
        <f>"79110000"</f>
        <v>79110000</v>
      </c>
      <c r="C2179" t="str">
        <f t="shared" si="151"/>
        <v>CLE791100000</v>
      </c>
      <c r="E2179">
        <v>0</v>
      </c>
      <c r="F2179">
        <v>2942.28</v>
      </c>
      <c r="G2179">
        <f t="shared" si="152"/>
        <v>-2942.28</v>
      </c>
    </row>
    <row r="2180" spans="1:9">
      <c r="A2180" t="str">
        <f t="shared" ref="A2180:A2190" si="158">"COM"</f>
        <v>COM</v>
      </c>
      <c r="B2180" t="str">
        <f>"70600000"</f>
        <v>70600000</v>
      </c>
      <c r="C2180" t="str">
        <f t="shared" si="151"/>
        <v>COM706000000</v>
      </c>
      <c r="E2180">
        <v>1460.2</v>
      </c>
      <c r="F2180">
        <v>1397.2</v>
      </c>
      <c r="G2180">
        <f t="shared" si="152"/>
        <v>63</v>
      </c>
    </row>
    <row r="2181" spans="1:9">
      <c r="A2181" t="str">
        <f t="shared" si="158"/>
        <v>COM</v>
      </c>
      <c r="B2181" t="str">
        <f>"70601000"</f>
        <v>70601000</v>
      </c>
      <c r="C2181" t="str">
        <f t="shared" ref="C2181:C2244" si="159">+A2181&amp;B2181*10</f>
        <v>COM706010000</v>
      </c>
      <c r="E2181">
        <v>0</v>
      </c>
      <c r="F2181">
        <v>63</v>
      </c>
      <c r="G2181">
        <f t="shared" si="152"/>
        <v>-63</v>
      </c>
    </row>
    <row r="2182" spans="1:9">
      <c r="A2182" t="str">
        <f t="shared" si="158"/>
        <v>COM</v>
      </c>
      <c r="B2182" t="str">
        <f>"70610000"</f>
        <v>70610000</v>
      </c>
      <c r="C2182" t="str">
        <f t="shared" si="159"/>
        <v>COM706100000</v>
      </c>
      <c r="E2182">
        <v>0</v>
      </c>
      <c r="F2182">
        <v>0</v>
      </c>
      <c r="G2182">
        <f t="shared" ref="G2182:G2245" si="160">+E2182-F2182</f>
        <v>0</v>
      </c>
    </row>
    <row r="2183" spans="1:9">
      <c r="A2183" t="str">
        <f t="shared" si="158"/>
        <v>COM</v>
      </c>
      <c r="B2183" t="str">
        <f>"70713000"</f>
        <v>70713000</v>
      </c>
      <c r="C2183" t="str">
        <f t="shared" si="159"/>
        <v>COM707130000</v>
      </c>
      <c r="E2183">
        <v>28275.53</v>
      </c>
      <c r="F2183">
        <v>558829.81999999995</v>
      </c>
      <c r="G2183">
        <f t="shared" si="160"/>
        <v>-530554.28999999992</v>
      </c>
    </row>
    <row r="2184" spans="1:9">
      <c r="A2184" t="str">
        <f t="shared" si="158"/>
        <v>COM</v>
      </c>
      <c r="B2184" t="str">
        <f>"70850000"</f>
        <v>70850000</v>
      </c>
      <c r="C2184" t="str">
        <f t="shared" si="159"/>
        <v>COM708500000</v>
      </c>
      <c r="E2184">
        <v>0</v>
      </c>
      <c r="F2184">
        <v>837</v>
      </c>
      <c r="G2184">
        <f t="shared" si="160"/>
        <v>-837</v>
      </c>
    </row>
    <row r="2185" spans="1:9">
      <c r="A2185" t="str">
        <f t="shared" si="158"/>
        <v>COM</v>
      </c>
      <c r="B2185" t="str">
        <f>"70882000"</f>
        <v>70882000</v>
      </c>
      <c r="C2185" t="str">
        <f t="shared" si="159"/>
        <v>COM708820000</v>
      </c>
      <c r="E2185">
        <v>0</v>
      </c>
      <c r="F2185">
        <v>527</v>
      </c>
      <c r="G2185">
        <f t="shared" si="160"/>
        <v>-527</v>
      </c>
      <c r="H2185" s="433"/>
      <c r="I2185" s="113"/>
    </row>
    <row r="2186" spans="1:9">
      <c r="A2186" t="str">
        <f t="shared" si="158"/>
        <v>COM</v>
      </c>
      <c r="B2186" t="str">
        <f>"70970000"</f>
        <v>70970000</v>
      </c>
      <c r="C2186" t="str">
        <f t="shared" si="159"/>
        <v>COM709700000</v>
      </c>
      <c r="E2186">
        <v>0</v>
      </c>
      <c r="F2186">
        <v>-13495.5</v>
      </c>
      <c r="G2186">
        <f t="shared" si="160"/>
        <v>13495.5</v>
      </c>
    </row>
    <row r="2187" spans="1:9">
      <c r="A2187" t="str">
        <f t="shared" si="158"/>
        <v>COM</v>
      </c>
      <c r="B2187" t="str">
        <f>"75810000"</f>
        <v>75810000</v>
      </c>
      <c r="C2187" t="str">
        <f t="shared" si="159"/>
        <v>COM758100000</v>
      </c>
      <c r="E2187">
        <v>0</v>
      </c>
      <c r="F2187">
        <v>0</v>
      </c>
      <c r="G2187">
        <f t="shared" si="160"/>
        <v>0</v>
      </c>
    </row>
    <row r="2188" spans="1:9">
      <c r="A2188" t="str">
        <f t="shared" si="158"/>
        <v>COM</v>
      </c>
      <c r="B2188" t="str">
        <f>"76300000"</f>
        <v>76300000</v>
      </c>
      <c r="C2188" t="str">
        <f t="shared" si="159"/>
        <v>COM763000000</v>
      </c>
      <c r="E2188">
        <v>9</v>
      </c>
      <c r="F2188">
        <v>9</v>
      </c>
      <c r="G2188">
        <f t="shared" si="160"/>
        <v>0</v>
      </c>
    </row>
    <row r="2189" spans="1:9">
      <c r="A2189" t="str">
        <f t="shared" si="158"/>
        <v>COM</v>
      </c>
      <c r="B2189" t="str">
        <f>"78150000"</f>
        <v>78150000</v>
      </c>
      <c r="C2189" t="str">
        <f t="shared" si="159"/>
        <v>COM781500000</v>
      </c>
      <c r="E2189">
        <v>0</v>
      </c>
      <c r="F2189">
        <v>0</v>
      </c>
      <c r="G2189">
        <f t="shared" si="160"/>
        <v>0</v>
      </c>
    </row>
    <row r="2190" spans="1:9">
      <c r="A2190" t="str">
        <f t="shared" si="158"/>
        <v>COM</v>
      </c>
      <c r="B2190" t="str">
        <f>"78173000"</f>
        <v>78173000</v>
      </c>
      <c r="C2190" t="str">
        <f t="shared" si="159"/>
        <v>COM781730000</v>
      </c>
      <c r="E2190">
        <v>0</v>
      </c>
      <c r="F2190">
        <v>3953.31</v>
      </c>
      <c r="G2190">
        <f t="shared" si="160"/>
        <v>-3953.31</v>
      </c>
    </row>
    <row r="2191" spans="1:9">
      <c r="A2191" t="str">
        <f t="shared" ref="A2191:A2199" si="161">"CST"</f>
        <v>CST</v>
      </c>
      <c r="B2191" t="str">
        <f>"70600000"</f>
        <v>70600000</v>
      </c>
      <c r="C2191" t="str">
        <f t="shared" si="159"/>
        <v>CST706000000</v>
      </c>
      <c r="E2191">
        <v>0</v>
      </c>
      <c r="F2191">
        <v>0</v>
      </c>
      <c r="G2191">
        <f t="shared" si="160"/>
        <v>0</v>
      </c>
    </row>
    <row r="2192" spans="1:9">
      <c r="A2192" t="str">
        <f t="shared" si="161"/>
        <v>CST</v>
      </c>
      <c r="B2192" t="str">
        <f>"70713000"</f>
        <v>70713000</v>
      </c>
      <c r="C2192" t="str">
        <f t="shared" si="159"/>
        <v>CST707130000</v>
      </c>
      <c r="E2192">
        <v>17213.98</v>
      </c>
      <c r="F2192">
        <v>616846.55000000005</v>
      </c>
      <c r="G2192">
        <f t="shared" si="160"/>
        <v>-599632.57000000007</v>
      </c>
    </row>
    <row r="2193" spans="1:7">
      <c r="A2193" t="str">
        <f t="shared" si="161"/>
        <v>CST</v>
      </c>
      <c r="B2193" t="str">
        <f>"70850000"</f>
        <v>70850000</v>
      </c>
      <c r="C2193" t="str">
        <f t="shared" si="159"/>
        <v>CST708500000</v>
      </c>
      <c r="E2193">
        <v>0</v>
      </c>
      <c r="F2193">
        <v>1992</v>
      </c>
      <c r="G2193">
        <f t="shared" si="160"/>
        <v>-1992</v>
      </c>
    </row>
    <row r="2194" spans="1:7">
      <c r="A2194" t="str">
        <f t="shared" si="161"/>
        <v>CST</v>
      </c>
      <c r="B2194" t="str">
        <f>"70882000"</f>
        <v>70882000</v>
      </c>
      <c r="C2194" t="str">
        <f t="shared" si="159"/>
        <v>CST708820000</v>
      </c>
      <c r="E2194">
        <v>0</v>
      </c>
      <c r="F2194">
        <v>40.5</v>
      </c>
      <c r="G2194">
        <f t="shared" si="160"/>
        <v>-40.5</v>
      </c>
    </row>
    <row r="2195" spans="1:7">
      <c r="A2195" t="str">
        <f t="shared" si="161"/>
        <v>CST</v>
      </c>
      <c r="B2195" t="str">
        <f>"70970000"</f>
        <v>70970000</v>
      </c>
      <c r="C2195" t="str">
        <f t="shared" si="159"/>
        <v>CST709700000</v>
      </c>
      <c r="E2195">
        <v>0</v>
      </c>
      <c r="F2195">
        <v>-6180</v>
      </c>
      <c r="G2195">
        <f t="shared" si="160"/>
        <v>6180</v>
      </c>
    </row>
    <row r="2196" spans="1:7">
      <c r="A2196" t="str">
        <f t="shared" si="161"/>
        <v>CST</v>
      </c>
      <c r="B2196" t="str">
        <f>"75810000"</f>
        <v>75810000</v>
      </c>
      <c r="C2196" t="str">
        <f t="shared" si="159"/>
        <v>CST758100000</v>
      </c>
      <c r="E2196">
        <v>0</v>
      </c>
      <c r="F2196">
        <v>297.11</v>
      </c>
      <c r="G2196">
        <f t="shared" si="160"/>
        <v>-297.11</v>
      </c>
    </row>
    <row r="2197" spans="1:7">
      <c r="A2197" t="str">
        <f t="shared" si="161"/>
        <v>CST</v>
      </c>
      <c r="B2197" t="str">
        <f>"77180000"</f>
        <v>77180000</v>
      </c>
      <c r="C2197" t="str">
        <f t="shared" si="159"/>
        <v>CST771800000</v>
      </c>
      <c r="E2197">
        <v>0</v>
      </c>
      <c r="F2197">
        <v>8.25</v>
      </c>
      <c r="G2197">
        <f t="shared" si="160"/>
        <v>-8.25</v>
      </c>
    </row>
    <row r="2198" spans="1:7">
      <c r="A2198" t="str">
        <f t="shared" si="161"/>
        <v>CST</v>
      </c>
      <c r="B2198" t="str">
        <f>"78173000"</f>
        <v>78173000</v>
      </c>
      <c r="C2198" t="str">
        <f t="shared" si="159"/>
        <v>CST781730000</v>
      </c>
      <c r="E2198">
        <v>0</v>
      </c>
      <c r="F2198">
        <v>2494.0700000000002</v>
      </c>
      <c r="G2198">
        <f t="shared" si="160"/>
        <v>-2494.0700000000002</v>
      </c>
    </row>
    <row r="2199" spans="1:7">
      <c r="A2199" t="str">
        <f t="shared" si="161"/>
        <v>CST</v>
      </c>
      <c r="B2199" t="str">
        <f>"79110000"</f>
        <v>79110000</v>
      </c>
      <c r="C2199" t="str">
        <f t="shared" si="159"/>
        <v>CST791100000</v>
      </c>
      <c r="E2199">
        <v>0</v>
      </c>
      <c r="F2199">
        <v>0</v>
      </c>
      <c r="G2199">
        <f t="shared" si="160"/>
        <v>0</v>
      </c>
    </row>
    <row r="2200" spans="1:7">
      <c r="A2200" t="str">
        <f>"DIJ"</f>
        <v>DIJ</v>
      </c>
      <c r="B2200" t="str">
        <f>"70600000"</f>
        <v>70600000</v>
      </c>
      <c r="C2200" t="str">
        <f t="shared" si="159"/>
        <v>DIJ706000000</v>
      </c>
      <c r="E2200">
        <v>0</v>
      </c>
      <c r="F2200">
        <v>0</v>
      </c>
      <c r="G2200">
        <f t="shared" si="160"/>
        <v>0</v>
      </c>
    </row>
    <row r="2201" spans="1:7">
      <c r="A2201" t="str">
        <f>"DIJ"</f>
        <v>DIJ</v>
      </c>
      <c r="B2201" t="str">
        <f>"70713000"</f>
        <v>70713000</v>
      </c>
      <c r="C2201" t="str">
        <f t="shared" si="159"/>
        <v>DIJ707130000</v>
      </c>
      <c r="E2201">
        <v>11844.23</v>
      </c>
      <c r="F2201">
        <v>261181.21</v>
      </c>
      <c r="G2201">
        <f t="shared" si="160"/>
        <v>-249336.97999999998</v>
      </c>
    </row>
    <row r="2202" spans="1:7">
      <c r="A2202" t="str">
        <f>"DIJ"</f>
        <v>DIJ</v>
      </c>
      <c r="B2202" t="str">
        <f>"70850000"</f>
        <v>70850000</v>
      </c>
      <c r="C2202" t="str">
        <f t="shared" si="159"/>
        <v>DIJ708500000</v>
      </c>
      <c r="E2202">
        <v>0</v>
      </c>
      <c r="F2202">
        <v>402</v>
      </c>
      <c r="G2202">
        <f t="shared" si="160"/>
        <v>-402</v>
      </c>
    </row>
    <row r="2203" spans="1:7">
      <c r="A2203" t="str">
        <f>"DIJ"</f>
        <v>DIJ</v>
      </c>
      <c r="B2203" t="str">
        <f>"70882000"</f>
        <v>70882000</v>
      </c>
      <c r="C2203" t="str">
        <f t="shared" si="159"/>
        <v>DIJ708820000</v>
      </c>
      <c r="E2203">
        <v>0</v>
      </c>
      <c r="F2203">
        <v>45</v>
      </c>
      <c r="G2203">
        <f t="shared" si="160"/>
        <v>-45</v>
      </c>
    </row>
    <row r="2204" spans="1:7">
      <c r="A2204" t="str">
        <f t="shared" ref="A2204:A2217" si="162">"EU"</f>
        <v>EU</v>
      </c>
      <c r="B2204" t="str">
        <f>"70600000"</f>
        <v>70600000</v>
      </c>
      <c r="C2204" t="str">
        <f t="shared" si="159"/>
        <v>EU706000000</v>
      </c>
      <c r="E2204">
        <v>834.4</v>
      </c>
      <c r="F2204">
        <v>798.4</v>
      </c>
      <c r="G2204">
        <f t="shared" si="160"/>
        <v>36</v>
      </c>
    </row>
    <row r="2205" spans="1:7">
      <c r="A2205" t="str">
        <f t="shared" si="162"/>
        <v>EU</v>
      </c>
      <c r="B2205" t="str">
        <f>"70601000"</f>
        <v>70601000</v>
      </c>
      <c r="C2205" t="str">
        <f t="shared" si="159"/>
        <v>EU706010000</v>
      </c>
      <c r="E2205">
        <v>0</v>
      </c>
      <c r="F2205">
        <v>36</v>
      </c>
      <c r="G2205">
        <f t="shared" si="160"/>
        <v>-36</v>
      </c>
    </row>
    <row r="2206" spans="1:7">
      <c r="A2206" t="str">
        <f t="shared" si="162"/>
        <v>EU</v>
      </c>
      <c r="B2206" t="str">
        <f>"70610000"</f>
        <v>70610000</v>
      </c>
      <c r="C2206" t="str">
        <f t="shared" si="159"/>
        <v>EU706100000</v>
      </c>
      <c r="E2206">
        <v>0</v>
      </c>
      <c r="F2206">
        <v>0</v>
      </c>
      <c r="G2206">
        <f t="shared" si="160"/>
        <v>0</v>
      </c>
    </row>
    <row r="2207" spans="1:7">
      <c r="A2207" t="str">
        <f t="shared" si="162"/>
        <v>EU</v>
      </c>
      <c r="B2207" t="str">
        <f>"70711000"</f>
        <v>70711000</v>
      </c>
      <c r="C2207" t="str">
        <f t="shared" si="159"/>
        <v>EU707110000</v>
      </c>
      <c r="E2207">
        <v>0</v>
      </c>
      <c r="F2207">
        <v>2082.6799999999998</v>
      </c>
      <c r="G2207">
        <f t="shared" si="160"/>
        <v>-2082.6799999999998</v>
      </c>
    </row>
    <row r="2208" spans="1:7">
      <c r="A2208" t="str">
        <f t="shared" si="162"/>
        <v>EU</v>
      </c>
      <c r="B2208" t="str">
        <f>"70713000"</f>
        <v>70713000</v>
      </c>
      <c r="C2208" t="str">
        <f t="shared" si="159"/>
        <v>EU707130000</v>
      </c>
      <c r="E2208">
        <v>37000.1</v>
      </c>
      <c r="F2208">
        <v>890228</v>
      </c>
      <c r="G2208">
        <f t="shared" si="160"/>
        <v>-853227.9</v>
      </c>
    </row>
    <row r="2209" spans="1:10">
      <c r="A2209" t="str">
        <f t="shared" si="162"/>
        <v>EU</v>
      </c>
      <c r="B2209" t="str">
        <f>"70723000"</f>
        <v>70723000</v>
      </c>
      <c r="C2209" t="str">
        <f t="shared" si="159"/>
        <v>EU707230000</v>
      </c>
      <c r="E2209">
        <v>314.45</v>
      </c>
      <c r="F2209">
        <v>55534.49</v>
      </c>
      <c r="G2209">
        <f t="shared" si="160"/>
        <v>-55220.04</v>
      </c>
    </row>
    <row r="2210" spans="1:10">
      <c r="A2210" t="str">
        <f t="shared" si="162"/>
        <v>EU</v>
      </c>
      <c r="B2210" t="str">
        <f>"70850000"</f>
        <v>70850000</v>
      </c>
      <c r="C2210" t="str">
        <f t="shared" si="159"/>
        <v>EU708500000</v>
      </c>
      <c r="E2210">
        <v>0</v>
      </c>
      <c r="F2210">
        <v>1611</v>
      </c>
      <c r="G2210">
        <f t="shared" si="160"/>
        <v>-1611</v>
      </c>
    </row>
    <row r="2211" spans="1:10">
      <c r="A2211" t="str">
        <f t="shared" si="162"/>
        <v>EU</v>
      </c>
      <c r="B2211" t="str">
        <f>"70970000"</f>
        <v>70970000</v>
      </c>
      <c r="C2211" t="str">
        <f t="shared" si="159"/>
        <v>EU709700000</v>
      </c>
      <c r="E2211">
        <v>0</v>
      </c>
      <c r="F2211">
        <v>-2029.5</v>
      </c>
      <c r="G2211">
        <f t="shared" si="160"/>
        <v>2029.5</v>
      </c>
    </row>
    <row r="2212" spans="1:10">
      <c r="A2212" t="str">
        <f t="shared" si="162"/>
        <v>EU</v>
      </c>
      <c r="B2212" t="str">
        <f>"75810000"</f>
        <v>75810000</v>
      </c>
      <c r="C2212" t="str">
        <f t="shared" si="159"/>
        <v>EU758100000</v>
      </c>
      <c r="E2212">
        <v>0</v>
      </c>
      <c r="F2212">
        <v>4863.67</v>
      </c>
      <c r="G2212">
        <f t="shared" si="160"/>
        <v>-4863.67</v>
      </c>
    </row>
    <row r="2213" spans="1:10">
      <c r="A2213" t="str">
        <f t="shared" si="162"/>
        <v>EU</v>
      </c>
      <c r="B2213" t="str">
        <f>"76300000"</f>
        <v>76300000</v>
      </c>
      <c r="C2213" t="str">
        <f t="shared" si="159"/>
        <v>EU763000000</v>
      </c>
      <c r="E2213">
        <v>18</v>
      </c>
      <c r="F2213">
        <v>27</v>
      </c>
      <c r="G2213">
        <f t="shared" si="160"/>
        <v>-9</v>
      </c>
    </row>
    <row r="2214" spans="1:10">
      <c r="A2214" t="str">
        <f t="shared" si="162"/>
        <v>EU</v>
      </c>
      <c r="B2214" t="str">
        <f>"77180000"</f>
        <v>77180000</v>
      </c>
      <c r="C2214" t="str">
        <f t="shared" si="159"/>
        <v>EU771800000</v>
      </c>
      <c r="E2214">
        <v>0</v>
      </c>
      <c r="F2214">
        <v>17</v>
      </c>
      <c r="G2214">
        <f t="shared" si="160"/>
        <v>-17</v>
      </c>
    </row>
    <row r="2215" spans="1:10">
      <c r="A2215" t="str">
        <f t="shared" si="162"/>
        <v>EU</v>
      </c>
      <c r="B2215" t="str">
        <f>"78173000"</f>
        <v>78173000</v>
      </c>
      <c r="C2215" t="str">
        <f t="shared" si="159"/>
        <v>EU781730000</v>
      </c>
      <c r="E2215">
        <v>0</v>
      </c>
      <c r="F2215">
        <v>8182.42</v>
      </c>
      <c r="G2215">
        <f t="shared" si="160"/>
        <v>-8182.42</v>
      </c>
    </row>
    <row r="2216" spans="1:10">
      <c r="A2216" t="str">
        <f t="shared" si="162"/>
        <v>EU</v>
      </c>
      <c r="B2216" t="str">
        <f>"78174000"</f>
        <v>78174000</v>
      </c>
      <c r="C2216" t="str">
        <f t="shared" si="159"/>
        <v>EU781740000</v>
      </c>
      <c r="E2216">
        <v>0</v>
      </c>
      <c r="F2216">
        <v>238.23</v>
      </c>
      <c r="G2216">
        <f t="shared" si="160"/>
        <v>-238.23</v>
      </c>
      <c r="I2216" s="26"/>
    </row>
    <row r="2217" spans="1:10">
      <c r="A2217" t="str">
        <f t="shared" si="162"/>
        <v>EU</v>
      </c>
      <c r="B2217" t="str">
        <f>"79100000"</f>
        <v>79100000</v>
      </c>
      <c r="C2217" t="str">
        <f t="shared" si="159"/>
        <v>EU791000000</v>
      </c>
      <c r="E2217">
        <v>0</v>
      </c>
      <c r="F2217">
        <v>1346.88</v>
      </c>
      <c r="G2217">
        <f t="shared" si="160"/>
        <v>-1346.88</v>
      </c>
      <c r="J2217" s="26"/>
    </row>
    <row r="2218" spans="1:10">
      <c r="A2218" t="str">
        <f t="shared" ref="A2218:A2230" si="163">"GRE"</f>
        <v>GRE</v>
      </c>
      <c r="B2218" t="str">
        <f>"70600000"</f>
        <v>70600000</v>
      </c>
      <c r="C2218" t="str">
        <f t="shared" si="159"/>
        <v>GRE706000000</v>
      </c>
      <c r="E2218">
        <v>0</v>
      </c>
      <c r="F2218">
        <v>0</v>
      </c>
      <c r="G2218">
        <f t="shared" si="160"/>
        <v>0</v>
      </c>
    </row>
    <row r="2219" spans="1:10">
      <c r="A2219" t="str">
        <f t="shared" si="163"/>
        <v>GRE</v>
      </c>
      <c r="B2219" t="str">
        <f>"70711000"</f>
        <v>70711000</v>
      </c>
      <c r="C2219" t="str">
        <f t="shared" si="159"/>
        <v>GRE707110000</v>
      </c>
      <c r="E2219">
        <v>0</v>
      </c>
      <c r="F2219">
        <v>250</v>
      </c>
      <c r="G2219">
        <f t="shared" si="160"/>
        <v>-250</v>
      </c>
    </row>
    <row r="2220" spans="1:10">
      <c r="A2220" t="str">
        <f t="shared" si="163"/>
        <v>GRE</v>
      </c>
      <c r="B2220" t="str">
        <f>"70713000"</f>
        <v>70713000</v>
      </c>
      <c r="C2220" t="str">
        <f t="shared" si="159"/>
        <v>GRE707130000</v>
      </c>
      <c r="E2220">
        <v>82063.06</v>
      </c>
      <c r="F2220">
        <v>1657109.83</v>
      </c>
      <c r="G2220">
        <f t="shared" si="160"/>
        <v>-1575046.77</v>
      </c>
    </row>
    <row r="2221" spans="1:10">
      <c r="A2221" t="str">
        <f t="shared" si="163"/>
        <v>GRE</v>
      </c>
      <c r="B2221" t="str">
        <f>"70830000"</f>
        <v>70830000</v>
      </c>
      <c r="C2221" t="str">
        <f t="shared" si="159"/>
        <v>GRE708300000</v>
      </c>
      <c r="E2221">
        <v>0</v>
      </c>
      <c r="F2221">
        <v>0</v>
      </c>
      <c r="G2221">
        <f t="shared" si="160"/>
        <v>0</v>
      </c>
    </row>
    <row r="2222" spans="1:10">
      <c r="A2222" t="str">
        <f t="shared" si="163"/>
        <v>GRE</v>
      </c>
      <c r="B2222" t="str">
        <f>"70850000"</f>
        <v>70850000</v>
      </c>
      <c r="C2222" t="str">
        <f t="shared" si="159"/>
        <v>GRE708500000</v>
      </c>
      <c r="E2222">
        <v>0</v>
      </c>
      <c r="F2222">
        <v>2772</v>
      </c>
      <c r="G2222">
        <f t="shared" si="160"/>
        <v>-2772</v>
      </c>
    </row>
    <row r="2223" spans="1:10">
      <c r="A2223" t="str">
        <f t="shared" si="163"/>
        <v>GRE</v>
      </c>
      <c r="B2223" t="str">
        <f>"70882000"</f>
        <v>70882000</v>
      </c>
      <c r="C2223" t="str">
        <f t="shared" si="159"/>
        <v>GRE708820000</v>
      </c>
      <c r="E2223">
        <v>0</v>
      </c>
      <c r="F2223">
        <v>200.48</v>
      </c>
      <c r="G2223">
        <f t="shared" si="160"/>
        <v>-200.48</v>
      </c>
    </row>
    <row r="2224" spans="1:10">
      <c r="A2224" t="str">
        <f t="shared" si="163"/>
        <v>GRE</v>
      </c>
      <c r="B2224" t="str">
        <f>"70970000"</f>
        <v>70970000</v>
      </c>
      <c r="C2224" t="str">
        <f t="shared" si="159"/>
        <v>GRE709700000</v>
      </c>
      <c r="E2224">
        <v>0</v>
      </c>
      <c r="F2224">
        <v>-44505</v>
      </c>
      <c r="G2224">
        <f t="shared" si="160"/>
        <v>44505</v>
      </c>
    </row>
    <row r="2225" spans="1:12">
      <c r="A2225" t="str">
        <f t="shared" si="163"/>
        <v>GRE</v>
      </c>
      <c r="B2225" t="str">
        <f>"75810000"</f>
        <v>75810000</v>
      </c>
      <c r="C2225" t="str">
        <f t="shared" si="159"/>
        <v>GRE758100000</v>
      </c>
      <c r="E2225">
        <v>0</v>
      </c>
      <c r="F2225">
        <v>5376.65</v>
      </c>
      <c r="G2225">
        <f t="shared" si="160"/>
        <v>-5376.65</v>
      </c>
    </row>
    <row r="2226" spans="1:12">
      <c r="A2226" t="str">
        <f t="shared" si="163"/>
        <v>GRE</v>
      </c>
      <c r="B2226" t="str">
        <f>"76300000"</f>
        <v>76300000</v>
      </c>
      <c r="C2226" t="str">
        <f t="shared" si="159"/>
        <v>GRE763000000</v>
      </c>
      <c r="E2226">
        <v>214.5</v>
      </c>
      <c r="F2226">
        <v>279</v>
      </c>
      <c r="G2226">
        <f t="shared" si="160"/>
        <v>-64.5</v>
      </c>
    </row>
    <row r="2227" spans="1:12">
      <c r="A2227" t="str">
        <f t="shared" si="163"/>
        <v>GRE</v>
      </c>
      <c r="B2227" t="str">
        <f>"77180000"</f>
        <v>77180000</v>
      </c>
      <c r="C2227" t="str">
        <f t="shared" si="159"/>
        <v>GRE771800000</v>
      </c>
      <c r="E2227">
        <v>0</v>
      </c>
      <c r="F2227">
        <v>94.01</v>
      </c>
      <c r="G2227">
        <f t="shared" si="160"/>
        <v>-94.01</v>
      </c>
    </row>
    <row r="2228" spans="1:12">
      <c r="A2228" t="str">
        <f t="shared" si="163"/>
        <v>GRE</v>
      </c>
      <c r="B2228" t="str">
        <f>"78150000"</f>
        <v>78150000</v>
      </c>
      <c r="C2228" t="str">
        <f t="shared" si="159"/>
        <v>GRE781500000</v>
      </c>
      <c r="E2228">
        <v>0</v>
      </c>
      <c r="F2228">
        <v>1200</v>
      </c>
      <c r="G2228">
        <f t="shared" si="160"/>
        <v>-1200</v>
      </c>
    </row>
    <row r="2229" spans="1:12">
      <c r="A2229" t="str">
        <f t="shared" si="163"/>
        <v>GRE</v>
      </c>
      <c r="B2229" t="str">
        <f>"78173000"</f>
        <v>78173000</v>
      </c>
      <c r="C2229" t="str">
        <f t="shared" si="159"/>
        <v>GRE781730000</v>
      </c>
      <c r="E2229">
        <v>0</v>
      </c>
      <c r="F2229">
        <v>6493.68</v>
      </c>
      <c r="G2229">
        <f t="shared" si="160"/>
        <v>-6493.68</v>
      </c>
      <c r="L2229" s="353"/>
    </row>
    <row r="2230" spans="1:12">
      <c r="A2230" t="str">
        <f t="shared" si="163"/>
        <v>GRE</v>
      </c>
      <c r="B2230" t="str">
        <f>"78174000"</f>
        <v>78174000</v>
      </c>
      <c r="C2230" t="str">
        <f t="shared" si="159"/>
        <v>GRE781740000</v>
      </c>
      <c r="E2230">
        <v>0</v>
      </c>
      <c r="F2230">
        <v>1756.72</v>
      </c>
      <c r="G2230">
        <f t="shared" si="160"/>
        <v>-1756.72</v>
      </c>
    </row>
    <row r="2231" spans="1:12">
      <c r="A2231" t="str">
        <f t="shared" ref="A2231:A2240" si="164">"LEN"</f>
        <v>LEN</v>
      </c>
      <c r="B2231" t="str">
        <f>"70600000"</f>
        <v>70600000</v>
      </c>
      <c r="C2231" t="str">
        <f t="shared" si="159"/>
        <v>LEN706000000</v>
      </c>
      <c r="E2231">
        <v>1043</v>
      </c>
      <c r="F2231">
        <v>998</v>
      </c>
      <c r="G2231">
        <f t="shared" si="160"/>
        <v>45</v>
      </c>
    </row>
    <row r="2232" spans="1:12">
      <c r="A2232" t="str">
        <f t="shared" si="164"/>
        <v>LEN</v>
      </c>
      <c r="B2232" t="str">
        <f>"70601000"</f>
        <v>70601000</v>
      </c>
      <c r="C2232" t="str">
        <f t="shared" si="159"/>
        <v>LEN706010000</v>
      </c>
      <c r="E2232">
        <v>0</v>
      </c>
      <c r="F2232">
        <v>45</v>
      </c>
      <c r="G2232">
        <f t="shared" si="160"/>
        <v>-45</v>
      </c>
    </row>
    <row r="2233" spans="1:12">
      <c r="A2233" t="str">
        <f t="shared" si="164"/>
        <v>LEN</v>
      </c>
      <c r="B2233" t="str">
        <f>"70610000"</f>
        <v>70610000</v>
      </c>
      <c r="C2233" t="str">
        <f t="shared" si="159"/>
        <v>LEN706100000</v>
      </c>
      <c r="E2233">
        <v>0</v>
      </c>
      <c r="F2233">
        <v>0</v>
      </c>
      <c r="G2233">
        <f t="shared" si="160"/>
        <v>0</v>
      </c>
    </row>
    <row r="2234" spans="1:12">
      <c r="A2234" t="str">
        <f t="shared" si="164"/>
        <v>LEN</v>
      </c>
      <c r="B2234" t="str">
        <f>"70713000"</f>
        <v>70713000</v>
      </c>
      <c r="C2234" t="str">
        <f t="shared" si="159"/>
        <v>LEN707130000</v>
      </c>
      <c r="E2234">
        <v>10832.34</v>
      </c>
      <c r="F2234">
        <v>318668.56</v>
      </c>
      <c r="G2234">
        <f t="shared" si="160"/>
        <v>-307836.21999999997</v>
      </c>
    </row>
    <row r="2235" spans="1:12">
      <c r="A2235" t="str">
        <f t="shared" si="164"/>
        <v>LEN</v>
      </c>
      <c r="B2235" t="str">
        <f>"70850000"</f>
        <v>70850000</v>
      </c>
      <c r="C2235" t="str">
        <f t="shared" si="159"/>
        <v>LEN708500000</v>
      </c>
      <c r="E2235">
        <v>0</v>
      </c>
      <c r="F2235">
        <v>294</v>
      </c>
      <c r="G2235">
        <f t="shared" si="160"/>
        <v>-294</v>
      </c>
    </row>
    <row r="2236" spans="1:12">
      <c r="A2236" t="str">
        <f t="shared" si="164"/>
        <v>LEN</v>
      </c>
      <c r="B2236" t="str">
        <f>"70970000"</f>
        <v>70970000</v>
      </c>
      <c r="C2236" t="str">
        <f t="shared" si="159"/>
        <v>LEN709700000</v>
      </c>
      <c r="E2236">
        <v>0</v>
      </c>
      <c r="F2236">
        <v>-3789.75</v>
      </c>
      <c r="G2236">
        <f t="shared" si="160"/>
        <v>3789.75</v>
      </c>
      <c r="I2236" s="26"/>
      <c r="J2236" s="26"/>
    </row>
    <row r="2237" spans="1:12">
      <c r="A2237" t="str">
        <f t="shared" si="164"/>
        <v>LEN</v>
      </c>
      <c r="B2237" t="str">
        <f>"76300000"</f>
        <v>76300000</v>
      </c>
      <c r="C2237" t="str">
        <f t="shared" si="159"/>
        <v>LEN763000000</v>
      </c>
      <c r="E2237">
        <v>9</v>
      </c>
      <c r="F2237">
        <v>9</v>
      </c>
      <c r="G2237">
        <f t="shared" si="160"/>
        <v>0</v>
      </c>
      <c r="K2237" s="353"/>
    </row>
    <row r="2238" spans="1:12">
      <c r="A2238" t="str">
        <f t="shared" si="164"/>
        <v>LEN</v>
      </c>
      <c r="B2238" t="str">
        <f>"78150000"</f>
        <v>78150000</v>
      </c>
      <c r="C2238" t="str">
        <f t="shared" si="159"/>
        <v>LEN781500000</v>
      </c>
      <c r="E2238">
        <v>0</v>
      </c>
      <c r="F2238">
        <v>0</v>
      </c>
      <c r="G2238">
        <f t="shared" si="160"/>
        <v>0</v>
      </c>
      <c r="K2238" s="353"/>
    </row>
    <row r="2239" spans="1:12">
      <c r="A2239" t="str">
        <f t="shared" si="164"/>
        <v>LEN</v>
      </c>
      <c r="B2239" t="str">
        <f>"78173000"</f>
        <v>78173000</v>
      </c>
      <c r="C2239" t="str">
        <f t="shared" si="159"/>
        <v>LEN781730000</v>
      </c>
      <c r="E2239">
        <v>0</v>
      </c>
      <c r="F2239">
        <v>3367.24</v>
      </c>
      <c r="G2239">
        <f t="shared" si="160"/>
        <v>-3367.24</v>
      </c>
    </row>
    <row r="2240" spans="1:12">
      <c r="A2240" t="str">
        <f t="shared" si="164"/>
        <v>LEN</v>
      </c>
      <c r="B2240" t="str">
        <f>"78174000"</f>
        <v>78174000</v>
      </c>
      <c r="C2240" t="str">
        <f t="shared" si="159"/>
        <v>LEN781740000</v>
      </c>
      <c r="E2240">
        <v>0</v>
      </c>
      <c r="F2240">
        <v>2011.26</v>
      </c>
      <c r="G2240">
        <f t="shared" si="160"/>
        <v>-2011.26</v>
      </c>
      <c r="J2240" s="26"/>
    </row>
    <row r="2241" spans="1:12">
      <c r="A2241" t="str">
        <f t="shared" ref="A2241:A2254" si="165">"LIL"</f>
        <v>LIL</v>
      </c>
      <c r="B2241" t="str">
        <f>"70600000"</f>
        <v>70600000</v>
      </c>
      <c r="C2241" t="str">
        <f t="shared" si="159"/>
        <v>LIL706000000</v>
      </c>
      <c r="E2241">
        <v>5174.5</v>
      </c>
      <c r="F2241">
        <v>5039.5</v>
      </c>
      <c r="G2241">
        <f t="shared" si="160"/>
        <v>135</v>
      </c>
    </row>
    <row r="2242" spans="1:12">
      <c r="A2242" t="str">
        <f t="shared" si="165"/>
        <v>LIL</v>
      </c>
      <c r="B2242" t="str">
        <f>"70601000"</f>
        <v>70601000</v>
      </c>
      <c r="C2242" t="str">
        <f t="shared" si="159"/>
        <v>LIL706010000</v>
      </c>
      <c r="E2242">
        <v>0</v>
      </c>
      <c r="F2242">
        <v>135</v>
      </c>
      <c r="G2242">
        <f t="shared" si="160"/>
        <v>-135</v>
      </c>
    </row>
    <row r="2243" spans="1:12">
      <c r="A2243" t="str">
        <f t="shared" si="165"/>
        <v>LIL</v>
      </c>
      <c r="B2243" t="str">
        <f>"70610000"</f>
        <v>70610000</v>
      </c>
      <c r="C2243" t="str">
        <f t="shared" si="159"/>
        <v>LIL706100000</v>
      </c>
      <c r="E2243">
        <v>5675</v>
      </c>
      <c r="F2243">
        <f>206357.95+H2243</f>
        <v>188764.81</v>
      </c>
      <c r="G2243">
        <f t="shared" si="160"/>
        <v>-183089.81</v>
      </c>
      <c r="H2243">
        <f>-17113.49-479.65</f>
        <v>-17593.140000000003</v>
      </c>
    </row>
    <row r="2244" spans="1:12">
      <c r="A2244" t="str">
        <f t="shared" si="165"/>
        <v>LIL</v>
      </c>
      <c r="B2244" t="str">
        <f>"70711000"</f>
        <v>70711000</v>
      </c>
      <c r="C2244" t="str">
        <f t="shared" si="159"/>
        <v>LIL707110000</v>
      </c>
      <c r="E2244">
        <v>0</v>
      </c>
      <c r="F2244">
        <v>38.020000000000003</v>
      </c>
      <c r="G2244">
        <f t="shared" si="160"/>
        <v>-38.020000000000003</v>
      </c>
    </row>
    <row r="2245" spans="1:12">
      <c r="A2245" t="str">
        <f t="shared" si="165"/>
        <v>LIL</v>
      </c>
      <c r="B2245" t="str">
        <f>"70713000"</f>
        <v>70713000</v>
      </c>
      <c r="C2245" t="str">
        <f t="shared" ref="C2245:C2308" si="166">+A2245&amp;B2245*10</f>
        <v>LIL707130000</v>
      </c>
      <c r="E2245">
        <v>19083.689999999999</v>
      </c>
      <c r="F2245">
        <v>75480.570000000007</v>
      </c>
      <c r="G2245">
        <f t="shared" si="160"/>
        <v>-56396.880000000005</v>
      </c>
    </row>
    <row r="2246" spans="1:12">
      <c r="A2246" t="str">
        <f t="shared" si="165"/>
        <v>LIL</v>
      </c>
      <c r="B2246" t="str">
        <f>"70750000"</f>
        <v>70750000</v>
      </c>
      <c r="C2246" t="str">
        <f t="shared" si="166"/>
        <v>LIL707500000</v>
      </c>
      <c r="E2246">
        <v>0</v>
      </c>
      <c r="F2246">
        <v>56.14</v>
      </c>
      <c r="G2246">
        <f t="shared" ref="G2246:G2309" si="167">+E2246-F2246</f>
        <v>-56.14</v>
      </c>
    </row>
    <row r="2247" spans="1:12">
      <c r="A2247" t="str">
        <f t="shared" si="165"/>
        <v>LIL</v>
      </c>
      <c r="B2247" t="str">
        <f>"70882000"</f>
        <v>70882000</v>
      </c>
      <c r="C2247" t="str">
        <f t="shared" si="166"/>
        <v>LIL708820000</v>
      </c>
      <c r="E2247">
        <v>7.5</v>
      </c>
      <c r="F2247">
        <v>1026.53</v>
      </c>
      <c r="G2247">
        <f t="shared" si="167"/>
        <v>-1019.03</v>
      </c>
    </row>
    <row r="2248" spans="1:12">
      <c r="A2248" t="str">
        <f t="shared" si="165"/>
        <v>LIL</v>
      </c>
      <c r="B2248" t="str">
        <f>"74000000"</f>
        <v>74000000</v>
      </c>
      <c r="C2248" t="str">
        <f t="shared" si="166"/>
        <v>LIL740000000</v>
      </c>
      <c r="E2248">
        <v>0</v>
      </c>
      <c r="F2248">
        <v>1815</v>
      </c>
      <c r="G2248">
        <f t="shared" si="167"/>
        <v>-1815</v>
      </c>
    </row>
    <row r="2249" spans="1:12">
      <c r="A2249" t="str">
        <f t="shared" si="165"/>
        <v>LIL</v>
      </c>
      <c r="B2249" t="str">
        <f>"75810000"</f>
        <v>75810000</v>
      </c>
      <c r="C2249" t="str">
        <f t="shared" si="166"/>
        <v>LIL758100000</v>
      </c>
      <c r="E2249">
        <v>0</v>
      </c>
      <c r="F2249">
        <v>1822.24</v>
      </c>
      <c r="G2249">
        <f t="shared" si="167"/>
        <v>-1822.24</v>
      </c>
    </row>
    <row r="2250" spans="1:12">
      <c r="A2250" t="str">
        <f t="shared" si="165"/>
        <v>LIL</v>
      </c>
      <c r="B2250" t="str">
        <f>"76310000"</f>
        <v>76310000</v>
      </c>
      <c r="C2250" t="str">
        <f t="shared" si="166"/>
        <v>LIL763100000</v>
      </c>
      <c r="E2250">
        <v>0</v>
      </c>
      <c r="F2250">
        <v>0</v>
      </c>
      <c r="G2250">
        <f t="shared" si="167"/>
        <v>0</v>
      </c>
    </row>
    <row r="2251" spans="1:12">
      <c r="A2251" t="str">
        <f t="shared" si="165"/>
        <v>LIL</v>
      </c>
      <c r="B2251" t="str">
        <f>"77180000"</f>
        <v>77180000</v>
      </c>
      <c r="C2251" t="str">
        <f t="shared" si="166"/>
        <v>LIL771800000</v>
      </c>
      <c r="E2251">
        <v>0</v>
      </c>
      <c r="F2251">
        <v>2.89</v>
      </c>
      <c r="G2251">
        <f t="shared" si="167"/>
        <v>-2.89</v>
      </c>
    </row>
    <row r="2252" spans="1:12">
      <c r="A2252" t="str">
        <f t="shared" si="165"/>
        <v>LIL</v>
      </c>
      <c r="B2252" t="str">
        <f>"79100000"</f>
        <v>79100000</v>
      </c>
      <c r="C2252" t="str">
        <f t="shared" si="166"/>
        <v>LIL791000000</v>
      </c>
      <c r="E2252">
        <v>256.10000000000002</v>
      </c>
      <c r="F2252">
        <v>11424.08</v>
      </c>
      <c r="G2252">
        <f t="shared" si="167"/>
        <v>-11167.98</v>
      </c>
    </row>
    <row r="2253" spans="1:12">
      <c r="A2253" t="str">
        <f t="shared" si="165"/>
        <v>LIL</v>
      </c>
      <c r="B2253" t="str">
        <f>"79160000"</f>
        <v>79160000</v>
      </c>
      <c r="C2253" t="str">
        <f t="shared" si="166"/>
        <v>LIL791600000</v>
      </c>
      <c r="E2253">
        <v>8341.2800000000007</v>
      </c>
      <c r="F2253">
        <v>32387.49</v>
      </c>
      <c r="G2253">
        <f t="shared" si="167"/>
        <v>-24046.21</v>
      </c>
    </row>
    <row r="2254" spans="1:12">
      <c r="A2254" t="str">
        <f t="shared" si="165"/>
        <v>LIL</v>
      </c>
      <c r="B2254" t="str">
        <f>"79161000"</f>
        <v>79161000</v>
      </c>
      <c r="C2254" t="str">
        <f t="shared" si="166"/>
        <v>LIL791610000</v>
      </c>
      <c r="E2254">
        <v>0</v>
      </c>
      <c r="F2254">
        <v>4761.1099999999997</v>
      </c>
      <c r="G2254">
        <f t="shared" si="167"/>
        <v>-4761.1099999999997</v>
      </c>
      <c r="L2254" s="353"/>
    </row>
    <row r="2255" spans="1:12">
      <c r="A2255" t="str">
        <f t="shared" ref="A2255:A2265" si="168">"MAD"</f>
        <v>MAD</v>
      </c>
      <c r="B2255" t="str">
        <f>"70600000"</f>
        <v>70600000</v>
      </c>
      <c r="C2255" t="str">
        <f t="shared" si="166"/>
        <v>MAD706000000</v>
      </c>
      <c r="E2255">
        <v>1894.6</v>
      </c>
      <c r="F2255">
        <v>1795.6</v>
      </c>
      <c r="G2255">
        <f t="shared" si="167"/>
        <v>99</v>
      </c>
    </row>
    <row r="2256" spans="1:12">
      <c r="A2256" t="str">
        <f t="shared" si="168"/>
        <v>MAD</v>
      </c>
      <c r="B2256" t="str">
        <f>"70601000"</f>
        <v>70601000</v>
      </c>
      <c r="C2256" t="str">
        <f t="shared" si="166"/>
        <v>MAD706010000</v>
      </c>
      <c r="E2256">
        <v>0</v>
      </c>
      <c r="F2256">
        <v>99</v>
      </c>
      <c r="G2256">
        <f t="shared" si="167"/>
        <v>-99</v>
      </c>
    </row>
    <row r="2257" spans="1:9">
      <c r="A2257" t="str">
        <f t="shared" si="168"/>
        <v>MAD</v>
      </c>
      <c r="B2257" t="str">
        <f>"70610000"</f>
        <v>70610000</v>
      </c>
      <c r="C2257" t="str">
        <f t="shared" si="166"/>
        <v>MAD706100000</v>
      </c>
      <c r="E2257">
        <v>0</v>
      </c>
      <c r="F2257">
        <v>21073.03</v>
      </c>
      <c r="G2257">
        <f t="shared" si="167"/>
        <v>-21073.03</v>
      </c>
      <c r="H2257" s="433"/>
      <c r="I2257" s="113"/>
    </row>
    <row r="2258" spans="1:9">
      <c r="A2258" t="str">
        <f t="shared" si="168"/>
        <v>MAD</v>
      </c>
      <c r="B2258" t="str">
        <f>"70713000"</f>
        <v>70713000</v>
      </c>
      <c r="C2258" t="str">
        <f t="shared" si="166"/>
        <v>MAD707130000</v>
      </c>
      <c r="E2258">
        <v>59252.69</v>
      </c>
      <c r="F2258">
        <v>776530.97</v>
      </c>
      <c r="G2258">
        <f t="shared" si="167"/>
        <v>-717278.28</v>
      </c>
    </row>
    <row r="2259" spans="1:9">
      <c r="A2259" t="str">
        <f t="shared" si="168"/>
        <v>MAD</v>
      </c>
      <c r="B2259" t="str">
        <f>"70850000"</f>
        <v>70850000</v>
      </c>
      <c r="C2259" t="str">
        <f t="shared" si="166"/>
        <v>MAD708500000</v>
      </c>
      <c r="E2259">
        <v>0</v>
      </c>
      <c r="F2259">
        <v>717</v>
      </c>
      <c r="G2259">
        <f t="shared" si="167"/>
        <v>-717</v>
      </c>
    </row>
    <row r="2260" spans="1:9">
      <c r="A2260" t="str">
        <f t="shared" si="168"/>
        <v>MAD</v>
      </c>
      <c r="B2260" t="str">
        <f>"70882000"</f>
        <v>70882000</v>
      </c>
      <c r="C2260" t="str">
        <f t="shared" si="166"/>
        <v>MAD708820000</v>
      </c>
      <c r="E2260">
        <v>0</v>
      </c>
      <c r="F2260">
        <v>409.7</v>
      </c>
      <c r="G2260">
        <f t="shared" si="167"/>
        <v>-409.7</v>
      </c>
    </row>
    <row r="2261" spans="1:9">
      <c r="A2261" t="str">
        <f t="shared" si="168"/>
        <v>MAD</v>
      </c>
      <c r="B2261" t="str">
        <f>"70970000"</f>
        <v>70970000</v>
      </c>
      <c r="C2261" t="str">
        <f t="shared" si="166"/>
        <v>MAD709700000</v>
      </c>
      <c r="E2261">
        <v>0</v>
      </c>
      <c r="F2261">
        <v>-9408.02</v>
      </c>
      <c r="G2261">
        <f t="shared" si="167"/>
        <v>9408.02</v>
      </c>
    </row>
    <row r="2262" spans="1:9">
      <c r="A2262" t="str">
        <f t="shared" si="168"/>
        <v>MAD</v>
      </c>
      <c r="B2262" t="str">
        <f>"76300000"</f>
        <v>76300000</v>
      </c>
      <c r="C2262" t="str">
        <f t="shared" si="166"/>
        <v>MAD763000000</v>
      </c>
      <c r="E2262">
        <v>0</v>
      </c>
      <c r="F2262">
        <v>16.5</v>
      </c>
      <c r="G2262">
        <f t="shared" si="167"/>
        <v>-16.5</v>
      </c>
    </row>
    <row r="2263" spans="1:9">
      <c r="A2263" t="str">
        <f t="shared" si="168"/>
        <v>MAD</v>
      </c>
      <c r="B2263" t="str">
        <f>"78173000"</f>
        <v>78173000</v>
      </c>
      <c r="C2263" t="str">
        <f t="shared" si="166"/>
        <v>MAD781730000</v>
      </c>
      <c r="E2263">
        <v>0</v>
      </c>
      <c r="F2263">
        <v>4601.1400000000003</v>
      </c>
      <c r="G2263">
        <f t="shared" si="167"/>
        <v>-4601.1400000000003</v>
      </c>
    </row>
    <row r="2264" spans="1:9">
      <c r="A2264" t="str">
        <f t="shared" si="168"/>
        <v>MAD</v>
      </c>
      <c r="B2264" t="str">
        <f>"78174000"</f>
        <v>78174000</v>
      </c>
      <c r="C2264" t="str">
        <f t="shared" si="166"/>
        <v>MAD781740000</v>
      </c>
      <c r="E2264">
        <v>0</v>
      </c>
      <c r="F2264">
        <v>57658.21</v>
      </c>
      <c r="G2264">
        <f t="shared" si="167"/>
        <v>-57658.21</v>
      </c>
    </row>
    <row r="2265" spans="1:9">
      <c r="A2265" t="str">
        <f t="shared" si="168"/>
        <v>MAD</v>
      </c>
      <c r="B2265" t="str">
        <f>"79110000"</f>
        <v>79110000</v>
      </c>
      <c r="C2265" t="str">
        <f t="shared" si="166"/>
        <v>MAD791100000</v>
      </c>
      <c r="E2265">
        <v>0</v>
      </c>
      <c r="F2265">
        <v>45000</v>
      </c>
      <c r="G2265">
        <f t="shared" si="167"/>
        <v>-45000</v>
      </c>
    </row>
    <row r="2266" spans="1:9">
      <c r="A2266" t="str">
        <f t="shared" ref="A2266:A2273" si="169">"MAR"</f>
        <v>MAR</v>
      </c>
      <c r="B2266" t="str">
        <f>"70600000"</f>
        <v>70600000</v>
      </c>
      <c r="C2266" t="str">
        <f t="shared" si="166"/>
        <v>MAR706000000</v>
      </c>
      <c r="E2266">
        <v>0</v>
      </c>
      <c r="F2266">
        <v>0</v>
      </c>
      <c r="G2266">
        <f t="shared" si="167"/>
        <v>0</v>
      </c>
    </row>
    <row r="2267" spans="1:9">
      <c r="A2267" t="str">
        <f t="shared" si="169"/>
        <v>MAR</v>
      </c>
      <c r="B2267" t="str">
        <f>"70713000"</f>
        <v>70713000</v>
      </c>
      <c r="C2267" t="str">
        <f t="shared" si="166"/>
        <v>MAR707130000</v>
      </c>
      <c r="E2267">
        <v>3629.24</v>
      </c>
      <c r="F2267">
        <v>196784.72</v>
      </c>
      <c r="G2267">
        <f t="shared" si="167"/>
        <v>-193155.48</v>
      </c>
    </row>
    <row r="2268" spans="1:9">
      <c r="A2268" t="str">
        <f t="shared" si="169"/>
        <v>MAR</v>
      </c>
      <c r="B2268" t="str">
        <f>"70830000"</f>
        <v>70830000</v>
      </c>
      <c r="C2268" t="str">
        <f t="shared" si="166"/>
        <v>MAR708300000</v>
      </c>
      <c r="E2268">
        <v>3867.77</v>
      </c>
      <c r="F2268">
        <v>3867.77</v>
      </c>
      <c r="G2268">
        <f t="shared" si="167"/>
        <v>0</v>
      </c>
    </row>
    <row r="2269" spans="1:9">
      <c r="A2269" t="str">
        <f t="shared" si="169"/>
        <v>MAR</v>
      </c>
      <c r="B2269" t="str">
        <f>"70850000"</f>
        <v>70850000</v>
      </c>
      <c r="C2269" t="str">
        <f t="shared" si="166"/>
        <v>MAR708500000</v>
      </c>
      <c r="E2269">
        <v>0</v>
      </c>
      <c r="F2269">
        <v>687</v>
      </c>
      <c r="G2269">
        <f t="shared" si="167"/>
        <v>-687</v>
      </c>
    </row>
    <row r="2270" spans="1:9">
      <c r="A2270" t="str">
        <f t="shared" si="169"/>
        <v>MAR</v>
      </c>
      <c r="B2270" t="str">
        <f>"70970000"</f>
        <v>70970000</v>
      </c>
      <c r="C2270" t="str">
        <f t="shared" si="166"/>
        <v>MAR709700000</v>
      </c>
      <c r="E2270">
        <v>0</v>
      </c>
      <c r="F2270">
        <v>-2850</v>
      </c>
      <c r="G2270">
        <f t="shared" si="167"/>
        <v>2850</v>
      </c>
    </row>
    <row r="2271" spans="1:9">
      <c r="A2271" t="str">
        <f t="shared" si="169"/>
        <v>MAR</v>
      </c>
      <c r="B2271" t="str">
        <f>"75810000"</f>
        <v>75810000</v>
      </c>
      <c r="C2271" t="str">
        <f t="shared" si="166"/>
        <v>MAR758100000</v>
      </c>
      <c r="E2271">
        <v>0</v>
      </c>
      <c r="F2271">
        <v>1413.9</v>
      </c>
      <c r="G2271">
        <f t="shared" si="167"/>
        <v>-1413.9</v>
      </c>
    </row>
    <row r="2272" spans="1:9">
      <c r="A2272" t="str">
        <f t="shared" si="169"/>
        <v>MAR</v>
      </c>
      <c r="B2272" t="str">
        <f>"78173000"</f>
        <v>78173000</v>
      </c>
      <c r="C2272" t="str">
        <f t="shared" si="166"/>
        <v>MAR781730000</v>
      </c>
      <c r="E2272">
        <v>0</v>
      </c>
      <c r="F2272">
        <v>2478.38</v>
      </c>
      <c r="G2272">
        <f t="shared" si="167"/>
        <v>-2478.38</v>
      </c>
    </row>
    <row r="2273" spans="1:7">
      <c r="A2273" t="str">
        <f t="shared" si="169"/>
        <v>MAR</v>
      </c>
      <c r="B2273" t="str">
        <f>"79100000"</f>
        <v>79100000</v>
      </c>
      <c r="C2273" t="str">
        <f t="shared" si="166"/>
        <v>MAR791000000</v>
      </c>
      <c r="E2273">
        <v>0</v>
      </c>
      <c r="F2273">
        <v>70</v>
      </c>
      <c r="G2273">
        <f t="shared" si="167"/>
        <v>-70</v>
      </c>
    </row>
    <row r="2274" spans="1:7">
      <c r="A2274" t="str">
        <f t="shared" ref="A2274:A2284" si="170">"MON"</f>
        <v>MON</v>
      </c>
      <c r="B2274" t="str">
        <f>"70600000"</f>
        <v>70600000</v>
      </c>
      <c r="C2274" t="str">
        <f t="shared" si="166"/>
        <v>MON706000000</v>
      </c>
      <c r="E2274">
        <v>0</v>
      </c>
      <c r="F2274">
        <v>0</v>
      </c>
      <c r="G2274">
        <f t="shared" si="167"/>
        <v>0</v>
      </c>
    </row>
    <row r="2275" spans="1:7">
      <c r="A2275" t="str">
        <f t="shared" si="170"/>
        <v>MON</v>
      </c>
      <c r="B2275" t="str">
        <f>"70711000"</f>
        <v>70711000</v>
      </c>
      <c r="C2275" t="str">
        <f t="shared" si="166"/>
        <v>MON707110000</v>
      </c>
      <c r="E2275">
        <v>9</v>
      </c>
      <c r="F2275">
        <v>220</v>
      </c>
      <c r="G2275">
        <f t="shared" si="167"/>
        <v>-211</v>
      </c>
    </row>
    <row r="2276" spans="1:7">
      <c r="A2276" t="str">
        <f t="shared" si="170"/>
        <v>MON</v>
      </c>
      <c r="B2276" t="str">
        <f>"70713000"</f>
        <v>70713000</v>
      </c>
      <c r="C2276" t="str">
        <f t="shared" si="166"/>
        <v>MON707130000</v>
      </c>
      <c r="E2276">
        <v>42439.96</v>
      </c>
      <c r="F2276">
        <v>651712.16</v>
      </c>
      <c r="G2276">
        <f t="shared" si="167"/>
        <v>-609272.20000000007</v>
      </c>
    </row>
    <row r="2277" spans="1:7">
      <c r="A2277" t="str">
        <f t="shared" si="170"/>
        <v>MON</v>
      </c>
      <c r="B2277" t="str">
        <f>"70850000"</f>
        <v>70850000</v>
      </c>
      <c r="C2277" t="str">
        <f t="shared" si="166"/>
        <v>MON708500000</v>
      </c>
      <c r="E2277">
        <v>0</v>
      </c>
      <c r="F2277">
        <v>1086</v>
      </c>
      <c r="G2277">
        <f t="shared" si="167"/>
        <v>-1086</v>
      </c>
    </row>
    <row r="2278" spans="1:7">
      <c r="A2278" t="str">
        <f t="shared" si="170"/>
        <v>MON</v>
      </c>
      <c r="B2278" t="str">
        <f>"70882000"</f>
        <v>70882000</v>
      </c>
      <c r="C2278" t="str">
        <f t="shared" si="166"/>
        <v>MON708820000</v>
      </c>
      <c r="E2278">
        <v>0</v>
      </c>
      <c r="F2278">
        <v>72.349999999999994</v>
      </c>
      <c r="G2278">
        <f t="shared" si="167"/>
        <v>-72.349999999999994</v>
      </c>
    </row>
    <row r="2279" spans="1:7">
      <c r="A2279" t="str">
        <f t="shared" si="170"/>
        <v>MON</v>
      </c>
      <c r="B2279" t="str">
        <f>"70970000"</f>
        <v>70970000</v>
      </c>
      <c r="C2279" t="str">
        <f t="shared" si="166"/>
        <v>MON709700000</v>
      </c>
      <c r="E2279">
        <v>0</v>
      </c>
      <c r="F2279">
        <v>-13330.5</v>
      </c>
      <c r="G2279">
        <f t="shared" si="167"/>
        <v>13330.5</v>
      </c>
    </row>
    <row r="2280" spans="1:7">
      <c r="A2280" t="str">
        <f t="shared" si="170"/>
        <v>MON</v>
      </c>
      <c r="B2280" t="str">
        <f>"76300000"</f>
        <v>76300000</v>
      </c>
      <c r="C2280" t="str">
        <f t="shared" si="166"/>
        <v>MON763000000</v>
      </c>
      <c r="E2280">
        <v>52.5</v>
      </c>
      <c r="F2280">
        <v>132</v>
      </c>
      <c r="G2280">
        <f t="shared" si="167"/>
        <v>-79.5</v>
      </c>
    </row>
    <row r="2281" spans="1:7">
      <c r="A2281" t="str">
        <f t="shared" si="170"/>
        <v>MON</v>
      </c>
      <c r="B2281" t="str">
        <f>"78150000"</f>
        <v>78150000</v>
      </c>
      <c r="C2281" t="str">
        <f t="shared" si="166"/>
        <v>MON781500000</v>
      </c>
      <c r="E2281">
        <v>0</v>
      </c>
      <c r="F2281">
        <v>-503</v>
      </c>
      <c r="G2281">
        <f t="shared" si="167"/>
        <v>503</v>
      </c>
    </row>
    <row r="2282" spans="1:7">
      <c r="A2282" t="str">
        <f t="shared" si="170"/>
        <v>MON</v>
      </c>
      <c r="B2282" t="str">
        <f>"78173000"</f>
        <v>78173000</v>
      </c>
      <c r="C2282" t="str">
        <f t="shared" si="166"/>
        <v>MON781730000</v>
      </c>
      <c r="E2282">
        <v>0</v>
      </c>
      <c r="F2282">
        <v>5840.55</v>
      </c>
      <c r="G2282">
        <f t="shared" si="167"/>
        <v>-5840.55</v>
      </c>
    </row>
    <row r="2283" spans="1:7">
      <c r="A2283" t="str">
        <f t="shared" si="170"/>
        <v>MON</v>
      </c>
      <c r="B2283" t="str">
        <f>"78174000"</f>
        <v>78174000</v>
      </c>
      <c r="C2283" t="str">
        <f t="shared" si="166"/>
        <v>MON781740000</v>
      </c>
      <c r="E2283">
        <v>0</v>
      </c>
      <c r="F2283">
        <v>19555.22</v>
      </c>
      <c r="G2283">
        <f t="shared" si="167"/>
        <v>-19555.22</v>
      </c>
    </row>
    <row r="2284" spans="1:7">
      <c r="A2284" t="str">
        <f t="shared" si="170"/>
        <v>MON</v>
      </c>
      <c r="B2284" t="str">
        <f>"79110000"</f>
        <v>79110000</v>
      </c>
      <c r="C2284" t="str">
        <f t="shared" si="166"/>
        <v>MON791100000</v>
      </c>
      <c r="E2284">
        <v>0</v>
      </c>
      <c r="F2284">
        <v>1678.43</v>
      </c>
      <c r="G2284">
        <f t="shared" si="167"/>
        <v>-1678.43</v>
      </c>
    </row>
    <row r="2285" spans="1:7">
      <c r="A2285" t="str">
        <f t="shared" ref="A2285:A2292" si="171">"NAN"</f>
        <v>NAN</v>
      </c>
      <c r="B2285" t="str">
        <f>"70600000"</f>
        <v>70600000</v>
      </c>
      <c r="C2285" t="str">
        <f t="shared" si="166"/>
        <v>NAN706000000</v>
      </c>
      <c r="E2285">
        <v>0</v>
      </c>
      <c r="F2285">
        <v>0</v>
      </c>
      <c r="G2285">
        <f t="shared" si="167"/>
        <v>0</v>
      </c>
    </row>
    <row r="2286" spans="1:7">
      <c r="A2286" t="str">
        <f t="shared" si="171"/>
        <v>NAN</v>
      </c>
      <c r="B2286" t="str">
        <f>"70713000"</f>
        <v>70713000</v>
      </c>
      <c r="C2286" t="str">
        <f t="shared" si="166"/>
        <v>NAN707130000</v>
      </c>
      <c r="E2286">
        <v>13529.96</v>
      </c>
      <c r="F2286">
        <v>650098.66</v>
      </c>
      <c r="G2286">
        <f t="shared" si="167"/>
        <v>-636568.70000000007</v>
      </c>
    </row>
    <row r="2287" spans="1:7">
      <c r="A2287" t="str">
        <f t="shared" si="171"/>
        <v>NAN</v>
      </c>
      <c r="B2287" t="str">
        <f>"70723000"</f>
        <v>70723000</v>
      </c>
      <c r="C2287" t="str">
        <f t="shared" si="166"/>
        <v>NAN707230000</v>
      </c>
      <c r="E2287">
        <v>8514.7999999999993</v>
      </c>
      <c r="F2287">
        <v>20354.54</v>
      </c>
      <c r="G2287">
        <f t="shared" si="167"/>
        <v>-11839.740000000002</v>
      </c>
    </row>
    <row r="2288" spans="1:7">
      <c r="A2288" t="str">
        <f t="shared" si="171"/>
        <v>NAN</v>
      </c>
      <c r="B2288" t="str">
        <f>"70850000"</f>
        <v>70850000</v>
      </c>
      <c r="C2288" t="str">
        <f t="shared" si="166"/>
        <v>NAN708500000</v>
      </c>
      <c r="E2288">
        <v>0</v>
      </c>
      <c r="F2288">
        <v>876</v>
      </c>
      <c r="G2288">
        <f t="shared" si="167"/>
        <v>-876</v>
      </c>
    </row>
    <row r="2289" spans="1:11">
      <c r="A2289" t="str">
        <f t="shared" si="171"/>
        <v>NAN</v>
      </c>
      <c r="B2289" t="str">
        <f>"70970000"</f>
        <v>70970000</v>
      </c>
      <c r="C2289" t="str">
        <f t="shared" si="166"/>
        <v>NAN709700000</v>
      </c>
      <c r="E2289">
        <v>1747.49</v>
      </c>
      <c r="F2289">
        <v>-6502.51</v>
      </c>
      <c r="G2289">
        <f t="shared" si="167"/>
        <v>8250</v>
      </c>
    </row>
    <row r="2290" spans="1:11">
      <c r="A2290" t="str">
        <f t="shared" si="171"/>
        <v>NAN</v>
      </c>
      <c r="B2290" t="str">
        <f>"78173000"</f>
        <v>78173000</v>
      </c>
      <c r="C2290" t="str">
        <f t="shared" si="166"/>
        <v>NAN781730000</v>
      </c>
      <c r="E2290">
        <v>0</v>
      </c>
      <c r="F2290">
        <v>3525.46</v>
      </c>
      <c r="G2290">
        <f t="shared" si="167"/>
        <v>-3525.46</v>
      </c>
    </row>
    <row r="2291" spans="1:11">
      <c r="A2291" t="str">
        <f t="shared" si="171"/>
        <v>NAN</v>
      </c>
      <c r="B2291" t="str">
        <f>"78174000"</f>
        <v>78174000</v>
      </c>
      <c r="C2291" t="str">
        <f t="shared" si="166"/>
        <v>NAN781740000</v>
      </c>
      <c r="E2291">
        <v>0</v>
      </c>
      <c r="F2291">
        <v>4733.3900000000003</v>
      </c>
      <c r="G2291">
        <f t="shared" si="167"/>
        <v>-4733.3900000000003</v>
      </c>
    </row>
    <row r="2292" spans="1:11">
      <c r="A2292" t="str">
        <f t="shared" si="171"/>
        <v>NAN</v>
      </c>
      <c r="B2292" t="str">
        <f>"79110000"</f>
        <v>79110000</v>
      </c>
      <c r="C2292" t="str">
        <f t="shared" si="166"/>
        <v>NAN791100000</v>
      </c>
      <c r="E2292">
        <v>0</v>
      </c>
      <c r="F2292">
        <v>0</v>
      </c>
      <c r="G2292">
        <f t="shared" si="167"/>
        <v>0</v>
      </c>
    </row>
    <row r="2293" spans="1:11">
      <c r="A2293" t="str">
        <f t="shared" ref="A2293:A2304" si="172">"ORL"</f>
        <v>ORL</v>
      </c>
      <c r="B2293" t="str">
        <f>"70600000"</f>
        <v>70600000</v>
      </c>
      <c r="C2293" t="str">
        <f t="shared" si="166"/>
        <v>ORL706000000</v>
      </c>
      <c r="E2293">
        <v>0</v>
      </c>
      <c r="F2293">
        <v>0</v>
      </c>
      <c r="G2293">
        <f t="shared" si="167"/>
        <v>0</v>
      </c>
    </row>
    <row r="2294" spans="1:11">
      <c r="A2294" t="str">
        <f t="shared" si="172"/>
        <v>ORL</v>
      </c>
      <c r="B2294" t="str">
        <f>"70711000"</f>
        <v>70711000</v>
      </c>
      <c r="C2294" t="str">
        <f t="shared" si="166"/>
        <v>ORL707110000</v>
      </c>
      <c r="E2294">
        <v>0</v>
      </c>
      <c r="F2294">
        <v>168.57</v>
      </c>
      <c r="G2294">
        <f t="shared" si="167"/>
        <v>-168.57</v>
      </c>
    </row>
    <row r="2295" spans="1:11">
      <c r="A2295" t="str">
        <f t="shared" si="172"/>
        <v>ORL</v>
      </c>
      <c r="B2295" t="str">
        <f>"70713000"</f>
        <v>70713000</v>
      </c>
      <c r="C2295" t="str">
        <f t="shared" si="166"/>
        <v>ORL707130000</v>
      </c>
      <c r="E2295">
        <v>26483.040000000001</v>
      </c>
      <c r="F2295">
        <v>856831.83</v>
      </c>
      <c r="G2295">
        <f t="shared" si="167"/>
        <v>-830348.78999999992</v>
      </c>
    </row>
    <row r="2296" spans="1:11">
      <c r="A2296" t="str">
        <f t="shared" si="172"/>
        <v>ORL</v>
      </c>
      <c r="B2296" t="str">
        <f>"70850000"</f>
        <v>70850000</v>
      </c>
      <c r="C2296" t="str">
        <f t="shared" si="166"/>
        <v>ORL708500000</v>
      </c>
      <c r="E2296">
        <v>0</v>
      </c>
      <c r="F2296">
        <v>1281</v>
      </c>
      <c r="G2296">
        <f t="shared" si="167"/>
        <v>-1281</v>
      </c>
    </row>
    <row r="2297" spans="1:11">
      <c r="A2297" t="str">
        <f t="shared" si="172"/>
        <v>ORL</v>
      </c>
      <c r="B2297" t="str">
        <f>"70882000"</f>
        <v>70882000</v>
      </c>
      <c r="C2297" t="str">
        <f t="shared" si="166"/>
        <v>ORL708820000</v>
      </c>
      <c r="E2297">
        <v>6.03</v>
      </c>
      <c r="F2297">
        <v>1320.86</v>
      </c>
      <c r="G2297">
        <f t="shared" si="167"/>
        <v>-1314.83</v>
      </c>
      <c r="I2297" s="26"/>
      <c r="J2297" s="26"/>
    </row>
    <row r="2298" spans="1:11">
      <c r="A2298" t="str">
        <f t="shared" si="172"/>
        <v>ORL</v>
      </c>
      <c r="B2298" t="str">
        <f>"70970000"</f>
        <v>70970000</v>
      </c>
      <c r="C2298" t="str">
        <f t="shared" si="166"/>
        <v>ORL709700000</v>
      </c>
      <c r="E2298">
        <v>0</v>
      </c>
      <c r="F2298">
        <v>-11250</v>
      </c>
      <c r="G2298">
        <f t="shared" si="167"/>
        <v>11250</v>
      </c>
      <c r="K2298" s="353"/>
    </row>
    <row r="2299" spans="1:11">
      <c r="A2299" t="str">
        <f t="shared" si="172"/>
        <v>ORL</v>
      </c>
      <c r="B2299" t="str">
        <f>"75810000"</f>
        <v>75810000</v>
      </c>
      <c r="C2299" t="str">
        <f t="shared" si="166"/>
        <v>ORL758100000</v>
      </c>
      <c r="E2299">
        <v>0</v>
      </c>
      <c r="F2299">
        <v>1847</v>
      </c>
      <c r="G2299">
        <f t="shared" si="167"/>
        <v>-1847</v>
      </c>
      <c r="K2299" s="353"/>
    </row>
    <row r="2300" spans="1:11">
      <c r="A2300" t="str">
        <f t="shared" si="172"/>
        <v>ORL</v>
      </c>
      <c r="B2300" t="str">
        <f>"76300000"</f>
        <v>76300000</v>
      </c>
      <c r="C2300" t="str">
        <f t="shared" si="166"/>
        <v>ORL763000000</v>
      </c>
      <c r="E2300">
        <v>27</v>
      </c>
      <c r="F2300">
        <v>36</v>
      </c>
      <c r="G2300">
        <f t="shared" si="167"/>
        <v>-9</v>
      </c>
    </row>
    <row r="2301" spans="1:11">
      <c r="A2301" t="str">
        <f t="shared" si="172"/>
        <v>ORL</v>
      </c>
      <c r="B2301" t="str">
        <f>"77180000"</f>
        <v>77180000</v>
      </c>
      <c r="C2301" t="str">
        <f t="shared" si="166"/>
        <v>ORL771800000</v>
      </c>
      <c r="E2301">
        <v>0</v>
      </c>
      <c r="F2301">
        <v>4.8099999999999996</v>
      </c>
      <c r="G2301">
        <f t="shared" si="167"/>
        <v>-4.8099999999999996</v>
      </c>
      <c r="J2301" s="26"/>
    </row>
    <row r="2302" spans="1:11">
      <c r="A2302" t="str">
        <f t="shared" si="172"/>
        <v>ORL</v>
      </c>
      <c r="B2302" t="str">
        <f>"78173000"</f>
        <v>78173000</v>
      </c>
      <c r="C2302" t="str">
        <f t="shared" si="166"/>
        <v>ORL781730000</v>
      </c>
      <c r="E2302">
        <v>0</v>
      </c>
      <c r="F2302">
        <v>2283.67</v>
      </c>
      <c r="G2302">
        <f t="shared" si="167"/>
        <v>-2283.67</v>
      </c>
    </row>
    <row r="2303" spans="1:11">
      <c r="A2303" t="str">
        <f t="shared" si="172"/>
        <v>ORL</v>
      </c>
      <c r="B2303" t="str">
        <f>"78174000"</f>
        <v>78174000</v>
      </c>
      <c r="C2303" t="str">
        <f t="shared" si="166"/>
        <v>ORL781740000</v>
      </c>
      <c r="E2303">
        <v>0</v>
      </c>
      <c r="F2303">
        <v>69.3</v>
      </c>
      <c r="G2303">
        <f t="shared" si="167"/>
        <v>-69.3</v>
      </c>
    </row>
    <row r="2304" spans="1:11">
      <c r="A2304" t="str">
        <f t="shared" si="172"/>
        <v>ORL</v>
      </c>
      <c r="B2304" t="str">
        <f>"79110000"</f>
        <v>79110000</v>
      </c>
      <c r="C2304" t="str">
        <f t="shared" si="166"/>
        <v>ORL791100000</v>
      </c>
      <c r="E2304">
        <v>0</v>
      </c>
      <c r="F2304">
        <v>0</v>
      </c>
      <c r="G2304">
        <f t="shared" si="167"/>
        <v>0</v>
      </c>
    </row>
    <row r="2305" spans="1:7">
      <c r="A2305" t="str">
        <f t="shared" ref="A2305:A2314" si="173">"REN"</f>
        <v>REN</v>
      </c>
      <c r="B2305" t="str">
        <f>"70600000"</f>
        <v>70600000</v>
      </c>
      <c r="C2305" t="str">
        <f t="shared" si="166"/>
        <v>REN706000000</v>
      </c>
      <c r="E2305">
        <v>0</v>
      </c>
      <c r="F2305">
        <v>0</v>
      </c>
      <c r="G2305">
        <f t="shared" si="167"/>
        <v>0</v>
      </c>
    </row>
    <row r="2306" spans="1:7">
      <c r="A2306" t="str">
        <f t="shared" si="173"/>
        <v>REN</v>
      </c>
      <c r="B2306" t="str">
        <f>"70713000"</f>
        <v>70713000</v>
      </c>
      <c r="C2306" t="str">
        <f t="shared" si="166"/>
        <v>REN707130000</v>
      </c>
      <c r="E2306">
        <v>11612.63</v>
      </c>
      <c r="F2306">
        <v>359691.82</v>
      </c>
      <c r="G2306">
        <f t="shared" si="167"/>
        <v>-348079.19</v>
      </c>
    </row>
    <row r="2307" spans="1:7">
      <c r="A2307" t="str">
        <f t="shared" si="173"/>
        <v>REN</v>
      </c>
      <c r="B2307" t="str">
        <f>"70850000"</f>
        <v>70850000</v>
      </c>
      <c r="C2307" t="str">
        <f t="shared" si="166"/>
        <v>REN708500000</v>
      </c>
      <c r="E2307">
        <v>0</v>
      </c>
      <c r="F2307">
        <v>792</v>
      </c>
      <c r="G2307">
        <f t="shared" si="167"/>
        <v>-792</v>
      </c>
    </row>
    <row r="2308" spans="1:7">
      <c r="A2308" t="str">
        <f t="shared" si="173"/>
        <v>REN</v>
      </c>
      <c r="B2308" t="str">
        <f>"70882000"</f>
        <v>70882000</v>
      </c>
      <c r="C2308" t="str">
        <f t="shared" si="166"/>
        <v>REN708820000</v>
      </c>
      <c r="E2308">
        <v>0</v>
      </c>
      <c r="F2308">
        <v>382.76</v>
      </c>
      <c r="G2308">
        <f t="shared" si="167"/>
        <v>-382.76</v>
      </c>
    </row>
    <row r="2309" spans="1:7">
      <c r="A2309" t="str">
        <f t="shared" si="173"/>
        <v>REN</v>
      </c>
      <c r="B2309" t="str">
        <f>"70970000"</f>
        <v>70970000</v>
      </c>
      <c r="C2309" t="str">
        <f t="shared" ref="C2309:C2372" si="174">+A2309&amp;B2309*10</f>
        <v>REN709700000</v>
      </c>
      <c r="E2309">
        <v>1285.1199999999999</v>
      </c>
      <c r="F2309">
        <v>-9036.3799999999992</v>
      </c>
      <c r="G2309">
        <f t="shared" si="167"/>
        <v>10321.5</v>
      </c>
    </row>
    <row r="2310" spans="1:7">
      <c r="A2310" t="str">
        <f t="shared" si="173"/>
        <v>REN</v>
      </c>
      <c r="B2310" t="str">
        <f>"75810000"</f>
        <v>75810000</v>
      </c>
      <c r="C2310" t="str">
        <f t="shared" si="174"/>
        <v>REN758100000</v>
      </c>
      <c r="E2310">
        <v>0</v>
      </c>
      <c r="F2310">
        <v>415.51</v>
      </c>
      <c r="G2310">
        <f t="shared" ref="G2310:G2373" si="175">+E2310-F2310</f>
        <v>-415.51</v>
      </c>
    </row>
    <row r="2311" spans="1:7">
      <c r="A2311" t="str">
        <f t="shared" si="173"/>
        <v>REN</v>
      </c>
      <c r="B2311" t="str">
        <f>"76300000"</f>
        <v>76300000</v>
      </c>
      <c r="C2311" t="str">
        <f t="shared" si="174"/>
        <v>REN763000000</v>
      </c>
      <c r="E2311">
        <v>18</v>
      </c>
      <c r="F2311">
        <v>18</v>
      </c>
      <c r="G2311">
        <f t="shared" si="175"/>
        <v>0</v>
      </c>
    </row>
    <row r="2312" spans="1:7">
      <c r="A2312" t="str">
        <f t="shared" si="173"/>
        <v>REN</v>
      </c>
      <c r="B2312" t="str">
        <f>"77180000"</f>
        <v>77180000</v>
      </c>
      <c r="C2312" t="str">
        <f t="shared" si="174"/>
        <v>REN771800000</v>
      </c>
      <c r="E2312">
        <v>0</v>
      </c>
      <c r="F2312">
        <v>2155.84</v>
      </c>
      <c r="G2312">
        <f t="shared" si="175"/>
        <v>-2155.84</v>
      </c>
    </row>
    <row r="2313" spans="1:7">
      <c r="A2313" t="str">
        <f t="shared" si="173"/>
        <v>REN</v>
      </c>
      <c r="B2313" t="str">
        <f>"78173000"</f>
        <v>78173000</v>
      </c>
      <c r="C2313" t="str">
        <f t="shared" si="174"/>
        <v>REN781730000</v>
      </c>
      <c r="E2313">
        <v>0</v>
      </c>
      <c r="F2313">
        <v>2951.1</v>
      </c>
      <c r="G2313">
        <f t="shared" si="175"/>
        <v>-2951.1</v>
      </c>
    </row>
    <row r="2314" spans="1:7">
      <c r="A2314" t="str">
        <f t="shared" si="173"/>
        <v>REN</v>
      </c>
      <c r="B2314" t="str">
        <f>"79110000"</f>
        <v>79110000</v>
      </c>
      <c r="C2314" t="str">
        <f t="shared" si="174"/>
        <v>REN791100000</v>
      </c>
      <c r="E2314">
        <v>0</v>
      </c>
      <c r="F2314">
        <v>3525.04</v>
      </c>
      <c r="G2314">
        <f t="shared" si="175"/>
        <v>-3525.04</v>
      </c>
    </row>
    <row r="2315" spans="1:7">
      <c r="A2315" t="str">
        <f t="shared" ref="A2315:A2327" si="176">"ROA"</f>
        <v>ROA</v>
      </c>
      <c r="B2315" t="str">
        <f>"70600000"</f>
        <v>70600000</v>
      </c>
      <c r="C2315" t="str">
        <f t="shared" si="174"/>
        <v>ROA706000000</v>
      </c>
      <c r="E2315">
        <v>0</v>
      </c>
      <c r="F2315">
        <v>0</v>
      </c>
      <c r="G2315">
        <f t="shared" si="175"/>
        <v>0</v>
      </c>
    </row>
    <row r="2316" spans="1:7">
      <c r="A2316" t="str">
        <f t="shared" si="176"/>
        <v>ROA</v>
      </c>
      <c r="B2316" t="str">
        <f>"70711000"</f>
        <v>70711000</v>
      </c>
      <c r="C2316" t="str">
        <f t="shared" si="174"/>
        <v>ROA707110000</v>
      </c>
      <c r="E2316">
        <v>0</v>
      </c>
      <c r="F2316">
        <v>875</v>
      </c>
      <c r="G2316">
        <f t="shared" si="175"/>
        <v>-875</v>
      </c>
    </row>
    <row r="2317" spans="1:7">
      <c r="A2317" t="str">
        <f t="shared" si="176"/>
        <v>ROA</v>
      </c>
      <c r="B2317" t="str">
        <f>"70713000"</f>
        <v>70713000</v>
      </c>
      <c r="C2317" t="str">
        <f t="shared" si="174"/>
        <v>ROA707130000</v>
      </c>
      <c r="E2317">
        <v>26937.35</v>
      </c>
      <c r="F2317">
        <v>1081385.02</v>
      </c>
      <c r="G2317">
        <f t="shared" si="175"/>
        <v>-1054447.67</v>
      </c>
    </row>
    <row r="2318" spans="1:7">
      <c r="A2318" t="str">
        <f t="shared" si="176"/>
        <v>ROA</v>
      </c>
      <c r="B2318" t="str">
        <f>"70850000"</f>
        <v>70850000</v>
      </c>
      <c r="C2318" t="str">
        <f t="shared" si="174"/>
        <v>ROA708500000</v>
      </c>
      <c r="E2318">
        <v>0</v>
      </c>
      <c r="F2318">
        <v>3000</v>
      </c>
      <c r="G2318">
        <f t="shared" si="175"/>
        <v>-3000</v>
      </c>
    </row>
    <row r="2319" spans="1:7">
      <c r="A2319" t="str">
        <f t="shared" si="176"/>
        <v>ROA</v>
      </c>
      <c r="B2319" t="str">
        <f>"70882000"</f>
        <v>70882000</v>
      </c>
      <c r="C2319" t="str">
        <f t="shared" si="174"/>
        <v>ROA708820000</v>
      </c>
      <c r="E2319">
        <v>0</v>
      </c>
      <c r="F2319">
        <v>378.19</v>
      </c>
      <c r="G2319">
        <f t="shared" si="175"/>
        <v>-378.19</v>
      </c>
    </row>
    <row r="2320" spans="1:7">
      <c r="A2320" t="str">
        <f t="shared" si="176"/>
        <v>ROA</v>
      </c>
      <c r="B2320" t="str">
        <f>"70970000"</f>
        <v>70970000</v>
      </c>
      <c r="C2320" t="str">
        <f t="shared" si="174"/>
        <v>ROA709700000</v>
      </c>
      <c r="E2320">
        <v>237.33</v>
      </c>
      <c r="F2320">
        <v>-19750.830000000002</v>
      </c>
      <c r="G2320">
        <f t="shared" si="175"/>
        <v>19988.160000000003</v>
      </c>
    </row>
    <row r="2321" spans="1:7">
      <c r="A2321" t="str">
        <f t="shared" si="176"/>
        <v>ROA</v>
      </c>
      <c r="B2321" t="str">
        <f>"74000000"</f>
        <v>74000000</v>
      </c>
      <c r="C2321" t="str">
        <f t="shared" si="174"/>
        <v>ROA740000000</v>
      </c>
      <c r="E2321">
        <v>0</v>
      </c>
      <c r="F2321">
        <v>1000</v>
      </c>
      <c r="G2321">
        <f t="shared" si="175"/>
        <v>-1000</v>
      </c>
    </row>
    <row r="2322" spans="1:7">
      <c r="A2322" t="str">
        <f t="shared" si="176"/>
        <v>ROA</v>
      </c>
      <c r="B2322" t="str">
        <f>"75810000"</f>
        <v>75810000</v>
      </c>
      <c r="C2322" t="str">
        <f t="shared" si="174"/>
        <v>ROA758100000</v>
      </c>
      <c r="E2322">
        <v>0</v>
      </c>
      <c r="F2322">
        <v>469.38</v>
      </c>
      <c r="G2322">
        <f t="shared" si="175"/>
        <v>-469.38</v>
      </c>
    </row>
    <row r="2323" spans="1:7">
      <c r="A2323" t="str">
        <f t="shared" si="176"/>
        <v>ROA</v>
      </c>
      <c r="B2323" t="str">
        <f>"76300000"</f>
        <v>76300000</v>
      </c>
      <c r="C2323" t="str">
        <f t="shared" si="174"/>
        <v>ROA763000000</v>
      </c>
      <c r="E2323">
        <v>155.81</v>
      </c>
      <c r="F2323">
        <v>180</v>
      </c>
      <c r="G2323">
        <f t="shared" si="175"/>
        <v>-24.189999999999998</v>
      </c>
    </row>
    <row r="2324" spans="1:7">
      <c r="A2324" t="str">
        <f t="shared" si="176"/>
        <v>ROA</v>
      </c>
      <c r="B2324" t="str">
        <f>"76311000"</f>
        <v>76311000</v>
      </c>
      <c r="C2324" t="str">
        <f t="shared" si="174"/>
        <v>ROA763110000</v>
      </c>
      <c r="E2324">
        <v>0</v>
      </c>
      <c r="F2324">
        <v>6.5</v>
      </c>
      <c r="G2324">
        <f t="shared" si="175"/>
        <v>-6.5</v>
      </c>
    </row>
    <row r="2325" spans="1:7">
      <c r="A2325" t="str">
        <f t="shared" si="176"/>
        <v>ROA</v>
      </c>
      <c r="B2325" t="str">
        <f>"78173000"</f>
        <v>78173000</v>
      </c>
      <c r="C2325" t="str">
        <f t="shared" si="174"/>
        <v>ROA781730000</v>
      </c>
      <c r="E2325">
        <v>0</v>
      </c>
      <c r="F2325">
        <v>4614.6899999999996</v>
      </c>
      <c r="G2325">
        <f t="shared" si="175"/>
        <v>-4614.6899999999996</v>
      </c>
    </row>
    <row r="2326" spans="1:7">
      <c r="A2326" t="str">
        <f t="shared" si="176"/>
        <v>ROA</v>
      </c>
      <c r="B2326" t="str">
        <f>"78174000"</f>
        <v>78174000</v>
      </c>
      <c r="C2326" t="str">
        <f t="shared" si="174"/>
        <v>ROA781740000</v>
      </c>
      <c r="E2326">
        <v>0</v>
      </c>
      <c r="F2326">
        <v>2880.3</v>
      </c>
      <c r="G2326">
        <f t="shared" si="175"/>
        <v>-2880.3</v>
      </c>
    </row>
    <row r="2327" spans="1:7">
      <c r="A2327" t="str">
        <f t="shared" si="176"/>
        <v>ROA</v>
      </c>
      <c r="B2327" t="str">
        <f>"79110000"</f>
        <v>79110000</v>
      </c>
      <c r="C2327" t="str">
        <f t="shared" si="174"/>
        <v>ROA791100000</v>
      </c>
      <c r="E2327">
        <v>0</v>
      </c>
      <c r="F2327">
        <v>2304.88</v>
      </c>
      <c r="G2327">
        <f t="shared" si="175"/>
        <v>-2304.88</v>
      </c>
    </row>
    <row r="2328" spans="1:7">
      <c r="A2328" t="str">
        <f t="shared" ref="A2328:A2334" si="177">"SAU"</f>
        <v>SAU</v>
      </c>
      <c r="B2328" t="str">
        <f>"70600000"</f>
        <v>70600000</v>
      </c>
      <c r="C2328" t="str">
        <f t="shared" si="174"/>
        <v>SAU706000000</v>
      </c>
      <c r="E2328">
        <v>0</v>
      </c>
      <c r="F2328">
        <v>0</v>
      </c>
      <c r="G2328">
        <f t="shared" si="175"/>
        <v>0</v>
      </c>
    </row>
    <row r="2329" spans="1:7">
      <c r="A2329" t="str">
        <f t="shared" si="177"/>
        <v>SAU</v>
      </c>
      <c r="B2329" t="str">
        <f>"70713000"</f>
        <v>70713000</v>
      </c>
      <c r="C2329" t="str">
        <f t="shared" si="174"/>
        <v>SAU707130000</v>
      </c>
      <c r="E2329">
        <v>5282.36</v>
      </c>
      <c r="F2329">
        <v>191415.93</v>
      </c>
      <c r="G2329">
        <f t="shared" si="175"/>
        <v>-186133.57</v>
      </c>
    </row>
    <row r="2330" spans="1:7">
      <c r="A2330" t="str">
        <f t="shared" si="177"/>
        <v>SAU</v>
      </c>
      <c r="B2330" t="str">
        <f>"70850000"</f>
        <v>70850000</v>
      </c>
      <c r="C2330" t="str">
        <f t="shared" si="174"/>
        <v>SAU708500000</v>
      </c>
      <c r="E2330">
        <v>0</v>
      </c>
      <c r="F2330">
        <v>513</v>
      </c>
      <c r="G2330">
        <f t="shared" si="175"/>
        <v>-513</v>
      </c>
    </row>
    <row r="2331" spans="1:7">
      <c r="A2331" t="str">
        <f t="shared" si="177"/>
        <v>SAU</v>
      </c>
      <c r="B2331" t="str">
        <f>"70970000"</f>
        <v>70970000</v>
      </c>
      <c r="C2331" t="str">
        <f t="shared" si="174"/>
        <v>SAU709700000</v>
      </c>
      <c r="E2331">
        <v>0</v>
      </c>
      <c r="F2331">
        <v>-2250</v>
      </c>
      <c r="G2331">
        <f t="shared" si="175"/>
        <v>2250</v>
      </c>
    </row>
    <row r="2332" spans="1:7">
      <c r="A2332" t="str">
        <f t="shared" si="177"/>
        <v>SAU</v>
      </c>
      <c r="B2332" t="str">
        <f>"74000000"</f>
        <v>74000000</v>
      </c>
      <c r="C2332" t="str">
        <f t="shared" si="174"/>
        <v>SAU740000000</v>
      </c>
      <c r="E2332">
        <v>0</v>
      </c>
      <c r="F2332">
        <v>1370</v>
      </c>
      <c r="G2332">
        <f t="shared" si="175"/>
        <v>-1370</v>
      </c>
    </row>
    <row r="2333" spans="1:7">
      <c r="A2333" t="str">
        <f t="shared" si="177"/>
        <v>SAU</v>
      </c>
      <c r="B2333" t="str">
        <f>"77180000"</f>
        <v>77180000</v>
      </c>
      <c r="C2333" t="str">
        <f t="shared" si="174"/>
        <v>SAU771800000</v>
      </c>
      <c r="E2333">
        <v>0</v>
      </c>
      <c r="F2333">
        <v>163.9</v>
      </c>
      <c r="G2333">
        <f t="shared" si="175"/>
        <v>-163.9</v>
      </c>
    </row>
    <row r="2334" spans="1:7">
      <c r="A2334" t="str">
        <f t="shared" si="177"/>
        <v>SAU</v>
      </c>
      <c r="B2334" t="str">
        <f>"78173000"</f>
        <v>78173000</v>
      </c>
      <c r="C2334" t="str">
        <f t="shared" si="174"/>
        <v>SAU781730000</v>
      </c>
      <c r="E2334">
        <v>0</v>
      </c>
      <c r="F2334">
        <v>285.38</v>
      </c>
      <c r="G2334">
        <f t="shared" si="175"/>
        <v>-285.38</v>
      </c>
    </row>
    <row r="2335" spans="1:7">
      <c r="A2335" t="str">
        <f t="shared" ref="A2335:A2341" si="178">"SOM"</f>
        <v>SOM</v>
      </c>
      <c r="B2335" t="str">
        <f>"70600000"</f>
        <v>70600000</v>
      </c>
      <c r="C2335" t="str">
        <f t="shared" si="174"/>
        <v>SOM706000000</v>
      </c>
      <c r="E2335">
        <v>0</v>
      </c>
      <c r="F2335">
        <v>0</v>
      </c>
      <c r="G2335">
        <f t="shared" si="175"/>
        <v>0</v>
      </c>
    </row>
    <row r="2336" spans="1:7">
      <c r="A2336" t="str">
        <f t="shared" si="178"/>
        <v>SOM</v>
      </c>
      <c r="B2336" t="str">
        <f>"70713000"</f>
        <v>70713000</v>
      </c>
      <c r="C2336" t="str">
        <f t="shared" si="174"/>
        <v>SOM707130000</v>
      </c>
      <c r="E2336">
        <v>13122.92</v>
      </c>
      <c r="F2336">
        <v>499857.03</v>
      </c>
      <c r="G2336">
        <f t="shared" si="175"/>
        <v>-486734.11000000004</v>
      </c>
    </row>
    <row r="2337" spans="1:9">
      <c r="A2337" t="str">
        <f t="shared" si="178"/>
        <v>SOM</v>
      </c>
      <c r="B2337" t="str">
        <f>"70723000"</f>
        <v>70723000</v>
      </c>
      <c r="C2337" t="str">
        <f t="shared" si="174"/>
        <v>SOM707230000</v>
      </c>
      <c r="E2337">
        <v>99.21</v>
      </c>
      <c r="F2337">
        <v>19011.86</v>
      </c>
      <c r="G2337">
        <f t="shared" si="175"/>
        <v>-18912.650000000001</v>
      </c>
    </row>
    <row r="2338" spans="1:9">
      <c r="A2338" t="str">
        <f t="shared" si="178"/>
        <v>SOM</v>
      </c>
      <c r="B2338" t="str">
        <f>"70850000"</f>
        <v>70850000</v>
      </c>
      <c r="C2338" t="str">
        <f t="shared" si="174"/>
        <v>SOM708500000</v>
      </c>
      <c r="E2338">
        <v>0</v>
      </c>
      <c r="F2338">
        <v>261</v>
      </c>
      <c r="G2338">
        <f t="shared" si="175"/>
        <v>-261</v>
      </c>
    </row>
    <row r="2339" spans="1:9">
      <c r="A2339" t="str">
        <f t="shared" si="178"/>
        <v>SOM</v>
      </c>
      <c r="B2339" t="str">
        <f>"70970000"</f>
        <v>70970000</v>
      </c>
      <c r="C2339" t="str">
        <f t="shared" si="174"/>
        <v>SOM709700000</v>
      </c>
      <c r="E2339">
        <v>0</v>
      </c>
      <c r="F2339">
        <v>-3120</v>
      </c>
      <c r="G2339">
        <f t="shared" si="175"/>
        <v>3120</v>
      </c>
    </row>
    <row r="2340" spans="1:9">
      <c r="A2340" t="str">
        <f t="shared" si="178"/>
        <v>SOM</v>
      </c>
      <c r="B2340" t="str">
        <f>"78173000"</f>
        <v>78173000</v>
      </c>
      <c r="C2340" t="str">
        <f t="shared" si="174"/>
        <v>SOM781730000</v>
      </c>
      <c r="E2340">
        <v>0</v>
      </c>
      <c r="F2340">
        <v>4235.76</v>
      </c>
      <c r="G2340">
        <f t="shared" si="175"/>
        <v>-4235.76</v>
      </c>
    </row>
    <row r="2341" spans="1:9">
      <c r="A2341" t="str">
        <f t="shared" si="178"/>
        <v>SOM</v>
      </c>
      <c r="B2341" t="str">
        <f>"79100000"</f>
        <v>79100000</v>
      </c>
      <c r="C2341" t="str">
        <f t="shared" si="174"/>
        <v>SOM791000000</v>
      </c>
      <c r="E2341">
        <v>0</v>
      </c>
      <c r="F2341">
        <v>2192.7199999999998</v>
      </c>
      <c r="G2341">
        <f t="shared" si="175"/>
        <v>-2192.7199999999998</v>
      </c>
      <c r="H2341" s="433"/>
      <c r="I2341" s="113"/>
    </row>
    <row r="2342" spans="1:9">
      <c r="A2342" t="str">
        <f t="shared" ref="A2342:A2352" si="179">"THO"</f>
        <v>THO</v>
      </c>
      <c r="B2342" t="str">
        <f>"70600000"</f>
        <v>70600000</v>
      </c>
      <c r="C2342" t="str">
        <f t="shared" si="174"/>
        <v>THO706000000</v>
      </c>
      <c r="E2342">
        <v>0</v>
      </c>
      <c r="F2342">
        <v>0</v>
      </c>
      <c r="G2342">
        <f t="shared" si="175"/>
        <v>0</v>
      </c>
    </row>
    <row r="2343" spans="1:9">
      <c r="A2343" t="str">
        <f t="shared" si="179"/>
        <v>THO</v>
      </c>
      <c r="B2343" t="str">
        <f>"70610000"</f>
        <v>70610000</v>
      </c>
      <c r="C2343" t="str">
        <f t="shared" si="174"/>
        <v>THO706100000</v>
      </c>
      <c r="E2343">
        <v>0</v>
      </c>
      <c r="F2343">
        <v>8656.42</v>
      </c>
      <c r="G2343">
        <f t="shared" si="175"/>
        <v>-8656.42</v>
      </c>
    </row>
    <row r="2344" spans="1:9">
      <c r="A2344" t="str">
        <f t="shared" si="179"/>
        <v>THO</v>
      </c>
      <c r="B2344" t="str">
        <f>"70713000"</f>
        <v>70713000</v>
      </c>
      <c r="C2344" t="str">
        <f t="shared" si="174"/>
        <v>THO707130000</v>
      </c>
      <c r="E2344">
        <v>35557.550000000003</v>
      </c>
      <c r="F2344">
        <v>716356.94</v>
      </c>
      <c r="G2344">
        <f t="shared" si="175"/>
        <v>-680799.3899999999</v>
      </c>
    </row>
    <row r="2345" spans="1:9">
      <c r="A2345" t="str">
        <f t="shared" si="179"/>
        <v>THO</v>
      </c>
      <c r="B2345" t="str">
        <f>"70850000"</f>
        <v>70850000</v>
      </c>
      <c r="C2345" t="str">
        <f t="shared" si="174"/>
        <v>THO708500000</v>
      </c>
      <c r="E2345">
        <v>0</v>
      </c>
      <c r="F2345">
        <v>1656</v>
      </c>
      <c r="G2345">
        <f t="shared" si="175"/>
        <v>-1656</v>
      </c>
    </row>
    <row r="2346" spans="1:9">
      <c r="A2346" t="str">
        <f t="shared" si="179"/>
        <v>THO</v>
      </c>
      <c r="B2346" t="str">
        <f>"70882000"</f>
        <v>70882000</v>
      </c>
      <c r="C2346" t="str">
        <f t="shared" si="174"/>
        <v>THO708820000</v>
      </c>
      <c r="E2346">
        <v>0</v>
      </c>
      <c r="F2346">
        <v>96.36</v>
      </c>
      <c r="G2346">
        <f t="shared" si="175"/>
        <v>-96.36</v>
      </c>
    </row>
    <row r="2347" spans="1:9">
      <c r="A2347" t="str">
        <f t="shared" si="179"/>
        <v>THO</v>
      </c>
      <c r="B2347" t="str">
        <f>"70970000"</f>
        <v>70970000</v>
      </c>
      <c r="C2347" t="str">
        <f t="shared" si="174"/>
        <v>THO709700000</v>
      </c>
      <c r="E2347">
        <v>0</v>
      </c>
      <c r="F2347">
        <v>-7500</v>
      </c>
      <c r="G2347">
        <f t="shared" si="175"/>
        <v>7500</v>
      </c>
    </row>
    <row r="2348" spans="1:9">
      <c r="A2348" t="str">
        <f t="shared" si="179"/>
        <v>THO</v>
      </c>
      <c r="B2348" t="str">
        <f>"74000000"</f>
        <v>74000000</v>
      </c>
      <c r="C2348" t="str">
        <f t="shared" si="174"/>
        <v>THO740000000</v>
      </c>
      <c r="E2348">
        <v>0</v>
      </c>
      <c r="F2348">
        <v>1475</v>
      </c>
      <c r="G2348">
        <f t="shared" si="175"/>
        <v>-1475</v>
      </c>
    </row>
    <row r="2349" spans="1:9">
      <c r="A2349" t="str">
        <f t="shared" si="179"/>
        <v>THO</v>
      </c>
      <c r="B2349" t="str">
        <f>"76300000"</f>
        <v>76300000</v>
      </c>
      <c r="C2349" t="str">
        <f t="shared" si="174"/>
        <v>THO763000000</v>
      </c>
      <c r="E2349">
        <v>36</v>
      </c>
      <c r="F2349">
        <v>54</v>
      </c>
      <c r="G2349">
        <f t="shared" si="175"/>
        <v>-18</v>
      </c>
    </row>
    <row r="2350" spans="1:9">
      <c r="A2350" t="str">
        <f t="shared" si="179"/>
        <v>THO</v>
      </c>
      <c r="B2350" t="str">
        <f>"77180000"</f>
        <v>77180000</v>
      </c>
      <c r="C2350" t="str">
        <f t="shared" si="174"/>
        <v>THO771800000</v>
      </c>
      <c r="E2350">
        <v>0</v>
      </c>
      <c r="F2350">
        <v>373.71</v>
      </c>
      <c r="G2350">
        <f t="shared" si="175"/>
        <v>-373.71</v>
      </c>
    </row>
    <row r="2351" spans="1:9">
      <c r="A2351" t="str">
        <f t="shared" si="179"/>
        <v>THO</v>
      </c>
      <c r="B2351" t="str">
        <f>"78173000"</f>
        <v>78173000</v>
      </c>
      <c r="C2351" t="str">
        <f t="shared" si="174"/>
        <v>THO781730000</v>
      </c>
      <c r="E2351">
        <v>0</v>
      </c>
      <c r="F2351">
        <v>5732.24</v>
      </c>
      <c r="G2351">
        <f t="shared" si="175"/>
        <v>-5732.24</v>
      </c>
    </row>
    <row r="2352" spans="1:9">
      <c r="A2352" t="str">
        <f t="shared" si="179"/>
        <v>THO</v>
      </c>
      <c r="B2352" t="str">
        <f>"78174000"</f>
        <v>78174000</v>
      </c>
      <c r="C2352" t="str">
        <f t="shared" si="174"/>
        <v>THO781740000</v>
      </c>
      <c r="E2352">
        <v>0</v>
      </c>
      <c r="F2352">
        <v>4873.6899999999996</v>
      </c>
      <c r="G2352">
        <f t="shared" si="175"/>
        <v>-4873.6899999999996</v>
      </c>
    </row>
    <row r="2353" spans="1:7">
      <c r="A2353" t="str">
        <f t="shared" ref="A2353:A2364" si="180">"TOURC"</f>
        <v>TOURC</v>
      </c>
      <c r="B2353" t="str">
        <f>"70600000"</f>
        <v>70600000</v>
      </c>
      <c r="C2353" t="str">
        <f t="shared" si="174"/>
        <v>TOURC706000000</v>
      </c>
      <c r="E2353">
        <v>0</v>
      </c>
      <c r="F2353">
        <v>0</v>
      </c>
      <c r="G2353">
        <f t="shared" si="175"/>
        <v>0</v>
      </c>
    </row>
    <row r="2354" spans="1:7">
      <c r="A2354" t="str">
        <f t="shared" si="180"/>
        <v>TOURC</v>
      </c>
      <c r="B2354" t="str">
        <f>"70713000"</f>
        <v>70713000</v>
      </c>
      <c r="C2354" t="str">
        <f t="shared" si="174"/>
        <v>TOURC707130000</v>
      </c>
      <c r="E2354">
        <v>33363.800000000003</v>
      </c>
      <c r="F2354">
        <v>225867.45</v>
      </c>
      <c r="G2354">
        <f t="shared" si="175"/>
        <v>-192503.65000000002</v>
      </c>
    </row>
    <row r="2355" spans="1:7">
      <c r="A2355" t="str">
        <f t="shared" si="180"/>
        <v>TOURC</v>
      </c>
      <c r="B2355" t="str">
        <f>"70850000"</f>
        <v>70850000</v>
      </c>
      <c r="C2355" t="str">
        <f t="shared" si="174"/>
        <v>TOURC708500000</v>
      </c>
      <c r="E2355">
        <v>0</v>
      </c>
      <c r="F2355">
        <v>489</v>
      </c>
      <c r="G2355">
        <f t="shared" si="175"/>
        <v>-489</v>
      </c>
    </row>
    <row r="2356" spans="1:7">
      <c r="A2356" t="str">
        <f t="shared" si="180"/>
        <v>TOURC</v>
      </c>
      <c r="B2356" t="str">
        <f>"70882000"</f>
        <v>70882000</v>
      </c>
      <c r="C2356" t="str">
        <f t="shared" si="174"/>
        <v>TOURC708820000</v>
      </c>
      <c r="E2356">
        <v>0</v>
      </c>
      <c r="F2356">
        <v>10</v>
      </c>
      <c r="G2356">
        <f t="shared" si="175"/>
        <v>-10</v>
      </c>
    </row>
    <row r="2357" spans="1:7">
      <c r="A2357" t="str">
        <f t="shared" si="180"/>
        <v>TOURC</v>
      </c>
      <c r="B2357" t="str">
        <f>"70970000"</f>
        <v>70970000</v>
      </c>
      <c r="C2357" t="str">
        <f t="shared" si="174"/>
        <v>TOURC709700000</v>
      </c>
      <c r="E2357">
        <v>288.45999999999998</v>
      </c>
      <c r="F2357">
        <v>-3366.29</v>
      </c>
      <c r="G2357">
        <f t="shared" si="175"/>
        <v>3654.75</v>
      </c>
    </row>
    <row r="2358" spans="1:7">
      <c r="A2358" t="str">
        <f t="shared" si="180"/>
        <v>TOURC</v>
      </c>
      <c r="B2358" t="str">
        <f>"74000000"</f>
        <v>74000000</v>
      </c>
      <c r="C2358" t="str">
        <f t="shared" si="174"/>
        <v>TOURC740000000</v>
      </c>
      <c r="E2358">
        <v>0</v>
      </c>
      <c r="F2358">
        <v>1745</v>
      </c>
      <c r="G2358">
        <f t="shared" si="175"/>
        <v>-1745</v>
      </c>
    </row>
    <row r="2359" spans="1:7">
      <c r="A2359" t="str">
        <f t="shared" si="180"/>
        <v>TOURC</v>
      </c>
      <c r="B2359" t="str">
        <f>"75810000"</f>
        <v>75810000</v>
      </c>
      <c r="C2359" t="str">
        <f t="shared" si="174"/>
        <v>TOURC758100000</v>
      </c>
      <c r="E2359">
        <v>0</v>
      </c>
      <c r="F2359">
        <v>2491</v>
      </c>
      <c r="G2359">
        <f t="shared" si="175"/>
        <v>-2491</v>
      </c>
    </row>
    <row r="2360" spans="1:7">
      <c r="A2360" t="str">
        <f t="shared" si="180"/>
        <v>TOURC</v>
      </c>
      <c r="B2360" t="str">
        <f>"76300000"</f>
        <v>76300000</v>
      </c>
      <c r="C2360" t="str">
        <f t="shared" si="174"/>
        <v>TOURC763000000</v>
      </c>
      <c r="E2360">
        <v>25.5</v>
      </c>
      <c r="F2360">
        <v>63</v>
      </c>
      <c r="G2360">
        <f t="shared" si="175"/>
        <v>-37.5</v>
      </c>
    </row>
    <row r="2361" spans="1:7">
      <c r="A2361" t="str">
        <f t="shared" si="180"/>
        <v>TOURC</v>
      </c>
      <c r="B2361" t="str">
        <f>"77180000"</f>
        <v>77180000</v>
      </c>
      <c r="C2361" t="str">
        <f t="shared" si="174"/>
        <v>TOURC771800000</v>
      </c>
      <c r="E2361">
        <v>0</v>
      </c>
      <c r="F2361">
        <v>200.56</v>
      </c>
      <c r="G2361">
        <f t="shared" si="175"/>
        <v>-200.56</v>
      </c>
    </row>
    <row r="2362" spans="1:7">
      <c r="A2362" t="str">
        <f t="shared" si="180"/>
        <v>TOURC</v>
      </c>
      <c r="B2362" t="str">
        <f>"78173000"</f>
        <v>78173000</v>
      </c>
      <c r="C2362" t="str">
        <f t="shared" si="174"/>
        <v>TOURC781730000</v>
      </c>
      <c r="E2362">
        <v>0</v>
      </c>
      <c r="F2362">
        <v>8207.57</v>
      </c>
      <c r="G2362">
        <f t="shared" si="175"/>
        <v>-8207.57</v>
      </c>
    </row>
    <row r="2363" spans="1:7">
      <c r="A2363" t="str">
        <f t="shared" si="180"/>
        <v>TOURC</v>
      </c>
      <c r="B2363" t="str">
        <f>"78174000"</f>
        <v>78174000</v>
      </c>
      <c r="C2363" t="str">
        <f t="shared" si="174"/>
        <v>TOURC781740000</v>
      </c>
      <c r="E2363">
        <v>0</v>
      </c>
      <c r="F2363">
        <v>2616.59</v>
      </c>
      <c r="G2363">
        <f t="shared" si="175"/>
        <v>-2616.59</v>
      </c>
    </row>
    <row r="2364" spans="1:7">
      <c r="A2364" t="str">
        <f t="shared" si="180"/>
        <v>TOURC</v>
      </c>
      <c r="B2364" t="str">
        <f>"79110000"</f>
        <v>79110000</v>
      </c>
      <c r="C2364" t="str">
        <f t="shared" si="174"/>
        <v>TOURC791100000</v>
      </c>
      <c r="E2364">
        <v>0</v>
      </c>
      <c r="F2364">
        <v>2581.9899999999998</v>
      </c>
      <c r="G2364">
        <f t="shared" si="175"/>
        <v>-2581.9899999999998</v>
      </c>
    </row>
    <row r="2365" spans="1:7">
      <c r="A2365" t="str">
        <f>"VAL"</f>
        <v>VAL</v>
      </c>
      <c r="B2365" t="str">
        <f>"78174000"</f>
        <v>78174000</v>
      </c>
      <c r="C2365" t="str">
        <f t="shared" si="174"/>
        <v>VAL781740000</v>
      </c>
      <c r="E2365">
        <v>0</v>
      </c>
      <c r="F2365">
        <v>7421.51</v>
      </c>
      <c r="G2365">
        <f t="shared" si="175"/>
        <v>-7421.51</v>
      </c>
    </row>
    <row r="2366" spans="1:7">
      <c r="A2366" t="str">
        <f t="shared" ref="A2366:A2373" si="181">"VAN"</f>
        <v>VAN</v>
      </c>
      <c r="B2366" t="str">
        <f>"70600000"</f>
        <v>70600000</v>
      </c>
      <c r="C2366" t="str">
        <f t="shared" si="174"/>
        <v>VAN706000000</v>
      </c>
      <c r="E2366">
        <v>0</v>
      </c>
      <c r="F2366">
        <v>0</v>
      </c>
      <c r="G2366">
        <f t="shared" si="175"/>
        <v>0</v>
      </c>
    </row>
    <row r="2367" spans="1:7">
      <c r="A2367" t="str">
        <f t="shared" si="181"/>
        <v>VAN</v>
      </c>
      <c r="B2367" t="str">
        <f>"70713000"</f>
        <v>70713000</v>
      </c>
      <c r="C2367" t="str">
        <f t="shared" si="174"/>
        <v>VAN707130000</v>
      </c>
      <c r="E2367">
        <v>19779.8</v>
      </c>
      <c r="F2367">
        <v>652577.52</v>
      </c>
      <c r="G2367">
        <f t="shared" si="175"/>
        <v>-632797.72</v>
      </c>
    </row>
    <row r="2368" spans="1:7">
      <c r="A2368" t="str">
        <f t="shared" si="181"/>
        <v>VAN</v>
      </c>
      <c r="B2368" t="str">
        <f>"70850000"</f>
        <v>70850000</v>
      </c>
      <c r="C2368" t="str">
        <f t="shared" si="174"/>
        <v>VAN708500000</v>
      </c>
      <c r="E2368">
        <v>0</v>
      </c>
      <c r="F2368">
        <v>1263</v>
      </c>
      <c r="G2368">
        <f t="shared" si="175"/>
        <v>-1263</v>
      </c>
    </row>
    <row r="2369" spans="1:11">
      <c r="A2369" t="str">
        <f t="shared" si="181"/>
        <v>VAN</v>
      </c>
      <c r="B2369" t="str">
        <f>"70882000"</f>
        <v>70882000</v>
      </c>
      <c r="C2369" t="str">
        <f t="shared" si="174"/>
        <v>VAN708820000</v>
      </c>
      <c r="E2369">
        <v>10</v>
      </c>
      <c r="F2369">
        <v>95.61</v>
      </c>
      <c r="G2369">
        <f t="shared" si="175"/>
        <v>-85.61</v>
      </c>
    </row>
    <row r="2370" spans="1:11">
      <c r="A2370" t="str">
        <f t="shared" si="181"/>
        <v>VAN</v>
      </c>
      <c r="B2370" t="str">
        <f>"70970000"</f>
        <v>70970000</v>
      </c>
      <c r="C2370" t="str">
        <f t="shared" si="174"/>
        <v>VAN709700000</v>
      </c>
      <c r="E2370">
        <v>0</v>
      </c>
      <c r="F2370">
        <v>-8497.5</v>
      </c>
      <c r="G2370">
        <f t="shared" si="175"/>
        <v>8497.5</v>
      </c>
    </row>
    <row r="2371" spans="1:11">
      <c r="A2371" t="str">
        <f t="shared" si="181"/>
        <v>VAN</v>
      </c>
      <c r="B2371" t="str">
        <f>"76800000"</f>
        <v>76800000</v>
      </c>
      <c r="C2371" t="str">
        <f t="shared" si="174"/>
        <v>VAN768000000</v>
      </c>
      <c r="E2371">
        <v>0</v>
      </c>
      <c r="F2371">
        <v>0</v>
      </c>
      <c r="G2371">
        <f t="shared" si="175"/>
        <v>0</v>
      </c>
    </row>
    <row r="2372" spans="1:11">
      <c r="A2372" t="str">
        <f t="shared" si="181"/>
        <v>VAN</v>
      </c>
      <c r="B2372" t="str">
        <f>"77180000"</f>
        <v>77180000</v>
      </c>
      <c r="C2372" t="str">
        <f t="shared" si="174"/>
        <v>VAN771800000</v>
      </c>
      <c r="E2372">
        <v>0</v>
      </c>
      <c r="F2372">
        <v>15</v>
      </c>
      <c r="G2372">
        <f t="shared" si="175"/>
        <v>-15</v>
      </c>
    </row>
    <row r="2373" spans="1:11">
      <c r="A2373" t="str">
        <f t="shared" si="181"/>
        <v>VAN</v>
      </c>
      <c r="B2373" t="str">
        <f>"78173000"</f>
        <v>78173000</v>
      </c>
      <c r="C2373" t="str">
        <f>+A2373&amp;B2373*10</f>
        <v>VAN781730000</v>
      </c>
      <c r="E2373">
        <v>0</v>
      </c>
      <c r="F2373">
        <v>4479.59</v>
      </c>
      <c r="G2373">
        <f t="shared" si="175"/>
        <v>-4479.59</v>
      </c>
      <c r="H2373">
        <f>SUM(G2029:G2373)</f>
        <v>-20867250.38000001</v>
      </c>
      <c r="I2373" s="26">
        <f>+[2]Conso!$F$222</f>
        <v>20855188.040000003</v>
      </c>
      <c r="J2373" s="26">
        <f>+H2373+I2373</f>
        <v>-12062.340000007302</v>
      </c>
    </row>
    <row r="2374" spans="1:11">
      <c r="J2374">
        <f>-G2365</f>
        <v>7421.51</v>
      </c>
      <c r="K2374" s="353" t="s">
        <v>567</v>
      </c>
    </row>
    <row r="2375" spans="1:11">
      <c r="J2375">
        <f>-G2065</f>
        <v>4640.83</v>
      </c>
      <c r="K2375" s="353" t="s">
        <v>569</v>
      </c>
    </row>
    <row r="2377" spans="1:11">
      <c r="J2377" s="26">
        <f>SUM(J2373:J2375)</f>
        <v>-7.3014234658330679E-9</v>
      </c>
    </row>
    <row r="2417" spans="8:12">
      <c r="H2417" s="433"/>
      <c r="I2417" s="113"/>
    </row>
    <row r="2426" spans="8:12">
      <c r="I2426" s="26"/>
      <c r="J2426" s="26"/>
      <c r="L2426" s="353"/>
    </row>
    <row r="2427" spans="8:12">
      <c r="L2427" s="353"/>
    </row>
    <row r="2430" spans="8:12">
      <c r="K2430" s="26"/>
    </row>
    <row r="2518" spans="9:10">
      <c r="I2518" s="26"/>
    </row>
    <row r="2519" spans="9:10">
      <c r="J2519" s="26"/>
    </row>
    <row r="2606" spans="9:10">
      <c r="I2606" s="26"/>
    </row>
    <row r="2607" spans="9:10">
      <c r="J2607" s="26"/>
    </row>
    <row r="2638" spans="9:10">
      <c r="I2638" s="26"/>
    </row>
    <row r="2639" spans="9:10">
      <c r="J2639" s="26"/>
    </row>
    <row r="2651" spans="11:12">
      <c r="K2651" s="26"/>
      <c r="L2651" s="353"/>
    </row>
    <row r="2652" spans="11:12">
      <c r="L2652" s="353"/>
    </row>
    <row r="2653" spans="11:12">
      <c r="L2653" s="353"/>
    </row>
    <row r="2654" spans="11:12">
      <c r="K2654" s="26"/>
    </row>
    <row r="2701" spans="9:9">
      <c r="I2701" s="26"/>
    </row>
    <row r="2708" spans="9:9">
      <c r="I2708" s="26"/>
    </row>
    <row r="2714" spans="9:9">
      <c r="I2714" s="26"/>
    </row>
    <row r="2727" spans="9:10">
      <c r="I2727" s="17"/>
    </row>
    <row r="2728" spans="9:10">
      <c r="J2728" s="26"/>
    </row>
    <row r="2741" spans="9:10">
      <c r="I2741" s="26"/>
    </row>
    <row r="2742" spans="9:10">
      <c r="I2742" s="26"/>
    </row>
    <row r="2751" spans="9:10">
      <c r="I2751" s="26"/>
    </row>
    <row r="2752" spans="9:10">
      <c r="J2752" s="26"/>
    </row>
    <row r="2764" spans="12:12">
      <c r="L2764" s="353"/>
    </row>
    <row r="2765" spans="12:12">
      <c r="L2765" s="353"/>
    </row>
    <row r="2844" spans="9:12">
      <c r="I2844" s="26"/>
      <c r="J2844" s="26"/>
      <c r="K2844" s="26"/>
      <c r="L2844" s="353"/>
    </row>
    <row r="2845" spans="9:12">
      <c r="L2845" s="353"/>
    </row>
    <row r="2846" spans="9:12">
      <c r="L2846" s="353"/>
    </row>
    <row r="2847" spans="9:12">
      <c r="K2847" s="26"/>
    </row>
  </sheetData>
  <phoneticPr fontId="0" type="noConversion"/>
  <hyperlinks>
    <hyperlink ref="B1" location="Sommaire!A1" display="Retour au sommaire"/>
  </hyperlinks>
  <pageMargins left="0" right="0" top="0" bottom="0" header="0.51181102362204722" footer="0.51181102362204722"/>
  <pageSetup paperSize="9" scale="94" orientation="portrait" horizontalDpi="360" verticalDpi="36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 filterMode="1" enableFormatConditionsCalculation="0">
    <tabColor rgb="FFFF0000"/>
    <pageSetUpPr fitToPage="1"/>
  </sheetPr>
  <dimension ref="A1:L256"/>
  <sheetViews>
    <sheetView workbookViewId="0">
      <pane xSplit="2" ySplit="7" topLeftCell="C110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17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-41912.863357182927</v>
      </c>
      <c r="F5" s="157">
        <f>F217</f>
        <v>-35521.114863558105</v>
      </c>
      <c r="G5" s="215">
        <f>G217</f>
        <v>23858.420914214475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-IF(ISNA(VLOOKUP("LEN707130000",Balance!C:G,5,FALSE))=TRUE,0,VLOOKUP("LEN707130000",Balance!C:G,5,FALSE))</f>
        <v>307836.21999999997</v>
      </c>
      <c r="D8" s="592">
        <f>+[2]Lens!$H8</f>
        <v>505300</v>
      </c>
      <c r="E8" s="311">
        <f>-IF(ISNA(VLOOKUP("LEN707130000",Balanceanp!C:G,5,FALSE))=TRUE,0,VLOOKUP("LEN707130000",Balanceanp!C:G,5,FALSE))</f>
        <v>372418.46</v>
      </c>
      <c r="F8" s="625">
        <f>+CA!G95</f>
        <v>394201.35735281958</v>
      </c>
      <c r="G8" s="594">
        <v>581262</v>
      </c>
      <c r="H8" s="594"/>
      <c r="I8" s="591">
        <f>+IF((E8)=0,,(F8-E8)/E8)</f>
        <v>5.8490380291083215E-2</v>
      </c>
      <c r="J8" s="595">
        <f>+IF((F8)=0,,(G8-F8)/F8)</f>
        <v>0.47453069137901699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-IF(ISNA(VLOOKUP("LEN707131000",Balance!C:G,5,FALSE))=TRUE,0,VLOOKUP("LEN707131000",Balance!C:G,5,FALSE))</f>
        <v>0</v>
      </c>
      <c r="D9" s="117">
        <f>+[2]Lens!$H9</f>
        <v>0</v>
      </c>
      <c r="E9" s="160">
        <f>-IF(ISNA(VLOOKUP("LEN707131000",Balanceanp!C:G,5,FALSE))=TRUE,0,VLOOKUP("LEN707131000",Balanceanp!C:G,5,FALSE))</f>
        <v>66061.89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-IF(ISNA(VLOOKUP("LEN707300000",Balance!C:G,5,FALSE))=TRUE,0,VLOOKUP("LEN707300000",Balance!C:G,5,FALSE))</f>
        <v>0</v>
      </c>
      <c r="D10" s="117">
        <f>+[2]Lens!$H10</f>
        <v>0</v>
      </c>
      <c r="E10" s="160">
        <f>-IF(ISNA(VLOOKUP("LEN707300000",Balanceanp!C:G,5,FALSE))=TRUE,0,VLOOKUP("LEN707300000",Balanceanp!C:G,5,FALSE))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-IF(ISNA(VLOOKUP("LEN707110000",Balance!C:G,5,FALSE))=TRUE,0,VLOOKUP("LEN707110000",Balance!C:G,5,FALSE))</f>
        <v>0</v>
      </c>
      <c r="D11" s="117">
        <f>+[2]Lens!$H11</f>
        <v>0</v>
      </c>
      <c r="E11" s="160">
        <f>-IF(ISNA(VLOOKUP("LEN707110000",Balanceanp!C:G,5,FALSE))=TRUE,0,VLOOKUP("LEN707110000",Balanceanp!C:G,5,FALSE))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-IF(ISNA(VLOOKUP("LEN707120000",Balance!C:G,5,FALSE))=TRUE,0,VLOOKUP("LEN707120000",Balance!C:G,5,FALSE))</f>
        <v>0</v>
      </c>
      <c r="D12" s="117">
        <f>+[2]Lens!$H12</f>
        <v>0</v>
      </c>
      <c r="E12" s="160">
        <f>-IF(ISNA(VLOOKUP("LEN707120000",Balanceanp!C:G,5,FALSE))=TRUE,0,VLOOKUP("LEN707120000",Balanceanp!C:G,5,FALSE))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-IF(ISNA(VLOOKUP("LEN707230000",Balance!C:G,5,FALSE))=TRUE,0,VLOOKUP("LEN707230000",Balance!C:G,5,FALSE))</f>
        <v>0</v>
      </c>
      <c r="D13" s="117">
        <f>+[2]Lens!$H13</f>
        <v>0</v>
      </c>
      <c r="E13" s="160">
        <f>-IF(ISNA(VLOOKUP("LEN707230000",Balanceanp!C:G,5,FALSE))=TRUE,0,VLOOKUP("LEN707230000",Balanceanp!C:G,5,FALSE))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-IF(ISNA(VLOOKUP("LEN708820000",Balance!C:G,5,FALSE))=TRUE,0,VLOOKUP("LEN708820000",Balance!C:G,5,FALSE))</f>
        <v>0</v>
      </c>
      <c r="D14" s="117">
        <f>+[2]Lens!$H14</f>
        <v>0</v>
      </c>
      <c r="E14" s="160">
        <f>-IF(ISNA(VLOOKUP("LEN708820000",Balanceanp!C:G,5,FALSE))=TRUE,0,VLOOKUP("LEN708820000",Balanceanp!C:G,5,FALSE))</f>
        <v>0</v>
      </c>
      <c r="F14" s="368">
        <f t="shared" si="3"/>
        <v>0</v>
      </c>
      <c r="G14" s="395">
        <f t="shared" si="1"/>
        <v>0</v>
      </c>
      <c r="H14" s="401"/>
      <c r="I14" s="149">
        <f t="shared" si="2"/>
        <v>0</v>
      </c>
      <c r="J14" s="271">
        <f t="shared" si="2"/>
        <v>0</v>
      </c>
      <c r="L14" s="17">
        <v>0</v>
      </c>
    </row>
    <row r="15" spans="1:12" hidden="1">
      <c r="A15" s="5" t="s">
        <v>270</v>
      </c>
      <c r="B15" s="92"/>
      <c r="C15" s="160">
        <f>-IF(ISNA(VLOOKUP("LEN708500000",Balance!C:G,5,FALSE))=TRUE,0,VLOOKUP("LEN708500000",Balance!C:G,5,FALSE))</f>
        <v>294</v>
      </c>
      <c r="D15" s="117">
        <f>+[2]Lens!$H15</f>
        <v>0</v>
      </c>
      <c r="E15" s="160">
        <f>-IF(ISNA(VLOOKUP("LEN708500000",Balanceanp!C:G,5,FALSE))=TRUE,0,VLOOKUP("LEN708500000",Balanceanp!C:G,5,FALSE))</f>
        <v>411</v>
      </c>
      <c r="F15" s="368">
        <f t="shared" si="3"/>
        <v>294</v>
      </c>
      <c r="G15" s="395">
        <v>0</v>
      </c>
      <c r="H15" s="401"/>
      <c r="I15" s="149">
        <f t="shared" si="2"/>
        <v>-0.28467153284671531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IF(ISNA(VLOOKUP("LEN706000000",Balance!C:G,5,FALSE))=TRUE,0,-VLOOKUP("LEN706000000",Balance!C:G,5,FALSE))+IF(ISNA(VLOOKUP("LEN706010000",Balance!C:G,5,FALSE))=TRUE,0,-VLOOKUP("LEN706010000",Balance!C:G,5,FALSE))</f>
        <v>0</v>
      </c>
      <c r="D16" s="117">
        <f>+[2]Lens!$H16</f>
        <v>0</v>
      </c>
      <c r="E16" s="160">
        <f>IF(ISNA(VLOOKUP("LEN706000000",Balanceanp!C:G,5,FALSE))=TRUE,0,-VLOOKUP("LEN706000000",Balanceanp!C:G,5,FALSE))+IF(ISNA(VLOOKUP("LEN706010000",Balanceanp!C:G,5,FALSE))=TRUE,0,-VLOOKUP("LEN706010000",Balanceanp!C:G,5,FALSE))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IF(ISNA(VLOOKUP("LEN707500000",Balance!C:G,5,FALSE))=TRUE,0,-VLOOKUP("LEN707500000",Balance!C:G,5,FALSE))</f>
        <v>0</v>
      </c>
      <c r="D17" s="117">
        <f>+[2]Lens!$H17</f>
        <v>0</v>
      </c>
      <c r="E17" s="160">
        <f>IF(ISNA(VLOOKUP("LEN707500000",Balanceanp!C:G,5,FALSE))=TRUE,0,-VLOOKUP("LEN707500000",Balanceanp!C:G,5,FALSE))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IF(ISNA(VLOOKUP("LEN707510000",Balance!C:G,5,FALSE))=TRUE,0,-VLOOKUP("LEN707510000",Balance!C:G,5,FALSE))</f>
        <v>0</v>
      </c>
      <c r="D18" s="117">
        <f>+[2]Lens!$H18</f>
        <v>0</v>
      </c>
      <c r="E18" s="160">
        <f>IF(ISNA(VLOOKUP("LEN707510000",Balanceanp!C:G,5,FALSE))=TRUE,0,-VLOOKUP("LEN707510000",Balanceanp!C:G,5,FALSE))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IF(ISNA(VLOOKUP("LEN708300000",Balance!C:G,5,FALSE))=TRUE,0,-VLOOKUP("LEN708300000",Balance!C:G,5,FALSE))</f>
        <v>0</v>
      </c>
      <c r="D19" s="117">
        <f>+[2]Lens!$H19</f>
        <v>0</v>
      </c>
      <c r="E19" s="160">
        <f>IF(ISNA(VLOOKUP("LEN708300000",Balanceanp!C:G,5,FALSE))=TRUE,0,-VLOOKUP("LEN708300000",Balanceanp!C:G,5,FALSE))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308130.21999999997</v>
      </c>
      <c r="D21" s="312">
        <f>SUM(D7:D20)</f>
        <v>505300</v>
      </c>
      <c r="E21" s="305">
        <f>SUM(E7:E20)</f>
        <v>438891.35000000003</v>
      </c>
      <c r="F21" s="312">
        <f>SUM(F7:F20)</f>
        <v>394495.35735281958</v>
      </c>
      <c r="G21" s="312">
        <f>SUM(G7:G20)</f>
        <v>581262</v>
      </c>
      <c r="H21" s="312"/>
      <c r="I21" s="598">
        <f>+IF((E21)=0,,(F21-E21)/E21)</f>
        <v>-0.10115485904923951</v>
      </c>
      <c r="J21" s="599">
        <f>+IF((F21)=0,,(G21-F21)/F21)</f>
        <v>0.47343178865383811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IF(ISNA(VLOOKUP("LEN602650000",Balance!C:G,5,FALSE))=TRUE,0,VLOOKUP("LEN602650000",Balance!C:G,5,FALSE))</f>
        <v>0</v>
      </c>
      <c r="D23" s="115"/>
      <c r="E23" s="160">
        <f>IF(ISNA(VLOOKUP("LEN602650000",Balanceanp!C:G,5,FALSE))=TRUE,0,VLOOKUP("LEN602650000",Balanceanp!C:G,5,FALSE))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IF(ISNA(VLOOKUP("len607100000",Balance!C:G,5,FALSE))=TRUE,0,VLOOKUP("len607100000",Balance!C:G,5,FALSE))</f>
        <v>56530.05</v>
      </c>
      <c r="D24" s="600"/>
      <c r="E24" s="311">
        <f>IF(ISNA(VLOOKUP("len607100000",Balanceanp!C:G,5,FALSE))=TRUE,0,VLOOKUP("len607100000",Balanceanp!C:G,5,FALSE))</f>
        <v>72435.429999999993</v>
      </c>
      <c r="F24" s="600"/>
      <c r="G24" s="602">
        <f>H24*G30</f>
        <v>218670.76439999999</v>
      </c>
      <c r="H24" s="603">
        <f>1-H28</f>
        <v>0.57000000000000006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IF(ISNA(VLOOKUP("len607110000",Balance!C:G,5,FALSE))=TRUE,0,VLOOKUP("len607110000",Balance!C:G,5,FALSE))+IF(ISNA(VLOOKUP("len607120000",Balance!C:G,5,FALSE))=TRUE,0,VLOOKUP("len607120000",Balance!C:G,5,FALSE))</f>
        <v>1497.33</v>
      </c>
      <c r="D25" s="115"/>
      <c r="E25" s="160">
        <f>IF(ISNA(VLOOKUP("len607110000",Balanceanp!C:G,5,FALSE))=TRUE,0,VLOOKUP("len607110000",Balanceanp!C:G,5,FALSE))+IF(ISNA(VLOOKUP("len607120000",Balanceanp!C:G,5,FALSE))=TRUE,0,VLOOKUP("len607120000",Balanceanp!C:G,5,FALSE))</f>
        <v>5799.9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IF(ISNA(VLOOKUP("LEN607130000",Balance!C:G,5,FALSE))=TRUE,0,VLOOKUP("LEN607130000",Balance!C:G,5,FALSE))</f>
        <v>76299.66</v>
      </c>
      <c r="D26" s="115"/>
      <c r="E26" s="160">
        <f>IF(ISNA(VLOOKUP("LEN607130000",Balanceanp!C:G,5,FALSE))=TRUE,0,VLOOKUP("LEN607130000",Balanceanp!C:G,5,FALSE))</f>
        <v>118329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IF(ISNA(VLOOKUP("LEN607140000",Balance!C:G,5,FALSE))=TRUE,0,VLOOKUP("LEN607140000",Balance!C:G,5,FALSE))</f>
        <v>-56889.01</v>
      </c>
      <c r="D27" s="115"/>
      <c r="E27" s="160">
        <f>IF(ISNA(VLOOKUP("LEN607140000",Balanceanp!C:G,5,FALSE))=TRUE,0,VLOOKUP("LEN607140000",Balanceanp!C:G,5,FALSE))</f>
        <v>-50448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IF(ISNA(VLOOKUP("LEN607200000",Balance!C:G,5,FALSE))=TRUE,0,VLOOKUP("LEN607200000",Balance!C:G,5,FALSE))</f>
        <v>112365.77</v>
      </c>
      <c r="D28" s="971">
        <f>C28/C30</f>
        <v>0.53970255635653963</v>
      </c>
      <c r="E28" s="311">
        <f>IF(ISNA(VLOOKUP("LEN607200000",Balanceanp!C:G,5,FALSE))=TRUE,0,VLOOKUP("LEN607200000",Balanceanp!C:G,5,FALSE))</f>
        <v>146235.66</v>
      </c>
      <c r="F28" s="971">
        <f>E28/E30</f>
        <v>0.45471514953790659</v>
      </c>
      <c r="G28" s="602">
        <f>H28*G30</f>
        <v>164962.15559999997</v>
      </c>
      <c r="H28" s="604">
        <v>0.43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IF(ISNA(VLOOKUP("LEN607150000",Balance!C:G,5,FALSE))=TRUE,0,VLOOKUP("LEN607150000",Balance!C:G,5,FALSE))</f>
        <v>18395.64</v>
      </c>
      <c r="D29" s="115"/>
      <c r="E29" s="357">
        <f>IF(ISNA(VLOOKUP("LEN607150000",Balanceanp!C:G,5,FALSE))=TRUE,0,VLOOKUP("LEN607150000",Balanceanp!C:G,5,FALSE))</f>
        <v>29246.400000000001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208199.44</v>
      </c>
      <c r="D30" s="402"/>
      <c r="E30" s="306">
        <f>SUM(E23:E29)</f>
        <v>321598.39</v>
      </c>
      <c r="F30" s="607">
        <f>1-(E30/E21)</f>
        <v>0.26724828365835873</v>
      </c>
      <c r="G30" s="402">
        <f>G21*(1-H30)</f>
        <v>383632.91999999993</v>
      </c>
      <c r="H30" s="577">
        <v>0.34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103729.56999999996</v>
      </c>
      <c r="D32" s="403"/>
      <c r="E32" s="307">
        <f>+E21-E30-E38</f>
        <v>121624.31010000003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0.3366419885722341</v>
      </c>
      <c r="D33" s="403"/>
      <c r="E33" s="308">
        <f>+E32/E21</f>
        <v>0.27711712727990656</v>
      </c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IF(ISNA(VLOOKUP("LEN607400000",Balance!C:G,5,FALSE))=TRUE,0,VLOOKUP("LEN607400000",Balance!C:G,5,FALSE))</f>
        <v>1251.33</v>
      </c>
      <c r="D35" s="600"/>
      <c r="E35" s="311">
        <f>IF(ISNA(VLOOKUP("LEN607400000",Balanceanp!C:G,5,FALSE))=TRUE,0,VLOOKUP("LEN607400000",Balanceanp!C:G,5,FALSE))</f>
        <v>2327.13</v>
      </c>
      <c r="F35" s="972">
        <f>E35/E30</f>
        <v>7.2361369719543683E-3</v>
      </c>
      <c r="G35" s="1137">
        <f>F35*G30</f>
        <v>2776.0203560708119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IF(ISNA(VLOOKUP("LEN608000000",Balance!C:G,5,FALSE))=TRUE,0,VLOOKUP("LEN608000000",Balance!C:G,5,FALSE))</f>
        <v>1326.45</v>
      </c>
      <c r="D36" s="600"/>
      <c r="E36" s="311">
        <f>IF(ISNA(VLOOKUP("LEN608000000",Balanceanp!C:G,5,FALSE))=TRUE,0,VLOOKUP("LEN608000000",Balanceanp!C:G,5,FALSE))</f>
        <v>855.56</v>
      </c>
      <c r="F36" s="972">
        <f>E36/E30</f>
        <v>2.6603367013124657E-3</v>
      </c>
      <c r="G36" s="1137">
        <f>F36*G30</f>
        <v>1020.5927369076688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IF(ISNA(VLOOKUP("LEN608100000",Balance!C:G,5,FALSE))=TRUE,0,VLOOKUP("LEN608100000",Balance!C:G,5,FALSE))</f>
        <v>0</v>
      </c>
      <c r="D37" s="115"/>
      <c r="E37" s="160">
        <f>IF(ISNA(VLOOKUP("LEN608100000",Balanceanp!C:G,5,FALSE))=TRUE,0,VLOOKUP("LEN608100000",Balanceanp!C:G,5,FALSE))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-3798.7899999999936</v>
      </c>
      <c r="D38" s="115"/>
      <c r="E38" s="160">
        <f>+E56-E57</f>
        <v>-4331.3501000000106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IF(ISNA(VLOOKUP("LEN681730000",Balance!C:G,5,FALSE))=TRUE,0,VLOOKUP("LEN681730000",Balance!C:G,5,FALSE))</f>
        <v>0</v>
      </c>
      <c r="D39" s="115"/>
      <c r="E39" s="160">
        <f>IF(ISNA(VLOOKUP("LEN681730000",Balanceanp!C:G,5,FALSE))=TRUE,0,VLOOKUP("LEN681730000",Balanceanp!C:G,5,FALSE))</f>
        <v>5368.39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IF(ISNA(VLOOKUP("LEN781730000",Balance!C:G,5,FALSE))=TRUE,0,VLOOKUP("LEN781730000",Balance!C:G,5,FALSE))</f>
        <v>-3367.24</v>
      </c>
      <c r="D40" s="115"/>
      <c r="E40" s="160">
        <f>IF(ISNA(VLOOKUP("LEN781730000",Balanceanp!C:G,5,FALSE))=TRUE,0,VLOOKUP("LEN781730000",Balanceanp!C:G,5,FALSE))</f>
        <v>-3412.77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IF(ISNA(VLOOKUP("LEN609110000",Balance!C:G,5,FALSE))=TRUE,0,VLOOKUP("LEN609110000",Balance!C:G,5,FALSE))</f>
        <v>3508.05</v>
      </c>
      <c r="D41" s="600"/>
      <c r="E41" s="311">
        <f>IF(ISNA(VLOOKUP("LEN609110000",Balanceanp!C:G,5,FALSE))=TRUE,0,VLOOKUP("LEN609110000",Balanceanp!C:G,5,FALSE))</f>
        <v>-7249.43</v>
      </c>
      <c r="F41" s="614">
        <f>E41/SUM(E24:E25)</f>
        <v>-9.2661844719003572E-2</v>
      </c>
      <c r="G41" s="615">
        <f>H41*(G24)</f>
        <v>-4373.4152880000001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IF(ISNA(VLOOKUP("LEN609120000",Balance!C:G,5,FALSE))=TRUE,0,VLOOKUP("LEN609120000",Balance!C:G,5,FALSE))</f>
        <v>-7884.94</v>
      </c>
      <c r="D42" s="600"/>
      <c r="E42" s="311">
        <f>IF(ISNA(VLOOKUP("LEN609120000",Balanceanp!C:G,5,FALSE))=TRUE,0,VLOOKUP("LEN609120000",Balanceanp!C:G,5,FALSE))</f>
        <v>-10259.120000000001</v>
      </c>
      <c r="F42" s="614">
        <f>E42/E28</f>
        <v>-7.0154707818872633E-2</v>
      </c>
      <c r="G42" s="615">
        <f>H42*G28</f>
        <v>-11547.350891999999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199234.30000000002</v>
      </c>
      <c r="D44" s="404"/>
      <c r="E44" s="305">
        <f>+E30+SUM(E34:E43)</f>
        <v>304896.79989999998</v>
      </c>
      <c r="F44" s="404"/>
      <c r="G44" s="618">
        <f>SUM(G35:G43)+G30</f>
        <v>371508.76691297843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108895.91999999995</v>
      </c>
      <c r="D46" s="120"/>
      <c r="E46" s="166">
        <f>+E21-E44</f>
        <v>133994.55010000005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0.35340876334687316</v>
      </c>
      <c r="D47" s="120"/>
      <c r="E47" s="196">
        <f>+E46/E21</f>
        <v>0.3053023261907532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1.2299183118098576E-2</v>
      </c>
      <c r="C49" s="311">
        <f>IF(ISNA(VLOOKUP("LEN709700000",Balance!C:G,5,FALSE))=TRUE,0,VLOOKUP("LEN709700000",Balance!C:G,5,FALSE))</f>
        <v>3789.75</v>
      </c>
      <c r="D49" s="592">
        <f>+[2]Lens!$H49</f>
        <v>5053</v>
      </c>
      <c r="E49" s="311">
        <f>IF(ISNA(VLOOKUP("LEN709700000",Balanceanp!C:G,5,FALSE))=TRUE,0,VLOOKUP("LEN709700000",Balanceanp!C:G,5,FALSE))</f>
        <v>3051.85</v>
      </c>
      <c r="F49" s="592">
        <f>+C49+C49/9*(12-Clients!$I$14)</f>
        <v>5053</v>
      </c>
      <c r="G49" s="620">
        <v>5889</v>
      </c>
      <c r="H49" s="621">
        <f>G49/G21</f>
        <v>1.0131403738761523E-2</v>
      </c>
      <c r="I49" s="591">
        <f>+IF((E49)=0,,(F49-E49)/E49)</f>
        <v>0.65571702410013599</v>
      </c>
      <c r="J49" s="595">
        <f>+IF((F49)=0,,(G49-F49)/F49)</f>
        <v>0.16544626954284583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304340.46999999997</v>
      </c>
      <c r="D51" s="312">
        <f>+D21-D49</f>
        <v>500247</v>
      </c>
      <c r="E51" s="305">
        <f>+E21-E49</f>
        <v>435839.50000000006</v>
      </c>
      <c r="F51" s="312">
        <f>+F21-F49</f>
        <v>389442.35735281958</v>
      </c>
      <c r="G51" s="312">
        <f>+G21-G49</f>
        <v>575373</v>
      </c>
      <c r="H51" s="312"/>
      <c r="I51" s="598">
        <f>+IF((E51)=0,,(F51-E51)/E51)</f>
        <v>-0.10645465279576649</v>
      </c>
      <c r="J51" s="599">
        <f>+IF((F51)=0,,(G51-F51)/F51)</f>
        <v>0.47742788922863494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105106.16999999995</v>
      </c>
      <c r="D53" s="122"/>
      <c r="E53" s="169">
        <f>+E51-E44</f>
        <v>130942.70010000007</v>
      </c>
      <c r="F53" s="140"/>
      <c r="G53" s="140">
        <f>+G51-G44</f>
        <v>203864.23308702157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0.34535719156903438</v>
      </c>
      <c r="D54" s="123"/>
      <c r="E54" s="197">
        <f>+E53/E51</f>
        <v>0.30043789078318983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+[2]Lens!$C56</f>
        <v>75762.210000000006</v>
      </c>
      <c r="D56" s="115"/>
      <c r="E56" s="160">
        <f>+[1]Lens!$G56</f>
        <v>68996.666599999997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+[2]Lens!$C57</f>
        <v>79561</v>
      </c>
      <c r="D57" s="115"/>
      <c r="E57" s="160">
        <f>+[1]Lens!$G57</f>
        <v>73328.016700000007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15">
        <f>+[2]Lens!$C60</f>
        <v>0.35</v>
      </c>
      <c r="D60" s="406">
        <f>+[2]Lens!$H60</f>
        <v>0.37204021213520522</v>
      </c>
      <c r="E60" s="15">
        <f>+[1]Lens!$G$54</f>
        <v>0.30043789078318983</v>
      </c>
      <c r="F60" s="406">
        <f>+C60</f>
        <v>0.35</v>
      </c>
      <c r="G60" s="406">
        <f>G62/G51</f>
        <v>0.35431664865577905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+[2]Lens!$C61</f>
        <v>0.35199999999999998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106519.16449999998</v>
      </c>
      <c r="D62" s="405">
        <f>D51*D60</f>
        <v>186112</v>
      </c>
      <c r="E62" s="309">
        <f>+E51*E60</f>
        <v>130942.70010000009</v>
      </c>
      <c r="F62" s="405">
        <f>+F51*F60</f>
        <v>136304.82507348683</v>
      </c>
      <c r="G62" s="405">
        <f>G51-G44</f>
        <v>203864.23308702157</v>
      </c>
      <c r="H62" s="405"/>
      <c r="I62" s="15">
        <f>+IF((E62)=0,,(F62-E62)/E62)</f>
        <v>4.0950163463803063E-2</v>
      </c>
      <c r="J62" s="406">
        <f>+IF((F62)=0,,(G62-F62)/F62)</f>
        <v>0.49564942383449029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IF(ISNA(VLOOKUP("LEN613520000",Balance!C:G,5,FALSE))=TRUE,0,VLOOKUP("LEN613520000",Balance!C:G,5,FALSE))</f>
        <v>2747.17</v>
      </c>
      <c r="D64" s="592">
        <f>+[2]Lens!$H64</f>
        <v>4202.5416249999998</v>
      </c>
      <c r="E64" s="311">
        <f>IF(ISNA(VLOOKUP("LEN613520000",Balanceanp!C:G,5,FALSE))=TRUE,0,VLOOKUP("LEN613520000",Balanceanp!C:G,5,FALSE))</f>
        <v>3748.08</v>
      </c>
      <c r="F64" s="625">
        <f>+C64+C64/9*(12-Clients!$I$14)</f>
        <v>3662.8933333333334</v>
      </c>
      <c r="G64" s="594">
        <f>+F64*1.03</f>
        <v>3772.7801333333337</v>
      </c>
      <c r="H64" s="594"/>
      <c r="I64" s="591">
        <f t="shared" ref="I64:J68" si="5">+IF((E64)=0,,(F64-E64)/E64)</f>
        <v>-2.2728081222030079E-2</v>
      </c>
      <c r="J64" s="595">
        <f t="shared" si="5"/>
        <v>3.0000000000000058E-2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+[2]Lens!$H65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IF(ISNA(VLOOKUP("LEN616120000",Balance!C:G,5,FALSE))=TRUE,0,VLOOKUP("LEN616120000",Balance!C:G,5,FALSE))</f>
        <v>487.51</v>
      </c>
      <c r="D66" s="592">
        <f>+[2]Lens!$H66</f>
        <v>620.35612500000002</v>
      </c>
      <c r="E66" s="311">
        <f>IF(ISNA(VLOOKUP("LEN616120000",Balanceanp!C:G,5,FALSE))=TRUE,0,VLOOKUP("LEN616120000",Balanceanp!C:G,5,FALSE))</f>
        <v>325.81</v>
      </c>
      <c r="F66" s="625">
        <f>+C66+C66/9*(12-Clients!$I$14)</f>
        <v>650.01333333333332</v>
      </c>
      <c r="G66" s="594">
        <f>+F66*1.03</f>
        <v>669.51373333333333</v>
      </c>
      <c r="H66" s="594"/>
      <c r="I66" s="591">
        <f t="shared" si="5"/>
        <v>0.99506870057190788</v>
      </c>
      <c r="J66" s="595">
        <f t="shared" si="5"/>
        <v>3.000000000000002E-2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IF(ISNA(VLOOKUP("LEN615520000",Balance!C:G,5,FALSE))=TRUE,0,VLOOKUP("LEN615520000",Balance!C:G,5,FALSE))</f>
        <v>997.33</v>
      </c>
      <c r="D67" s="592">
        <f>+[2]Lens!$H67</f>
        <v>975.83487500000001</v>
      </c>
      <c r="E67" s="311">
        <f>IF(ISNA(VLOOKUP("LEN615520000",Balanceanp!C:G,5,FALSE))=TRUE,0,VLOOKUP("LEN615520000",Balanceanp!C:G,5,FALSE))</f>
        <v>935.37</v>
      </c>
      <c r="F67" s="625">
        <f>+C67+C67/9*(12-Clients!$I$14)</f>
        <v>1329.7733333333333</v>
      </c>
      <c r="G67" s="594">
        <f>+F67*1.03</f>
        <v>1369.6665333333333</v>
      </c>
      <c r="H67" s="594"/>
      <c r="I67" s="591">
        <f t="shared" si="5"/>
        <v>0.42165488879623392</v>
      </c>
      <c r="J67" s="595">
        <f t="shared" si="5"/>
        <v>2.9999999999999985E-2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IF(ISNA(VLOOKUP("LEN606130000",Balance!C:G,5,FALSE))=TRUE,0,VLOOKUP("LEN606130000",Balance!C:G,5,FALSE))</f>
        <v>982.71</v>
      </c>
      <c r="D68" s="592">
        <f>+[2]Lens!$H68</f>
        <v>1685.4404999999999</v>
      </c>
      <c r="E68" s="311">
        <f>IF(ISNA(VLOOKUP("LEN606130000",Balanceanp!C:G,5,FALSE))=TRUE,0,VLOOKUP("LEN606130000",Balanceanp!C:G,5,FALSE))</f>
        <v>1108.8399999999999</v>
      </c>
      <c r="F68" s="625">
        <f>+C68+C68/9*(12-Clients!$I$14)</f>
        <v>1310.28</v>
      </c>
      <c r="G68" s="625">
        <f>+F68*1.03</f>
        <v>1349.5884000000001</v>
      </c>
      <c r="H68" s="625"/>
      <c r="I68" s="591">
        <f t="shared" si="5"/>
        <v>0.18166732801846983</v>
      </c>
      <c r="J68" s="595">
        <f t="shared" si="5"/>
        <v>3.0000000000000093E-2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5214.72</v>
      </c>
      <c r="D70" s="628">
        <f>SUM(D64:D69)</f>
        <v>7484.1731250000003</v>
      </c>
      <c r="E70" s="311">
        <f>SUM(E64:E69)</f>
        <v>6118.1</v>
      </c>
      <c r="F70" s="973">
        <f>SUM(F64:F69)</f>
        <v>6952.96</v>
      </c>
      <c r="G70" s="412">
        <f>SUM(G64:G69)</f>
        <v>7161.5488000000005</v>
      </c>
      <c r="H70" s="412"/>
      <c r="I70" s="591">
        <f>+IF((E70)=0,,(F70-E70)/E70)</f>
        <v>0.13645739690426761</v>
      </c>
      <c r="J70" s="595">
        <f>+IF((F70)=0,,(G70-F70)/F70)</f>
        <v>3.0000000000000065E-2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IF(ISNA(VLOOKUP("LEN602220000",Balance!C:G,5,FALSE))=TRUE,0,VLOOKUP("LEN602220000",Balance!C:G,5,FALSE))</f>
        <v>0</v>
      </c>
      <c r="D72" s="592">
        <f>+[2]Lens!$H72</f>
        <v>10.352085582252084</v>
      </c>
      <c r="E72" s="311">
        <f>IF(ISNA(VLOOKUP("LEN602220000",Balanceanp!C:G,5,FALSE))=TRUE,0,VLOOKUP("LEN602220000",Balanceanp!C:G,5,FALSE))</f>
        <v>0</v>
      </c>
      <c r="F72" s="625">
        <f>+C72+C72/9*(12-Clients!$I$14)</f>
        <v>0</v>
      </c>
      <c r="G72" s="630">
        <f>+F72*1.03</f>
        <v>0</v>
      </c>
      <c r="H72" s="630"/>
      <c r="I72" s="591">
        <f t="shared" ref="I72:J87" si="6">+IF((E72)=0,,(F72-E72)/E72)</f>
        <v>0</v>
      </c>
      <c r="J72" s="595">
        <f t="shared" si="6"/>
        <v>0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IF(ISNA(VLOOKUP("LEN606100000",Balance!C:G,5,FALSE))=TRUE,0,VLOOKUP("LEN606100000",Balance!C:G,5,FALSE))</f>
        <v>635.64</v>
      </c>
      <c r="D73" s="592">
        <f>+[2]Lens!$H73</f>
        <v>1535.5660679255661</v>
      </c>
      <c r="E73" s="311">
        <f>IF(ISNA(VLOOKUP("LEN606100000",Balanceanp!C:G,5,FALSE))=TRUE,0,VLOOKUP("LEN606100000",Balanceanp!C:G,5,FALSE))</f>
        <v>1396.63</v>
      </c>
      <c r="F73" s="625">
        <f>+C73+C73/9*(12-Clients!$I$14)</f>
        <v>847.52</v>
      </c>
      <c r="G73" s="630">
        <f t="shared" ref="G73:G101" si="8">+F73*1.03</f>
        <v>872.94560000000001</v>
      </c>
      <c r="H73" s="630"/>
      <c r="I73" s="591">
        <f t="shared" si="6"/>
        <v>-0.39316783972848934</v>
      </c>
      <c r="J73" s="595">
        <f t="shared" si="6"/>
        <v>3.0000000000000037E-2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IF(ISNA(VLOOKUP("LEN606110000",Balance!C:G,5,FALSE))=TRUE,0,VLOOKUP("LEN606110000",Balance!C:G,5,FALSE))</f>
        <v>3942.97</v>
      </c>
      <c r="D74" s="592">
        <f>+[2]Lens!$H74</f>
        <v>2744.8234274832662</v>
      </c>
      <c r="E74" s="311">
        <f>IF(ISNA(VLOOKUP("LEN606110000",Balanceanp!C:G,5,FALSE))=TRUE,0,VLOOKUP("LEN606110000",Balanceanp!C:G,5,FALSE))</f>
        <v>2396.7199999999998</v>
      </c>
      <c r="F74" s="625">
        <f>+C74+C74/9*(12-Clients!$I$14)</f>
        <v>5257.2933333333331</v>
      </c>
      <c r="G74" s="630">
        <f t="shared" si="8"/>
        <v>5415.0121333333336</v>
      </c>
      <c r="H74" s="630"/>
      <c r="I74" s="591">
        <f t="shared" si="6"/>
        <v>1.1935367224095152</v>
      </c>
      <c r="J74" s="595">
        <f t="shared" si="6"/>
        <v>3.0000000000000106E-2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IF(ISNA(VLOOKUP("LEN606140000",Balance!C:G,5,FALSE))=TRUE,0,VLOOKUP("LEN606140000",Balance!C:G,5,FALSE))</f>
        <v>0</v>
      </c>
      <c r="D75" s="117">
        <f>+[2]Lens!$H75</f>
        <v>0</v>
      </c>
      <c r="E75" s="160">
        <f>IF(ISNA(VLOOKUP("LEN606140000",Balanceanp!C:G,5,FALSE))=TRUE,0,VLOOKUP("LEN606140000",Balanceanp!C:G,5,FALSE))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IF(ISNA(VLOOKUP("LEN606310000",Balance!C:G,5,FALSE))=TRUE,0,VLOOKUP("LEN606310000",Balance!C:G,5,FALSE))</f>
        <v>100.16</v>
      </c>
      <c r="D76" s="592">
        <f>+[2]Lens!$H76</f>
        <v>11.860896587650346</v>
      </c>
      <c r="E76" s="311">
        <f>IF(ISNA(VLOOKUP("LEN606310000",Balanceanp!C:G,5,FALSE))=TRUE,0,VLOOKUP("LEN606310000",Balanceanp!C:G,5,FALSE))</f>
        <v>5</v>
      </c>
      <c r="F76" s="625">
        <f>+C76+C76/9*(12-Clients!$I$14)</f>
        <v>133.54666666666665</v>
      </c>
      <c r="G76" s="630">
        <f t="shared" si="8"/>
        <v>137.55306666666667</v>
      </c>
      <c r="H76" s="630"/>
      <c r="I76" s="591">
        <f t="shared" si="6"/>
        <v>25.70933333333333</v>
      </c>
      <c r="J76" s="595">
        <f t="shared" si="6"/>
        <v>3.0000000000000103E-2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IF(ISNA(VLOOKUP("LEN606410000",Balance!C:G,5,FALSE))=TRUE,0,VLOOKUP("LEN606410000",Balance!C:G,5,FALSE))</f>
        <v>567.29</v>
      </c>
      <c r="D77" s="592">
        <f>+[2]Lens!$H77</f>
        <v>902.77292967224628</v>
      </c>
      <c r="E77" s="311">
        <f>IF(ISNA(VLOOKUP("LEN606410000",Balanceanp!C:G,5,FALSE))=TRUE,0,VLOOKUP("LEN606410000",Balanceanp!C:G,5,FALSE))</f>
        <v>1376.06</v>
      </c>
      <c r="F77" s="625">
        <f>+C77+C77/9*(12-Clients!$I$14)</f>
        <v>756.38666666666654</v>
      </c>
      <c r="G77" s="630">
        <f t="shared" si="8"/>
        <v>779.07826666666654</v>
      </c>
      <c r="H77" s="630"/>
      <c r="I77" s="591">
        <f t="shared" si="6"/>
        <v>-0.45032435601160808</v>
      </c>
      <c r="J77" s="595">
        <f t="shared" si="6"/>
        <v>2.9999999999999995E-2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IF(ISNA(VLOOKUP("LEN611000000",Balance!C:G,5,FALSE))=TRUE,0,VLOOKUP("LEN611000000",Balance!C:G,5,FALSE))</f>
        <v>23.4</v>
      </c>
      <c r="D78" s="592">
        <f>+[2]Lens!$H78</f>
        <v>2.8042434632416668</v>
      </c>
      <c r="E78" s="311">
        <f>IF(ISNA(VLOOKUP("LEN611000000",Balanceanp!C:G,5,FALSE))=TRUE,0,VLOOKUP("LEN611000000",Balanceanp!C:G,5,FALSE))</f>
        <v>0</v>
      </c>
      <c r="F78" s="625">
        <f>+C78+C78/9*(12-Clients!$I$14)</f>
        <v>31.199999999999996</v>
      </c>
      <c r="G78" s="625">
        <f t="shared" si="8"/>
        <v>32.135999999999996</v>
      </c>
      <c r="H78" s="625"/>
      <c r="I78" s="591">
        <f t="shared" si="6"/>
        <v>0</v>
      </c>
      <c r="J78" s="595">
        <f t="shared" si="6"/>
        <v>3.0000000000000002E-2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IF(ISNA(VLOOKUP("LEN613200000",Balance!C:G,5,FALSE))=TRUE,0,VLOOKUP("LEN613200000",Balance!C:G,5,FALSE))</f>
        <v>14960.34</v>
      </c>
      <c r="D79" s="592">
        <f>+[2]Lens!$H79</f>
        <v>19947.120000000003</v>
      </c>
      <c r="E79" s="311">
        <f>IF(ISNA(VLOOKUP("LEN613200000",Balanceanp!C:G,5,FALSE))=TRUE,0,VLOOKUP("LEN613200000",Balanceanp!C:G,5,FALSE))</f>
        <v>19345.330000000002</v>
      </c>
      <c r="F79" s="620">
        <f>4837+4837-34.66+4889*2</f>
        <v>19417.34</v>
      </c>
      <c r="G79" s="620">
        <f>4837/3*4+4837/3*8*1.05</f>
        <v>19992.933333333334</v>
      </c>
      <c r="H79" s="974">
        <f>G79/G21</f>
        <v>3.4395734338961322E-2</v>
      </c>
      <c r="I79" s="591">
        <f t="shared" si="6"/>
        <v>3.7223453929190347E-3</v>
      </c>
      <c r="J79" s="595">
        <f t="shared" si="6"/>
        <v>2.9643263873081183E-2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IF(ISNA(VLOOKUP("LEN614000000",Balance!C:G,5,FALSE))=TRUE,0,VLOOKUP("LEN614000000",Balance!C:G,5,FALSE))</f>
        <v>0</v>
      </c>
      <c r="D80" s="117">
        <f>+[2]Lens!$H80</f>
        <v>0</v>
      </c>
      <c r="E80" s="160">
        <f>IF(ISNA(VLOOKUP("LEN614000000",Balanceanp!C:G,5,FALSE))=TRUE,0,VLOOKUP("LEN614000000",Balanceanp!C:G,5,FALSE))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IF(ISNA(VLOOKUP("LEN613510000",Balance!C:G,5,FALSE))=TRUE,0,VLOOKUP("LEN613510000",Balance!C:G,5,FALSE))</f>
        <v>0</v>
      </c>
      <c r="D81" s="117">
        <f>+[2]Lens!$H81</f>
        <v>0</v>
      </c>
      <c r="E81" s="160">
        <f>IF(ISNA(VLOOKUP("LEN613510000",Balanceanp!C:G,5,FALSE))=TRUE,0,VLOOKUP("LEN613510000",Balanceanp!C:G,5,FALSE))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IF(ISNA(VLOOKUP("LEN613530000",Balance!C:G,5,FALSE))=TRUE,0,VLOOKUP("LEN613530000",Balance!C:G,5,FALSE))</f>
        <v>135</v>
      </c>
      <c r="D82" s="592">
        <f>+[2]Lens!$H82</f>
        <v>189.74543084807294</v>
      </c>
      <c r="E82" s="311">
        <f>IF(ISNA(VLOOKUP("LEN613530000",Balanceanp!C:G,5,FALSE))=TRUE,0,VLOOKUP("LEN613530000",Balanceanp!C:G,5,FALSE))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IF(ISNA(VLOOKUP("LEN613540000",Balance!C:G,5,FALSE))=TRUE,0,VLOOKUP("LEN613540000",Balance!C:G,5,FALSE))</f>
        <v>0</v>
      </c>
      <c r="D83" s="592">
        <f>+[2]Lens!$H83</f>
        <v>8.8196521701388892</v>
      </c>
      <c r="E83" s="311">
        <f>IF(ISNA(VLOOKUP("LEN613540000",Balanceanp!C:G,5,FALSE))=TRUE,0,VLOOKUP("LEN613540000",Balanceanp!C:G,5,FALSE))</f>
        <v>0</v>
      </c>
      <c r="F83" s="625">
        <f>+C83+C83/9*(12-Clients!$I$14)</f>
        <v>0</v>
      </c>
      <c r="G83" s="630">
        <f t="shared" si="8"/>
        <v>0</v>
      </c>
      <c r="H83" s="630"/>
      <c r="I83" s="591">
        <f t="shared" si="6"/>
        <v>0</v>
      </c>
      <c r="J83" s="595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IF(ISNA(VLOOKUP("LEN615200000",Balance!C:G,5,FALSE))=TRUE,0,VLOOKUP("LEN615200000",Balance!C:G,5,FALSE))</f>
        <v>1688.36</v>
      </c>
      <c r="D84" s="592">
        <f>+[2]Lens!$H84</f>
        <v>2563.2417606185145</v>
      </c>
      <c r="E84" s="311">
        <f>IF(ISNA(VLOOKUP("LEN615200000",Balanceanp!C:G,5,FALSE))=TRUE,0,VLOOKUP("LEN615200000",Balanceanp!C:G,5,FALSE))</f>
        <v>2332.7600000000002</v>
      </c>
      <c r="F84" s="625">
        <f>+C84+C84/9*(12-Clients!$I$14)</f>
        <v>2251.1466666666665</v>
      </c>
      <c r="G84" s="630">
        <f t="shared" si="8"/>
        <v>2318.6810666666665</v>
      </c>
      <c r="H84" s="630"/>
      <c r="I84" s="591">
        <f t="shared" si="6"/>
        <v>-3.4985739353098337E-2</v>
      </c>
      <c r="J84" s="595">
        <f t="shared" si="6"/>
        <v>3.0000000000000002E-2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IF(ISNA(VLOOKUP("LEN615500000",Balance!C:G,5,FALSE))=TRUE,0,VLOOKUP("LEN615500000",Balance!C:G,5,FALSE))</f>
        <v>736.8</v>
      </c>
      <c r="D85" s="592">
        <f>+[2]Lens!$H85</f>
        <v>1066.4872725520836</v>
      </c>
      <c r="E85" s="311">
        <f>IF(ISNA(VLOOKUP("LEN615500000",Balanceanp!C:G,5,FALSE))=TRUE,0,VLOOKUP("LEN615500000",Balanceanp!C:G,5,FALSE))</f>
        <v>725.59999999999991</v>
      </c>
      <c r="F85" s="625">
        <f>+C85+C85/9*(12-Clients!$I$14)</f>
        <v>982.39999999999986</v>
      </c>
      <c r="G85" s="630">
        <f t="shared" si="8"/>
        <v>1011.8719999999998</v>
      </c>
      <c r="H85" s="630"/>
      <c r="I85" s="591">
        <f t="shared" si="6"/>
        <v>0.35391400220507163</v>
      </c>
      <c r="J85" s="595">
        <f t="shared" si="6"/>
        <v>2.9999999999999985E-2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IF(ISNA(VLOOKUP("LEN615510000",Balance!C:G,5,FALSE))=TRUE,0,VLOOKUP("LEN615510000",Balance!C:G,5,FALSE))</f>
        <v>96.57</v>
      </c>
      <c r="D86" s="592">
        <f>+[2]Lens!$H86</f>
        <v>377.02066345636985</v>
      </c>
      <c r="E86" s="311">
        <f>IF(ISNA(VLOOKUP("LEN615510000",Balanceanp!C:G,5,FALSE))=TRUE,0,VLOOKUP("LEN615510000",Balanceanp!C:G,5,FALSE))</f>
        <v>71</v>
      </c>
      <c r="F86" s="625">
        <f>+C86+C86/9*(12-Clients!$I$14)</f>
        <v>128.76</v>
      </c>
      <c r="G86" s="630">
        <f t="shared" si="8"/>
        <v>132.62279999999998</v>
      </c>
      <c r="H86" s="630"/>
      <c r="I86" s="591">
        <f t="shared" si="6"/>
        <v>0.81352112676056321</v>
      </c>
      <c r="J86" s="595">
        <f t="shared" si="6"/>
        <v>2.9999999999999947E-2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IF(ISNA(VLOOKUP("LEN615530000",Balance!C:G,5,FALSE))=TRUE,0,VLOOKUP("LEN615530000",Balance!C:G,5,FALSE))</f>
        <v>0</v>
      </c>
      <c r="D87" s="117">
        <f>+[2]Lens!$H87</f>
        <v>0</v>
      </c>
      <c r="E87" s="160">
        <f>IF(ISNA(VLOOKUP("LEN615530000",Balanceanp!C:G,5,FALSE))=TRUE,0,VLOOKUP("LEN615530000",Balanceanp!C:G,5,FALSE))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IF(ISNA(VLOOKUP("LEN616130000",Balance!C:G,5,FALSE))=TRUE,0,VLOOKUP("LEN616130000",Balance!C:G,5,FALSE))</f>
        <v>1680.3</v>
      </c>
      <c r="D88" s="592">
        <f>+[2]Lens!$H88</f>
        <v>2240.3571750000001</v>
      </c>
      <c r="E88" s="311">
        <f>IF(ISNA(VLOOKUP("LEN616130000",Balanceanp!C:G,5,FALSE))=TRUE,0,VLOOKUP("LEN616130000",Balanceanp!C:G,5,FALSE))</f>
        <v>2014.58</v>
      </c>
      <c r="F88" s="625">
        <f>+C88+C88/9*(12-Clients!$I$14)</f>
        <v>2240.3999999999996</v>
      </c>
      <c r="G88" s="632">
        <f>+E88*1.05*1.05</f>
        <v>2221.0744500000005</v>
      </c>
      <c r="H88" s="632"/>
      <c r="I88" s="591">
        <f t="shared" ref="I88:I101" si="9">+IF((E88)=0,,(F88-E88)/E88)</f>
        <v>0.11209284317326675</v>
      </c>
      <c r="J88" s="595">
        <f t="shared" ref="J88:J101" si="10">+IF((F88)=0,,(G88-F88)/F88)</f>
        <v>-8.6259373326187799E-3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+[2]Lens!$H89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IF(ISNA(VLOOKUP("LEN618100000",Balance!C:G,5,FALSE))=TRUE,0,VLOOKUP("LEN618100000",Balance!C:G,5,FALSE))</f>
        <v>61.05</v>
      </c>
      <c r="D90" s="592">
        <f>+[2]Lens!$H90</f>
        <v>110.39443625260418</v>
      </c>
      <c r="E90" s="311">
        <f>IF(ISNA(VLOOKUP("LEN618100000",Balanceanp!C:G,5,FALSE))=TRUE,0,VLOOKUP("LEN618100000",Balanceanp!C:G,5,FALSE))</f>
        <v>127.65</v>
      </c>
      <c r="F90" s="625">
        <f>+C90+C90/9*(12-Clients!$I$14)</f>
        <v>81.400000000000006</v>
      </c>
      <c r="G90" s="630">
        <f t="shared" si="8"/>
        <v>83.842000000000013</v>
      </c>
      <c r="H90" s="630"/>
      <c r="I90" s="591">
        <f t="shared" si="9"/>
        <v>-0.36231884057971014</v>
      </c>
      <c r="J90" s="595">
        <f t="shared" si="10"/>
        <v>3.0000000000000086E-2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IF(ISNA(VLOOKUP("LEN618500000",Balance!C:G,5,FALSE))=TRUE,0,VLOOKUP("LEN618500000",Balance!C:G,5,FALSE))</f>
        <v>76.69</v>
      </c>
      <c r="D91" s="592">
        <f>+[2]Lens!$H91</f>
        <v>460.55348985212294</v>
      </c>
      <c r="E91" s="311">
        <f>IF(ISNA(VLOOKUP("LEN618500000",Balanceanp!C:G,5,FALSE))=TRUE,0,VLOOKUP("LEN618500000",Balanceanp!C:G,5,FALSE))</f>
        <v>360.3</v>
      </c>
      <c r="F91" s="625">
        <f>+C91+C91/9*(12-Clients!$I$14)</f>
        <v>102.25333333333333</v>
      </c>
      <c r="G91" s="630">
        <f t="shared" si="8"/>
        <v>105.32093333333333</v>
      </c>
      <c r="H91" s="630"/>
      <c r="I91" s="591">
        <f t="shared" si="9"/>
        <v>-0.7161994634101212</v>
      </c>
      <c r="J91" s="595">
        <f t="shared" si="10"/>
        <v>2.9999999999999988E-2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IF(ISNA(VLOOKUP("LEN622200000",Balance!C:G,5,FALSE))=TRUE,0,VLOOKUP("LEN622200000",Balance!C:G,5,FALSE))</f>
        <v>0</v>
      </c>
      <c r="D92" s="117">
        <f>+[2]Lens!$H92</f>
        <v>0</v>
      </c>
      <c r="E92" s="160">
        <f>IF(ISNA(VLOOKUP("LEN622200000",Balanceanp!C:G,5,FALSE))=TRUE,0,VLOOKUP("LEN622200000",Balanceanp!C:G,5,FALSE))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IF(ISNA(VLOOKUP("LEN622600000",Balance!C:G,5,FALSE))=TRUE,0,VLOOKUP("LEN622600000",Balance!C:G,5,FALSE))</f>
        <v>0</v>
      </c>
      <c r="D93" s="592">
        <f>+[2]Lens!$H93</f>
        <v>0.5862025052083335</v>
      </c>
      <c r="E93" s="311">
        <f>IF(ISNA(VLOOKUP("LEN622600000",Balanceanp!C:G,5,FALSE))=TRUE,0,VLOOKUP("LEN622600000",Balanceanp!C:G,5,FALSE))</f>
        <v>0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0</v>
      </c>
      <c r="J93" s="595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IF(ISNA(VLOOKUP("LEN622710000",Balance!C:G,5,FALSE))=TRUE,0,VLOOKUP("LEN622710000",Balance!C:G,5,FALSE))</f>
        <v>0</v>
      </c>
      <c r="D94" s="117">
        <f>+[2]Lens!$H94</f>
        <v>0</v>
      </c>
      <c r="E94" s="160">
        <f>IF(ISNA(VLOOKUP("LEN622710000",Balanceanp!C:G,5,FALSE))=TRUE,0,VLOOKUP("LEN622710000",Balanceanp!C:G,5,FALSE))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6.852459976175008E-3</v>
      </c>
      <c r="C95" s="311">
        <f>IF(ISNA(VLOOKUP("LEN624200000",Balance!C:G,5,FALSE))=TRUE,0,VLOOKUP("LEN624200000",Balance!C:G,5,FALSE))</f>
        <v>2111.4499999999998</v>
      </c>
      <c r="D95" s="592">
        <f>+[2]Lens!$H95</f>
        <v>3668.2438572885671</v>
      </c>
      <c r="E95" s="311">
        <f>IF(ISNA(VLOOKUP("LEN624200000",Balanceanp!C:G,5,FALSE))=TRUE,0,VLOOKUP("LEN624200000",Balanceanp!C:G,5,FALSE))</f>
        <v>3723.06</v>
      </c>
      <c r="F95" s="625">
        <f>+C95+C95/9*(12-Clients!$I$14)</f>
        <v>2815.2666666666664</v>
      </c>
      <c r="G95" s="630">
        <f>B95*G21</f>
        <v>3983.0745906714374</v>
      </c>
      <c r="H95" s="633">
        <f>+G95/$G$21</f>
        <v>6.852459976175008E-3</v>
      </c>
      <c r="I95" s="591">
        <f t="shared" si="9"/>
        <v>-0.24382989619649792</v>
      </c>
      <c r="J95" s="595">
        <f t="shared" si="10"/>
        <v>0.41481254256723021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IF(ISNA(VLOOKUP("LEN625100000",Balance!C:G,5,FALSE))=TRUE,0,VLOOKUP("LEN625100000",Balance!C:G,5,FALSE))</f>
        <v>3265.71</v>
      </c>
      <c r="D96" s="592">
        <f>+[2]Lens!$H96</f>
        <v>3240.0014749999996</v>
      </c>
      <c r="E96" s="311">
        <f>IF(ISNA(VLOOKUP("LEN625100000",Balanceanp!C:G,5,FALSE))=TRUE,0,VLOOKUP("LEN625100000",Balanceanp!C:G,5,FALSE))</f>
        <v>2585.5</v>
      </c>
      <c r="F96" s="625">
        <f>+C96+C96/9*(12-Clients!$I$14)</f>
        <v>4354.2800000000007</v>
      </c>
      <c r="G96" s="594">
        <f t="shared" si="8"/>
        <v>4484.9084000000012</v>
      </c>
      <c r="H96" s="594"/>
      <c r="I96" s="591">
        <f t="shared" si="9"/>
        <v>0.68411525817056684</v>
      </c>
      <c r="J96" s="595">
        <f t="shared" si="10"/>
        <v>3.0000000000000113E-2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IF(ISNA(VLOOKUP("LEN625200000",Balance!C:G,5,FALSE))=TRUE,0,VLOOKUP("LEN625200000",Balance!C:G,5,FALSE))</f>
        <v>0</v>
      </c>
      <c r="D97" s="592">
        <f>+[2]Lens!$H97</f>
        <v>2.039398515619792</v>
      </c>
      <c r="E97" s="311">
        <f>IF(ISNA(VLOOKUP("LEN625200000",Balanceanp!C:G,5,FALSE))=TRUE,0,VLOOKUP("LEN625200000",Balanceanp!C:G,5,FALSE))</f>
        <v>0</v>
      </c>
      <c r="F97" s="625">
        <f>+C97+C97/9*(12-Clients!$I$14)</f>
        <v>0</v>
      </c>
      <c r="G97" s="594">
        <f t="shared" si="8"/>
        <v>0</v>
      </c>
      <c r="H97" s="594"/>
      <c r="I97" s="591">
        <f t="shared" si="9"/>
        <v>0</v>
      </c>
      <c r="J97" s="595">
        <f t="shared" si="10"/>
        <v>0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IF(ISNA(VLOOKUP("LEN625510000",Balance!C:G,5,FALSE))=TRUE,0,VLOOKUP("LEN625510000",Balance!C:G,5,FALSE))</f>
        <v>0</v>
      </c>
      <c r="D98" s="117">
        <f>+[2]Lens!$H98</f>
        <v>0</v>
      </c>
      <c r="E98" s="160">
        <f>IF(ISNA(VLOOKUP("LEN625510000",Balanceanp!C:G,5,FALSE))=TRUE,0,VLOOKUP("LEN625510000",Balanceanp!C:G,5,FALSE))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IF(ISNA(VLOOKUP("LEN626000000",Balance!C:G,5,FALSE))=TRUE,0,VLOOKUP("LEN626000000",Balance!C:G,5,FALSE))</f>
        <v>1971.9</v>
      </c>
      <c r="D99" s="592">
        <f>+[2]Lens!$H99</f>
        <v>3301.9052218355832</v>
      </c>
      <c r="E99" s="311">
        <f>IF(ISNA(VLOOKUP("LEN626000000",Balanceanp!C:G,5,FALSE))=TRUE,0,VLOOKUP("LEN626000000",Balanceanp!C:G,5,FALSE))</f>
        <v>3208.07</v>
      </c>
      <c r="F99" s="625">
        <f>+C99+C99/9*(12-Clients!$I$14)</f>
        <v>2629.2000000000003</v>
      </c>
      <c r="G99" s="630">
        <f>+F99</f>
        <v>2629.2000000000003</v>
      </c>
      <c r="H99" s="630"/>
      <c r="I99" s="591">
        <f t="shared" si="9"/>
        <v>-0.18044182327692346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IF(ISNA(VLOOKUP("LEN626100000",Balance!C:G,5,FALSE))=TRUE,0,VLOOKUP("LEN626100000",Balance!C:G,5,FALSE))</f>
        <v>288.83999999999997</v>
      </c>
      <c r="D100" s="592">
        <f>+[2]Lens!$H100</f>
        <v>566.33214803382293</v>
      </c>
      <c r="E100" s="311">
        <f>IF(ISNA(VLOOKUP("LEN626100000",Balanceanp!C:G,5,FALSE))=TRUE,0,VLOOKUP("LEN626100000",Balanceanp!C:G,5,FALSE))</f>
        <v>517.09</v>
      </c>
      <c r="F100" s="625">
        <f>+C100+C100/9*(12-Clients!$I$14)</f>
        <v>385.12</v>
      </c>
      <c r="G100" s="630">
        <f t="shared" si="8"/>
        <v>396.67360000000002</v>
      </c>
      <c r="H100" s="630"/>
      <c r="I100" s="591">
        <f t="shared" si="9"/>
        <v>-0.25521669341894065</v>
      </c>
      <c r="J100" s="595">
        <f t="shared" si="10"/>
        <v>3.0000000000000044E-2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IF(ISNA(VLOOKUP("LEN628400000",Balance!C:G,5,FALSE))=TRUE,0,VLOOKUP("LEN628400000",Balance!C:G,5,FALSE))</f>
        <v>0</v>
      </c>
      <c r="D101" s="592">
        <f>+[2]Lens!$H101</f>
        <v>3.9861770354166675</v>
      </c>
      <c r="E101" s="311">
        <f>IF(ISNA(VLOOKUP("LEN628400000",Balanceanp!C:G,5,FALSE))=TRUE,0,VLOOKUP("LEN628400000",Balanceanp!C:G,5,FALSE))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0.12188739553037024</v>
      </c>
      <c r="C103" s="305">
        <f>SUM(C70:C102)</f>
        <v>37557.189999999995</v>
      </c>
      <c r="D103" s="312">
        <f>SUM(D70:D102)</f>
        <v>50439.187136678338</v>
      </c>
      <c r="E103" s="305">
        <f>SUM(E70:E102)</f>
        <v>46483.450000000004</v>
      </c>
      <c r="F103" s="312">
        <f>SUM(F70:F102)</f>
        <v>49546.473333333335</v>
      </c>
      <c r="G103" s="312">
        <f>SUM(G70:G102)</f>
        <v>51943.877040671439</v>
      </c>
      <c r="H103" s="421">
        <f>+G103/$G$21</f>
        <v>8.9363965028973924E-2</v>
      </c>
      <c r="I103" s="598">
        <f>+IF((E103)=0,,(F103-E103)/E103)</f>
        <v>6.5894922458064761E-2</v>
      </c>
      <c r="J103" s="599">
        <f>+IF((F103)=0,,(G103-F103)/F103)</f>
        <v>4.8386969768950336E-2</v>
      </c>
      <c r="K103" s="136">
        <f>(C103+(C103/3))</f>
        <v>50076.253333333327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IF(ISNA(VLOOKUP("LEN623100000",Balance!C:G,5,FALSE))=TRUE,0,VLOOKUP("LEN623100000",Balance!C:G,5,FALSE))</f>
        <v>0</v>
      </c>
      <c r="D105" s="592">
        <f>+[2]Lens!$H105</f>
        <v>926.279</v>
      </c>
      <c r="E105" s="311">
        <f>IF(ISNA(VLOOKUP("LEN623100000",Balanceanp!C:G,5,FALSE))=TRUE,0,VLOOKUP("LEN623100000",Balanceanp!C:G,5,FALSE))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IF(ISNA(VLOOKUP("LEN623200000",Balance!C:G,5,FALSE))=TRUE,0,VLOOKUP("LEN623200000",Balance!C:G,5,FALSE))</f>
        <v>2069.67</v>
      </c>
      <c r="D106" s="592">
        <f>+[2]Lens!$H106</f>
        <v>2000</v>
      </c>
      <c r="E106" s="311">
        <f>IF(ISNA(VLOOKUP("LEN623200000",Balanceanp!C:G,5,FALSE))=TRUE,0,VLOOKUP("LEN623200000",Balanceanp!C:G,5,FALSE))</f>
        <v>4900.7700000000004</v>
      </c>
      <c r="F106" s="625">
        <f>+C106+C106/9*(12-Clients!$I$14)</f>
        <v>2759.56</v>
      </c>
      <c r="G106" s="594">
        <v>2000</v>
      </c>
      <c r="H106" s="594"/>
      <c r="I106" s="591">
        <f t="shared" si="12"/>
        <v>-0.43691297489986275</v>
      </c>
      <c r="J106" s="595">
        <f t="shared" si="12"/>
        <v>-0.2752467784719303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IF(ISNA(VLOOKUP("LEN629000000",Balance!C:G,5,FALSE))=TRUE,0,VLOOKUP("LEN629000000",Balance!C:G,5,FALSE))</f>
        <v>0</v>
      </c>
      <c r="D107" s="117">
        <f>+[2]Lens!$H107</f>
        <v>0</v>
      </c>
      <c r="E107" s="160">
        <f>IF(ISNA(VLOOKUP("LEN629000000",Balanceanp!C:G,5,FALSE))=TRUE,0,VLOOKUP("LEN629000000",Balanceanp!C:G,5,FALSE))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IF(ISNA(VLOOKUP("LEN623300000",Balance!C:G,5,FALSE))=TRUE,0,VLOOKUP("LEN623300000",Balance!C:G,5,FALSE))</f>
        <v>1176.0999999999999</v>
      </c>
      <c r="D108" s="592">
        <f>+[2]Lens!$H108</f>
        <v>450</v>
      </c>
      <c r="E108" s="311">
        <f>IF(ISNA(VLOOKUP("LEN623300000",Balanceanp!C:G,5,FALSE))=TRUE,0,VLOOKUP("LEN623300000",Balanceanp!C:G,5,FALSE))</f>
        <v>130.91999999999999</v>
      </c>
      <c r="F108" s="625">
        <f>+C108+C108/9*(12-Clients!$I$14)</f>
        <v>1568.1333333333332</v>
      </c>
      <c r="G108" s="594">
        <v>450</v>
      </c>
      <c r="H108" s="594"/>
      <c r="I108" s="591">
        <f t="shared" si="12"/>
        <v>10.977798146450759</v>
      </c>
      <c r="J108" s="595">
        <f t="shared" si="12"/>
        <v>-0.71303460590085876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IF(ISNA(VLOOKUP("LEN623700000",Balance!C:G,5,FALSE))=TRUE,0,VLOOKUP("LEN623700000",Balance!C:G,5,FALSE))</f>
        <v>1194.03</v>
      </c>
      <c r="D109" s="592">
        <f>+[2]Lens!$H109</f>
        <v>1948.5231000000001</v>
      </c>
      <c r="E109" s="311">
        <f>IF(ISNA(VLOOKUP("LEN623700000",Balanceanp!C:G,5,FALSE))=TRUE,0,VLOOKUP("LEN623700000",Balanceanp!C:G,5,FALSE))</f>
        <v>143.56</v>
      </c>
      <c r="F109" s="625">
        <f>+C109+C109/9*(12-Clients!$I$14)</f>
        <v>1592.04</v>
      </c>
      <c r="G109" s="594">
        <f t="shared" si="11"/>
        <v>1639.8012000000001</v>
      </c>
      <c r="H109" s="594"/>
      <c r="I109" s="591">
        <f t="shared" si="12"/>
        <v>10.089718584563945</v>
      </c>
      <c r="J109" s="595">
        <f t="shared" si="12"/>
        <v>3.0000000000000093E-2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IF(ISNA(VLOOKUP("LEN623410000",Balance!C:G,5,FALSE))=TRUE,0,VLOOKUP("LEN623410000",Balance!C:G,5,FALSE))+IF(ISNA(VLOOKUP("LEN623420000",Balance!C:G,5,FALSE))=TRUE,0,VLOOKUP("LEN623420000",Balance!C:G,5,FALSE))</f>
        <v>3751.68</v>
      </c>
      <c r="D110" s="592">
        <f>+[2]Lens!$H110</f>
        <v>5119.1000000000004</v>
      </c>
      <c r="E110" s="311">
        <f>IF(ISNA(VLOOKUP("LEN623410000",Balanceanp!C:G,5,FALSE))=TRUE,0,VLOOKUP("LEN623410000",Balanceanp!C:G,5,FALSE))+IF(ISNA(VLOOKUP("LEN623420000",Balanceanp!C:G,5,FALSE))=TRUE,0,VLOOKUP("LEN623420000",Balanceanp!C:G,5,FALSE))</f>
        <v>2588.3599999999997</v>
      </c>
      <c r="F110" s="625">
        <f>+C110+C110/9*(12-Clients!$I$14)</f>
        <v>5002.24</v>
      </c>
      <c r="G110" s="594">
        <f t="shared" si="11"/>
        <v>5152.3072000000002</v>
      </c>
      <c r="H110" s="594"/>
      <c r="I110" s="591">
        <f t="shared" si="12"/>
        <v>0.93259052063855119</v>
      </c>
      <c r="J110" s="595">
        <f t="shared" si="12"/>
        <v>3.0000000000000082E-2</v>
      </c>
      <c r="L110" s="17">
        <f t="shared" si="7"/>
        <v>1</v>
      </c>
    </row>
    <row r="111" spans="1:12">
      <c r="A111" s="590" t="s">
        <v>135</v>
      </c>
      <c r="B111" s="591"/>
      <c r="C111" s="311">
        <f>IF(ISNA(VLOOKUP("LEN623800000",Balance!C:G,5,FALSE))=TRUE,0,VLOOKUP("LEN623800000",Balance!C:G,5,FALSE))+IF(ISNA(VLOOKUP("LEN623820000",Balance!C:G,5,FALSE))=TRUE,0,VLOOKUP("LEN623820000",Balance!C:G,5,FALSE))</f>
        <v>100</v>
      </c>
      <c r="D111" s="592">
        <f>+[2]Lens!$H111</f>
        <v>36.050000000000004</v>
      </c>
      <c r="E111" s="311">
        <f>IF(ISNA(VLOOKUP("LEN623800000",Balanceanp!C:G,5,FALSE))=TRUE,0,VLOOKUP("LEN623800000",Balanceanp!C:G,5,FALSE))</f>
        <v>35</v>
      </c>
      <c r="F111" s="625">
        <f>+C111+C111/9*(12-Clients!$I$14)</f>
        <v>133.33333333333331</v>
      </c>
      <c r="G111" s="594">
        <f t="shared" si="11"/>
        <v>137.33333333333331</v>
      </c>
      <c r="H111" s="594"/>
      <c r="I111" s="591">
        <f t="shared" si="12"/>
        <v>2.8095238095238089</v>
      </c>
      <c r="J111" s="595">
        <f t="shared" si="12"/>
        <v>3.0000000000000006E-2</v>
      </c>
      <c r="L111" s="17">
        <f t="shared" si="7"/>
        <v>1</v>
      </c>
    </row>
    <row r="112" spans="1:12">
      <c r="A112" s="590" t="s">
        <v>136</v>
      </c>
      <c r="B112" s="591"/>
      <c r="C112" s="311">
        <f>IF(ISNA(VLOOKUP("LEN625600000",Balance!C:G,5,FALSE))=TRUE,0,VLOOKUP("LEN625600000",Balance!C:G,5,FALSE))</f>
        <v>19.5</v>
      </c>
      <c r="D112" s="592">
        <f>+[2]Lens!$H112</f>
        <v>25.986900000000002</v>
      </c>
      <c r="E112" s="311">
        <f>IF(ISNA(VLOOKUP("LEN625600000",Balanceanp!C:G,5,FALSE))=TRUE,0,VLOOKUP("LEN625600000",Balanceanp!C:G,5,FALSE))</f>
        <v>25.23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3.051922314704715E-2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IF(ISNA(VLOOKUP("len625700000",Balance!C:G,5,FALSE))=TRUE,0,VLOOKUP("len625700000",Balance!C:G,5,FALSE))+IF(ISNA(VLOOKUP("len625710000",Balance!C:G,5,FALSE))=TRUE,0,VLOOKUP("len625710000",Balance!C:G,5,FALSE))</f>
        <v>4646.2299999999996</v>
      </c>
      <c r="D113" s="592">
        <f>+[2]Lens!$H113</f>
        <v>2045</v>
      </c>
      <c r="E113" s="311">
        <f>IF(ISNA(VLOOKUP("len625700000",Balanceanp!C:G,5,FALSE))=TRUE,0,VLOOKUP("len625700000",Balanceanp!C:G,5,FALSE))+IF(ISNA(VLOOKUP("len625710000",Balanceanp!C:G,5,FALSE))=TRUE,0,VLOOKUP("len625710000",Balanceanp!C:G,5,FALSE))</f>
        <v>1497.63</v>
      </c>
      <c r="F113" s="625">
        <v>1866.04</v>
      </c>
      <c r="G113" s="594">
        <v>2000</v>
      </c>
      <c r="H113" s="594"/>
      <c r="I113" s="591">
        <f t="shared" si="12"/>
        <v>0.24599533930276493</v>
      </c>
      <c r="J113" s="595">
        <f t="shared" si="12"/>
        <v>7.1788386101048235E-2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IF(ISNA(VLOOKUP("LEN623810000",Balance!C:G,5,FALSE))=TRUE,0,VLOOKUP("LEN623810000",Balance!C:G,5,FALSE))</f>
        <v>0</v>
      </c>
      <c r="D114" s="117">
        <f>+[2]Lens!$H114</f>
        <v>0</v>
      </c>
      <c r="E114" s="160">
        <f>IF(ISNA(VLOOKUP("LEN623810000",Balanceanp!C:G,5,FALSE))=TRUE,0,VLOOKUP("LEN623810000",Balanceanp!C:G,5,FALSE))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4.2051084765395617E-2</v>
      </c>
      <c r="C116" s="305">
        <f>SUM(C104:C115)</f>
        <v>12957.21</v>
      </c>
      <c r="D116" s="312">
        <f>SUM(D104:D115)</f>
        <v>12550.938999999998</v>
      </c>
      <c r="E116" s="305">
        <f>SUM(E104:E115)</f>
        <v>10095.77</v>
      </c>
      <c r="F116" s="312">
        <f>SUM(F104:F115)</f>
        <v>12947.346666666665</v>
      </c>
      <c r="G116" s="312">
        <f>SUM(G104:G115)</f>
        <v>11406.221733333336</v>
      </c>
      <c r="H116" s="421">
        <f>+G116/$G$21</f>
        <v>1.9623202158980523E-2</v>
      </c>
      <c r="I116" s="598">
        <f>+IF((E116)=0,,(F116-E116)/E116)</f>
        <v>0.28245261794461085</v>
      </c>
      <c r="J116" s="599">
        <f>+IF((F116)=0,,(G116-F116)/F116)</f>
        <v>-0.11903017452224414</v>
      </c>
      <c r="K116" s="136">
        <f>(C116+(C116/3))</f>
        <v>17276.28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IF(ISNA(VLOOKUP("LEN633300000",Balance!C:G,5,FALSE))=TRUE,0,VLOOKUP("LEN633300000",Balance!C:G,5,FALSE))</f>
        <v>694.03</v>
      </c>
      <c r="D118" s="592">
        <f>+[2]Lens!$H118</f>
        <v>408.59</v>
      </c>
      <c r="E118" s="311">
        <f>IF(ISNA(VLOOKUP("LEN633300000",Balanceanp!C:G,5,FALSE))=TRUE,0,VLOOKUP("LEN633300000",Balanceanp!C:G,5,FALSE))</f>
        <v>340</v>
      </c>
      <c r="F118" s="625">
        <f>+C118+C118/9*(12-Clients!$I$14)</f>
        <v>925.37333333333333</v>
      </c>
      <c r="G118" s="630">
        <f>G131*(0.2+0.5)%</f>
        <v>348.55099999999999</v>
      </c>
      <c r="H118" s="630"/>
      <c r="I118" s="591">
        <f t="shared" ref="I118:J127" si="13">+IF((E118)=0,,(F118-E118)/E118)</f>
        <v>1.7216862745098038</v>
      </c>
      <c r="J118" s="595">
        <f t="shared" si="13"/>
        <v>-0.62334012938921946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IF(ISNA(VLOOKUP("LEN633400000",Balance!C:G,5,FALSE))=TRUE,0,VLOOKUP("LEN633400000",Balance!C:G,5,FALSE))</f>
        <v>0</v>
      </c>
      <c r="D119" s="592">
        <f>+[2]Lens!$H119</f>
        <v>262.66500000000002</v>
      </c>
      <c r="E119" s="311">
        <f>IF(ISNA(VLOOKUP("LEN633400000",Balanceanp!C:G,5,FALSE))=TRUE,0,VLOOKUP("LEN633400000",Balanceanp!C:G,5,FALSE))</f>
        <v>188</v>
      </c>
      <c r="F119" s="625">
        <f>+C119+C119/9*(12-Clients!$I$14)</f>
        <v>0</v>
      </c>
      <c r="G119" s="630">
        <f>+G131*0.45%</f>
        <v>224.06850000000003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IF(ISNA(VLOOKUP("LEN633500000",Balance!C:G,5,FALSE))=TRUE,0,VLOOKUP("LEN633500000",Balance!C:G,5,FALSE))</f>
        <v>0</v>
      </c>
      <c r="D120" s="592">
        <f>+[2]Lens!$H120</f>
        <v>455.286</v>
      </c>
      <c r="E120" s="311">
        <f>IF(ISNA(VLOOKUP("LEN633500000",Balanceanp!C:G,5,FALSE))=TRUE,0,VLOOKUP("LEN633500000",Balanceanp!C:G,5,FALSE))</f>
        <v>283</v>
      </c>
      <c r="F120" s="625">
        <f>+C120+C120/9*(12-Clients!$I$14)</f>
        <v>0</v>
      </c>
      <c r="G120" s="630">
        <f>+G131*(0.6+0.18)%</f>
        <v>388.3854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IF(ISNA(VLOOKUP("LEN635110000",Balance!C:G,5,FALSE))=TRUE,0,VLOOKUP("LEN635110000",Balance!C:G,5,FALSE))</f>
        <v>4013.91</v>
      </c>
      <c r="D121" s="592">
        <f>+[2]Lens!$H121</f>
        <v>5351.85</v>
      </c>
      <c r="E121" s="311">
        <f>IF(ISNA(VLOOKUP("LEN635110000",Balanceanp!C:G,5,FALSE))=TRUE,0,VLOOKUP("LEN635110000",Balanceanp!C:G,5,FALSE))</f>
        <v>5097</v>
      </c>
      <c r="F121" s="637">
        <v>1394</v>
      </c>
      <c r="G121" s="637">
        <f>+F121*1.05</f>
        <v>1463.7</v>
      </c>
      <c r="H121" s="632"/>
      <c r="I121" s="591">
        <f t="shared" si="13"/>
        <v>-0.72650578771826568</v>
      </c>
      <c r="J121" s="595">
        <f t="shared" si="13"/>
        <v>5.0000000000000031E-2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IF(ISNA(VLOOKUP("LEN635120000",Balance!C:G,5,FALSE))=TRUE,0,VLOOKUP("LEN635120000",Balance!C:G,5,FALSE))</f>
        <v>1649.07</v>
      </c>
      <c r="D122" s="592">
        <f>+[2]Lens!$H122</f>
        <v>2198.7000000000003</v>
      </c>
      <c r="E122" s="311">
        <f>IF(ISNA(VLOOKUP("LEN635120000",Balanceanp!C:G,5,FALSE))=TRUE,0,VLOOKUP("LEN635120000",Balanceanp!C:G,5,FALSE))</f>
        <v>2094</v>
      </c>
      <c r="F122" s="620">
        <v>2459</v>
      </c>
      <c r="G122" s="620">
        <f>+F122*1.05</f>
        <v>2581.9500000000003</v>
      </c>
      <c r="H122" s="632"/>
      <c r="I122" s="591">
        <f t="shared" si="13"/>
        <v>0.17430754536771728</v>
      </c>
      <c r="J122" s="595">
        <f t="shared" si="13"/>
        <v>5.0000000000000114E-2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IF(ISNA(VLOOKUP("LEN635130000",Balance!C:G,5,FALSE))=TRUE,0,VLOOKUP("LEN635130000",Balance!C:G,5,FALSE))</f>
        <v>0</v>
      </c>
      <c r="D123" s="592">
        <f>+[2]Lens!$H123</f>
        <v>50</v>
      </c>
      <c r="E123" s="311">
        <f>IF(ISNA(VLOOKUP("LEN635130000",Balanceanp!C:G,5,FALSE))=TRUE,0,VLOOKUP("LEN635130000",Balanceanp!C:G,5,FALSE))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IF(ISNA(VLOOKUP("LEN635140000",Balance!C:G,5,FALSE))=TRUE,0,VLOOKUP("LEN635140000",Balance!C:G,5,FALSE))</f>
        <v>0</v>
      </c>
      <c r="D124" s="117">
        <f>+[2]Lens!$H124</f>
        <v>0</v>
      </c>
      <c r="E124" s="160">
        <f>IF(ISNA(VLOOKUP("LEN635140000",Balanceanp!C:G,5,FALSE))=TRUE,0,VLOOKUP("LEN635140000",Balanceanp!C:G,5,FALSE))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IF(ISNA(VLOOKUP("LEN635300000",Balance!C:G,5,FALSE))=TRUE,0,VLOOKUP("LEN635300000",Balance!C:G,5,FALSE))</f>
        <v>0</v>
      </c>
      <c r="D125" s="117">
        <f>+[2]Lens!$H125</f>
        <v>0</v>
      </c>
      <c r="E125" s="160">
        <f>IF(ISNA(VLOOKUP("LEN635300000",Balanceanp!C:G,5,FALSE))=TRUE,0,VLOOKUP("LEN635300000",Balanceanp!C:G,5,FALSE))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IF(ISNA(VLOOKUP("LEN635400000",Balance!C:G,5,FALSE))=TRUE,0,VLOOKUP("LEN635400000",Balance!C:G,5,FALSE))</f>
        <v>0</v>
      </c>
      <c r="D126" s="117">
        <f>+[2]Lens!$H126</f>
        <v>0</v>
      </c>
      <c r="E126" s="160">
        <f>IF(ISNA(VLOOKUP("LEN635400000",Balanceanp!C:G,5,FALSE))=TRUE,0,VLOOKUP("LEN635400000",Balanceanp!C:G,5,FALSE))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IF(ISNA(VLOOKUP("LEN637100000",Balance!C:G,5,FALSE))=TRUE,0,VLOOKUP("LEN637100000",Balance!C:G,5,FALSE))</f>
        <v>523.44000000000005</v>
      </c>
      <c r="D127" s="592">
        <f>+[2]Lens!$H127</f>
        <v>800.39520000000005</v>
      </c>
      <c r="E127" s="311">
        <f>IF(ISNA(VLOOKUP("LEN637100000",Balanceanp!C:G,5,FALSE))=TRUE,0,VLOOKUP("LEN637100000",Balanceanp!C:G,5,FALSE))</f>
        <v>697.34</v>
      </c>
      <c r="F127" s="625">
        <f>+C127+C127/9*(12-Clients!$I$14)</f>
        <v>697.92000000000007</v>
      </c>
      <c r="G127" s="630">
        <f>+G51*0.16%</f>
        <v>920.59680000000003</v>
      </c>
      <c r="H127" s="630"/>
      <c r="I127" s="591">
        <f t="shared" si="13"/>
        <v>8.3173201021028613E-4</v>
      </c>
      <c r="J127" s="595">
        <f t="shared" si="13"/>
        <v>0.31905777166437405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2.2329682560834181E-2</v>
      </c>
      <c r="C129" s="305">
        <f>SUM(C117:C128)</f>
        <v>6880.4499999999989</v>
      </c>
      <c r="D129" s="312">
        <f>SUM(D117:D128)</f>
        <v>9527.4862000000012</v>
      </c>
      <c r="E129" s="305">
        <f>SUM(E117:E128)</f>
        <v>8699.34</v>
      </c>
      <c r="F129" s="312">
        <f>SUM(F117:F128)</f>
        <v>5476.2933333333331</v>
      </c>
      <c r="G129" s="312">
        <f>SUM(G117:G128)</f>
        <v>5977.2517000000007</v>
      </c>
      <c r="H129" s="421">
        <f>+G129/$G$21</f>
        <v>1.0283231485973625E-2</v>
      </c>
      <c r="I129" s="598">
        <f>+IF((E129)=0,,(F129-E129)/E129)</f>
        <v>-0.37049324048337773</v>
      </c>
      <c r="J129" s="599">
        <f>+IF((F129)=0,,(G129-F129)/F129)</f>
        <v>9.1477635724407452E-2</v>
      </c>
      <c r="K129" s="136">
        <f>(C129+(C129/3))</f>
        <v>9173.9333333333325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IF(ISNA(VLOOKUP("LEN641100000",Balance!C:G,5,FALSE))=TRUE,0,VLOOKUP("LEN641100000",Balance!C:G,5,FALSE))++IF(ISNA(VLOOKUP("len641112000",Balance!C:G,5,FALSE))=TRUE,0,VLOOKUP("len641112000",Balance!C:G,5,FALSE))</f>
        <v>42622.83</v>
      </c>
      <c r="D131" s="592">
        <f>+[2]Lens!$H131</f>
        <v>58370</v>
      </c>
      <c r="E131" s="311">
        <f>IF(ISNA(VLOOKUP("LEN641100000",Balanceanp!C:G,5,FALSE))=TRUE,0,VLOOKUP("LEN641100000",Balanceanp!C:G,5,FALSE))+IF(ISNA(VLOOKUP("LEN641112000",Balanceanp!C:G,5,FALSE))=TRUE,0,VLOOKUP("LEN641112000",Balanceanp!C:G,5,FALSE))</f>
        <v>42069.489999999991</v>
      </c>
      <c r="F131" s="625">
        <f>+C131+C131/9*(12-Clients!$I$14)</f>
        <v>56830.44</v>
      </c>
      <c r="G131" s="594">
        <v>49793</v>
      </c>
      <c r="H131" s="594"/>
      <c r="I131" s="591">
        <f t="shared" ref="I131:J146" si="14">+IF((E131)=0,,(F131-E131)/E131)</f>
        <v>0.35087066660423066</v>
      </c>
      <c r="J131" s="595">
        <f t="shared" si="14"/>
        <v>-0.1238322279398154</v>
      </c>
      <c r="L131" s="17">
        <v>1</v>
      </c>
    </row>
    <row r="132" spans="1:12" hidden="1">
      <c r="A132" s="5" t="s">
        <v>149</v>
      </c>
      <c r="B132" s="92"/>
      <c r="C132" s="160">
        <f>IF(ISNA(VLOOKUP("LEN641110000",Balance!C:G,5,FALSE))=TRUE,0,VLOOKUP("LEN641110000",Balance!C:G,5,FALSE))</f>
        <v>-507.32</v>
      </c>
      <c r="D132" s="117">
        <f>+[2]Lens!$H132</f>
        <v>0</v>
      </c>
      <c r="E132" s="160">
        <f>IF(ISNA(VLOOKUP("LEN641110000",Balanceanp!C:G,5,FALSE))=TRUE,0,VLOOKUP("LEN641110000",Balanceanp!C:G,5,FALSE))</f>
        <v>-436.75</v>
      </c>
      <c r="F132" s="368">
        <f>+C132+C132/9*(12-Clients!$I$14)</f>
        <v>-676.42666666666673</v>
      </c>
      <c r="G132" s="395">
        <v>0</v>
      </c>
      <c r="H132" s="401"/>
      <c r="I132" s="149">
        <f t="shared" si="14"/>
        <v>0.54877313489792034</v>
      </c>
      <c r="J132" s="271">
        <f t="shared" si="14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IF(ISNA(VLOOKUP("LEN641111000",Balance!C:G,5,FALSE))=TRUE,0,VLOOKUP("LEN641111000",Balance!C:G,5,FALSE))</f>
        <v>0</v>
      </c>
      <c r="D133" s="117">
        <f>+[2]Lens!$H133</f>
        <v>0</v>
      </c>
      <c r="E133" s="160">
        <f>IF(ISNA(VLOOKUP("LEN641111000",Balanceanp!C:G,5,FALSE))=TRUE,0,VLOOKUP("LEN641111000",Balanceanp!C:G,5,FALSE))</f>
        <v>0</v>
      </c>
      <c r="F133" s="368">
        <f>+C133+C133/9*(12-Clients!$I$14)</f>
        <v>0</v>
      </c>
      <c r="G133" s="395">
        <f t="shared" ref="G133:G140" si="15">+F133*1.03</f>
        <v>0</v>
      </c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IF(ISNA(VLOOKUP("LEN641200000",Balance!C:G,5,FALSE))=TRUE,0,VLOOKUP("LEN641200000",Balance!C:G,5,FALSE))</f>
        <v>0</v>
      </c>
      <c r="D134" s="117">
        <f>+[2]Lens!$H134</f>
        <v>0</v>
      </c>
      <c r="E134" s="160">
        <f>IF(ISNA(VLOOKUP("LEN641200000",Balanceanp!C:G,5,FALSE))=TRUE,0,VLOOKUP("LEN641200000",Balanceanp!C:G,5,FALSE))</f>
        <v>-858.79</v>
      </c>
      <c r="F134" s="368">
        <f>+C134+C134/9*(12-Clients!$I$14)</f>
        <v>0</v>
      </c>
      <c r="G134" s="395">
        <f t="shared" si="15"/>
        <v>0</v>
      </c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IF(ISNA(VLOOKUP("LEN621100000",Balance!C:G,5,FALSE))=TRUE,0,VLOOKUP("LEN621100000",Balance!C:G,5,FALSE))</f>
        <v>0</v>
      </c>
      <c r="D135" s="117">
        <f>+[2]Lens!$H135</f>
        <v>0</v>
      </c>
      <c r="E135" s="160">
        <f>IF(ISNA(VLOOKUP("LEN621100000",Balanceanp!C:G,5,FALSE))=TRUE,0,VLOOKUP("LEN621100000",Balanceanp!C:G,5,FALSE))</f>
        <v>0</v>
      </c>
      <c r="F135" s="368">
        <f>+C135+C135/9*(12-Clients!$I$14)</f>
        <v>0</v>
      </c>
      <c r="G135" s="395">
        <f t="shared" si="15"/>
        <v>0</v>
      </c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IF(ISNA(VLOOKUP("LEN621200000",Balance!C:G,5,FALSE))=TRUE,0,VLOOKUP("LEN621200000",Balance!C:G,5,FALSE))</f>
        <v>0</v>
      </c>
      <c r="D136" s="117">
        <f>+[2]Lens!$H136</f>
        <v>0</v>
      </c>
      <c r="E136" s="160">
        <f>IF(ISNA(VLOOKUP("LEN621200000",Balanceanp!C:G,5,FALSE))=TRUE,0,VLOOKUP("LEN621200000",Balanceanp!C:G,5,FALSE))</f>
        <v>0</v>
      </c>
      <c r="F136" s="368">
        <f>+C136+C136/9*(12-Clients!$I$14)</f>
        <v>0</v>
      </c>
      <c r="G136" s="395">
        <f t="shared" si="15"/>
        <v>0</v>
      </c>
      <c r="H136" s="401"/>
      <c r="I136" s="149">
        <f t="shared" si="14"/>
        <v>0</v>
      </c>
      <c r="J136" s="271">
        <f t="shared" si="14"/>
        <v>0</v>
      </c>
      <c r="L136" s="17">
        <f t="shared" ref="L136:L197" si="16">IF(SUM(C136:J136)&lt;&gt;0,1,0)</f>
        <v>0</v>
      </c>
    </row>
    <row r="137" spans="1:12" hidden="1">
      <c r="A137" s="5" t="s">
        <v>87</v>
      </c>
      <c r="B137" s="92"/>
      <c r="C137" s="160">
        <f>IF(ISNA(VLOOKUP("LEN706100000",Balance!C:G,5,FALSE))=TRUE,0,-VLOOKUP("LEN706100000",Balance!C:G,5,FALSE))</f>
        <v>0</v>
      </c>
      <c r="D137" s="117">
        <f>+[2]Lens!$H137</f>
        <v>0</v>
      </c>
      <c r="E137" s="160">
        <f>IF(ISNA(VLOOKUP("LEN706100000",Balanceanp!C:G,5,FALSE))=TRUE,0,-VLOOKUP("LEN706100000",Balanceanp!C:G,5,FALSE))</f>
        <v>0</v>
      </c>
      <c r="F137" s="368">
        <f>+C137+C137/9*(12-Clients!$I$14)</f>
        <v>0</v>
      </c>
      <c r="G137" s="395">
        <f t="shared" si="15"/>
        <v>0</v>
      </c>
      <c r="H137" s="401"/>
      <c r="I137" s="149">
        <f t="shared" si="14"/>
        <v>0</v>
      </c>
      <c r="J137" s="271">
        <f t="shared" si="14"/>
        <v>0</v>
      </c>
      <c r="L137" s="17">
        <f t="shared" si="16"/>
        <v>0</v>
      </c>
    </row>
    <row r="138" spans="1:12" hidden="1">
      <c r="A138" s="5" t="s">
        <v>152</v>
      </c>
      <c r="B138" s="92"/>
      <c r="C138" s="160">
        <f>IF(ISNA(VLOOKUP("LEN641210000",Balance!C:G,5,FALSE))=TRUE,0,VLOOKUP("LEN641210000",Balance!C:G,5,FALSE))</f>
        <v>0</v>
      </c>
      <c r="D138" s="117">
        <f>+[2]Lens!$H138</f>
        <v>0</v>
      </c>
      <c r="E138" s="160">
        <f>IF(ISNA(VLOOKUP("LEN641210000",Balanceanp!C:G,5,FALSE))=TRUE,0,VLOOKUP("LEN641210000",Balanceanp!C:G,5,FALSE))</f>
        <v>-763.23</v>
      </c>
      <c r="F138" s="368">
        <f>+C138+C138/9*(12-Clients!$I$14)</f>
        <v>0</v>
      </c>
      <c r="G138" s="395">
        <f t="shared" si="15"/>
        <v>0</v>
      </c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IF(ISNA(VLOOKUP("LEN641400000",Balance!C:G,5,FALSE))=TRUE,0,VLOOKUP("LEN641400000",Balance!C:G,5,FALSE))</f>
        <v>0</v>
      </c>
      <c r="D139" s="117">
        <f>+[2]Lens!$H139</f>
        <v>0</v>
      </c>
      <c r="E139" s="160">
        <f>IF(ISNA(VLOOKUP("LEN641400000",Balanceanp!C:G,5,FALSE))=TRUE,0,VLOOKUP("LEN641400000",Balanceanp!C:G,5,FALSE))</f>
        <v>0</v>
      </c>
      <c r="F139" s="368">
        <f>+C139+C139/9*(12-Clients!$I$14)</f>
        <v>0</v>
      </c>
      <c r="G139" s="395">
        <f t="shared" si="15"/>
        <v>0</v>
      </c>
      <c r="H139" s="401"/>
      <c r="I139" s="149">
        <f t="shared" si="14"/>
        <v>0</v>
      </c>
      <c r="J139" s="271">
        <f t="shared" si="14"/>
        <v>0</v>
      </c>
      <c r="L139" s="17">
        <f t="shared" si="16"/>
        <v>0</v>
      </c>
    </row>
    <row r="140" spans="1:12" hidden="1">
      <c r="A140" s="5" t="s">
        <v>154</v>
      </c>
      <c r="B140" s="92"/>
      <c r="C140" s="160">
        <f>IF(ISNA(VLOOKUP("LEN641600000",Balance!C:G,5,FALSE))=TRUE,0,VLOOKUP("LEN641600000",Balance!C:G,5,FALSE))</f>
        <v>0</v>
      </c>
      <c r="D140" s="117">
        <f>+[2]Lens!$H140</f>
        <v>0</v>
      </c>
      <c r="E140" s="160">
        <f>IF(ISNA(VLOOKUP("LEN641600000",Balanceanp!C:G,5,FALSE))=TRUE,0,VLOOKUP("LEN641600000",Balanceanp!C:G,5,FALSE))</f>
        <v>0</v>
      </c>
      <c r="F140" s="368">
        <f>+C140+C140/9*(12-Clients!$I$14)</f>
        <v>0</v>
      </c>
      <c r="G140" s="395">
        <f t="shared" si="15"/>
        <v>0</v>
      </c>
      <c r="H140" s="401"/>
      <c r="I140" s="149">
        <f t="shared" si="14"/>
        <v>0</v>
      </c>
      <c r="J140" s="271">
        <f t="shared" si="14"/>
        <v>0</v>
      </c>
      <c r="L140" s="17">
        <f t="shared" si="16"/>
        <v>0</v>
      </c>
    </row>
    <row r="141" spans="1:12">
      <c r="A141" s="590" t="s">
        <v>155</v>
      </c>
      <c r="B141" s="591"/>
      <c r="C141" s="311">
        <f>IF(ISNA(VLOOKUP("LEN645100000",Balance!C:G,5,FALSE))=TRUE,0,VLOOKUP("LEN645100000",Balance!C:G,5,FALSE))</f>
        <v>12822.64</v>
      </c>
      <c r="D141" s="592">
        <f>+[2]Lens!$H141</f>
        <v>17392.390491505888</v>
      </c>
      <c r="E141" s="311">
        <f>IF(ISNA(VLOOKUP("LEN645100000",Balanceanp!C:G,5,FALSE))=TRUE,0,VLOOKUP("LEN645100000",Balanceanp!C:G,5,FALSE))</f>
        <v>16577.64</v>
      </c>
      <c r="F141" s="625">
        <f>+C141+C141/9*(12-Clients!$I$14)</f>
        <v>17096.853333333333</v>
      </c>
      <c r="G141" s="630">
        <f t="shared" ref="G141:G146" si="17">+($G$131/$C$131*C141)*1.01</f>
        <v>15129.509013249472</v>
      </c>
      <c r="H141" s="630"/>
      <c r="I141" s="591">
        <f t="shared" si="14"/>
        <v>3.1320099443185707E-2</v>
      </c>
      <c r="J141" s="595">
        <f t="shared" si="14"/>
        <v>-0.1150705502192135</v>
      </c>
      <c r="L141" s="17">
        <f t="shared" si="16"/>
        <v>1</v>
      </c>
    </row>
    <row r="142" spans="1:12">
      <c r="A142" s="590" t="s">
        <v>156</v>
      </c>
      <c r="B142" s="591"/>
      <c r="C142" s="311">
        <f>IF(ISNA(VLOOKUP("LEN645200000",Balance!C:G,5,FALSE))=TRUE,0,VLOOKUP("LEN645200000",Balance!C:G,5,FALSE))</f>
        <v>873.66</v>
      </c>
      <c r="D142" s="592">
        <f>+[2]Lens!$H142</f>
        <v>809.07915770378179</v>
      </c>
      <c r="E142" s="311">
        <f>IF(ISNA(VLOOKUP("LEN645200000",Balanceanp!C:G,5,FALSE))=TRUE,0,VLOOKUP("LEN645200000",Balanceanp!C:G,5,FALSE))</f>
        <v>557.44000000000005</v>
      </c>
      <c r="F142" s="625">
        <f>+C142+C142/9*(12-Clients!$I$14)</f>
        <v>1164.8799999999999</v>
      </c>
      <c r="G142" s="630">
        <f t="shared" si="17"/>
        <v>1030.8366174606424</v>
      </c>
      <c r="H142" s="630"/>
      <c r="I142" s="591">
        <f t="shared" si="14"/>
        <v>1.0896957520091843</v>
      </c>
      <c r="J142" s="595">
        <f t="shared" si="14"/>
        <v>-0.11507055021921356</v>
      </c>
      <c r="L142" s="17">
        <f t="shared" si="16"/>
        <v>1</v>
      </c>
    </row>
    <row r="143" spans="1:12">
      <c r="A143" s="590" t="s">
        <v>157</v>
      </c>
      <c r="B143" s="591"/>
      <c r="C143" s="311">
        <f>IF(ISNA(VLOOKUP("LEN645300000",Balance!C:G,5,FALSE))=TRUE,0,VLOOKUP("LEN645300000",Balance!C:G,5,FALSE))</f>
        <v>1902.49</v>
      </c>
      <c r="D143" s="592">
        <f>+[2]Lens!$H143</f>
        <v>2202.6651751871291</v>
      </c>
      <c r="E143" s="311">
        <f>IF(ISNA(VLOOKUP("LEN645300000",Balanceanp!C:G,5,FALSE))=TRUE,0,VLOOKUP("LEN645300000",Balanceanp!C:G,5,FALSE))</f>
        <v>1544.24</v>
      </c>
      <c r="F143" s="625">
        <f>+C143+C143/9*(12-Clients!$I$14)</f>
        <v>2536.6533333333336</v>
      </c>
      <c r="G143" s="630">
        <f t="shared" si="17"/>
        <v>2244.7592385512648</v>
      </c>
      <c r="H143" s="630"/>
      <c r="I143" s="591">
        <f t="shared" si="14"/>
        <v>0.64265485503116981</v>
      </c>
      <c r="J143" s="595">
        <f t="shared" si="14"/>
        <v>-0.11507055021921354</v>
      </c>
      <c r="L143" s="17">
        <f t="shared" si="16"/>
        <v>1</v>
      </c>
    </row>
    <row r="144" spans="1:12" hidden="1">
      <c r="A144" s="5" t="s">
        <v>326</v>
      </c>
      <c r="B144" s="92"/>
      <c r="C144" s="160">
        <f>IF(ISNA(VLOOKUP("LEN645310000",Balance!C:G,5,FALSE))=TRUE,0,VLOOKUP("LEN645310000",Balance!C:G,5,FALSE))</f>
        <v>0</v>
      </c>
      <c r="D144" s="117">
        <f>+[2]Lens!$H144</f>
        <v>0</v>
      </c>
      <c r="E144" s="160">
        <f>IF(ISNA(VLOOKUP("LEN645310000",Balanceanp!C:G,5,FALSE))=TRUE,0,VLOOKUP("LEN645310000",Balanceanp!C:G,5,FALSE))</f>
        <v>0</v>
      </c>
      <c r="F144" s="368">
        <f>+C144+C144/9*(12-Clients!$I$14)</f>
        <v>0</v>
      </c>
      <c r="G144" s="396">
        <f t="shared" si="17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6"/>
        <v>0</v>
      </c>
    </row>
    <row r="145" spans="1:12">
      <c r="A145" s="590" t="s">
        <v>158</v>
      </c>
      <c r="B145" s="591"/>
      <c r="C145" s="311">
        <f>IF(ISNA(VLOOKUP("LEN645400000",Balance!C:G,5,FALSE))=TRUE,0,VLOOKUP("LEN645400000",Balance!C:G,5,FALSE))</f>
        <v>1611.07</v>
      </c>
      <c r="D145" s="592">
        <f>+[2]Lens!$H145</f>
        <v>2256.6855489862405</v>
      </c>
      <c r="E145" s="311">
        <f>IF(ISNA(VLOOKUP("LEN645400000",Balanceanp!C:G,5,FALSE))=TRUE,0,VLOOKUP("LEN645400000",Balanceanp!C:G,5,FALSE))</f>
        <v>1771.3999999999999</v>
      </c>
      <c r="F145" s="625">
        <f>+C145+C145/9*(12-Clients!$I$14)</f>
        <v>2148.0933333333332</v>
      </c>
      <c r="G145" s="630">
        <f t="shared" si="17"/>
        <v>1900.911051544442</v>
      </c>
      <c r="H145" s="630"/>
      <c r="I145" s="591">
        <f t="shared" si="14"/>
        <v>0.21265289225095033</v>
      </c>
      <c r="J145" s="595">
        <f t="shared" si="14"/>
        <v>-0.1150705502192136</v>
      </c>
      <c r="L145" s="17">
        <f t="shared" si="16"/>
        <v>1</v>
      </c>
    </row>
    <row r="146" spans="1:12">
      <c r="A146" s="590" t="s">
        <v>159</v>
      </c>
      <c r="B146" s="591"/>
      <c r="C146" s="311">
        <f>IF(ISNA(VLOOKUP("LEN645800000",Balance!C:G,5,FALSE))=TRUE,0,VLOOKUP("LEN645800000",Balance!C:G,5,FALSE))</f>
        <v>389.15</v>
      </c>
      <c r="D146" s="592">
        <f>+[2]Lens!$H146</f>
        <v>1805.0880545720074</v>
      </c>
      <c r="E146" s="311">
        <f>IF(ISNA(VLOOKUP("LEN645800000",Balanceanp!C:G,5,FALSE))=TRUE,0,VLOOKUP("LEN645800000",Balanceanp!C:G,5,FALSE))</f>
        <v>1738.97</v>
      </c>
      <c r="F146" s="625">
        <f>+C146+C146/9*(12-Clients!$I$14)</f>
        <v>518.86666666666667</v>
      </c>
      <c r="G146" s="630">
        <f t="shared" si="17"/>
        <v>459.16039384292401</v>
      </c>
      <c r="H146" s="630"/>
      <c r="I146" s="591">
        <f t="shared" si="14"/>
        <v>-0.70162414149371954</v>
      </c>
      <c r="J146" s="595">
        <f t="shared" si="14"/>
        <v>-0.11507055021921367</v>
      </c>
      <c r="L146" s="17">
        <f t="shared" si="16"/>
        <v>1</v>
      </c>
    </row>
    <row r="147" spans="1:12">
      <c r="A147" s="590" t="s">
        <v>160</v>
      </c>
      <c r="B147" s="591"/>
      <c r="C147" s="311">
        <f>IF(ISNA(VLOOKUP("LEN645900000",Balance!C:G,5,FALSE))=TRUE,0,VLOOKUP("LEN645900000",Balance!C:G,5,FALSE))</f>
        <v>-9.5299999999999994</v>
      </c>
      <c r="D147" s="592">
        <f>+[2]Lens!$H147</f>
        <v>577.15020000000004</v>
      </c>
      <c r="E147" s="311">
        <f>IF(ISNA(VLOOKUP("LEN645900000",Balanceanp!C:G,5,FALSE))=TRUE,0,VLOOKUP("LEN645900000",Balanceanp!C:G,5,FALSE))</f>
        <v>-207.18</v>
      </c>
      <c r="F147" s="625">
        <f>+C147+C147/9*(12-Clients!$I$14)</f>
        <v>-12.706666666666665</v>
      </c>
      <c r="G147" s="630">
        <f>+F147*1.03</f>
        <v>-13.087866666666665</v>
      </c>
      <c r="H147" s="630"/>
      <c r="I147" s="591">
        <f t="shared" ref="I147:J152" si="18">+IF((E147)=0,,(F147-E147)/E147)</f>
        <v>-0.93866846864240427</v>
      </c>
      <c r="J147" s="595">
        <f t="shared" si="18"/>
        <v>2.9999999999999985E-2</v>
      </c>
      <c r="L147" s="17">
        <f t="shared" si="16"/>
        <v>1</v>
      </c>
    </row>
    <row r="148" spans="1:12">
      <c r="A148" s="590" t="s">
        <v>161</v>
      </c>
      <c r="B148" s="591"/>
      <c r="C148" s="311">
        <f>IF(ISNA(VLOOKUP("LEN647100000",Balance!C:G,5,FALSE))=TRUE,0,VLOOKUP("LEN647100000",Balance!C:G,5,FALSE))</f>
        <v>0</v>
      </c>
      <c r="D148" s="592">
        <f>+[2]Lens!$H148</f>
        <v>6.5881889999999999</v>
      </c>
      <c r="E148" s="311">
        <f>IF(ISNA(VLOOKUP("LEN647100000",Balanceanp!C:G,5,FALSE))=TRUE,0,VLOOKUP("LEN647100000",Balanceanp!C:G,5,FALSE))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8"/>
        <v>-1</v>
      </c>
      <c r="J148" s="595">
        <f t="shared" si="18"/>
        <v>0</v>
      </c>
      <c r="L148" s="17">
        <f t="shared" si="16"/>
        <v>1</v>
      </c>
    </row>
    <row r="149" spans="1:12">
      <c r="A149" s="590" t="s">
        <v>162</v>
      </c>
      <c r="B149" s="591"/>
      <c r="C149" s="311">
        <f>IF(ISNA(VLOOKUP("LEN647400000",Balance!C:G,5,FALSE))=TRUE,0,VLOOKUP("LEN647400000",Balance!C:G,5,FALSE))</f>
        <v>0</v>
      </c>
      <c r="D149" s="592">
        <f>+[2]Lens!$H149</f>
        <v>26.039790500000006</v>
      </c>
      <c r="E149" s="311">
        <f>IF(ISNA(VLOOKUP("LEN647400000",Balanceanp!C:G,5,FALSE))=TRUE,0,VLOOKUP("LEN647400000",Balanceanp!C:G,5,FALSE))</f>
        <v>72.3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8"/>
        <v>-1</v>
      </c>
      <c r="J149" s="595">
        <f t="shared" si="18"/>
        <v>0</v>
      </c>
      <c r="L149" s="17">
        <f t="shared" si="16"/>
        <v>1</v>
      </c>
    </row>
    <row r="150" spans="1:12">
      <c r="A150" s="590" t="s">
        <v>163</v>
      </c>
      <c r="B150" s="591"/>
      <c r="C150" s="311">
        <f>IF(ISNA(VLOOKUP("LEN647500000",Balance!C:G,5,FALSE))=TRUE,0,VLOOKUP("LEN647500000",Balance!C:G,5,FALSE))</f>
        <v>128</v>
      </c>
      <c r="D150" s="592">
        <f>+[2]Lens!$H150</f>
        <v>320.6446824491656</v>
      </c>
      <c r="E150" s="311">
        <f>IF(ISNA(VLOOKUP("LEN647500000",Balanceanp!C:G,5,FALSE))=TRUE,0,VLOOKUP("LEN647500000",Balanceanp!C:G,5,FALSE))</f>
        <v>224.7</v>
      </c>
      <c r="F150" s="625">
        <f>+C150+C150/9*(12-Clients!$I$14)</f>
        <v>170.66666666666666</v>
      </c>
      <c r="G150" s="630">
        <f>+F150*1.03</f>
        <v>175.78666666666666</v>
      </c>
      <c r="H150" s="630"/>
      <c r="I150" s="591">
        <f t="shared" si="18"/>
        <v>-0.24046877317905355</v>
      </c>
      <c r="J150" s="595">
        <f t="shared" si="18"/>
        <v>3.0000000000000027E-2</v>
      </c>
      <c r="L150" s="17">
        <f t="shared" si="16"/>
        <v>1</v>
      </c>
    </row>
    <row r="151" spans="1:12" hidden="1">
      <c r="A151" s="5" t="s">
        <v>570</v>
      </c>
      <c r="B151" s="92"/>
      <c r="C151" s="160"/>
      <c r="D151" s="117">
        <f>+[2]Lens!$H151</f>
        <v>0</v>
      </c>
      <c r="E151" s="160"/>
      <c r="F151" s="368"/>
      <c r="G151" s="395"/>
      <c r="H151" s="409"/>
      <c r="I151" s="149"/>
      <c r="J151" s="271"/>
      <c r="L151" s="17">
        <f t="shared" si="16"/>
        <v>0</v>
      </c>
    </row>
    <row r="152" spans="1:12">
      <c r="A152" s="590" t="s">
        <v>58</v>
      </c>
      <c r="B152" s="591"/>
      <c r="C152" s="311">
        <f>IF(ISNA(VLOOKUP("LEN648000000",Balance!C:G,5,FALSE))=TRUE,0,VLOOKUP("LEN648000000",Balance!C:G,5,FALSE))</f>
        <v>0</v>
      </c>
      <c r="D152" s="592">
        <f>+[2]Lens!$H152</f>
        <v>0</v>
      </c>
      <c r="E152" s="311">
        <f>IF(ISNA(VLOOKUP("LEN648000000",Balanceanp!C:G,5,FALSE))=TRUE,0,VLOOKUP("LEN648000000",Balanceanp!C:G,5,FALSE))</f>
        <v>346.03191999999996</v>
      </c>
      <c r="F152" s="625">
        <f>+C152+C152/9*(12-Clients!$I$14)</f>
        <v>0</v>
      </c>
      <c r="G152" s="630">
        <f>+F152*1.03</f>
        <v>0</v>
      </c>
      <c r="H152" s="630">
        <f>SUM(G141:G152)</f>
        <v>20927.875114648745</v>
      </c>
      <c r="I152" s="591">
        <f t="shared" si="18"/>
        <v>-1</v>
      </c>
      <c r="J152" s="595">
        <f t="shared" si="18"/>
        <v>0</v>
      </c>
      <c r="L152" s="17">
        <f t="shared" si="16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6"/>
        <v>0</v>
      </c>
    </row>
    <row r="154" spans="1:12" s="33" customFormat="1" ht="15" customHeight="1">
      <c r="A154" s="13" t="s">
        <v>164</v>
      </c>
      <c r="B154" s="596">
        <f>+C154/$C$21</f>
        <v>0.19418085639246943</v>
      </c>
      <c r="C154" s="305">
        <f>SUM(C130:C153)</f>
        <v>59832.990000000005</v>
      </c>
      <c r="D154" s="312">
        <f>SUM(D130:D153)</f>
        <v>83766.331289904221</v>
      </c>
      <c r="E154" s="305">
        <f>SUM(E130:E153)</f>
        <v>62675.861919999988</v>
      </c>
      <c r="F154" s="312">
        <f>SUM(F130:F153)</f>
        <v>79777.320000000022</v>
      </c>
      <c r="G154" s="312">
        <f>SUM(G130:G153)</f>
        <v>70720.875114648748</v>
      </c>
      <c r="H154" s="421">
        <f>+G154/$G$21</f>
        <v>0.12166781092630991</v>
      </c>
      <c r="I154" s="598">
        <f>+IF((E154)=0,,(F154-E154)/E154)</f>
        <v>0.27285557080696365</v>
      </c>
      <c r="J154" s="599">
        <f>+IF((F154)=0,,(G154-F154)/F154)</f>
        <v>-0.1135215482965744</v>
      </c>
      <c r="K154" s="136">
        <f>(C154+(C154/3))</f>
        <v>79777.320000000007</v>
      </c>
      <c r="L154" s="17">
        <f t="shared" si="16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6"/>
        <v>0</v>
      </c>
    </row>
    <row r="156" spans="1:12">
      <c r="A156" s="590" t="s">
        <v>545</v>
      </c>
      <c r="B156" s="591">
        <v>0.83440000000000003</v>
      </c>
      <c r="C156" s="311">
        <f>IF(ISNA(VLOOKUP("LEN681740000",Balance!C:G,5,FALSE))=TRUE,0,VLOOKUP("LEN681740000",Balance!C:G,5,FALSE))</f>
        <v>1776.18</v>
      </c>
      <c r="D156" s="592">
        <f>+[2]Lens!$H156</f>
        <v>6896.3192410000001</v>
      </c>
      <c r="E156" s="311">
        <f>IF(ISNA(VLOOKUP("LEN681740000",Balanceanp!C:G,5,FALSE))=TRUE,0,VLOOKUP("LEN681740000",Balanceanp!C:G,5,FALSE))</f>
        <v>635.6</v>
      </c>
      <c r="F156" s="625">
        <f>+C156+C156/9*(12-Clients!$I$14)</f>
        <v>2368.2400000000002</v>
      </c>
      <c r="G156" s="637">
        <f>+G21*B156*1.62%</f>
        <v>7857.0812073600018</v>
      </c>
      <c r="H156" s="639"/>
      <c r="I156" s="591">
        <f t="shared" ref="I156:J166" si="19">+IF((E156)=0,,(F156-E156)/E156)</f>
        <v>2.725991189427313</v>
      </c>
      <c r="J156" s="595">
        <f t="shared" si="19"/>
        <v>2.3176879063608422</v>
      </c>
      <c r="L156" s="17">
        <f t="shared" si="16"/>
        <v>1</v>
      </c>
    </row>
    <row r="157" spans="1:12">
      <c r="A157" s="590" t="s">
        <v>165</v>
      </c>
      <c r="B157" s="591"/>
      <c r="C157" s="311">
        <f>IF(ISNA(VLOOKUP("LEN781740000",Balance!C:G,5,FALSE))=TRUE,0,VLOOKUP("LEN781740000",Balance!C:G,5,FALSE))</f>
        <v>-2011.26</v>
      </c>
      <c r="D157" s="592">
        <f>+[2]Lens!$H157</f>
        <v>0</v>
      </c>
      <c r="E157" s="311">
        <f>IF(ISNA(VLOOKUP("LEN781740000",Balanceanp!C:G,5,FALSE))=TRUE,0,VLOOKUP("LEN781740000",Balanceanp!C:G,5,FALSE))</f>
        <v>-10087.33</v>
      </c>
      <c r="F157" s="625">
        <f>+C157+C157/9*(12-Clients!$I$14)</f>
        <v>-2681.68</v>
      </c>
      <c r="G157" s="630">
        <v>0</v>
      </c>
      <c r="H157" s="630"/>
      <c r="I157" s="591">
        <f t="shared" si="19"/>
        <v>-0.73415363629424235</v>
      </c>
      <c r="J157" s="595">
        <f t="shared" si="19"/>
        <v>-1</v>
      </c>
      <c r="L157" s="17">
        <f t="shared" si="16"/>
        <v>1</v>
      </c>
    </row>
    <row r="158" spans="1:12">
      <c r="A158" s="590" t="s">
        <v>166</v>
      </c>
      <c r="B158" s="591"/>
      <c r="C158" s="311">
        <f>IF(ISNA(VLOOKUP("LEN654400000",Balance!C:G,5,FALSE))=TRUE,0,VLOOKUP("LEN654400000",Balance!C:G,5,FALSE))</f>
        <v>2011.26</v>
      </c>
      <c r="D158" s="592">
        <f>+[2]Lens!$H158</f>
        <v>0</v>
      </c>
      <c r="E158" s="311">
        <f>IF(ISNA(VLOOKUP("LEN654400000",Balanceanp!C:G,5,FALSE))=TRUE,0,VLOOKUP("LEN654400000",Balanceanp!C:G,5,FALSE))</f>
        <v>9578.86</v>
      </c>
      <c r="F158" s="625">
        <f>+C158+C158/9*(12-Clients!$I$14)</f>
        <v>2681.68</v>
      </c>
      <c r="G158" s="630">
        <v>0</v>
      </c>
      <c r="H158" s="630"/>
      <c r="I158" s="591">
        <f t="shared" si="19"/>
        <v>-0.72004184213987887</v>
      </c>
      <c r="J158" s="595">
        <f t="shared" si="19"/>
        <v>-1</v>
      </c>
      <c r="L158" s="17">
        <f t="shared" si="16"/>
        <v>1</v>
      </c>
    </row>
    <row r="159" spans="1:12" hidden="1">
      <c r="A159" s="5" t="s">
        <v>60</v>
      </c>
      <c r="B159" s="92"/>
      <c r="C159" s="160">
        <f>IF(ISNA(VLOOKUP("LEN791100000",Balance!C:G,5,FALSE))=TRUE,0,VLOOKUP("LEN791100000",Balance!C:G,5,FALSE))</f>
        <v>0</v>
      </c>
      <c r="D159" s="117">
        <f>+[2]Lens!$H159</f>
        <v>0</v>
      </c>
      <c r="E159" s="160">
        <f>IF(ISNA(VLOOKUP("LEN791100000",Balanceanp!C:G,5,FALSE))=TRUE,0,VLOOKUP("LEN791100000",Balanceanp!C:G,5,FALSE))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9"/>
        <v>0</v>
      </c>
      <c r="J159" s="271">
        <f t="shared" si="19"/>
        <v>0</v>
      </c>
      <c r="L159" s="17">
        <f t="shared" si="16"/>
        <v>0</v>
      </c>
    </row>
    <row r="160" spans="1:12">
      <c r="A160" s="590" t="s">
        <v>199</v>
      </c>
      <c r="B160" s="591"/>
      <c r="C160" s="311">
        <f>IF(ISNA(VLOOKUP("LEN654100000",Balance!C:G,5,FALSE))=TRUE,0,VLOOKUP("LEN654100000",Balance!C:G,5,FALSE))</f>
        <v>0.39999999999999997</v>
      </c>
      <c r="D160" s="592">
        <f>+[2]Lens!$H160</f>
        <v>0</v>
      </c>
      <c r="E160" s="311">
        <f>IF(ISNA(VLOOKUP("LEN654100000",Balanceanp!C:G,5,FALSE))=TRUE,0,VLOOKUP("LEN654100000",Balanceanp!C:G,5,FALSE))</f>
        <v>-0.91999999999999993</v>
      </c>
      <c r="F160" s="625">
        <f>+C160+C160/9*(12-Clients!$I$14)</f>
        <v>0.53333333333333321</v>
      </c>
      <c r="G160" s="630">
        <v>0</v>
      </c>
      <c r="H160" s="630"/>
      <c r="I160" s="591">
        <f t="shared" si="19"/>
        <v>-1.5797101449275361</v>
      </c>
      <c r="J160" s="595">
        <f t="shared" si="19"/>
        <v>-1</v>
      </c>
      <c r="L160" s="17">
        <f t="shared" si="16"/>
        <v>1</v>
      </c>
    </row>
    <row r="161" spans="1:12">
      <c r="A161" s="590" t="s">
        <v>41</v>
      </c>
      <c r="B161" s="591"/>
      <c r="C161" s="311">
        <f>IF(ISNA(VLOOKUP("LEN622700000",Balance!C:G,5,FALSE))=TRUE,0,VLOOKUP("LEN622700000",Balance!C:G,5,FALSE))</f>
        <v>83.93</v>
      </c>
      <c r="D161" s="592">
        <f>+[2]Lens!$H161</f>
        <v>140.14751280240728</v>
      </c>
      <c r="E161" s="311">
        <f>IF(ISNA(VLOOKUP("LEN622700000",Balanceanp!C:G,5,FALSE))=TRUE,0,VLOOKUP("LEN622700000",Balanceanp!C:G,5,FALSE))</f>
        <v>114.19</v>
      </c>
      <c r="F161" s="625">
        <f>+C161+C161/9*(12-Clients!$I$14)</f>
        <v>111.90666666666668</v>
      </c>
      <c r="G161" s="630">
        <f t="shared" ref="G161:G166" si="20">+F161*1.03</f>
        <v>115.26386666666669</v>
      </c>
      <c r="H161" s="630"/>
      <c r="I161" s="591">
        <f t="shared" si="19"/>
        <v>-1.9995913244008384E-2</v>
      </c>
      <c r="J161" s="595">
        <f t="shared" si="19"/>
        <v>3.0000000000000051E-2</v>
      </c>
      <c r="L161" s="17">
        <f t="shared" si="16"/>
        <v>1</v>
      </c>
    </row>
    <row r="162" spans="1:12">
      <c r="A162" s="590" t="s">
        <v>355</v>
      </c>
      <c r="B162" s="591"/>
      <c r="C162" s="311">
        <f>IF(ISNA(VLOOKUP("LEN654200000",Balance!C:G,5,FALSE))=TRUE,0,VLOOKUP("LEN654200000",Balance!C:G,5,FALSE))</f>
        <v>0</v>
      </c>
      <c r="D162" s="592">
        <f>+[2]Lens!$H162</f>
        <v>3.7452605632559028</v>
      </c>
      <c r="E162" s="311">
        <f>IF(ISNA(VLOOKUP("LEN654200000",Balanceanp!C:G,5,FALSE))=TRUE,0,VLOOKUP("LEN654200000",Balanceanp!C:G,5,FALSE))</f>
        <v>3.59</v>
      </c>
      <c r="F162" s="625">
        <f>+C162+C162/9*(12-Clients!$I$14)</f>
        <v>0</v>
      </c>
      <c r="G162" s="630">
        <f t="shared" si="20"/>
        <v>0</v>
      </c>
      <c r="H162" s="630"/>
      <c r="I162" s="591">
        <f t="shared" si="19"/>
        <v>-1</v>
      </c>
      <c r="J162" s="595">
        <f t="shared" si="19"/>
        <v>0</v>
      </c>
      <c r="L162" s="17">
        <f t="shared" si="16"/>
        <v>1</v>
      </c>
    </row>
    <row r="163" spans="1:12">
      <c r="A163" s="590" t="s">
        <v>200</v>
      </c>
      <c r="B163" s="591"/>
      <c r="C163" s="311">
        <f>IF(ISNA(VLOOKUP("LEN665000000",Balance!C:G,5,FALSE))=TRUE,0,VLOOKUP("LEN665000000",Balance!C:G,5,FALSE))+IF(ISNA(VLOOKUP("LEN665100000",Balance!C:G,5,FALSE))=TRUE,0,VLOOKUP("LEN665100000",Balance!C:G,5,FALSE))</f>
        <v>0</v>
      </c>
      <c r="D163" s="592">
        <f>+[2]Lens!$H163</f>
        <v>436.65719837485489</v>
      </c>
      <c r="E163" s="311">
        <f>IF(ISNA(VLOOKUP("LEN665000000",Balanceanp!C:G,5,FALSE))=TRUE,0,VLOOKUP("LEN665000000",Balanceanp!C:G,5,FALSE))+IF(ISNA(VLOOKUP("LEN665100000",Balanceanp!C:G,5,FALSE))=TRUE,0,VLOOKUP("LEN665100000",Balanceanp!C:G,5,FALSE))</f>
        <v>0</v>
      </c>
      <c r="F163" s="625">
        <f>+C163+C163/9*(12-Clients!$I$14)</f>
        <v>0</v>
      </c>
      <c r="G163" s="630">
        <f t="shared" si="20"/>
        <v>0</v>
      </c>
      <c r="H163" s="630"/>
      <c r="I163" s="591">
        <f t="shared" si="19"/>
        <v>0</v>
      </c>
      <c r="J163" s="595">
        <f t="shared" si="19"/>
        <v>0</v>
      </c>
      <c r="L163" s="17">
        <f t="shared" si="16"/>
        <v>1</v>
      </c>
    </row>
    <row r="164" spans="1:12">
      <c r="A164" s="590" t="s">
        <v>271</v>
      </c>
      <c r="B164" s="591"/>
      <c r="C164" s="311">
        <f>IF(ISNA(VLOOKUP("LEN763000000",Balance!C:G,5,FALSE))=TRUE,0,VLOOKUP("LEN763000000",Balance!C:G,5,FALSE))</f>
        <v>0</v>
      </c>
      <c r="D164" s="592">
        <f>+[2]Lens!$H164</f>
        <v>-12.051469261562501</v>
      </c>
      <c r="E164" s="311">
        <f>IF(ISNA(VLOOKUP("LEN763000000",Balanceanp!C:G,5,FALSE))=TRUE,0,VLOOKUP("LEN763000000",Balanceanp!C:G,5,FALSE))</f>
        <v>0</v>
      </c>
      <c r="F164" s="625">
        <f>+C164+C164/9*(12-Clients!$I$14)</f>
        <v>0</v>
      </c>
      <c r="G164" s="630">
        <f t="shared" si="20"/>
        <v>0</v>
      </c>
      <c r="H164" s="630"/>
      <c r="I164" s="591">
        <f t="shared" si="19"/>
        <v>0</v>
      </c>
      <c r="J164" s="595">
        <f t="shared" si="19"/>
        <v>0</v>
      </c>
      <c r="L164" s="17">
        <f t="shared" si="16"/>
        <v>1</v>
      </c>
    </row>
    <row r="165" spans="1:12">
      <c r="A165" s="590" t="s">
        <v>242</v>
      </c>
      <c r="B165" s="591"/>
      <c r="C165" s="311">
        <f>IF(ISNA(VLOOKUP("LEN627520000",Balance!C:G,5,FALSE))=TRUE,0,VLOOKUP("LEN627520000",Balance!C:G,5,FALSE))</f>
        <v>9</v>
      </c>
      <c r="D165" s="592">
        <f>+[2]Lens!$H165</f>
        <v>35.438761681770835</v>
      </c>
      <c r="E165" s="311">
        <f>IF(ISNA(VLOOKUP("LEN627520000",Balanceanp!C:G,5,FALSE))=TRUE,0,VLOOKUP("LEN627520000",Balanceanp!C:G,5,FALSE))</f>
        <v>9</v>
      </c>
      <c r="F165" s="625">
        <f>+C165+C165/9*(12-Clients!$I$14)</f>
        <v>12</v>
      </c>
      <c r="G165" s="630">
        <f t="shared" si="20"/>
        <v>12.36</v>
      </c>
      <c r="H165" s="630"/>
      <c r="I165" s="591">
        <f t="shared" si="19"/>
        <v>0.33333333333333331</v>
      </c>
      <c r="J165" s="595">
        <f t="shared" si="19"/>
        <v>2.9999999999999954E-2</v>
      </c>
      <c r="L165" s="17">
        <f t="shared" si="16"/>
        <v>1</v>
      </c>
    </row>
    <row r="166" spans="1:12" hidden="1">
      <c r="A166" s="5" t="s">
        <v>201</v>
      </c>
      <c r="B166" s="92"/>
      <c r="C166" s="160">
        <f>IF(ISNA(VLOOKUP("LEN763100000",Balance!C:G,5,FALSE))=TRUE,0,VLOOKUP("LEN763100000",Balance!C:G,5,FALSE))</f>
        <v>0</v>
      </c>
      <c r="D166" s="117">
        <f>+[2]Lens!$H166</f>
        <v>0</v>
      </c>
      <c r="E166" s="160">
        <f>IF(ISNA(VLOOKUP("LEN763100000",Balanceanp!C:G,5,FALSE))=TRUE,0,VLOOKUP("LEN763100000",Balanceanp!C:G,5,FALSE))</f>
        <v>0</v>
      </c>
      <c r="F166" s="368">
        <f>+C166+C166/9*(12-Clients!$I$14)</f>
        <v>0</v>
      </c>
      <c r="G166" s="396">
        <f t="shared" si="20"/>
        <v>0</v>
      </c>
      <c r="H166" s="409"/>
      <c r="I166" s="149">
        <f t="shared" si="19"/>
        <v>0</v>
      </c>
      <c r="J166" s="271">
        <f t="shared" si="19"/>
        <v>0</v>
      </c>
      <c r="L166" s="17">
        <f t="shared" si="16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6"/>
        <v>0</v>
      </c>
    </row>
    <row r="168" spans="1:12" s="33" customFormat="1" ht="15" customHeight="1">
      <c r="A168" s="13" t="s">
        <v>74</v>
      </c>
      <c r="B168" s="596">
        <f>+C168/$C$21</f>
        <v>6.0672724668161416E-3</v>
      </c>
      <c r="C168" s="305">
        <f>SUM(C155:C167)</f>
        <v>1869.5100000000002</v>
      </c>
      <c r="D168" s="312">
        <f>SUM(D155:D167)</f>
        <v>7500.2565051607271</v>
      </c>
      <c r="E168" s="305">
        <f>SUM(E155:E167)</f>
        <v>252.990000000001</v>
      </c>
      <c r="F168" s="312">
        <f>SUM(F155:F167)</f>
        <v>2492.6800000000003</v>
      </c>
      <c r="G168" s="312">
        <f>SUM(G155:G167)</f>
        <v>7984.7050740266686</v>
      </c>
      <c r="H168" s="421">
        <f>+G168/$G$21</f>
        <v>1.3736843409730326E-2</v>
      </c>
      <c r="I168" s="598">
        <f>+IF((E168)=0,,(F168-E168)/E168)</f>
        <v>8.8528795604568966</v>
      </c>
      <c r="J168" s="599">
        <f>+IF((F168)=0,,(G168-F168)/F168)</f>
        <v>2.2032611783408491</v>
      </c>
      <c r="K168" s="136">
        <f>(C168+(C168/3))</f>
        <v>2492.6800000000003</v>
      </c>
      <c r="L168" s="17">
        <f t="shared" si="16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6"/>
        <v>0</v>
      </c>
    </row>
    <row r="170" spans="1:12" hidden="1">
      <c r="A170" s="5" t="s">
        <v>167</v>
      </c>
      <c r="B170" s="92"/>
      <c r="C170" s="160">
        <f>IF(ISNA(VLOOKUP("LEN651100000",Balance!C:G,5,FALSE))=TRUE,0,VLOOKUP("LEN651100000",Balance!C:G,5,FALSE))</f>
        <v>0</v>
      </c>
      <c r="D170" s="117">
        <f>+[2]Lens!$H170</f>
        <v>0</v>
      </c>
      <c r="E170" s="160">
        <f>IF(ISNA(VLOOKUP("LEN651100000",Balanceanp!C:G,5,FALSE))=TRUE,0,VLOOKUP("LEN651100000",Balanceanp!C:G,5,FALSE))</f>
        <v>0</v>
      </c>
      <c r="F170" s="368">
        <f>+C170+C170/9*(12-Clients!$I$14)</f>
        <v>0</v>
      </c>
      <c r="G170" s="396">
        <f t="shared" ref="G170:G183" si="21">+F170*1.03</f>
        <v>0</v>
      </c>
      <c r="H170" s="409"/>
      <c r="I170" s="149">
        <f t="shared" ref="I170:J183" si="22">+IF((E170)=0,,(F170-E170)/E170)</f>
        <v>0</v>
      </c>
      <c r="J170" s="271">
        <f t="shared" si="22"/>
        <v>0</v>
      </c>
      <c r="L170" s="17">
        <f t="shared" si="16"/>
        <v>0</v>
      </c>
    </row>
    <row r="171" spans="1:12" hidden="1">
      <c r="A171" s="5" t="s">
        <v>168</v>
      </c>
      <c r="B171" s="92"/>
      <c r="C171" s="160">
        <f>IF(ISNA(VLOOKUP("LEN651600000",Balance!C:G,5,FALSE))=TRUE,0,VLOOKUP("LEN651600000",Balance!C:G,5,FALSE))</f>
        <v>0</v>
      </c>
      <c r="D171" s="117">
        <f>+[2]Lens!$H171</f>
        <v>0</v>
      </c>
      <c r="E171" s="160">
        <f>IF(ISNA(VLOOKUP("LEN651600000",Balanceanp!C:G,5,FALSE))=TRUE,0,VLOOKUP("LEN651600000",Balanceanp!C:G,5,FALSE))</f>
        <v>0</v>
      </c>
      <c r="F171" s="368">
        <f>+C171+C171/9*(12-Clients!$I$14)</f>
        <v>0</v>
      </c>
      <c r="G171" s="396">
        <f t="shared" si="21"/>
        <v>0</v>
      </c>
      <c r="H171" s="409"/>
      <c r="I171" s="149">
        <f t="shared" si="22"/>
        <v>0</v>
      </c>
      <c r="J171" s="271">
        <f t="shared" si="22"/>
        <v>0</v>
      </c>
      <c r="L171" s="17">
        <f t="shared" si="16"/>
        <v>0</v>
      </c>
    </row>
    <row r="172" spans="1:12" hidden="1">
      <c r="A172" s="5" t="s">
        <v>169</v>
      </c>
      <c r="B172" s="92"/>
      <c r="C172" s="160">
        <f>IF(ISNA(VLOOKUP("LEN671200000",Balance!C:G,5,FALSE))=TRUE,0,VLOOKUP("LEN671200000",Balance!C:G,5,FALSE))</f>
        <v>0</v>
      </c>
      <c r="D172" s="117">
        <f>+[2]Lens!$H172</f>
        <v>0</v>
      </c>
      <c r="E172" s="160">
        <f>IF(ISNA(VLOOKUP("LEN671200000",Balanceanp!C:G,5,FALSE))=TRUE,0,VLOOKUP("LEN671200000",Balanceanp!C:G,5,FALSE))</f>
        <v>0</v>
      </c>
      <c r="F172" s="368">
        <f>+C172+C172/9*(12-Clients!$I$14)</f>
        <v>0</v>
      </c>
      <c r="G172" s="396">
        <f t="shared" si="21"/>
        <v>0</v>
      </c>
      <c r="H172" s="409"/>
      <c r="I172" s="149">
        <f t="shared" si="22"/>
        <v>0</v>
      </c>
      <c r="J172" s="271">
        <f t="shared" si="22"/>
        <v>0</v>
      </c>
      <c r="L172" s="17">
        <f t="shared" si="16"/>
        <v>0</v>
      </c>
    </row>
    <row r="173" spans="1:12">
      <c r="A173" s="590" t="s">
        <v>170</v>
      </c>
      <c r="B173" s="591"/>
      <c r="C173" s="311">
        <f>IF(ISNA(VLOOKUP("LEN671800000",Balance!C:G,5,FALSE))=TRUE,0,VLOOKUP("LEN671800000",Balance!C:G,5,FALSE))</f>
        <v>0</v>
      </c>
      <c r="D173" s="592">
        <f>+[2]Lens!$H173</f>
        <v>0</v>
      </c>
      <c r="E173" s="311">
        <f>IF(ISNA(VLOOKUP("LEN671800000",Balanceanp!C:G,5,FALSE))=TRUE,0,VLOOKUP("LEN671800000",Balanceanp!C:G,5,FALSE))+IF(ISNA(VLOOKUP("LEN658000000",Balanceanp!C:G,5,FALSE))=TRUE,0,VLOOKUP("LEN658000000",Balanceanp!C:G,5,FALSE))</f>
        <v>1980.04</v>
      </c>
      <c r="F173" s="625">
        <f>+C173+C173/9*(12-Clients!$I$14)</f>
        <v>0</v>
      </c>
      <c r="G173" s="630">
        <v>0</v>
      </c>
      <c r="H173" s="630"/>
      <c r="I173" s="591">
        <f t="shared" si="22"/>
        <v>-1</v>
      </c>
      <c r="J173" s="595">
        <f t="shared" si="22"/>
        <v>0</v>
      </c>
      <c r="L173" s="17">
        <f t="shared" si="16"/>
        <v>1</v>
      </c>
    </row>
    <row r="174" spans="1:12" hidden="1">
      <c r="A174" s="5" t="s">
        <v>171</v>
      </c>
      <c r="B174" s="92"/>
      <c r="C174" s="160">
        <f>IF(ISNA(VLOOKUP("LEN672000000",Balance!C:G,5,FALSE))=TRUE,0,VLOOKUP("LEN672000000",Balance!C:G,5,FALSE))</f>
        <v>0</v>
      </c>
      <c r="D174" s="117">
        <f>+[2]Lens!$H174</f>
        <v>0</v>
      </c>
      <c r="E174" s="160">
        <f>IF(ISNA(VLOOKUP("LEN672000000",Balanceanp!C:G,5,FALSE))=TRUE,0,VLOOKUP("LEN672000000",Balanceanp!C:G,5,FALSE))</f>
        <v>0</v>
      </c>
      <c r="F174" s="368">
        <f>+C174+C174/9*(12-Clients!$I$14)</f>
        <v>0</v>
      </c>
      <c r="G174" s="396">
        <f t="shared" si="21"/>
        <v>0</v>
      </c>
      <c r="H174" s="409"/>
      <c r="I174" s="149">
        <f t="shared" si="22"/>
        <v>0</v>
      </c>
      <c r="J174" s="271">
        <f t="shared" si="22"/>
        <v>0</v>
      </c>
      <c r="L174" s="17">
        <f t="shared" si="16"/>
        <v>0</v>
      </c>
    </row>
    <row r="175" spans="1:12" hidden="1">
      <c r="A175" s="5" t="s">
        <v>308</v>
      </c>
      <c r="B175" s="92"/>
      <c r="C175" s="160">
        <f>IF(ISNA(VLOOKUP("LEN691100000",Balance!C:G,5,FALSE))=TRUE,0,VLOOKUP("LEN691100000",Balance!C:G,5,FALSE))</f>
        <v>0</v>
      </c>
      <c r="D175" s="117">
        <f>+[2]Lens!$H175</f>
        <v>0</v>
      </c>
      <c r="E175" s="160">
        <f>IF(ISNA(VLOOKUP("LEN691100000",Balanceanp!C:G,5,FALSE))=TRUE,0,VLOOKUP("LEN691100000",Balanceanp!C:G,5,FALSE))</f>
        <v>0</v>
      </c>
      <c r="F175" s="368">
        <f>+C175+C175/9*(12-Clients!$I$14)</f>
        <v>0</v>
      </c>
      <c r="G175" s="396">
        <f t="shared" si="21"/>
        <v>0</v>
      </c>
      <c r="H175" s="409"/>
      <c r="I175" s="149">
        <f t="shared" si="22"/>
        <v>0</v>
      </c>
      <c r="J175" s="271">
        <f t="shared" si="22"/>
        <v>0</v>
      </c>
      <c r="L175" s="17">
        <f t="shared" si="16"/>
        <v>0</v>
      </c>
    </row>
    <row r="176" spans="1:12" hidden="1">
      <c r="A176" s="5" t="s">
        <v>172</v>
      </c>
      <c r="B176" s="92"/>
      <c r="C176" s="160">
        <f>IF(ISNA(VLOOKUP("LEN675100000",Balance!C:G,5,FALSE))=TRUE,0,VLOOKUP("LEN675100000",Balance!C:G,5,FALSE))</f>
        <v>0</v>
      </c>
      <c r="D176" s="117">
        <f>+[2]Lens!$H176</f>
        <v>0</v>
      </c>
      <c r="E176" s="160">
        <f>IF(ISNA(VLOOKUP("LEN675100000",Balanceanp!C:G,5,FALSE))=TRUE,0,VLOOKUP("LEN675100000",Balanceanp!C:G,5,FALSE))</f>
        <v>0</v>
      </c>
      <c r="F176" s="368">
        <f>+C176+C176/9*(12-Clients!$I$14)</f>
        <v>0</v>
      </c>
      <c r="G176" s="396">
        <f t="shared" si="21"/>
        <v>0</v>
      </c>
      <c r="H176" s="409"/>
      <c r="I176" s="149">
        <f t="shared" si="22"/>
        <v>0</v>
      </c>
      <c r="J176" s="271">
        <f t="shared" si="22"/>
        <v>0</v>
      </c>
      <c r="L176" s="17">
        <f t="shared" si="16"/>
        <v>0</v>
      </c>
    </row>
    <row r="177" spans="1:12" hidden="1">
      <c r="A177" s="5" t="s">
        <v>173</v>
      </c>
      <c r="B177" s="92"/>
      <c r="C177" s="160">
        <f>IF(ISNA(VLOOKUP("LEN675200000",Balance!C:G,5,FALSE))=TRUE,0,VLOOKUP("LEN675200000",Balance!C:G,5,FALSE))</f>
        <v>0</v>
      </c>
      <c r="D177" s="117">
        <f>+[2]Lens!$H177</f>
        <v>0</v>
      </c>
      <c r="E177" s="160">
        <f>IF(ISNA(VLOOKUP("LEN675200000",Balanceanp!C:G,5,FALSE))=TRUE,0,VLOOKUP("LEN675200000",Balanceanp!C:G,5,FALSE))</f>
        <v>0</v>
      </c>
      <c r="F177" s="368">
        <f>+C177+C177/9*(12-Clients!$I$14)</f>
        <v>0</v>
      </c>
      <c r="G177" s="396">
        <f t="shared" si="21"/>
        <v>0</v>
      </c>
      <c r="H177" s="409"/>
      <c r="I177" s="149">
        <f t="shared" si="22"/>
        <v>0</v>
      </c>
      <c r="J177" s="271">
        <f t="shared" si="22"/>
        <v>0</v>
      </c>
      <c r="L177" s="17">
        <f t="shared" si="16"/>
        <v>0</v>
      </c>
    </row>
    <row r="178" spans="1:12" hidden="1">
      <c r="A178" s="5" t="s">
        <v>174</v>
      </c>
      <c r="B178" s="92"/>
      <c r="C178" s="160">
        <f>IF(ISNA(VLOOKUP("LEN681110000",Balance!C:G,5,FALSE))=TRUE,0,VLOOKUP("LEN681110000",Balance!C:G,5,FALSE))</f>
        <v>0</v>
      </c>
      <c r="D178" s="117">
        <f>+[2]Lens!$H178</f>
        <v>0</v>
      </c>
      <c r="E178" s="160">
        <f>IF(ISNA(VLOOKUP("LEN681110000",Balanceanp!C:G,5,FALSE))=TRUE,0,VLOOKUP("LEN681110000",Balanceanp!C:G,5,FALSE))</f>
        <v>0</v>
      </c>
      <c r="F178" s="368">
        <f>+C178+C178/9*(12-Clients!$I$14)</f>
        <v>0</v>
      </c>
      <c r="G178" s="396">
        <f t="shared" si="21"/>
        <v>0</v>
      </c>
      <c r="H178" s="409"/>
      <c r="I178" s="149">
        <f t="shared" si="22"/>
        <v>0</v>
      </c>
      <c r="J178" s="271">
        <f t="shared" si="22"/>
        <v>0</v>
      </c>
      <c r="L178" s="17">
        <f t="shared" si="16"/>
        <v>0</v>
      </c>
    </row>
    <row r="179" spans="1:12">
      <c r="A179" s="590" t="s">
        <v>175</v>
      </c>
      <c r="B179" s="591"/>
      <c r="C179" s="311">
        <f>IF(ISNA(VLOOKUP("LEN681120000",Balance!C:G,5,FALSE))=TRUE,0,VLOOKUP("LEN681120000",Balance!C:G,5,FALSE))</f>
        <v>1649.97</v>
      </c>
      <c r="D179" s="592">
        <f>+[2]Lens!$H179</f>
        <v>2200</v>
      </c>
      <c r="E179" s="311">
        <f>IF(ISNA(VLOOKUP("LEN681120000",Balanceanp!C:G,5,FALSE))=TRUE,0,VLOOKUP("LEN681120000",Balanceanp!C:G,5,FALSE))</f>
        <v>3328</v>
      </c>
      <c r="F179" s="620">
        <v>1421.06</v>
      </c>
      <c r="G179" s="637">
        <f>1421.06+500+G255/10</f>
        <v>3021.06</v>
      </c>
      <c r="H179" s="632"/>
      <c r="I179" s="591">
        <f t="shared" si="22"/>
        <v>-0.57299879807692311</v>
      </c>
      <c r="J179" s="595">
        <f t="shared" si="22"/>
        <v>1.125920087821767</v>
      </c>
      <c r="L179" s="17">
        <f t="shared" si="16"/>
        <v>1</v>
      </c>
    </row>
    <row r="180" spans="1:12">
      <c r="A180" s="590" t="s">
        <v>78</v>
      </c>
      <c r="B180" s="591"/>
      <c r="C180" s="311">
        <f>IF(ISNA(VLOOKUP("LEN687250000",Balance!C:G,5,FALSE))=TRUE,0,+VLOOKUP("LEN687250000",Balance!C:G,5,FALSE))</f>
        <v>0</v>
      </c>
      <c r="D180" s="592">
        <f>+[2]Lens!$H180</f>
        <v>0</v>
      </c>
      <c r="E180" s="311">
        <f>IF(ISNA(VLOOKUP("LEN687250000",Balanceanp!C:G,5,FALSE))=TRUE,0,+VLOOKUP("LEN687250000",Balanceanp!C:G,5,FALSE))</f>
        <v>186.42</v>
      </c>
      <c r="F180" s="625">
        <f>+C180+C180/9*(12-Clients!$I$14)</f>
        <v>0</v>
      </c>
      <c r="G180" s="630">
        <f t="shared" si="21"/>
        <v>0</v>
      </c>
      <c r="H180" s="630"/>
      <c r="I180" s="591">
        <f t="shared" si="22"/>
        <v>-1</v>
      </c>
      <c r="J180" s="595">
        <f t="shared" si="22"/>
        <v>0</v>
      </c>
      <c r="L180" s="17">
        <f t="shared" si="16"/>
        <v>1</v>
      </c>
    </row>
    <row r="181" spans="1:12" hidden="1">
      <c r="A181" s="5" t="s">
        <v>327</v>
      </c>
      <c r="B181" s="92"/>
      <c r="C181" s="160">
        <f>IF(ISNA(VLOOKUP("LEN661880000",Balance!C:G,5,FALSE))=TRUE,0,+VLOOKUP("LEN661880000",Balance!C:G,5,FALSE))</f>
        <v>0</v>
      </c>
      <c r="D181" s="117">
        <f>+[2]Lens!$H181</f>
        <v>0</v>
      </c>
      <c r="E181" s="160">
        <f>IF(ISNA(VLOOKUP("LEN661880000",Balanceanp!C:G,5,FALSE))=TRUE,0,+VLOOKUP("LEN661880000",Balanceanp!C:G,5,FALSE))</f>
        <v>0</v>
      </c>
      <c r="F181" s="368">
        <f>+C181+C181/9*(12-Clients!$I$14)</f>
        <v>0</v>
      </c>
      <c r="G181" s="396">
        <f t="shared" si="21"/>
        <v>0</v>
      </c>
      <c r="H181" s="409"/>
      <c r="I181" s="149">
        <f t="shared" si="22"/>
        <v>0</v>
      </c>
      <c r="J181" s="271">
        <f t="shared" si="22"/>
        <v>0</v>
      </c>
      <c r="L181" s="17">
        <f t="shared" si="16"/>
        <v>0</v>
      </c>
    </row>
    <row r="182" spans="1:12" hidden="1">
      <c r="A182" s="5" t="s">
        <v>82</v>
      </c>
      <c r="B182" s="92"/>
      <c r="C182" s="160">
        <f>IF(ISNA(VLOOKUP("LEN661610000",Balance!C:G,5,FALSE))=TRUE,0,+VLOOKUP("LEN661610000",Balance!C:G,5,FALSE))</f>
        <v>0</v>
      </c>
      <c r="D182" s="117">
        <f>+[2]Lens!$H182</f>
        <v>0</v>
      </c>
      <c r="E182" s="160">
        <f>IF(ISNA(VLOOKUP("LEN661610000",Balanceanp!C:G,5,FALSE))=TRUE,0,+VLOOKUP("LEN661610000",Balanceanp!C:G,5,FALSE))</f>
        <v>0</v>
      </c>
      <c r="F182" s="368">
        <f>+C182+C182/9*(12-Clients!$I$14)</f>
        <v>0</v>
      </c>
      <c r="G182" s="396">
        <f t="shared" si="21"/>
        <v>0</v>
      </c>
      <c r="H182" s="409"/>
      <c r="I182" s="149">
        <f t="shared" si="22"/>
        <v>0</v>
      </c>
      <c r="J182" s="271">
        <f t="shared" si="22"/>
        <v>0</v>
      </c>
      <c r="L182" s="17">
        <f t="shared" si="16"/>
        <v>0</v>
      </c>
    </row>
    <row r="183" spans="1:12">
      <c r="A183" s="590" t="s">
        <v>331</v>
      </c>
      <c r="B183" s="591"/>
      <c r="C183" s="311">
        <f>IF(ISNA(VLOOKUP("LEN681500000",Balance!C:G,5,FALSE))=TRUE,0,VLOOKUP("LEN681500000",Balance!C:G,5,FALSE))</f>
        <v>0</v>
      </c>
      <c r="D183" s="592">
        <f>+[2]Lens!$H183</f>
        <v>0</v>
      </c>
      <c r="E183" s="311">
        <f>IF(ISNA(VLOOKUP("LEN681500000",Balanceanp!C:G,5,FALSE))=TRUE,0,VLOOKUP("LEN681500000",Balanceanp!C:G,5,FALSE))</f>
        <v>28000</v>
      </c>
      <c r="F183" s="625">
        <f>+C183+C183/9*(12-Clients!$I$14)</f>
        <v>0</v>
      </c>
      <c r="G183" s="630">
        <f t="shared" si="21"/>
        <v>0</v>
      </c>
      <c r="H183" s="630"/>
      <c r="I183" s="591">
        <f t="shared" si="22"/>
        <v>-1</v>
      </c>
      <c r="J183" s="595">
        <f t="shared" si="22"/>
        <v>0</v>
      </c>
      <c r="L183" s="17">
        <f t="shared" si="16"/>
        <v>1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6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1649.97</v>
      </c>
      <c r="D185" s="312">
        <f>SUM(D169:D184)</f>
        <v>2200</v>
      </c>
      <c r="E185" s="312">
        <f>SUM(E169:E184)</f>
        <v>33494.46</v>
      </c>
      <c r="F185" s="312">
        <f>SUM(F169:F184)</f>
        <v>1421.06</v>
      </c>
      <c r="G185" s="312">
        <f>SUM(G169:G184)</f>
        <v>3021.06</v>
      </c>
      <c r="H185" s="421"/>
      <c r="I185" s="598">
        <f>+IF((E185)=0,,(F185-E185)/E185)</f>
        <v>-0.95757328226817207</v>
      </c>
      <c r="J185" s="599">
        <f>+IF((F185)=0,,(G185-F185)/F185)</f>
        <v>1.125920087821767</v>
      </c>
      <c r="K185" s="136">
        <f>(C185+(C185/3))</f>
        <v>2199.96</v>
      </c>
      <c r="L185" s="17">
        <f t="shared" si="16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6"/>
        <v>0</v>
      </c>
    </row>
    <row r="187" spans="1:12" hidden="1">
      <c r="A187" s="5" t="s">
        <v>179</v>
      </c>
      <c r="B187" s="92"/>
      <c r="C187" s="160">
        <f>IF(ISNA(VLOOKUP("LEN740000000",Balance!C:G,5,FALSE))=TRUE,0,-VLOOKUP("LEN740000000",Balance!C:G,5,FALSE))</f>
        <v>0</v>
      </c>
      <c r="D187" s="117">
        <f>+[2]Lens!$H187</f>
        <v>0</v>
      </c>
      <c r="E187" s="160">
        <f>IF(ISNA(VLOOKUP("LEN740000000",Balanceanp!C:G,5,FALSE))=TRUE,0,-VLOOKUP("LEN740000000",Balanceanp!C:G,5,FALSE))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3">+IF((E187)=0,,(F187-E187)/E187)</f>
        <v>0</v>
      </c>
      <c r="J187" s="271">
        <f t="shared" si="23"/>
        <v>0</v>
      </c>
      <c r="L187" s="17">
        <f t="shared" si="16"/>
        <v>0</v>
      </c>
    </row>
    <row r="188" spans="1:12" hidden="1">
      <c r="A188" s="5" t="s">
        <v>167</v>
      </c>
      <c r="B188" s="92"/>
      <c r="C188" s="160">
        <f>IF(ISNA(VLOOKUP("LEN751100000",Balance!C:G,5,FALSE))=TRUE,0,-VLOOKUP("LEN751100000",Balance!C:G,5,FALSE))</f>
        <v>0</v>
      </c>
      <c r="D188" s="117">
        <f>+[2]Lens!$H188</f>
        <v>0</v>
      </c>
      <c r="E188" s="160">
        <f>IF(ISNA(VLOOKUP("LEN751100000",Balanceanp!C:G,5,FALSE))=TRUE,0,-VLOOKUP("LEN751100000",Balanceanp!C:G,5,FALSE))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3"/>
        <v>0</v>
      </c>
      <c r="J188" s="271">
        <f t="shared" si="23"/>
        <v>0</v>
      </c>
      <c r="L188" s="17">
        <f t="shared" si="16"/>
        <v>0</v>
      </c>
    </row>
    <row r="189" spans="1:12" hidden="1">
      <c r="A189" s="5" t="s">
        <v>180</v>
      </c>
      <c r="B189" s="92"/>
      <c r="C189" s="160">
        <f>IF(ISNA(VLOOKUP("LEN758100000",Balance!C:G,5,FALSE))=TRUE,0,-VLOOKUP("LEN758100000",Balance!C:G,5,FALSE))</f>
        <v>0</v>
      </c>
      <c r="D189" s="117">
        <f>+[2]Lens!$H189</f>
        <v>0</v>
      </c>
      <c r="E189" s="160">
        <f>IF(ISNA(VLOOKUP("LEN758100000",Balanceanp!C:G,5,FALSE))=TRUE,0,-VLOOKUP("LEN758100000",Balanceanp!C:G,5,FALSE))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23"/>
        <v>0</v>
      </c>
      <c r="J189" s="271">
        <f t="shared" si="23"/>
        <v>0</v>
      </c>
      <c r="L189" s="17">
        <v>0</v>
      </c>
    </row>
    <row r="190" spans="1:12">
      <c r="A190" s="590" t="s">
        <v>181</v>
      </c>
      <c r="B190" s="591"/>
      <c r="C190" s="311">
        <f>IF(ISNA(VLOOKUP("LEN763800000",Balance!C:G,5,FALSE))=TRUE,0,-VLOOKUP("LEN763800000",Balance!C:G,5,FALSE))+IF(ISNA(VLOOKUP("LEN763110000",Balance!C:G,5,FALSE))=TRUE,0,-VLOOKUP("LEN763110000",Balance!C:G,5,FALSE))</f>
        <v>0</v>
      </c>
      <c r="D190" s="592">
        <f>+[2]Lens!$H190</f>
        <v>0</v>
      </c>
      <c r="E190" s="311">
        <f>IF(ISNA(VLOOKUP("LEN763800000",Balanceanp!C:G,5,FALSE))=TRUE,0,-VLOOKUP("LEN763800000",Balanceanp!C:G,5,FALSE))+IF(ISNA(VLOOKUP("LEN763110000",Balanceanp!C:G,5,FALSE))=TRUE,0,-VLOOKUP("LEN763110000",Balanceanp!C:G,5,FALSE))</f>
        <v>194.92</v>
      </c>
      <c r="F190" s="625">
        <f>+C190+C190/9*(12-Clients!$I$14)</f>
        <v>0</v>
      </c>
      <c r="G190" s="625">
        <v>0</v>
      </c>
      <c r="H190" s="625"/>
      <c r="I190" s="591">
        <f t="shared" si="23"/>
        <v>-1</v>
      </c>
      <c r="J190" s="595">
        <f t="shared" si="23"/>
        <v>0</v>
      </c>
      <c r="L190" s="17">
        <f t="shared" si="16"/>
        <v>1</v>
      </c>
    </row>
    <row r="191" spans="1:12" hidden="1">
      <c r="A191" s="5" t="s">
        <v>182</v>
      </c>
      <c r="B191" s="92"/>
      <c r="C191" s="160">
        <f>IF(ISNA(VLOOKUP("LEN765000000",Balance!C:G,5,FALSE))=TRUE,0,-VLOOKUP("LEN765000000",Balance!C:G,5,FALSE))</f>
        <v>0</v>
      </c>
      <c r="D191" s="117">
        <f>+[2]Lens!$H191</f>
        <v>0</v>
      </c>
      <c r="E191" s="160">
        <f>IF(ISNA(VLOOKUP("LEN765000000",Balanceanp!C:G,5,FALSE))=TRUE,0,-VLOOKUP("LEN765000000",Balanceanp!C:G,5,FALSE))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3"/>
        <v>0</v>
      </c>
      <c r="J191" s="271">
        <f t="shared" si="23"/>
        <v>0</v>
      </c>
      <c r="L191" s="17">
        <f t="shared" si="16"/>
        <v>0</v>
      </c>
    </row>
    <row r="192" spans="1:12" hidden="1">
      <c r="A192" s="5" t="s">
        <v>183</v>
      </c>
      <c r="B192" s="92"/>
      <c r="C192" s="160">
        <f>IF(ISNA(VLOOKUP("LEN771400000",Balance!C:G,5,FALSE))=TRUE,0,-VLOOKUP("LEN771400000",Balance!C:G,5,FALSE))</f>
        <v>0</v>
      </c>
      <c r="D192" s="117">
        <f>+[2]Lens!$H192</f>
        <v>0</v>
      </c>
      <c r="E192" s="160">
        <f>IF(ISNA(VLOOKUP("LEN771400000",Balanceanp!C:G,5,FALSE))=TRUE,0,-VLOOKUP("LEN771400000",Balanceanp!C:G,5,FALSE))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3"/>
        <v>0</v>
      </c>
      <c r="J192" s="271">
        <f t="shared" si="23"/>
        <v>0</v>
      </c>
      <c r="L192" s="17">
        <f t="shared" si="16"/>
        <v>0</v>
      </c>
    </row>
    <row r="193" spans="1:12" hidden="1">
      <c r="A193" s="5" t="s">
        <v>184</v>
      </c>
      <c r="B193" s="92"/>
      <c r="C193" s="160">
        <f>IF(ISNA(VLOOKUP("LEN771800000",Balance!C:G,5,FALSE))=TRUE,0,-VLOOKUP("LEN771800000",Balance!C:G,5,FALSE))</f>
        <v>0</v>
      </c>
      <c r="D193" s="117">
        <f>+[2]Lens!$H193</f>
        <v>0</v>
      </c>
      <c r="E193" s="160">
        <f>IF(ISNA(VLOOKUP("LEN771800000",Balanceanp!C:G,5,FALSE))=TRUE,0,-VLOOKUP("LEN771800000",Balanceanp!C:G,5,FALSE))</f>
        <v>5360.99</v>
      </c>
      <c r="F193" s="368">
        <f>+C193+C193/9*(12-Clients!$I$14)</f>
        <v>0</v>
      </c>
      <c r="G193" s="368">
        <v>0</v>
      </c>
      <c r="H193" s="410"/>
      <c r="I193" s="149">
        <f t="shared" si="23"/>
        <v>-1</v>
      </c>
      <c r="J193" s="271">
        <f t="shared" si="23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IF(ISNA(VLOOKUP("LEN758000000",Balance!C:G,5,FALSE))=TRUE,0,-VLOOKUP("LEN758000000",Balance!C:G,5,FALSE))</f>
        <v>0</v>
      </c>
      <c r="D194" s="117">
        <f>+[2]Lens!$H194</f>
        <v>0</v>
      </c>
      <c r="E194" s="160">
        <f>IF(ISNA(VLOOKUP("LEN772000000",Balanceanp!C:G,5,FALSE))=TRUE,0,-VLOOKUP("LEN772000000",Balanceanp!C:G,5,FALSE))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3"/>
        <v>0</v>
      </c>
      <c r="J194" s="271">
        <f t="shared" si="23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IF(ISNA(VLOOKUP("LEN775100000",Balance!C:G,5,FALSE))=TRUE,0,-VLOOKUP("LEN775100000",Balance!C:G,5,FALSE))</f>
        <v>0</v>
      </c>
      <c r="D195" s="117">
        <f>+[2]Lens!$H195</f>
        <v>0</v>
      </c>
      <c r="E195" s="160">
        <f>IF(ISNA(VLOOKUP("LEN775100000",Balanceanp!C:G,5,FALSE))=TRUE,0,-VLOOKUP("LEN775100000",Balanceanp!C:G,5,FALSE))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3"/>
        <v>0</v>
      </c>
      <c r="J195" s="271">
        <f t="shared" si="23"/>
        <v>0</v>
      </c>
      <c r="L195" s="17">
        <f t="shared" si="16"/>
        <v>0</v>
      </c>
    </row>
    <row r="196" spans="1:12" hidden="1">
      <c r="A196" s="5" t="s">
        <v>187</v>
      </c>
      <c r="B196" s="92"/>
      <c r="C196" s="160">
        <f>IF(ISNA(VLOOKUP("LEN775200000",Balance!C:G,5,FALSE))=TRUE,0,-VLOOKUP("LEN775200000",Balance!C:G,5,FALSE))</f>
        <v>0</v>
      </c>
      <c r="D196" s="117">
        <f>+[2]Lens!$H196</f>
        <v>0</v>
      </c>
      <c r="E196" s="160">
        <f>IF(ISNA(VLOOKUP("LEN775200000",Balanceanp!C:G,5,FALSE))=TRUE,0,-VLOOKUP("LEN775200000",Balanceanp!C:G,5,FALSE))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3"/>
        <v>0</v>
      </c>
      <c r="J196" s="271">
        <f t="shared" si="23"/>
        <v>0</v>
      </c>
      <c r="L196" s="17">
        <f t="shared" si="16"/>
        <v>0</v>
      </c>
    </row>
    <row r="197" spans="1:12" hidden="1">
      <c r="A197" s="5" t="s">
        <v>328</v>
      </c>
      <c r="B197" s="92"/>
      <c r="C197" s="160">
        <f>IF(ISNA(VLOOKUP("LEN791000000",Balance!C:G,5,FALSE))=TRUE,0,-VLOOKUP("LEN791000000",Balance!C:G,5,FALSE))</f>
        <v>0</v>
      </c>
      <c r="D197" s="117">
        <f>+[2]Lens!$H197</f>
        <v>0</v>
      </c>
      <c r="E197" s="160">
        <f>IF(ISNA(VLOOKUP("LEN791000000",Balanceanp!C:G,5,FALSE))=TRUE,0,-VLOOKUP("LEN791000000",Balanceanp!C:G,5,FALSE))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3"/>
        <v>0</v>
      </c>
      <c r="J197" s="271">
        <f t="shared" si="23"/>
        <v>0</v>
      </c>
      <c r="L197" s="17">
        <f t="shared" si="16"/>
        <v>0</v>
      </c>
    </row>
    <row r="198" spans="1:12" hidden="1">
      <c r="A198" s="5" t="s">
        <v>344</v>
      </c>
      <c r="B198" s="92"/>
      <c r="C198" s="160">
        <f>IF(ISNA(VLOOKUP("LEN781500000",Balance!C:G,5,FALSE))=TRUE,0,-VLOOKUP("LEN781500000",Balance!C:G,5,FALSE))</f>
        <v>0</v>
      </c>
      <c r="D198" s="117">
        <f>+[2]Lens!$H198</f>
        <v>0</v>
      </c>
      <c r="E198" s="160">
        <f>IF(ISNA(VLOOKUP("LEN781500000",Balanceanp!C:G,5,FALSE))=TRUE,0,-VLOOKUP("LEN781500000",Balanceanp!C:G,5,FALSE))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3"/>
        <v>0</v>
      </c>
      <c r="J198" s="271">
        <f t="shared" si="23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IF(ISNA(VLOOKUP("LEN787250000",Balance!C:G,5,FALSE))=TRUE,0,-VLOOKUP("LEN787250000",Balance!C:G,5,FALSE))</f>
        <v>0</v>
      </c>
      <c r="D199" s="117">
        <f>+[2]Lens!$H199</f>
        <v>0</v>
      </c>
      <c r="E199" s="160">
        <f>IF(ISNA(VLOOKUP("LEN787250000",Balanceanp!C:G,5,FALSE))=TRUE,0,-VLOOKUP("LEN787250000",Balanceanp!C:G,5,FALSE))</f>
        <v>2288.89</v>
      </c>
      <c r="F199" s="368">
        <f>+C199+C199/9*(12-Clients!$I$14)</f>
        <v>0</v>
      </c>
      <c r="G199" s="368">
        <v>0</v>
      </c>
      <c r="H199" s="410"/>
      <c r="I199" s="149">
        <f t="shared" si="23"/>
        <v>-1</v>
      </c>
      <c r="J199" s="271">
        <f t="shared" si="23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4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0</v>
      </c>
      <c r="D201" s="312">
        <f>SUM(D186:D200)</f>
        <v>0</v>
      </c>
      <c r="E201" s="305">
        <f>SUM(E186:E200)</f>
        <v>7844.7999999999993</v>
      </c>
      <c r="F201" s="312">
        <f>SUM(F186:F200)</f>
        <v>0</v>
      </c>
      <c r="G201" s="312">
        <f>SUM(G186:G200)</f>
        <v>0</v>
      </c>
      <c r="H201" s="421"/>
      <c r="I201" s="598">
        <f>+IF((E201)=0,,(F201-E201)/E201)</f>
        <v>-1</v>
      </c>
      <c r="J201" s="599">
        <f>+IF((F201)=0,,(G201-F201)/F201)</f>
        <v>0</v>
      </c>
      <c r="K201" s="136">
        <f>(C201+(C201/3))</f>
        <v>0</v>
      </c>
      <c r="L201" s="17">
        <f t="shared" si="24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4"/>
        <v>0</v>
      </c>
    </row>
    <row r="203" spans="1:12" s="33" customFormat="1" ht="15" customHeight="1">
      <c r="A203" s="14" t="s">
        <v>189</v>
      </c>
      <c r="B203" s="363">
        <f>+C203/$C$21</f>
        <v>0.39187107321054065</v>
      </c>
      <c r="C203" s="313">
        <f>+C103+C116+C129+C154+C168+C185-C201</f>
        <v>120747.31999999999</v>
      </c>
      <c r="D203" s="641">
        <f>+D103+D116+D129+D154+D168+D185-D201</f>
        <v>165984.2001317433</v>
      </c>
      <c r="E203" s="313">
        <f>+E103+E116+E129+E154+E168+E185-E201</f>
        <v>153857.07192000002</v>
      </c>
      <c r="F203" s="641">
        <f>+F103+F116+F129+F154+F168+F185-F201</f>
        <v>151661.17333333334</v>
      </c>
      <c r="G203" s="641">
        <f>+G103+G116+G129+G154+G168+G185-G201</f>
        <v>151053.99066268018</v>
      </c>
      <c r="H203" s="422">
        <f>+G203/$G$21</f>
        <v>0.25987246828913668</v>
      </c>
      <c r="I203" s="643">
        <f>+IF((E203)=0,,(F203-E203)/E203)</f>
        <v>-1.4272327942185609E-2</v>
      </c>
      <c r="J203" s="644">
        <f>+IF((F203)=0,,(G203-F203)/F203)</f>
        <v>-4.0035472316875828E-3</v>
      </c>
      <c r="K203" s="145">
        <f>+K103+K116+K129+K154+K168+K185-K201</f>
        <v>160996.42666666667</v>
      </c>
      <c r="L203" s="17">
        <f t="shared" si="24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4"/>
        <v>0</v>
      </c>
    </row>
    <row r="205" spans="1:12" s="33" customFormat="1" ht="15" customHeight="1">
      <c r="A205" s="12" t="s">
        <v>228</v>
      </c>
      <c r="B205" s="366">
        <f>+C205/$C$21</f>
        <v>-4.6175787301875194E-2</v>
      </c>
      <c r="C205" s="314">
        <f>+C62-C203</f>
        <v>-14228.155500000008</v>
      </c>
      <c r="D205" s="645">
        <f>+D62-D203</f>
        <v>20127.799868256698</v>
      </c>
      <c r="E205" s="314">
        <f>+E53-E203</f>
        <v>-22914.371819999942</v>
      </c>
      <c r="F205" s="645">
        <f>+F62-F203</f>
        <v>-15356.348259846505</v>
      </c>
      <c r="G205" s="645">
        <f>+G62-G203</f>
        <v>52810.242424341384</v>
      </c>
      <c r="H205" s="406">
        <f>+G205/$G$21</f>
        <v>9.0854455347745736E-2</v>
      </c>
      <c r="I205" s="647">
        <f>+IF((E205)=0,,(F205-E205)/E205)</f>
        <v>-0.32983769398193591</v>
      </c>
      <c r="J205" s="648">
        <f>+IF((F205)=0,,(G205-F205)/F205)</f>
        <v>-4.4389844206925568</v>
      </c>
      <c r="L205" s="17">
        <f t="shared" si="24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4"/>
        <v>0</v>
      </c>
    </row>
    <row r="207" spans="1:12" ht="15" customHeight="1">
      <c r="A207" s="63" t="s">
        <v>251</v>
      </c>
      <c r="B207" s="649">
        <f>+C207/$C$21</f>
        <v>2.6227932257851128E-3</v>
      </c>
      <c r="C207" s="650">
        <f>+[2]Lens!$C207</f>
        <v>808.16185367567641</v>
      </c>
      <c r="D207" s="315">
        <f>+[2]Lens!$H207</f>
        <v>3012.9690491609563</v>
      </c>
      <c r="E207" s="315">
        <f>+[1]Lens!$G$207</f>
        <v>1025.5859094332839</v>
      </c>
      <c r="F207" s="315">
        <f>+Repart!K39</f>
        <v>1048.057924781599</v>
      </c>
      <c r="G207" s="315">
        <f>+Repart!Q39</f>
        <v>2200.1944835980571</v>
      </c>
      <c r="H207" s="423">
        <f>+G207/$G$21</f>
        <v>3.785202685876691E-3</v>
      </c>
      <c r="I207" s="643">
        <f>+IF((E207)=0,,(F207-E207)/E207)</f>
        <v>2.191139244564377E-2</v>
      </c>
      <c r="J207" s="644">
        <f>+IF((F207)=0,,(G207-F207)/F207)</f>
        <v>1.0993061848719361</v>
      </c>
      <c r="L207" s="17">
        <f t="shared" si="24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4"/>
        <v>0</v>
      </c>
    </row>
    <row r="209" spans="1:12" s="33" customFormat="1" ht="15" customHeight="1">
      <c r="A209" s="12" t="s">
        <v>190</v>
      </c>
      <c r="B209" s="366">
        <f>+C209/$C$21</f>
        <v>-4.8798580527660305E-2</v>
      </c>
      <c r="C209" s="314">
        <f>+C205-C207</f>
        <v>-15036.317353675684</v>
      </c>
      <c r="D209" s="645">
        <f>+D205-D207</f>
        <v>17114.83081909574</v>
      </c>
      <c r="E209" s="314">
        <f>+E205-E207</f>
        <v>-23939.957729433227</v>
      </c>
      <c r="F209" s="645">
        <f>+F205-F207</f>
        <v>-16404.406184628104</v>
      </c>
      <c r="G209" s="645">
        <f>+G205-G207</f>
        <v>50610.04794074333</v>
      </c>
      <c r="H209" s="406">
        <f>+G209/$G$21</f>
        <v>8.7069252661869059E-2</v>
      </c>
      <c r="I209" s="647">
        <f>+IF((E209)=0,,(F209-E209)/E209)</f>
        <v>-0.31476879073769048</v>
      </c>
      <c r="J209" s="648">
        <f>+IF((F209)=0,,(G209-F209)/F209)</f>
        <v>-4.0851496464509598</v>
      </c>
      <c r="L209" s="17">
        <f t="shared" si="24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4"/>
        <v>0</v>
      </c>
    </row>
    <row r="211" spans="1:12">
      <c r="A211" s="590" t="s">
        <v>191</v>
      </c>
      <c r="B211" s="591">
        <f>+C211/$C$21</f>
        <v>2.1208768225832703E-2</v>
      </c>
      <c r="C211" s="311">
        <f>+[2]Lens!$C211</f>
        <v>6535.0624193548392</v>
      </c>
      <c r="D211" s="592">
        <f>+[2]Lens!$H211</f>
        <v>9026.0372215405096</v>
      </c>
      <c r="E211" s="311">
        <f>+[1]Lens!$G211</f>
        <v>8095.0860719999991</v>
      </c>
      <c r="F211" s="625">
        <f>+Repart!I39</f>
        <v>8997.9607634408567</v>
      </c>
      <c r="G211" s="625">
        <f>+Repart!O39</f>
        <v>9644.6846793104778</v>
      </c>
      <c r="H211" s="625"/>
      <c r="I211" s="591">
        <f t="shared" ref="I211:J213" si="25">+IF((E211)=0,,(F211-E211)/E211)</f>
        <v>0.11153367405984731</v>
      </c>
      <c r="J211" s="595">
        <f t="shared" si="25"/>
        <v>7.1874498330476308E-2</v>
      </c>
      <c r="L211" s="17">
        <f t="shared" si="24"/>
        <v>1</v>
      </c>
    </row>
    <row r="212" spans="1:12">
      <c r="A212" s="590" t="s">
        <v>192</v>
      </c>
      <c r="B212" s="591">
        <f>+C212/$C$21</f>
        <v>3.9276586611558889E-2</v>
      </c>
      <c r="C212" s="311">
        <f>+[2]Lens!$C212</f>
        <v>12102.303273468693</v>
      </c>
      <c r="D212" s="592">
        <f>+[2]Lens!$H212</f>
        <v>19084.33037549214</v>
      </c>
      <c r="E212" s="311">
        <f>+[1]Lens!$G212</f>
        <v>15740.169555749699</v>
      </c>
      <c r="F212" s="625">
        <f>+Repart!J39</f>
        <v>16126.321248822482</v>
      </c>
      <c r="G212" s="625">
        <f>+Repart!P39</f>
        <v>23705.428571218377</v>
      </c>
      <c r="H212" s="625"/>
      <c r="I212" s="591">
        <f t="shared" si="25"/>
        <v>2.4532880138621274E-2</v>
      </c>
      <c r="J212" s="595">
        <f t="shared" si="25"/>
        <v>0.46998365004971671</v>
      </c>
      <c r="L212" s="17">
        <f t="shared" si="24"/>
        <v>1</v>
      </c>
    </row>
    <row r="213" spans="1:12">
      <c r="A213" s="590" t="s">
        <v>193</v>
      </c>
      <c r="B213" s="591"/>
      <c r="C213" s="311">
        <f>+[2]Lens!$C213</f>
        <v>-4505.68</v>
      </c>
      <c r="D213" s="592">
        <f>+[2]Lens!$H213</f>
        <v>-5366.28</v>
      </c>
      <c r="E213" s="311">
        <f>+[1]Lens!$G213</f>
        <v>-5862.35</v>
      </c>
      <c r="F213" s="625">
        <f>+C213+C213/9*(12-Clients!$I$14)</f>
        <v>-6007.5733333333337</v>
      </c>
      <c r="G213" s="625">
        <f>+G253*-4%</f>
        <v>-6598.4862239999993</v>
      </c>
      <c r="H213" s="625"/>
      <c r="I213" s="591">
        <f t="shared" si="25"/>
        <v>2.4772204548232934E-2</v>
      </c>
      <c r="J213" s="595">
        <f t="shared" si="25"/>
        <v>9.8361327923864803E-2</v>
      </c>
      <c r="L213" s="17">
        <f t="shared" si="24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4"/>
        <v>0</v>
      </c>
    </row>
    <row r="215" spans="1:12" s="33" customFormat="1" ht="15" customHeight="1">
      <c r="A215" s="20" t="s">
        <v>194</v>
      </c>
      <c r="B215" s="367">
        <f>+C215/$C$21</f>
        <v>4.5862706010541689E-2</v>
      </c>
      <c r="C215" s="316">
        <f>SUM(C210:C213)</f>
        <v>14131.685692823532</v>
      </c>
      <c r="D215" s="652">
        <f>SUM(D210:D213)</f>
        <v>22744.087597032652</v>
      </c>
      <c r="E215" s="316">
        <f>SUM(E210:E213)</f>
        <v>17972.9056277497</v>
      </c>
      <c r="F215" s="652">
        <f>SUM(F210:F213)</f>
        <v>19116.708678930005</v>
      </c>
      <c r="G215" s="652">
        <f>SUM(G210:G213)</f>
        <v>26751.627026528855</v>
      </c>
      <c r="H215" s="424">
        <f>+G215/$G$21</f>
        <v>4.6023354402195321E-2</v>
      </c>
      <c r="I215" s="643">
        <f>+IF((E215)=0,,(F215-E215)/E215)</f>
        <v>6.3640408227276402E-2</v>
      </c>
      <c r="J215" s="644">
        <f>+IF((F215)=0,,(G215-F215)/F215)</f>
        <v>0.39938456330685634</v>
      </c>
      <c r="L215" s="17">
        <f t="shared" si="24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4"/>
        <v>0</v>
      </c>
    </row>
    <row r="217" spans="1:12" s="738" customFormat="1" ht="20.100000000000001" customHeight="1">
      <c r="A217" s="679" t="s">
        <v>86</v>
      </c>
      <c r="B217" s="1138">
        <f>+C217/$C$21</f>
        <v>-9.4661286538201994E-2</v>
      </c>
      <c r="C217" s="680">
        <f>+C209-C215</f>
        <v>-29168.003046499216</v>
      </c>
      <c r="D217" s="681">
        <f>+D209-D215</f>
        <v>-5629.2567779369128</v>
      </c>
      <c r="E217" s="680">
        <f>+E209-E215</f>
        <v>-41912.863357182927</v>
      </c>
      <c r="F217" s="681">
        <f>+F209-F215</f>
        <v>-35521.114863558105</v>
      </c>
      <c r="G217" s="1139">
        <f>+G209-G215</f>
        <v>23858.420914214475</v>
      </c>
      <c r="H217" s="737">
        <f>+G217/$G$21</f>
        <v>4.1045898259673738E-2</v>
      </c>
      <c r="I217" s="682">
        <f>+IF((E217)=0,,(F217-E217)/E217)</f>
        <v>-0.15250087876731569</v>
      </c>
      <c r="J217" s="683">
        <f>+IF((F217)=0,,(G217-F217)/F217)</f>
        <v>-1.6716686963756129</v>
      </c>
      <c r="L217" s="739">
        <f t="shared" si="24"/>
        <v>1</v>
      </c>
    </row>
    <row r="218" spans="1:12" hidden="1">
      <c r="A218" s="2" t="s">
        <v>43</v>
      </c>
      <c r="C218" s="17">
        <f>+C225-C226-C215-C207-C53+C62-C38+C213</f>
        <v>-29168.00304649918</v>
      </c>
      <c r="D218" s="117">
        <f>+[2]Lens!$H$217</f>
        <v>-5629.2567779369128</v>
      </c>
      <c r="E218" s="17">
        <f>+[1]Lens!$G$217</f>
        <v>-41912.863357182927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107.82013940370709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+B220/(C21*1.196)*Clients!K38</f>
        <v>199.24778490076901</v>
      </c>
      <c r="L220" s="17">
        <v>0</v>
      </c>
    </row>
    <row r="221" spans="1:12" hidden="1">
      <c r="L221" s="17">
        <f t="shared" si="24"/>
        <v>0</v>
      </c>
    </row>
    <row r="222" spans="1:12">
      <c r="A222" s="654" t="s">
        <v>67</v>
      </c>
      <c r="B222" s="655"/>
      <c r="C222" s="655">
        <f>+(C215+C207+C203)/C60/Clients!$I$13*12</f>
        <v>516903.49541523505</v>
      </c>
      <c r="D222" s="655">
        <f>+(D215+D207+D203)/D60</f>
        <v>515377.77509990009</v>
      </c>
      <c r="E222" s="655">
        <f>+(E215+E207+E203)/E60/Clients!$I$13*12</f>
        <v>767127.22223142744</v>
      </c>
      <c r="F222" s="655">
        <f>+(F215+F207+F203)/F60</f>
        <v>490931.25696298562</v>
      </c>
      <c r="G222" s="655">
        <f>+(G215+G207+G203)/G60</f>
        <v>508036.56236792845</v>
      </c>
      <c r="H222" s="655"/>
      <c r="I222" s="655"/>
      <c r="J222" s="655"/>
      <c r="L222" s="17">
        <f t="shared" si="24"/>
        <v>1</v>
      </c>
    </row>
    <row r="223" spans="1:12">
      <c r="A223" s="654" t="s">
        <v>66</v>
      </c>
      <c r="B223" s="655"/>
      <c r="C223" s="655">
        <f>+(C215+C207+C203)/C60/Clients!$I$13</f>
        <v>43075.291284602921</v>
      </c>
      <c r="D223" s="655">
        <f>+(D215+D207+D203)/D60/12</f>
        <v>42948.147924991674</v>
      </c>
      <c r="E223" s="655">
        <f>+(E215+E207+E203)/E60/Clients!$I$13</f>
        <v>63927.268519285615</v>
      </c>
      <c r="F223" s="655">
        <f>+(F215+F207+F203)/F60/9</f>
        <v>54547.917440331737</v>
      </c>
      <c r="G223" s="655">
        <f>+(G215+G207+G203)/G60/12</f>
        <v>42336.380197327373</v>
      </c>
      <c r="H223" s="655"/>
      <c r="I223" s="655"/>
      <c r="J223" s="655"/>
      <c r="L223" s="17">
        <f t="shared" si="24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4"/>
        <v>0</v>
      </c>
    </row>
    <row r="225" spans="1:12" hidden="1">
      <c r="A225" s="2" t="s">
        <v>215</v>
      </c>
      <c r="C225" s="17">
        <f>+C51-C40-C157-C166+C201-C164-C159-C137</f>
        <v>309718.96999999997</v>
      </c>
      <c r="D225" s="17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324653.23</v>
      </c>
      <c r="D226" s="17"/>
      <c r="L226" s="17">
        <v>0</v>
      </c>
    </row>
    <row r="227" spans="1:12" ht="10.5" hidden="1" customHeight="1">
      <c r="L227" s="17">
        <f t="shared" si="24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4"/>
        <v>0</v>
      </c>
    </row>
    <row r="229" spans="1:12" ht="20.25" hidden="1" customHeight="1">
      <c r="A229" s="7" t="str">
        <f>+A4</f>
        <v>LENS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4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4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4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4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6">+C51</f>
        <v>304340.46999999997</v>
      </c>
      <c r="D233" s="313">
        <f t="shared" si="26"/>
        <v>500247</v>
      </c>
      <c r="E233" s="313">
        <f t="shared" si="26"/>
        <v>435839.50000000006</v>
      </c>
      <c r="F233" s="313">
        <f t="shared" si="26"/>
        <v>389442.35735281958</v>
      </c>
      <c r="G233" s="313">
        <f t="shared" si="26"/>
        <v>575373</v>
      </c>
      <c r="H233" s="313"/>
      <c r="I233" s="643">
        <f>+I51</f>
        <v>-0.10645465279576649</v>
      </c>
      <c r="J233" s="643">
        <f t="shared" si="26"/>
        <v>0.47742788922863494</v>
      </c>
      <c r="K233" s="58"/>
      <c r="L233" s="17">
        <f t="shared" si="24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4"/>
        <v>0</v>
      </c>
    </row>
    <row r="235" spans="1:12" s="33" customFormat="1" ht="15" customHeight="1">
      <c r="A235" s="12" t="s">
        <v>295</v>
      </c>
      <c r="B235" s="364"/>
      <c r="C235" s="15">
        <f>+C60</f>
        <v>0.35</v>
      </c>
      <c r="D235" s="15">
        <f>+D60</f>
        <v>0.37204021213520522</v>
      </c>
      <c r="E235" s="15">
        <f>+E60</f>
        <v>0.30043789078318983</v>
      </c>
      <c r="F235" s="15">
        <f>+F60</f>
        <v>0.35</v>
      </c>
      <c r="G235" s="15">
        <f>+G60</f>
        <v>0.35431664865577905</v>
      </c>
      <c r="H235" s="15"/>
      <c r="I235" s="15"/>
      <c r="J235" s="15"/>
      <c r="L235" s="17">
        <f t="shared" si="24"/>
        <v>1</v>
      </c>
    </row>
    <row r="236" spans="1:12" s="33" customFormat="1" ht="15" customHeight="1">
      <c r="A236" s="12" t="s">
        <v>296</v>
      </c>
      <c r="B236" s="364"/>
      <c r="C236" s="309">
        <f>+C62</f>
        <v>106519.16449999998</v>
      </c>
      <c r="D236" s="309">
        <f>+D62</f>
        <v>186112</v>
      </c>
      <c r="E236" s="309">
        <f>+E62</f>
        <v>130942.70010000009</v>
      </c>
      <c r="F236" s="309">
        <f>+F62</f>
        <v>136304.82507348683</v>
      </c>
      <c r="G236" s="309">
        <f>+G62</f>
        <v>203864.23308702157</v>
      </c>
      <c r="H236" s="309"/>
      <c r="I236" s="647">
        <f>+IF((E236)=0,,(F236-E236)/E236)</f>
        <v>4.0950163463803063E-2</v>
      </c>
      <c r="J236" s="648">
        <f>+IF((F236)=0,,(G236-F236)/F236)</f>
        <v>0.49564942383449029</v>
      </c>
      <c r="L236" s="17">
        <f t="shared" si="24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4"/>
        <v>0</v>
      </c>
    </row>
    <row r="238" spans="1:12" s="298" customFormat="1" ht="15" customHeight="1">
      <c r="A238" s="662" t="s">
        <v>122</v>
      </c>
      <c r="B238" s="663"/>
      <c r="C238" s="664">
        <f>+C103</f>
        <v>37557.189999999995</v>
      </c>
      <c r="D238" s="664">
        <f>+D103</f>
        <v>50439.187136678338</v>
      </c>
      <c r="E238" s="664">
        <f>+E103</f>
        <v>46483.450000000004</v>
      </c>
      <c r="F238" s="664">
        <f>+F103</f>
        <v>49546.473333333335</v>
      </c>
      <c r="G238" s="664">
        <f>+G103</f>
        <v>51943.877040671439</v>
      </c>
      <c r="H238" s="664"/>
      <c r="I238" s="666">
        <f t="shared" ref="I238:J243" si="27">+IF((E238)=0,,(F238-E238)/E238)</f>
        <v>6.5894922458064761E-2</v>
      </c>
      <c r="J238" s="666">
        <f t="shared" si="27"/>
        <v>4.8386969768950336E-2</v>
      </c>
      <c r="L238" s="17">
        <f t="shared" si="24"/>
        <v>1</v>
      </c>
    </row>
    <row r="239" spans="1:12" s="298" customFormat="1" ht="15" customHeight="1">
      <c r="A239" s="662" t="s">
        <v>133</v>
      </c>
      <c r="B239" s="663"/>
      <c r="C239" s="664">
        <f>+C116</f>
        <v>12957.21</v>
      </c>
      <c r="D239" s="664">
        <f>+D116</f>
        <v>12550.938999999998</v>
      </c>
      <c r="E239" s="664">
        <f>+E116</f>
        <v>10095.77</v>
      </c>
      <c r="F239" s="664">
        <f>+F116</f>
        <v>12947.346666666665</v>
      </c>
      <c r="G239" s="664">
        <f>+G116</f>
        <v>11406.221733333336</v>
      </c>
      <c r="H239" s="664"/>
      <c r="I239" s="666">
        <f t="shared" si="27"/>
        <v>0.28245261794461085</v>
      </c>
      <c r="J239" s="666">
        <f t="shared" si="27"/>
        <v>-0.11903017452224414</v>
      </c>
      <c r="L239" s="17">
        <f t="shared" si="24"/>
        <v>1</v>
      </c>
    </row>
    <row r="240" spans="1:12" s="298" customFormat="1" ht="15" customHeight="1">
      <c r="A240" s="662" t="s">
        <v>147</v>
      </c>
      <c r="B240" s="663"/>
      <c r="C240" s="664">
        <f>+C129</f>
        <v>6880.4499999999989</v>
      </c>
      <c r="D240" s="664">
        <f>+D129</f>
        <v>9527.4862000000012</v>
      </c>
      <c r="E240" s="664">
        <f>+E129</f>
        <v>8699.34</v>
      </c>
      <c r="F240" s="664">
        <f>+F129</f>
        <v>5476.2933333333331</v>
      </c>
      <c r="G240" s="664">
        <f>+G129</f>
        <v>5977.2517000000007</v>
      </c>
      <c r="H240" s="664"/>
      <c r="I240" s="666">
        <f t="shared" si="27"/>
        <v>-0.37049324048337773</v>
      </c>
      <c r="J240" s="666">
        <f t="shared" si="27"/>
        <v>9.1477635724407452E-2</v>
      </c>
      <c r="L240" s="17">
        <f t="shared" si="24"/>
        <v>1</v>
      </c>
    </row>
    <row r="241" spans="1:12" s="298" customFormat="1" ht="15" customHeight="1">
      <c r="A241" s="662" t="s">
        <v>164</v>
      </c>
      <c r="B241" s="663"/>
      <c r="C241" s="664">
        <f>+C154</f>
        <v>59832.990000000005</v>
      </c>
      <c r="D241" s="664">
        <f>+D154</f>
        <v>83766.331289904221</v>
      </c>
      <c r="E241" s="664">
        <f>+E154</f>
        <v>62675.861919999988</v>
      </c>
      <c r="F241" s="664">
        <f>+F154</f>
        <v>79777.320000000022</v>
      </c>
      <c r="G241" s="664">
        <f>+G154</f>
        <v>70720.875114648748</v>
      </c>
      <c r="H241" s="664"/>
      <c r="I241" s="666">
        <f t="shared" si="27"/>
        <v>0.27285557080696365</v>
      </c>
      <c r="J241" s="666">
        <f t="shared" si="27"/>
        <v>-0.1135215482965744</v>
      </c>
      <c r="L241" s="17">
        <f t="shared" si="24"/>
        <v>1</v>
      </c>
    </row>
    <row r="242" spans="1:12" s="298" customFormat="1" ht="15" customHeight="1">
      <c r="A242" s="662" t="s">
        <v>74</v>
      </c>
      <c r="B242" s="663"/>
      <c r="C242" s="664">
        <f>+C168</f>
        <v>1869.5100000000002</v>
      </c>
      <c r="D242" s="664">
        <f>+D168</f>
        <v>7500.2565051607271</v>
      </c>
      <c r="E242" s="664">
        <f>+E168</f>
        <v>252.990000000001</v>
      </c>
      <c r="F242" s="664">
        <f>+F168</f>
        <v>2492.6800000000003</v>
      </c>
      <c r="G242" s="664">
        <f>+G168</f>
        <v>7984.7050740266686</v>
      </c>
      <c r="H242" s="664"/>
      <c r="I242" s="666">
        <f t="shared" si="27"/>
        <v>8.8528795604568966</v>
      </c>
      <c r="J242" s="666">
        <f t="shared" si="27"/>
        <v>2.2032611783408491</v>
      </c>
      <c r="L242" s="17">
        <f t="shared" si="24"/>
        <v>1</v>
      </c>
    </row>
    <row r="243" spans="1:12" s="298" customFormat="1" ht="15" customHeight="1">
      <c r="A243" s="662" t="s">
        <v>369</v>
      </c>
      <c r="B243" s="663"/>
      <c r="C243" s="664">
        <f>+C185-C201</f>
        <v>1649.97</v>
      </c>
      <c r="D243" s="664">
        <f>+D185-D201</f>
        <v>2200</v>
      </c>
      <c r="E243" s="664">
        <f>+E185-E201</f>
        <v>25649.66</v>
      </c>
      <c r="F243" s="664">
        <f>+F185-F201</f>
        <v>1421.06</v>
      </c>
      <c r="G243" s="664">
        <f>+G185-G201</f>
        <v>3021.06</v>
      </c>
      <c r="H243" s="664"/>
      <c r="I243" s="666">
        <f t="shared" si="27"/>
        <v>-0.94459731629970922</v>
      </c>
      <c r="J243" s="666">
        <f t="shared" si="27"/>
        <v>1.125920087821767</v>
      </c>
      <c r="L243" s="17">
        <f t="shared" si="24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4"/>
        <v>0</v>
      </c>
    </row>
    <row r="245" spans="1:12" s="33" customFormat="1" ht="15" customHeight="1">
      <c r="A245" s="14" t="s">
        <v>189</v>
      </c>
      <c r="B245" s="363"/>
      <c r="C245" s="389">
        <f>+C203</f>
        <v>120747.31999999999</v>
      </c>
      <c r="D245" s="389">
        <f>+D203</f>
        <v>165984.2001317433</v>
      </c>
      <c r="E245" s="389">
        <f>+E203</f>
        <v>153857.07192000002</v>
      </c>
      <c r="F245" s="389">
        <f>+F203</f>
        <v>151661.17333333334</v>
      </c>
      <c r="G245" s="389">
        <f>+G203</f>
        <v>151053.99066268018</v>
      </c>
      <c r="H245" s="389"/>
      <c r="I245" s="643">
        <f>+I63</f>
        <v>0</v>
      </c>
      <c r="J245" s="643">
        <f>+J63</f>
        <v>0</v>
      </c>
      <c r="K245" s="58"/>
      <c r="L245" s="17">
        <f t="shared" si="24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4"/>
        <v>0</v>
      </c>
    </row>
    <row r="247" spans="1:12" s="33" customFormat="1" ht="15" customHeight="1">
      <c r="A247" s="12" t="s">
        <v>228</v>
      </c>
      <c r="B247" s="366"/>
      <c r="C247" s="314">
        <f>+C205</f>
        <v>-14228.155500000008</v>
      </c>
      <c r="D247" s="314">
        <f>+D205</f>
        <v>20127.799868256698</v>
      </c>
      <c r="E247" s="314">
        <f>+E205</f>
        <v>-22914.371819999942</v>
      </c>
      <c r="F247" s="314">
        <f>+F205</f>
        <v>-15356.348259846505</v>
      </c>
      <c r="G247" s="314">
        <f>+G205</f>
        <v>52810.242424341384</v>
      </c>
      <c r="H247" s="314"/>
      <c r="I247" s="647">
        <f>+IF((E247)=0,,(F247-E247)/E247)</f>
        <v>-0.32983769398193591</v>
      </c>
      <c r="J247" s="648">
        <f>+IF((F247)=0,,(G247-F247)/F247)</f>
        <v>-4.4389844206925568</v>
      </c>
      <c r="L247" s="17">
        <f t="shared" si="24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4"/>
        <v>0</v>
      </c>
    </row>
    <row r="249" spans="1:12" s="33" customFormat="1" ht="15" customHeight="1">
      <c r="A249" s="20" t="s">
        <v>370</v>
      </c>
      <c r="B249" s="367"/>
      <c r="C249" s="316">
        <f>+C207+C215</f>
        <v>14939.847546499208</v>
      </c>
      <c r="D249" s="316">
        <f>+D207+D215</f>
        <v>25757.056646193611</v>
      </c>
      <c r="E249" s="316">
        <f>+E207+E215</f>
        <v>18998.491537182985</v>
      </c>
      <c r="F249" s="316">
        <f>+F207+F215</f>
        <v>20164.766603711603</v>
      </c>
      <c r="G249" s="316">
        <f>+G207+G215</f>
        <v>28951.821510126912</v>
      </c>
      <c r="H249" s="316"/>
      <c r="I249" s="643">
        <f>+I67</f>
        <v>0.42165488879623392</v>
      </c>
      <c r="J249" s="643">
        <f>+J67</f>
        <v>2.9999999999999985E-2</v>
      </c>
      <c r="L249" s="17">
        <f t="shared" si="24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4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-29168.003046499216</v>
      </c>
      <c r="D251" s="314">
        <f>+D217</f>
        <v>-5629.2567779369128</v>
      </c>
      <c r="E251" s="314">
        <f>+E217</f>
        <v>-41912.863357182927</v>
      </c>
      <c r="F251" s="314">
        <f>+F217</f>
        <v>-35521.114863558105</v>
      </c>
      <c r="G251" s="314">
        <f>+G217</f>
        <v>23858.420914214475</v>
      </c>
      <c r="H251" s="314"/>
      <c r="I251" s="647">
        <f>+IF((E251)=0,,(F251-E251)/E251)</f>
        <v>-0.15250087876731569</v>
      </c>
      <c r="J251" s="648">
        <f>+IF((F251)=0,,(G251-F251)/F251)</f>
        <v>-1.6716686963756129</v>
      </c>
      <c r="L251" s="17">
        <f t="shared" si="24"/>
        <v>1</v>
      </c>
    </row>
    <row r="252" spans="1:12" hidden="1">
      <c r="F252" s="2"/>
      <c r="G252" s="2"/>
      <c r="H252" s="5"/>
      <c r="I252" s="24"/>
      <c r="L252" s="17">
        <f t="shared" si="24"/>
        <v>0</v>
      </c>
    </row>
    <row r="253" spans="1:12" s="298" customFormat="1" ht="15" customHeight="1">
      <c r="A253" s="662" t="s">
        <v>95</v>
      </c>
      <c r="B253" s="663"/>
      <c r="C253" s="664">
        <f>+C28</f>
        <v>112365.77</v>
      </c>
      <c r="D253" s="664">
        <v>151439</v>
      </c>
      <c r="E253" s="664">
        <f>+E28</f>
        <v>146235.66</v>
      </c>
      <c r="F253" s="664"/>
      <c r="G253" s="669">
        <f>+G28</f>
        <v>164962.15559999997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516903.49541523505</v>
      </c>
      <c r="D254" s="664">
        <f>+D222</f>
        <v>515377.77509990009</v>
      </c>
      <c r="E254" s="664">
        <f>+E222</f>
        <v>767127.22223142744</v>
      </c>
      <c r="F254" s="664">
        <f>+F222</f>
        <v>490931.25696298562</v>
      </c>
      <c r="G254" s="664">
        <f>+G222</f>
        <v>508036.56236792845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0</v>
      </c>
      <c r="E255" s="664"/>
      <c r="F255" s="664"/>
      <c r="G255" s="669">
        <v>11000</v>
      </c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4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62992125984251968" right="0" top="0.11811023622047245" bottom="0.19685039370078741" header="7.874015748031496E-2" footer="0.11811023622047245"/>
  <pageSetup paperSize="9" scale="72" fitToHeight="2" orientation="landscape" horizontalDpi="429496729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 filterMode="1" enableFormatConditionsCalculation="0">
    <tabColor rgb="FFFF0000"/>
    <pageSetUpPr fitToPage="1"/>
  </sheetPr>
  <dimension ref="A1:L256"/>
  <sheetViews>
    <sheetView workbookViewId="0">
      <pane xSplit="3" ySplit="6" topLeftCell="D233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140625" style="24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20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4920.6676855541536</v>
      </c>
      <c r="F5" s="215">
        <f>F217</f>
        <v>-2183.0313685041947</v>
      </c>
      <c r="G5" s="215">
        <f>G217</f>
        <v>1976.6022882483339</v>
      </c>
      <c r="H5" s="578">
        <f>G5/H30</f>
        <v>5004.0564259451494</v>
      </c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-IF(ISNA(VLOOKUP("BOI707130000",Balance!C:G,5,FALSE))=TRUE,0,VLOOKUP("BOI707130000",Balance!C:G,5,FALSE))</f>
        <v>176832.31999999998</v>
      </c>
      <c r="D8" s="592">
        <f>+[2]Bois!$H8</f>
        <v>262256</v>
      </c>
      <c r="E8" s="311">
        <f>-IF(ISNA(VLOOKUP("BOI707130000",Balanceanp!C:G,5,FALSE))=TRUE,0,VLOOKUP("BOI707130000",Balanceanp!C:G,5,FALSE))</f>
        <v>142483.03</v>
      </c>
      <c r="F8" s="625">
        <f>+CA!G107</f>
        <v>226735.41897450332</v>
      </c>
      <c r="G8" s="594">
        <v>256061</v>
      </c>
      <c r="H8" s="594"/>
      <c r="I8" s="591">
        <f>+IF((E8)=0,,(F8-E8)/E8)</f>
        <v>0.59131525329369627</v>
      </c>
      <c r="J8" s="595">
        <f>+IF((F8)=0,,(G8-F8)/F8)</f>
        <v>0.12933833257341401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-IF(ISNA(VLOOKUP("BOI707131000",Balance!C:G,5,FALSE))=TRUE,0,VLOOKUP("BOI707131000",Balance!C:G,5,FALSE))</f>
        <v>0</v>
      </c>
      <c r="D9" s="117">
        <f>+[2]Bois!$H9</f>
        <v>0</v>
      </c>
      <c r="E9" s="160">
        <f>-IF(ISNA(VLOOKUP("BOI707131000",Balanceanp!C:G,5,FALSE))=TRUE,0,VLOOKUP("BOI707131000",Balanceanp!C:G,5,FALSE))</f>
        <v>113476.82</v>
      </c>
      <c r="F9" s="368">
        <f>+C9</f>
        <v>0</v>
      </c>
      <c r="G9" s="395"/>
      <c r="H9" s="401"/>
      <c r="I9" s="149">
        <f t="shared" ref="I9:J19" si="1">+IF((E9)=0,,(F9-E9)/E9)</f>
        <v>-1</v>
      </c>
      <c r="J9" s="271">
        <f t="shared" si="1"/>
        <v>0</v>
      </c>
      <c r="L9" s="17">
        <v>0</v>
      </c>
    </row>
    <row r="10" spans="1:12" hidden="1">
      <c r="A10" s="5" t="s">
        <v>84</v>
      </c>
      <c r="B10" s="92"/>
      <c r="C10" s="160">
        <f>-IF(ISNA(VLOOKUP("BOI707300000",Balance!C:G,5,FALSE))=TRUE,0,VLOOKUP("BOI707300000",Balance!C:G,5,FALSE))</f>
        <v>0</v>
      </c>
      <c r="D10" s="117">
        <f>+[2]Bois!$H10</f>
        <v>0</v>
      </c>
      <c r="E10" s="160">
        <f>-IF(ISNA(VLOOKUP("BOI707300000",Balanceanp!C:G,5,FALSE))=TRUE,0,VLOOKUP("BOI707300000",Balanceanp!C:G,5,FALSE))</f>
        <v>0</v>
      </c>
      <c r="F10" s="368">
        <f t="shared" ref="F10:F19" si="2">+C10</f>
        <v>0</v>
      </c>
      <c r="G10" s="395">
        <f t="shared" ref="G10:G19" si="3">+F10*1.03</f>
        <v>0</v>
      </c>
      <c r="H10" s="401"/>
      <c r="I10" s="149">
        <f t="shared" si="1"/>
        <v>0</v>
      </c>
      <c r="J10" s="271">
        <f t="shared" si="1"/>
        <v>0</v>
      </c>
      <c r="L10" s="17">
        <v>0</v>
      </c>
    </row>
    <row r="11" spans="1:12" hidden="1">
      <c r="A11" s="5" t="s">
        <v>267</v>
      </c>
      <c r="B11" s="92"/>
      <c r="C11" s="160">
        <f>-IF(ISNA(VLOOKUP("BOI707110000",Balance!C:G,5,FALSE))=TRUE,0,VLOOKUP("BOI707110000",Balance!C:G,5,FALSE))</f>
        <v>149.59</v>
      </c>
      <c r="D11" s="117">
        <f>+[2]Bois!$H11</f>
        <v>0</v>
      </c>
      <c r="E11" s="160">
        <f>-IF(ISNA(VLOOKUP("BOI707110000",Balanceanp!C:G,5,FALSE))=TRUE,0,VLOOKUP("BOI707110000",Balanceanp!C:G,5,FALSE))</f>
        <v>88.43</v>
      </c>
      <c r="F11" s="368">
        <f t="shared" si="2"/>
        <v>149.59</v>
      </c>
      <c r="G11" s="395">
        <v>0</v>
      </c>
      <c r="H11" s="401"/>
      <c r="I11" s="149">
        <f t="shared" si="1"/>
        <v>0.69162049078367061</v>
      </c>
      <c r="J11" s="271">
        <f t="shared" si="1"/>
        <v>-1</v>
      </c>
      <c r="L11" s="17">
        <v>0</v>
      </c>
    </row>
    <row r="12" spans="1:12" hidden="1">
      <c r="A12" s="5" t="s">
        <v>46</v>
      </c>
      <c r="B12" s="92"/>
      <c r="C12" s="160">
        <f>-IF(ISNA(VLOOKUP("BOI707120000",Balance!C:G,5,FALSE))=TRUE,0,VLOOKUP("BOI707120000",Balance!C:G,5,FALSE))</f>
        <v>0</v>
      </c>
      <c r="D12" s="117">
        <f>+[2]Bois!$H12</f>
        <v>0</v>
      </c>
      <c r="E12" s="160">
        <f>-IF(ISNA(VLOOKUP("BOI707120000",Balanceanp!C:G,5,FALSE))=TRUE,0,VLOOKUP("BOI707120000",Balanceanp!C:G,5,FALSE))</f>
        <v>0</v>
      </c>
      <c r="F12" s="368">
        <f t="shared" si="2"/>
        <v>0</v>
      </c>
      <c r="G12" s="395">
        <f t="shared" si="3"/>
        <v>0</v>
      </c>
      <c r="H12" s="401"/>
      <c r="I12" s="149">
        <f t="shared" si="1"/>
        <v>0</v>
      </c>
      <c r="J12" s="271">
        <f t="shared" si="1"/>
        <v>0</v>
      </c>
      <c r="L12" s="17">
        <v>0</v>
      </c>
    </row>
    <row r="13" spans="1:12" hidden="1">
      <c r="A13" s="5" t="s">
        <v>268</v>
      </c>
      <c r="B13" s="92"/>
      <c r="C13" s="160">
        <f>-IF(ISNA(VLOOKUP("BOI707230000",Balance!C:G,5,FALSE))=TRUE,0,VLOOKUP("BOI707230000",Balance!C:G,5,FALSE))</f>
        <v>0</v>
      </c>
      <c r="D13" s="117">
        <f>+[2]Bois!$H13</f>
        <v>0</v>
      </c>
      <c r="E13" s="160">
        <f>-IF(ISNA(VLOOKUP("BOI707230000",Balanceanp!C:G,5,FALSE))=TRUE,0,VLOOKUP("BOI707230000",Balanceanp!C:G,5,FALSE))</f>
        <v>0</v>
      </c>
      <c r="F13" s="368">
        <f t="shared" si="2"/>
        <v>0</v>
      </c>
      <c r="G13" s="395">
        <f t="shared" si="3"/>
        <v>0</v>
      </c>
      <c r="H13" s="401"/>
      <c r="I13" s="149">
        <f t="shared" si="1"/>
        <v>0</v>
      </c>
      <c r="J13" s="271">
        <f t="shared" si="1"/>
        <v>0</v>
      </c>
      <c r="L13" s="17">
        <v>0</v>
      </c>
    </row>
    <row r="14" spans="1:12" hidden="1">
      <c r="A14" s="5" t="s">
        <v>269</v>
      </c>
      <c r="B14" s="92"/>
      <c r="C14" s="160">
        <f>-IF(ISNA(VLOOKUP("BOI708820000",Balance!C:G,5,FALSE))=TRUE,0,VLOOKUP("BOI708820000",Balance!C:G,5,FALSE))</f>
        <v>0</v>
      </c>
      <c r="D14" s="117">
        <f>+[2]Bois!$H14</f>
        <v>0</v>
      </c>
      <c r="E14" s="160">
        <f>-IF(ISNA(VLOOKUP("BOI708820000",Balanceanp!C:G,5,FALSE))=TRUE,0,VLOOKUP("BOI708820000",Balanceanp!C:G,5,FALSE))</f>
        <v>35</v>
      </c>
      <c r="F14" s="368">
        <f t="shared" si="2"/>
        <v>0</v>
      </c>
      <c r="G14" s="395">
        <v>0</v>
      </c>
      <c r="H14" s="401"/>
      <c r="I14" s="149">
        <f t="shared" si="1"/>
        <v>-1</v>
      </c>
      <c r="J14" s="271">
        <f t="shared" si="1"/>
        <v>0</v>
      </c>
      <c r="L14" s="17">
        <v>0</v>
      </c>
    </row>
    <row r="15" spans="1:12" hidden="1">
      <c r="A15" s="5" t="s">
        <v>270</v>
      </c>
      <c r="B15" s="92"/>
      <c r="C15" s="160">
        <f>-IF(ISNA(VLOOKUP("BOI708500000",Balance!C:G,5,FALSE))=TRUE,0,VLOOKUP("BOI708500000",Balance!C:G,5,FALSE))</f>
        <v>366</v>
      </c>
      <c r="D15" s="117">
        <f>+[2]Bois!$H15</f>
        <v>0</v>
      </c>
      <c r="E15" s="160">
        <f>-IF(ISNA(VLOOKUP("BOI708500000",Balanceanp!C:G,5,FALSE))=TRUE,0,VLOOKUP("BOI708500000",Balanceanp!C:G,5,FALSE))</f>
        <v>576</v>
      </c>
      <c r="F15" s="368">
        <f t="shared" si="2"/>
        <v>366</v>
      </c>
      <c r="G15" s="395">
        <v>0</v>
      </c>
      <c r="H15" s="401"/>
      <c r="I15" s="149">
        <f t="shared" si="1"/>
        <v>-0.36458333333333331</v>
      </c>
      <c r="J15" s="271">
        <f t="shared" si="1"/>
        <v>-1</v>
      </c>
      <c r="L15" s="17">
        <v>0</v>
      </c>
    </row>
    <row r="16" spans="1:12" hidden="1">
      <c r="A16" s="5" t="s">
        <v>85</v>
      </c>
      <c r="B16" s="92"/>
      <c r="C16" s="160">
        <f>IF(ISNA(VLOOKUP("BOI706000000",Balance!C:G,5,FALSE))=TRUE,0,-VLOOKUP("BOI706000000",Balance!C:G,5,FALSE))+IF(ISNA(VLOOKUP("BOI706010000",Balance!C:G,5,FALSE))=TRUE,0,-VLOOKUP("BOI706010000",Balance!C:G,5,FALSE))</f>
        <v>0</v>
      </c>
      <c r="D16" s="117">
        <f>+[2]Bois!$H16</f>
        <v>0</v>
      </c>
      <c r="E16" s="160">
        <f>IF(ISNA(VLOOKUP("BOI706000000",Balanceanp!C:G,5,FALSE))=TRUE,0,-VLOOKUP("BOI706000000",Balanceanp!C:G,5,FALSE))+IF(ISNA(VLOOKUP("BOI706010000",Balanceanp!C:G,5,FALSE))=TRUE,0,-VLOOKUP("BOI706010000",Balanceanp!C:G,5,FALSE))</f>
        <v>0</v>
      </c>
      <c r="F16" s="368">
        <f t="shared" si="2"/>
        <v>0</v>
      </c>
      <c r="G16" s="395">
        <f t="shared" si="3"/>
        <v>0</v>
      </c>
      <c r="H16" s="401"/>
      <c r="I16" s="149">
        <f t="shared" si="1"/>
        <v>0</v>
      </c>
      <c r="J16" s="271">
        <f t="shared" si="1"/>
        <v>0</v>
      </c>
      <c r="L16" s="17">
        <v>0</v>
      </c>
    </row>
    <row r="17" spans="1:12" hidden="1">
      <c r="A17" s="5" t="s">
        <v>88</v>
      </c>
      <c r="B17" s="92"/>
      <c r="C17" s="160">
        <f>IF(ISNA(VLOOKUP("BOI707500000",Balance!C:G,5,FALSE))=TRUE,0,-VLOOKUP("BOI707500000",Balance!C:G,5,FALSE))</f>
        <v>0</v>
      </c>
      <c r="D17" s="117">
        <f>+[2]Bois!$H17</f>
        <v>0</v>
      </c>
      <c r="E17" s="160">
        <f>IF(ISNA(VLOOKUP("BOI707500000",Balanceanp!C:G,5,FALSE))=TRUE,0,-VLOOKUP("BOI707500000",Balanceanp!C:G,5,FALSE))</f>
        <v>0</v>
      </c>
      <c r="F17" s="368">
        <f t="shared" si="2"/>
        <v>0</v>
      </c>
      <c r="G17" s="395">
        <f t="shared" si="3"/>
        <v>0</v>
      </c>
      <c r="H17" s="401"/>
      <c r="I17" s="149">
        <f t="shared" si="1"/>
        <v>0</v>
      </c>
      <c r="J17" s="271">
        <f t="shared" si="1"/>
        <v>0</v>
      </c>
      <c r="L17" s="17">
        <v>0</v>
      </c>
    </row>
    <row r="18" spans="1:12" hidden="1">
      <c r="A18" s="5" t="s">
        <v>89</v>
      </c>
      <c r="B18" s="92"/>
      <c r="C18" s="160">
        <f>IF(ISNA(VLOOKUP("BOI707510000",Balance!C:G,5,FALSE))=TRUE,0,-VLOOKUP("BOI707510000",Balance!C:G,5,FALSE))</f>
        <v>0</v>
      </c>
      <c r="D18" s="117">
        <f>+[2]Bois!$H18</f>
        <v>0</v>
      </c>
      <c r="E18" s="160">
        <f>IF(ISNA(VLOOKUP("BOI707510000",Balanceanp!C:G,5,FALSE))=TRUE,0,-VLOOKUP("BOI707510000",Balanceanp!C:G,5,FALSE))</f>
        <v>0</v>
      </c>
      <c r="F18" s="368">
        <f t="shared" si="2"/>
        <v>0</v>
      </c>
      <c r="G18" s="395">
        <f t="shared" si="3"/>
        <v>0</v>
      </c>
      <c r="H18" s="401"/>
      <c r="I18" s="149">
        <f t="shared" si="1"/>
        <v>0</v>
      </c>
      <c r="J18" s="271">
        <f t="shared" si="1"/>
        <v>0</v>
      </c>
      <c r="L18" s="17">
        <v>0</v>
      </c>
    </row>
    <row r="19" spans="1:12" hidden="1">
      <c r="A19" s="5" t="s">
        <v>90</v>
      </c>
      <c r="B19" s="92"/>
      <c r="C19" s="160">
        <f>IF(ISNA(VLOOKUP("BOI708300000",Balance!C:G,5,FALSE))=TRUE,0,-VLOOKUP("BOI708300000",Balance!C:G,5,FALSE))</f>
        <v>0</v>
      </c>
      <c r="D19" s="117">
        <f>+[2]Bois!$H19</f>
        <v>0</v>
      </c>
      <c r="E19" s="160">
        <f>IF(ISNA(VLOOKUP("BOI708300000",Balanceanp!C:G,5,FALSE))=TRUE,0,-VLOOKUP("BOI708300000",Balanceanp!C:G,5,FALSE))</f>
        <v>0</v>
      </c>
      <c r="F19" s="368">
        <f t="shared" si="2"/>
        <v>0</v>
      </c>
      <c r="G19" s="395">
        <f t="shared" si="3"/>
        <v>0</v>
      </c>
      <c r="H19" s="401"/>
      <c r="I19" s="149">
        <f t="shared" si="1"/>
        <v>0</v>
      </c>
      <c r="J19" s="271">
        <f t="shared" si="1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177347.90999999997</v>
      </c>
      <c r="D21" s="312">
        <f>SUM(D7:D20)</f>
        <v>262256</v>
      </c>
      <c r="E21" s="305">
        <f>SUM(E7:E20)</f>
        <v>256659.28</v>
      </c>
      <c r="F21" s="312">
        <f>SUM(F7:F20)</f>
        <v>227251.00897450332</v>
      </c>
      <c r="G21" s="312">
        <f>SUM(G7:G20)</f>
        <v>256061</v>
      </c>
      <c r="H21" s="312"/>
      <c r="I21" s="598">
        <f>+IF((E21)=0,,(F21-E21)/E21)</f>
        <v>-0.11458097687134741</v>
      </c>
      <c r="J21" s="599">
        <f>+IF((F21)=0,,(G21-F21)/F21)</f>
        <v>0.1267760752988738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IF(ISNA(VLOOKUP("BOI602650000",Balance!C:G,5,FALSE))=TRUE,0,VLOOKUP("BOI602650000",Balance!C:G,5,FALSE))</f>
        <v>0</v>
      </c>
      <c r="D23" s="115"/>
      <c r="E23" s="160">
        <f>IF(ISNA(VLOOKUP("BOI602650000",Balanceanp!C:G,5,FALSE))=TRUE,0,VLOOKUP("BOI602650000",Balanceanp!C:G,5,FALSE))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IF(ISNA(VLOOKUP("boi607100000",Balance!C:G,5,FALSE))=TRUE,0,VLOOKUP("boi607100000",Balance!C:G,5,FALSE))</f>
        <v>24174.620000000003</v>
      </c>
      <c r="D24" s="600"/>
      <c r="E24" s="311">
        <f>IF(ISNA(VLOOKUP("boi607100000",Balanceanp!C:G,5,FALSE))=TRUE,0,VLOOKUP("boi607100000",Balanceanp!C:G,5,FALSE))</f>
        <v>34820.639999999999</v>
      </c>
      <c r="F24" s="600"/>
      <c r="G24" s="602">
        <f>H24*G30</f>
        <v>85204.297750000012</v>
      </c>
      <c r="H24" s="603">
        <f>1-H28</f>
        <v>0.55000000000000004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IF(ISNA(VLOOKUP("boi607110000",Balance!C:G,5,FALSE))=TRUE,0,VLOOKUP("boi607110000",Balance!C:G,5,FALSE))+IF(ISNA(VLOOKUP("boi607120000",Balance!C:G,5,FALSE))=TRUE,0,VLOOKUP("boi607120000",Balance!C:G,5,FALSE))</f>
        <v>8027.67</v>
      </c>
      <c r="D25" s="115"/>
      <c r="E25" s="160">
        <f>IF(ISNA(VLOOKUP("boi607110000",Balanceanp!C:G,5,FALSE))=TRUE,0,VLOOKUP("boi607110000",Balanceanp!C:G,5,FALSE))+IF(ISNA(VLOOKUP("boi607120000",Balanceanp!C:G,5,FALSE))=TRUE,0,VLOOKUP("boi607120000",Balanceanp!C:G,5,FALSE))</f>
        <v>0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IF(ISNA(VLOOKUP("BOI607130000",Balance!C:G,5,FALSE))=TRUE,0,VLOOKUP("BOI607130000",Balance!C:G,5,FALSE))</f>
        <v>35255.93</v>
      </c>
      <c r="D26" s="115"/>
      <c r="E26" s="160">
        <f>IF(ISNA(VLOOKUP("BOI607130000",Balanceanp!C:G,5,FALSE))=TRUE,0,VLOOKUP("BOI607130000",Balanceanp!C:G,5,FALSE))</f>
        <v>48667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IF(ISNA(VLOOKUP("BOI607140000",Balance!C:G,5,FALSE))=TRUE,0,VLOOKUP("BOI607140000",Balance!C:G,5,FALSE))</f>
        <v>-3092.58</v>
      </c>
      <c r="D27" s="115"/>
      <c r="E27" s="160">
        <f>IF(ISNA(VLOOKUP("BOI607140000",Balanceanp!C:G,5,FALSE))=TRUE,0,VLOOKUP("BOI607140000",Balanceanp!C:G,5,FALSE))</f>
        <v>-4695</v>
      </c>
      <c r="F27" s="134"/>
      <c r="G27" s="134"/>
      <c r="H27" s="400"/>
      <c r="I27" s="149"/>
      <c r="J27" s="271"/>
      <c r="L27" s="17">
        <v>0</v>
      </c>
    </row>
    <row r="28" spans="1:12" ht="12">
      <c r="A28" s="590" t="s">
        <v>95</v>
      </c>
      <c r="B28" s="591"/>
      <c r="C28" s="311">
        <f>IF(ISNA(VLOOKUP("BOI607200000",Balance!C:G,5,FALSE))=TRUE,0,VLOOKUP("BOI607200000",Balance!C:G,5,FALSE))</f>
        <v>46027.33</v>
      </c>
      <c r="D28" s="1018">
        <f>C28/C30</f>
        <v>0.41694077077553038</v>
      </c>
      <c r="E28" s="311">
        <f>IF(ISNA(VLOOKUP("BOI607200000",Balanceanp!C:G,5,FALSE))=TRUE,0,VLOOKUP("BOI607200000",Balanceanp!C:G,5,FALSE))</f>
        <v>83978.01</v>
      </c>
      <c r="F28" s="1018">
        <f>E28/E30</f>
        <v>0.51592845516068164</v>
      </c>
      <c r="G28" s="1140">
        <f>H28*G30</f>
        <v>69712.607250000001</v>
      </c>
      <c r="H28" s="604">
        <v>0.45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IF(ISNA(VLOOKUP("BOI607150000",Balance!C:G,5,FALSE))=TRUE,0,VLOOKUP("BOI607150000",Balance!C:G,5,FALSE))</f>
        <v>0</v>
      </c>
      <c r="D29" s="115"/>
      <c r="E29" s="357">
        <f>IF(ISNA(VLOOKUP("BOI607150000",Balanceanp!C:G,5,FALSE))=TRUE,0,VLOOKUP("BOI607150000",Balanceanp!C:G,5,FALSE))</f>
        <v>0</v>
      </c>
      <c r="F29" s="134"/>
      <c r="G29" s="134"/>
      <c r="H29" s="400"/>
      <c r="I29" s="149"/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110392.97</v>
      </c>
      <c r="D30" s="402"/>
      <c r="E30" s="306">
        <f>SUM(E23:E29)</f>
        <v>162770.65</v>
      </c>
      <c r="F30" s="607">
        <f>1-(E30/E21)</f>
        <v>0.36581038488068696</v>
      </c>
      <c r="G30" s="402">
        <f>G21*(1-H30)</f>
        <v>154916.905</v>
      </c>
      <c r="H30" s="577">
        <v>0.39500000000000002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66705.199999999968</v>
      </c>
      <c r="D32" s="403"/>
      <c r="E32" s="307">
        <f>+E21-E30-E38</f>
        <v>97790.797300000006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0.37612622556420305</v>
      </c>
      <c r="D33" s="403"/>
      <c r="E33" s="308">
        <f>+E32/E21</f>
        <v>0.38101407165172446</v>
      </c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IF(ISNA(VLOOKUP("BOI607400000",Balance!C:G,5,FALSE))=TRUE,0,VLOOKUP("BOI607400000",Balance!C:G,5,FALSE))</f>
        <v>894.22</v>
      </c>
      <c r="D35" s="600"/>
      <c r="E35" s="311">
        <f>IF(ISNA(VLOOKUP("BOI607400000",Balanceanp!C:G,5,FALSE))=TRUE,0,VLOOKUP("BOI607400000",Balanceanp!C:G,5,FALSE))</f>
        <v>1658.02</v>
      </c>
      <c r="F35" s="972">
        <f>E35/E30</f>
        <v>1.0186234434770642E-2</v>
      </c>
      <c r="G35" s="613">
        <f>F35*G30</f>
        <v>1578.0199122390923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IF(ISNA(VLOOKUP("BOI608000000",Balance!C:G,5,FALSE))=TRUE,0,VLOOKUP("BOI608000000",Balance!C:G,5,FALSE))</f>
        <v>797.4</v>
      </c>
      <c r="D36" s="600"/>
      <c r="E36" s="311">
        <f>IF(ISNA(VLOOKUP("BOI608000000",Balanceanp!C:G,5,FALSE))=TRUE,0,VLOOKUP("BOI608000000",Balanceanp!C:G,5,FALSE))</f>
        <v>675.54</v>
      </c>
      <c r="F36" s="972">
        <f>E36/E30</f>
        <v>4.1502568184129014E-3</v>
      </c>
      <c r="G36" s="613">
        <f>F36*G30</f>
        <v>642.94494126367374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IF(ISNA(VLOOKUP("BOI608100000",Balance!C:G,5,FALSE))=TRUE,0,VLOOKUP("BOI608100000",Balance!C:G,5,FALSE))</f>
        <v>0</v>
      </c>
      <c r="D37" s="115"/>
      <c r="E37" s="160">
        <f>IF(ISNA(VLOOKUP("BOI608100000",Balanceanp!C:G,5,FALSE))=TRUE,0,VLOOKUP("BOI608100000",Balanceanp!C:G,5,FALSE))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249.7400000000016</v>
      </c>
      <c r="D38" s="115"/>
      <c r="E38" s="160">
        <f>+E56-E57</f>
        <v>-3902.167300000001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IF(ISNA(VLOOKUP("BOI681730000",Balance!C:G,5,FALSE))=TRUE,0,VLOOKUP("BOI681730000",Balance!C:G,5,FALSE))</f>
        <v>0</v>
      </c>
      <c r="D39" s="115"/>
      <c r="E39" s="160">
        <f>IF(ISNA(VLOOKUP("BOI681730000",Balanceanp!C:G,5,FALSE))=TRUE,0,VLOOKUP("BOI681730000",Balanceanp!C:G,5,FALSE))</f>
        <v>531.25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IF(ISNA(VLOOKUP("BOI781730000",Balance!C:G,5,FALSE))=TRUE,0,VLOOKUP("BOI781730000",Balance!C:G,5,FALSE))</f>
        <v>-201.49</v>
      </c>
      <c r="D40" s="115"/>
      <c r="E40" s="160">
        <f>IF(ISNA(VLOOKUP("BOI781730000",Balanceanp!C:G,5,FALSE))=TRUE,0,VLOOKUP("BOI781730000",Balanceanp!C:G,5,FALSE))</f>
        <v>-799.8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IF(ISNA(VLOOKUP("BOI609110000",Balance!C:G,5,FALSE))=TRUE,0,VLOOKUP("BOI609110000",Balance!C:G,5,FALSE))</f>
        <v>-137.62</v>
      </c>
      <c r="D41" s="600"/>
      <c r="E41" s="311">
        <f>IF(ISNA(VLOOKUP("BOI609110000",Balanceanp!C:G,5,FALSE))=TRUE,0,VLOOKUP("BOI609110000",Balanceanp!C:G,5,FALSE))</f>
        <v>-1820.43</v>
      </c>
      <c r="F41" s="614">
        <f>E41/SUM(E24:E25)</f>
        <v>-5.2280199330052526E-2</v>
      </c>
      <c r="G41" s="615">
        <f>H41*(G24)</f>
        <v>-1704.0859550000002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IF(ISNA(VLOOKUP("BOI609120000",Balance!C:G,5,FALSE))=TRUE,0,VLOOKUP("BOI609120000",Balance!C:G,5,FALSE))</f>
        <v>-3205.51</v>
      </c>
      <c r="D42" s="600"/>
      <c r="E42" s="311">
        <f>IF(ISNA(VLOOKUP("BOI609120000",Balanceanp!C:G,5,FALSE))=TRUE,0,VLOOKUP("BOI609120000",Balanceanp!C:G,5,FALSE))</f>
        <v>-6203.81</v>
      </c>
      <c r="F42" s="614">
        <f>E42/E28</f>
        <v>-7.3874220167874913E-2</v>
      </c>
      <c r="G42" s="615">
        <f>H42*G28</f>
        <v>-4879.8825075000004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108789.71</v>
      </c>
      <c r="D44" s="404"/>
      <c r="E44" s="305">
        <f>+E30+SUM(E34:E43)</f>
        <v>152909.25269999998</v>
      </c>
      <c r="F44" s="404"/>
      <c r="G44" s="618">
        <f>SUM(G35:G43)+G30</f>
        <v>150553.90139100276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68558.199999999968</v>
      </c>
      <c r="D46" s="120"/>
      <c r="E46" s="166">
        <f>+E21-E44</f>
        <v>103750.02730000002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0.38657461483476169</v>
      </c>
      <c r="D47" s="120"/>
      <c r="E47" s="196">
        <f>+E46/E21</f>
        <v>0.40423251908132846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 hidden="1">
      <c r="A49" s="5" t="s">
        <v>91</v>
      </c>
      <c r="B49" s="92">
        <f>+C49/C21</f>
        <v>0</v>
      </c>
      <c r="C49" s="160">
        <f>IF(ISNA(VLOOKUP("BOI709700000",Balance!C:G,5,FALSE))=TRUE,0,VLOOKUP("BOI709700000",Balance!C:G,5,FALSE))</f>
        <v>0</v>
      </c>
      <c r="D49" s="117">
        <f>+[2]Bois!$H49</f>
        <v>0</v>
      </c>
      <c r="E49" s="160">
        <f>IF(ISNA(VLOOKUP("BOI709700000",Balanceanp!C:G,5,FALSE))=TRUE,0,VLOOKUP("BOI709700000",Balanceanp!C:G,5,FALSE))</f>
        <v>0</v>
      </c>
      <c r="F49" s="135">
        <f>+C49+C49/9*(12-Clients!$I$14)</f>
        <v>0</v>
      </c>
      <c r="G49" s="425">
        <f>+F49*1.03</f>
        <v>0</v>
      </c>
      <c r="H49" s="564">
        <f>G49/G21</f>
        <v>0</v>
      </c>
      <c r="I49" s="149">
        <f>+IF((E49)=0,,(F49-E49)/E49)</f>
        <v>0</v>
      </c>
      <c r="J49" s="271">
        <f>+IF((F49)=0,,(G49-F49)/F49)</f>
        <v>0</v>
      </c>
      <c r="L49" s="17">
        <f t="shared" si="0"/>
        <v>0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177347.90999999997</v>
      </c>
      <c r="D51" s="312">
        <f>+D21-D49</f>
        <v>262256</v>
      </c>
      <c r="E51" s="305">
        <f>+E21-E49</f>
        <v>256659.28</v>
      </c>
      <c r="F51" s="312">
        <f>+F21-F49</f>
        <v>227251.00897450332</v>
      </c>
      <c r="G51" s="312">
        <f>+G21-G49</f>
        <v>256061</v>
      </c>
      <c r="H51" s="312"/>
      <c r="I51" s="598">
        <f>+IF((E51)=0,,(F51-E51)/E51)</f>
        <v>-0.11458097687134741</v>
      </c>
      <c r="J51" s="599">
        <f>+IF((F51)=0,,(G51-F51)/F51)</f>
        <v>0.1267760752988738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68558.199999999968</v>
      </c>
      <c r="D53" s="122"/>
      <c r="E53" s="169">
        <f>+E51-E44</f>
        <v>103750.02730000002</v>
      </c>
      <c r="F53" s="140"/>
      <c r="G53" s="140">
        <f>+G51-G44</f>
        <v>105507.09860899724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0.38657461483476169</v>
      </c>
      <c r="D54" s="123"/>
      <c r="E54" s="197">
        <f>+E53/E51</f>
        <v>0.40423251908132846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+[2]Bois!$C56</f>
        <v>26192.74</v>
      </c>
      <c r="D56" s="115"/>
      <c r="E56" s="160">
        <f>+[1]Bois!$G56</f>
        <v>21081.033600000002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+[2]Bois!$C57</f>
        <v>25943</v>
      </c>
      <c r="D57" s="115"/>
      <c r="E57" s="160">
        <f>+[1]Bois!$G57</f>
        <v>24983.200900000003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362</v>
      </c>
      <c r="B60" s="364"/>
      <c r="C60" s="15">
        <f>+[2]Bois!$C60</f>
        <v>0.40539999999999998</v>
      </c>
      <c r="D60" s="406">
        <f>+[2]Bois!$H60</f>
        <v>0.40540159233725825</v>
      </c>
      <c r="E60" s="15">
        <f>+[1]Bois!$G$54</f>
        <v>0.40423251908132846</v>
      </c>
      <c r="F60" s="406">
        <f>+C60</f>
        <v>0.40539999999999998</v>
      </c>
      <c r="G60" s="406">
        <f>G62/G51</f>
        <v>0.41203892279182397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+[2]Bois!$C61</f>
        <v>0.40100000000000002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71896.842713999984</v>
      </c>
      <c r="D62" s="405">
        <f>D51*D60</f>
        <v>106319</v>
      </c>
      <c r="E62" s="309">
        <f>+E51*E60</f>
        <v>103750.02730000002</v>
      </c>
      <c r="F62" s="405">
        <f>+F51*F60</f>
        <v>92127.559038263644</v>
      </c>
      <c r="G62" s="405">
        <f>G51-G44</f>
        <v>105507.09860899724</v>
      </c>
      <c r="H62" s="405"/>
      <c r="I62" s="15">
        <f>+IF((E62)=0,,(F62-E62)/E62)</f>
        <v>-0.11202376099747176</v>
      </c>
      <c r="J62" s="406">
        <f>+IF((F62)=0,,(G62-F62)/F62)</f>
        <v>0.14522841710347098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 hidden="1">
      <c r="A64" s="5" t="s">
        <v>104</v>
      </c>
      <c r="B64" s="92"/>
      <c r="C64" s="160">
        <f>IF(ISNA(VLOOKUP("BOI613520000",Balance!C:G,5,FALSE))=TRUE,0,VLOOKUP("BOI613520000",Balance!C:G,5,FALSE))</f>
        <v>0</v>
      </c>
      <c r="D64" s="117">
        <f>+[2]Bois!$H64</f>
        <v>0</v>
      </c>
      <c r="E64" s="160">
        <f>IF(ISNA(VLOOKUP("BOI613520000",Balanceanp!C:G,5,FALSE))=TRUE,0,VLOOKUP("BOI613520000",Balanceanp!C:G,5,FALSE))</f>
        <v>0</v>
      </c>
      <c r="F64" s="368">
        <f>+C64+C64/9*(12-Clients!$I$14)</f>
        <v>0</v>
      </c>
      <c r="G64" s="395">
        <f>+F64*1.03</f>
        <v>0</v>
      </c>
      <c r="H64" s="401"/>
      <c r="I64" s="149">
        <f t="shared" ref="I64:J68" si="5">+IF((E64)=0,,(F64-E64)/E64)</f>
        <v>0</v>
      </c>
      <c r="J64" s="271">
        <f t="shared" si="5"/>
        <v>0</v>
      </c>
      <c r="L64" s="17">
        <f t="shared" si="0"/>
        <v>0</v>
      </c>
    </row>
    <row r="65" spans="1:12" hidden="1">
      <c r="A65" s="5" t="s">
        <v>314</v>
      </c>
      <c r="B65" s="92"/>
      <c r="C65" s="160"/>
      <c r="D65" s="117">
        <f>+[2]Bois!$H65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IF(ISNA(VLOOKUP("BOI616120000",Balance!C:G,5,FALSE))=TRUE,0,VLOOKUP("BOI616120000",Balance!C:G,5,FALSE))</f>
        <v>481.59</v>
      </c>
      <c r="D66" s="592">
        <f>+[2]Bois!$H66</f>
        <v>642.16122499999994</v>
      </c>
      <c r="E66" s="311">
        <f>IF(ISNA(VLOOKUP("BOI616120000",Balanceanp!C:G,5,FALSE))=TRUE,0,VLOOKUP("BOI616120000",Balanceanp!C:G,5,FALSE))</f>
        <v>508.46</v>
      </c>
      <c r="F66" s="625">
        <f>+C66+C66/9*(12-Clients!$I$14)</f>
        <v>642.12</v>
      </c>
      <c r="G66" s="594">
        <f>+F66*1.03</f>
        <v>661.3836</v>
      </c>
      <c r="H66" s="594"/>
      <c r="I66" s="591">
        <f t="shared" si="5"/>
        <v>0.26287220233646702</v>
      </c>
      <c r="J66" s="595">
        <f t="shared" si="5"/>
        <v>2.9999999999999995E-2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IF(ISNA(VLOOKUP("BOI615520000",Balance!C:G,5,FALSE))=TRUE,0,VLOOKUP("BOI615520000",Balance!C:G,5,FALSE))</f>
        <v>267.85000000000002</v>
      </c>
      <c r="D67" s="592">
        <f>+[2]Bois!$H67</f>
        <v>297.8451</v>
      </c>
      <c r="E67" s="311">
        <f>IF(ISNA(VLOOKUP("BOI615520000",Balanceanp!C:G,5,FALSE))=TRUE,0,VLOOKUP("BOI615520000",Balanceanp!C:G,5,FALSE))</f>
        <v>64.849999999999994</v>
      </c>
      <c r="F67" s="625">
        <f>+C67+C67/9*(12-Clients!$I$14)</f>
        <v>357.13333333333333</v>
      </c>
      <c r="G67" s="594">
        <f>+F67*1.03</f>
        <v>367.84733333333332</v>
      </c>
      <c r="H67" s="594"/>
      <c r="I67" s="591">
        <f t="shared" si="5"/>
        <v>4.5070675918786947</v>
      </c>
      <c r="J67" s="595">
        <f t="shared" si="5"/>
        <v>2.9999999999999995E-2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IF(ISNA(VLOOKUP("BOI606130000",Balance!C:G,5,FALSE))=TRUE,0,VLOOKUP("BOI606130000",Balance!C:G,5,FALSE))</f>
        <v>468.9</v>
      </c>
      <c r="D68" s="592">
        <f>+[2]Bois!$H68</f>
        <v>985.68940000000009</v>
      </c>
      <c r="E68" s="311">
        <f>IF(ISNA(VLOOKUP("BOI606130000",Balanceanp!C:G,5,FALSE))=TRUE,0,VLOOKUP("BOI606130000",Balanceanp!C:G,5,FALSE))</f>
        <v>596.73</v>
      </c>
      <c r="F68" s="625">
        <f>+C68+C68/9*(12-Clients!$I$14)</f>
        <v>625.19999999999993</v>
      </c>
      <c r="G68" s="625">
        <f>+F68*1.03</f>
        <v>643.9559999999999</v>
      </c>
      <c r="H68" s="625"/>
      <c r="I68" s="591">
        <f t="shared" si="5"/>
        <v>4.7710019606857224E-2</v>
      </c>
      <c r="J68" s="595">
        <f t="shared" si="5"/>
        <v>2.9999999999999957E-2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1218.3400000000001</v>
      </c>
      <c r="D70" s="628">
        <f>SUM(D64:D69)</f>
        <v>1925.695725</v>
      </c>
      <c r="E70" s="311">
        <f>SUM(E64:E69)</f>
        <v>1170.04</v>
      </c>
      <c r="F70" s="973">
        <f>SUM(F64:F69)</f>
        <v>1624.4533333333334</v>
      </c>
      <c r="G70" s="412">
        <f>SUM(G64:G69)</f>
        <v>1673.1869333333332</v>
      </c>
      <c r="H70" s="412"/>
      <c r="I70" s="591">
        <f>+IF((E70)=0,,(F70-E70)/E70)</f>
        <v>0.38837418663749396</v>
      </c>
      <c r="J70" s="595">
        <f>+IF((F70)=0,,(G70-F70)/F70)</f>
        <v>2.9999999999999874E-2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 hidden="1">
      <c r="A72" s="5" t="s">
        <v>1</v>
      </c>
      <c r="B72" s="92"/>
      <c r="C72" s="160">
        <f>IF(ISNA(VLOOKUP("BOI602220000",Balance!C:G,5,FALSE))=TRUE,0,VLOOKUP("BOI602220000",Balance!C:G,5,FALSE))</f>
        <v>0</v>
      </c>
      <c r="D72" s="117">
        <f>+[2]Bois!$H72</f>
        <v>0</v>
      </c>
      <c r="E72" s="160">
        <f>IF(ISNA(VLOOKUP("BOI602220000",Balanceanp!C:G,5,FALSE))=TRUE,0,VLOOKUP("BOI602220000",Balanceanp!C:G,5,FALSE))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6">+IF((E72)=0,,(F72-E72)/E72)</f>
        <v>0</v>
      </c>
      <c r="J72" s="271">
        <f t="shared" si="6"/>
        <v>0</v>
      </c>
      <c r="L72" s="17">
        <f t="shared" ref="L72:L133" si="7">IF(SUM(C72:J72)&lt;&gt;0,1,0)</f>
        <v>0</v>
      </c>
    </row>
    <row r="73" spans="1:12">
      <c r="A73" s="590" t="s">
        <v>123</v>
      </c>
      <c r="B73" s="591"/>
      <c r="C73" s="311">
        <f>IF(ISNA(VLOOKUP("BOI606100000",Balance!C:G,5,FALSE))=TRUE,0,VLOOKUP("BOI606100000",Balance!C:G,5,FALSE))</f>
        <v>0</v>
      </c>
      <c r="D73" s="592">
        <f>+[2]Bois!$H73</f>
        <v>138.82364587673612</v>
      </c>
      <c r="E73" s="311">
        <f>IF(ISNA(VLOOKUP("BOI606100000",Balanceanp!C:G,5,FALSE))=TRUE,0,VLOOKUP("BOI606100000",Balanceanp!C:G,5,FALSE))</f>
        <v>0</v>
      </c>
      <c r="F73" s="625">
        <f>+C73+C73/9*(12-Clients!$I$14)</f>
        <v>0</v>
      </c>
      <c r="G73" s="630">
        <f t="shared" ref="G73:G101" si="8">+F73*1.03</f>
        <v>0</v>
      </c>
      <c r="H73" s="630"/>
      <c r="I73" s="591">
        <f t="shared" si="6"/>
        <v>0</v>
      </c>
      <c r="J73" s="595">
        <f t="shared" si="6"/>
        <v>0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IF(ISNA(VLOOKUP("BOI606110000",Balance!C:G,5,FALSE))=TRUE,0,VLOOKUP("BOI606110000",Balance!C:G,5,FALSE))</f>
        <v>0</v>
      </c>
      <c r="D74" s="592">
        <f>+[2]Bois!$H74</f>
        <v>2.9310125260416671</v>
      </c>
      <c r="E74" s="311">
        <f>IF(ISNA(VLOOKUP("BOI606110000",Balanceanp!C:G,5,FALSE))=TRUE,0,VLOOKUP("BOI606110000",Balanceanp!C:G,5,FALSE))</f>
        <v>0</v>
      </c>
      <c r="F74" s="625">
        <f>+C74+C74/9*(12-Clients!$I$14)</f>
        <v>0</v>
      </c>
      <c r="G74" s="630">
        <f t="shared" si="8"/>
        <v>0</v>
      </c>
      <c r="H74" s="630"/>
      <c r="I74" s="591">
        <f t="shared" si="6"/>
        <v>0</v>
      </c>
      <c r="J74" s="595">
        <f t="shared" si="6"/>
        <v>0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IF(ISNA(VLOOKUP("BOI606140000",Balance!C:G,5,FALSE))=TRUE,0,VLOOKUP("BOI606140000",Balance!C:G,5,FALSE))</f>
        <v>0</v>
      </c>
      <c r="D75" s="117">
        <f>+[2]Bois!$H75</f>
        <v>0</v>
      </c>
      <c r="E75" s="160">
        <f>IF(ISNA(VLOOKUP("BOI606140000",Balanceanp!C:G,5,FALSE))=TRUE,0,VLOOKUP("BOI606140000",Balanceanp!C:G,5,FALSE))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IF(ISNA(VLOOKUP("BOI606310000",Balance!C:G,5,FALSE))=TRUE,0,VLOOKUP("BOI606310000",Balance!C:G,5,FALSE))</f>
        <v>7.48</v>
      </c>
      <c r="D76" s="592">
        <f>+[2]Bois!$H76</f>
        <v>4.997328865138889</v>
      </c>
      <c r="E76" s="311">
        <f>IF(ISNA(VLOOKUP("BOI606310000",Balanceanp!C:G,5,FALSE))=TRUE,0,VLOOKUP("BOI606310000",Balanceanp!C:G,5,FALSE))</f>
        <v>11.89</v>
      </c>
      <c r="F76" s="625">
        <f>+C76+C76/9*(12-Clients!$I$14)</f>
        <v>9.9733333333333327</v>
      </c>
      <c r="G76" s="630">
        <f t="shared" si="8"/>
        <v>10.272533333333334</v>
      </c>
      <c r="H76" s="630"/>
      <c r="I76" s="591">
        <f t="shared" si="6"/>
        <v>-0.16119988786094766</v>
      </c>
      <c r="J76" s="595">
        <f t="shared" si="6"/>
        <v>3.0000000000000082E-2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IF(ISNA(VLOOKUP("BOI606410000",Balance!C:G,5,FALSE))=TRUE,0,VLOOKUP("BOI606410000",Balance!C:G,5,FALSE))</f>
        <v>272.16000000000003</v>
      </c>
      <c r="D77" s="592">
        <f>+[2]Bois!$H77</f>
        <v>871.27116434015841</v>
      </c>
      <c r="E77" s="311">
        <f>IF(ISNA(VLOOKUP("BOI606410000",Balanceanp!C:G,5,FALSE))=TRUE,0,VLOOKUP("BOI606410000",Balanceanp!C:G,5,FALSE))</f>
        <v>1588.49</v>
      </c>
      <c r="F77" s="625">
        <f>+C77+C77/9*(12-Clients!$I$14)</f>
        <v>362.88</v>
      </c>
      <c r="G77" s="630">
        <f t="shared" si="8"/>
        <v>373.76640000000003</v>
      </c>
      <c r="H77" s="630"/>
      <c r="I77" s="591">
        <f t="shared" si="6"/>
        <v>-0.77155663554696607</v>
      </c>
      <c r="J77" s="595">
        <f t="shared" si="6"/>
        <v>3.0000000000000103E-2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IF(ISNA(VLOOKUP("BOI611000000",Balance!C:G,5,FALSE))=TRUE,0,VLOOKUP("BOI611000000",Balance!C:G,5,FALSE))</f>
        <v>0</v>
      </c>
      <c r="D78" s="592">
        <f>+[2]Bois!$H78</f>
        <v>0.81505596324166696</v>
      </c>
      <c r="E78" s="311">
        <f>IF(ISNA(VLOOKUP("BOI611000000",Balanceanp!C:G,5,FALSE))=TRUE,0,VLOOKUP("BOI611000000",Balanceanp!C:G,5,FALSE))</f>
        <v>0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0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IF(ISNA(VLOOKUP("BOI613200000",Balance!C:G,5,FALSE))=TRUE,0,VLOOKUP("BOI613200000",Balance!C:G,5,FALSE))</f>
        <v>5654.7</v>
      </c>
      <c r="D79" s="592">
        <f>+[2]Bois!$H79</f>
        <v>7539.6</v>
      </c>
      <c r="E79" s="311">
        <f>IF(ISNA(VLOOKUP("BOI613200000",Balanceanp!C:G,5,FALSE))=TRUE,0,VLOOKUP("BOI613200000",Balanceanp!C:G,5,FALSE))</f>
        <v>7320</v>
      </c>
      <c r="F79" s="620">
        <f>1830*4</f>
        <v>7320</v>
      </c>
      <c r="G79" s="620">
        <f>7320*1.05</f>
        <v>7686</v>
      </c>
      <c r="H79" s="974">
        <f>G79/G21</f>
        <v>3.0016285182046465E-2</v>
      </c>
      <c r="I79" s="591">
        <f t="shared" si="6"/>
        <v>0</v>
      </c>
      <c r="J79" s="595">
        <f t="shared" si="6"/>
        <v>0.05</v>
      </c>
      <c r="L79" s="17">
        <f t="shared" si="7"/>
        <v>1</v>
      </c>
    </row>
    <row r="80" spans="1:12">
      <c r="A80" s="590" t="s">
        <v>325</v>
      </c>
      <c r="B80" s="591"/>
      <c r="C80" s="311">
        <f>IF(ISNA(VLOOKUP("BOI614000000",Balance!C:G,5,FALSE))=TRUE,0,VLOOKUP("BOI614000000",Balance!C:G,5,FALSE))</f>
        <v>0</v>
      </c>
      <c r="D80" s="592">
        <f>+[2]Bois!$H80</f>
        <v>603.58000000000004</v>
      </c>
      <c r="E80" s="311">
        <f>IF(ISNA(VLOOKUP("BOI614000000",Balanceanp!C:G,5,FALSE))=TRUE,0,VLOOKUP("BOI614000000",Balanceanp!C:G,5,FALSE))</f>
        <v>586</v>
      </c>
      <c r="F80" s="637">
        <v>2582.5100000000002</v>
      </c>
      <c r="G80" s="630">
        <f t="shared" si="8"/>
        <v>2659.9853000000003</v>
      </c>
      <c r="H80" s="630"/>
      <c r="I80" s="591">
        <f t="shared" si="6"/>
        <v>3.4070136518771337</v>
      </c>
      <c r="J80" s="595">
        <f t="shared" si="6"/>
        <v>3.000000000000002E-2</v>
      </c>
      <c r="L80" s="17">
        <f t="shared" si="7"/>
        <v>1</v>
      </c>
    </row>
    <row r="81" spans="1:12" hidden="1">
      <c r="A81" s="5" t="s">
        <v>103</v>
      </c>
      <c r="B81" s="92"/>
      <c r="C81" s="160">
        <f>IF(ISNA(VLOOKUP("BOI613510000",Balance!C:G,5,FALSE))=TRUE,0,VLOOKUP("BOI613510000",Balance!C:G,5,FALSE))</f>
        <v>0</v>
      </c>
      <c r="D81" s="117">
        <f>+[2]Bois!$H81</f>
        <v>0</v>
      </c>
      <c r="E81" s="160">
        <f>IF(ISNA(VLOOKUP("BOI613510000",Balanceanp!C:G,5,FALSE))=TRUE,0,VLOOKUP("BOI613510000",Balanceanp!C:G,5,FALSE))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IF(ISNA(VLOOKUP("BOI613530000",Balance!C:G,5,FALSE))=TRUE,0,VLOOKUP("BOI613530000",Balance!C:G,5,FALSE))</f>
        <v>135</v>
      </c>
      <c r="D82" s="592">
        <f>+[2]Bois!$H82</f>
        <v>192.61480522409445</v>
      </c>
      <c r="E82" s="311">
        <f>IF(ISNA(VLOOKUP("BOI613530000",Balanceanp!C:G,5,FALSE))=TRUE,0,VLOOKUP("BOI613530000",Balanceanp!C:G,5,FALSE))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IF(ISNA(VLOOKUP("BOI613540000",Balance!C:G,5,FALSE))=TRUE,0,VLOOKUP("BOI613540000",Balance!C:G,5,FALSE))</f>
        <v>670.88</v>
      </c>
      <c r="D83" s="592">
        <f>+[2]Bois!$H83</f>
        <v>893.52630410231245</v>
      </c>
      <c r="E83" s="311">
        <f>IF(ISNA(VLOOKUP("BOI613540000",Balanceanp!C:G,5,FALSE))=TRUE,0,VLOOKUP("BOI613540000",Balanceanp!C:G,5,FALSE))</f>
        <v>1006.32</v>
      </c>
      <c r="F83" s="625">
        <f>+C83+C83/9*(12-Clients!$I$14)</f>
        <v>894.50666666666666</v>
      </c>
      <c r="G83" s="630">
        <f t="shared" si="8"/>
        <v>921.34186666666665</v>
      </c>
      <c r="H83" s="630"/>
      <c r="I83" s="591">
        <f t="shared" si="6"/>
        <v>-0.11111111111111116</v>
      </c>
      <c r="J83" s="595">
        <f t="shared" si="6"/>
        <v>2.9999999999999985E-2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IF(ISNA(VLOOKUP("BOI615200000",Balance!C:G,5,FALSE))=TRUE,0,VLOOKUP("BOI615200000",Balance!C:G,5,FALSE))</f>
        <v>772.11</v>
      </c>
      <c r="D84" s="592">
        <f>+[2]Bois!$H84</f>
        <v>1117.6757857411842</v>
      </c>
      <c r="E84" s="311">
        <f>IF(ISNA(VLOOKUP("BOI615200000",Balanceanp!C:G,5,FALSE))=TRUE,0,VLOOKUP("BOI615200000",Balanceanp!C:G,5,FALSE))</f>
        <v>1096.24</v>
      </c>
      <c r="F84" s="625">
        <f>+C84+C84/9*(12-Clients!$I$14)</f>
        <v>1029.48</v>
      </c>
      <c r="G84" s="630">
        <f t="shared" si="8"/>
        <v>1060.3644000000002</v>
      </c>
      <c r="H84" s="630"/>
      <c r="I84" s="591">
        <f t="shared" si="6"/>
        <v>-6.0899073195650577E-2</v>
      </c>
      <c r="J84" s="595">
        <f t="shared" si="6"/>
        <v>3.0000000000000138E-2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IF(ISNA(VLOOKUP("BOI615500000",Balance!C:G,5,FALSE))=TRUE,0,VLOOKUP("BOI615500000",Balance!C:G,5,FALSE))</f>
        <v>925.8</v>
      </c>
      <c r="D85" s="592">
        <f>+[2]Bois!$H85</f>
        <v>833.08927255208334</v>
      </c>
      <c r="E85" s="311">
        <f>IF(ISNA(VLOOKUP("BOI615500000",Balanceanp!C:G,5,FALSE))=TRUE,0,VLOOKUP("BOI615500000",Balanceanp!C:G,5,FALSE))</f>
        <v>725.59999999999991</v>
      </c>
      <c r="F85" s="625">
        <f>+C85+C85/9*(12-Clients!$I$14)</f>
        <v>1234.3999999999999</v>
      </c>
      <c r="G85" s="630">
        <f t="shared" si="8"/>
        <v>1271.4319999999998</v>
      </c>
      <c r="H85" s="630"/>
      <c r="I85" s="591">
        <f t="shared" si="6"/>
        <v>0.70121278941565601</v>
      </c>
      <c r="J85" s="595">
        <f t="shared" si="6"/>
        <v>2.9999999999999943E-2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IF(ISNA(VLOOKUP("BOI615510000",Balance!C:G,5,FALSE))=TRUE,0,VLOOKUP("BOI615510000",Balance!C:G,5,FALSE))</f>
        <v>0</v>
      </c>
      <c r="D86" s="592">
        <f>+[2]Bois!$H86</f>
        <v>282.88194917013897</v>
      </c>
      <c r="E86" s="311">
        <f>IF(ISNA(VLOOKUP("BOI615510000",Balanceanp!C:G,5,FALSE))=TRUE,0,VLOOKUP("BOI615510000",Balanceanp!C:G,5,FALSE))</f>
        <v>0</v>
      </c>
      <c r="F86" s="625">
        <f>+C86+C86/9*(12-Clients!$I$14)</f>
        <v>0</v>
      </c>
      <c r="G86" s="630">
        <f t="shared" si="8"/>
        <v>0</v>
      </c>
      <c r="H86" s="630"/>
      <c r="I86" s="591">
        <f t="shared" si="6"/>
        <v>0</v>
      </c>
      <c r="J86" s="595">
        <f t="shared" si="6"/>
        <v>0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IF(ISNA(VLOOKUP("BOI615530000",Balance!C:G,5,FALSE))=TRUE,0,VLOOKUP("BOI615530000",Balance!C:G,5,FALSE))</f>
        <v>0</v>
      </c>
      <c r="D87" s="117">
        <f>+[2]Bois!$H87</f>
        <v>0</v>
      </c>
      <c r="E87" s="160">
        <f>IF(ISNA(VLOOKUP("BOI615530000",Balanceanp!C:G,5,FALSE))=TRUE,0,VLOOKUP("BOI615530000",Balanceanp!C:G,5,FALSE))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IF(ISNA(VLOOKUP("BOI616130000",Balance!C:G,5,FALSE))=TRUE,0,VLOOKUP("BOI616130000",Balance!C:G,5,FALSE))</f>
        <v>1394.28</v>
      </c>
      <c r="D88" s="592">
        <f>+[2]Bois!$H88</f>
        <v>1859.068575</v>
      </c>
      <c r="E88" s="311">
        <f>IF(ISNA(VLOOKUP("BOI616130000",Balanceanp!C:G,5,FALSE))=TRUE,0,VLOOKUP("BOI616130000",Balanceanp!C:G,5,FALSE))</f>
        <v>1690.55</v>
      </c>
      <c r="F88" s="625">
        <f>+C88+C88/9*(12-Clients!$I$14)</f>
        <v>1859.04</v>
      </c>
      <c r="G88" s="632">
        <f>+E88*1.05*1.05</f>
        <v>1863.8313750000002</v>
      </c>
      <c r="H88" s="632"/>
      <c r="I88" s="591">
        <f t="shared" ref="I88:I101" si="9">+IF((E88)=0,,(F88-E88)/E88)</f>
        <v>9.966578924018811E-2</v>
      </c>
      <c r="J88" s="595">
        <f t="shared" ref="J88:J101" si="10">+IF((F88)=0,,(G88-F88)/F88)</f>
        <v>2.57733830364072E-3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+[2]Bois!$H89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IF(ISNA(VLOOKUP("BOI618100000",Balance!C:G,5,FALSE))=TRUE,0,VLOOKUP("BOI618100000",Balance!C:G,5,FALSE))</f>
        <v>0</v>
      </c>
      <c r="D90" s="592">
        <f>+[2]Bois!$H90</f>
        <v>38.717400835069448</v>
      </c>
      <c r="E90" s="311">
        <f>IF(ISNA(VLOOKUP("BOI618100000",Balanceanp!C:G,5,FALSE))=TRUE,0,VLOOKUP("BOI618100000",Balanceanp!C:G,5,FALSE))</f>
        <v>37.4</v>
      </c>
      <c r="F90" s="625">
        <f>+C90+C90/9*(12-Clients!$I$14)</f>
        <v>0</v>
      </c>
      <c r="G90" s="630">
        <f t="shared" si="8"/>
        <v>0</v>
      </c>
      <c r="H90" s="630"/>
      <c r="I90" s="591">
        <f t="shared" si="9"/>
        <v>-1</v>
      </c>
      <c r="J90" s="595">
        <f t="shared" si="10"/>
        <v>0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IF(ISNA(VLOOKUP("BOI618500000",Balance!C:G,5,FALSE))=TRUE,0,VLOOKUP("BOI618500000",Balance!C:G,5,FALSE))</f>
        <v>0</v>
      </c>
      <c r="D91" s="592">
        <f>+[2]Bois!$H91</f>
        <v>99.332283694475706</v>
      </c>
      <c r="E91" s="311">
        <f>IF(ISNA(VLOOKUP("BOI618500000",Balanceanp!C:G,5,FALSE))=TRUE,0,VLOOKUP("BOI618500000",Balanceanp!C:G,5,FALSE))</f>
        <v>21.7</v>
      </c>
      <c r="F91" s="625">
        <f>+C91+C91/9*(12-Clients!$I$14)</f>
        <v>0</v>
      </c>
      <c r="G91" s="630">
        <f t="shared" si="8"/>
        <v>0</v>
      </c>
      <c r="H91" s="630"/>
      <c r="I91" s="591">
        <f t="shared" si="9"/>
        <v>-1</v>
      </c>
      <c r="J91" s="595">
        <f t="shared" si="10"/>
        <v>0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IF(ISNA(VLOOKUP("BOI622200000",Balance!C:G,5,FALSE))=TRUE,0,VLOOKUP("BOI622200000",Balance!C:G,5,FALSE))</f>
        <v>0</v>
      </c>
      <c r="D92" s="117">
        <f>+[2]Bois!$H92</f>
        <v>0</v>
      </c>
      <c r="E92" s="160">
        <f>IF(ISNA(VLOOKUP("BOI622200000",Balanceanp!C:G,5,FALSE))=TRUE,0,VLOOKUP("BOI622200000",Balanceanp!C:G,5,FALSE))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>
      <c r="A93" s="590" t="s">
        <v>115</v>
      </c>
      <c r="B93" s="591"/>
      <c r="C93" s="311">
        <f>IF(ISNA(VLOOKUP("BOI622600000",Balance!C:G,5,FALSE))=TRUE,0,VLOOKUP("BOI622600000",Balance!C:G,5,FALSE))</f>
        <v>0</v>
      </c>
      <c r="D93" s="592">
        <f>+[2]Bois!$H93</f>
        <v>0.5862025052083335</v>
      </c>
      <c r="E93" s="311">
        <f>IF(ISNA(VLOOKUP("BOI622600000",Balanceanp!C:G,5,FALSE))=TRUE,0,VLOOKUP("BOI622600000",Balanceanp!C:G,5,FALSE))</f>
        <v>0</v>
      </c>
      <c r="F93" s="625">
        <f>+C93+C93/9*(12-Clients!$I$14)</f>
        <v>0</v>
      </c>
      <c r="G93" s="630">
        <f t="shared" si="8"/>
        <v>0</v>
      </c>
      <c r="H93" s="630"/>
      <c r="I93" s="591">
        <f t="shared" si="9"/>
        <v>0</v>
      </c>
      <c r="J93" s="595">
        <f t="shared" si="10"/>
        <v>0</v>
      </c>
      <c r="L93" s="17">
        <f t="shared" si="7"/>
        <v>1</v>
      </c>
    </row>
    <row r="94" spans="1:12" hidden="1">
      <c r="A94" s="5" t="s">
        <v>42</v>
      </c>
      <c r="B94" s="92"/>
      <c r="C94" s="160">
        <f>IF(ISNA(VLOOKUP("BOI622710000",Balance!C:G,5,FALSE))=TRUE,0,VLOOKUP("BOI622710000",Balance!C:G,5,FALSE))</f>
        <v>0</v>
      </c>
      <c r="D94" s="117">
        <f>+[2]Bois!$H94</f>
        <v>0</v>
      </c>
      <c r="E94" s="160">
        <f>IF(ISNA(VLOOKUP("BOI622710000",Balanceanp!C:G,5,FALSE))=TRUE,0,VLOOKUP("BOI622710000",Balanceanp!C:G,5,FALSE))</f>
        <v>0</v>
      </c>
      <c r="F94" s="368">
        <f>+C94+C94/9*(12-Clients!$I$14)</f>
        <v>0</v>
      </c>
      <c r="G94" s="396">
        <f t="shared" si="8"/>
        <v>0</v>
      </c>
      <c r="H94" s="409"/>
      <c r="I94" s="149">
        <f t="shared" si="9"/>
        <v>0</v>
      </c>
      <c r="J94" s="271">
        <f t="shared" si="10"/>
        <v>0</v>
      </c>
      <c r="L94" s="17">
        <f t="shared" si="7"/>
        <v>0</v>
      </c>
    </row>
    <row r="95" spans="1:12">
      <c r="A95" s="590" t="s">
        <v>117</v>
      </c>
      <c r="B95" s="591">
        <f>+C95/$C$21</f>
        <v>7.2687634153681326E-4</v>
      </c>
      <c r="C95" s="311">
        <f>IF(ISNA(VLOOKUP("BOI624200000",Balance!C:G,5,FALSE))=TRUE,0,VLOOKUP("BOI624200000",Balance!C:G,5,FALSE))</f>
        <v>128.91</v>
      </c>
      <c r="D95" s="592">
        <f>+[2]Bois!$H95</f>
        <v>130.91189399621851</v>
      </c>
      <c r="E95" s="311">
        <f>IF(ISNA(VLOOKUP("BOI624200000",Balanceanp!C:G,5,FALSE))=TRUE,0,VLOOKUP("BOI624200000",Balanceanp!C:G,5,FALSE))</f>
        <v>180.58</v>
      </c>
      <c r="F95" s="625">
        <f>+C95+C95/9*(12-Clients!$I$14)</f>
        <v>171.88</v>
      </c>
      <c r="G95" s="630">
        <f>B95*G21</f>
        <v>186.12468289025793</v>
      </c>
      <c r="H95" s="633">
        <f>+G95/$G$21</f>
        <v>7.2687634153681326E-4</v>
      </c>
      <c r="I95" s="591">
        <f t="shared" si="9"/>
        <v>-4.8178092812050155E-2</v>
      </c>
      <c r="J95" s="595">
        <f t="shared" si="10"/>
        <v>8.2875744067127846E-2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IF(ISNA(VLOOKUP("BOI625100000",Balance!C:G,5,FALSE))=TRUE,0,VLOOKUP("BOI625100000",Balance!C:G,5,FALSE))</f>
        <v>2759.26</v>
      </c>
      <c r="D96" s="592">
        <f>+[2]Bois!$H96</f>
        <v>3000</v>
      </c>
      <c r="E96" s="311">
        <f>IF(ISNA(VLOOKUP("BOI625100000",Balanceanp!C:G,5,FALSE))=TRUE,0,VLOOKUP("BOI625100000",Balanceanp!C:G,5,FALSE))</f>
        <v>4023.64</v>
      </c>
      <c r="F96" s="625">
        <f>+C96+C96/9*(12-Clients!$I$14)</f>
        <v>3679.0133333333333</v>
      </c>
      <c r="G96" s="594">
        <v>3000</v>
      </c>
      <c r="H96" s="594"/>
      <c r="I96" s="591">
        <f t="shared" si="9"/>
        <v>-8.56504723749308E-2</v>
      </c>
      <c r="J96" s="595">
        <f t="shared" si="10"/>
        <v>-0.18456397729826113</v>
      </c>
      <c r="L96" s="17">
        <f t="shared" si="7"/>
        <v>1</v>
      </c>
    </row>
    <row r="97" spans="1:12" hidden="1">
      <c r="A97" s="5" t="s">
        <v>7</v>
      </c>
      <c r="B97" s="92"/>
      <c r="C97" s="160">
        <f>IF(ISNA(VLOOKUP("BOI625200000",Balance!C:G,5,FALSE))=TRUE,0,VLOOKUP("BOI625200000",Balance!C:G,5,FALSE))</f>
        <v>0</v>
      </c>
      <c r="D97" s="117">
        <f>+[2]Bois!$H97</f>
        <v>0</v>
      </c>
      <c r="E97" s="160">
        <f>IF(ISNA(VLOOKUP("BOI625200000",Balanceanp!C:G,5,FALSE))=TRUE,0,VLOOKUP("BOI625200000",Balanceanp!C:G,5,FALSE))</f>
        <v>0</v>
      </c>
      <c r="F97" s="368">
        <f>+C97+C97/9*(12-Clients!$I$14)</f>
        <v>0</v>
      </c>
      <c r="G97" s="395">
        <f t="shared" si="8"/>
        <v>0</v>
      </c>
      <c r="H97" s="401"/>
      <c r="I97" s="149">
        <f t="shared" si="9"/>
        <v>0</v>
      </c>
      <c r="J97" s="271">
        <f t="shared" si="10"/>
        <v>0</v>
      </c>
      <c r="L97" s="17">
        <f t="shared" si="7"/>
        <v>0</v>
      </c>
    </row>
    <row r="98" spans="1:12" hidden="1">
      <c r="A98" s="5" t="s">
        <v>307</v>
      </c>
      <c r="B98" s="92"/>
      <c r="C98" s="160">
        <f>IF(ISNA(VLOOKUP("BOI625510000",Balance!C:G,5,FALSE))=TRUE,0,VLOOKUP("BOI625510000",Balance!C:G,5,FALSE))</f>
        <v>0</v>
      </c>
      <c r="D98" s="117">
        <f>+[2]Bois!$H98</f>
        <v>0</v>
      </c>
      <c r="E98" s="160">
        <f>IF(ISNA(VLOOKUP("BOI625510000",Balanceanp!C:G,5,FALSE))=TRUE,0,VLOOKUP("BOI625510000",Balanceanp!C:G,5,FALSE))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IF(ISNA(VLOOKUP("BOI626000000",Balance!C:G,5,FALSE))=TRUE,0,VLOOKUP("BOI626000000",Balance!C:G,5,FALSE))</f>
        <v>1809.37</v>
      </c>
      <c r="D99" s="592">
        <f>+[2]Bois!$H99</f>
        <v>2912.9139093304384</v>
      </c>
      <c r="E99" s="311">
        <f>IF(ISNA(VLOOKUP("BOI626000000",Balanceanp!C:G,5,FALSE))=TRUE,0,VLOOKUP("BOI626000000",Balanceanp!C:G,5,FALSE))</f>
        <v>2674</v>
      </c>
      <c r="F99" s="625">
        <f>+C99+C99/9*(12-Clients!$I$14)</f>
        <v>2412.4933333333329</v>
      </c>
      <c r="G99" s="630">
        <f>+F99</f>
        <v>2412.4933333333329</v>
      </c>
      <c r="H99" s="630"/>
      <c r="I99" s="591">
        <f t="shared" si="9"/>
        <v>-9.779606083271021E-2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IF(ISNA(VLOOKUP("BOI626100000",Balance!C:G,5,FALSE))=TRUE,0,VLOOKUP("BOI626100000",Balance!C:G,5,FALSE))</f>
        <v>127.65</v>
      </c>
      <c r="D100" s="592">
        <f>+[2]Bois!$H100</f>
        <v>483.09826365334305</v>
      </c>
      <c r="E100" s="311">
        <f>IF(ISNA(VLOOKUP("BOI626100000",Balanceanp!C:G,5,FALSE))=TRUE,0,VLOOKUP("BOI626100000",Balanceanp!C:G,5,FALSE))</f>
        <v>458.72</v>
      </c>
      <c r="F100" s="625">
        <f>+C100+C100/9*(12-Clients!$I$14)</f>
        <v>170.2</v>
      </c>
      <c r="G100" s="630">
        <f t="shared" si="8"/>
        <v>175.30599999999998</v>
      </c>
      <c r="H100" s="630"/>
      <c r="I100" s="591">
        <f t="shared" si="9"/>
        <v>-0.62896756191140568</v>
      </c>
      <c r="J100" s="595">
        <f t="shared" si="10"/>
        <v>2.9999999999999971E-2</v>
      </c>
      <c r="L100" s="17">
        <f t="shared" si="7"/>
        <v>1</v>
      </c>
    </row>
    <row r="101" spans="1:12">
      <c r="A101" s="590" t="s">
        <v>121</v>
      </c>
      <c r="B101" s="591"/>
      <c r="C101" s="311">
        <f>IF(ISNA(VLOOKUP("BOI628400000",Balance!C:G,5,FALSE))=TRUE,0,VLOOKUP("BOI628400000",Balance!C:G,5,FALSE))</f>
        <v>0</v>
      </c>
      <c r="D101" s="592">
        <f>+[2]Bois!$H101</f>
        <v>3.8625000000000003</v>
      </c>
      <c r="E101" s="311">
        <f>IF(ISNA(VLOOKUP("BOI628400000",Balanceanp!C:G,5,FALSE))=TRUE,0,VLOOKUP("BOI628400000",Balanceanp!C:G,5,FALSE))</f>
        <v>0</v>
      </c>
      <c r="F101" s="625">
        <f>+C101+C101/9*(12-Clients!$I$14)</f>
        <v>0</v>
      </c>
      <c r="G101" s="630">
        <f t="shared" si="8"/>
        <v>0</v>
      </c>
      <c r="H101" s="630"/>
      <c r="I101" s="591">
        <f t="shared" si="9"/>
        <v>0</v>
      </c>
      <c r="J101" s="595">
        <f t="shared" si="10"/>
        <v>0</v>
      </c>
      <c r="L101" s="17">
        <f t="shared" si="7"/>
        <v>1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8.9518619080427866E-2</v>
      </c>
      <c r="C103" s="305">
        <f>SUM(C70:C102)</f>
        <v>15875.94</v>
      </c>
      <c r="D103" s="312">
        <f>SUM(D70:D102)</f>
        <v>22935.993078375886</v>
      </c>
      <c r="E103" s="305">
        <f>SUM(E70:E102)</f>
        <v>22771.170000000002</v>
      </c>
      <c r="F103" s="312">
        <f>SUM(F70:F102)</f>
        <v>23530.829999999998</v>
      </c>
      <c r="G103" s="312">
        <f>SUM(G70:G102)</f>
        <v>23479.504824556927</v>
      </c>
      <c r="H103" s="421">
        <f>+G103/$G$21</f>
        <v>9.1694966529682093E-2</v>
      </c>
      <c r="I103" s="598">
        <f>+IF((E103)=0,,(F103-E103)/E103)</f>
        <v>3.3360604659312461E-2</v>
      </c>
      <c r="J103" s="599">
        <f>+IF((F103)=0,,(G103-F103)/F103)</f>
        <v>-2.1811884851945813E-3</v>
      </c>
      <c r="K103" s="136">
        <f>(C103+(C103/3))</f>
        <v>21167.920000000002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IF(ISNA(VLOOKUP("BOI623100000",Balance!C:G,5,FALSE))=TRUE,0,VLOOKUP("BOI623100000",Balance!C:G,5,FALSE))</f>
        <v>0</v>
      </c>
      <c r="D105" s="592">
        <f>+[2]Bois!$H105</f>
        <v>922.67399999999998</v>
      </c>
      <c r="E105" s="311">
        <f>IF(ISNA(VLOOKUP("BOI623100000",Balanceanp!C:G,5,FALSE))=TRUE,0,VLOOKUP("BOI623100000",Balanceanp!C:G,5,FALSE))</f>
        <v>774.3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IF(ISNA(VLOOKUP("BOI623200000",Balance!C:G,5,FALSE))=TRUE,0,VLOOKUP("BOI623200000",Balance!C:G,5,FALSE))</f>
        <v>1782.49</v>
      </c>
      <c r="D106" s="592">
        <f>+[2]Bois!$H106</f>
        <v>2871.8253999999997</v>
      </c>
      <c r="E106" s="311">
        <f>IF(ISNA(VLOOKUP("BOI623200000",Balanceanp!C:G,5,FALSE))=TRUE,0,VLOOKUP("BOI623200000",Balanceanp!C:G,5,FALSE))</f>
        <v>2640.69</v>
      </c>
      <c r="F106" s="625">
        <f>+C106+C106/9*(12-Clients!$I$14)</f>
        <v>2376.6533333333332</v>
      </c>
      <c r="G106" s="594">
        <v>1500</v>
      </c>
      <c r="H106" s="594"/>
      <c r="I106" s="591">
        <f t="shared" si="12"/>
        <v>-9.9987755725460717E-2</v>
      </c>
      <c r="J106" s="595">
        <f t="shared" si="12"/>
        <v>-0.36886041436417594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IF(ISNA(VLOOKUP("BOI629000000",Balance!C:G,5,FALSE))=TRUE,0,VLOOKUP("BOI629000000",Balance!C:G,5,FALSE))</f>
        <v>0</v>
      </c>
      <c r="D107" s="117">
        <f>+[2]Bois!$H107</f>
        <v>0</v>
      </c>
      <c r="E107" s="160">
        <f>IF(ISNA(VLOOKUP("BOI629000000",Balanceanp!C:G,5,FALSE))=TRUE,0,VLOOKUP("BOI629000000",Balanceanp!C:G,5,FALSE))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IF(ISNA(VLOOKUP("BOI623300000",Balance!C:G,5,FALSE))=TRUE,0,VLOOKUP("BOI623300000",Balance!C:G,5,FALSE))</f>
        <v>853.28</v>
      </c>
      <c r="D108" s="592">
        <f>+[2]Bois!$H108</f>
        <v>450</v>
      </c>
      <c r="E108" s="311">
        <f>IF(ISNA(VLOOKUP("BOI623300000",Balanceanp!C:G,5,FALSE))=TRUE,0,VLOOKUP("BOI623300000",Balanceanp!C:G,5,FALSE))</f>
        <v>130.91999999999999</v>
      </c>
      <c r="F108" s="625">
        <f>+C108+C108/9*(12-Clients!$I$14)</f>
        <v>1137.7066666666667</v>
      </c>
      <c r="G108" s="594">
        <v>450</v>
      </c>
      <c r="H108" s="594"/>
      <c r="I108" s="591">
        <f t="shared" si="12"/>
        <v>7.6900906405947662</v>
      </c>
      <c r="J108" s="595">
        <f t="shared" si="12"/>
        <v>-0.60446746671666984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IF(ISNA(VLOOKUP("BOI623700000",Balance!C:G,5,FALSE))=TRUE,0,VLOOKUP("BOI623700000",Balance!C:G,5,FALSE))</f>
        <v>1273.02</v>
      </c>
      <c r="D109" s="592">
        <f>+[2]Bois!$H109</f>
        <v>2007.7275</v>
      </c>
      <c r="E109" s="311">
        <f>IF(ISNA(VLOOKUP("BOI623700000",Balanceanp!C:G,5,FALSE))=TRUE,0,VLOOKUP("BOI623700000",Balanceanp!C:G,5,FALSE))</f>
        <v>1366.3200000000002</v>
      </c>
      <c r="F109" s="625">
        <f>+C109+C109/9*(12-Clients!$I$14)</f>
        <v>1697.36</v>
      </c>
      <c r="G109" s="594">
        <v>1500</v>
      </c>
      <c r="H109" s="594"/>
      <c r="I109" s="591">
        <f t="shared" si="12"/>
        <v>0.24228584811757106</v>
      </c>
      <c r="J109" s="595">
        <f t="shared" si="12"/>
        <v>-0.11627468539378795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IF(ISNA(VLOOKUP("BOI623410000",Balance!C:G,5,FALSE))=TRUE,0,VLOOKUP("BOI623410000",Balance!C:G,5,FALSE))+IF(ISNA(VLOOKUP("BOI623420000",Balance!C:G,5,FALSE))=TRUE,0,VLOOKUP("BOI623420000",Balance!C:G,5,FALSE))</f>
        <v>770.25</v>
      </c>
      <c r="D110" s="592">
        <f>+[2]Bois!$H110</f>
        <v>1026.6628000000001</v>
      </c>
      <c r="E110" s="311">
        <f>IF(ISNA(VLOOKUP("BOI623410000",Balanceanp!C:G,5,FALSE))=TRUE,0,VLOOKUP("BOI623410000",Balanceanp!C:G,5,FALSE))+IF(ISNA(VLOOKUP("BOI623420000",Balanceanp!C:G,5,FALSE))=TRUE,0,VLOOKUP("BOI623420000",Balanceanp!C:G,5,FALSE))</f>
        <v>68.760000000000005</v>
      </c>
      <c r="F110" s="625">
        <f>+C110+C110/9*(12-Clients!$I$14)</f>
        <v>1027</v>
      </c>
      <c r="G110" s="594">
        <f t="shared" si="11"/>
        <v>1057.81</v>
      </c>
      <c r="H110" s="594"/>
      <c r="I110" s="591">
        <f t="shared" si="12"/>
        <v>13.936009307737056</v>
      </c>
      <c r="J110" s="595">
        <f t="shared" si="12"/>
        <v>2.9999999999999947E-2</v>
      </c>
      <c r="L110" s="17">
        <f t="shared" si="7"/>
        <v>1</v>
      </c>
    </row>
    <row r="111" spans="1:12" hidden="1">
      <c r="A111" s="5" t="s">
        <v>135</v>
      </c>
      <c r="B111" s="92"/>
      <c r="C111" s="160">
        <f>IF(ISNA(VLOOKUP("BOI623800000",Balance!C:G,5,FALSE))=TRUE,0,VLOOKUP("BOI623800000",Balance!C:G,5,FALSE))+IF(ISNA(VLOOKUP("BOI623820000",Balance!C:G,5,FALSE))=TRUE,0,VLOOKUP("BOI623820000",Balance!C:G,5,FALSE))</f>
        <v>0</v>
      </c>
      <c r="D111" s="117">
        <f>+[2]Bois!$H111</f>
        <v>0</v>
      </c>
      <c r="E111" s="160">
        <f>IF(ISNA(VLOOKUP("BOI623800000",Balanceanp!C:G,5,FALSE))=TRUE,0,VLOOKUP("BOI623800000",Balanceanp!C:G,5,FALSE))</f>
        <v>0</v>
      </c>
      <c r="F111" s="368">
        <f>+C111+C111/9*(12-Clients!$I$14)</f>
        <v>0</v>
      </c>
      <c r="G111" s="395">
        <f t="shared" si="11"/>
        <v>0</v>
      </c>
      <c r="H111" s="401"/>
      <c r="I111" s="149">
        <f t="shared" si="12"/>
        <v>0</v>
      </c>
      <c r="J111" s="271">
        <f t="shared" si="12"/>
        <v>0</v>
      </c>
      <c r="L111" s="17">
        <f t="shared" si="7"/>
        <v>0</v>
      </c>
    </row>
    <row r="112" spans="1:12">
      <c r="A112" s="590" t="s">
        <v>136</v>
      </c>
      <c r="B112" s="591"/>
      <c r="C112" s="311">
        <f>IF(ISNA(VLOOKUP("BOI625600000",Balance!C:G,5,FALSE))=TRUE,0,VLOOKUP("BOI625600000",Balance!C:G,5,FALSE))</f>
        <v>19.5</v>
      </c>
      <c r="D112" s="592">
        <f>+[2]Bois!$H112</f>
        <v>25.997199999999999</v>
      </c>
      <c r="E112" s="311">
        <f>IF(ISNA(VLOOKUP("BOI625600000",Balanceanp!C:G,5,FALSE))=TRUE,0,VLOOKUP("BOI625600000",Balanceanp!C:G,5,FALSE))</f>
        <v>25.24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3.0110935023771854E-2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IF(ISNA(VLOOKUP("boi625700000",Balance!C:G,5,FALSE))=TRUE,0,VLOOKUP("boi625700000",Balance!C:G,5,FALSE))+IF(ISNA(VLOOKUP("boi625710000",Balance!C:G,5,FALSE))=TRUE,0,VLOOKUP("boi625710000",Balance!C:G,5,FALSE))</f>
        <v>991.35000000000014</v>
      </c>
      <c r="D113" s="592">
        <f>+[2]Bois!$H113</f>
        <v>1015</v>
      </c>
      <c r="E113" s="311">
        <f>IF(ISNA(VLOOKUP("boi625700000",Balanceanp!C:G,5,FALSE))=TRUE,0,VLOOKUP("boi625700000",Balanceanp!C:G,5,FALSE))+IF(ISNA(VLOOKUP("boi625710000",Balanceanp!C:G,5,FALSE))=TRUE,0,VLOOKUP("boi625710000",Balanceanp!C:G,5,FALSE))</f>
        <v>353.66</v>
      </c>
      <c r="F113" s="625">
        <v>412.3</v>
      </c>
      <c r="G113" s="594">
        <v>1000</v>
      </c>
      <c r="H113" s="594"/>
      <c r="I113" s="591">
        <f t="shared" si="12"/>
        <v>0.16580896906633485</v>
      </c>
      <c r="J113" s="595">
        <f t="shared" si="12"/>
        <v>1.425418384671356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IF(ISNA(VLOOKUP("BOI623810000",Balance!C:G,5,FALSE))=TRUE,0,VLOOKUP("BOI623810000",Balance!C:G,5,FALSE))</f>
        <v>0</v>
      </c>
      <c r="D114" s="117">
        <f>+[2]Bois!$H114</f>
        <v>0</v>
      </c>
      <c r="E114" s="160">
        <f>IF(ISNA(VLOOKUP("BOI623810000",Balanceanp!C:G,5,FALSE))=TRUE,0,VLOOKUP("BOI623810000",Balanceanp!C:G,5,FALSE))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3.2083208649033426E-2</v>
      </c>
      <c r="C116" s="305">
        <f>SUM(C104:C115)</f>
        <v>5689.89</v>
      </c>
      <c r="D116" s="312">
        <f>SUM(D104:D115)</f>
        <v>8319.8868999999995</v>
      </c>
      <c r="E116" s="305">
        <f>SUM(E104:E115)</f>
        <v>5359.8899999999994</v>
      </c>
      <c r="F116" s="312">
        <f>SUM(F104:F115)</f>
        <v>6677.0199999999995</v>
      </c>
      <c r="G116" s="312">
        <f>SUM(G104:G115)</f>
        <v>5534.5899999999992</v>
      </c>
      <c r="H116" s="421">
        <f>+G116/$G$21</f>
        <v>2.1614341895095306E-2</v>
      </c>
      <c r="I116" s="598">
        <f>+IF((E116)=0,,(F116-E116)/E116)</f>
        <v>0.24573825209099445</v>
      </c>
      <c r="J116" s="599">
        <f>+IF((F116)=0,,(G116-F116)/F116)</f>
        <v>-0.1710987835890862</v>
      </c>
      <c r="K116" s="136">
        <f>(C116+(C116/3))</f>
        <v>7586.52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IF(ISNA(VLOOKUP("BOI633300000",Balance!C:G,5,FALSE))=TRUE,0,VLOOKUP("BOI633300000",Balance!C:G,5,FALSE))</f>
        <v>265.48</v>
      </c>
      <c r="D118" s="592">
        <f>+[2]Bois!$H118</f>
        <v>228.10899999999998</v>
      </c>
      <c r="E118" s="311">
        <f>IF(ISNA(VLOOKUP("BOI633300000",Balanceanp!C:G,5,FALSE))=TRUE,0,VLOOKUP("BOI633300000",Balanceanp!C:G,5,FALSE))</f>
        <v>161</v>
      </c>
      <c r="F118" s="625">
        <f>+C118+C118/9*(12-Clients!$I$14)</f>
        <v>353.97333333333336</v>
      </c>
      <c r="G118" s="630">
        <f>G131*(0.2+0.5)%</f>
        <v>239.02199999999996</v>
      </c>
      <c r="H118" s="630"/>
      <c r="I118" s="591">
        <f t="shared" ref="I118:J127" si="13">+IF((E118)=0,,(F118-E118)/E118)</f>
        <v>1.198592132505176</v>
      </c>
      <c r="J118" s="595">
        <f t="shared" si="13"/>
        <v>-0.32474574355883695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IF(ISNA(VLOOKUP("BOI633400000",Balance!C:G,5,FALSE))=TRUE,0,VLOOKUP("BOI633400000",Balance!C:G,5,FALSE))</f>
        <v>0</v>
      </c>
      <c r="D119" s="592">
        <f>+[2]Bois!$H119</f>
        <v>146.64150000000001</v>
      </c>
      <c r="E119" s="311">
        <f>IF(ISNA(VLOOKUP("BOI633400000",Balanceanp!C:G,5,FALSE))=TRUE,0,VLOOKUP("BOI633400000",Balanceanp!C:G,5,FALSE))</f>
        <v>89</v>
      </c>
      <c r="F119" s="625">
        <f>+C119+C119/9*(12-Clients!$I$14)</f>
        <v>0</v>
      </c>
      <c r="G119" s="630">
        <f>+G131*0.45%</f>
        <v>153.65700000000001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IF(ISNA(VLOOKUP("BOI633500000",Balance!C:G,5,FALSE))=TRUE,0,VLOOKUP("BOI633500000",Balance!C:G,5,FALSE))</f>
        <v>0</v>
      </c>
      <c r="D120" s="592">
        <f>+[2]Bois!$H120</f>
        <v>254.17860000000002</v>
      </c>
      <c r="E120" s="311">
        <f>IF(ISNA(VLOOKUP("BOI633500000",Balanceanp!C:G,5,FALSE))=TRUE,0,VLOOKUP("BOI633500000",Balanceanp!C:G,5,FALSE))</f>
        <v>134</v>
      </c>
      <c r="F120" s="625">
        <f>+C120+C120/9*(12-Clients!$I$14)</f>
        <v>0</v>
      </c>
      <c r="G120" s="630">
        <f>+G131*(0.6+0.18)%</f>
        <v>266.33879999999999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IF(ISNA(VLOOKUP("BOI635110000",Balance!C:G,5,FALSE))=TRUE,0,VLOOKUP("BOI635110000",Balance!C:G,5,FALSE))</f>
        <v>2378.25</v>
      </c>
      <c r="D121" s="592">
        <f>+[2]Bois!$H121</f>
        <v>3171</v>
      </c>
      <c r="E121" s="311">
        <f>IF(ISNA(VLOOKUP("BOI635110000",Balanceanp!C:G,5,FALSE))=TRUE,0,VLOOKUP("BOI635110000",Balanceanp!C:G,5,FALSE))</f>
        <v>3020</v>
      </c>
      <c r="F121" s="637">
        <v>516</v>
      </c>
      <c r="G121" s="637">
        <f>+F121*1.05</f>
        <v>541.80000000000007</v>
      </c>
      <c r="H121" s="632"/>
      <c r="I121" s="591">
        <f t="shared" si="13"/>
        <v>-0.82913907284768207</v>
      </c>
      <c r="J121" s="595">
        <f t="shared" si="13"/>
        <v>5.0000000000000135E-2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IF(ISNA(VLOOKUP("BOI635120000",Balance!C:G,5,FALSE))=TRUE,0,VLOOKUP("BOI635120000",Balance!C:G,5,FALSE))</f>
        <v>643.41</v>
      </c>
      <c r="D122" s="592">
        <f>+[2]Bois!$H122</f>
        <v>857.85</v>
      </c>
      <c r="E122" s="311">
        <f>IF(ISNA(VLOOKUP("BOI635120000",Balanceanp!C:G,5,FALSE))=TRUE,0,VLOOKUP("BOI635120000",Balanceanp!C:G,5,FALSE))</f>
        <v>817</v>
      </c>
      <c r="F122" s="632">
        <v>817</v>
      </c>
      <c r="G122" s="632">
        <f>+F122*1.05</f>
        <v>857.85</v>
      </c>
      <c r="H122" s="632"/>
      <c r="I122" s="591">
        <f t="shared" si="13"/>
        <v>0</v>
      </c>
      <c r="J122" s="595">
        <f t="shared" si="13"/>
        <v>5.0000000000000031E-2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IF(ISNA(VLOOKUP("BOI635130000",Balance!C:G,5,FALSE))=TRUE,0,VLOOKUP("BOI635130000",Balance!C:G,5,FALSE))</f>
        <v>0</v>
      </c>
      <c r="D123" s="592">
        <f>+[2]Bois!$H123</f>
        <v>50</v>
      </c>
      <c r="E123" s="311">
        <f>IF(ISNA(VLOOKUP("BOI635130000",Balanceanp!C:G,5,FALSE))=TRUE,0,VLOOKUP("BOI635130000",Balanceanp!C:G,5,FALSE))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IF(ISNA(VLOOKUP("BOI635140000",Balance!C:G,5,FALSE))=TRUE,0,VLOOKUP("BOI635140000",Balance!C:G,5,FALSE))</f>
        <v>0</v>
      </c>
      <c r="D124" s="117">
        <f>+[2]Bois!$H124</f>
        <v>0</v>
      </c>
      <c r="E124" s="160">
        <f>IF(ISNA(VLOOKUP("BOI635140000",Balanceanp!C:G,5,FALSE))=TRUE,0,VLOOKUP("BOI635140000",Balanceanp!C:G,5,FALSE))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IF(ISNA(VLOOKUP("BOI635300000",Balance!C:G,5,FALSE))=TRUE,0,VLOOKUP("BOI635300000",Balance!C:G,5,FALSE))</f>
        <v>0</v>
      </c>
      <c r="D125" s="117">
        <f>+[2]Bois!$H125</f>
        <v>0</v>
      </c>
      <c r="E125" s="160">
        <f>IF(ISNA(VLOOKUP("BOI635300000",Balanceanp!C:G,5,FALSE))=TRUE,0,VLOOKUP("BOI635300000",Balanceanp!C:G,5,FALSE))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IF(ISNA(VLOOKUP("BOI635400000",Balance!C:G,5,FALSE))=TRUE,0,VLOOKUP("BOI635400000",Balance!C:G,5,FALSE))</f>
        <v>0</v>
      </c>
      <c r="D126" s="117">
        <f>+[2]Bois!$H126</f>
        <v>0</v>
      </c>
      <c r="E126" s="160">
        <f>IF(ISNA(VLOOKUP("BOI635400000",Balanceanp!C:G,5,FALSE))=TRUE,0,VLOOKUP("BOI635400000",Balanceanp!C:G,5,FALSE))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IF(ISNA(VLOOKUP("BOI637100000",Balance!C:G,5,FALSE))=TRUE,0,VLOOKUP("BOI637100000",Balance!C:G,5,FALSE))</f>
        <v>306.63</v>
      </c>
      <c r="D127" s="592">
        <f>+[2]Bois!$H127</f>
        <v>419.6096</v>
      </c>
      <c r="E127" s="311">
        <f>IF(ISNA(VLOOKUP("BOI637100000",Balanceanp!C:G,5,FALSE))=TRUE,0,VLOOKUP("BOI637100000",Balanceanp!C:G,5,FALSE))</f>
        <v>410.48</v>
      </c>
      <c r="F127" s="625">
        <f>+C127+C127/9*(12-Clients!$I$14)</f>
        <v>408.84000000000003</v>
      </c>
      <c r="G127" s="630">
        <f>+G51*0.16%</f>
        <v>409.69760000000002</v>
      </c>
      <c r="H127" s="630"/>
      <c r="I127" s="591">
        <f t="shared" si="13"/>
        <v>-3.9953225492106465E-3</v>
      </c>
      <c r="J127" s="595">
        <f t="shared" si="13"/>
        <v>2.0976421093826208E-3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2.0263954618918265E-2</v>
      </c>
      <c r="C129" s="305">
        <f>SUM(C117:C128)</f>
        <v>3593.77</v>
      </c>
      <c r="D129" s="312">
        <f>SUM(D117:D128)</f>
        <v>5127.3887000000004</v>
      </c>
      <c r="E129" s="305">
        <f>SUM(E117:E128)</f>
        <v>4631.4799999999996</v>
      </c>
      <c r="F129" s="312">
        <f>SUM(F117:F128)</f>
        <v>2095.8133333333335</v>
      </c>
      <c r="G129" s="312">
        <f>SUM(G117:G128)</f>
        <v>2518.3654000000001</v>
      </c>
      <c r="H129" s="421">
        <f>+G129/$G$21</f>
        <v>9.8350213425707159E-3</v>
      </c>
      <c r="I129" s="598">
        <f>+IF((E129)=0,,(F129-E129)/E129)</f>
        <v>-0.54748518112280875</v>
      </c>
      <c r="J129" s="599">
        <f>+IF((F129)=0,,(G129-F129)/F129)</f>
        <v>0.20161722418027048</v>
      </c>
      <c r="K129" s="136">
        <f>(C129+(C129/3))</f>
        <v>4791.6933333333336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IF(ISNA(VLOOKUP("BOI641100000",Balance!C:G,5,FALSE))=TRUE,0,VLOOKUP("BOI641100000",Balance!C:G,5,FALSE))</f>
        <v>22217.83</v>
      </c>
      <c r="D131" s="592">
        <f>+[2]Bois!$H131</f>
        <v>32587</v>
      </c>
      <c r="E131" s="311">
        <f>IF(ISNA(VLOOKUP("BOI641100000",Balanceanp!C:G,5,FALSE))=TRUE,0,VLOOKUP("BOI641100000",Balanceanp!C:G,5,FALSE))+IF(ISNA(VLOOKUP("BOI641112000",Balanceanp!C:G,5,FALSE))=TRUE,0,VLOOKUP("BOI641112000",Balanceanp!C:G,5,FALSE))</f>
        <v>33893.82</v>
      </c>
      <c r="F131" s="625">
        <f>+C131+C131/9*(12-Clients!$I$14)</f>
        <v>29623.773333333338</v>
      </c>
      <c r="G131" s="594">
        <v>34146</v>
      </c>
      <c r="H131" s="594"/>
      <c r="I131" s="591">
        <f t="shared" ref="I131:J146" si="14">+IF((E131)=0,,(F131-E131)/E131)</f>
        <v>-0.12598304548341444</v>
      </c>
      <c r="J131" s="595">
        <f t="shared" si="14"/>
        <v>0.15265532232445725</v>
      </c>
      <c r="L131" s="17">
        <v>1</v>
      </c>
    </row>
    <row r="132" spans="1:12" hidden="1">
      <c r="A132" s="5" t="s">
        <v>149</v>
      </c>
      <c r="B132" s="92"/>
      <c r="C132" s="160">
        <f>IF(ISNA(VLOOKUP("BOI641110000",Balance!C:G,5,FALSE))=TRUE,0,VLOOKUP("BOI641110000",Balance!C:G,5,FALSE))</f>
        <v>0</v>
      </c>
      <c r="D132" s="117">
        <f>+[2]Bois!$H132</f>
        <v>0</v>
      </c>
      <c r="E132" s="160">
        <f>IF(ISNA(VLOOKUP("BOI641110000",Balanceanp!C:G,5,FALSE))=TRUE,0,VLOOKUP("BOI641110000",Balanceanp!C:G,5,FALSE))</f>
        <v>-150</v>
      </c>
      <c r="F132" s="368">
        <f>+C132+C132/9*(12-Clients!$I$14)</f>
        <v>0</v>
      </c>
      <c r="G132" s="395"/>
      <c r="H132" s="401"/>
      <c r="I132" s="149">
        <f t="shared" si="14"/>
        <v>-1</v>
      </c>
      <c r="J132" s="271">
        <f t="shared" si="14"/>
        <v>0</v>
      </c>
      <c r="L132" s="17">
        <v>0</v>
      </c>
    </row>
    <row r="133" spans="1:12" hidden="1">
      <c r="A133" s="5" t="s">
        <v>150</v>
      </c>
      <c r="B133" s="92"/>
      <c r="C133" s="160">
        <f>IF(ISNA(VLOOKUP("BOI641111000",Balance!C:G,5,FALSE))=TRUE,0,VLOOKUP("BOI641111000",Balance!C:G,5,FALSE))</f>
        <v>0</v>
      </c>
      <c r="D133" s="117">
        <f>+[2]Bois!$H133</f>
        <v>0</v>
      </c>
      <c r="E133" s="160">
        <f>IF(ISNA(VLOOKUP("BOI641111000",Balanceanp!C:G,5,FALSE))=TRUE,0,VLOOKUP("BOI641111000",Balanceanp!C:G,5,FALSE))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IF(ISNA(VLOOKUP("BOI641200000",Balance!C:G,5,FALSE))=TRUE,0,VLOOKUP("BOI641200000",Balance!C:G,5,FALSE))</f>
        <v>0</v>
      </c>
      <c r="D134" s="117">
        <f>+[2]Bois!$H134</f>
        <v>0</v>
      </c>
      <c r="E134" s="160">
        <f>IF(ISNA(VLOOKUP("BOI641200000",Balanceanp!C:G,5,FALSE))=TRUE,0,VLOOKUP("BOI641200000",Balanceanp!C:G,5,FALSE))</f>
        <v>350.57999999999993</v>
      </c>
      <c r="F134" s="368">
        <f>+C134+C134/9*(12-Clients!$I$14)</f>
        <v>0</v>
      </c>
      <c r="G134" s="395"/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IF(ISNA(VLOOKUP("BOI621100000",Balance!C:G,5,FALSE))=TRUE,0,VLOOKUP("BOI621100000",Balance!C:G,5,FALSE))</f>
        <v>0</v>
      </c>
      <c r="D135" s="117">
        <f>+[2]Bois!$H135</f>
        <v>0</v>
      </c>
      <c r="E135" s="160">
        <f>IF(ISNA(VLOOKUP("BOI621100000",Balanceanp!C:G,5,FALSE))=TRUE,0,VLOOKUP("BOI621100000",Balanceanp!C:G,5,FALSE))</f>
        <v>0</v>
      </c>
      <c r="F135" s="368">
        <f>+C135+C135/9*(12-Clients!$I$14)</f>
        <v>0</v>
      </c>
      <c r="G135" s="395"/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IF(ISNA(VLOOKUP("BOI621200000",Balance!C:G,5,FALSE))=TRUE,0,VLOOKUP("BOI621200000",Balance!C:G,5,FALSE))</f>
        <v>0</v>
      </c>
      <c r="D136" s="117">
        <f>+[2]Bois!$H136</f>
        <v>0</v>
      </c>
      <c r="E136" s="160">
        <f>IF(ISNA(VLOOKUP("BOI621200000",Balanceanp!C:G,5,FALSE))=TRUE,0,VLOOKUP("BOI621200000",Balanceanp!C:G,5,FALSE))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4"/>
        <v>0</v>
      </c>
      <c r="J136" s="271">
        <f t="shared" si="14"/>
        <v>0</v>
      </c>
      <c r="L136" s="17">
        <f t="shared" ref="L136:L197" si="15">IF(SUM(C136:J136)&lt;&gt;0,1,0)</f>
        <v>0</v>
      </c>
    </row>
    <row r="137" spans="1:12" hidden="1">
      <c r="A137" s="5" t="s">
        <v>87</v>
      </c>
      <c r="B137" s="92"/>
      <c r="C137" s="160">
        <f>IF(ISNA(VLOOKUP("BOI706100000",Balance!C:G,5,FALSE))=TRUE,0,-VLOOKUP("BOI706100000",Balance!C:G,5,FALSE))</f>
        <v>0</v>
      </c>
      <c r="D137" s="117">
        <f>+[2]Bois!$H137</f>
        <v>0</v>
      </c>
      <c r="E137" s="160">
        <f>IF(ISNA(VLOOKUP("BOI706100000",Balanceanp!C:G,5,FALSE))=TRUE,0,-VLOOKUP("BOI706100000",Balanceanp!C:G,5,FALSE))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4"/>
        <v>0</v>
      </c>
      <c r="J137" s="271">
        <f t="shared" si="14"/>
        <v>0</v>
      </c>
      <c r="L137" s="17">
        <f t="shared" si="15"/>
        <v>0</v>
      </c>
    </row>
    <row r="138" spans="1:12" hidden="1">
      <c r="A138" s="5" t="s">
        <v>152</v>
      </c>
      <c r="B138" s="92"/>
      <c r="C138" s="160">
        <f>IF(ISNA(VLOOKUP("BOI641210000",Balance!C:G,5,FALSE))=TRUE,0,VLOOKUP("BOI641210000",Balance!C:G,5,FALSE))</f>
        <v>0</v>
      </c>
      <c r="D138" s="117">
        <f>+[2]Bois!$H138</f>
        <v>0</v>
      </c>
      <c r="E138" s="160">
        <f>IF(ISNA(VLOOKUP("BOI641210000",Balanceanp!C:G,5,FALSE))=TRUE,0,VLOOKUP("BOI641210000",Balanceanp!C:G,5,FALSE))</f>
        <v>106.05000000000001</v>
      </c>
      <c r="F138" s="368">
        <f>+C138+C138/9*(12-Clients!$I$14)</f>
        <v>0</v>
      </c>
      <c r="G138" s="395"/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IF(ISNA(VLOOKUP("BOI641400000",Balance!C:G,5,FALSE))=TRUE,0,VLOOKUP("BOI641400000",Balance!C:G,5,FALSE))</f>
        <v>0</v>
      </c>
      <c r="D139" s="117">
        <f>+[2]Bois!$H139</f>
        <v>0</v>
      </c>
      <c r="E139" s="160">
        <f>IF(ISNA(VLOOKUP("BOI641400000",Balanceanp!C:G,5,FALSE))=TRUE,0,VLOOKUP("BOI641400000",Balanceanp!C:G,5,FALSE))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4"/>
        <v>0</v>
      </c>
      <c r="J139" s="271">
        <f t="shared" si="14"/>
        <v>0</v>
      </c>
      <c r="L139" s="17">
        <f t="shared" si="15"/>
        <v>0</v>
      </c>
    </row>
    <row r="140" spans="1:12" hidden="1">
      <c r="A140" s="5" t="s">
        <v>154</v>
      </c>
      <c r="B140" s="92"/>
      <c r="C140" s="160">
        <f>IF(ISNA(VLOOKUP("BOI641600000",Balance!C:G,5,FALSE))=TRUE,0,VLOOKUP("BOI641600000",Balance!C:G,5,FALSE))</f>
        <v>0</v>
      </c>
      <c r="D140" s="117">
        <f>+[2]Bois!$H140</f>
        <v>0</v>
      </c>
      <c r="E140" s="160">
        <f>IF(ISNA(VLOOKUP("BOI641600000",Balanceanp!C:G,5,FALSE))=TRUE,0,VLOOKUP("BOI641600000",Balanceanp!C:G,5,FALSE))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4"/>
        <v>0</v>
      </c>
      <c r="J140" s="271">
        <f t="shared" si="14"/>
        <v>0</v>
      </c>
      <c r="L140" s="17">
        <f t="shared" si="15"/>
        <v>0</v>
      </c>
    </row>
    <row r="141" spans="1:12">
      <c r="A141" s="590" t="s">
        <v>155</v>
      </c>
      <c r="B141" s="591"/>
      <c r="C141" s="311">
        <f>IF(ISNA(VLOOKUP("BOI645100000",Balance!C:G,5,FALSE))=TRUE,0,VLOOKUP("BOI645100000",Balance!C:G,5,FALSE))</f>
        <v>7844.82</v>
      </c>
      <c r="D141" s="592">
        <f>+[2]Bois!$H141</f>
        <v>12792.783067072838</v>
      </c>
      <c r="E141" s="311">
        <f>IF(ISNA(VLOOKUP("BOI645100000",Balanceanp!C:G,5,FALSE))=TRUE,0,VLOOKUP("BOI645100000",Balanceanp!C:G,5,FALSE))</f>
        <v>12474.79</v>
      </c>
      <c r="F141" s="625">
        <f>+C141+C141/9*(12-Clients!$I$14)</f>
        <v>10459.76</v>
      </c>
      <c r="G141" s="630">
        <f t="shared" ref="G141:G146" si="16">+($G$131/$C$131*C141)*1.01</f>
        <v>12177.063014578829</v>
      </c>
      <c r="H141" s="630"/>
      <c r="I141" s="591">
        <f t="shared" si="14"/>
        <v>-0.16152817001328282</v>
      </c>
      <c r="J141" s="595">
        <f t="shared" si="14"/>
        <v>0.16418187554770175</v>
      </c>
      <c r="L141" s="17">
        <f t="shared" si="15"/>
        <v>1</v>
      </c>
    </row>
    <row r="142" spans="1:12">
      <c r="A142" s="590" t="s">
        <v>156</v>
      </c>
      <c r="B142" s="591"/>
      <c r="C142" s="311">
        <f>IF(ISNA(VLOOKUP("BOI645200000",Balance!C:G,5,FALSE))=TRUE,0,VLOOKUP("BOI645200000",Balance!C:G,5,FALSE))</f>
        <v>457.2</v>
      </c>
      <c r="D142" s="592">
        <f>+[2]Bois!$H142</f>
        <v>485.362020694997</v>
      </c>
      <c r="E142" s="311">
        <f>IF(ISNA(VLOOKUP("BOI645200000",Balanceanp!C:G,5,FALSE))=TRUE,0,VLOOKUP("BOI645200000",Balanceanp!C:G,5,FALSE))</f>
        <v>514.55999999999995</v>
      </c>
      <c r="F142" s="625">
        <f>+C142+C142/9*(12-Clients!$I$14)</f>
        <v>609.59999999999991</v>
      </c>
      <c r="G142" s="630">
        <f t="shared" si="16"/>
        <v>709.68527133387909</v>
      </c>
      <c r="H142" s="630"/>
      <c r="I142" s="591">
        <f t="shared" si="14"/>
        <v>0.18470149253731338</v>
      </c>
      <c r="J142" s="595">
        <f t="shared" si="14"/>
        <v>0.16418187554770208</v>
      </c>
      <c r="L142" s="17">
        <f t="shared" si="15"/>
        <v>1</v>
      </c>
    </row>
    <row r="143" spans="1:12">
      <c r="A143" s="590" t="s">
        <v>157</v>
      </c>
      <c r="B143" s="591"/>
      <c r="C143" s="311">
        <f>IF(ISNA(VLOOKUP("BOI645300000",Balance!C:G,5,FALSE))=TRUE,0,VLOOKUP("BOI645300000",Balance!C:G,5,FALSE))</f>
        <v>817.95</v>
      </c>
      <c r="D143" s="592">
        <f>+[2]Bois!$H143</f>
        <v>1048.4357932005864</v>
      </c>
      <c r="E143" s="311">
        <f>IF(ISNA(VLOOKUP("BOI645300000",Balanceanp!C:G,5,FALSE))=TRUE,0,VLOOKUP("BOI645300000",Balanceanp!C:G,5,FALSE))</f>
        <v>1124.33</v>
      </c>
      <c r="F143" s="625">
        <f>+C143+C143/9*(12-Clients!$I$14)</f>
        <v>1090.6000000000001</v>
      </c>
      <c r="G143" s="630">
        <f t="shared" si="16"/>
        <v>1269.6567534723238</v>
      </c>
      <c r="H143" s="630"/>
      <c r="I143" s="591">
        <f t="shared" si="14"/>
        <v>-3.0000088941858523E-2</v>
      </c>
      <c r="J143" s="595">
        <f t="shared" si="14"/>
        <v>0.16418187554770183</v>
      </c>
      <c r="L143" s="17">
        <f t="shared" si="15"/>
        <v>1</v>
      </c>
    </row>
    <row r="144" spans="1:12" hidden="1">
      <c r="A144" s="5" t="s">
        <v>326</v>
      </c>
      <c r="B144" s="92"/>
      <c r="C144" s="160">
        <f>IF(ISNA(VLOOKUP("BOI645310000",Balance!C:G,5,FALSE))=TRUE,0,VLOOKUP("BOI645310000",Balance!C:G,5,FALSE))</f>
        <v>0</v>
      </c>
      <c r="D144" s="117">
        <f>+[2]Bois!$H144</f>
        <v>0</v>
      </c>
      <c r="E144" s="160">
        <f>IF(ISNA(VLOOKUP("BOI645310000",Balanceanp!C:G,5,FALSE))=TRUE,0,VLOOKUP("BOI645310000",Balanceanp!C:G,5,FALSE))</f>
        <v>0</v>
      </c>
      <c r="F144" s="368">
        <f>+C144+C144/9*(12-Clients!$I$14)</f>
        <v>0</v>
      </c>
      <c r="G144" s="396">
        <f t="shared" si="16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5"/>
        <v>0</v>
      </c>
    </row>
    <row r="145" spans="1:12">
      <c r="A145" s="590" t="s">
        <v>158</v>
      </c>
      <c r="B145" s="591"/>
      <c r="C145" s="311">
        <f>IF(ISNA(VLOOKUP("BOI645400000",Balance!C:G,5,FALSE))=TRUE,0,VLOOKUP("BOI645400000",Balance!C:G,5,FALSE))</f>
        <v>631.4</v>
      </c>
      <c r="D145" s="592">
        <f>+[2]Bois!$H145</f>
        <v>772.6276175724438</v>
      </c>
      <c r="E145" s="311">
        <f>IF(ISNA(VLOOKUP("BOI645400000",Balanceanp!C:G,5,FALSE))=TRUE,0,VLOOKUP("BOI645400000",Balanceanp!C:G,5,FALSE))</f>
        <v>838.73</v>
      </c>
      <c r="F145" s="625">
        <f>+C145+C145/9*(12-Clients!$I$14)</f>
        <v>841.86666666666656</v>
      </c>
      <c r="G145" s="630">
        <f t="shared" si="16"/>
        <v>980.08591496109193</v>
      </c>
      <c r="H145" s="630"/>
      <c r="I145" s="591">
        <f t="shared" si="14"/>
        <v>3.739781177096971E-3</v>
      </c>
      <c r="J145" s="595">
        <f t="shared" si="14"/>
        <v>0.164181875547702</v>
      </c>
      <c r="L145" s="17">
        <f t="shared" si="15"/>
        <v>1</v>
      </c>
    </row>
    <row r="146" spans="1:12" hidden="1">
      <c r="A146" s="5" t="s">
        <v>159</v>
      </c>
      <c r="B146" s="92"/>
      <c r="C146" s="160">
        <f>IF(ISNA(VLOOKUP("BOI645800000",Balance!C:G,5,FALSE))=TRUE,0,VLOOKUP("BOI645800000",Balance!C:G,5,FALSE))</f>
        <v>0</v>
      </c>
      <c r="D146" s="117">
        <f>+[2]Bois!$H146</f>
        <v>0</v>
      </c>
      <c r="E146" s="160">
        <f>IF(ISNA(VLOOKUP("BOI645800000",Balanceanp!C:G,5,FALSE))=TRUE,0,VLOOKUP("BOI645800000",Balanceanp!C:G,5,FALSE))</f>
        <v>0</v>
      </c>
      <c r="F146" s="368">
        <f>+C146+C146/9*(12-Clients!$I$14)</f>
        <v>0</v>
      </c>
      <c r="G146" s="396">
        <f t="shared" si="16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5"/>
        <v>0</v>
      </c>
    </row>
    <row r="147" spans="1:12">
      <c r="A147" s="590" t="s">
        <v>160</v>
      </c>
      <c r="B147" s="591"/>
      <c r="C147" s="311">
        <f>IF(ISNA(VLOOKUP("BOI645900000",Balance!C:G,5,FALSE))=TRUE,0,VLOOKUP("BOI645900000",Balance!C:G,5,FALSE))</f>
        <v>201.08</v>
      </c>
      <c r="D147" s="592">
        <f>+[2]Bois!$H147</f>
        <v>-55.121872494375005</v>
      </c>
      <c r="E147" s="311">
        <f>IF(ISNA(VLOOKUP("BOI645900000",Balanceanp!C:G,5,FALSE))=TRUE,0,VLOOKUP("BOI645900000",Balanceanp!C:G,5,FALSE))</f>
        <v>-46.13</v>
      </c>
      <c r="F147" s="625">
        <f>+C147+C147/9*(12-Clients!$I$14)</f>
        <v>268.10666666666668</v>
      </c>
      <c r="G147" s="630">
        <f>+F147*1.03</f>
        <v>276.1498666666667</v>
      </c>
      <c r="H147" s="630"/>
      <c r="I147" s="591">
        <f t="shared" ref="I147:J152" si="17">+IF((E147)=0,,(F147-E147)/E147)</f>
        <v>-6.8119806344389042</v>
      </c>
      <c r="J147" s="595">
        <f t="shared" si="17"/>
        <v>3.0000000000000047E-2</v>
      </c>
      <c r="L147" s="17">
        <f t="shared" si="15"/>
        <v>1</v>
      </c>
    </row>
    <row r="148" spans="1:12">
      <c r="A148" s="590" t="s">
        <v>161</v>
      </c>
      <c r="B148" s="591"/>
      <c r="C148" s="311">
        <f>IF(ISNA(VLOOKUP("BOI647100000",Balance!C:G,5,FALSE))=TRUE,0,VLOOKUP("BOI647100000",Balance!C:G,5,FALSE))</f>
        <v>0</v>
      </c>
      <c r="D148" s="592">
        <f>+[2]Bois!$H148</f>
        <v>18.677144500000001</v>
      </c>
      <c r="E148" s="311">
        <f>IF(ISNA(VLOOKUP("BOI647100000",Balanceanp!C:G,5,FALSE))=TRUE,0,VLOOKUP("BOI647100000",Balanceanp!C:G,5,FALSE))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7"/>
        <v>-1</v>
      </c>
      <c r="J148" s="595">
        <f t="shared" si="17"/>
        <v>0</v>
      </c>
      <c r="L148" s="17">
        <f t="shared" si="15"/>
        <v>1</v>
      </c>
    </row>
    <row r="149" spans="1:12">
      <c r="A149" s="590" t="s">
        <v>162</v>
      </c>
      <c r="B149" s="591"/>
      <c r="C149" s="311">
        <f>IF(ISNA(VLOOKUP("BOI647400000",Balance!C:G,5,FALSE))=TRUE,0,VLOOKUP("BOI647400000",Balance!C:G,5,FALSE))</f>
        <v>0</v>
      </c>
      <c r="D149" s="592">
        <f>+[2]Bois!$H149</f>
        <v>0</v>
      </c>
      <c r="E149" s="311">
        <f>IF(ISNA(VLOOKUP("BOI647400000",Balanceanp!C:G,5,FALSE))=TRUE,0,VLOOKUP("BOI647400000",Balanceanp!C:G,5,FALSE))</f>
        <v>6.73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7"/>
        <v>-1</v>
      </c>
      <c r="J149" s="595">
        <f t="shared" si="17"/>
        <v>0</v>
      </c>
      <c r="L149" s="17">
        <f t="shared" si="15"/>
        <v>1</v>
      </c>
    </row>
    <row r="150" spans="1:12">
      <c r="A150" s="590" t="s">
        <v>163</v>
      </c>
      <c r="B150" s="591"/>
      <c r="C150" s="311">
        <f>IF(ISNA(VLOOKUP("BOI647500000",Balance!C:G,5,FALSE))=TRUE,0,VLOOKUP("BOI647500000",Balance!C:G,5,FALSE))</f>
        <v>74.95</v>
      </c>
      <c r="D150" s="592">
        <f>+[2]Bois!$H150</f>
        <v>93.096025032818744</v>
      </c>
      <c r="E150" s="311">
        <f>IF(ISNA(VLOOKUP("BOI647500000",Balanceanp!C:G,5,FALSE))=TRUE,0,VLOOKUP("BOI647500000",Balanceanp!C:G,5,FALSE))</f>
        <v>62.9</v>
      </c>
      <c r="F150" s="625">
        <f>+C150+C150/9*(12-Clients!$I$14)</f>
        <v>99.933333333333337</v>
      </c>
      <c r="G150" s="630">
        <f>+F150*1.03</f>
        <v>102.93133333333334</v>
      </c>
      <c r="H150" s="630"/>
      <c r="I150" s="591">
        <f t="shared" si="17"/>
        <v>0.58876523582405949</v>
      </c>
      <c r="J150" s="595">
        <f t="shared" si="17"/>
        <v>3.0000000000000044E-2</v>
      </c>
      <c r="L150" s="17">
        <f t="shared" si="15"/>
        <v>1</v>
      </c>
    </row>
    <row r="151" spans="1:12" hidden="1">
      <c r="A151" s="5" t="s">
        <v>570</v>
      </c>
      <c r="B151" s="92"/>
      <c r="C151" s="160"/>
      <c r="D151" s="117">
        <f>+[2]Bois!$H151</f>
        <v>0</v>
      </c>
      <c r="E151" s="160"/>
      <c r="F151" s="368"/>
      <c r="G151" s="395"/>
      <c r="H151" s="409"/>
      <c r="I151" s="149"/>
      <c r="J151" s="271"/>
      <c r="L151" s="17">
        <f t="shared" si="15"/>
        <v>0</v>
      </c>
    </row>
    <row r="152" spans="1:12">
      <c r="A152" s="590" t="s">
        <v>58</v>
      </c>
      <c r="B152" s="591"/>
      <c r="C152" s="311">
        <f>IF(ISNA(VLOOKUP("BOI648000000",Balance!C:G,5,FALSE))=TRUE,0,VLOOKUP("BOI648000000",Balance!C:G,5,FALSE))</f>
        <v>0</v>
      </c>
      <c r="D152" s="592">
        <f>+[2]Bois!$H152</f>
        <v>0</v>
      </c>
      <c r="E152" s="311">
        <f>IF(ISNA(VLOOKUP("BOI648000000",Balanceanp!C:G,5,FALSE))=TRUE,0,VLOOKUP("BOI648000000",Balanceanp!C:G,5,FALSE))</f>
        <v>333.07711999999998</v>
      </c>
      <c r="F152" s="625">
        <f>+C152+C152/9*(12-Clients!$I$14)</f>
        <v>0</v>
      </c>
      <c r="G152" s="630">
        <f>+F152*1.03</f>
        <v>0</v>
      </c>
      <c r="H152" s="630">
        <f>SUM(G141:G152)</f>
        <v>15515.572154346124</v>
      </c>
      <c r="I152" s="591">
        <f t="shared" si="17"/>
        <v>-1</v>
      </c>
      <c r="J152" s="595">
        <f t="shared" si="17"/>
        <v>0</v>
      </c>
      <c r="L152" s="17">
        <f t="shared" si="15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5"/>
        <v>0</v>
      </c>
    </row>
    <row r="154" spans="1:12" s="33" customFormat="1" ht="15" customHeight="1">
      <c r="A154" s="13" t="s">
        <v>164</v>
      </c>
      <c r="B154" s="596">
        <f>+C154/$C$21</f>
        <v>0.18181905836950665</v>
      </c>
      <c r="C154" s="305">
        <f>SUM(C130:C153)</f>
        <v>32245.230000000007</v>
      </c>
      <c r="D154" s="312">
        <f>SUM(D130:D153)</f>
        <v>47742.859795579308</v>
      </c>
      <c r="E154" s="305">
        <f>SUM(E130:E153)</f>
        <v>49549.037120000015</v>
      </c>
      <c r="F154" s="312">
        <f>SUM(F130:F153)</f>
        <v>42993.640000000007</v>
      </c>
      <c r="G154" s="312">
        <f>SUM(G130:G153)</f>
        <v>49661.572154346126</v>
      </c>
      <c r="H154" s="421">
        <f>+G154/$G$21</f>
        <v>0.19394430293698034</v>
      </c>
      <c r="I154" s="598">
        <f>+IF((E154)=0,,(F154-E154)/E154)</f>
        <v>-0.13230120101272327</v>
      </c>
      <c r="J154" s="599">
        <f>+IF((F154)=0,,(G154-F154)/F154)</f>
        <v>0.15509112869592148</v>
      </c>
      <c r="K154" s="136">
        <f>(C154+(C154/3))</f>
        <v>42993.640000000007</v>
      </c>
      <c r="L154" s="17">
        <f t="shared" si="15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5"/>
        <v>0</v>
      </c>
    </row>
    <row r="156" spans="1:12">
      <c r="A156" s="590" t="s">
        <v>545</v>
      </c>
      <c r="B156" s="591">
        <v>0.56169999999999998</v>
      </c>
      <c r="C156" s="311">
        <f>IF(ISNA(VLOOKUP("BOI681740000",Balance!C:G,5,FALSE))=TRUE,0,VLOOKUP("BOI681740000",Balance!C:G,5,FALSE))</f>
        <v>570.75</v>
      </c>
      <c r="D156" s="592">
        <f>+[2]Bois!$H156</f>
        <v>2283.4315212799997</v>
      </c>
      <c r="E156" s="311">
        <f>IF(ISNA(VLOOKUP("BOI681740000",Balanceanp!C:G,5,FALSE))=TRUE,0,VLOOKUP("BOI681740000",Balanceanp!C:G,5,FALSE))</f>
        <v>600.55999999999995</v>
      </c>
      <c r="F156" s="625">
        <f>+C156+C156/9*(12-Clients!$I$14)</f>
        <v>761</v>
      </c>
      <c r="G156" s="637">
        <f>+G21*B156*1.62%</f>
        <v>2330.0373119400001</v>
      </c>
      <c r="H156" s="639"/>
      <c r="I156" s="591">
        <f t="shared" ref="I156:J166" si="18">+IF((E156)=0,,(F156-E156)/E156)</f>
        <v>0.2671506593845745</v>
      </c>
      <c r="J156" s="595">
        <f t="shared" si="18"/>
        <v>2.0618098711432329</v>
      </c>
      <c r="L156" s="17">
        <f t="shared" si="15"/>
        <v>1</v>
      </c>
    </row>
    <row r="157" spans="1:12">
      <c r="A157" s="590" t="s">
        <v>165</v>
      </c>
      <c r="B157" s="591"/>
      <c r="C157" s="311">
        <f>IF(ISNA(VLOOKUP("BOI781740000",Balance!C:G,5,FALSE))=TRUE,0,VLOOKUP("BOI781740000",Balance!C:G,5,FALSE))</f>
        <v>-158.44</v>
      </c>
      <c r="D157" s="592">
        <f>+[2]Bois!$H157</f>
        <v>0</v>
      </c>
      <c r="E157" s="311">
        <f>IF(ISNA(VLOOKUP("BOI781740000",Balanceanp!C:G,5,FALSE))=TRUE,0,VLOOKUP("BOI781740000",Balanceanp!C:G,5,FALSE))</f>
        <v>0</v>
      </c>
      <c r="F157" s="625">
        <f>+C157+C157/9*(12-Clients!$I$14)</f>
        <v>-211.25333333333333</v>
      </c>
      <c r="G157" s="630">
        <v>0</v>
      </c>
      <c r="H157" s="630"/>
      <c r="I157" s="591">
        <f t="shared" si="18"/>
        <v>0</v>
      </c>
      <c r="J157" s="595">
        <f t="shared" si="18"/>
        <v>-1</v>
      </c>
      <c r="L157" s="17">
        <f t="shared" si="15"/>
        <v>1</v>
      </c>
    </row>
    <row r="158" spans="1:12">
      <c r="A158" s="590" t="s">
        <v>166</v>
      </c>
      <c r="B158" s="591"/>
      <c r="C158" s="311">
        <f>IF(ISNA(VLOOKUP("BOI654400000",Balance!C:G,5,FALSE))=TRUE,0,VLOOKUP("BOI654400000",Balance!C:G,5,FALSE))</f>
        <v>158.44</v>
      </c>
      <c r="D158" s="592">
        <f>+[2]Bois!$H158</f>
        <v>0</v>
      </c>
      <c r="E158" s="311">
        <f>IF(ISNA(VLOOKUP("BOI654400000",Balanceanp!C:G,5,FALSE))=TRUE,0,VLOOKUP("BOI654400000",Balanceanp!C:G,5,FALSE))</f>
        <v>0</v>
      </c>
      <c r="F158" s="625">
        <f>+C158+C158/9*(12-Clients!$I$14)</f>
        <v>211.25333333333333</v>
      </c>
      <c r="G158" s="630">
        <v>0</v>
      </c>
      <c r="H158" s="630"/>
      <c r="I158" s="591">
        <f t="shared" si="18"/>
        <v>0</v>
      </c>
      <c r="J158" s="595">
        <f t="shared" si="18"/>
        <v>-1</v>
      </c>
      <c r="L158" s="17">
        <f t="shared" si="15"/>
        <v>1</v>
      </c>
    </row>
    <row r="159" spans="1:12" hidden="1">
      <c r="A159" s="5" t="s">
        <v>60</v>
      </c>
      <c r="B159" s="92"/>
      <c r="C159" s="160">
        <f>IF(ISNA(VLOOKUP("BOI791100000",Balance!C:G,5,FALSE))=TRUE,0,VLOOKUP("BOI791100000",Balance!C:G,5,FALSE))</f>
        <v>0</v>
      </c>
      <c r="D159" s="117">
        <f>+[2]Bois!$H159</f>
        <v>0</v>
      </c>
      <c r="E159" s="160">
        <f>IF(ISNA(VLOOKUP("BOI791100000",Balanceanp!C:G,5,FALSE))=TRUE,0,VLOOKUP("BOI791100000",Balanceanp!C:G,5,FALSE))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8"/>
        <v>0</v>
      </c>
      <c r="J159" s="271">
        <f t="shared" si="18"/>
        <v>0</v>
      </c>
      <c r="L159" s="17">
        <f t="shared" si="15"/>
        <v>0</v>
      </c>
    </row>
    <row r="160" spans="1:12">
      <c r="A160" s="590" t="s">
        <v>199</v>
      </c>
      <c r="B160" s="591"/>
      <c r="C160" s="311">
        <f>IF(ISNA(VLOOKUP("BOI654100000",Balance!C:G,5,FALSE))=TRUE,0,VLOOKUP("BOI654100000",Balance!C:G,5,FALSE))</f>
        <v>0</v>
      </c>
      <c r="D160" s="592">
        <f>+[2]Bois!$H160</f>
        <v>0</v>
      </c>
      <c r="E160" s="311">
        <f>IF(ISNA(VLOOKUP("BOI654100000",Balanceanp!C:G,5,FALSE))=TRUE,0,VLOOKUP("BOI654100000",Balanceanp!C:G,5,FALSE))</f>
        <v>0.53</v>
      </c>
      <c r="F160" s="625">
        <f>+C160+C160/9*(12-Clients!$I$14)</f>
        <v>0</v>
      </c>
      <c r="G160" s="630">
        <v>0</v>
      </c>
      <c r="H160" s="630"/>
      <c r="I160" s="591">
        <f t="shared" si="18"/>
        <v>-1</v>
      </c>
      <c r="J160" s="595">
        <f t="shared" si="18"/>
        <v>0</v>
      </c>
      <c r="L160" s="17">
        <f t="shared" si="15"/>
        <v>1</v>
      </c>
    </row>
    <row r="161" spans="1:12">
      <c r="A161" s="590" t="s">
        <v>41</v>
      </c>
      <c r="B161" s="591"/>
      <c r="C161" s="311">
        <f>IF(ISNA(VLOOKUP("BOI622700000",Balance!C:G,5,FALSE))=TRUE,0,VLOOKUP("BOI622700000",Balance!C:G,5,FALSE))</f>
        <v>0</v>
      </c>
      <c r="D161" s="592">
        <f>+[2]Bois!$H161</f>
        <v>-19.848801052834027</v>
      </c>
      <c r="E161" s="311">
        <f>IF(ISNA(VLOOKUP("BOI622700000",Balanceanp!C:G,5,FALSE))=TRUE,0,VLOOKUP("BOI622700000",Balanceanp!C:G,5,FALSE))</f>
        <v>0</v>
      </c>
      <c r="F161" s="625">
        <f>+C161+C161/9*(12-Clients!$I$14)</f>
        <v>0</v>
      </c>
      <c r="G161" s="630">
        <f t="shared" ref="G161:G166" si="19">+F161*1.03</f>
        <v>0</v>
      </c>
      <c r="H161" s="630"/>
      <c r="I161" s="591">
        <f t="shared" si="18"/>
        <v>0</v>
      </c>
      <c r="J161" s="595">
        <f t="shared" si="18"/>
        <v>0</v>
      </c>
      <c r="L161" s="17">
        <f t="shared" si="15"/>
        <v>1</v>
      </c>
    </row>
    <row r="162" spans="1:12">
      <c r="A162" s="590" t="s">
        <v>355</v>
      </c>
      <c r="B162" s="591"/>
      <c r="C162" s="311">
        <f>IF(ISNA(VLOOKUP("BOI654200000",Balance!C:G,5,FALSE))=TRUE,0,VLOOKUP("BOI654200000",Balance!C:G,5,FALSE))</f>
        <v>0</v>
      </c>
      <c r="D162" s="592">
        <f>+[2]Bois!$H162</f>
        <v>8.1774711636312496</v>
      </c>
      <c r="E162" s="311">
        <f>IF(ISNA(VLOOKUP("BOI654200000",Balanceanp!C:G,5,FALSE))=TRUE,0,VLOOKUP("BOI654200000",Balanceanp!C:G,5,FALSE))</f>
        <v>5.93</v>
      </c>
      <c r="F162" s="625">
        <f>+C162+C162/9*(12-Clients!$I$14)</f>
        <v>0</v>
      </c>
      <c r="G162" s="630">
        <f t="shared" si="19"/>
        <v>0</v>
      </c>
      <c r="H162" s="630"/>
      <c r="I162" s="591">
        <f t="shared" si="18"/>
        <v>-1</v>
      </c>
      <c r="J162" s="595">
        <f t="shared" si="18"/>
        <v>0</v>
      </c>
      <c r="L162" s="17">
        <f t="shared" si="15"/>
        <v>1</v>
      </c>
    </row>
    <row r="163" spans="1:12">
      <c r="A163" s="590" t="s">
        <v>200</v>
      </c>
      <c r="B163" s="591"/>
      <c r="C163" s="311">
        <f>IF(ISNA(VLOOKUP("BOI665000000",Balance!C:G,5,FALSE))=TRUE,0,VLOOKUP("BOI665000000",Balance!C:G,5,FALSE))+IF(ISNA(VLOOKUP("BOI665100000",Balance!C:G,5,FALSE))=TRUE,0,VLOOKUP("BOI665100000",Balance!C:G,5,FALSE))</f>
        <v>136.91999999999999</v>
      </c>
      <c r="D163" s="592">
        <f>+[2]Bois!$H163</f>
        <v>309.61333153694517</v>
      </c>
      <c r="E163" s="311">
        <f>IF(ISNA(VLOOKUP("BOI665000000",Balanceanp!C:G,5,FALSE))=TRUE,0,VLOOKUP("BOI665000000",Balanceanp!C:G,5,FALSE))+IF(ISNA(VLOOKUP("BOI665100000",Balanceanp!C:G,5,FALSE))=TRUE,0,VLOOKUP("BOI665100000",Balanceanp!C:G,5,FALSE))</f>
        <v>321.76</v>
      </c>
      <c r="F163" s="625">
        <f>+C163+C163/9*(12-Clients!$I$14)</f>
        <v>182.55999999999997</v>
      </c>
      <c r="G163" s="630">
        <f t="shared" si="19"/>
        <v>188.03679999999997</v>
      </c>
      <c r="H163" s="630"/>
      <c r="I163" s="591">
        <f t="shared" si="18"/>
        <v>-0.43262058677274995</v>
      </c>
      <c r="J163" s="595">
        <f t="shared" si="18"/>
        <v>2.9999999999999988E-2</v>
      </c>
      <c r="L163" s="17">
        <f t="shared" si="15"/>
        <v>1</v>
      </c>
    </row>
    <row r="164" spans="1:12">
      <c r="A164" s="590" t="s">
        <v>271</v>
      </c>
      <c r="B164" s="591"/>
      <c r="C164" s="311">
        <f>IF(ISNA(VLOOKUP("BOI763000000",Balance!C:G,5,FALSE))=TRUE,0,VLOOKUP("BOI763000000",Balance!C:G,5,FALSE))</f>
        <v>0</v>
      </c>
      <c r="D164" s="592">
        <f>+[2]Bois!$H164</f>
        <v>-9.3579303757812493</v>
      </c>
      <c r="E164" s="311">
        <f>IF(ISNA(VLOOKUP("BOI763000000",Balanceanp!C:G,5,FALSE))=TRUE,0,VLOOKUP("BOI763000000",Balanceanp!C:G,5,FALSE))</f>
        <v>-9</v>
      </c>
      <c r="F164" s="625">
        <f>+C164+C164/9*(12-Clients!$I$14)</f>
        <v>0</v>
      </c>
      <c r="G164" s="630">
        <f t="shared" si="19"/>
        <v>0</v>
      </c>
      <c r="H164" s="630"/>
      <c r="I164" s="591">
        <f t="shared" si="18"/>
        <v>-1</v>
      </c>
      <c r="J164" s="595">
        <f t="shared" si="18"/>
        <v>0</v>
      </c>
      <c r="L164" s="17">
        <f t="shared" si="15"/>
        <v>1</v>
      </c>
    </row>
    <row r="165" spans="1:12">
      <c r="A165" s="590" t="s">
        <v>242</v>
      </c>
      <c r="B165" s="591"/>
      <c r="C165" s="311">
        <f>IF(ISNA(VLOOKUP("BOI627520000",Balance!C:G,5,FALSE))=TRUE,0,VLOOKUP("BOI627520000",Balance!C:G,5,FALSE))</f>
        <v>18</v>
      </c>
      <c r="D165" s="592">
        <f>+[2]Bois!$H165</f>
        <v>14.3359135359375</v>
      </c>
      <c r="E165" s="311">
        <f>IF(ISNA(VLOOKUP("BOI627520000",Balanceanp!C:G,5,FALSE))=TRUE,0,VLOOKUP("BOI627520000",Balanceanp!C:G,5,FALSE))</f>
        <v>9</v>
      </c>
      <c r="F165" s="625">
        <f>+C165+C165/9*(12-Clients!$I$14)</f>
        <v>24</v>
      </c>
      <c r="G165" s="630">
        <f t="shared" si="19"/>
        <v>24.72</v>
      </c>
      <c r="H165" s="630"/>
      <c r="I165" s="591">
        <f t="shared" si="18"/>
        <v>1.6666666666666667</v>
      </c>
      <c r="J165" s="595">
        <f t="shared" si="18"/>
        <v>2.9999999999999954E-2</v>
      </c>
      <c r="L165" s="17">
        <f t="shared" si="15"/>
        <v>1</v>
      </c>
    </row>
    <row r="166" spans="1:12" hidden="1">
      <c r="A166" s="5" t="s">
        <v>201</v>
      </c>
      <c r="B166" s="92"/>
      <c r="C166" s="160">
        <f>IF(ISNA(VLOOKUP("BOI763100000",Balance!C:G,5,FALSE))=TRUE,0,VLOOKUP("BOI763100000",Balance!C:G,5,FALSE))</f>
        <v>0</v>
      </c>
      <c r="D166" s="117">
        <f>+[2]Bois!$H166</f>
        <v>0</v>
      </c>
      <c r="E166" s="160">
        <f>IF(ISNA(VLOOKUP("BOI763100000",Balanceanp!C:G,5,FALSE))=TRUE,0,VLOOKUP("BOI763100000",Balanceanp!C:G,5,FALSE))</f>
        <v>0</v>
      </c>
      <c r="F166" s="368">
        <f>+C166+C166/9*(12-Clients!$I$14)</f>
        <v>0</v>
      </c>
      <c r="G166" s="396">
        <f t="shared" si="19"/>
        <v>0</v>
      </c>
      <c r="H166" s="409"/>
      <c r="I166" s="149">
        <f t="shared" si="18"/>
        <v>0</v>
      </c>
      <c r="J166" s="271">
        <f t="shared" si="18"/>
        <v>0</v>
      </c>
      <c r="L166" s="17">
        <f t="shared" si="15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5"/>
        <v>0</v>
      </c>
    </row>
    <row r="168" spans="1:12" s="33" customFormat="1" ht="15" customHeight="1">
      <c r="A168" s="13" t="s">
        <v>74</v>
      </c>
      <c r="B168" s="596">
        <f>+C168/$C$21</f>
        <v>4.0917877182764665E-3</v>
      </c>
      <c r="C168" s="305">
        <f>SUM(C155:C167)</f>
        <v>725.67</v>
      </c>
      <c r="D168" s="312">
        <f>SUM(D155:D167)</f>
        <v>2586.3515060878985</v>
      </c>
      <c r="E168" s="305">
        <f>SUM(E155:E167)</f>
        <v>928.77999999999986</v>
      </c>
      <c r="F168" s="312">
        <f>SUM(F155:F167)</f>
        <v>967.56</v>
      </c>
      <c r="G168" s="312">
        <f>SUM(G155:G167)</f>
        <v>2542.7941119399998</v>
      </c>
      <c r="H168" s="421">
        <f>+G168/$G$21</f>
        <v>9.9304232660967495E-3</v>
      </c>
      <c r="I168" s="598">
        <f>+IF((E168)=0,,(F168-E168)/E168)</f>
        <v>4.1753698400051782E-2</v>
      </c>
      <c r="J168" s="599">
        <f>+IF((F168)=0,,(G168-F168)/F168)</f>
        <v>1.6280479886932075</v>
      </c>
      <c r="K168" s="136">
        <f>(C168+(C168/3))</f>
        <v>967.56</v>
      </c>
      <c r="L168" s="17">
        <f t="shared" si="15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5"/>
        <v>0</v>
      </c>
    </row>
    <row r="170" spans="1:12" hidden="1">
      <c r="A170" s="5" t="s">
        <v>167</v>
      </c>
      <c r="B170" s="92"/>
      <c r="C170" s="160">
        <f>IF(ISNA(VLOOKUP("BOI651100000",Balance!C:G,5,FALSE))=TRUE,0,VLOOKUP("BOI651100000",Balance!C:G,5,FALSE))</f>
        <v>0</v>
      </c>
      <c r="D170" s="117">
        <f>+[2]Bois!$H170</f>
        <v>0</v>
      </c>
      <c r="E170" s="160">
        <f>IF(ISNA(VLOOKUP("BOI651100000",Balanceanp!C:G,5,FALSE))=TRUE,0,VLOOKUP("BOI651100000",Balanceanp!C:G,5,FALSE))</f>
        <v>0</v>
      </c>
      <c r="F170" s="368">
        <f>+C170+C170/9*(12-Clients!$I$14)</f>
        <v>0</v>
      </c>
      <c r="G170" s="396">
        <f t="shared" ref="G170:G183" si="20">+F170*1.03</f>
        <v>0</v>
      </c>
      <c r="H170" s="409"/>
      <c r="I170" s="149">
        <f t="shared" ref="I170:J183" si="21">+IF((E170)=0,,(F170-E170)/E170)</f>
        <v>0</v>
      </c>
      <c r="J170" s="271">
        <f t="shared" si="21"/>
        <v>0</v>
      </c>
      <c r="L170" s="17">
        <f t="shared" si="15"/>
        <v>0</v>
      </c>
    </row>
    <row r="171" spans="1:12" hidden="1">
      <c r="A171" s="5" t="s">
        <v>168</v>
      </c>
      <c r="B171" s="92"/>
      <c r="C171" s="160">
        <f>IF(ISNA(VLOOKUP("BOI651600000",Balance!C:G,5,FALSE))=TRUE,0,VLOOKUP("BOI651600000",Balance!C:G,5,FALSE))</f>
        <v>0</v>
      </c>
      <c r="D171" s="117">
        <f>+[2]Bois!$H171</f>
        <v>0</v>
      </c>
      <c r="E171" s="160">
        <f>IF(ISNA(VLOOKUP("BOI651600000",Balanceanp!C:G,5,FALSE))=TRUE,0,VLOOKUP("BOI651600000",Balanceanp!C:G,5,FALSE))</f>
        <v>0</v>
      </c>
      <c r="F171" s="368">
        <f>+C171+C171/9*(12-Clients!$I$14)</f>
        <v>0</v>
      </c>
      <c r="G171" s="396">
        <f t="shared" si="20"/>
        <v>0</v>
      </c>
      <c r="H171" s="409"/>
      <c r="I171" s="149">
        <f t="shared" si="21"/>
        <v>0</v>
      </c>
      <c r="J171" s="271">
        <f t="shared" si="21"/>
        <v>0</v>
      </c>
      <c r="L171" s="17">
        <f t="shared" si="15"/>
        <v>0</v>
      </c>
    </row>
    <row r="172" spans="1:12" hidden="1">
      <c r="A172" s="5" t="s">
        <v>169</v>
      </c>
      <c r="B172" s="92"/>
      <c r="C172" s="160">
        <f>IF(ISNA(VLOOKUP("BOI671200000",Balance!C:G,5,FALSE))=TRUE,0,VLOOKUP("BOI671200000",Balance!C:G,5,FALSE))</f>
        <v>0</v>
      </c>
      <c r="D172" s="117">
        <f>+[2]Bois!$H172</f>
        <v>0</v>
      </c>
      <c r="E172" s="160">
        <f>IF(ISNA(VLOOKUP("BOI671200000",Balanceanp!C:G,5,FALSE))=TRUE,0,VLOOKUP("BOI671200000",Balanceanp!C:G,5,FALSE))</f>
        <v>0</v>
      </c>
      <c r="F172" s="368">
        <f>+C172+C172/9*(12-Clients!$I$14)</f>
        <v>0</v>
      </c>
      <c r="G172" s="396">
        <f t="shared" si="20"/>
        <v>0</v>
      </c>
      <c r="H172" s="409"/>
      <c r="I172" s="149">
        <f t="shared" si="21"/>
        <v>0</v>
      </c>
      <c r="J172" s="271">
        <f t="shared" si="21"/>
        <v>0</v>
      </c>
      <c r="L172" s="17">
        <f t="shared" si="15"/>
        <v>0</v>
      </c>
    </row>
    <row r="173" spans="1:12">
      <c r="A173" s="590" t="s">
        <v>170</v>
      </c>
      <c r="B173" s="591"/>
      <c r="C173" s="311">
        <f>IF(ISNA(VLOOKUP("BOI671800000",Balance!C:G,5,FALSE))=TRUE,0,VLOOKUP("BOI671800000",Balance!C:G,5,FALSE))</f>
        <v>0</v>
      </c>
      <c r="D173" s="592">
        <f>+[2]Bois!$H173</f>
        <v>495.19052499999998</v>
      </c>
      <c r="E173" s="311">
        <f>IF(ISNA(VLOOKUP("BOI671800000",Balanceanp!C:G,5,FALSE))=TRUE,0,VLOOKUP("BOI671800000",Balanceanp!C:G,5,FALSE))+IF(ISNA(VLOOKUP("BOI658000000",Balanceanp!C:G,5,FALSE))=TRUE,0,VLOOKUP("BOI658000000",Balanceanp!C:G,5,FALSE))</f>
        <v>0</v>
      </c>
      <c r="F173" s="625">
        <f>+C173+C173/9*(12-Clients!$I$14)</f>
        <v>0</v>
      </c>
      <c r="G173" s="630">
        <f t="shared" si="20"/>
        <v>0</v>
      </c>
      <c r="H173" s="630"/>
      <c r="I173" s="591">
        <f t="shared" si="21"/>
        <v>0</v>
      </c>
      <c r="J173" s="595">
        <f t="shared" si="21"/>
        <v>0</v>
      </c>
      <c r="L173" s="17">
        <f t="shared" si="15"/>
        <v>1</v>
      </c>
    </row>
    <row r="174" spans="1:12" hidden="1">
      <c r="A174" s="5" t="s">
        <v>171</v>
      </c>
      <c r="B174" s="92"/>
      <c r="C174" s="160">
        <f>IF(ISNA(VLOOKUP("BOI672000000",Balance!C:G,5,FALSE))=TRUE,0,VLOOKUP("BOI672000000",Balance!C:G,5,FALSE))</f>
        <v>0</v>
      </c>
      <c r="D174" s="117">
        <f>+[2]Bois!$H174</f>
        <v>0</v>
      </c>
      <c r="E174" s="160">
        <f>IF(ISNA(VLOOKUP("BOI672000000",Balanceanp!C:G,5,FALSE))=TRUE,0,VLOOKUP("BOI672000000",Balanceanp!C:G,5,FALSE))</f>
        <v>0</v>
      </c>
      <c r="F174" s="368">
        <f>+C174+C174/9*(12-Clients!$I$14)</f>
        <v>0</v>
      </c>
      <c r="G174" s="396">
        <f t="shared" si="20"/>
        <v>0</v>
      </c>
      <c r="H174" s="409"/>
      <c r="I174" s="149">
        <f t="shared" si="21"/>
        <v>0</v>
      </c>
      <c r="J174" s="271">
        <f t="shared" si="21"/>
        <v>0</v>
      </c>
      <c r="L174" s="17">
        <f t="shared" si="15"/>
        <v>0</v>
      </c>
    </row>
    <row r="175" spans="1:12" hidden="1">
      <c r="A175" s="5" t="s">
        <v>308</v>
      </c>
      <c r="B175" s="92"/>
      <c r="C175" s="160">
        <f>IF(ISNA(VLOOKUP("BOI691100000",Balance!C:G,5,FALSE))=TRUE,0,VLOOKUP("BOI691100000",Balance!C:G,5,FALSE))</f>
        <v>0</v>
      </c>
      <c r="D175" s="117">
        <f>+[2]Bois!$H175</f>
        <v>0</v>
      </c>
      <c r="E175" s="160">
        <f>IF(ISNA(VLOOKUP("BOI691100000",Balanceanp!C:G,5,FALSE))=TRUE,0,VLOOKUP("BOI691100000",Balanceanp!C:G,5,FALSE))</f>
        <v>0</v>
      </c>
      <c r="F175" s="368">
        <f>+C175+C175/9*(12-Clients!$I$14)</f>
        <v>0</v>
      </c>
      <c r="G175" s="396">
        <f t="shared" si="20"/>
        <v>0</v>
      </c>
      <c r="H175" s="409"/>
      <c r="I175" s="149">
        <f t="shared" si="21"/>
        <v>0</v>
      </c>
      <c r="J175" s="271">
        <f t="shared" si="21"/>
        <v>0</v>
      </c>
      <c r="L175" s="17">
        <f t="shared" si="15"/>
        <v>0</v>
      </c>
    </row>
    <row r="176" spans="1:12" hidden="1">
      <c r="A176" s="5" t="s">
        <v>172</v>
      </c>
      <c r="B176" s="92"/>
      <c r="C176" s="160">
        <f>IF(ISNA(VLOOKUP("BOI675100000",Balance!C:G,5,FALSE))=TRUE,0,VLOOKUP("BOI675100000",Balance!C:G,5,FALSE))</f>
        <v>0</v>
      </c>
      <c r="D176" s="117">
        <f>+[2]Bois!$H176</f>
        <v>0</v>
      </c>
      <c r="E176" s="160">
        <f>IF(ISNA(VLOOKUP("BOI675100000",Balanceanp!C:G,5,FALSE))=TRUE,0,VLOOKUP("BOI675100000",Balanceanp!C:G,5,FALSE))</f>
        <v>0</v>
      </c>
      <c r="F176" s="368">
        <f>+C176+C176/9*(12-Clients!$I$14)</f>
        <v>0</v>
      </c>
      <c r="G176" s="396">
        <f t="shared" si="20"/>
        <v>0</v>
      </c>
      <c r="H176" s="409"/>
      <c r="I176" s="149">
        <f t="shared" si="21"/>
        <v>0</v>
      </c>
      <c r="J176" s="271">
        <f t="shared" si="21"/>
        <v>0</v>
      </c>
      <c r="L176" s="17">
        <f t="shared" si="15"/>
        <v>0</v>
      </c>
    </row>
    <row r="177" spans="1:12" hidden="1">
      <c r="A177" s="5" t="s">
        <v>173</v>
      </c>
      <c r="B177" s="92"/>
      <c r="C177" s="160">
        <f>IF(ISNA(VLOOKUP("BOI675200000",Balance!C:G,5,FALSE))=TRUE,0,VLOOKUP("BOI675200000",Balance!C:G,5,FALSE))</f>
        <v>0</v>
      </c>
      <c r="D177" s="117">
        <f>+[2]Bois!$H177</f>
        <v>0</v>
      </c>
      <c r="E177" s="160">
        <f>IF(ISNA(VLOOKUP("BOI675200000",Balanceanp!C:G,5,FALSE))=TRUE,0,VLOOKUP("BOI675200000",Balanceanp!C:G,5,FALSE))</f>
        <v>0</v>
      </c>
      <c r="F177" s="368">
        <f>+C177+C177/9*(12-Clients!$I$14)</f>
        <v>0</v>
      </c>
      <c r="G177" s="396">
        <f t="shared" si="20"/>
        <v>0</v>
      </c>
      <c r="H177" s="409"/>
      <c r="I177" s="149">
        <f t="shared" si="21"/>
        <v>0</v>
      </c>
      <c r="J177" s="271">
        <f t="shared" si="21"/>
        <v>0</v>
      </c>
      <c r="L177" s="17">
        <f t="shared" si="15"/>
        <v>0</v>
      </c>
    </row>
    <row r="178" spans="1:12" hidden="1">
      <c r="A178" s="5" t="s">
        <v>174</v>
      </c>
      <c r="B178" s="92"/>
      <c r="C178" s="160">
        <f>IF(ISNA(VLOOKUP("BOI681110000",Balance!C:G,5,FALSE))=TRUE,0,VLOOKUP("BOI681110000",Balance!C:G,5,FALSE))</f>
        <v>0</v>
      </c>
      <c r="D178" s="117">
        <f>+[2]Bois!$H178</f>
        <v>0</v>
      </c>
      <c r="E178" s="160">
        <f>IF(ISNA(VLOOKUP("BOI681110000",Balanceanp!C:G,5,FALSE))=TRUE,0,VLOOKUP("BOI681110000",Balanceanp!C:G,5,FALSE))</f>
        <v>0</v>
      </c>
      <c r="F178" s="368">
        <f>+C178+C178/9*(12-Clients!$I$14)</f>
        <v>0</v>
      </c>
      <c r="G178" s="396">
        <f t="shared" si="20"/>
        <v>0</v>
      </c>
      <c r="H178" s="409"/>
      <c r="I178" s="149">
        <f t="shared" si="21"/>
        <v>0</v>
      </c>
      <c r="J178" s="271">
        <f t="shared" si="21"/>
        <v>0</v>
      </c>
      <c r="L178" s="17">
        <f t="shared" si="15"/>
        <v>0</v>
      </c>
    </row>
    <row r="179" spans="1:12">
      <c r="A179" s="590" t="s">
        <v>175</v>
      </c>
      <c r="B179" s="591"/>
      <c r="C179" s="311">
        <f>IF(ISNA(VLOOKUP("BOI681120000",Balance!C:G,5,FALSE))=TRUE,0,VLOOKUP("BOI681120000",Balance!C:G,5,FALSE))</f>
        <v>2032.47</v>
      </c>
      <c r="D179" s="592">
        <f>+[2]Bois!$H179</f>
        <v>2710</v>
      </c>
      <c r="E179" s="311">
        <f>IF(ISNA(VLOOKUP("BOI681120000",Balanceanp!C:G,5,FALSE))=TRUE,0,VLOOKUP("BOI681120000",Balanceanp!C:G,5,FALSE))</f>
        <v>1735.93</v>
      </c>
      <c r="F179" s="620">
        <v>1710.09</v>
      </c>
      <c r="G179" s="637">
        <f>1025.39+500+G255/10</f>
        <v>1525.39</v>
      </c>
      <c r="H179" s="632"/>
      <c r="I179" s="591">
        <f t="shared" si="21"/>
        <v>-1.4885392844181588E-2</v>
      </c>
      <c r="J179" s="595">
        <f t="shared" si="21"/>
        <v>-0.10800601137951793</v>
      </c>
      <c r="L179" s="17">
        <f t="shared" si="15"/>
        <v>1</v>
      </c>
    </row>
    <row r="180" spans="1:12">
      <c r="A180" s="590" t="s">
        <v>78</v>
      </c>
      <c r="B180" s="591"/>
      <c r="C180" s="311">
        <f>IF(ISNA(VLOOKUP("BOI687250000",Balance!C:G,5,FALSE))=TRUE,0,+VLOOKUP("BOI687250000",Balance!C:G,5,FALSE))</f>
        <v>0</v>
      </c>
      <c r="D180" s="592">
        <f>+[2]Bois!$H180</f>
        <v>0</v>
      </c>
      <c r="E180" s="311">
        <f>IF(ISNA(VLOOKUP("BOI687250000",Balanceanp!C:G,5,FALSE))=TRUE,0,+VLOOKUP("BOI687250000",Balanceanp!C:G,5,FALSE))</f>
        <v>46.13</v>
      </c>
      <c r="F180" s="625">
        <f>+C180+C180/9*(12-Clients!$I$14)</f>
        <v>0</v>
      </c>
      <c r="G180" s="630">
        <f t="shared" si="20"/>
        <v>0</v>
      </c>
      <c r="H180" s="630"/>
      <c r="I180" s="591">
        <f t="shared" si="21"/>
        <v>-1</v>
      </c>
      <c r="J180" s="595">
        <f t="shared" si="21"/>
        <v>0</v>
      </c>
      <c r="L180" s="17">
        <f t="shared" si="15"/>
        <v>1</v>
      </c>
    </row>
    <row r="181" spans="1:12" hidden="1">
      <c r="A181" s="5" t="s">
        <v>327</v>
      </c>
      <c r="B181" s="92"/>
      <c r="C181" s="160">
        <f>IF(ISNA(VLOOKUP("BOI661880000",Balance!C:G,5,FALSE))=TRUE,0,+VLOOKUP("BOI661880000",Balance!C:G,5,FALSE))</f>
        <v>0</v>
      </c>
      <c r="D181" s="117">
        <f>+[2]Bois!$H181</f>
        <v>0</v>
      </c>
      <c r="E181" s="160">
        <f>IF(ISNA(VLOOKUP("BOI661880000",Balanceanp!C:G,5,FALSE))=TRUE,0,+VLOOKUP("BOI661880000",Balanceanp!C:G,5,FALSE))</f>
        <v>0</v>
      </c>
      <c r="F181" s="368">
        <f>+C181+C181/9*(12-Clients!$I$14)</f>
        <v>0</v>
      </c>
      <c r="G181" s="396">
        <f t="shared" si="20"/>
        <v>0</v>
      </c>
      <c r="H181" s="409"/>
      <c r="I181" s="149">
        <f t="shared" si="21"/>
        <v>0</v>
      </c>
      <c r="J181" s="271">
        <f t="shared" si="21"/>
        <v>0</v>
      </c>
      <c r="L181" s="17">
        <f t="shared" si="15"/>
        <v>0</v>
      </c>
    </row>
    <row r="182" spans="1:12" hidden="1">
      <c r="A182" s="5" t="s">
        <v>82</v>
      </c>
      <c r="B182" s="92"/>
      <c r="C182" s="160"/>
      <c r="D182" s="117">
        <f>+[2]Bois!$H182</f>
        <v>0</v>
      </c>
      <c r="E182" s="160"/>
      <c r="F182" s="368">
        <f>+C182+C182/9*(12-Clients!$I$14)</f>
        <v>0</v>
      </c>
      <c r="G182" s="396">
        <f t="shared" si="20"/>
        <v>0</v>
      </c>
      <c r="H182" s="409"/>
      <c r="I182" s="149">
        <f t="shared" si="21"/>
        <v>0</v>
      </c>
      <c r="J182" s="271">
        <f t="shared" si="21"/>
        <v>0</v>
      </c>
      <c r="L182" s="17">
        <f t="shared" si="15"/>
        <v>0</v>
      </c>
    </row>
    <row r="183" spans="1:12" hidden="1">
      <c r="A183" s="5" t="s">
        <v>331</v>
      </c>
      <c r="B183" s="92"/>
      <c r="C183" s="160">
        <f>IF(ISNA(VLOOKUP("BOI681500000",Balance!C:G,5,FALSE))=TRUE,0,VLOOKUP("BOI681500000",Balance!C:G,5,FALSE))</f>
        <v>0</v>
      </c>
      <c r="D183" s="117">
        <f>+[2]Bois!$H183</f>
        <v>0</v>
      </c>
      <c r="E183" s="160">
        <f>IF(ISNA(VLOOKUP("BOI681500000",Balanceanp!C:G,5,FALSE))=TRUE,0,VLOOKUP("BOI681500000",Balanceanp!C:G,5,FALSE))</f>
        <v>0</v>
      </c>
      <c r="F183" s="368">
        <f>+C183+C183/9*(12-Clients!$I$14)</f>
        <v>0</v>
      </c>
      <c r="G183" s="396">
        <f t="shared" si="20"/>
        <v>0</v>
      </c>
      <c r="H183" s="409"/>
      <c r="I183" s="149">
        <f t="shared" si="21"/>
        <v>0</v>
      </c>
      <c r="J183" s="271">
        <f t="shared" si="21"/>
        <v>0</v>
      </c>
      <c r="L183" s="17">
        <f t="shared" si="15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5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2032.47</v>
      </c>
      <c r="D185" s="312">
        <f>SUM(D169:D184)</f>
        <v>3205.190525</v>
      </c>
      <c r="E185" s="312">
        <f>SUM(E169:E184)</f>
        <v>1782.0600000000002</v>
      </c>
      <c r="F185" s="312">
        <f>SUM(F169:F184)</f>
        <v>1710.09</v>
      </c>
      <c r="G185" s="312">
        <f>SUM(G169:G184)</f>
        <v>1525.39</v>
      </c>
      <c r="H185" s="421"/>
      <c r="I185" s="598">
        <f>+IF((E185)=0,,(F185-E185)/E185)</f>
        <v>-4.0385845594424569E-2</v>
      </c>
      <c r="J185" s="599">
        <f>+IF((F185)=0,,(G185-F185)/F185)</f>
        <v>-0.10800601137951793</v>
      </c>
      <c r="K185" s="136">
        <f>(C185+(C185/3))</f>
        <v>2709.96</v>
      </c>
      <c r="L185" s="17">
        <f t="shared" si="15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5"/>
        <v>0</v>
      </c>
    </row>
    <row r="187" spans="1:12" hidden="1">
      <c r="A187" s="5" t="s">
        <v>179</v>
      </c>
      <c r="B187" s="92"/>
      <c r="C187" s="160">
        <f>IF(ISNA(VLOOKUP("BOI740000000",Balance!C:G,5,FALSE))=TRUE,0,-VLOOKUP("BOI740000000",Balance!C:G,5,FALSE))</f>
        <v>0</v>
      </c>
      <c r="D187" s="117">
        <f>+[2]Bois!$H187</f>
        <v>0</v>
      </c>
      <c r="E187" s="160">
        <f>IF(ISNA(VLOOKUP("BOI740000000",Balanceanp!C:G,5,FALSE))=TRUE,0,-VLOOKUP("BOI740000000",Balanceanp!C:G,5,FALSE))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2">+IF((E187)=0,,(F187-E187)/E187)</f>
        <v>0</v>
      </c>
      <c r="J187" s="271">
        <f t="shared" si="22"/>
        <v>0</v>
      </c>
      <c r="L187" s="17">
        <f t="shared" si="15"/>
        <v>0</v>
      </c>
    </row>
    <row r="188" spans="1:12" hidden="1">
      <c r="A188" s="5" t="s">
        <v>167</v>
      </c>
      <c r="B188" s="92"/>
      <c r="C188" s="160">
        <f>IF(ISNA(VLOOKUP("BOI751100000",Balance!C:G,5,FALSE))=TRUE,0,-VLOOKUP("BOI751100000",Balance!C:G,5,FALSE))</f>
        <v>0</v>
      </c>
      <c r="D188" s="117">
        <f>+[2]Bois!$H188</f>
        <v>0</v>
      </c>
      <c r="E188" s="160">
        <f>IF(ISNA(VLOOKUP("BOI751100000",Balanceanp!C:G,5,FALSE))=TRUE,0,-VLOOKUP("BOI751100000",Balanceanp!C:G,5,FALSE))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2"/>
        <v>0</v>
      </c>
      <c r="J188" s="271">
        <f t="shared" si="22"/>
        <v>0</v>
      </c>
      <c r="L188" s="17">
        <f t="shared" si="15"/>
        <v>0</v>
      </c>
    </row>
    <row r="189" spans="1:12" hidden="1">
      <c r="A189" s="5" t="s">
        <v>180</v>
      </c>
      <c r="B189" s="92"/>
      <c r="C189" s="160">
        <f>IF(ISNA(VLOOKUP("BOI758100000",Balance!C:G,5,FALSE))=TRUE,0,-VLOOKUP("BOI758100000",Balance!C:G,5,FALSE))</f>
        <v>0</v>
      </c>
      <c r="D189" s="117">
        <f>+[2]Bois!$H189</f>
        <v>0</v>
      </c>
      <c r="E189" s="160">
        <f>IF(ISNA(VLOOKUP("BOI758100000",Balanceanp!C:G,5,FALSE))=TRUE,0,-VLOOKUP("BOI758100000",Balanceanp!C:G,5,FALSE))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22"/>
        <v>0</v>
      </c>
      <c r="J189" s="271">
        <f t="shared" si="22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IF(ISNA(VLOOKUP("BOI763800000",Balance!C:G,5,FALSE))=TRUE,0,-VLOOKUP("BOI763800000",Balance!C:G,5,FALSE))</f>
        <v>0</v>
      </c>
      <c r="D190" s="117">
        <f>+[2]Bois!$H190</f>
        <v>0</v>
      </c>
      <c r="E190" s="160">
        <f>IF(ISNA(VLOOKUP("BOI763800000",Balanceanp!C:G,5,FALSE))=TRUE,0,-VLOOKUP("BOI763800000",Balanceanp!C:G,5,FALSE))+IF(ISNA(VLOOKUP("BOI763110000",Balanceanp!C:G,5,FALSE))=TRUE,0,-VLOOKUP("BOI763110000",Balanceanp!C:G,5,FALSE))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2"/>
        <v>0</v>
      </c>
      <c r="L190" s="17">
        <f t="shared" si="15"/>
        <v>0</v>
      </c>
    </row>
    <row r="191" spans="1:12" hidden="1">
      <c r="A191" s="5" t="s">
        <v>182</v>
      </c>
      <c r="B191" s="92"/>
      <c r="C191" s="160">
        <f>IF(ISNA(VLOOKUP("BOI765000000",Balance!C:G,5,FALSE))=TRUE,0,-VLOOKUP("BOI765000000",Balance!C:G,5,FALSE))</f>
        <v>0</v>
      </c>
      <c r="D191" s="117">
        <f>+[2]Bois!$H191</f>
        <v>0</v>
      </c>
      <c r="E191" s="160">
        <f>IF(ISNA(VLOOKUP("BOI765000000",Balanceanp!C:G,5,FALSE))=TRUE,0,-VLOOKUP("BOI765000000",Balanceanp!C:G,5,FALSE))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2"/>
        <v>0</v>
      </c>
      <c r="L191" s="17">
        <f t="shared" si="15"/>
        <v>0</v>
      </c>
    </row>
    <row r="192" spans="1:12" hidden="1">
      <c r="A192" s="5" t="s">
        <v>183</v>
      </c>
      <c r="B192" s="92"/>
      <c r="C192" s="160">
        <f>IF(ISNA(VLOOKUP("BOI771400000",Balance!C:G,5,FALSE))=TRUE,0,-VLOOKUP("BOI771400000",Balance!C:G,5,FALSE))</f>
        <v>0</v>
      </c>
      <c r="D192" s="117">
        <f>+[2]Bois!$H192</f>
        <v>0</v>
      </c>
      <c r="E192" s="160">
        <f>IF(ISNA(VLOOKUP("BOI771400000",Balanceanp!C:G,5,FALSE))=TRUE,0,-VLOOKUP("BOI771400000",Balanceanp!C:G,5,FALSE))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2"/>
        <v>0</v>
      </c>
      <c r="L192" s="17">
        <f t="shared" si="15"/>
        <v>0</v>
      </c>
    </row>
    <row r="193" spans="1:12" hidden="1">
      <c r="A193" s="5" t="s">
        <v>184</v>
      </c>
      <c r="B193" s="92"/>
      <c r="C193" s="160">
        <f>IF(ISNA(VLOOKUP("BOI771800000",Balance!C:G,5,FALSE))=TRUE,0,-VLOOKUP("BOI771800000",Balance!C:G,5,FALSE))</f>
        <v>0</v>
      </c>
      <c r="D193" s="117">
        <f>+[2]Bois!$H193</f>
        <v>0</v>
      </c>
      <c r="E193" s="160">
        <f>IF(ISNA(VLOOKUP("BOI771800000",Balanceanp!C:G,5,FALSE))=TRUE,0,-VLOOKUP("BOI771800000",Balanceanp!C:G,5,FALSE))</f>
        <v>97</v>
      </c>
      <c r="F193" s="368">
        <f>+C193+C193/9*(12-Clients!$I$14)</f>
        <v>0</v>
      </c>
      <c r="G193" s="368">
        <v>0</v>
      </c>
      <c r="H193" s="410"/>
      <c r="I193" s="149">
        <f t="shared" si="22"/>
        <v>-1</v>
      </c>
      <c r="J193" s="271">
        <f t="shared" si="22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IF(ISNA(VLOOKUP("BOI758000000",Balance!C:G,5,FALSE))=TRUE,0,-VLOOKUP("BOI758000000",Balance!C:G,5,FALSE))</f>
        <v>0</v>
      </c>
      <c r="D194" s="117">
        <f>+[2]Bois!$H194</f>
        <v>0</v>
      </c>
      <c r="E194" s="160">
        <f>IF(ISNA(VLOOKUP("BOI758000000",Balanceanp!C:G,5,FALSE))=TRUE,0,-VLOOKUP("BOI758000000",Balanceanp!C:G,5,FALSE))</f>
        <v>442.12</v>
      </c>
      <c r="F194" s="368">
        <f>+C194+C194/9*(12-Clients!$I$14)</f>
        <v>0</v>
      </c>
      <c r="G194" s="368">
        <v>0</v>
      </c>
      <c r="H194" s="410"/>
      <c r="I194" s="149">
        <f t="shared" si="22"/>
        <v>-1</v>
      </c>
      <c r="J194" s="271">
        <f t="shared" si="22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IF(ISNA(VLOOKUP("BOI775100000",Balance!C:G,5,FALSE))=TRUE,0,-VLOOKUP("BOI775100000",Balance!C:G,5,FALSE))</f>
        <v>0</v>
      </c>
      <c r="D195" s="117">
        <f>+[2]Bois!$H195</f>
        <v>0</v>
      </c>
      <c r="E195" s="160">
        <f>IF(ISNA(VLOOKUP("BOI775100000",Balanceanp!C:G,5,FALSE))=TRUE,0,-VLOOKUP("BOI775100000",Balanceanp!C:G,5,FALSE))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2"/>
        <v>0</v>
      </c>
      <c r="L195" s="17">
        <f t="shared" si="15"/>
        <v>0</v>
      </c>
    </row>
    <row r="196" spans="1:12" hidden="1">
      <c r="A196" s="5" t="s">
        <v>187</v>
      </c>
      <c r="B196" s="92"/>
      <c r="C196" s="160">
        <f>IF(ISNA(VLOOKUP("BOI775200000",Balance!C:G,5,FALSE))=TRUE,0,-VLOOKUP("BOI775200000",Balance!C:G,5,FALSE))</f>
        <v>0</v>
      </c>
      <c r="D196" s="117">
        <f>+[2]Bois!$H196</f>
        <v>0</v>
      </c>
      <c r="E196" s="160">
        <f>IF(ISNA(VLOOKUP("BOI775200000",Balanceanp!C:G,5,FALSE))=TRUE,0,-VLOOKUP("BOI775200000",Balanceanp!C:G,5,FALSE))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2"/>
        <v>0</v>
      </c>
      <c r="L196" s="17">
        <f t="shared" si="15"/>
        <v>0</v>
      </c>
    </row>
    <row r="197" spans="1:12" hidden="1">
      <c r="A197" s="5" t="s">
        <v>328</v>
      </c>
      <c r="B197" s="92"/>
      <c r="C197" s="160">
        <f>IF(ISNA(VLOOKUP("BOI791000000",Balance!C:G,5,FALSE))=TRUE,0,-VLOOKUP("BOI791000000",Balance!C:G,5,FALSE))</f>
        <v>0</v>
      </c>
      <c r="D197" s="117">
        <f>+[2]Bois!$H197</f>
        <v>0</v>
      </c>
      <c r="E197" s="160">
        <f>IF(ISNA(VLOOKUP("BOI791000000",Balanceanp!C:G,5,FALSE))=TRUE,0,-VLOOKUP("BOI791000000",Balanceanp!C:G,5,FALSE))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2"/>
        <v>0</v>
      </c>
      <c r="L197" s="17">
        <f t="shared" si="15"/>
        <v>0</v>
      </c>
    </row>
    <row r="198" spans="1:12" hidden="1">
      <c r="A198" s="5" t="s">
        <v>344</v>
      </c>
      <c r="B198" s="92"/>
      <c r="C198" s="160">
        <f>IF(ISNA(VLOOKUP("BOI781500000",Balance!C:G,5,FALSE))=TRUE,0,-VLOOKUP("BOI781500000",Balance!C:G,5,FALSE))</f>
        <v>0</v>
      </c>
      <c r="D198" s="117">
        <f>+[2]Bois!$H198</f>
        <v>0</v>
      </c>
      <c r="E198" s="160">
        <f>IF(ISNA(VLOOKUP("BOI781500000",Balanceanp!C:G,5,FALSE))=TRUE,0,-VLOOKUP("BOI781500000",Balanceanp!C:G,5,FALSE))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2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IF(ISNA(VLOOKUP("BOI787250000",Balance!C:G,5,FALSE))=TRUE,0,-VLOOKUP("BOI787250000",Balance!C:G,5,FALSE))</f>
        <v>0</v>
      </c>
      <c r="D199" s="117">
        <f>+[2]Bois!$H199</f>
        <v>0</v>
      </c>
      <c r="E199" s="160">
        <f>IF(ISNA(VLOOKUP("BOI787250000",Balanceanp!C:G,5,FALSE))=TRUE,0,-VLOOKUP("BOI787250000",Balanceanp!C:G,5,FALSE))</f>
        <v>8.44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2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3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0</v>
      </c>
      <c r="D201" s="312">
        <f>SUM(D186:D200)</f>
        <v>0</v>
      </c>
      <c r="E201" s="305">
        <f>SUM(E186:E200)</f>
        <v>547.56000000000006</v>
      </c>
      <c r="F201" s="312">
        <f>SUM(F186:F200)</f>
        <v>0</v>
      </c>
      <c r="G201" s="312">
        <f>SUM(G186:G200)</f>
        <v>0</v>
      </c>
      <c r="H201" s="421"/>
      <c r="I201" s="598">
        <f>+IF((E201)=0,,(F201-E201)/E201)</f>
        <v>-1</v>
      </c>
      <c r="J201" s="599">
        <f>+IF((F201)=0,,(G201-F201)/F201)</f>
        <v>0</v>
      </c>
      <c r="K201" s="136">
        <f>(C201+(C201/3))</f>
        <v>0</v>
      </c>
      <c r="L201" s="17">
        <f t="shared" si="23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3"/>
        <v>0</v>
      </c>
    </row>
    <row r="203" spans="1:12" s="33" customFormat="1" ht="15" customHeight="1">
      <c r="A203" s="14" t="s">
        <v>189</v>
      </c>
      <c r="B203" s="363">
        <f>+C203/$C$21</f>
        <v>0.33923698339608299</v>
      </c>
      <c r="C203" s="313">
        <f>+C103+C116+C129+C154+C168+C185-C201</f>
        <v>60162.970000000008</v>
      </c>
      <c r="D203" s="641">
        <f>+D103+D116+D129+D154+D168+D185-D201</f>
        <v>89917.670505043105</v>
      </c>
      <c r="E203" s="313">
        <f>+E103+E116+E129+E154+E168+E185-E201</f>
        <v>84474.857120000015</v>
      </c>
      <c r="F203" s="641">
        <f>+F103+F116+F129+F154+F168+F185-F201</f>
        <v>77974.953333333338</v>
      </c>
      <c r="G203" s="641">
        <f>+G103+G116+G129+G154+G168+G185-G201</f>
        <v>85262.216490843057</v>
      </c>
      <c r="H203" s="422">
        <f>+G203/$G$21</f>
        <v>0.33297619118430005</v>
      </c>
      <c r="I203" s="643">
        <f>+IF((E203)=0,,(F203-E203)/E203)</f>
        <v>-7.6944833152346098E-2</v>
      </c>
      <c r="J203" s="644">
        <f>+IF((F203)=0,,(G203-F203)/F203)</f>
        <v>9.3456460645222381E-2</v>
      </c>
      <c r="K203" s="145">
        <f>+K103+K116+K129+K154+K168+K185-K201</f>
        <v>80217.293333333349</v>
      </c>
      <c r="L203" s="17">
        <f t="shared" si="23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3"/>
        <v>0</v>
      </c>
    </row>
    <row r="205" spans="1:12" s="33" customFormat="1" ht="15" customHeight="1">
      <c r="A205" s="12" t="s">
        <v>228</v>
      </c>
      <c r="B205" s="366">
        <f>+C205/$C$21</f>
        <v>6.6163016603916991E-2</v>
      </c>
      <c r="C205" s="314">
        <f>+C62-C203</f>
        <v>11733.872713999976</v>
      </c>
      <c r="D205" s="645">
        <f>+D62-D203</f>
        <v>16401.329494956895</v>
      </c>
      <c r="E205" s="314">
        <f>+E53-E203</f>
        <v>19275.170180000001</v>
      </c>
      <c r="F205" s="645">
        <f>+F62-F203</f>
        <v>14152.605704930305</v>
      </c>
      <c r="G205" s="645">
        <f>+G62-G203</f>
        <v>20244.882118154186</v>
      </c>
      <c r="H205" s="406">
        <f>+G205/$G$21</f>
        <v>7.9062731607523931E-2</v>
      </c>
      <c r="I205" s="647">
        <f>+IF((E205)=0,,(F205-E205)/E205)</f>
        <v>-0.26575975346691832</v>
      </c>
      <c r="J205" s="648">
        <f>+IF((F205)=0,,(G205-F205)/F205)</f>
        <v>0.43047029926803732</v>
      </c>
      <c r="L205" s="17">
        <f t="shared" si="23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3"/>
        <v>0</v>
      </c>
    </row>
    <row r="207" spans="1:12" ht="15" customHeight="1">
      <c r="A207" s="63" t="s">
        <v>251</v>
      </c>
      <c r="B207" s="649">
        <f>+C207/$C$21</f>
        <v>2.7109459912193754E-3</v>
      </c>
      <c r="C207" s="650">
        <f>+[2]Bois!$C207</f>
        <v>480.78060566563448</v>
      </c>
      <c r="D207" s="315">
        <f>+[2]Bois!$H207</f>
        <v>1563.7625390001101</v>
      </c>
      <c r="E207" s="315">
        <f>+[1]Bois!$G$207</f>
        <v>599.75240134783201</v>
      </c>
      <c r="F207" s="315">
        <f>+Repart!K40</f>
        <v>619.39622936443129</v>
      </c>
      <c r="G207" s="315">
        <f>+Repart!Q40</f>
        <v>969.24278494827138</v>
      </c>
      <c r="H207" s="423">
        <f>+G207/$G$21</f>
        <v>3.785202685876691E-3</v>
      </c>
      <c r="I207" s="643">
        <f>+IF((E207)=0,,(F207-E207)/E207)</f>
        <v>3.2753229453443514E-2</v>
      </c>
      <c r="J207" s="644">
        <f>+IF((F207)=0,,(G207-F207)/F207)</f>
        <v>0.56481867179401646</v>
      </c>
      <c r="L207" s="17">
        <f t="shared" si="23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3"/>
        <v>0</v>
      </c>
    </row>
    <row r="209" spans="1:12" s="33" customFormat="1" ht="15" customHeight="1">
      <c r="A209" s="12" t="s">
        <v>190</v>
      </c>
      <c r="B209" s="366">
        <f>+C209/$C$21</f>
        <v>6.3452070612697628E-2</v>
      </c>
      <c r="C209" s="314">
        <f>+C205-C207</f>
        <v>11253.092108334342</v>
      </c>
      <c r="D209" s="645">
        <f>+D205-D207</f>
        <v>14837.566955956785</v>
      </c>
      <c r="E209" s="314">
        <f>+E205-E207</f>
        <v>18675.417778652169</v>
      </c>
      <c r="F209" s="645">
        <f>+F205-F207</f>
        <v>13533.209475565875</v>
      </c>
      <c r="G209" s="645">
        <f>+G205-G207</f>
        <v>19275.639333205916</v>
      </c>
      <c r="H209" s="406">
        <f>+G209/$G$21</f>
        <v>7.5277528921647255E-2</v>
      </c>
      <c r="I209" s="647">
        <f>+IF((E209)=0,,(F209-E209)/E209)</f>
        <v>-0.27534635979947619</v>
      </c>
      <c r="J209" s="648">
        <f>+IF((F209)=0,,(G209-F209)/F209)</f>
        <v>0.42432136057658482</v>
      </c>
      <c r="L209" s="17">
        <f t="shared" si="23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3"/>
        <v>0</v>
      </c>
    </row>
    <row r="211" spans="1:12">
      <c r="A211" s="590" t="s">
        <v>191</v>
      </c>
      <c r="B211" s="591">
        <f>+C211/$C$21</f>
        <v>3.6848826802384306E-2</v>
      </c>
      <c r="C211" s="311">
        <f>+[2]Bois!$C211</f>
        <v>6535.0624193548392</v>
      </c>
      <c r="D211" s="592">
        <f>+[2]Bois!$H211</f>
        <v>9026.0372215405096</v>
      </c>
      <c r="E211" s="311">
        <f>+[1]Bois!$G211</f>
        <v>8095.0860719999991</v>
      </c>
      <c r="F211" s="625">
        <f>+Repart!I40</f>
        <v>8997.9607634408567</v>
      </c>
      <c r="G211" s="625">
        <f>+Repart!O40</f>
        <v>9644.6846793104778</v>
      </c>
      <c r="H211" s="625"/>
      <c r="I211" s="591">
        <f t="shared" ref="I211:J213" si="24">+IF((E211)=0,,(F211-E211)/E211)</f>
        <v>0.11153367405984731</v>
      </c>
      <c r="J211" s="595">
        <f t="shared" si="24"/>
        <v>7.1874498330476308E-2</v>
      </c>
      <c r="L211" s="17">
        <f t="shared" si="23"/>
        <v>1</v>
      </c>
    </row>
    <row r="212" spans="1:12">
      <c r="A212" s="590" t="s">
        <v>192</v>
      </c>
      <c r="B212" s="591">
        <f>+C212/$C$21</f>
        <v>3.8542513431542288E-2</v>
      </c>
      <c r="C212" s="311">
        <f>+[2]Bois!$C212</f>
        <v>6835.4342032309523</v>
      </c>
      <c r="D212" s="592">
        <f>+[2]Bois!$H212</f>
        <v>9904.967636958374</v>
      </c>
      <c r="E212" s="311">
        <f>+[1]Bois!$G212</f>
        <v>9204.6940210980174</v>
      </c>
      <c r="F212" s="625">
        <f>+Repart!J40</f>
        <v>9160.5734139625456</v>
      </c>
      <c r="G212" s="625">
        <f>+Repart!P40</f>
        <v>10442.856655647107</v>
      </c>
      <c r="H212" s="625"/>
      <c r="I212" s="591">
        <f t="shared" si="24"/>
        <v>-4.793272544893209E-3</v>
      </c>
      <c r="J212" s="595">
        <f t="shared" si="24"/>
        <v>0.13997849083662223</v>
      </c>
      <c r="L212" s="17">
        <f t="shared" si="23"/>
        <v>1</v>
      </c>
    </row>
    <row r="213" spans="1:12">
      <c r="A213" s="590" t="s">
        <v>193</v>
      </c>
      <c r="B213" s="591"/>
      <c r="C213" s="311">
        <f>+[2]Bois!$C213</f>
        <v>-1831.72</v>
      </c>
      <c r="D213" s="592">
        <f>+[2]Bois!$H213</f>
        <v>-3241.32</v>
      </c>
      <c r="E213" s="311">
        <f>+[1]Bois!$G213</f>
        <v>-3545.03</v>
      </c>
      <c r="F213" s="625">
        <f>+C213+C213/9*(12-Clients!$I$14)</f>
        <v>-2442.2933333333331</v>
      </c>
      <c r="G213" s="625">
        <f>+G253*-4%</f>
        <v>-2788.5042900000003</v>
      </c>
      <c r="H213" s="625"/>
      <c r="I213" s="591">
        <f t="shared" si="24"/>
        <v>-0.3110655387025405</v>
      </c>
      <c r="J213" s="595">
        <f t="shared" si="24"/>
        <v>0.14175650072063442</v>
      </c>
      <c r="L213" s="17">
        <f t="shared" si="23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3"/>
        <v>0</v>
      </c>
    </row>
    <row r="215" spans="1:12" s="33" customFormat="1" ht="15" customHeight="1">
      <c r="A215" s="20" t="s">
        <v>194</v>
      </c>
      <c r="B215" s="367">
        <f>+C215/$C$21</f>
        <v>6.5062941100268917E-2</v>
      </c>
      <c r="C215" s="316">
        <f>SUM(C210:C213)</f>
        <v>11538.776622585792</v>
      </c>
      <c r="D215" s="652">
        <f>SUM(D210:D213)</f>
        <v>15689.684858498884</v>
      </c>
      <c r="E215" s="316">
        <f>SUM(E210:E213)</f>
        <v>13754.750093098015</v>
      </c>
      <c r="F215" s="652">
        <f>SUM(F210:F213)</f>
        <v>15716.240844070069</v>
      </c>
      <c r="G215" s="652">
        <f>SUM(G210:G213)</f>
        <v>17299.037044957582</v>
      </c>
      <c r="H215" s="424">
        <f>+G215/$G$21</f>
        <v>6.7558265588893204E-2</v>
      </c>
      <c r="I215" s="643">
        <f>+IF((E215)=0,,(F215-E215)/E215)</f>
        <v>0.1426046084222431</v>
      </c>
      <c r="J215" s="644">
        <f>+IF((F215)=0,,(G215-F215)/F215)</f>
        <v>0.10071086442307363</v>
      </c>
      <c r="L215" s="17">
        <f t="shared" si="23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3"/>
        <v>0</v>
      </c>
    </row>
    <row r="217" spans="1:12" s="33" customFormat="1" ht="20.100000000000001" customHeight="1">
      <c r="A217" s="12" t="s">
        <v>86</v>
      </c>
      <c r="B217" s="366">
        <f>+C217/$C$21</f>
        <v>-1.6108704875712962E-3</v>
      </c>
      <c r="C217" s="314">
        <f>+C209-C215</f>
        <v>-285.68451425145031</v>
      </c>
      <c r="D217" s="645">
        <f>+D209-D215</f>
        <v>-852.11790254209882</v>
      </c>
      <c r="E217" s="314">
        <f>+E209-E215</f>
        <v>4920.6676855541536</v>
      </c>
      <c r="F217" s="645">
        <f>+F209-F215</f>
        <v>-2183.0313685041947</v>
      </c>
      <c r="G217" s="645">
        <f>+G209-G215</f>
        <v>1976.6022882483339</v>
      </c>
      <c r="H217" s="406">
        <f>+G217/$G$21</f>
        <v>7.7192633327540471E-3</v>
      </c>
      <c r="I217" s="647">
        <f>+IF((E217)=0,,(F217-E217)/E217)</f>
        <v>-1.4436453562822433</v>
      </c>
      <c r="J217" s="648">
        <f>+IF((F217)=0,,(G217-F217)/F217)</f>
        <v>-1.9054392514765808</v>
      </c>
      <c r="L217" s="17">
        <f t="shared" si="23"/>
        <v>1</v>
      </c>
    </row>
    <row r="218" spans="1:12" hidden="1">
      <c r="A218" s="2" t="s">
        <v>43</v>
      </c>
      <c r="C218" s="17">
        <f>+C225-C226-C215-C207-C53+C62-C38+C213</f>
        <v>-285.68451425147464</v>
      </c>
      <c r="D218" s="117">
        <f>+[2]Bois!$H$217</f>
        <v>-852.11790254209882</v>
      </c>
      <c r="E218" s="17">
        <f>+[1]Bois!$G$217</f>
        <v>4920.6676855541536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64.386696131463168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+B220/(C21*1.196)*Clients!K39</f>
        <v>60.190643253753024</v>
      </c>
      <c r="L220" s="17">
        <v>0</v>
      </c>
    </row>
    <row r="221" spans="1:12" hidden="1">
      <c r="L221" s="17">
        <f t="shared" si="23"/>
        <v>0</v>
      </c>
    </row>
    <row r="222" spans="1:12">
      <c r="A222" s="654" t="s">
        <v>67</v>
      </c>
      <c r="B222" s="655"/>
      <c r="C222" s="655">
        <f>+(C215+C207+C203)/C60/Clients!$I$13*12</f>
        <v>237403.47715261122</v>
      </c>
      <c r="D222" s="655">
        <f>+(D215+D207+D203)/D60</f>
        <v>264357.91059593373</v>
      </c>
      <c r="E222" s="655">
        <f>+(E215+E207+E203)/E60/Clients!$I$13*12</f>
        <v>325981.88731920457</v>
      </c>
      <c r="F222" s="655">
        <f>+(F215+F207+F203)/F60</f>
        <v>232635.89148191377</v>
      </c>
      <c r="G222" s="655">
        <f>+(G215+G207+G203)/G60</f>
        <v>251263.87482829145</v>
      </c>
      <c r="H222" s="655"/>
      <c r="I222" s="655"/>
      <c r="J222" s="655"/>
      <c r="L222" s="17">
        <f t="shared" si="23"/>
        <v>1</v>
      </c>
    </row>
    <row r="223" spans="1:12">
      <c r="A223" s="654" t="s">
        <v>66</v>
      </c>
      <c r="B223" s="655"/>
      <c r="C223" s="655">
        <f>+(C215+C207+C203)/C60/Clients!$I$13</f>
        <v>19783.623096050935</v>
      </c>
      <c r="D223" s="655">
        <f>+(D215+D207+D203)/D60/12</f>
        <v>22029.825882994479</v>
      </c>
      <c r="E223" s="655">
        <f>+(E215+E207+E203)/E60/Clients!$I$13</f>
        <v>27165.157276600381</v>
      </c>
      <c r="F223" s="655">
        <f>+(F215+F207+F203)/F60/9</f>
        <v>25848.432386879307</v>
      </c>
      <c r="G223" s="655">
        <f>+(G215+G207+G203)/G60/12</f>
        <v>20938.656235690953</v>
      </c>
      <c r="H223" s="655"/>
      <c r="I223" s="655"/>
      <c r="J223" s="655"/>
      <c r="L223" s="17">
        <f t="shared" si="23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3"/>
        <v>0</v>
      </c>
    </row>
    <row r="225" spans="1:12" hidden="1">
      <c r="A225" s="2" t="s">
        <v>215</v>
      </c>
      <c r="C225" s="17">
        <f>+C51-C40-C157-C166+C201-C164-C159-C137</f>
        <v>177707.83999999997</v>
      </c>
      <c r="D225" s="17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167231.15000000002</v>
      </c>
      <c r="D226" s="17"/>
      <c r="L226" s="17">
        <v>0</v>
      </c>
    </row>
    <row r="227" spans="1:12" ht="10.5" hidden="1" customHeight="1">
      <c r="L227" s="17">
        <f t="shared" si="23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3"/>
        <v>0</v>
      </c>
    </row>
    <row r="229" spans="1:12" ht="20.25" hidden="1" customHeight="1">
      <c r="A229" s="7" t="str">
        <f>+A4</f>
        <v>BOIS GRENIER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3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3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3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3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5">+C51</f>
        <v>177347.90999999997</v>
      </c>
      <c r="D233" s="313">
        <f t="shared" si="25"/>
        <v>262256</v>
      </c>
      <c r="E233" s="313">
        <f t="shared" si="25"/>
        <v>256659.28</v>
      </c>
      <c r="F233" s="313">
        <f t="shared" si="25"/>
        <v>227251.00897450332</v>
      </c>
      <c r="G233" s="313">
        <f t="shared" si="25"/>
        <v>256061</v>
      </c>
      <c r="H233" s="313"/>
      <c r="I233" s="1141">
        <f>+I51</f>
        <v>-0.11458097687134741</v>
      </c>
      <c r="J233" s="1141">
        <f t="shared" si="25"/>
        <v>0.1267760752988738</v>
      </c>
      <c r="K233" s="58"/>
      <c r="L233" s="17">
        <f t="shared" si="23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416"/>
      <c r="J234" s="394"/>
      <c r="L234" s="17">
        <f t="shared" si="23"/>
        <v>0</v>
      </c>
    </row>
    <row r="235" spans="1:12" s="33" customFormat="1" ht="15" customHeight="1">
      <c r="A235" s="12" t="s">
        <v>295</v>
      </c>
      <c r="B235" s="364"/>
      <c r="C235" s="15">
        <f>+C60</f>
        <v>0.40539999999999998</v>
      </c>
      <c r="D235" s="15">
        <f>+D60</f>
        <v>0.40540159233725825</v>
      </c>
      <c r="E235" s="15">
        <f>+E60</f>
        <v>0.40423251908132846</v>
      </c>
      <c r="F235" s="15">
        <f>+F60</f>
        <v>0.40539999999999998</v>
      </c>
      <c r="G235" s="15">
        <f>+G60</f>
        <v>0.41203892279182397</v>
      </c>
      <c r="H235" s="15"/>
      <c r="I235" s="1142"/>
      <c r="J235" s="1142"/>
      <c r="L235" s="17">
        <f t="shared" si="23"/>
        <v>1</v>
      </c>
    </row>
    <row r="236" spans="1:12" s="33" customFormat="1" ht="15" customHeight="1">
      <c r="A236" s="12" t="s">
        <v>296</v>
      </c>
      <c r="B236" s="364"/>
      <c r="C236" s="309">
        <f>+C62</f>
        <v>71896.842713999984</v>
      </c>
      <c r="D236" s="309">
        <f>+D62</f>
        <v>106319</v>
      </c>
      <c r="E236" s="309">
        <f>+E62</f>
        <v>103750.02730000002</v>
      </c>
      <c r="F236" s="309">
        <f>+F62</f>
        <v>92127.559038263644</v>
      </c>
      <c r="G236" s="309">
        <f>+G62</f>
        <v>105507.09860899724</v>
      </c>
      <c r="H236" s="309"/>
      <c r="I236" s="1142">
        <f>+IF((E236)=0,,(F236-E236)/E236)</f>
        <v>-0.11202376099747176</v>
      </c>
      <c r="J236" s="1143">
        <f>+IF((F236)=0,,(G236-F236)/F236)</f>
        <v>0.14522841710347098</v>
      </c>
      <c r="L236" s="17">
        <f t="shared" si="23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416"/>
      <c r="J237" s="394"/>
      <c r="L237" s="17">
        <f t="shared" si="23"/>
        <v>0</v>
      </c>
    </row>
    <row r="238" spans="1:12" s="298" customFormat="1" ht="15" customHeight="1">
      <c r="A238" s="662" t="s">
        <v>122</v>
      </c>
      <c r="B238" s="663"/>
      <c r="C238" s="664">
        <f>+C103</f>
        <v>15875.94</v>
      </c>
      <c r="D238" s="664">
        <f>+D103</f>
        <v>22935.993078375886</v>
      </c>
      <c r="E238" s="664">
        <f>+E103</f>
        <v>22771.170000000002</v>
      </c>
      <c r="F238" s="664">
        <f>+F103</f>
        <v>23530.829999999998</v>
      </c>
      <c r="G238" s="664">
        <f>+G103</f>
        <v>23479.504824556927</v>
      </c>
      <c r="H238" s="664"/>
      <c r="I238" s="1144">
        <f t="shared" ref="I238:J243" si="26">+IF((E238)=0,,(F238-E238)/E238)</f>
        <v>3.3360604659312461E-2</v>
      </c>
      <c r="J238" s="1144">
        <f t="shared" si="26"/>
        <v>-2.1811884851945813E-3</v>
      </c>
      <c r="L238" s="17">
        <f t="shared" si="23"/>
        <v>1</v>
      </c>
    </row>
    <row r="239" spans="1:12" s="298" customFormat="1" ht="15" customHeight="1">
      <c r="A239" s="662" t="s">
        <v>133</v>
      </c>
      <c r="B239" s="663"/>
      <c r="C239" s="664">
        <f>+C116</f>
        <v>5689.89</v>
      </c>
      <c r="D239" s="664">
        <f>+D116</f>
        <v>8319.8868999999995</v>
      </c>
      <c r="E239" s="664">
        <f>+E116</f>
        <v>5359.8899999999994</v>
      </c>
      <c r="F239" s="664">
        <f>+F116</f>
        <v>6677.0199999999995</v>
      </c>
      <c r="G239" s="664">
        <f>+G116</f>
        <v>5534.5899999999992</v>
      </c>
      <c r="H239" s="664"/>
      <c r="I239" s="1144">
        <f t="shared" si="26"/>
        <v>0.24573825209099445</v>
      </c>
      <c r="J239" s="1144">
        <f t="shared" si="26"/>
        <v>-0.1710987835890862</v>
      </c>
      <c r="L239" s="17">
        <f t="shared" si="23"/>
        <v>1</v>
      </c>
    </row>
    <row r="240" spans="1:12" s="298" customFormat="1" ht="15" customHeight="1">
      <c r="A240" s="662" t="s">
        <v>147</v>
      </c>
      <c r="B240" s="663"/>
      <c r="C240" s="664">
        <f>+C129</f>
        <v>3593.77</v>
      </c>
      <c r="D240" s="664">
        <f>+D129</f>
        <v>5127.3887000000004</v>
      </c>
      <c r="E240" s="664">
        <f>+E129</f>
        <v>4631.4799999999996</v>
      </c>
      <c r="F240" s="664">
        <f>+F129</f>
        <v>2095.8133333333335</v>
      </c>
      <c r="G240" s="664">
        <f>+G129</f>
        <v>2518.3654000000001</v>
      </c>
      <c r="H240" s="664"/>
      <c r="I240" s="1144">
        <f t="shared" si="26"/>
        <v>-0.54748518112280875</v>
      </c>
      <c r="J240" s="1144">
        <f t="shared" si="26"/>
        <v>0.20161722418027048</v>
      </c>
      <c r="L240" s="17">
        <f t="shared" si="23"/>
        <v>1</v>
      </c>
    </row>
    <row r="241" spans="1:12" s="298" customFormat="1" ht="15" customHeight="1">
      <c r="A241" s="662" t="s">
        <v>164</v>
      </c>
      <c r="B241" s="663"/>
      <c r="C241" s="664">
        <f>+C154</f>
        <v>32245.230000000007</v>
      </c>
      <c r="D241" s="664">
        <f>+D154</f>
        <v>47742.859795579308</v>
      </c>
      <c r="E241" s="664">
        <f>+E154</f>
        <v>49549.037120000015</v>
      </c>
      <c r="F241" s="664">
        <f>+F154</f>
        <v>42993.640000000007</v>
      </c>
      <c r="G241" s="664">
        <f>+G154</f>
        <v>49661.572154346126</v>
      </c>
      <c r="H241" s="664"/>
      <c r="I241" s="1144">
        <f t="shared" si="26"/>
        <v>-0.13230120101272327</v>
      </c>
      <c r="J241" s="1144">
        <f t="shared" si="26"/>
        <v>0.15509112869592148</v>
      </c>
      <c r="L241" s="17">
        <f t="shared" si="23"/>
        <v>1</v>
      </c>
    </row>
    <row r="242" spans="1:12" s="298" customFormat="1" ht="15" customHeight="1">
      <c r="A242" s="662" t="s">
        <v>74</v>
      </c>
      <c r="B242" s="663"/>
      <c r="C242" s="664">
        <f>+C168</f>
        <v>725.67</v>
      </c>
      <c r="D242" s="664">
        <f>+D168</f>
        <v>2586.3515060878985</v>
      </c>
      <c r="E242" s="664">
        <f>+E168</f>
        <v>928.77999999999986</v>
      </c>
      <c r="F242" s="664">
        <f>+F168</f>
        <v>967.56</v>
      </c>
      <c r="G242" s="664">
        <f>+G168</f>
        <v>2542.7941119399998</v>
      </c>
      <c r="H242" s="664"/>
      <c r="I242" s="1144">
        <f t="shared" si="26"/>
        <v>4.1753698400051782E-2</v>
      </c>
      <c r="J242" s="1144">
        <f t="shared" si="26"/>
        <v>1.6280479886932075</v>
      </c>
      <c r="L242" s="17">
        <f t="shared" si="23"/>
        <v>1</v>
      </c>
    </row>
    <row r="243" spans="1:12" s="298" customFormat="1" ht="15" customHeight="1">
      <c r="A243" s="662" t="s">
        <v>369</v>
      </c>
      <c r="B243" s="663"/>
      <c r="C243" s="664">
        <f>+C185-C201</f>
        <v>2032.47</v>
      </c>
      <c r="D243" s="664">
        <f>+D185-D201</f>
        <v>3205.190525</v>
      </c>
      <c r="E243" s="664">
        <f>+E185-E201</f>
        <v>1234.5</v>
      </c>
      <c r="F243" s="664">
        <f>+F185-F201</f>
        <v>1710.09</v>
      </c>
      <c r="G243" s="664">
        <f>+G185-G201</f>
        <v>1525.39</v>
      </c>
      <c r="H243" s="664"/>
      <c r="I243" s="1144">
        <f t="shared" si="26"/>
        <v>0.38524908869987845</v>
      </c>
      <c r="J243" s="1144">
        <f t="shared" si="26"/>
        <v>-0.10800601137951793</v>
      </c>
      <c r="L243" s="17">
        <f t="shared" si="23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416"/>
      <c r="J244" s="394"/>
      <c r="L244" s="17">
        <f t="shared" si="23"/>
        <v>0</v>
      </c>
    </row>
    <row r="245" spans="1:12" s="33" customFormat="1" ht="15" customHeight="1">
      <c r="A245" s="14" t="s">
        <v>189</v>
      </c>
      <c r="B245" s="363"/>
      <c r="C245" s="389">
        <f>+C203</f>
        <v>60162.970000000008</v>
      </c>
      <c r="D245" s="389">
        <f>+D203</f>
        <v>89917.670505043105</v>
      </c>
      <c r="E245" s="389">
        <f>+E203</f>
        <v>84474.857120000015</v>
      </c>
      <c r="F245" s="389">
        <f>+F203</f>
        <v>77974.953333333338</v>
      </c>
      <c r="G245" s="389">
        <f>+G203</f>
        <v>85262.216490843057</v>
      </c>
      <c r="H245" s="389"/>
      <c r="I245" s="1141">
        <f>+I63</f>
        <v>0</v>
      </c>
      <c r="J245" s="1141">
        <f>+J63</f>
        <v>0</v>
      </c>
      <c r="K245" s="58"/>
      <c r="L245" s="17">
        <f t="shared" si="23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416"/>
      <c r="J246" s="394"/>
      <c r="L246" s="17">
        <f t="shared" si="23"/>
        <v>0</v>
      </c>
    </row>
    <row r="247" spans="1:12" s="33" customFormat="1" ht="15" customHeight="1">
      <c r="A247" s="12" t="s">
        <v>228</v>
      </c>
      <c r="B247" s="366"/>
      <c r="C247" s="314">
        <f>+C205</f>
        <v>11733.872713999976</v>
      </c>
      <c r="D247" s="314">
        <f>+D205</f>
        <v>16401.329494956895</v>
      </c>
      <c r="E247" s="314">
        <f>+E205</f>
        <v>19275.170180000001</v>
      </c>
      <c r="F247" s="314">
        <f>+F205</f>
        <v>14152.605704930305</v>
      </c>
      <c r="G247" s="314">
        <f>+G205</f>
        <v>20244.882118154186</v>
      </c>
      <c r="H247" s="314"/>
      <c r="I247" s="1142">
        <f>+IF((E247)=0,,(F247-E247)/E247)</f>
        <v>-0.26575975346691832</v>
      </c>
      <c r="J247" s="1143">
        <f>+IF((F247)=0,,(G247-F247)/F247)</f>
        <v>0.43047029926803732</v>
      </c>
      <c r="L247" s="17">
        <f t="shared" si="23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416"/>
      <c r="J248" s="394"/>
      <c r="L248" s="17">
        <f t="shared" si="23"/>
        <v>0</v>
      </c>
    </row>
    <row r="249" spans="1:12" s="33" customFormat="1" ht="15" customHeight="1">
      <c r="A249" s="20" t="s">
        <v>370</v>
      </c>
      <c r="B249" s="367"/>
      <c r="C249" s="316">
        <f>+C207+C215</f>
        <v>12019.557228251426</v>
      </c>
      <c r="D249" s="316">
        <f>+D207+D215</f>
        <v>17253.447397498992</v>
      </c>
      <c r="E249" s="316">
        <f>+E207+E215</f>
        <v>14354.502494445847</v>
      </c>
      <c r="F249" s="316">
        <f>+F207+F215</f>
        <v>16335.6370734345</v>
      </c>
      <c r="G249" s="316">
        <f>+G207+G215</f>
        <v>18268.279829905852</v>
      </c>
      <c r="H249" s="316"/>
      <c r="I249" s="1141">
        <f>+I67</f>
        <v>4.5070675918786947</v>
      </c>
      <c r="J249" s="1141">
        <f>+J67</f>
        <v>2.9999999999999995E-2</v>
      </c>
      <c r="L249" s="17">
        <f t="shared" si="23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416"/>
      <c r="J250" s="394"/>
      <c r="L250" s="17">
        <f t="shared" si="23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-285.68451425145031</v>
      </c>
      <c r="D251" s="314">
        <f>+D217</f>
        <v>-852.11790254209882</v>
      </c>
      <c r="E251" s="314">
        <f>+E217</f>
        <v>4920.6676855541536</v>
      </c>
      <c r="F251" s="314">
        <f>+F217</f>
        <v>-2183.0313685041947</v>
      </c>
      <c r="G251" s="314">
        <f>+G217</f>
        <v>1976.6022882483339</v>
      </c>
      <c r="H251" s="314"/>
      <c r="I251" s="1142">
        <f>+IF((E251)=0,,(F251-E251)/E251)</f>
        <v>-1.4436453562822433</v>
      </c>
      <c r="J251" s="1143">
        <f>+IF((F251)=0,,(G251-F251)/F251)</f>
        <v>-1.9054392514765808</v>
      </c>
      <c r="L251" s="17">
        <f t="shared" si="23"/>
        <v>1</v>
      </c>
    </row>
    <row r="252" spans="1:12" hidden="1">
      <c r="F252" s="2"/>
      <c r="G252" s="2"/>
      <c r="H252" s="5"/>
      <c r="I252" s="24"/>
      <c r="L252" s="17">
        <f t="shared" si="23"/>
        <v>0</v>
      </c>
    </row>
    <row r="253" spans="1:12" s="298" customFormat="1" ht="15" customHeight="1">
      <c r="A253" s="662" t="s">
        <v>95</v>
      </c>
      <c r="B253" s="663"/>
      <c r="C253" s="664">
        <f>+C28</f>
        <v>46027.33</v>
      </c>
      <c r="D253" s="664">
        <v>71669</v>
      </c>
      <c r="E253" s="664">
        <f>+E28</f>
        <v>83978.01</v>
      </c>
      <c r="F253" s="664"/>
      <c r="G253" s="669">
        <f>+G28</f>
        <v>69712.607250000001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237403.47715261122</v>
      </c>
      <c r="D254" s="664">
        <f>+D222</f>
        <v>264357.91059593373</v>
      </c>
      <c r="E254" s="664">
        <f>+E222</f>
        <v>325981.88731920457</v>
      </c>
      <c r="F254" s="664">
        <f>+F222</f>
        <v>232635.89148191377</v>
      </c>
      <c r="G254" s="664">
        <f>+G222</f>
        <v>251263.87482829145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0</v>
      </c>
      <c r="E255" s="664"/>
      <c r="F255" s="664"/>
      <c r="G255" s="1145">
        <v>0</v>
      </c>
      <c r="H255" s="669"/>
      <c r="I255" s="666"/>
      <c r="J255" s="666"/>
      <c r="L255" s="17">
        <v>1</v>
      </c>
    </row>
    <row r="256" spans="1:12" hidden="1">
      <c r="F256" s="2"/>
      <c r="G256" s="2"/>
      <c r="H256" s="2"/>
      <c r="I256" s="24"/>
      <c r="L256" s="17">
        <f t="shared" si="23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48" right="0" top="0.18" bottom="0.11" header="7.0000000000000007E-2" footer="0.06"/>
  <pageSetup paperSize="9" scale="74" fitToHeight="2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 filterMode="1" enableFormatConditionsCalculation="0">
    <tabColor indexed="43"/>
    <pageSetUpPr fitToPage="1"/>
  </sheetPr>
  <dimension ref="A1:L256"/>
  <sheetViews>
    <sheetView workbookViewId="0">
      <pane xSplit="2" ySplit="6" topLeftCell="C173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435" customWidth="1"/>
    <col min="4" max="4" width="10.7109375" style="30" customWidth="1"/>
    <col min="5" max="5" width="11" style="30" customWidth="1"/>
    <col min="6" max="7" width="13.7109375" style="581" customWidth="1"/>
    <col min="8" max="8" width="8.42578125" style="581" customWidth="1"/>
    <col min="9" max="9" width="9.5703125" style="801" customWidth="1"/>
    <col min="10" max="10" width="9.140625" style="801" bestFit="1" customWidth="1"/>
    <col min="11" max="11" width="2.140625" style="2" customWidth="1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802" t="s">
        <v>299</v>
      </c>
    </row>
    <row r="2" spans="1:12" hidden="1">
      <c r="C2" s="17"/>
      <c r="D2" s="2"/>
      <c r="E2" s="2"/>
      <c r="F2" s="58"/>
      <c r="G2" s="58"/>
      <c r="H2" s="58"/>
      <c r="I2" s="66"/>
      <c r="J2" s="66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213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-55203.133367671486</v>
      </c>
      <c r="F5" s="215">
        <f>F217</f>
        <v>-61477.978745876528</v>
      </c>
      <c r="G5" s="215">
        <f>G217</f>
        <v>-24991.07409157775</v>
      </c>
      <c r="H5" s="578"/>
      <c r="I5" s="152"/>
      <c r="J5" s="184"/>
      <c r="L5" s="2">
        <v>1</v>
      </c>
    </row>
    <row r="6" spans="1:12" ht="15.75" customHeight="1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807"/>
      <c r="I6" s="153" t="s">
        <v>367</v>
      </c>
      <c r="J6" s="185" t="s">
        <v>368</v>
      </c>
      <c r="L6" s="2">
        <v>1</v>
      </c>
    </row>
    <row r="7" spans="1:12" ht="12.75" hidden="1">
      <c r="A7" s="6"/>
      <c r="B7" s="102"/>
      <c r="C7" s="155"/>
      <c r="D7" s="104"/>
      <c r="E7" s="267"/>
      <c r="F7" s="130"/>
      <c r="G7" s="130"/>
      <c r="H7" s="102"/>
      <c r="I7" s="151"/>
      <c r="J7" s="183"/>
      <c r="L7" s="17">
        <f>IF(SUM(C7:J7)&lt;&gt;0,1,0)</f>
        <v>0</v>
      </c>
    </row>
    <row r="8" spans="1:12" ht="18" hidden="1">
      <c r="A8" s="7" t="s">
        <v>221</v>
      </c>
      <c r="B8" s="90"/>
      <c r="C8" s="156">
        <f>-IF(ISNA(VLOOKUP("MON707130000",Balance!$C:$G,5,FALSE))=TRUE,0,VLOOKUP("MON707130000",Balance!$C:$G,5,FALSE))</f>
        <v>609272.20000000007</v>
      </c>
      <c r="D8" s="105">
        <f>+[2]Montpe!$H8</f>
        <v>888721</v>
      </c>
      <c r="E8" s="260">
        <f>-IF(ISNA(VLOOKUP("MON707130000",Balanceanp!$C:$G,5,FALSE))=TRUE,0,VLOOKUP("MON707130000",Balanceanp!$C:$G,5,FALSE))</f>
        <v>726518.96</v>
      </c>
      <c r="F8" s="131">
        <f>+CA!G134</f>
        <v>777981.31856587052</v>
      </c>
      <c r="G8" s="131">
        <v>867313</v>
      </c>
      <c r="H8" s="90"/>
      <c r="I8" s="152">
        <f>+IF((E8)=0,,(F8-E8)/E8)</f>
        <v>7.0834157674110193E-2</v>
      </c>
      <c r="J8" s="184">
        <f>+IF((F8)=0,,(G8-F8)/F8)</f>
        <v>0.11482496983192779</v>
      </c>
      <c r="K8" s="17"/>
      <c r="L8" s="17">
        <f t="shared" ref="L8:L71" si="0">IF(SUM(C8:J8)&lt;&gt;0,1,0)</f>
        <v>1</v>
      </c>
    </row>
    <row r="9" spans="1:12" hidden="1">
      <c r="A9" s="3" t="s">
        <v>422</v>
      </c>
      <c r="B9" s="90"/>
      <c r="C9" s="157">
        <f>-IF(ISNA(VLOOKUP("MON707131000",Balance!$C:$G,5,FALSE))=TRUE,0,VLOOKUP("MON707131000",Balance!$C:$G,5,FALSE))</f>
        <v>0</v>
      </c>
      <c r="D9" s="106">
        <f>+[2]Montpe!$H9</f>
        <v>0</v>
      </c>
      <c r="E9" s="157">
        <f>-IF(ISNA(VLOOKUP("MON707131000",Balanceanp!$C:$G,5,FALSE))=TRUE,0,VLOOKUP("MON707131000",Balanceanp!$C:$G,5,FALSE))</f>
        <v>91024.68</v>
      </c>
      <c r="F9" s="215">
        <f>+C9</f>
        <v>0</v>
      </c>
      <c r="G9" s="215">
        <v>0</v>
      </c>
      <c r="H9" s="578"/>
      <c r="I9" s="152">
        <f t="shared" ref="I9:J19" si="1">+IF((E9)=0,,(F9-E9)/E9)</f>
        <v>-1</v>
      </c>
      <c r="J9" s="184">
        <f t="shared" si="1"/>
        <v>0</v>
      </c>
      <c r="K9" s="17"/>
      <c r="L9" s="17">
        <v>0</v>
      </c>
    </row>
    <row r="10" spans="1:12" hidden="1">
      <c r="A10" s="4" t="s">
        <v>84</v>
      </c>
      <c r="B10" s="91"/>
      <c r="C10" s="158">
        <f>-IF(ISNA(VLOOKUP("MON707300000",Balance!C:G,5,FALSE))=TRUE,0,VLOOKUP("MON707300000",Balance!C:G,5,FALSE))</f>
        <v>0</v>
      </c>
      <c r="D10" s="107">
        <f>+[2]Montpe!$H10</f>
        <v>0</v>
      </c>
      <c r="E10" s="158">
        <f>-IF(ISNA(VLOOKUP("MON707300000",Balanceanp!C:G,5,FALSE))=TRUE,0,VLOOKUP("MON707300000",Balanceanp!C:G,5,FALSE))</f>
        <v>0</v>
      </c>
      <c r="F10" s="133">
        <f t="shared" ref="F10:F19" si="2">+C10</f>
        <v>0</v>
      </c>
      <c r="G10" s="133">
        <v>0</v>
      </c>
      <c r="H10" s="91"/>
      <c r="I10" s="153">
        <f t="shared" si="1"/>
        <v>0</v>
      </c>
      <c r="J10" s="185">
        <f t="shared" si="1"/>
        <v>0</v>
      </c>
      <c r="K10" s="17"/>
      <c r="L10" s="17">
        <v>0</v>
      </c>
    </row>
    <row r="11" spans="1:12" ht="12.75" hidden="1">
      <c r="A11" s="6" t="s">
        <v>267</v>
      </c>
      <c r="B11" s="102"/>
      <c r="C11" s="155">
        <f>-IF(ISNA(VLOOKUP("MON707110000",Balance!C:G,5,FALSE))=TRUE,0,VLOOKUP("MON707110000",Balance!C:G,5,FALSE))</f>
        <v>211</v>
      </c>
      <c r="D11" s="104">
        <f>+[2]Montpe!$H11</f>
        <v>0</v>
      </c>
      <c r="E11" s="267">
        <f>-IF(ISNA(VLOOKUP("MON707110000",Balanceanp!C:G,5,FALSE))=TRUE,0,VLOOKUP("MON707110000",Balanceanp!C:G,5,FALSE))</f>
        <v>1042.3</v>
      </c>
      <c r="F11" s="130">
        <f t="shared" si="2"/>
        <v>211</v>
      </c>
      <c r="G11" s="130">
        <v>0</v>
      </c>
      <c r="H11" s="102"/>
      <c r="I11" s="151">
        <f t="shared" si="1"/>
        <v>-0.79756308164635903</v>
      </c>
      <c r="J11" s="183">
        <f t="shared" si="1"/>
        <v>-1</v>
      </c>
      <c r="K11" s="17"/>
      <c r="L11" s="17">
        <v>0</v>
      </c>
    </row>
    <row r="12" spans="1:12" ht="18" hidden="1">
      <c r="A12" s="7" t="s">
        <v>46</v>
      </c>
      <c r="B12" s="90"/>
      <c r="C12" s="156">
        <f>-IF(ISNA(VLOOKUP("MON707120000",Balance!C:G,5,FALSE))=TRUE,0,VLOOKUP("MON707120000",Balance!C:G,5,FALSE))</f>
        <v>0</v>
      </c>
      <c r="D12" s="105">
        <f>+[2]Montpe!$H12</f>
        <v>0</v>
      </c>
      <c r="E12" s="260">
        <f>-IF(ISNA(VLOOKUP("MON707120000",Balanceanp!C:G,5,FALSE))=TRUE,0,VLOOKUP("MON707120000",Balanceanp!C:G,5,FALSE))</f>
        <v>0</v>
      </c>
      <c r="F12" s="131">
        <f t="shared" si="2"/>
        <v>0</v>
      </c>
      <c r="G12" s="131">
        <v>0</v>
      </c>
      <c r="H12" s="90"/>
      <c r="I12" s="152">
        <f t="shared" si="1"/>
        <v>0</v>
      </c>
      <c r="J12" s="184">
        <f t="shared" si="1"/>
        <v>0</v>
      </c>
      <c r="K12" s="17"/>
      <c r="L12" s="17">
        <v>0</v>
      </c>
    </row>
    <row r="13" spans="1:12" hidden="1">
      <c r="A13" s="5" t="s">
        <v>268</v>
      </c>
      <c r="B13" s="92"/>
      <c r="C13" s="160">
        <f>-IF(ISNA(VLOOKUP("MON707230000",Balance!C:G,5,FALSE))=TRUE,0,VLOOKUP("MON707230000",Balance!C:G,5,FALSE))</f>
        <v>0</v>
      </c>
      <c r="D13" s="117">
        <f>+[2]Montpe!$H13</f>
        <v>0</v>
      </c>
      <c r="E13" s="160">
        <f>-IF(ISNA(VLOOKUP("MON707230000",Balanceanp!C:G,5,FALSE))=TRUE,0,VLOOKUP("MON707230000",Balanceanp!C:G,5,FALSE))</f>
        <v>0</v>
      </c>
      <c r="F13" s="368">
        <f t="shared" si="2"/>
        <v>0</v>
      </c>
      <c r="G13" s="395">
        <v>0</v>
      </c>
      <c r="H13" s="401"/>
      <c r="I13" s="149">
        <f t="shared" si="1"/>
        <v>0</v>
      </c>
      <c r="J13" s="271">
        <f t="shared" si="1"/>
        <v>0</v>
      </c>
      <c r="K13" s="17"/>
      <c r="L13" s="17">
        <v>0</v>
      </c>
    </row>
    <row r="14" spans="1:12" hidden="1">
      <c r="A14" s="590" t="s">
        <v>269</v>
      </c>
      <c r="B14" s="591"/>
      <c r="C14" s="311">
        <f>-IF(ISNA(VLOOKUP("MON708820000",Balance!C:G,5,FALSE))=TRUE,0,VLOOKUP("MON708820000",Balance!C:G,5,FALSE))</f>
        <v>72.349999999999994</v>
      </c>
      <c r="D14" s="592">
        <f>+[2]Montpe!$H14</f>
        <v>0</v>
      </c>
      <c r="E14" s="311">
        <f>-IF(ISNA(VLOOKUP("MON708820000",Balanceanp!C:G,5,FALSE))=TRUE,0,VLOOKUP("MON708820000",Balanceanp!C:G,5,FALSE))</f>
        <v>35</v>
      </c>
      <c r="F14" s="593">
        <f t="shared" si="2"/>
        <v>72.349999999999994</v>
      </c>
      <c r="G14" s="594">
        <v>0</v>
      </c>
      <c r="H14" s="594"/>
      <c r="I14" s="591">
        <f t="shared" si="1"/>
        <v>1.0671428571428569</v>
      </c>
      <c r="J14" s="595">
        <f t="shared" si="1"/>
        <v>-1</v>
      </c>
      <c r="K14" s="17"/>
      <c r="L14" s="17">
        <v>0</v>
      </c>
    </row>
    <row r="15" spans="1:12" hidden="1">
      <c r="A15" s="590" t="s">
        <v>270</v>
      </c>
      <c r="B15" s="591"/>
      <c r="C15" s="311">
        <f>-IF(ISNA(VLOOKUP("MON708500000",Balance!C:G,5,FALSE))=TRUE,0,VLOOKUP("MON708500000",Balance!C:G,5,FALSE))</f>
        <v>1086</v>
      </c>
      <c r="D15" s="592">
        <f>+[2]Montpe!$H15</f>
        <v>0</v>
      </c>
      <c r="E15" s="311">
        <f>-IF(ISNA(VLOOKUP("MON708500000",Balanceanp!C:G,5,FALSE))=TRUE,0,VLOOKUP("MON708500000",Balanceanp!C:G,5,FALSE))</f>
        <v>1458</v>
      </c>
      <c r="F15" s="593">
        <f t="shared" si="2"/>
        <v>1086</v>
      </c>
      <c r="G15" s="594">
        <v>0</v>
      </c>
      <c r="H15" s="594"/>
      <c r="I15" s="591">
        <f t="shared" si="1"/>
        <v>-0.2551440329218107</v>
      </c>
      <c r="J15" s="595">
        <f t="shared" si="1"/>
        <v>-1</v>
      </c>
      <c r="K15" s="17"/>
      <c r="L15" s="17">
        <v>0</v>
      </c>
    </row>
    <row r="16" spans="1:12" hidden="1">
      <c r="A16" s="5" t="s">
        <v>85</v>
      </c>
      <c r="B16" s="92"/>
      <c r="C16" s="160">
        <f>IF(ISNA(VLOOKUP("MON706000000",Balance!C:G,5,FALSE))=TRUE,0,-VLOOKUP("MON706000000",Balance!C:G,5,FALSE))+IF(ISNA(VLOOKUP("MON706010000",Balance!C:G,5,FALSE))=TRUE,0,-VLOOKUP("MON706010000",Balance!C:G,5,FALSE))</f>
        <v>0</v>
      </c>
      <c r="D16" s="117">
        <f>+[2]Montpe!$H16</f>
        <v>0</v>
      </c>
      <c r="E16" s="160">
        <f>IF(ISNA(VLOOKUP("MON706000000",Balanceanp!C:G,5,FALSE))=TRUE,0,-VLOOKUP("MON706000000",Balanceanp!C:G,5,FALSE))+IF(ISNA(VLOOKUP("MON706010000",Balanceanp!C:G,5,FALSE))=TRUE,0,-VLOOKUP("MON706010000",Balanceanp!C:G,5,FALSE))</f>
        <v>0</v>
      </c>
      <c r="F16" s="368">
        <f t="shared" si="2"/>
        <v>0</v>
      </c>
      <c r="G16" s="395">
        <f>+F16*1.03</f>
        <v>0</v>
      </c>
      <c r="H16" s="401"/>
      <c r="I16" s="149">
        <f t="shared" si="1"/>
        <v>0</v>
      </c>
      <c r="J16" s="271">
        <f t="shared" si="1"/>
        <v>0</v>
      </c>
      <c r="K16" s="17"/>
      <c r="L16" s="17">
        <v>0</v>
      </c>
    </row>
    <row r="17" spans="1:12" hidden="1">
      <c r="A17" s="5" t="s">
        <v>88</v>
      </c>
      <c r="B17" s="92"/>
      <c r="C17" s="160">
        <f>IF(ISNA(VLOOKUP("MON707500000",Balance!C:G,5,FALSE))=TRUE,0,-VLOOKUP("MON707500000",Balance!C:G,5,FALSE))</f>
        <v>0</v>
      </c>
      <c r="D17" s="117">
        <f>+[2]Montpe!$H17</f>
        <v>0</v>
      </c>
      <c r="E17" s="160">
        <f>IF(ISNA(VLOOKUP("MON707500000",Balanceanp!C:G,5,FALSE))=TRUE,0,-VLOOKUP("MON707500000",Balanceanp!C:G,5,FALSE))</f>
        <v>0</v>
      </c>
      <c r="F17" s="368">
        <f t="shared" si="2"/>
        <v>0</v>
      </c>
      <c r="G17" s="395">
        <f>+F17*1.03</f>
        <v>0</v>
      </c>
      <c r="H17" s="401"/>
      <c r="I17" s="149">
        <f t="shared" si="1"/>
        <v>0</v>
      </c>
      <c r="J17" s="271">
        <f t="shared" si="1"/>
        <v>0</v>
      </c>
      <c r="K17" s="17"/>
      <c r="L17" s="17">
        <v>0</v>
      </c>
    </row>
    <row r="18" spans="1:12" hidden="1">
      <c r="A18" s="5" t="s">
        <v>89</v>
      </c>
      <c r="B18" s="92"/>
      <c r="C18" s="160">
        <f>IF(ISNA(VLOOKUP("MON707510000",Balance!C:G,5,FALSE))=TRUE,0,-VLOOKUP("MON707510000",Balance!C:G,5,FALSE))</f>
        <v>0</v>
      </c>
      <c r="D18" s="117">
        <f>+[2]Montpe!$H18</f>
        <v>0</v>
      </c>
      <c r="E18" s="160">
        <f>IF(ISNA(VLOOKUP("MON707510000",Balanceanp!C:G,5,FALSE))=TRUE,0,-VLOOKUP("MON707510000",Balanceanp!C:G,5,FALSE))</f>
        <v>0</v>
      </c>
      <c r="F18" s="368">
        <f t="shared" si="2"/>
        <v>0</v>
      </c>
      <c r="G18" s="395">
        <f>+F18*1.03</f>
        <v>0</v>
      </c>
      <c r="H18" s="401"/>
      <c r="I18" s="149">
        <f t="shared" si="1"/>
        <v>0</v>
      </c>
      <c r="J18" s="271">
        <f t="shared" si="1"/>
        <v>0</v>
      </c>
      <c r="K18" s="17"/>
      <c r="L18" s="17">
        <v>0</v>
      </c>
    </row>
    <row r="19" spans="1:12" hidden="1">
      <c r="A19" s="5" t="s">
        <v>90</v>
      </c>
      <c r="B19" s="92"/>
      <c r="C19" s="160">
        <f>IF(ISNA(VLOOKUP("MON708300000",Balance!C:G,5,FALSE))=TRUE,0,-VLOOKUP("MON708300000",Balance!C:G,5,FALSE))</f>
        <v>0</v>
      </c>
      <c r="D19" s="117">
        <f>+[2]Montpe!$H19</f>
        <v>0</v>
      </c>
      <c r="E19" s="160">
        <f>IF(ISNA(VLOOKUP("MON708300000",Balanceanp!C:G,5,FALSE))=TRUE,0,-VLOOKUP("MON708300000",Balanceanp!C:G,5,FALSE))</f>
        <v>0</v>
      </c>
      <c r="F19" s="368">
        <f t="shared" si="2"/>
        <v>0</v>
      </c>
      <c r="G19" s="395">
        <f>+F19*1.03</f>
        <v>0</v>
      </c>
      <c r="H19" s="401"/>
      <c r="I19" s="149">
        <f t="shared" si="1"/>
        <v>0</v>
      </c>
      <c r="J19" s="271">
        <f t="shared" si="1"/>
        <v>0</v>
      </c>
      <c r="K19" s="17"/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K20" s="17"/>
      <c r="L20" s="17">
        <v>0</v>
      </c>
    </row>
    <row r="21" spans="1:12" s="33" customFormat="1" ht="15" customHeight="1">
      <c r="A21" s="13" t="s">
        <v>222</v>
      </c>
      <c r="B21" s="596"/>
      <c r="C21" s="803">
        <f>SUM(C7:C20)</f>
        <v>610641.55000000005</v>
      </c>
      <c r="D21" s="597">
        <f>SUM(D7:D20)</f>
        <v>888721</v>
      </c>
      <c r="E21" s="803">
        <f>SUM(E7:E20)</f>
        <v>820078.94</v>
      </c>
      <c r="F21" s="597">
        <f>SUM(F7:F20)</f>
        <v>779350.6685658705</v>
      </c>
      <c r="G21" s="597">
        <f>SUM(G7:G20)</f>
        <v>867313</v>
      </c>
      <c r="H21" s="597"/>
      <c r="I21" s="596">
        <f>+IF((E21)=0,,(F21-E21)/E21)</f>
        <v>-4.9663842646818182E-2</v>
      </c>
      <c r="J21" s="1015">
        <f>+IF((F21)=0,,(G21-F21)/F21)</f>
        <v>0.1128661781942065</v>
      </c>
      <c r="K21" s="17"/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K22" s="17"/>
      <c r="L22" s="17">
        <f t="shared" si="0"/>
        <v>0</v>
      </c>
    </row>
    <row r="23" spans="1:12" hidden="1">
      <c r="A23" s="5" t="s">
        <v>92</v>
      </c>
      <c r="B23" s="92"/>
      <c r="C23" s="160">
        <f>IF(ISNA(VLOOKUP("MON602650000",Balance!C:G,5,FALSE))=TRUE,0,VLOOKUP("MON602650000",Balance!C:G,5,FALSE))</f>
        <v>0</v>
      </c>
      <c r="D23" s="115"/>
      <c r="E23" s="160">
        <f>IF(ISNA(VLOOKUP("MON602650000",Balanceanp!C:G,5,FALSE))=TRUE,0,VLOOKUP("MON602650000",Balanceanp!C:G,5,FALSE))</f>
        <v>0</v>
      </c>
      <c r="F23" s="134"/>
      <c r="G23" s="134"/>
      <c r="H23" s="400"/>
      <c r="I23" s="149"/>
      <c r="J23" s="271"/>
      <c r="K23" s="17"/>
      <c r="L23" s="17">
        <f t="shared" si="0"/>
        <v>0</v>
      </c>
    </row>
    <row r="24" spans="1:12">
      <c r="A24" s="590" t="s">
        <v>93</v>
      </c>
      <c r="B24" s="591"/>
      <c r="C24" s="805">
        <f>IF(ISNA(VLOOKUP("mon607100000",Balance!C:G,5,FALSE))=TRUE,0,VLOOKUP("mon607100000",Balance!C:G,5,FALSE))</f>
        <v>227922.35</v>
      </c>
      <c r="D24" s="601"/>
      <c r="E24" s="805">
        <f>IF(ISNA(VLOOKUP("mon607100000",Balanceanp!C:G,5,FALSE))=TRUE,0,VLOOKUP("mon607100000",Balanceanp!C:G,5,FALSE))</f>
        <v>275183.37</v>
      </c>
      <c r="F24" s="601"/>
      <c r="G24" s="1016">
        <f>H24*G30</f>
        <v>366439.74250000005</v>
      </c>
      <c r="H24" s="1017">
        <f>1-H28</f>
        <v>0.65</v>
      </c>
      <c r="I24" s="1013"/>
      <c r="J24" s="1014"/>
      <c r="K24" s="17"/>
      <c r="L24" s="17">
        <f t="shared" si="0"/>
        <v>1</v>
      </c>
    </row>
    <row r="25" spans="1:12" hidden="1">
      <c r="A25" s="590" t="s">
        <v>94</v>
      </c>
      <c r="B25" s="591"/>
      <c r="C25" s="311">
        <f>IF(ISNA(VLOOKUP("mon607110000",Balance!C:G,5,FALSE))=TRUE,0,VLOOKUP("mon607110000",Balance!C:G,5,FALSE))+IF(ISNA(VLOOKUP("mon607120000",Balance!C:G,5,FALSE))=TRUE,0,VLOOKUP("mon607120000",Balance!C:G,5,FALSE))</f>
        <v>16393.189999999999</v>
      </c>
      <c r="D25" s="600"/>
      <c r="E25" s="311">
        <f>IF(ISNA(VLOOKUP("mon607110000",Balanceanp!C:G,5,FALSE))=TRUE,0,VLOOKUP("mon607110000",Balanceanp!C:G,5,FALSE))+IF(ISNA(VLOOKUP("mon607120000",Balanceanp!C:G,5,FALSE))=TRUE,0,VLOOKUP("mon607120000",Balanceanp!C:G,5,FALSE))</f>
        <v>13544.189999999999</v>
      </c>
      <c r="F25" s="601"/>
      <c r="G25" s="600"/>
      <c r="H25" s="600"/>
      <c r="I25" s="591"/>
      <c r="J25" s="595"/>
      <c r="K25" s="17"/>
      <c r="L25" s="17">
        <v>0</v>
      </c>
    </row>
    <row r="26" spans="1:12" hidden="1">
      <c r="A26" s="590" t="s">
        <v>288</v>
      </c>
      <c r="B26" s="591"/>
      <c r="C26" s="311">
        <f>IF(ISNA(VLOOKUP("mon607130000",Balance!C:G,5,FALSE))=TRUE,0,VLOOKUP("mon607130000",Balance!C:G,5,FALSE))+IF(ISNA(VLOOKUP("BEZI607130000",Balance!C:G,5,FALSE))=TRUE,0,VLOOKUP("BEZI607130000",Balance!C:G,5,FALSE))</f>
        <v>8468.39</v>
      </c>
      <c r="D26" s="600"/>
      <c r="E26" s="311">
        <f>IF(ISNA(VLOOKUP("mon607130000",Balanceanp!C:G,5,FALSE))=TRUE,0,VLOOKUP("mon607130000",Balanceanp!C:G,5,FALSE))</f>
        <v>10603</v>
      </c>
      <c r="F26" s="601"/>
      <c r="G26" s="600"/>
      <c r="H26" s="600"/>
      <c r="I26" s="591"/>
      <c r="J26" s="595"/>
      <c r="K26" s="17"/>
      <c r="L26" s="17">
        <v>0</v>
      </c>
    </row>
    <row r="27" spans="1:12" hidden="1">
      <c r="A27" s="590" t="s">
        <v>289</v>
      </c>
      <c r="B27" s="591"/>
      <c r="C27" s="311">
        <f>IF(ISNA(VLOOKUP("mon607140000",Balance!C:G,5,FALSE))=TRUE,0,VLOOKUP("mon607140000",Balance!C:G,5,FALSE))+IF(ISNA(VLOOKUP("BEZI607140000",Balance!C:G,5,FALSE))=TRUE,0,VLOOKUP("BEZI607140000",Balance!C:G,5,FALSE))</f>
        <v>-8291.7000000000007</v>
      </c>
      <c r="D27" s="600"/>
      <c r="E27" s="311">
        <f>IF(ISNA(VLOOKUP("mon607140000",Balanceanp!C:G,5,FALSE))=TRUE,0,VLOOKUP("mon607140000",Balanceanp!C:G,5,FALSE))</f>
        <v>-2768</v>
      </c>
      <c r="F27" s="601"/>
      <c r="G27" s="600"/>
      <c r="H27" s="600"/>
      <c r="I27" s="591"/>
      <c r="J27" s="595"/>
      <c r="K27" s="17"/>
      <c r="L27" s="17">
        <v>0</v>
      </c>
    </row>
    <row r="28" spans="1:12">
      <c r="A28" s="590" t="s">
        <v>95</v>
      </c>
      <c r="B28" s="591"/>
      <c r="C28" s="805">
        <f>IF(ISNA(VLOOKUP("MON607200000",Balance!C:G,5,FALSE))=TRUE,0,VLOOKUP("MON607200000",Balance!C:G,5,FALSE))</f>
        <v>139979.82999999999</v>
      </c>
      <c r="D28" s="601"/>
      <c r="E28" s="805">
        <f>IF(ISNA(VLOOKUP("MON607200000",Balanceanp!C:G,5,FALSE))=TRUE,0,VLOOKUP("MON607200000",Balanceanp!C:G,5,FALSE))</f>
        <v>177603.7</v>
      </c>
      <c r="F28" s="601"/>
      <c r="G28" s="1016">
        <f>H28*G30</f>
        <v>197313.70750000002</v>
      </c>
      <c r="H28" s="1019">
        <v>0.35</v>
      </c>
      <c r="I28" s="1013"/>
      <c r="J28" s="1014"/>
      <c r="K28" s="17"/>
      <c r="L28" s="17">
        <f t="shared" si="0"/>
        <v>1</v>
      </c>
    </row>
    <row r="29" spans="1:12" hidden="1">
      <c r="A29" s="590" t="s">
        <v>293</v>
      </c>
      <c r="B29" s="591"/>
      <c r="C29" s="311">
        <f>IF(ISNA(VLOOKUP("MON607150000",Balance!C:G,5,FALSE))=TRUE,0,VLOOKUP("MON607150000",Balance!C:G,5,FALSE))</f>
        <v>25323.360000000001</v>
      </c>
      <c r="D29" s="600"/>
      <c r="E29" s="605">
        <f>IF(ISNA(VLOOKUP("MON607150000",Balanceanp!C:G,5,FALSE))=TRUE,0,VLOOKUP("MON607150000",Balanceanp!C:G,5,FALSE))</f>
        <v>36929.96</v>
      </c>
      <c r="F29" s="601"/>
      <c r="G29" s="600"/>
      <c r="H29" s="600"/>
      <c r="I29" s="591" t="str">
        <f>+IF((D28)=0,"",(C28-D28)/D28)</f>
        <v/>
      </c>
      <c r="J29" s="595"/>
      <c r="K29" s="17"/>
      <c r="L29" s="17">
        <v>0</v>
      </c>
    </row>
    <row r="30" spans="1:12" s="43" customFormat="1">
      <c r="A30" s="42" t="s">
        <v>292</v>
      </c>
      <c r="B30" s="606"/>
      <c r="C30" s="804">
        <f>SUM(C23:C29)</f>
        <v>409795.41999999993</v>
      </c>
      <c r="D30" s="1020"/>
      <c r="E30" s="804">
        <f>SUM(E23:E29)</f>
        <v>511096.22000000003</v>
      </c>
      <c r="F30" s="607">
        <f>1-(E30/E21)</f>
        <v>0.37677192393210335</v>
      </c>
      <c r="G30" s="1020">
        <f>G21*(1-H30)</f>
        <v>563753.45000000007</v>
      </c>
      <c r="H30" s="812">
        <v>0.35</v>
      </c>
      <c r="I30" s="606"/>
      <c r="J30" s="1021"/>
      <c r="K30" s="17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K31" s="17"/>
      <c r="L31" s="17">
        <f t="shared" si="0"/>
        <v>0</v>
      </c>
    </row>
    <row r="32" spans="1:12" s="33" customFormat="1">
      <c r="A32" s="56" t="s">
        <v>336</v>
      </c>
      <c r="B32" s="610"/>
      <c r="C32" s="1022">
        <f>+C21-C30-C38</f>
        <v>194738.84000000014</v>
      </c>
      <c r="D32" s="611"/>
      <c r="E32" s="1022">
        <f>+E21-E30-E38</f>
        <v>296498.35439999989</v>
      </c>
      <c r="F32" s="611"/>
      <c r="G32" s="1022">
        <f>+G21-G30-G38</f>
        <v>303559.54999999993</v>
      </c>
      <c r="H32" s="611"/>
      <c r="I32" s="606"/>
      <c r="J32" s="812"/>
      <c r="K32" s="17"/>
      <c r="L32" s="17">
        <f t="shared" si="0"/>
        <v>1</v>
      </c>
    </row>
    <row r="33" spans="1:12" s="33" customFormat="1">
      <c r="A33" s="56" t="s">
        <v>337</v>
      </c>
      <c r="B33" s="610"/>
      <c r="C33" s="1023">
        <f>+C32/C21</f>
        <v>0.31890859703208885</v>
      </c>
      <c r="D33" s="611"/>
      <c r="E33" s="1023">
        <f>+E32/E21</f>
        <v>0.36154855336243596</v>
      </c>
      <c r="F33" s="611"/>
      <c r="G33" s="1023">
        <f>+G32/G21</f>
        <v>0.34999999999999992</v>
      </c>
      <c r="H33" s="611"/>
      <c r="I33" s="606"/>
      <c r="J33" s="812"/>
      <c r="K33" s="1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K34" s="17"/>
      <c r="L34" s="17">
        <f t="shared" si="0"/>
        <v>0</v>
      </c>
    </row>
    <row r="35" spans="1:12">
      <c r="A35" s="590" t="s">
        <v>96</v>
      </c>
      <c r="B35" s="591"/>
      <c r="C35" s="805">
        <f>IF(ISNA(VLOOKUP("MON607400000",Balance!C:G,5,FALSE))=TRUE,0,VLOOKUP("MON607400000",Balance!C:G,5,FALSE))</f>
        <v>3867.08</v>
      </c>
      <c r="D35" s="601"/>
      <c r="E35" s="805">
        <f>IF(ISNA(VLOOKUP("MON607400000",Balanceanp!C:G,5,FALSE))=TRUE,0,VLOOKUP("MON607400000",Balanceanp!C:G,5,FALSE))</f>
        <v>4423.0700000000006</v>
      </c>
      <c r="F35" s="612">
        <f>E35/E30</f>
        <v>8.6540847435733342E-3</v>
      </c>
      <c r="G35" s="1024">
        <f>F35*G30</f>
        <v>4878.7701307818334</v>
      </c>
      <c r="H35" s="601"/>
      <c r="I35" s="1013" t="str">
        <f t="shared" si="3"/>
        <v/>
      </c>
      <c r="J35" s="1014"/>
      <c r="K35" s="17"/>
      <c r="L35" s="17">
        <f t="shared" si="0"/>
        <v>1</v>
      </c>
    </row>
    <row r="36" spans="1:12">
      <c r="A36" s="590" t="s">
        <v>97</v>
      </c>
      <c r="B36" s="591"/>
      <c r="C36" s="805">
        <f>IF(ISNA(VLOOKUP("MON608000000",Balance!C:G,5,FALSE))=TRUE,0,VLOOKUP("MON608000000",Balance!C:G,5,FALSE))</f>
        <v>2143.1</v>
      </c>
      <c r="D36" s="601"/>
      <c r="E36" s="805">
        <f>IF(ISNA(VLOOKUP("MON608000000",Balanceanp!C:G,5,FALSE))=TRUE,0,VLOOKUP("MON608000000",Balanceanp!C:G,5,FALSE))</f>
        <v>1987.03</v>
      </c>
      <c r="F36" s="612">
        <f>E36/E30</f>
        <v>3.8877806609487345E-3</v>
      </c>
      <c r="G36" s="1024">
        <f>F36*G30</f>
        <v>2191.7497604531295</v>
      </c>
      <c r="H36" s="601"/>
      <c r="I36" s="1013" t="str">
        <f t="shared" si="3"/>
        <v/>
      </c>
      <c r="J36" s="1014"/>
      <c r="K36" s="17"/>
      <c r="L36" s="17">
        <f t="shared" si="0"/>
        <v>1</v>
      </c>
    </row>
    <row r="37" spans="1:12" hidden="1">
      <c r="A37" s="5" t="s">
        <v>98</v>
      </c>
      <c r="B37" s="92"/>
      <c r="C37" s="160">
        <f>IF(ISNA(VLOOKUP("MON608100000",Balance!C:G,5,FALSE))=TRUE,0,VLOOKUP("MON608100000",Balance!C:G,5,FALSE))</f>
        <v>0</v>
      </c>
      <c r="D37" s="115"/>
      <c r="E37" s="160">
        <f>IF(ISNA(VLOOKUP("MON608100000",Balanceanp!C:G,5,FALSE))=TRUE,0,VLOOKUP("MON608100000",Balanceanp!C:G,5,FALSE))</f>
        <v>0</v>
      </c>
      <c r="F37" s="134"/>
      <c r="G37" s="134"/>
      <c r="H37" s="400"/>
      <c r="I37" s="149" t="str">
        <f t="shared" si="3"/>
        <v/>
      </c>
      <c r="J37" s="271"/>
      <c r="K37" s="17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6107.2899999999936</v>
      </c>
      <c r="D38" s="115"/>
      <c r="E38" s="160">
        <f>+E56-E57</f>
        <v>12484.365600000019</v>
      </c>
      <c r="F38" s="134"/>
      <c r="G38" s="134"/>
      <c r="H38" s="400"/>
      <c r="I38" s="149" t="str">
        <f t="shared" si="3"/>
        <v/>
      </c>
      <c r="J38" s="271"/>
      <c r="K38" s="17"/>
      <c r="L38" s="17">
        <v>0</v>
      </c>
    </row>
    <row r="39" spans="1:12" hidden="1">
      <c r="A39" s="5" t="s">
        <v>177</v>
      </c>
      <c r="B39" s="92"/>
      <c r="C39" s="160">
        <f>IF(ISNA(VLOOKUP("MON681730000",Balance!C:G,5,FALSE))=TRUE,0,VLOOKUP("MON681730000",Balance!C:G,5,FALSE))</f>
        <v>0</v>
      </c>
      <c r="D39" s="115"/>
      <c r="E39" s="160">
        <f>IF(ISNA(VLOOKUP("MON681730000",Balanceanp!C:G,5,FALSE))=TRUE,0,VLOOKUP("MON681730000",Balanceanp!C:G,5,FALSE))</f>
        <v>12087.76</v>
      </c>
      <c r="F39" s="134"/>
      <c r="G39" s="134"/>
      <c r="H39" s="400"/>
      <c r="I39" s="149" t="str">
        <f t="shared" si="3"/>
        <v/>
      </c>
      <c r="J39" s="271"/>
      <c r="K39" s="17"/>
      <c r="L39" s="17">
        <v>0</v>
      </c>
    </row>
    <row r="40" spans="1:12" hidden="1">
      <c r="A40" s="5" t="s">
        <v>176</v>
      </c>
      <c r="B40" s="92"/>
      <c r="C40" s="160">
        <f>IF(ISNA(VLOOKUP("MON781730000",Balance!C:G,5,FALSE))=TRUE,0,VLOOKUP("MON781730000",Balance!C:G,5,FALSE))</f>
        <v>-5840.55</v>
      </c>
      <c r="D40" s="115"/>
      <c r="E40" s="160">
        <f>IF(ISNA(VLOOKUP("MON781730000",Balanceanp!C:G,5,FALSE))=TRUE,0,VLOOKUP("MON781730000",Balanceanp!C:G,5,FALSE))</f>
        <v>-11750.54</v>
      </c>
      <c r="F40" s="134"/>
      <c r="G40" s="134"/>
      <c r="H40" s="400"/>
      <c r="I40" s="149" t="str">
        <f t="shared" si="3"/>
        <v/>
      </c>
      <c r="J40" s="271"/>
      <c r="K40" s="17"/>
      <c r="L40" s="17">
        <v>0</v>
      </c>
    </row>
    <row r="41" spans="1:12">
      <c r="A41" s="590" t="s">
        <v>317</v>
      </c>
      <c r="B41" s="591"/>
      <c r="C41" s="805">
        <f>IF(ISNA(VLOOKUP("mon609110000",Balance!C:G,5,FALSE))=TRUE,0,VLOOKUP("mon609110000",Balance!C:G,5,FALSE))</f>
        <v>-215.51</v>
      </c>
      <c r="D41" s="601"/>
      <c r="E41" s="805">
        <f>IF(ISNA(VLOOKUP("mon609110000",Balanceanp!C:G,5,FALSE))=TRUE,0,VLOOKUP("mon609110000",Balanceanp!C:G,5,FALSE))</f>
        <v>-9040.0499999999993</v>
      </c>
      <c r="F41" s="614">
        <f>E41/SUM(E24:E25)</f>
        <v>-3.1309965699152516E-2</v>
      </c>
      <c r="G41" s="1025">
        <f>H41*(G24)</f>
        <v>-7328.7948500000011</v>
      </c>
      <c r="H41" s="1026">
        <v>-0.02</v>
      </c>
      <c r="I41" s="1013" t="str">
        <f t="shared" si="3"/>
        <v/>
      </c>
      <c r="J41" s="1014"/>
      <c r="K41" s="17"/>
      <c r="L41" s="17">
        <f t="shared" si="0"/>
        <v>1</v>
      </c>
    </row>
    <row r="42" spans="1:12">
      <c r="A42" s="590" t="s">
        <v>318</v>
      </c>
      <c r="B42" s="591"/>
      <c r="C42" s="805">
        <f>IF(ISNA(VLOOKUP("mon609120000",Balance!C:G,5,FALSE))=TRUE,0,VLOOKUP("mon609120000",Balance!C:G,5,FALSE))</f>
        <v>-9931.4599999999991</v>
      </c>
      <c r="D42" s="601"/>
      <c r="E42" s="805">
        <f>IF(ISNA(VLOOKUP("mon609120000",Balanceanp!C:G,5,FALSE))=TRUE,0,VLOOKUP("mon609120000",Balanceanp!C:G,5,FALSE))</f>
        <v>-12648.44</v>
      </c>
      <c r="F42" s="614">
        <f>E42/E28</f>
        <v>-7.1217210001818659E-2</v>
      </c>
      <c r="G42" s="1025">
        <f>H42*G28</f>
        <v>-13811.959525000002</v>
      </c>
      <c r="H42" s="1026">
        <v>-7.0000000000000007E-2</v>
      </c>
      <c r="I42" s="1013" t="str">
        <f t="shared" si="3"/>
        <v/>
      </c>
      <c r="J42" s="1014"/>
      <c r="K42" s="17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K43" s="17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803">
        <f>+C30+SUM(C34:C43)</f>
        <v>405925.36999999994</v>
      </c>
      <c r="D44" s="617"/>
      <c r="E44" s="803">
        <f>+E30+SUM(E34:E43)</f>
        <v>508639.41560000007</v>
      </c>
      <c r="F44" s="617"/>
      <c r="G44" s="1027">
        <f>SUM(G35:G43)+G30</f>
        <v>549683.21551623498</v>
      </c>
      <c r="H44" s="617"/>
      <c r="I44" s="596"/>
      <c r="J44" s="1015"/>
      <c r="K44" s="17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K45" s="17"/>
      <c r="L45" s="17">
        <f t="shared" si="0"/>
        <v>0</v>
      </c>
    </row>
    <row r="46" spans="1:12" s="33" customFormat="1" ht="15" hidden="1" customHeight="1">
      <c r="A46" s="56" t="s">
        <v>339</v>
      </c>
      <c r="B46" s="610"/>
      <c r="C46" s="307">
        <f>+C21-C44</f>
        <v>204716.18000000011</v>
      </c>
      <c r="D46" s="403"/>
      <c r="E46" s="307">
        <f>+E21-E44</f>
        <v>311439.52439999988</v>
      </c>
      <c r="F46" s="611"/>
      <c r="G46" s="403"/>
      <c r="H46" s="403"/>
      <c r="I46" s="608"/>
      <c r="J46" s="577"/>
      <c r="K46" s="17"/>
      <c r="L46" s="17">
        <v>0</v>
      </c>
    </row>
    <row r="47" spans="1:12" s="33" customFormat="1" ht="15" hidden="1" customHeight="1">
      <c r="A47" s="56" t="s">
        <v>340</v>
      </c>
      <c r="B47" s="610"/>
      <c r="C47" s="308">
        <f>+C46/C21</f>
        <v>0.33524770792292152</v>
      </c>
      <c r="D47" s="403"/>
      <c r="E47" s="308">
        <f>+E46/E21</f>
        <v>0.37976773845698303</v>
      </c>
      <c r="F47" s="611"/>
      <c r="G47" s="403"/>
      <c r="H47" s="403"/>
      <c r="I47" s="608"/>
      <c r="J47" s="577"/>
      <c r="K47" s="17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K48" s="17"/>
      <c r="L48" s="17">
        <f t="shared" si="0"/>
        <v>0</v>
      </c>
    </row>
    <row r="49" spans="1:12">
      <c r="A49" s="590" t="s">
        <v>91</v>
      </c>
      <c r="B49" s="591">
        <f>+C49/C21</f>
        <v>2.1830319276505177E-2</v>
      </c>
      <c r="C49" s="805">
        <f>IF(ISNA(VLOOKUP("MON709700000",Balance!C:G,5,FALSE))=TRUE,0,VLOOKUP("MON709700000",Balance!C:G,5,FALSE))</f>
        <v>13330.5</v>
      </c>
      <c r="D49" s="619">
        <f>+[2]Montpe!$H49</f>
        <v>17774</v>
      </c>
      <c r="E49" s="805">
        <f>IF(ISNA(VLOOKUP("MON709700000",Balanceanp!C:G,5,FALSE))=TRUE,0,VLOOKUP("MON709700000",Balanceanp!C:G,5,FALSE))</f>
        <v>12029.26</v>
      </c>
      <c r="F49" s="619">
        <f>+C49+C49/9*(12-Clients!$I$14)</f>
        <v>17774</v>
      </c>
      <c r="G49" s="631">
        <v>18466</v>
      </c>
      <c r="H49" s="612">
        <f>G49/G21</f>
        <v>2.1291044870767533E-2</v>
      </c>
      <c r="I49" s="1013">
        <f>+IF((E49)=0,,(F49-E49)/E49)</f>
        <v>0.47756387342197271</v>
      </c>
      <c r="J49" s="1014">
        <f>+IF((F49)=0,,(G49-F49)/F49)</f>
        <v>3.8933273320580622E-2</v>
      </c>
      <c r="K49" s="17"/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K50" s="17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803">
        <f>+C21-C49</f>
        <v>597311.05000000005</v>
      </c>
      <c r="D51" s="597">
        <f>+D21-D49</f>
        <v>870947</v>
      </c>
      <c r="E51" s="803">
        <f>+E21-E49</f>
        <v>808049.67999999993</v>
      </c>
      <c r="F51" s="597">
        <f>+F21-F49</f>
        <v>761576.6685658705</v>
      </c>
      <c r="G51" s="597">
        <f>+G21-G49</f>
        <v>848847</v>
      </c>
      <c r="H51" s="597"/>
      <c r="I51" s="596">
        <f>+IF((E51)=0,,(F51-E51)/E51)</f>
        <v>-5.7512567091332109E-2</v>
      </c>
      <c r="J51" s="1015">
        <f>+IF((F51)=0,,(G51-F51)/F51)</f>
        <v>0.11459165575341058</v>
      </c>
      <c r="K51" s="17"/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K52" s="17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191385.68000000011</v>
      </c>
      <c r="D53" s="122"/>
      <c r="E53" s="169">
        <f>+E51-E44</f>
        <v>299410.26439999987</v>
      </c>
      <c r="F53" s="140"/>
      <c r="G53" s="140"/>
      <c r="H53" s="405"/>
      <c r="I53" s="224"/>
      <c r="J53" s="123"/>
      <c r="K53" s="17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0.32041208680134092</v>
      </c>
      <c r="D54" s="123"/>
      <c r="E54" s="197">
        <f>+E53/E51</f>
        <v>0.37053447555353264</v>
      </c>
      <c r="F54" s="141"/>
      <c r="G54" s="141"/>
      <c r="H54" s="406"/>
      <c r="I54" s="224"/>
      <c r="J54" s="123"/>
      <c r="K54" s="17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K55" s="17"/>
      <c r="L55" s="17">
        <f t="shared" si="0"/>
        <v>0</v>
      </c>
    </row>
    <row r="56" spans="1:12" hidden="1">
      <c r="A56" s="5" t="s">
        <v>290</v>
      </c>
      <c r="B56" s="92"/>
      <c r="C56" s="160">
        <f>+[2]Montpe!$C56</f>
        <v>126996.29</v>
      </c>
      <c r="D56" s="115"/>
      <c r="E56" s="160">
        <f>+[1]Montpe!$G56</f>
        <v>136045.82</v>
      </c>
      <c r="F56" s="134"/>
      <c r="G56" s="134"/>
      <c r="H56" s="400"/>
      <c r="I56" s="149" t="str">
        <f>+IF((D55)=0,"",(C55-D55)/D55)</f>
        <v/>
      </c>
      <c r="J56" s="271"/>
      <c r="K56" s="17"/>
      <c r="L56" s="17">
        <v>0</v>
      </c>
    </row>
    <row r="57" spans="1:12" hidden="1">
      <c r="A57" s="5" t="s">
        <v>100</v>
      </c>
      <c r="B57" s="92"/>
      <c r="C57" s="160">
        <f>+[2]Montpe!$C57</f>
        <v>120889</v>
      </c>
      <c r="D57" s="115"/>
      <c r="E57" s="160">
        <f>+[1]Montpe!$G57</f>
        <v>123561.45439999999</v>
      </c>
      <c r="F57" s="134"/>
      <c r="G57" s="134"/>
      <c r="H57" s="400"/>
      <c r="I57" s="149" t="str">
        <f>+IF((D56)=0,"",(C56-D56)/D56)</f>
        <v/>
      </c>
      <c r="J57" s="271"/>
      <c r="K57" s="17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K58" s="17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K59" s="17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660">
        <f>+[2]Montpe!$C60</f>
        <v>0.35520000000000002</v>
      </c>
      <c r="D60" s="622">
        <f>+[2]Montpe!$H60</f>
        <v>0.35520000000000002</v>
      </c>
      <c r="E60" s="660">
        <f>+[1]Montpe!$G$54</f>
        <v>0.37053447555353264</v>
      </c>
      <c r="F60" s="622">
        <f>+C60</f>
        <v>0.35520000000000002</v>
      </c>
      <c r="G60" s="622">
        <f>G62/G51</f>
        <v>0.35243546184856051</v>
      </c>
      <c r="H60" s="622"/>
      <c r="I60" s="660"/>
      <c r="J60" s="622"/>
      <c r="K60" s="17"/>
      <c r="L60" s="17">
        <f t="shared" si="0"/>
        <v>1</v>
      </c>
    </row>
    <row r="61" spans="1:12" hidden="1">
      <c r="A61" s="590" t="s">
        <v>65</v>
      </c>
      <c r="B61" s="591"/>
      <c r="C61" s="591">
        <f>+[2]Montpe!$C61</f>
        <v>0.35</v>
      </c>
      <c r="D61" s="592"/>
      <c r="E61" s="311"/>
      <c r="F61" s="619"/>
      <c r="G61" s="592"/>
      <c r="H61" s="592"/>
      <c r="I61" s="591"/>
      <c r="J61" s="623"/>
      <c r="K61" s="17"/>
      <c r="L61" s="17">
        <v>0</v>
      </c>
    </row>
    <row r="62" spans="1:12" s="33" customFormat="1" ht="15" customHeight="1">
      <c r="A62" s="16" t="s">
        <v>296</v>
      </c>
      <c r="B62" s="364"/>
      <c r="C62" s="661">
        <f>+C51*C60</f>
        <v>212164.88496000002</v>
      </c>
      <c r="D62" s="624">
        <f>D51*D60</f>
        <v>309360.37440000003</v>
      </c>
      <c r="E62" s="661">
        <f>+E51*E60</f>
        <v>299410.26439999987</v>
      </c>
      <c r="F62" s="624">
        <f>+F51*F60</f>
        <v>270512.03267459723</v>
      </c>
      <c r="G62" s="624">
        <f>G51-G44</f>
        <v>299163.78448376502</v>
      </c>
      <c r="H62" s="624"/>
      <c r="I62" s="660">
        <f>+IF((E62)=0,,(F62-E62)/E62)</f>
        <v>-9.6517171124086074E-2</v>
      </c>
      <c r="J62" s="622">
        <f>+IF((F62)=0,,(G62-F62)/F62)</f>
        <v>0.10591673695947341</v>
      </c>
      <c r="K62" s="17"/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K63" s="17"/>
      <c r="L63" s="17">
        <f t="shared" si="0"/>
        <v>0</v>
      </c>
    </row>
    <row r="64" spans="1:12">
      <c r="A64" s="590" t="s">
        <v>104</v>
      </c>
      <c r="B64" s="591"/>
      <c r="C64" s="805">
        <f>IF(ISNA(VLOOKUP("MON613520000",Balance!C:G,5,FALSE))=TRUE,0,VLOOKUP("MON613520000",Balance!C:G,5,FALSE))</f>
        <v>5626.62</v>
      </c>
      <c r="D64" s="619">
        <f>+[2]Montpe!$H64</f>
        <v>9716.7676500000016</v>
      </c>
      <c r="E64" s="805">
        <f>IF(ISNA(VLOOKUP("MON613520000",Balanceanp!C:G,5,FALSE))=TRUE,0,VLOOKUP("MON613520000",Balanceanp!C:G,5,FALSE))</f>
        <v>8372.84</v>
      </c>
      <c r="F64" s="593">
        <f>+C64+C64/9*(12-Clients!$I$14)</f>
        <v>7502.16</v>
      </c>
      <c r="G64" s="1012">
        <f>+F64*1.03</f>
        <v>7727.2248</v>
      </c>
      <c r="H64" s="1012"/>
      <c r="I64" s="1013">
        <f t="shared" ref="I64:J68" si="4">+IF((E64)=0,,(F64-E64)/E64)</f>
        <v>-0.10398861079394808</v>
      </c>
      <c r="J64" s="1014">
        <f t="shared" si="4"/>
        <v>3.0000000000000016E-2</v>
      </c>
      <c r="K64" s="17"/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+[2]Montpe!$H65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K65" s="17"/>
      <c r="L65" s="17">
        <f t="shared" si="0"/>
        <v>0</v>
      </c>
    </row>
    <row r="66" spans="1:12">
      <c r="A66" s="590" t="s">
        <v>110</v>
      </c>
      <c r="B66" s="591"/>
      <c r="C66" s="805">
        <f>IF(ISNA(VLOOKUP("MON616120000",Balance!C:G,5,FALSE))=TRUE,0,VLOOKUP("MON616120000",Balance!C:G,5,FALSE))</f>
        <v>1543.13</v>
      </c>
      <c r="D66" s="619">
        <f>+[2]Montpe!$H66</f>
        <v>1951.4174</v>
      </c>
      <c r="E66" s="805">
        <f>IF(ISNA(VLOOKUP("MON616120000",Balanceanp!C:G,5,FALSE))=TRUE,0,VLOOKUP("MON616120000",Balanceanp!C:G,5,FALSE))</f>
        <v>1801.55</v>
      </c>
      <c r="F66" s="593">
        <f>+C66+C66/9*(12-Clients!$I$14)</f>
        <v>2057.5066666666671</v>
      </c>
      <c r="G66" s="1012">
        <f>+F66*1.03</f>
        <v>2119.231866666667</v>
      </c>
      <c r="H66" s="1012"/>
      <c r="I66" s="1013">
        <f t="shared" si="4"/>
        <v>0.14207580509376214</v>
      </c>
      <c r="J66" s="1014">
        <f t="shared" si="4"/>
        <v>2.9999999999999926E-2</v>
      </c>
      <c r="K66" s="17"/>
      <c r="L66" s="17">
        <f t="shared" si="0"/>
        <v>1</v>
      </c>
    </row>
    <row r="67" spans="1:12">
      <c r="A67" s="590" t="s">
        <v>107</v>
      </c>
      <c r="B67" s="591"/>
      <c r="C67" s="805">
        <f>IF(ISNA(VLOOKUP("MON615520000",Balance!C:G,5,FALSE))=TRUE,0,VLOOKUP("MON615520000",Balance!C:G,5,FALSE))</f>
        <v>1923.46</v>
      </c>
      <c r="D67" s="619">
        <f>+[2]Montpe!$H67</f>
        <v>8473.2048750000013</v>
      </c>
      <c r="E67" s="805">
        <f>IF(ISNA(VLOOKUP("MON615520000",Balanceanp!C:G,5,FALSE))=TRUE,0,VLOOKUP("MON615520000",Balanceanp!C:G,5,FALSE))</f>
        <v>8546.41</v>
      </c>
      <c r="F67" s="593">
        <f>+C67+C67/9*(12-Clients!$I$14)</f>
        <v>2564.6133333333332</v>
      </c>
      <c r="G67" s="1012">
        <f>+F67*1.03</f>
        <v>2641.5517333333332</v>
      </c>
      <c r="H67" s="1012"/>
      <c r="I67" s="1013">
        <f t="shared" si="4"/>
        <v>-0.69991922534335083</v>
      </c>
      <c r="J67" s="1014">
        <f t="shared" si="4"/>
        <v>3.0000000000000002E-2</v>
      </c>
      <c r="K67" s="17"/>
      <c r="L67" s="17">
        <f t="shared" si="0"/>
        <v>1</v>
      </c>
    </row>
    <row r="68" spans="1:12">
      <c r="A68" s="590" t="s">
        <v>125</v>
      </c>
      <c r="B68" s="591"/>
      <c r="C68" s="805">
        <f>IF(ISNA(VLOOKUP("MON606130000",Balance!C:G,5,FALSE))=TRUE,0,VLOOKUP("MON606130000",Balance!C:G,5,FALSE))</f>
        <v>3016.81</v>
      </c>
      <c r="D68" s="619">
        <f>+[2]Montpe!$H68</f>
        <v>5779.2733499999995</v>
      </c>
      <c r="E68" s="805">
        <f>IF(ISNA(VLOOKUP("MON606130000",Balanceanp!C:G,5,FALSE))=TRUE,0,VLOOKUP("MON606130000",Balanceanp!C:G,5,FALSE))</f>
        <v>5328.93</v>
      </c>
      <c r="F68" s="593">
        <f>+C68+C68/9*(12-Clients!$I$14)</f>
        <v>4022.4133333333334</v>
      </c>
      <c r="G68" s="593">
        <f>+F68*1.03</f>
        <v>4143.0857333333333</v>
      </c>
      <c r="H68" s="593"/>
      <c r="I68" s="1013">
        <f t="shared" si="4"/>
        <v>-0.24517429702898458</v>
      </c>
      <c r="J68" s="1014">
        <f t="shared" si="4"/>
        <v>2.9999999999999982E-2</v>
      </c>
      <c r="K68" s="17"/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K69" s="17"/>
      <c r="L69" s="17">
        <f t="shared" si="0"/>
        <v>0</v>
      </c>
    </row>
    <row r="70" spans="1:12">
      <c r="A70" s="11" t="s">
        <v>128</v>
      </c>
      <c r="B70" s="626"/>
      <c r="C70" s="1028">
        <f>SUM(C64:C69)</f>
        <v>12110.019999999999</v>
      </c>
      <c r="D70" s="1029">
        <f>SUM(D64:D69)</f>
        <v>25920.663275000003</v>
      </c>
      <c r="E70" s="805">
        <f>SUM(E64:E69)</f>
        <v>24049.73</v>
      </c>
      <c r="F70" s="629">
        <f>SUM(F64:F69)</f>
        <v>16146.693333333335</v>
      </c>
      <c r="G70" s="813">
        <f>SUM(G64:G69)</f>
        <v>16631.094133333332</v>
      </c>
      <c r="H70" s="813"/>
      <c r="I70" s="1013">
        <f>+IF((E70)=0,,(F70-E70)/E70)</f>
        <v>-0.32861228241093204</v>
      </c>
      <c r="J70" s="1014">
        <f>+IF((F70)=0,,(G70-F70)/F70)</f>
        <v>2.999999999999985E-2</v>
      </c>
      <c r="K70" s="17"/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K71" s="17"/>
      <c r="L71" s="17">
        <f t="shared" si="0"/>
        <v>0</v>
      </c>
    </row>
    <row r="72" spans="1:12">
      <c r="A72" s="590" t="s">
        <v>1</v>
      </c>
      <c r="B72" s="591"/>
      <c r="C72" s="805">
        <f>IF(ISNA(VLOOKUP("mon602220000",Balance!C:G,5,FALSE))=TRUE,0,VLOOKUP("mon602220000",Balance!C:G,5,FALSE))</f>
        <v>6.28</v>
      </c>
      <c r="D72" s="619">
        <f>+[2]Montpe!$H72</f>
        <v>2.3754839440947921</v>
      </c>
      <c r="E72" s="805">
        <f>IF(ISNA(VLOOKUP("mon602220000",Balanceanp!C:G,5,FALSE))=TRUE,0,VLOOKUP("mon602220000",Balanceanp!C:G,5,FALSE))</f>
        <v>0</v>
      </c>
      <c r="F72" s="593">
        <f>+C72+C72/9*(12-Clients!$I$14)</f>
        <v>8.3733333333333348</v>
      </c>
      <c r="G72" s="1030">
        <f>+F72*1.03</f>
        <v>8.6245333333333356</v>
      </c>
      <c r="H72" s="1030"/>
      <c r="I72" s="1013">
        <f t="shared" ref="I72:J87" si="5">+IF((E72)=0,,(F72-E72)/E72)</f>
        <v>0</v>
      </c>
      <c r="J72" s="1014">
        <f t="shared" si="5"/>
        <v>3.0000000000000086E-2</v>
      </c>
      <c r="K72" s="17"/>
      <c r="L72" s="17">
        <f t="shared" ref="L72:L133" si="6">IF(SUM(C72:J72)&lt;&gt;0,1,0)</f>
        <v>1</v>
      </c>
    </row>
    <row r="73" spans="1:12">
      <c r="A73" s="590" t="s">
        <v>123</v>
      </c>
      <c r="B73" s="591"/>
      <c r="C73" s="805">
        <f>IF(ISNA(VLOOKUP("MON606100000",Balance!C:G,5,FALSE))=TRUE,0,VLOOKUP("MON606100000",Balance!C:G,5,FALSE))</f>
        <v>2814.23</v>
      </c>
      <c r="D73" s="619">
        <f>+[2]Montpe!$H73</f>
        <v>2603.5785658506247</v>
      </c>
      <c r="E73" s="805">
        <f>IF(ISNA(VLOOKUP("MON606100000",Balanceanp!C:G,5,FALSE))=TRUE,0,VLOOKUP("MON606100000",Balanceanp!C:G,5,FALSE))</f>
        <v>2621.1</v>
      </c>
      <c r="F73" s="593">
        <f>+C73+C73/9*(12-Clients!$I$14)</f>
        <v>3752.3066666666664</v>
      </c>
      <c r="G73" s="1030">
        <f t="shared" ref="G73:G101" si="7">+F73*1.03</f>
        <v>3864.8758666666663</v>
      </c>
      <c r="H73" s="1030"/>
      <c r="I73" s="1013">
        <f t="shared" si="5"/>
        <v>0.43157707323897088</v>
      </c>
      <c r="J73" s="1014">
        <f t="shared" si="5"/>
        <v>2.9999999999999978E-2</v>
      </c>
      <c r="K73" s="17"/>
      <c r="L73" s="17">
        <f t="shared" si="6"/>
        <v>1</v>
      </c>
    </row>
    <row r="74" spans="1:12">
      <c r="A74" s="590" t="s">
        <v>124</v>
      </c>
      <c r="B74" s="591"/>
      <c r="C74" s="805">
        <f>IF(ISNA(VLOOKUP("MON606110000",Balance!C:G,5,FALSE))=TRUE,0,VLOOKUP("MON606110000",Balance!C:G,5,FALSE))</f>
        <v>0</v>
      </c>
      <c r="D74" s="619">
        <f>+[2]Montpe!$H74</f>
        <v>5.0110934955229167</v>
      </c>
      <c r="E74" s="805">
        <f>IF(ISNA(VLOOKUP("MON606110000",Balanceanp!C:G,5,FALSE))=TRUE,0,VLOOKUP("MON606110000",Balanceanp!C:G,5,FALSE))</f>
        <v>0</v>
      </c>
      <c r="F74" s="593">
        <f>+C74+C74/9*(12-Clients!$I$14)</f>
        <v>0</v>
      </c>
      <c r="G74" s="1030">
        <f t="shared" si="7"/>
        <v>0</v>
      </c>
      <c r="H74" s="1030"/>
      <c r="I74" s="1013">
        <f t="shared" si="5"/>
        <v>0</v>
      </c>
      <c r="J74" s="1014">
        <f t="shared" si="5"/>
        <v>0</v>
      </c>
      <c r="K74" s="17"/>
      <c r="L74" s="17">
        <f t="shared" si="6"/>
        <v>1</v>
      </c>
    </row>
    <row r="75" spans="1:12" hidden="1">
      <c r="A75" s="5" t="s">
        <v>360</v>
      </c>
      <c r="B75" s="92"/>
      <c r="C75" s="160">
        <f>IF(ISNA(VLOOKUP("mon606140000",Balance!C:G,5,FALSE))=TRUE,0,VLOOKUP("mon606140000",Balance!C:G,5,FALSE))</f>
        <v>0</v>
      </c>
      <c r="D75" s="117">
        <f>+[2]Montpe!$H75</f>
        <v>0</v>
      </c>
      <c r="E75" s="160">
        <f>IF(ISNA(VLOOKUP("mon606140000",Balanceanp!C:G,5,FALSE))=TRUE,0,VLOOKUP("mon606140000",Balanceanp!C:G,5,FALSE))</f>
        <v>0</v>
      </c>
      <c r="F75" s="368">
        <f>+C75+C75/9*(12-Clients!$I$14)</f>
        <v>0</v>
      </c>
      <c r="G75" s="396">
        <f t="shared" si="7"/>
        <v>0</v>
      </c>
      <c r="H75" s="409"/>
      <c r="I75" s="149">
        <f t="shared" si="5"/>
        <v>0</v>
      </c>
      <c r="J75" s="271">
        <f t="shared" si="5"/>
        <v>0</v>
      </c>
      <c r="K75" s="17"/>
      <c r="L75" s="17">
        <f t="shared" si="6"/>
        <v>0</v>
      </c>
    </row>
    <row r="76" spans="1:12">
      <c r="A76" s="590" t="s">
        <v>126</v>
      </c>
      <c r="B76" s="591"/>
      <c r="C76" s="805">
        <f>IF(ISNA(VLOOKUP("MON606310000",Balance!C:G,5,FALSE))=TRUE,0,VLOOKUP("MON606310000",Balance!C:G,5,FALSE))</f>
        <v>57.21</v>
      </c>
      <c r="D76" s="619">
        <f>+[2]Montpe!$H76</f>
        <v>612.78455223354172</v>
      </c>
      <c r="E76" s="805">
        <f>IF(ISNA(VLOOKUP("MON606310000",Balanceanp!C:G,5,FALSE))=TRUE,0,VLOOKUP("MON606310000",Balanceanp!C:G,5,FALSE))</f>
        <v>705.17</v>
      </c>
      <c r="F76" s="593">
        <f>+C76+C76/9*(12-Clients!$I$14)</f>
        <v>76.28</v>
      </c>
      <c r="G76" s="1030">
        <f t="shared" si="7"/>
        <v>78.568399999999997</v>
      </c>
      <c r="H76" s="1030"/>
      <c r="I76" s="1013">
        <f t="shared" si="5"/>
        <v>-0.89182750258802845</v>
      </c>
      <c r="J76" s="1014">
        <f t="shared" si="5"/>
        <v>2.9999999999999943E-2</v>
      </c>
      <c r="K76" s="17"/>
      <c r="L76" s="17">
        <f t="shared" si="6"/>
        <v>1</v>
      </c>
    </row>
    <row r="77" spans="1:12">
      <c r="A77" s="590" t="s">
        <v>127</v>
      </c>
      <c r="B77" s="591"/>
      <c r="C77" s="805">
        <f>IF(ISNA(VLOOKUP("MON606410000",Balance!C:G,5,FALSE))=TRUE,0,VLOOKUP("MON606410000",Balance!C:G,5,FALSE))</f>
        <v>1383.17</v>
      </c>
      <c r="D77" s="619">
        <f>+[2]Montpe!$H77</f>
        <v>2011.448074304375</v>
      </c>
      <c r="E77" s="805">
        <f>IF(ISNA(VLOOKUP("MON606410000",Balanceanp!C:G,5,FALSE))=TRUE,0,VLOOKUP("MON606410000",Balanceanp!C:G,5,FALSE))</f>
        <v>2008.68</v>
      </c>
      <c r="F77" s="593">
        <f>+C77+C77/9*(12-Clients!$I$14)</f>
        <v>1844.2266666666669</v>
      </c>
      <c r="G77" s="1030">
        <f t="shared" si="7"/>
        <v>1899.553466666667</v>
      </c>
      <c r="H77" s="1030"/>
      <c r="I77" s="1013">
        <f t="shared" si="5"/>
        <v>-8.1871345029239678E-2</v>
      </c>
      <c r="J77" s="1014">
        <f t="shared" si="5"/>
        <v>3.0000000000000023E-2</v>
      </c>
      <c r="K77" s="17"/>
      <c r="L77" s="17">
        <f t="shared" si="6"/>
        <v>1</v>
      </c>
    </row>
    <row r="78" spans="1:12">
      <c r="A78" s="590" t="s">
        <v>101</v>
      </c>
      <c r="B78" s="591"/>
      <c r="C78" s="805">
        <f>IF(ISNA(VLOOKUP("MON611000000",Balance!C:G,5,FALSE))=TRUE,0,VLOOKUP("MON611000000",Balance!C:G,5,FALSE))</f>
        <v>86.13</v>
      </c>
      <c r="D78" s="619">
        <f>+[2]Montpe!$H78</f>
        <v>311.49018593749997</v>
      </c>
      <c r="E78" s="805">
        <f>IF(ISNA(VLOOKUP("MON611000000",Balanceanp!C:G,5,FALSE))=TRUE,0,VLOOKUP("MON611000000",Balanceanp!C:G,5,FALSE))</f>
        <v>308.26</v>
      </c>
      <c r="F78" s="593">
        <f>+C78+C78/9*(12-Clients!$I$14)</f>
        <v>114.84</v>
      </c>
      <c r="G78" s="593">
        <f t="shared" si="7"/>
        <v>118.2852</v>
      </c>
      <c r="H78" s="593"/>
      <c r="I78" s="1013">
        <f t="shared" si="5"/>
        <v>-0.62745734120547592</v>
      </c>
      <c r="J78" s="1014">
        <f t="shared" si="5"/>
        <v>0.03</v>
      </c>
      <c r="K78" s="17"/>
      <c r="L78" s="17">
        <f t="shared" si="6"/>
        <v>1</v>
      </c>
    </row>
    <row r="79" spans="1:12">
      <c r="A79" s="590" t="s">
        <v>102</v>
      </c>
      <c r="B79" s="591"/>
      <c r="C79" s="805">
        <f>IF(ISNA(VLOOKUP("MON613200000",Balance!C:G,5,FALSE))=TRUE,0,VLOOKUP("MON613200000",Balance!C:G,5,FALSE))</f>
        <v>27405</v>
      </c>
      <c r="D79" s="619">
        <f>+[2]Montpe!$H79</f>
        <v>36540</v>
      </c>
      <c r="E79" s="805">
        <f>IF(ISNA(VLOOKUP("MON613200000",Balanceanp!C:G,5,FALSE))=TRUE,0,VLOOKUP("MON613200000",Balanceanp!C:G,5,FALSE))</f>
        <v>30508.79</v>
      </c>
      <c r="F79" s="631">
        <f>4*9000</f>
        <v>36000</v>
      </c>
      <c r="G79" s="631">
        <f>9000*2+9000*2*1507/1523*1.05</f>
        <v>36701.444517399868</v>
      </c>
      <c r="H79" s="1149">
        <f>G79/G21</f>
        <v>4.231626243051801E-2</v>
      </c>
      <c r="I79" s="1013">
        <f t="shared" si="5"/>
        <v>0.17998780023724306</v>
      </c>
      <c r="J79" s="1014">
        <f t="shared" si="5"/>
        <v>1.9484569927774122E-2</v>
      </c>
      <c r="K79" s="17"/>
      <c r="L79" s="17">
        <f t="shared" si="6"/>
        <v>1</v>
      </c>
    </row>
    <row r="80" spans="1:12">
      <c r="A80" s="590" t="s">
        <v>325</v>
      </c>
      <c r="B80" s="591"/>
      <c r="C80" s="805">
        <f>IF(ISNA(VLOOKUP("mon614000000",Balance!C:G,5,FALSE))=TRUE,0,VLOOKUP("mon614000000",Balance!C:G,5,FALSE))</f>
        <v>0</v>
      </c>
      <c r="D80" s="619">
        <f>+[2]Montpe!$H80</f>
        <v>4.329808943969792</v>
      </c>
      <c r="E80" s="805">
        <f>IF(ISNA(VLOOKUP("mon614000000",Balanceanp!C:G,5,FALSE))=TRUE,0,VLOOKUP("mon614000000",Balanceanp!C:G,5,FALSE))</f>
        <v>0</v>
      </c>
      <c r="F80" s="593">
        <f>+C80+C80/9*(12-Clients!$I$14)</f>
        <v>0</v>
      </c>
      <c r="G80" s="1030">
        <f t="shared" si="7"/>
        <v>0</v>
      </c>
      <c r="H80" s="1030"/>
      <c r="I80" s="1013">
        <f t="shared" si="5"/>
        <v>0</v>
      </c>
      <c r="J80" s="1014">
        <f t="shared" si="5"/>
        <v>0</v>
      </c>
      <c r="K80" s="17"/>
      <c r="L80" s="17">
        <f t="shared" si="6"/>
        <v>1</v>
      </c>
    </row>
    <row r="81" spans="1:12" hidden="1">
      <c r="A81" s="5" t="s">
        <v>103</v>
      </c>
      <c r="B81" s="92"/>
      <c r="C81" s="160">
        <f>IF(ISNA(VLOOKUP("MON613510000",Balance!C:G,5,FALSE))=TRUE,0,VLOOKUP("MON613510000",Balance!C:G,5,FALSE))</f>
        <v>0</v>
      </c>
      <c r="D81" s="117">
        <f>+[2]Montpe!$H81</f>
        <v>0</v>
      </c>
      <c r="E81" s="160">
        <f>IF(ISNA(VLOOKUP("MON613510000",Balanceanp!C:G,5,FALSE))=TRUE,0,VLOOKUP("MON613510000",Balanceanp!C:G,5,FALSE))</f>
        <v>0</v>
      </c>
      <c r="F81" s="368">
        <f>+C81+C81/9*(12-Clients!$I$14)</f>
        <v>0</v>
      </c>
      <c r="G81" s="396">
        <f t="shared" si="7"/>
        <v>0</v>
      </c>
      <c r="H81" s="409"/>
      <c r="I81" s="149">
        <f t="shared" si="5"/>
        <v>0</v>
      </c>
      <c r="J81" s="271">
        <f t="shared" si="5"/>
        <v>0</v>
      </c>
      <c r="K81" s="17"/>
      <c r="L81" s="17">
        <f t="shared" si="6"/>
        <v>0</v>
      </c>
    </row>
    <row r="82" spans="1:12">
      <c r="A82" s="590" t="s">
        <v>105</v>
      </c>
      <c r="B82" s="591"/>
      <c r="C82" s="805">
        <f>IF(ISNA(VLOOKUP("MON613530000",Balance!C:G,5,FALSE))=TRUE,0,VLOOKUP("MON613530000",Balance!C:G,5,FALSE))</f>
        <v>135</v>
      </c>
      <c r="D82" s="619">
        <f>+[2]Montpe!$H82</f>
        <v>189.65271979166667</v>
      </c>
      <c r="E82" s="805">
        <f>IF(ISNA(VLOOKUP("MON613530000",Balanceanp!C:G,5,FALSE))=TRUE,0,VLOOKUP("MON613530000",Balanceanp!C:G,5,FALSE))</f>
        <v>180</v>
      </c>
      <c r="F82" s="593">
        <f>+C82+C82/9*(12-Clients!$I$14)</f>
        <v>180</v>
      </c>
      <c r="G82" s="1030">
        <f t="shared" si="7"/>
        <v>185.4</v>
      </c>
      <c r="H82" s="1030"/>
      <c r="I82" s="1013">
        <f t="shared" si="5"/>
        <v>0</v>
      </c>
      <c r="J82" s="1014">
        <f t="shared" si="5"/>
        <v>3.000000000000003E-2</v>
      </c>
      <c r="L82" s="17">
        <f t="shared" si="6"/>
        <v>1</v>
      </c>
    </row>
    <row r="83" spans="1:12">
      <c r="A83" s="590" t="s">
        <v>287</v>
      </c>
      <c r="B83" s="591"/>
      <c r="C83" s="805">
        <f>IF(ISNA(VLOOKUP("mon613540000",Balance!C:G,5,FALSE))=TRUE,0,VLOOKUP("mon613540000",Balance!C:G,5,FALSE))</f>
        <v>0</v>
      </c>
      <c r="D83" s="619">
        <f>+[2]Montpe!$H83</f>
        <v>586.17825729166668</v>
      </c>
      <c r="E83" s="805">
        <f>IF(ISNA(VLOOKUP("mon613540000",Balanceanp!C:G,5,FALSE))=TRUE,0,VLOOKUP("mon613540000",Balanceanp!C:G,5,FALSE))</f>
        <v>568</v>
      </c>
      <c r="F83" s="593">
        <f>+C83+C83/9*(12-Clients!$I$14)</f>
        <v>0</v>
      </c>
      <c r="G83" s="1030">
        <f t="shared" si="7"/>
        <v>0</v>
      </c>
      <c r="H83" s="1030"/>
      <c r="I83" s="1013">
        <f t="shared" si="5"/>
        <v>-1</v>
      </c>
      <c r="J83" s="1014">
        <f t="shared" si="5"/>
        <v>0</v>
      </c>
      <c r="L83" s="17">
        <f t="shared" si="6"/>
        <v>1</v>
      </c>
    </row>
    <row r="84" spans="1:12">
      <c r="A84" s="590" t="s">
        <v>108</v>
      </c>
      <c r="B84" s="591"/>
      <c r="C84" s="805">
        <f>IF(ISNA(VLOOKUP("MON615200000",Balance!C:G,5,FALSE))=TRUE,0,VLOOKUP("MON615200000",Balance!C:G,5,FALSE))</f>
        <v>978.75</v>
      </c>
      <c r="D84" s="619">
        <f>+[2]Montpe!$H84</f>
        <v>3924.836908529167</v>
      </c>
      <c r="E84" s="805">
        <f>IF(ISNA(VLOOKUP("MON615200000",Balanceanp!C:G,5,FALSE))=TRUE,0,VLOOKUP("MON615200000",Balanceanp!C:G,5,FALSE))</f>
        <v>4333.6899999999996</v>
      </c>
      <c r="F84" s="593">
        <f>+C84+C84/9*(12-Clients!$I$14)</f>
        <v>1305</v>
      </c>
      <c r="G84" s="1030">
        <f t="shared" si="7"/>
        <v>1344.15</v>
      </c>
      <c r="H84" s="1030"/>
      <c r="I84" s="1013">
        <f t="shared" si="5"/>
        <v>-0.69887093908424458</v>
      </c>
      <c r="J84" s="1014">
        <f t="shared" si="5"/>
        <v>3.0000000000000068E-2</v>
      </c>
      <c r="L84" s="17">
        <f t="shared" si="6"/>
        <v>1</v>
      </c>
    </row>
    <row r="85" spans="1:12">
      <c r="A85" s="590" t="s">
        <v>109</v>
      </c>
      <c r="B85" s="591"/>
      <c r="C85" s="805">
        <f>IF(ISNA(VLOOKUP("MON615500000",Balance!C:G,5,FALSE))=TRUE,0,VLOOKUP("MON615500000",Balance!C:G,5,FALSE))</f>
        <v>68.02</v>
      </c>
      <c r="D85" s="619">
        <f>+[2]Montpe!$H85</f>
        <v>667.74388180125004</v>
      </c>
      <c r="E85" s="805">
        <f>IF(ISNA(VLOOKUP("MON615500000",Balanceanp!C:G,5,FALSE))=TRUE,0,VLOOKUP("MON615500000",Balanceanp!C:G,5,FALSE))</f>
        <v>571.58000000000004</v>
      </c>
      <c r="F85" s="593">
        <f>+C85+C85/9*(12-Clients!$I$14)</f>
        <v>90.693333333333328</v>
      </c>
      <c r="G85" s="1030">
        <f t="shared" si="7"/>
        <v>93.414133333333325</v>
      </c>
      <c r="H85" s="1030"/>
      <c r="I85" s="1013">
        <f t="shared" si="5"/>
        <v>-0.84132871455730895</v>
      </c>
      <c r="J85" s="1014">
        <f t="shared" si="5"/>
        <v>2.9999999999999968E-2</v>
      </c>
      <c r="L85" s="17">
        <f t="shared" si="6"/>
        <v>1</v>
      </c>
    </row>
    <row r="86" spans="1:12">
      <c r="A86" s="590" t="s">
        <v>106</v>
      </c>
      <c r="B86" s="591"/>
      <c r="C86" s="805">
        <f>IF(ISNA(VLOOKUP("MON615510000",Balance!C:G,5,FALSE))=TRUE,0,VLOOKUP("MON615510000",Balance!C:G,5,FALSE))</f>
        <v>560.29999999999995</v>
      </c>
      <c r="D86" s="619">
        <f>+[2]Montpe!$H86</f>
        <v>1018.4423888618751</v>
      </c>
      <c r="E86" s="805">
        <f>IF(ISNA(VLOOKUP("MON615510000",Balanceanp!C:G,5,FALSE))=TRUE,0,VLOOKUP("MON615510000",Balanceanp!C:G,5,FALSE))</f>
        <v>655.01</v>
      </c>
      <c r="F86" s="593">
        <f>+C86+C86/9*(12-Clients!$I$14)</f>
        <v>747.06666666666661</v>
      </c>
      <c r="G86" s="1030">
        <f t="shared" si="7"/>
        <v>769.47866666666664</v>
      </c>
      <c r="H86" s="1030"/>
      <c r="I86" s="1013">
        <f t="shared" si="5"/>
        <v>0.14054238357684098</v>
      </c>
      <c r="J86" s="1014">
        <f t="shared" si="5"/>
        <v>3.0000000000000047E-2</v>
      </c>
      <c r="L86" s="17">
        <f t="shared" si="6"/>
        <v>1</v>
      </c>
    </row>
    <row r="87" spans="1:12" hidden="1">
      <c r="A87" s="5" t="s">
        <v>363</v>
      </c>
      <c r="B87" s="92"/>
      <c r="C87" s="160">
        <f>IF(ISNA(VLOOKUP("mon615530000",Balance!C:G,5,FALSE))=TRUE,0,VLOOKUP("mon615530000",Balance!C:G,5,FALSE))</f>
        <v>0</v>
      </c>
      <c r="D87" s="117">
        <f>+[2]Montpe!$H87</f>
        <v>0</v>
      </c>
      <c r="E87" s="160">
        <f>IF(ISNA(VLOOKUP("mon615530000",Balanceanp!C:G,5,FALSE))=TRUE,0,VLOOKUP("mon615530000",Balanceanp!C:G,5,FALSE))</f>
        <v>0</v>
      </c>
      <c r="F87" s="368">
        <f>+C87+C87/9*(12-Clients!$I$14)</f>
        <v>0</v>
      </c>
      <c r="G87" s="396">
        <f t="shared" si="7"/>
        <v>0</v>
      </c>
      <c r="H87" s="409"/>
      <c r="I87" s="149">
        <f t="shared" si="5"/>
        <v>0</v>
      </c>
      <c r="J87" s="271">
        <f t="shared" si="5"/>
        <v>0</v>
      </c>
      <c r="L87" s="17">
        <f t="shared" si="6"/>
        <v>0</v>
      </c>
    </row>
    <row r="88" spans="1:12">
      <c r="A88" s="590" t="s">
        <v>111</v>
      </c>
      <c r="B88" s="591"/>
      <c r="C88" s="805">
        <f>IF(ISNA(VLOOKUP("MON616130000",Balance!C:G,5,FALSE))=TRUE,0,VLOOKUP("MON616130000",Balance!C:G,5,FALSE))</f>
        <v>2542.41</v>
      </c>
      <c r="D88" s="619">
        <f>+[2]Montpe!$H88</f>
        <v>3389.9339250000003</v>
      </c>
      <c r="E88" s="805">
        <f>IF(ISNA(VLOOKUP("MON616130000",Balanceanp!C:G,5,FALSE))=TRUE,0,VLOOKUP("MON616130000",Balanceanp!C:G,5,FALSE))</f>
        <v>2934.97</v>
      </c>
      <c r="F88" s="593">
        <f>+C88+C88/9*(12-Clients!$I$14)</f>
        <v>3389.88</v>
      </c>
      <c r="G88" s="638">
        <f>+E88*1.05*1.05</f>
        <v>3235.8044250000003</v>
      </c>
      <c r="H88" s="638"/>
      <c r="I88" s="1013">
        <f t="shared" ref="I88:I101" si="8">+IF((E88)=0,,(F88-E88)/E88)</f>
        <v>0.15499647355850327</v>
      </c>
      <c r="J88" s="1014">
        <f t="shared" ref="J88:J101" si="9">+IF((F88)=0,,(G88-F88)/F88)</f>
        <v>-4.54516310311869E-2</v>
      </c>
      <c r="L88" s="17">
        <f t="shared" si="6"/>
        <v>1</v>
      </c>
    </row>
    <row r="89" spans="1:12" hidden="1">
      <c r="A89" s="5" t="s">
        <v>315</v>
      </c>
      <c r="B89" s="92"/>
      <c r="C89" s="160"/>
      <c r="D89" s="117">
        <f>+[2]Montpe!$H89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590" t="s">
        <v>112</v>
      </c>
      <c r="B90" s="591"/>
      <c r="C90" s="805">
        <f>IF(ISNA(VLOOKUP("MON618100000",Balance!C:G,5,FALSE))=TRUE,0,VLOOKUP("MON618100000",Balance!C:G,5,FALSE))</f>
        <v>213.42000000000002</v>
      </c>
      <c r="D90" s="619">
        <f>+[2]Montpe!$H90</f>
        <v>381.49285627336809</v>
      </c>
      <c r="E90" s="805">
        <f>IF(ISNA(VLOOKUP("MON618100000",Balanceanp!C:G,5,FALSE))=TRUE,0,VLOOKUP("MON618100000",Balanceanp!C:G,5,FALSE))</f>
        <v>352.64000000000004</v>
      </c>
      <c r="F90" s="593">
        <f>+C90+C90/9*(12-Clients!$I$14)</f>
        <v>284.56</v>
      </c>
      <c r="G90" s="1030">
        <f t="shared" si="7"/>
        <v>293.09680000000003</v>
      </c>
      <c r="H90" s="1030"/>
      <c r="I90" s="1013">
        <f t="shared" si="8"/>
        <v>-0.19305807622504548</v>
      </c>
      <c r="J90" s="1014">
        <f t="shared" si="9"/>
        <v>3.00000000000001E-2</v>
      </c>
      <c r="L90" s="17">
        <f t="shared" si="6"/>
        <v>1</v>
      </c>
    </row>
    <row r="91" spans="1:12">
      <c r="A91" s="590" t="s">
        <v>113</v>
      </c>
      <c r="B91" s="591"/>
      <c r="C91" s="805">
        <f>IF(ISNA(VLOOKUP("MON618500000",Balance!C:G,5,FALSE))=TRUE,0,VLOOKUP("MON618500000",Balance!C:G,5,FALSE))</f>
        <v>1459.41</v>
      </c>
      <c r="D91" s="619">
        <f>+[2]Montpe!$H91</f>
        <v>1248.7019613304167</v>
      </c>
      <c r="E91" s="805">
        <f>IF(ISNA(VLOOKUP("MON618500000",Balanceanp!C:G,5,FALSE))=TRUE,0,VLOOKUP("MON618500000",Balanceanp!C:G,5,FALSE))</f>
        <v>1129.7</v>
      </c>
      <c r="F91" s="593">
        <f>+C91+C91/9*(12-Clients!$I$14)</f>
        <v>1945.88</v>
      </c>
      <c r="G91" s="1030">
        <f t="shared" si="7"/>
        <v>2004.2564000000002</v>
      </c>
      <c r="H91" s="1030"/>
      <c r="I91" s="1013">
        <f t="shared" si="8"/>
        <v>0.72247499336106935</v>
      </c>
      <c r="J91" s="1014">
        <f t="shared" si="9"/>
        <v>3.0000000000000051E-2</v>
      </c>
      <c r="L91" s="17">
        <f t="shared" si="6"/>
        <v>1</v>
      </c>
    </row>
    <row r="92" spans="1:12" hidden="1">
      <c r="A92" s="5" t="s">
        <v>309</v>
      </c>
      <c r="B92" s="92"/>
      <c r="C92" s="160">
        <f>IF(ISNA(VLOOKUP("MON622200000",Balance!C:G,5,FALSE))=TRUE,0,VLOOKUP("MON622200000",Balance!C:G,5,FALSE))</f>
        <v>0</v>
      </c>
      <c r="D92" s="117">
        <f>+[2]Montpe!$H92</f>
        <v>0</v>
      </c>
      <c r="E92" s="160">
        <f>IF(ISNA(VLOOKUP("MON622200000",Balanceanp!C:G,5,FALSE))=TRUE,0,VLOOKUP("MON622200000",Balanceanp!C:G,5,FALSE))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590" t="s">
        <v>115</v>
      </c>
      <c r="B93" s="591"/>
      <c r="C93" s="805">
        <f>IF(ISNA(VLOOKUP("MON622600000",Balance!C:G,5,FALSE))=TRUE,0,VLOOKUP("MON622600000",Balance!C:G,5,FALSE))</f>
        <v>0</v>
      </c>
      <c r="D93" s="619">
        <f>+[2]Montpe!$H93</f>
        <v>9.7890127083333347</v>
      </c>
      <c r="E93" s="805">
        <f>IF(ISNA(VLOOKUP("MON622600000",Balanceanp!C:G,5,FALSE))=TRUE,0,VLOOKUP("MON622600000",Balanceanp!C:G,5,FALSE))</f>
        <v>0</v>
      </c>
      <c r="F93" s="593">
        <f>+C93+C93/9*(12-Clients!$I$14)</f>
        <v>0</v>
      </c>
      <c r="G93" s="1030">
        <f t="shared" si="7"/>
        <v>0</v>
      </c>
      <c r="H93" s="1030"/>
      <c r="I93" s="1013">
        <f t="shared" si="8"/>
        <v>0</v>
      </c>
      <c r="J93" s="1014">
        <f t="shared" si="9"/>
        <v>0</v>
      </c>
      <c r="L93" s="17">
        <f t="shared" si="6"/>
        <v>1</v>
      </c>
    </row>
    <row r="94" spans="1:12">
      <c r="A94" s="590" t="s">
        <v>42</v>
      </c>
      <c r="B94" s="591"/>
      <c r="C94" s="805">
        <f>IF(ISNA(VLOOKUP("MON622710000",Balance!C:G,5,FALSE))=TRUE,0,VLOOKUP("MON622710000",Balance!C:G,5,FALSE))</f>
        <v>63.1</v>
      </c>
      <c r="D94" s="619">
        <f>+[2]Montpe!$H94</f>
        <v>5.9731189637500002</v>
      </c>
      <c r="E94" s="805">
        <f>IF(ISNA(VLOOKUP("MON622710000",Balanceanp!C:G,5,FALSE))=TRUE,0,VLOOKUP("MON622710000",Balanceanp!C:G,5,FALSE))</f>
        <v>0</v>
      </c>
      <c r="F94" s="593">
        <f>+C94+C94/9*(12-Clients!$I$14)</f>
        <v>84.133333333333326</v>
      </c>
      <c r="G94" s="1030">
        <f t="shared" si="7"/>
        <v>86.657333333333327</v>
      </c>
      <c r="H94" s="1030"/>
      <c r="I94" s="1013">
        <f t="shared" si="8"/>
        <v>0</v>
      </c>
      <c r="J94" s="1014">
        <f t="shared" si="9"/>
        <v>3.0000000000000013E-2</v>
      </c>
      <c r="L94" s="17">
        <f t="shared" si="6"/>
        <v>1</v>
      </c>
    </row>
    <row r="95" spans="1:12">
      <c r="A95" s="590" t="s">
        <v>117</v>
      </c>
      <c r="B95" s="591">
        <f>+C95/$C$21</f>
        <v>9.3961834074343612E-3</v>
      </c>
      <c r="C95" s="805">
        <f>IF(ISNA(VLOOKUP("MON624200000",Balance!C:G,5,FALSE))=TRUE,0,VLOOKUP("MON624200000",Balance!C:G,5,FALSE))</f>
        <v>5737.7</v>
      </c>
      <c r="D95" s="619">
        <f>+[2]Montpe!$H95</f>
        <v>5881.3439350685021</v>
      </c>
      <c r="E95" s="805">
        <f>IF(ISNA(VLOOKUP("MON624200000",Balanceanp!C:G,5,FALSE))=TRUE,0,VLOOKUP("MON624200000",Balanceanp!C:G,5,FALSE))</f>
        <v>5777.37</v>
      </c>
      <c r="F95" s="593">
        <f>+C95+C95/9*(12-Clients!$I$14)</f>
        <v>7650.2666666666664</v>
      </c>
      <c r="G95" s="1030">
        <f>B95*G21</f>
        <v>8149.4320196521185</v>
      </c>
      <c r="H95" s="1031">
        <f>+G95/$G$21</f>
        <v>9.3961834074343612E-3</v>
      </c>
      <c r="I95" s="1013">
        <f t="shared" si="8"/>
        <v>0.32417807179852887</v>
      </c>
      <c r="J95" s="1014">
        <f t="shared" si="9"/>
        <v>6.5248098495754234E-2</v>
      </c>
      <c r="L95" s="17">
        <f t="shared" si="6"/>
        <v>1</v>
      </c>
    </row>
    <row r="96" spans="1:12">
      <c r="A96" s="590" t="s">
        <v>118</v>
      </c>
      <c r="B96" s="591"/>
      <c r="C96" s="805">
        <f>IF(ISNA(VLOOKUP("MON625100000",Balance!C:G,5,FALSE))=TRUE,0,VLOOKUP("MON625100000",Balance!C:G,5,FALSE))</f>
        <v>7282.72</v>
      </c>
      <c r="D96" s="619">
        <f>+[2]Montpe!$H96</f>
        <v>5000</v>
      </c>
      <c r="E96" s="805">
        <f>IF(ISNA(VLOOKUP("MON625100000",Balanceanp!C:G,5,FALSE))=TRUE,0,VLOOKUP("MON625100000",Balanceanp!C:G,5,FALSE))</f>
        <v>10153.43</v>
      </c>
      <c r="F96" s="593">
        <f>+C96+C96/9*(12-Clients!$I$14)</f>
        <v>9710.2933333333331</v>
      </c>
      <c r="G96" s="1012">
        <v>5000</v>
      </c>
      <c r="H96" s="1012"/>
      <c r="I96" s="1013">
        <f t="shared" si="8"/>
        <v>-4.364403621895923E-2</v>
      </c>
      <c r="J96" s="1014">
        <f t="shared" si="9"/>
        <v>-0.48508249664960346</v>
      </c>
      <c r="L96" s="17">
        <f t="shared" si="6"/>
        <v>1</v>
      </c>
    </row>
    <row r="97" spans="1:12">
      <c r="A97" s="590" t="s">
        <v>7</v>
      </c>
      <c r="B97" s="591"/>
      <c r="C97" s="805">
        <f>IF(ISNA(VLOOKUP("MON625200000",Balance!C:G,5,FALSE))=TRUE,0,VLOOKUP("MON625200000",Balance!C:G,5,FALSE))</f>
        <v>460.39</v>
      </c>
      <c r="D97" s="619">
        <f>+[2]Montpe!$H97</f>
        <v>746.51648065312497</v>
      </c>
      <c r="E97" s="805">
        <f>IF(ISNA(VLOOKUP("MON625200000",Balanceanp!C:G,5,FALSE))=TRUE,0,VLOOKUP("MON625200000",Balanceanp!C:G,5,FALSE))</f>
        <v>596.94000000000005</v>
      </c>
      <c r="F97" s="593">
        <f>+C97+C97/9*(12-Clients!$I$14)</f>
        <v>613.85333333333335</v>
      </c>
      <c r="G97" s="1012">
        <f t="shared" si="7"/>
        <v>632.26893333333339</v>
      </c>
      <c r="H97" s="1012"/>
      <c r="I97" s="1013">
        <f t="shared" si="8"/>
        <v>2.8333389173674568E-2</v>
      </c>
      <c r="J97" s="1014">
        <f t="shared" si="9"/>
        <v>3.0000000000000065E-2</v>
      </c>
      <c r="L97" s="17">
        <f t="shared" si="6"/>
        <v>1</v>
      </c>
    </row>
    <row r="98" spans="1:12">
      <c r="A98" s="590" t="s">
        <v>307</v>
      </c>
      <c r="B98" s="591"/>
      <c r="C98" s="805">
        <f>IF(ISNA(VLOOKUP("MON625510000",Balance!C:G,5,FALSE))=TRUE,0,VLOOKUP("MON625510000",Balance!C:G,5,FALSE))</f>
        <v>0</v>
      </c>
      <c r="D98" s="619">
        <f>+[2]Montpe!$H98</f>
        <v>1653.15</v>
      </c>
      <c r="E98" s="805">
        <f>IF(ISNA(VLOOKUP("MON625510000",Balanceanp!C:G,5,FALSE))=TRUE,0,VLOOKUP("MON625510000",Balanceanp!C:G,5,FALSE))</f>
        <v>855</v>
      </c>
      <c r="F98" s="593">
        <f>+C98+C98/9*(12-Clients!$I$14)</f>
        <v>0</v>
      </c>
      <c r="G98" s="1030">
        <f t="shared" si="7"/>
        <v>0</v>
      </c>
      <c r="H98" s="1030"/>
      <c r="I98" s="1013">
        <f t="shared" si="8"/>
        <v>-1</v>
      </c>
      <c r="J98" s="1014">
        <f t="shared" si="9"/>
        <v>0</v>
      </c>
      <c r="L98" s="17">
        <f t="shared" si="6"/>
        <v>1</v>
      </c>
    </row>
    <row r="99" spans="1:12">
      <c r="A99" s="590" t="s">
        <v>119</v>
      </c>
      <c r="B99" s="591"/>
      <c r="C99" s="805">
        <f>IF(ISNA(VLOOKUP("MON626000000",Balance!C:G,5,FALSE))=TRUE,0,VLOOKUP("MON626000000",Balance!C:G,5,FALSE))</f>
        <v>4379.4799999999996</v>
      </c>
      <c r="D99" s="619">
        <f>+[2]Montpe!$H99</f>
        <v>6071.8809000000001</v>
      </c>
      <c r="E99" s="805">
        <f>IF(ISNA(VLOOKUP("MON626000000",Balanceanp!C:G,5,FALSE))=TRUE,0,VLOOKUP("MON626000000",Balanceanp!C:G,5,FALSE))</f>
        <v>6123</v>
      </c>
      <c r="F99" s="593">
        <f>+C99+C99/9*(12-Clients!$I$14)</f>
        <v>5839.3066666666655</v>
      </c>
      <c r="G99" s="1030">
        <f>+F99</f>
        <v>5839.3066666666655</v>
      </c>
      <c r="H99" s="1030"/>
      <c r="I99" s="1013">
        <f t="shared" si="8"/>
        <v>-4.6332407861070478E-2</v>
      </c>
      <c r="J99" s="1014">
        <f t="shared" si="9"/>
        <v>0</v>
      </c>
      <c r="L99" s="17">
        <f t="shared" si="6"/>
        <v>1</v>
      </c>
    </row>
    <row r="100" spans="1:12">
      <c r="A100" s="590" t="s">
        <v>120</v>
      </c>
      <c r="B100" s="591"/>
      <c r="C100" s="805">
        <f>IF(ISNA(VLOOKUP("MON626100000",Balance!C:G,5,FALSE))=TRUE,0,VLOOKUP("MON626100000",Balance!C:G,5,FALSE))</f>
        <v>768.1</v>
      </c>
      <c r="D100" s="619">
        <f>+[2]Montpe!$H100</f>
        <v>1064.2835397429169</v>
      </c>
      <c r="E100" s="805">
        <f>IF(ISNA(VLOOKUP("MON626100000",Balanceanp!C:G,5,FALSE))=TRUE,0,VLOOKUP("MON626100000",Balanceanp!C:G,5,FALSE))</f>
        <v>957.12</v>
      </c>
      <c r="F100" s="593">
        <f>+C100+C100/9*(12-Clients!$I$14)</f>
        <v>1024.1333333333334</v>
      </c>
      <c r="G100" s="1030">
        <f t="shared" si="7"/>
        <v>1054.8573333333334</v>
      </c>
      <c r="H100" s="1030"/>
      <c r="I100" s="1013">
        <f t="shared" si="8"/>
        <v>7.0015602362643592E-2</v>
      </c>
      <c r="J100" s="1014">
        <f t="shared" si="9"/>
        <v>2.999999999999993E-2</v>
      </c>
      <c r="L100" s="17">
        <f t="shared" si="6"/>
        <v>1</v>
      </c>
    </row>
    <row r="101" spans="1:12" hidden="1">
      <c r="A101" s="5" t="s">
        <v>121</v>
      </c>
      <c r="B101" s="92"/>
      <c r="C101" s="160">
        <f>IF(ISNA(VLOOKUP("MON628400000",Balance!C:G,5,FALSE))=TRUE,0,VLOOKUP("MON628400000",Balance!C:G,5,FALSE))</f>
        <v>0</v>
      </c>
      <c r="D101" s="117">
        <f>+[2]Montpe!$H101</f>
        <v>0</v>
      </c>
      <c r="E101" s="160">
        <f>IF(ISNA(VLOOKUP("MON628400000",Balanceanp!C:G,5,FALSE))=TRUE,0,VLOOKUP("MON628400000",Balanceanp!C:G,5,FALSE))</f>
        <v>0</v>
      </c>
      <c r="F101" s="368">
        <f>+C101+C101/9*(12-Clients!$I$14)</f>
        <v>0</v>
      </c>
      <c r="G101" s="396">
        <f t="shared" si="7"/>
        <v>0</v>
      </c>
      <c r="H101" s="409"/>
      <c r="I101" s="149">
        <f t="shared" si="8"/>
        <v>0</v>
      </c>
      <c r="J101" s="271">
        <f t="shared" si="9"/>
        <v>0</v>
      </c>
      <c r="L101" s="17">
        <f t="shared" si="6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13" t="s">
        <v>122</v>
      </c>
      <c r="B103" s="596">
        <f>+C103/$C$21</f>
        <v>0.11219485473924923</v>
      </c>
      <c r="C103" s="803">
        <f>SUM(C70:C102)</f>
        <v>68510.84</v>
      </c>
      <c r="D103" s="597">
        <f>SUM(D70:D102)</f>
        <v>99851.600925725681</v>
      </c>
      <c r="E103" s="803">
        <f>SUM(E70:E102)</f>
        <v>95390.18</v>
      </c>
      <c r="F103" s="597">
        <f>SUM(F70:F102)</f>
        <v>90807.786666666667</v>
      </c>
      <c r="G103" s="597">
        <f>SUM(G70:G102)</f>
        <v>87990.568828718664</v>
      </c>
      <c r="H103" s="814">
        <f>+G103/$G$21</f>
        <v>0.10145191969763934</v>
      </c>
      <c r="I103" s="596">
        <f>+IF((E103)=0,,(F103-E103)/E103)</f>
        <v>-4.8038417930790431E-2</v>
      </c>
      <c r="J103" s="1015">
        <f>+IF((F103)=0,,(G103-F103)/F103)</f>
        <v>-3.1023967672390535E-2</v>
      </c>
      <c r="K103" s="136">
        <f>(C103+(C103/3))</f>
        <v>91347.786666666667</v>
      </c>
      <c r="L103" s="17">
        <f t="shared" si="6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590" t="s">
        <v>129</v>
      </c>
      <c r="B105" s="591"/>
      <c r="C105" s="805">
        <f>IF(ISNA(VLOOKUP("MON623100000",Balance!C:G,5,FALSE))=TRUE,0,VLOOKUP("MON623100000",Balance!C:G,5,FALSE))</f>
        <v>0</v>
      </c>
      <c r="D105" s="619">
        <f>+[2]Montpe!$H105</f>
        <v>911.0865</v>
      </c>
      <c r="E105" s="805">
        <f>IF(ISNA(VLOOKUP("MON623100000",Balanceanp!C:G,5,FALSE))=TRUE,0,VLOOKUP("MON623100000",Balanceanp!C:G,5,FALSE))</f>
        <v>774.3</v>
      </c>
      <c r="F105" s="593">
        <f>+C105+C105/9*(12-Clients!$I$14)</f>
        <v>0</v>
      </c>
      <c r="G105" s="1012">
        <f t="shared" ref="G105:G114" si="10">+F105*1.03</f>
        <v>0</v>
      </c>
      <c r="H105" s="1012"/>
      <c r="I105" s="1013">
        <f t="shared" ref="I105:J114" si="11">+IF((E105)=0,,(F105-E105)/E105)</f>
        <v>-1</v>
      </c>
      <c r="J105" s="1014">
        <f t="shared" si="11"/>
        <v>0</v>
      </c>
      <c r="L105" s="17">
        <f t="shared" si="6"/>
        <v>1</v>
      </c>
    </row>
    <row r="106" spans="1:12">
      <c r="A106" s="590" t="s">
        <v>130</v>
      </c>
      <c r="B106" s="591"/>
      <c r="C106" s="805">
        <f>IF(ISNA(VLOOKUP("MON623200000",Balance!C:G,5,FALSE))=TRUE,0,VLOOKUP("MON623200000",Balance!C:G,5,FALSE))</f>
        <v>4171.7</v>
      </c>
      <c r="D106" s="619">
        <f>+[2]Montpe!$H106</f>
        <v>3322.0898999999999</v>
      </c>
      <c r="E106" s="805">
        <f>IF(ISNA(VLOOKUP("MON623200000",Balanceanp!C:G,5,FALSE))=TRUE,0,VLOOKUP("MON623200000",Balanceanp!C:G,5,FALSE))</f>
        <v>4276.83</v>
      </c>
      <c r="F106" s="593">
        <f>+C106+C106/9*(12-Clients!$I$14)</f>
        <v>5562.2666666666664</v>
      </c>
      <c r="G106" s="1012">
        <f t="shared" si="10"/>
        <v>5729.1346666666668</v>
      </c>
      <c r="H106" s="1012"/>
      <c r="I106" s="1013">
        <f t="shared" si="11"/>
        <v>0.30055827953569969</v>
      </c>
      <c r="J106" s="1014">
        <f t="shared" si="11"/>
        <v>3.0000000000000072E-2</v>
      </c>
      <c r="L106" s="17">
        <f t="shared" si="6"/>
        <v>1</v>
      </c>
    </row>
    <row r="107" spans="1:12" hidden="1">
      <c r="A107" s="5" t="s">
        <v>131</v>
      </c>
      <c r="B107" s="92"/>
      <c r="C107" s="160">
        <f>IF(ISNA(VLOOKUP("MON629000000",Balance!C:G,5,FALSE))=TRUE,0,VLOOKUP("MON629000000",Balance!C:G,5,FALSE))</f>
        <v>0</v>
      </c>
      <c r="D107" s="117">
        <f>+[2]Montpe!$H107</f>
        <v>0</v>
      </c>
      <c r="E107" s="160">
        <f>IF(ISNA(VLOOKUP("MON629000000",Balanceanp!C:G,5,FALSE))=TRUE,0,VLOOKUP("MON629000000",Balanceanp!C:G,5,FALSE))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>
      <c r="A108" s="590" t="s">
        <v>132</v>
      </c>
      <c r="B108" s="591"/>
      <c r="C108" s="805">
        <f>IF(ISNA(VLOOKUP("MON623300000",Balance!C:G,5,FALSE))=TRUE,0,VLOOKUP("MON623300000",Balance!C:G,5,FALSE))</f>
        <v>0</v>
      </c>
      <c r="D108" s="619">
        <f>+[2]Montpe!$H108</f>
        <v>257.5</v>
      </c>
      <c r="E108" s="805">
        <f>IF(ISNA(VLOOKUP("MON623300000",Balanceanp!C:G,5,FALSE))=TRUE,0,VLOOKUP("MON623300000",Balanceanp!C:G,5,FALSE))</f>
        <v>0</v>
      </c>
      <c r="F108" s="593">
        <f>+C108+C108/9*(12-Clients!$I$14)</f>
        <v>0</v>
      </c>
      <c r="G108" s="1012">
        <f t="shared" si="10"/>
        <v>0</v>
      </c>
      <c r="H108" s="1012"/>
      <c r="I108" s="1013">
        <f t="shared" si="11"/>
        <v>0</v>
      </c>
      <c r="J108" s="1014">
        <f t="shared" si="11"/>
        <v>0</v>
      </c>
      <c r="L108" s="17">
        <f t="shared" si="6"/>
        <v>1</v>
      </c>
    </row>
    <row r="109" spans="1:12">
      <c r="A109" s="590" t="s">
        <v>133</v>
      </c>
      <c r="B109" s="591"/>
      <c r="C109" s="805">
        <f>IF(ISNA(VLOOKUP("MON623700000",Balance!C:G,5,FALSE))=TRUE,0,VLOOKUP("MON623700000",Balance!C:G,5,FALSE))</f>
        <v>1694.17</v>
      </c>
      <c r="D109" s="619">
        <f>+[2]Montpe!$H109</f>
        <v>5351.5298000000003</v>
      </c>
      <c r="E109" s="805">
        <f>IF(ISNA(VLOOKUP("MON623700000",Balanceanp!C:G,5,FALSE))=TRUE,0,VLOOKUP("MON623700000",Balanceanp!C:G,5,FALSE))</f>
        <v>1835.5400000000002</v>
      </c>
      <c r="F109" s="593">
        <f>+C109+C109/9*(12-Clients!$I$14)</f>
        <v>2258.8933333333334</v>
      </c>
      <c r="G109" s="1012">
        <f t="shared" si="10"/>
        <v>2326.6601333333333</v>
      </c>
      <c r="H109" s="1012"/>
      <c r="I109" s="1013">
        <f t="shared" si="11"/>
        <v>0.23064239043188009</v>
      </c>
      <c r="J109" s="1014">
        <f t="shared" si="11"/>
        <v>2.9999999999999943E-2</v>
      </c>
      <c r="L109" s="17">
        <f t="shared" si="6"/>
        <v>1</v>
      </c>
    </row>
    <row r="110" spans="1:12">
      <c r="A110" s="590" t="s">
        <v>134</v>
      </c>
      <c r="B110" s="591"/>
      <c r="C110" s="805">
        <f>IF(ISNA(VLOOKUP("MON623410000",Balance!C:G,5,FALSE))=TRUE,0,VLOOKUP("MON623410000",Balance!C:G,5,FALSE))+IF(ISNA(VLOOKUP("MON623420000",Balance!C:G,5,FALSE))=TRUE,0,VLOOKUP("MON623420000",Balance!C:G,5,FALSE))</f>
        <v>12072.49</v>
      </c>
      <c r="D110" s="619">
        <f>+[2]Montpe!$H110</f>
        <v>16307.897300000001</v>
      </c>
      <c r="E110" s="805">
        <f>IF(ISNA(VLOOKUP("MON623410000",Balanceanp!C:G,5,FALSE))=TRUE,0,VLOOKUP("MON623410000",Balanceanp!C:G,5,FALSE))+IF(ISNA(VLOOKUP("MON623420000",Balanceanp!C:G,5,FALSE))=TRUE,0,VLOOKUP("MON623420000",Balanceanp!C:G,5,FALSE))</f>
        <v>4533.2599999999993</v>
      </c>
      <c r="F110" s="593">
        <f>+C110+C110/9*(12-Clients!$I$14)</f>
        <v>16096.653333333332</v>
      </c>
      <c r="G110" s="1156">
        <v>10000</v>
      </c>
      <c r="H110" s="1012"/>
      <c r="I110" s="1013">
        <f t="shared" si="11"/>
        <v>2.5507897921878153</v>
      </c>
      <c r="J110" s="1014">
        <f t="shared" si="11"/>
        <v>-0.37875285048900426</v>
      </c>
      <c r="L110" s="17">
        <f t="shared" si="6"/>
        <v>1</v>
      </c>
    </row>
    <row r="111" spans="1:12">
      <c r="A111" s="590" t="s">
        <v>135</v>
      </c>
      <c r="B111" s="591"/>
      <c r="C111" s="805">
        <f>IF(ISNA(VLOOKUP("Mon623800000",Balance!C:G,5,FALSE))=TRUE,0,VLOOKUP("Mon623800000",Balance!C:G,5,FALSE))+IF(ISNA(VLOOKUP("Mon623820000",Balance!C:G,5,FALSE))=TRUE,0,VLOOKUP("Mon623820000",Balance!C:G,5,FALSE))</f>
        <v>0</v>
      </c>
      <c r="D111" s="619">
        <f>+[2]Montpe!$H111</f>
        <v>113.5575</v>
      </c>
      <c r="E111" s="805">
        <f>IF(ISNA(VLOOKUP("MON623800000",Balanceanp!C:G,5,FALSE))=TRUE,0,VLOOKUP("MON623800000",Balanceanp!C:G,5,FALSE))</f>
        <v>0</v>
      </c>
      <c r="F111" s="593">
        <f>+C111+C111/9*(12-Clients!$I$14)</f>
        <v>0</v>
      </c>
      <c r="G111" s="1012">
        <f t="shared" si="10"/>
        <v>0</v>
      </c>
      <c r="H111" s="1012"/>
      <c r="I111" s="1013">
        <f t="shared" si="11"/>
        <v>0</v>
      </c>
      <c r="J111" s="1014">
        <f t="shared" si="11"/>
        <v>0</v>
      </c>
      <c r="L111" s="17">
        <f t="shared" si="6"/>
        <v>1</v>
      </c>
    </row>
    <row r="112" spans="1:12">
      <c r="A112" s="590" t="s">
        <v>136</v>
      </c>
      <c r="B112" s="591"/>
      <c r="C112" s="805">
        <f>IF(ISNA(VLOOKUP("MON625600000",Balance!C:G,5,FALSE))=TRUE,0,VLOOKUP("MON625600000",Balance!C:G,5,FALSE))</f>
        <v>1622.25</v>
      </c>
      <c r="D112" s="619">
        <f>+[2]Montpe!$H112</f>
        <v>2163</v>
      </c>
      <c r="E112" s="805">
        <f>IF(ISNA(VLOOKUP("MON625600000",Balanceanp!C:G,5,FALSE))=TRUE,0,VLOOKUP("MON625600000",Balanceanp!C:G,5,FALSE))</f>
        <v>25.23</v>
      </c>
      <c r="F112" s="593">
        <f>+C112+C112/9*(12-Clients!$I$14)</f>
        <v>2163</v>
      </c>
      <c r="G112" s="1012">
        <f t="shared" si="10"/>
        <v>2227.89</v>
      </c>
      <c r="H112" s="1012"/>
      <c r="I112" s="1013">
        <f t="shared" si="11"/>
        <v>84.731272294887034</v>
      </c>
      <c r="J112" s="1014">
        <f t="shared" si="11"/>
        <v>2.999999999999994E-2</v>
      </c>
      <c r="L112" s="17">
        <f t="shared" si="6"/>
        <v>1</v>
      </c>
    </row>
    <row r="113" spans="1:12">
      <c r="A113" s="590" t="s">
        <v>137</v>
      </c>
      <c r="B113" s="591"/>
      <c r="C113" s="1033">
        <f>IF(ISNA(VLOOKUP("mon625700000",Balance!C:G,5,FALSE))=TRUE,0,VLOOKUP("mon625700000",Balance!C:G,5,FALSE))+IF(ISNA(VLOOKUP("mon625710000",Balance!C:G,5,FALSE))=TRUE,0,VLOOKUP("mon625710000",Balance!C:G,5,FALSE))</f>
        <v>9295.73</v>
      </c>
      <c r="D113" s="619">
        <f>+[2]Montpe!$H113</f>
        <v>10779.8326</v>
      </c>
      <c r="E113" s="805">
        <f>IF(ISNA(VLOOKUP("mon625700000",Balanceanp!C:G,5,FALSE))=TRUE,0,VLOOKUP("mon625700000",Balanceanp!C:G,5,FALSE))+IF(ISNA(VLOOKUP("mon625710000",Balanceanp!C:G,5,FALSE))=TRUE,0,VLOOKUP("mon625710000",Balanceanp!C:G,5,FALSE))</f>
        <v>9962.0999999999985</v>
      </c>
      <c r="F113" s="593">
        <v>7829.57</v>
      </c>
      <c r="G113" s="1012">
        <v>2000</v>
      </c>
      <c r="H113" s="1012"/>
      <c r="I113" s="1013">
        <f t="shared" si="11"/>
        <v>-0.21406430371106486</v>
      </c>
      <c r="J113" s="1014">
        <f t="shared" si="11"/>
        <v>-0.74455813026769024</v>
      </c>
      <c r="L113" s="17">
        <f t="shared" si="6"/>
        <v>1</v>
      </c>
    </row>
    <row r="114" spans="1:12">
      <c r="A114" s="590" t="s">
        <v>138</v>
      </c>
      <c r="B114" s="591"/>
      <c r="C114" s="805">
        <f>IF(ISNA(VLOOKUP("MON623810000",Balance!C:G,5,FALSE))=TRUE,0,VLOOKUP("MON623810000",Balance!C:G,5,FALSE))</f>
        <v>0</v>
      </c>
      <c r="D114" s="619">
        <f>+[2]Montpe!$H114</f>
        <v>0</v>
      </c>
      <c r="E114" s="805">
        <f>IF(ISNA(VLOOKUP("MON623810000",Balanceanp!C:G,5,FALSE))=TRUE,0,VLOOKUP("MON623810000",Balanceanp!C:G,5,FALSE))</f>
        <v>-1554.33</v>
      </c>
      <c r="F114" s="593">
        <f>+C114+C114/9*(12-Clients!$I$14)</f>
        <v>0</v>
      </c>
      <c r="G114" s="1012">
        <f t="shared" si="10"/>
        <v>0</v>
      </c>
      <c r="H114" s="1012"/>
      <c r="I114" s="1013">
        <f t="shared" si="11"/>
        <v>-1</v>
      </c>
      <c r="J114" s="1014">
        <f t="shared" si="11"/>
        <v>0</v>
      </c>
      <c r="L114" s="17">
        <f t="shared" si="6"/>
        <v>1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13" t="s">
        <v>133</v>
      </c>
      <c r="B116" s="596">
        <f>+C116/$C$21</f>
        <v>4.7255775503648574E-2</v>
      </c>
      <c r="C116" s="803">
        <f>SUM(C104:C115)</f>
        <v>28856.34</v>
      </c>
      <c r="D116" s="597">
        <f>SUM(D104:D115)</f>
        <v>39206.493600000002</v>
      </c>
      <c r="E116" s="803">
        <f>SUM(E104:E115)</f>
        <v>19852.93</v>
      </c>
      <c r="F116" s="597">
        <f>SUM(F104:F115)</f>
        <v>33910.383333333331</v>
      </c>
      <c r="G116" s="597">
        <f>SUM(G104:G115)</f>
        <v>22283.684799999999</v>
      </c>
      <c r="H116" s="814">
        <f>+G116/$G$21</f>
        <v>2.569278311290157E-2</v>
      </c>
      <c r="I116" s="596">
        <f>+IF((E116)=0,,(F116-E116)/E116)</f>
        <v>0.70807952948674735</v>
      </c>
      <c r="J116" s="1015">
        <f>+IF((F116)=0,,(G116-F116)/F116)</f>
        <v>-0.3428654409195217</v>
      </c>
      <c r="K116" s="136">
        <f>(C116+(C116/3))</f>
        <v>38475.120000000003</v>
      </c>
      <c r="L116" s="17">
        <f t="shared" si="6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590" t="s">
        <v>139</v>
      </c>
      <c r="B118" s="591"/>
      <c r="C118" s="805">
        <f>IF(ISNA(VLOOKUP("MON633300000",Balance!C:G,5,FALSE))=TRUE,0,VLOOKUP("MON633300000",Balance!C:G,5,FALSE))</f>
        <v>1222.47</v>
      </c>
      <c r="D118" s="619">
        <f>+[2]Montpe!$H118</f>
        <v>619.41599999999994</v>
      </c>
      <c r="E118" s="805">
        <f>IF(ISNA(VLOOKUP("MON633300000",Balanceanp!C:G,5,FALSE))=TRUE,0,VLOOKUP("MON633300000",Balanceanp!C:G,5,FALSE))</f>
        <v>791</v>
      </c>
      <c r="F118" s="593">
        <f>+C118+C118/9*(12-Clients!$I$14)</f>
        <v>1629.96</v>
      </c>
      <c r="G118" s="1030">
        <f>G131*(0.2+0.5)%</f>
        <v>686.9799999999999</v>
      </c>
      <c r="H118" s="1030"/>
      <c r="I118" s="1013">
        <f t="shared" ref="I118:J127" si="12">+IF((E118)=0,,(F118-E118)/E118)</f>
        <v>1.0606321112515804</v>
      </c>
      <c r="J118" s="1014">
        <f t="shared" si="12"/>
        <v>-0.57852953446710353</v>
      </c>
      <c r="L118" s="17">
        <f t="shared" si="6"/>
        <v>1</v>
      </c>
    </row>
    <row r="119" spans="1:12">
      <c r="A119" s="590" t="s">
        <v>140</v>
      </c>
      <c r="B119" s="591"/>
      <c r="C119" s="805">
        <f>IF(ISNA(VLOOKUP("MON633400000",Balance!C:G,5,FALSE))=TRUE,0,VLOOKUP("MON633400000",Balance!C:G,5,FALSE))</f>
        <v>0</v>
      </c>
      <c r="D119" s="619">
        <f>+[2]Montpe!$H119</f>
        <v>398.19600000000003</v>
      </c>
      <c r="E119" s="805">
        <f>IF(ISNA(VLOOKUP("MON633400000",Balanceanp!C:G,5,FALSE))=TRUE,0,VLOOKUP("MON633400000",Balanceanp!C:G,5,FALSE))</f>
        <v>436</v>
      </c>
      <c r="F119" s="593">
        <f>+C119+C119/9*(12-Clients!$I$14)</f>
        <v>0</v>
      </c>
      <c r="G119" s="1030">
        <f>+G131*0.45%</f>
        <v>441.63000000000005</v>
      </c>
      <c r="H119" s="1030"/>
      <c r="I119" s="1013">
        <f t="shared" si="12"/>
        <v>-1</v>
      </c>
      <c r="J119" s="1014">
        <f t="shared" si="12"/>
        <v>0</v>
      </c>
      <c r="L119" s="17">
        <f t="shared" si="6"/>
        <v>1</v>
      </c>
    </row>
    <row r="120" spans="1:12">
      <c r="A120" s="590" t="s">
        <v>141</v>
      </c>
      <c r="B120" s="591"/>
      <c r="C120" s="805">
        <f>IF(ISNA(VLOOKUP("MON633500000",Balance!C:G,5,FALSE))=TRUE,0,VLOOKUP("MON633500000",Balance!C:G,5,FALSE))</f>
        <v>0</v>
      </c>
      <c r="D120" s="619">
        <f>+[2]Montpe!$H120</f>
        <v>690.20640000000003</v>
      </c>
      <c r="E120" s="805">
        <f>IF(ISNA(VLOOKUP("MON633500000",Balanceanp!C:G,5,FALSE))=TRUE,0,VLOOKUP("MON633500000",Balanceanp!C:G,5,FALSE))</f>
        <v>659</v>
      </c>
      <c r="F120" s="593">
        <f>+C120+C120/9*(12-Clients!$I$14)</f>
        <v>0</v>
      </c>
      <c r="G120" s="1030">
        <f>+G131*(0.6+0.18)%</f>
        <v>765.49200000000008</v>
      </c>
      <c r="H120" s="1030"/>
      <c r="I120" s="1013">
        <f t="shared" si="12"/>
        <v>-1</v>
      </c>
      <c r="J120" s="1014">
        <f t="shared" si="12"/>
        <v>0</v>
      </c>
      <c r="L120" s="17">
        <f t="shared" si="6"/>
        <v>1</v>
      </c>
    </row>
    <row r="121" spans="1:12">
      <c r="A121" s="590" t="s">
        <v>706</v>
      </c>
      <c r="B121" s="591"/>
      <c r="C121" s="805">
        <f>IF(ISNA(VLOOKUP("MON635110000",Balance!C:G,5,FALSE))=TRUE,0,VLOOKUP("MON635110000",Balance!C:G,5,FALSE))</f>
        <v>6123.24</v>
      </c>
      <c r="D121" s="619">
        <f>+[2]Montpe!$H121</f>
        <v>8164.2750000000005</v>
      </c>
      <c r="E121" s="805">
        <f>IF(ISNA(VLOOKUP("MON635110000",Balanceanp!C:G,5,FALSE))=TRUE,0,VLOOKUP("MON635110000",Balanceanp!C:G,5,FALSE))</f>
        <v>7941</v>
      </c>
      <c r="F121" s="636">
        <v>2707</v>
      </c>
      <c r="G121" s="636">
        <f>+F121*1.05</f>
        <v>2842.35</v>
      </c>
      <c r="H121" s="638"/>
      <c r="I121" s="1013">
        <f t="shared" si="12"/>
        <v>-0.65911094320614527</v>
      </c>
      <c r="J121" s="1014">
        <f t="shared" si="12"/>
        <v>4.9999999999999968E-2</v>
      </c>
      <c r="L121" s="17">
        <f t="shared" si="6"/>
        <v>1</v>
      </c>
    </row>
    <row r="122" spans="1:12">
      <c r="A122" s="590" t="s">
        <v>143</v>
      </c>
      <c r="B122" s="591"/>
      <c r="C122" s="805">
        <f>IF(ISNA(VLOOKUP("MON635120000",Balance!C:G,5,FALSE))=TRUE,0,VLOOKUP("MON635120000",Balance!C:G,5,FALSE))</f>
        <v>4260.33</v>
      </c>
      <c r="D122" s="619">
        <f>+[2]Montpe!$H122</f>
        <v>5680.4724375000005</v>
      </c>
      <c r="E122" s="805">
        <f>IF(ISNA(VLOOKUP("MON635120000",Balanceanp!C:G,5,FALSE))=TRUE,0,VLOOKUP("MON635120000",Balanceanp!C:G,5,FALSE))</f>
        <v>2804.24</v>
      </c>
      <c r="F122" s="638">
        <f>+C122+C122/9*(12-Clients!$I$14)</f>
        <v>5680.4400000000005</v>
      </c>
      <c r="G122" s="638">
        <f>+F122*1.05</f>
        <v>5964.4620000000004</v>
      </c>
      <c r="H122" s="638"/>
      <c r="I122" s="1013">
        <f t="shared" si="12"/>
        <v>1.0256611416997121</v>
      </c>
      <c r="J122" s="1014">
        <f t="shared" si="12"/>
        <v>4.9999999999999982E-2</v>
      </c>
      <c r="L122" s="17">
        <f t="shared" si="6"/>
        <v>1</v>
      </c>
    </row>
    <row r="123" spans="1:12">
      <c r="A123" s="590" t="s">
        <v>144</v>
      </c>
      <c r="B123" s="591"/>
      <c r="C123" s="805">
        <f>IF(ISNA(VLOOKUP("MON635130000",Balance!C:G,5,FALSE))=TRUE,0,VLOOKUP("MON635130000",Balance!C:G,5,FALSE))</f>
        <v>0</v>
      </c>
      <c r="D123" s="619">
        <f>+[2]Montpe!$H123</f>
        <v>50</v>
      </c>
      <c r="E123" s="805">
        <f>IF(ISNA(VLOOKUP("MON635130000",Balanceanp!C:G,5,FALSE))=TRUE,0,VLOOKUP("MON635130000",Balanceanp!C:G,5,FALSE))</f>
        <v>0</v>
      </c>
      <c r="F123" s="636">
        <v>223.74</v>
      </c>
      <c r="G123" s="636">
        <f>223.74*3</f>
        <v>671.22</v>
      </c>
      <c r="H123" s="638"/>
      <c r="I123" s="1013">
        <f t="shared" si="12"/>
        <v>0</v>
      </c>
      <c r="J123" s="1014">
        <f t="shared" si="12"/>
        <v>2</v>
      </c>
      <c r="L123" s="17">
        <f t="shared" si="6"/>
        <v>1</v>
      </c>
    </row>
    <row r="124" spans="1:12" hidden="1">
      <c r="A124" s="5" t="s">
        <v>145</v>
      </c>
      <c r="B124" s="92"/>
      <c r="C124" s="160">
        <f>IF(ISNA(VLOOKUP("MON635140000",Balance!C:G,5,FALSE))=TRUE,0,VLOOKUP("MON635140000",Balance!C:G,5,FALSE))</f>
        <v>0</v>
      </c>
      <c r="D124" s="117">
        <f>+[2]Montpe!$H124</f>
        <v>0</v>
      </c>
      <c r="E124" s="160">
        <f>IF(ISNA(VLOOKUP("MON635140000",Balanceanp!C:G,5,FALSE))=TRUE,0,VLOOKUP("MON635140000",Balanceanp!C:G,5,FALSE))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2"/>
        <v>0</v>
      </c>
      <c r="J124" s="271">
        <f t="shared" si="12"/>
        <v>0</v>
      </c>
      <c r="L124" s="17">
        <f t="shared" si="6"/>
        <v>0</v>
      </c>
    </row>
    <row r="125" spans="1:12" hidden="1">
      <c r="A125" s="5" t="s">
        <v>286</v>
      </c>
      <c r="B125" s="92"/>
      <c r="C125" s="160">
        <f>IF(ISNA(VLOOKUP("MON635300000",Balance!C:G,5,FALSE))=TRUE,0,VLOOKUP("MON635300000",Balance!C:G,5,FALSE))</f>
        <v>0</v>
      </c>
      <c r="D125" s="117">
        <f>+[2]Montpe!$H125</f>
        <v>0</v>
      </c>
      <c r="E125" s="160">
        <f>IF(ISNA(VLOOKUP("MON635300000",Balanceanp!C:G,5,FALSE))=TRUE,0,VLOOKUP("MON635300000",Balanceanp!C:G,5,FALSE))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2"/>
        <v>0</v>
      </c>
      <c r="J125" s="271">
        <f t="shared" si="12"/>
        <v>0</v>
      </c>
      <c r="L125" s="17">
        <f t="shared" si="6"/>
        <v>0</v>
      </c>
    </row>
    <row r="126" spans="1:12" hidden="1">
      <c r="A126" s="5" t="s">
        <v>361</v>
      </c>
      <c r="B126" s="92"/>
      <c r="C126" s="160">
        <f>IF(ISNA(VLOOKUP("mon635400000",Balance!C:G,5,FALSE))=TRUE,0,VLOOKUP("mon635400000",Balance!C:G,5,FALSE))</f>
        <v>0</v>
      </c>
      <c r="D126" s="117">
        <f>+[2]Montpe!$H126</f>
        <v>0</v>
      </c>
      <c r="E126" s="160">
        <f>IF(ISNA(VLOOKUP("mon635400000",Balanceanp!C:G,5,FALSE))=TRUE,0,VLOOKUP("mon635400000",Balanceanp!C:G,5,FALSE))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590" t="s">
        <v>146</v>
      </c>
      <c r="B127" s="591"/>
      <c r="C127" s="805">
        <f>IF(ISNA(VLOOKUP("MON637100000",Balance!C:G,5,FALSE))=TRUE,0,VLOOKUP("MON637100000",Balance!C:G,5,FALSE))</f>
        <v>1104.21</v>
      </c>
      <c r="D127" s="619">
        <f>+[2]Montpe!$H127</f>
        <v>1393.5152</v>
      </c>
      <c r="E127" s="805">
        <f>IF(ISNA(VLOOKUP("MON637100000",Balanceanp!C:G,5,FALSE))=TRUE,0,VLOOKUP("MON637100000",Balanceanp!C:G,5,FALSE))</f>
        <v>1292.6500000000001</v>
      </c>
      <c r="F127" s="593">
        <f>+C127+C127/9*(12-Clients!$I$14)</f>
        <v>1472.28</v>
      </c>
      <c r="G127" s="1030">
        <f>+G51*0.16%</f>
        <v>1358.1552000000001</v>
      </c>
      <c r="H127" s="1030"/>
      <c r="I127" s="1013">
        <f t="shared" si="12"/>
        <v>0.13896259621707335</v>
      </c>
      <c r="J127" s="1014">
        <f t="shared" si="12"/>
        <v>-7.7515689950281075E-2</v>
      </c>
      <c r="L127" s="17">
        <f t="shared" si="6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13" t="s">
        <v>147</v>
      </c>
      <c r="B129" s="596">
        <f>+C129/$C$21</f>
        <v>2.0814584267971937E-2</v>
      </c>
      <c r="C129" s="803">
        <f>SUM(C117:C128)</f>
        <v>12710.25</v>
      </c>
      <c r="D129" s="597">
        <f>SUM(D117:D128)</f>
        <v>16996.081037500004</v>
      </c>
      <c r="E129" s="803">
        <f>SUM(E117:E128)</f>
        <v>13923.89</v>
      </c>
      <c r="F129" s="597">
        <f>SUM(F117:F128)</f>
        <v>11713.420000000002</v>
      </c>
      <c r="G129" s="597">
        <f>SUM(G117:G128)</f>
        <v>12730.289199999999</v>
      </c>
      <c r="H129" s="814">
        <f>+G129/$G$21</f>
        <v>1.467784894265392E-2</v>
      </c>
      <c r="I129" s="596">
        <f>+IF((E129)=0,,(F129-E129)/E129)</f>
        <v>-0.15875376780483022</v>
      </c>
      <c r="J129" s="1015">
        <f>+IF((F129)=0,,(G129-F129)/F129)</f>
        <v>8.6812322959477009E-2</v>
      </c>
      <c r="K129" s="136">
        <f>(C129+(C129/3))</f>
        <v>16947</v>
      </c>
      <c r="L129" s="17">
        <f t="shared" si="6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590" t="s">
        <v>148</v>
      </c>
      <c r="B131" s="591"/>
      <c r="C131" s="805">
        <f>IF(ISNA(VLOOKUP("MON641100000",Balance!C:G,5,FALSE))=TRUE,0,VLOOKUP("MON641100000",Balance!C:G,5,FALSE))</f>
        <v>69375.53</v>
      </c>
      <c r="D131" s="619">
        <f>+[2]Montpe!$H131</f>
        <v>88488</v>
      </c>
      <c r="E131" s="805">
        <f>IF(ISNA(VLOOKUP("MON641100000",Balanceanp!C:G,5,FALSE))=TRUE,0,VLOOKUP("MON641100000",Balanceanp!C:G,5,FALSE))+IF(ISNA(VLOOKUP("MON641112000",Balanceanp!C:G,5,FALSE))=TRUE,0,VLOOKUP("MON641112000",Balanceanp!C:G,5,FALSE))</f>
        <v>103428.22</v>
      </c>
      <c r="F131" s="593">
        <f>+C131+C131/9*(12-Clients!$I$14)</f>
        <v>92500.706666666665</v>
      </c>
      <c r="G131" s="1012">
        <v>98140</v>
      </c>
      <c r="H131" s="1012"/>
      <c r="I131" s="1013">
        <f t="shared" ref="I131:J146" si="13">+IF((E131)=0,,(F131-E131)/E131)</f>
        <v>-0.10565311220993009</v>
      </c>
      <c r="J131" s="1014">
        <f t="shared" si="13"/>
        <v>6.0964867583714333E-2</v>
      </c>
      <c r="L131" s="17">
        <v>1</v>
      </c>
    </row>
    <row r="132" spans="1:12" hidden="1">
      <c r="A132" s="5" t="s">
        <v>149</v>
      </c>
      <c r="B132" s="92"/>
      <c r="C132" s="160">
        <f>IF(ISNA(VLOOKUP("MON641110000",Balance!C:G,5,FALSE))=TRUE,0,VLOOKUP("MON641110000",Balance!C:G,5,FALSE))</f>
        <v>-250</v>
      </c>
      <c r="D132" s="117">
        <f>+[2]Montpe!$H132</f>
        <v>0</v>
      </c>
      <c r="E132" s="160">
        <f>IF(ISNA(VLOOKUP("MON641110000",Balanceanp!C:G,5,FALSE))=TRUE,0,VLOOKUP("MON641110000",Balanceanp!C:G,5,FALSE))</f>
        <v>-270</v>
      </c>
      <c r="F132" s="368">
        <f>+C132+C132/9*(12-Clients!$I$14)</f>
        <v>-333.33333333333337</v>
      </c>
      <c r="G132" s="395"/>
      <c r="H132" s="401"/>
      <c r="I132" s="149">
        <f t="shared" si="13"/>
        <v>0.23456790123456805</v>
      </c>
      <c r="J132" s="271">
        <f t="shared" si="13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IF(ISNA(VLOOKUP("MON641111000",Balance!C:G,5,FALSE))=TRUE,0,VLOOKUP("MON641111000",Balance!C:G,5,FALSE))</f>
        <v>0</v>
      </c>
      <c r="D133" s="117">
        <f>+[2]Montpe!$H133</f>
        <v>0</v>
      </c>
      <c r="E133" s="160">
        <f>IF(ISNA(VLOOKUP("MON641111000",Balanceanp!C:G,5,FALSE))=TRUE,0,VLOOKUP("MON641111000",Balanceanp!C:G,5,FALSE))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3"/>
        <v>0</v>
      </c>
      <c r="J133" s="271">
        <f t="shared" si="13"/>
        <v>0</v>
      </c>
      <c r="L133" s="17">
        <f t="shared" si="6"/>
        <v>0</v>
      </c>
    </row>
    <row r="134" spans="1:12" hidden="1">
      <c r="A134" s="5" t="s">
        <v>151</v>
      </c>
      <c r="B134" s="92"/>
      <c r="C134" s="160">
        <f>IF(ISNA(VLOOKUP("MON641200000",Balance!C:G,5,FALSE))=TRUE,0,VLOOKUP("MON641200000",Balance!C:G,5,FALSE))</f>
        <v>0</v>
      </c>
      <c r="D134" s="117">
        <f>+[2]Montpe!$H134</f>
        <v>0</v>
      </c>
      <c r="E134" s="160">
        <f>IF(ISNA(VLOOKUP("MON641200000",Balanceanp!C:G,5,FALSE))=TRUE,0,VLOOKUP("MON641200000",Balanceanp!C:G,5,FALSE))</f>
        <v>-601.19999999999891</v>
      </c>
      <c r="F134" s="368">
        <f>+C134+C134/9*(12-Clients!$I$14)</f>
        <v>0</v>
      </c>
      <c r="G134" s="395"/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IF(ISNA(VLOOKUP("MON621100000",Balance!C:G,5,FALSE))=TRUE,0,VLOOKUP("MON621100000",Balance!C:G,5,FALSE))</f>
        <v>1804.95</v>
      </c>
      <c r="D135" s="117">
        <f>+[2]Montpe!$H135</f>
        <v>2617.0446000000002</v>
      </c>
      <c r="E135" s="160">
        <f>IF(ISNA(VLOOKUP("MON621100000",Balanceanp!C:G,5,FALSE))=TRUE,0,VLOOKUP("MON621100000",Balanceanp!C:G,5,FALSE))</f>
        <v>3143.56</v>
      </c>
      <c r="F135" s="368">
        <f>+C135+C135/9*(12-Clients!$I$14)</f>
        <v>2406.6000000000004</v>
      </c>
      <c r="G135" s="395"/>
      <c r="H135" s="401"/>
      <c r="I135" s="149">
        <f t="shared" si="13"/>
        <v>-0.23443484457112307</v>
      </c>
      <c r="J135" s="271">
        <f t="shared" si="13"/>
        <v>-1</v>
      </c>
      <c r="L135" s="17">
        <v>0</v>
      </c>
    </row>
    <row r="136" spans="1:12" hidden="1">
      <c r="A136" s="5" t="s">
        <v>338</v>
      </c>
      <c r="B136" s="92"/>
      <c r="C136" s="160">
        <f>IF(ISNA(VLOOKUP("MON621200000",Balance!C:G,5,FALSE))=TRUE,0,VLOOKUP("MON621200000",Balance!C:G,5,FALSE))</f>
        <v>0</v>
      </c>
      <c r="D136" s="117">
        <f>+[2]Montpe!$H136</f>
        <v>0</v>
      </c>
      <c r="E136" s="160">
        <f>IF(ISNA(VLOOKUP("MON621200000",Balanceanp!C:G,5,FALSE))=TRUE,0,VLOOKUP("MON621200000",Balanceanp!C:G,5,FALSE))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3"/>
        <v>0</v>
      </c>
      <c r="J136" s="271">
        <f t="shared" si="13"/>
        <v>0</v>
      </c>
      <c r="L136" s="17">
        <f t="shared" ref="L136:L197" si="14">IF(SUM(C136:J136)&lt;&gt;0,1,0)</f>
        <v>0</v>
      </c>
    </row>
    <row r="137" spans="1:12" hidden="1">
      <c r="A137" s="5" t="s">
        <v>87</v>
      </c>
      <c r="B137" s="92"/>
      <c r="C137" s="160">
        <f>IF(ISNA(VLOOKUP("MON706100000",Balance!C:G,5,FALSE))=TRUE,0,-VLOOKUP("MON706100000",Balance!C:G,5,FALSE))</f>
        <v>0</v>
      </c>
      <c r="D137" s="117">
        <f>+[2]Montpe!$H137</f>
        <v>0</v>
      </c>
      <c r="E137" s="160">
        <f>IF(ISNA(VLOOKUP("MON706100000",Balanceanp!C:G,5,FALSE))=TRUE,0,-VLOOKUP("MON706100000",Balanceanp!C:G,5,FALSE))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3"/>
        <v>0</v>
      </c>
      <c r="J137" s="271">
        <f t="shared" si="13"/>
        <v>0</v>
      </c>
      <c r="L137" s="17">
        <f t="shared" si="14"/>
        <v>0</v>
      </c>
    </row>
    <row r="138" spans="1:12" hidden="1">
      <c r="A138" s="5" t="s">
        <v>152</v>
      </c>
      <c r="B138" s="92"/>
      <c r="C138" s="160">
        <f>IF(ISNA(VLOOKUP("MON641210000",Balance!C:G,5,FALSE))=TRUE,0,VLOOKUP("MON641210000",Balance!C:G,5,FALSE))</f>
        <v>0</v>
      </c>
      <c r="D138" s="117">
        <f>+[2]Montpe!$H138</f>
        <v>0</v>
      </c>
      <c r="E138" s="160">
        <f>IF(ISNA(VLOOKUP("MON641210000",Balanceanp!C:G,5,FALSE))=TRUE,0,VLOOKUP("MON641210000",Balanceanp!C:G,5,FALSE))</f>
        <v>-197.65000000000009</v>
      </c>
      <c r="F138" s="368">
        <f>+C138+C138/9*(12-Clients!$I$14)</f>
        <v>0</v>
      </c>
      <c r="G138" s="395"/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IF(ISNA(VLOOKUP("MON641400000",Balance!C:G,5,FALSE))=TRUE,0,VLOOKUP("MON641400000",Balance!C:G,5,FALSE))</f>
        <v>0</v>
      </c>
      <c r="D139" s="117">
        <f>+[2]Montpe!$H139</f>
        <v>0</v>
      </c>
      <c r="E139" s="160">
        <f>IF(ISNA(VLOOKUP("MON641400000",Balanceanp!C:G,5,FALSE))=TRUE,0,VLOOKUP("MON641400000",Balanceanp!C:G,5,FALSE))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3"/>
        <v>0</v>
      </c>
      <c r="J139" s="271">
        <f t="shared" si="13"/>
        <v>0</v>
      </c>
      <c r="L139" s="17">
        <f t="shared" si="14"/>
        <v>0</v>
      </c>
    </row>
    <row r="140" spans="1:12" hidden="1">
      <c r="A140" s="5" t="s">
        <v>154</v>
      </c>
      <c r="B140" s="92"/>
      <c r="C140" s="160">
        <f>IF(ISNA(VLOOKUP("MON641600000",Balance!C:G,5,FALSE))=TRUE,0,VLOOKUP("MON641600000",Balance!C:G,5,FALSE))</f>
        <v>0</v>
      </c>
      <c r="D140" s="117">
        <f>+[2]Montpe!$H140</f>
        <v>0</v>
      </c>
      <c r="E140" s="160">
        <f>IF(ISNA(VLOOKUP("MON641600000",Balanceanp!C:G,5,FALSE))=TRUE,0,VLOOKUP("MON641600000",Balanceanp!C:G,5,FALSE))</f>
        <v>0</v>
      </c>
      <c r="F140" s="368">
        <f>+C140+C140/9*(12-Clients!$I$14)</f>
        <v>0</v>
      </c>
      <c r="G140" s="395"/>
      <c r="H140" s="401"/>
      <c r="I140" s="149">
        <f t="shared" si="13"/>
        <v>0</v>
      </c>
      <c r="J140" s="271">
        <f t="shared" si="13"/>
        <v>0</v>
      </c>
      <c r="L140" s="17">
        <f t="shared" si="14"/>
        <v>0</v>
      </c>
    </row>
    <row r="141" spans="1:12">
      <c r="A141" s="590" t="s">
        <v>155</v>
      </c>
      <c r="B141" s="591"/>
      <c r="C141" s="805">
        <f>IF(ISNA(VLOOKUP("MON645100000",Balance!C:G,5,FALSE))=TRUE,0,VLOOKUP("MON645100000",Balance!C:G,5,FALSE))</f>
        <v>19589.87</v>
      </c>
      <c r="D141" s="619">
        <f>+[2]Montpe!$H141</f>
        <v>24785.568685093469</v>
      </c>
      <c r="E141" s="805">
        <f>IF(ISNA(VLOOKUP("MON645100000",Balanceanp!C:G,5,FALSE))=TRUE,0,VLOOKUP("MON645100000",Balanceanp!C:G,5,FALSE))</f>
        <v>28145.32</v>
      </c>
      <c r="F141" s="593">
        <f>+C141+C141/9*(12-Clients!$I$14)</f>
        <v>26119.826666666664</v>
      </c>
      <c r="G141" s="1030">
        <f t="shared" ref="G141:G146" si="15">+($G$131/$C$131*C141)*1.01</f>
        <v>27989.340625116667</v>
      </c>
      <c r="H141" s="1030"/>
      <c r="I141" s="1013">
        <f t="shared" si="13"/>
        <v>-7.1965546433060121E-2</v>
      </c>
      <c r="J141" s="1014">
        <f t="shared" si="13"/>
        <v>7.1574516259551607E-2</v>
      </c>
      <c r="L141" s="17">
        <f t="shared" si="14"/>
        <v>1</v>
      </c>
    </row>
    <row r="142" spans="1:12">
      <c r="A142" s="590" t="s">
        <v>156</v>
      </c>
      <c r="B142" s="591"/>
      <c r="C142" s="805">
        <f>IF(ISNA(VLOOKUP("MON645200000",Balance!C:G,5,FALSE))=TRUE,0,VLOOKUP("MON645200000",Balance!C:G,5,FALSE))</f>
        <v>1812.18</v>
      </c>
      <c r="D142" s="619">
        <f>+[2]Montpe!$H142</f>
        <v>2347.3702480125444</v>
      </c>
      <c r="E142" s="805">
        <f>IF(ISNA(VLOOKUP("MON645200000",Balanceanp!C:G,5,FALSE))=TRUE,0,VLOOKUP("MON645200000",Balanceanp!C:G,5,FALSE))</f>
        <v>2642.26</v>
      </c>
      <c r="F142" s="593">
        <f>+C142+C142/9*(12-Clients!$I$14)</f>
        <v>2416.2400000000002</v>
      </c>
      <c r="G142" s="1030">
        <f t="shared" si="15"/>
        <v>2589.181209166979</v>
      </c>
      <c r="H142" s="1030"/>
      <c r="I142" s="1013">
        <f t="shared" si="13"/>
        <v>-8.5540408589616451E-2</v>
      </c>
      <c r="J142" s="1014">
        <f t="shared" si="13"/>
        <v>7.157451625955151E-2</v>
      </c>
      <c r="L142" s="17">
        <f t="shared" si="14"/>
        <v>1</v>
      </c>
    </row>
    <row r="143" spans="1:12">
      <c r="A143" s="590" t="s">
        <v>157</v>
      </c>
      <c r="B143" s="591"/>
      <c r="C143" s="805">
        <f>IF(ISNA(VLOOKUP("MON645300000",Balance!C:G,5,FALSE))=TRUE,0,VLOOKUP("MON645300000",Balance!C:G,5,FALSE))</f>
        <v>4218.96</v>
      </c>
      <c r="D143" s="619">
        <f>+[2]Montpe!$H143</f>
        <v>5372.8969983301467</v>
      </c>
      <c r="E143" s="805">
        <f>IF(ISNA(VLOOKUP("MON645300000",Balanceanp!C:G,5,FALSE))=TRUE,0,VLOOKUP("MON645300000",Balanceanp!C:G,5,FALSE))</f>
        <v>6068.78</v>
      </c>
      <c r="F143" s="593">
        <f>+C143+C143/9*(12-Clients!$I$14)</f>
        <v>5625.28</v>
      </c>
      <c r="G143" s="1030">
        <f t="shared" si="15"/>
        <v>6027.9066948245299</v>
      </c>
      <c r="H143" s="1030"/>
      <c r="I143" s="1013">
        <f t="shared" si="13"/>
        <v>-7.3078938435731738E-2</v>
      </c>
      <c r="J143" s="1014">
        <f t="shared" si="13"/>
        <v>7.1574516259551565E-2</v>
      </c>
      <c r="L143" s="17">
        <f t="shared" si="14"/>
        <v>1</v>
      </c>
    </row>
    <row r="144" spans="1:12" hidden="1">
      <c r="A144" s="5" t="s">
        <v>326</v>
      </c>
      <c r="B144" s="92"/>
      <c r="C144" s="160">
        <f>IF(ISNA(VLOOKUP("MON645310000",Balance!C:G,5,FALSE))=TRUE,0,VLOOKUP("MON645310000",Balance!C:G,5,FALSE))</f>
        <v>0</v>
      </c>
      <c r="D144" s="117">
        <f>+[2]Montpe!$H144</f>
        <v>0</v>
      </c>
      <c r="E144" s="160">
        <f>IF(ISNA(VLOOKUP("MON645310000",Balanceanp!C:G,5,FALSE))=TRUE,0,VLOOKUP("MON645310000",Balanceanp!C:G,5,FALSE))</f>
        <v>0</v>
      </c>
      <c r="F144" s="368">
        <f>+C144+C144/9*(12-Clients!$I$14)</f>
        <v>0</v>
      </c>
      <c r="G144" s="396">
        <f t="shared" si="15"/>
        <v>0</v>
      </c>
      <c r="H144" s="409"/>
      <c r="I144" s="149">
        <f t="shared" si="13"/>
        <v>0</v>
      </c>
      <c r="J144" s="271">
        <f t="shared" si="13"/>
        <v>0</v>
      </c>
      <c r="L144" s="17">
        <f t="shared" si="14"/>
        <v>0</v>
      </c>
    </row>
    <row r="145" spans="1:12">
      <c r="A145" s="590" t="s">
        <v>158</v>
      </c>
      <c r="B145" s="591"/>
      <c r="C145" s="805">
        <f>IF(ISNA(VLOOKUP("MON645400000",Balance!C:G,5,FALSE))=TRUE,0,VLOOKUP("MON645400000",Balance!C:G,5,FALSE))</f>
        <v>2907.49</v>
      </c>
      <c r="D145" s="619">
        <f>+[2]Montpe!$H145</f>
        <v>3594.5521743525105</v>
      </c>
      <c r="E145" s="805">
        <f>IF(ISNA(VLOOKUP("MON645400000",Balanceanp!C:G,5,FALSE))=TRUE,0,VLOOKUP("MON645400000",Balanceanp!C:G,5,FALSE))</f>
        <v>4113.7700000000004</v>
      </c>
      <c r="F145" s="593">
        <f>+C145+C145/9*(12-Clients!$I$14)</f>
        <v>3876.6533333333327</v>
      </c>
      <c r="G145" s="1030">
        <f t="shared" si="15"/>
        <v>4154.1229203726443</v>
      </c>
      <c r="H145" s="1030"/>
      <c r="I145" s="1013">
        <f t="shared" si="13"/>
        <v>-5.7639748130466135E-2</v>
      </c>
      <c r="J145" s="1014">
        <f t="shared" si="13"/>
        <v>7.1574516259551621E-2</v>
      </c>
      <c r="L145" s="17">
        <f t="shared" si="14"/>
        <v>1</v>
      </c>
    </row>
    <row r="146" spans="1:12" hidden="1">
      <c r="A146" s="5" t="s">
        <v>159</v>
      </c>
      <c r="B146" s="92"/>
      <c r="C146" s="160">
        <f>IF(ISNA(VLOOKUP("MON645800000",Balance!C:G,5,FALSE))=TRUE,0,VLOOKUP("MON645800000",Balance!C:G,5,FALSE))</f>
        <v>0</v>
      </c>
      <c r="D146" s="117">
        <f>+[2]Montpe!$H146</f>
        <v>0</v>
      </c>
      <c r="E146" s="160">
        <f>IF(ISNA(VLOOKUP("MON645800000",Balanceanp!C:G,5,FALSE))=TRUE,0,VLOOKUP("MON645800000",Balanceanp!C:G,5,FALSE))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4"/>
        <v>0</v>
      </c>
    </row>
    <row r="147" spans="1:12">
      <c r="A147" s="590" t="s">
        <v>160</v>
      </c>
      <c r="B147" s="591"/>
      <c r="C147" s="805">
        <f>IF(ISNA(VLOOKUP("MON645900000",Balance!C:G,5,FALSE))=TRUE,0,VLOOKUP("MON645900000",Balance!C:G,5,FALSE))</f>
        <v>504.08</v>
      </c>
      <c r="D147" s="619">
        <f>+[2]Montpe!$H147</f>
        <v>402.91540000000003</v>
      </c>
      <c r="E147" s="805">
        <f>IF(ISNA(VLOOKUP("MON645900000",Balanceanp!C:G,5,FALSE))=TRUE,0,VLOOKUP("MON645900000",Balanceanp!C:G,5,FALSE))</f>
        <v>-105.79</v>
      </c>
      <c r="F147" s="593">
        <f>+C147+C147/9*(12-Clients!$I$14)</f>
        <v>672.10666666666668</v>
      </c>
      <c r="G147" s="1030">
        <f>+F147*1.03</f>
        <v>692.26986666666676</v>
      </c>
      <c r="H147" s="1030"/>
      <c r="I147" s="1013">
        <f t="shared" ref="I147:J152" si="16">+IF((E147)=0,,(F147-E147)/E147)</f>
        <v>-7.3532154898068498</v>
      </c>
      <c r="J147" s="1014">
        <f t="shared" si="16"/>
        <v>3.000000000000011E-2</v>
      </c>
      <c r="L147" s="17">
        <f t="shared" si="14"/>
        <v>1</v>
      </c>
    </row>
    <row r="148" spans="1:12">
      <c r="A148" s="590" t="s">
        <v>161</v>
      </c>
      <c r="B148" s="591"/>
      <c r="C148" s="805">
        <f>IF(ISNA(VLOOKUP("MON647100000",Balance!C:G,5,FALSE))=TRUE,0,VLOOKUP("MON647100000",Balance!C:G,5,FALSE))</f>
        <v>0</v>
      </c>
      <c r="D148" s="619">
        <f>+[2]Montpe!$H148</f>
        <v>50.726933499999994</v>
      </c>
      <c r="E148" s="805">
        <f>IF(ISNA(VLOOKUP("MON647100000",Balanceanp!C:G,5,FALSE))=TRUE,0,VLOOKUP("MON647100000",Balanceanp!C:G,5,FALSE))</f>
        <v>39.6</v>
      </c>
      <c r="F148" s="593">
        <f>+C148+C148/9*(12-Clients!$I$14)</f>
        <v>0</v>
      </c>
      <c r="G148" s="1030">
        <f>+F148*1.03</f>
        <v>0</v>
      </c>
      <c r="H148" s="1030"/>
      <c r="I148" s="1013">
        <f t="shared" si="16"/>
        <v>-1</v>
      </c>
      <c r="J148" s="1014">
        <f t="shared" si="16"/>
        <v>0</v>
      </c>
      <c r="L148" s="17">
        <f t="shared" si="14"/>
        <v>1</v>
      </c>
    </row>
    <row r="149" spans="1:12">
      <c r="A149" s="590" t="s">
        <v>162</v>
      </c>
      <c r="B149" s="591"/>
      <c r="C149" s="805">
        <f>IF(ISNA(VLOOKUP("MON647400000",Balance!C:G,5,FALSE))=TRUE,0,VLOOKUP("MON647400000",Balance!C:G,5,FALSE))</f>
        <v>65</v>
      </c>
      <c r="D149" s="619">
        <f>+[2]Montpe!$H149</f>
        <v>134.47958100000002</v>
      </c>
      <c r="E149" s="805">
        <f>IF(ISNA(VLOOKUP("MON647400000",Balanceanp!C:G,5,FALSE))=TRUE,0,VLOOKUP("MON647400000",Balanceanp!C:G,5,FALSE))</f>
        <v>113.75</v>
      </c>
      <c r="F149" s="593">
        <f>+C149+C149/9*(12-Clients!$I$14)</f>
        <v>86.666666666666671</v>
      </c>
      <c r="G149" s="1030">
        <f>+F149*1.03</f>
        <v>89.26666666666668</v>
      </c>
      <c r="H149" s="1030"/>
      <c r="I149" s="1013">
        <f t="shared" si="16"/>
        <v>-0.23809523809523805</v>
      </c>
      <c r="J149" s="1014">
        <f t="shared" si="16"/>
        <v>3.0000000000000096E-2</v>
      </c>
      <c r="L149" s="17">
        <f t="shared" si="14"/>
        <v>1</v>
      </c>
    </row>
    <row r="150" spans="1:12">
      <c r="A150" s="590" t="s">
        <v>163</v>
      </c>
      <c r="B150" s="591"/>
      <c r="C150" s="805">
        <f>IF(ISNA(VLOOKUP("MON647500000",Balance!C:G,5,FALSE))=TRUE,0,VLOOKUP("MON647500000",Balance!C:G,5,FALSE))</f>
        <v>318.95</v>
      </c>
      <c r="D150" s="619">
        <f>+[2]Montpe!$H150</f>
        <v>710.14340791333348</v>
      </c>
      <c r="E150" s="805">
        <f>IF(ISNA(VLOOKUP("MON647500000",Balanceanp!C:G,5,FALSE))=TRUE,0,VLOOKUP("MON647500000",Balanceanp!C:G,5,FALSE))</f>
        <v>518.82000000000005</v>
      </c>
      <c r="F150" s="593">
        <f>+C150+C150/9*(12-Clients!$I$14)</f>
        <v>425.26666666666665</v>
      </c>
      <c r="G150" s="1030">
        <f>+F150*1.03</f>
        <v>438.02466666666669</v>
      </c>
      <c r="H150" s="1030"/>
      <c r="I150" s="1013">
        <f t="shared" si="16"/>
        <v>-0.18031944283823559</v>
      </c>
      <c r="J150" s="1014">
        <f t="shared" si="16"/>
        <v>3.0000000000000093E-2</v>
      </c>
      <c r="L150" s="17">
        <f t="shared" si="14"/>
        <v>1</v>
      </c>
    </row>
    <row r="151" spans="1:12" hidden="1">
      <c r="A151" s="5" t="s">
        <v>570</v>
      </c>
      <c r="B151" s="92"/>
      <c r="C151" s="160"/>
      <c r="D151" s="117">
        <f>+[2]Montpe!$H151</f>
        <v>0</v>
      </c>
      <c r="E151" s="160"/>
      <c r="F151" s="368"/>
      <c r="G151" s="395"/>
      <c r="H151" s="409"/>
      <c r="I151" s="149"/>
      <c r="J151" s="271"/>
      <c r="L151" s="17">
        <f t="shared" si="14"/>
        <v>0</v>
      </c>
    </row>
    <row r="152" spans="1:12">
      <c r="A152" s="590" t="s">
        <v>58</v>
      </c>
      <c r="B152" s="591"/>
      <c r="C152" s="805">
        <f>IF(ISNA(VLOOKUP("MON648000000",Balance!C:G,5,FALSE))=TRUE,0,VLOOKUP("MON648000000",Balance!C:G,5,FALSE))</f>
        <v>0</v>
      </c>
      <c r="D152" s="619">
        <f>+[2]Montpe!$H152</f>
        <v>9.5427954999999987</v>
      </c>
      <c r="E152" s="805">
        <f>IF(ISNA(VLOOKUP("MON648000000",Balanceanp!C:G,5,FALSE))=TRUE,0,VLOOKUP("MON648000000",Balanceanp!C:G,5,FALSE))</f>
        <v>192.27832000000001</v>
      </c>
      <c r="F152" s="593">
        <f>+C152+C152/9*(12-Clients!$I$14)</f>
        <v>0</v>
      </c>
      <c r="G152" s="1030">
        <f>+F152*1.03</f>
        <v>0</v>
      </c>
      <c r="H152" s="1030">
        <f>SUM(G141:G152)</f>
        <v>41980.112649480827</v>
      </c>
      <c r="I152" s="1013">
        <f t="shared" si="16"/>
        <v>-1</v>
      </c>
      <c r="J152" s="1014">
        <f t="shared" si="16"/>
        <v>0</v>
      </c>
      <c r="L152" s="17">
        <f t="shared" si="14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13" t="s">
        <v>164</v>
      </c>
      <c r="B154" s="596">
        <f>+C154/$C$21</f>
        <v>0.1643304652295606</v>
      </c>
      <c r="C154" s="803">
        <f>SUM(C130:C153)</f>
        <v>100347.01</v>
      </c>
      <c r="D154" s="597">
        <f>SUM(D130:D153)</f>
        <v>128513.24082370203</v>
      </c>
      <c r="E154" s="803">
        <f>SUM(E130:E153)</f>
        <v>147231.71832000001</v>
      </c>
      <c r="F154" s="597">
        <f>SUM(F130:F153)</f>
        <v>133796.01333333331</v>
      </c>
      <c r="G154" s="597">
        <f>SUM(G130:G153)</f>
        <v>140120.11264948081</v>
      </c>
      <c r="H154" s="814">
        <f>+G154/$G$21</f>
        <v>0.1615565691388009</v>
      </c>
      <c r="I154" s="596">
        <f>+IF((E154)=0,,(F154-E154)/E154)</f>
        <v>-9.1255506218197793E-2</v>
      </c>
      <c r="J154" s="1015">
        <f>+IF((F154)=0,,(G154-F154)/F154)</f>
        <v>4.726672461003701E-2</v>
      </c>
      <c r="K154" s="136">
        <f>(C154+(C154/3))</f>
        <v>133796.01333333334</v>
      </c>
      <c r="L154" s="17">
        <f t="shared" si="14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590" t="s">
        <v>545</v>
      </c>
      <c r="B156" s="591">
        <v>0.89549999999999996</v>
      </c>
      <c r="C156" s="805">
        <f>IF(ISNA(VLOOKUP("MON681740000",Balance!C:G,5,FALSE))=TRUE,0,VLOOKUP("MON681740000",Balance!C:G,5,FALSE))</f>
        <v>12780.8</v>
      </c>
      <c r="D156" s="619">
        <f>+[2]Montpe!$H156</f>
        <v>12838.93458813</v>
      </c>
      <c r="E156" s="805">
        <f>IF(ISNA(VLOOKUP("MON681740000",Balanceanp!C:G,5,FALSE))=TRUE,0,VLOOKUP("MON681740000",Balanceanp!C:G,5,FALSE))</f>
        <v>39650.120000000003</v>
      </c>
      <c r="F156" s="593">
        <f>+C156+C156/9*(12-Clients!$I$14)</f>
        <v>17041.066666666666</v>
      </c>
      <c r="G156" s="636">
        <f>+G21*B156*1.62%</f>
        <v>12582.196422300001</v>
      </c>
      <c r="H156" s="1034"/>
      <c r="I156" s="1013">
        <f t="shared" ref="I156:J166" si="17">+IF((E156)=0,,(F156-E156)/E156)</f>
        <v>-0.57021399514890081</v>
      </c>
      <c r="J156" s="1014">
        <f t="shared" si="17"/>
        <v>-0.26165440999585304</v>
      </c>
      <c r="L156" s="17">
        <f t="shared" si="14"/>
        <v>1</v>
      </c>
    </row>
    <row r="157" spans="1:12">
      <c r="A157" s="590" t="s">
        <v>165</v>
      </c>
      <c r="B157" s="591"/>
      <c r="C157" s="805">
        <f>IF(ISNA(VLOOKUP("MON781740000",Balance!C:G,5,FALSE))=TRUE,0,VLOOKUP("MON781740000",Balance!C:G,5,FALSE))</f>
        <v>-19555.22</v>
      </c>
      <c r="D157" s="619">
        <f>+[2]Montpe!$H157</f>
        <v>0</v>
      </c>
      <c r="E157" s="805">
        <f>IF(ISNA(VLOOKUP("MON781740000",Balanceanp!C:G,5,FALSE))=TRUE,0,VLOOKUP("MON781740000",Balanceanp!C:G,5,FALSE))</f>
        <v>-4538.26</v>
      </c>
      <c r="F157" s="593">
        <f>+C157+C157/9*(12-Clients!$I$14)</f>
        <v>-26073.626666666671</v>
      </c>
      <c r="G157" s="1030">
        <v>0</v>
      </c>
      <c r="H157" s="1030"/>
      <c r="I157" s="1013">
        <f t="shared" si="17"/>
        <v>4.745291514075145</v>
      </c>
      <c r="J157" s="1014">
        <f t="shared" si="17"/>
        <v>-1</v>
      </c>
      <c r="L157" s="17">
        <f t="shared" si="14"/>
        <v>1</v>
      </c>
    </row>
    <row r="158" spans="1:12">
      <c r="A158" s="590" t="s">
        <v>166</v>
      </c>
      <c r="B158" s="591"/>
      <c r="C158" s="805">
        <f>IF(ISNA(VLOOKUP("MON654400000",Balance!C:G,5,FALSE))=TRUE,0,VLOOKUP("MON654400000",Balance!C:G,5,FALSE))</f>
        <v>20680.919999999998</v>
      </c>
      <c r="D158" s="619">
        <f>+[2]Montpe!$H158</f>
        <v>0</v>
      </c>
      <c r="E158" s="805">
        <f>IF(ISNA(VLOOKUP("MON654400000",Balanceanp!C:G,5,FALSE))=TRUE,0,VLOOKUP("MON654400000",Balanceanp!C:G,5,FALSE))</f>
        <v>2686.8</v>
      </c>
      <c r="F158" s="593">
        <f>+C158+C158/9*(12-Clients!$I$14)</f>
        <v>27574.559999999998</v>
      </c>
      <c r="G158" s="1030">
        <v>0</v>
      </c>
      <c r="H158" s="1030"/>
      <c r="I158" s="1013">
        <f t="shared" si="17"/>
        <v>9.2629745422063401</v>
      </c>
      <c r="J158" s="1014">
        <f t="shared" si="17"/>
        <v>-1</v>
      </c>
      <c r="L158" s="17">
        <f t="shared" si="14"/>
        <v>1</v>
      </c>
    </row>
    <row r="159" spans="1:12">
      <c r="A159" s="590" t="s">
        <v>60</v>
      </c>
      <c r="B159" s="591"/>
      <c r="C159" s="805">
        <f>IF(ISNA(VLOOKUP("MON791100000",Balance!C:G,5,FALSE))=TRUE,0,VLOOKUP("MON791100000",Balance!C:G,5,FALSE))</f>
        <v>-1678.43</v>
      </c>
      <c r="D159" s="619">
        <f>+[2]Montpe!$H159</f>
        <v>0</v>
      </c>
      <c r="E159" s="805">
        <f>IF(ISNA(VLOOKUP("MON791100000",Balanceanp!C:G,5,FALSE))=TRUE,0,VLOOKUP("MON791100000",Balanceanp!C:G,5,FALSE))</f>
        <v>-11245.19</v>
      </c>
      <c r="F159" s="593">
        <f>+C159+C159/9*(12-Clients!$I$14)</f>
        <v>-2237.9066666666668</v>
      </c>
      <c r="G159" s="1030">
        <v>0</v>
      </c>
      <c r="H159" s="1030"/>
      <c r="I159" s="1013">
        <f t="shared" si="17"/>
        <v>-0.80098987507844088</v>
      </c>
      <c r="J159" s="1014">
        <f t="shared" si="17"/>
        <v>-1</v>
      </c>
      <c r="L159" s="17">
        <f t="shared" si="14"/>
        <v>1</v>
      </c>
    </row>
    <row r="160" spans="1:12">
      <c r="A160" s="590" t="s">
        <v>199</v>
      </c>
      <c r="B160" s="591"/>
      <c r="C160" s="805">
        <f>IF(ISNA(VLOOKUP("MON654100000",Balance!C:G,5,FALSE))=TRUE,0,VLOOKUP("MON654100000",Balance!C:G,5,FALSE))</f>
        <v>11.26</v>
      </c>
      <c r="D160" s="619">
        <f>+[2]Montpe!$H160</f>
        <v>0</v>
      </c>
      <c r="E160" s="805">
        <f>IF(ISNA(VLOOKUP("MON654100000",Balanceanp!C:G,5,FALSE))=TRUE,0,VLOOKUP("MON654100000",Balanceanp!C:G,5,FALSE))</f>
        <v>7.61</v>
      </c>
      <c r="F160" s="593">
        <f>+C160+C160/9*(12-Clients!$I$14)</f>
        <v>15.013333333333332</v>
      </c>
      <c r="G160" s="1030">
        <v>0</v>
      </c>
      <c r="H160" s="1030"/>
      <c r="I160" s="1013">
        <f t="shared" si="17"/>
        <v>0.97284275076653504</v>
      </c>
      <c r="J160" s="1014">
        <f t="shared" si="17"/>
        <v>-1</v>
      </c>
      <c r="L160" s="17">
        <f t="shared" si="14"/>
        <v>1</v>
      </c>
    </row>
    <row r="161" spans="1:12">
      <c r="A161" s="590" t="s">
        <v>41</v>
      </c>
      <c r="B161" s="591"/>
      <c r="C161" s="805">
        <f>IF(ISNA(VLOOKUP("MON622700000",Balance!C:G,5,FALSE))=TRUE,0,VLOOKUP("MON622700000",Balance!C:G,5,FALSE))</f>
        <v>1469.37</v>
      </c>
      <c r="D161" s="619">
        <f>+[2]Montpe!$H161</f>
        <v>683.83871557465318</v>
      </c>
      <c r="E161" s="805">
        <f>IF(ISNA(VLOOKUP("MON622700000",Balanceanp!C:G,5,FALSE))=TRUE,0,VLOOKUP("MON622700000",Balanceanp!C:G,5,FALSE))</f>
        <v>559.79999999999995</v>
      </c>
      <c r="F161" s="593">
        <f>+C161+C161/9*(12-Clients!$I$14)</f>
        <v>1959.1599999999999</v>
      </c>
      <c r="G161" s="1032">
        <v>600</v>
      </c>
      <c r="H161" s="1030"/>
      <c r="I161" s="1013">
        <f t="shared" si="17"/>
        <v>2.4997499106823864</v>
      </c>
      <c r="J161" s="1014">
        <f t="shared" si="17"/>
        <v>-0.69374629943445143</v>
      </c>
      <c r="L161" s="17">
        <f t="shared" si="14"/>
        <v>1</v>
      </c>
    </row>
    <row r="162" spans="1:12">
      <c r="A162" s="590" t="s">
        <v>355</v>
      </c>
      <c r="B162" s="591"/>
      <c r="C162" s="805">
        <f>IF(ISNA(VLOOKUP("MON654200000",Balance!C:G,5,FALSE))=TRUE,0,VLOOKUP("MON654200000",Balance!C:G,5,FALSE))</f>
        <v>3.59</v>
      </c>
      <c r="D162" s="619">
        <f>+[2]Montpe!$H162</f>
        <v>2.7143273552527778</v>
      </c>
      <c r="E162" s="805">
        <f>IF(ISNA(VLOOKUP("MON654200000",Balanceanp!C:G,5,FALSE))=TRUE,0,VLOOKUP("MON654200000",Balanceanp!C:G,5,FALSE))</f>
        <v>0</v>
      </c>
      <c r="F162" s="593">
        <f>+C162+C162/9*(12-Clients!$I$14)</f>
        <v>4.7866666666666662</v>
      </c>
      <c r="G162" s="1030">
        <f>+F162*1.03</f>
        <v>4.9302666666666664</v>
      </c>
      <c r="H162" s="1030"/>
      <c r="I162" s="1013">
        <f t="shared" si="17"/>
        <v>0</v>
      </c>
      <c r="J162" s="1014">
        <f t="shared" si="17"/>
        <v>3.0000000000000041E-2</v>
      </c>
      <c r="L162" s="17">
        <f t="shared" si="14"/>
        <v>1</v>
      </c>
    </row>
    <row r="163" spans="1:12">
      <c r="A163" s="590" t="s">
        <v>200</v>
      </c>
      <c r="B163" s="591"/>
      <c r="C163" s="805">
        <f>IF(ISNA(VLOOKUP("MON665000000",Balance!C:G,5,FALSE))=TRUE,0,VLOOKUP("MON665000000",Balance!C:G,5,FALSE))+IF(ISNA(VLOOKUP("MON665100000",Balance!C:G,5,FALSE))=TRUE,0,VLOOKUP("MON665100000",Balance!C:G,5,FALSE))</f>
        <v>505.59</v>
      </c>
      <c r="D163" s="619">
        <f>+[2]Montpe!$H163</f>
        <v>16.006053971642707</v>
      </c>
      <c r="E163" s="805">
        <f>IF(ISNA(VLOOKUP("MON665000000",Balanceanp!C:G,5,FALSE))=TRUE,0,VLOOKUP("MON665000000",Balanceanp!C:G,5,FALSE))+IF(ISNA(VLOOKUP("MON665100000",Balanceanp!C:G,5,FALSE))=TRUE,0,VLOOKUP("MON665100000",Balanceanp!C:G,5,FALSE))</f>
        <v>156.31</v>
      </c>
      <c r="F163" s="593">
        <f>+C163+C163/9*(12-Clients!$I$14)</f>
        <v>674.11999999999989</v>
      </c>
      <c r="G163" s="1030">
        <f>+F163*1.03</f>
        <v>694.34359999999992</v>
      </c>
      <c r="H163" s="1030"/>
      <c r="I163" s="1013">
        <f t="shared" si="17"/>
        <v>3.3127119186232483</v>
      </c>
      <c r="J163" s="1014">
        <f t="shared" si="17"/>
        <v>3.0000000000000054E-2</v>
      </c>
      <c r="L163" s="17">
        <f t="shared" si="14"/>
        <v>1</v>
      </c>
    </row>
    <row r="164" spans="1:12">
      <c r="A164" s="590" t="s">
        <v>271</v>
      </c>
      <c r="B164" s="591"/>
      <c r="C164" s="805">
        <f>IF(ISNA(VLOOKUP("MON763000000",Balance!C:G,5,FALSE))=TRUE,0,VLOOKUP("MON763000000",Balance!C:G,5,FALSE))</f>
        <v>-79.5</v>
      </c>
      <c r="D164" s="619">
        <f>+[2]Montpe!$H164</f>
        <v>-104.48613133708332</v>
      </c>
      <c r="E164" s="805">
        <f>IF(ISNA(VLOOKUP("MON763000000",Balanceanp!C:G,5,FALSE))=TRUE,0,VLOOKUP("MON763000000",Balanceanp!C:G,5,FALSE))</f>
        <v>-96.61</v>
      </c>
      <c r="F164" s="593">
        <f>+C164+C164/9*(12-Clients!$I$14)</f>
        <v>-106</v>
      </c>
      <c r="G164" s="1030">
        <f>+F164*1.03</f>
        <v>-109.18</v>
      </c>
      <c r="H164" s="1030"/>
      <c r="I164" s="1013">
        <f t="shared" si="17"/>
        <v>9.7194907359486604E-2</v>
      </c>
      <c r="J164" s="1014">
        <f t="shared" si="17"/>
        <v>3.0000000000000065E-2</v>
      </c>
      <c r="L164" s="17">
        <f t="shared" si="14"/>
        <v>1</v>
      </c>
    </row>
    <row r="165" spans="1:12">
      <c r="A165" s="590" t="s">
        <v>242</v>
      </c>
      <c r="B165" s="591"/>
      <c r="C165" s="805">
        <f>IF(ISNA(VLOOKUP("MON627520000",Balance!C:G,5,FALSE))=TRUE,0,VLOOKUP("MON627520000",Balance!C:G,5,FALSE))</f>
        <v>404.8</v>
      </c>
      <c r="D165" s="619">
        <f>+[2]Montpe!$H165</f>
        <v>449.69897055076035</v>
      </c>
      <c r="E165" s="805">
        <f>IF(ISNA(VLOOKUP("MON627520000",Balanceanp!C:G,5,FALSE))=TRUE,0,VLOOKUP("MON627520000",Balanceanp!C:G,5,FALSE))</f>
        <v>402.4</v>
      </c>
      <c r="F165" s="593">
        <f>+C165+C165/9*(12-Clients!$I$14)</f>
        <v>539.73333333333335</v>
      </c>
      <c r="G165" s="1030">
        <f>+F165*1.03</f>
        <v>555.92533333333336</v>
      </c>
      <c r="H165" s="1030"/>
      <c r="I165" s="1013">
        <f t="shared" si="17"/>
        <v>0.34128561961563963</v>
      </c>
      <c r="J165" s="1014">
        <f t="shared" si="17"/>
        <v>3.0000000000000013E-2</v>
      </c>
      <c r="L165" s="17">
        <f t="shared" si="14"/>
        <v>1</v>
      </c>
    </row>
    <row r="166" spans="1:12" hidden="1">
      <c r="A166" s="5" t="s">
        <v>201</v>
      </c>
      <c r="B166" s="92"/>
      <c r="C166" s="160">
        <f>IF(ISNA(VLOOKUP("MON763100000",Balance!C:G,5,FALSE))=TRUE,0,VLOOKUP("MON763100000",Balance!C:G,5,FALSE))</f>
        <v>0</v>
      </c>
      <c r="D166" s="117">
        <f>+[2]Montpe!$H166</f>
        <v>0</v>
      </c>
      <c r="E166" s="160">
        <f>IF(ISNA(VLOOKUP("MON763100000",Balanceanp!C:G,5,FALSE))=TRUE,0,VLOOKUP("MON763100000",Balanceanp!C:G,5,FALSE))</f>
        <v>0</v>
      </c>
      <c r="F166" s="368">
        <f>+C166+C166/9*(12-Clients!$I$14)</f>
        <v>0</v>
      </c>
      <c r="G166" s="396">
        <f>+F166*1.03</f>
        <v>0</v>
      </c>
      <c r="H166" s="409"/>
      <c r="I166" s="149">
        <f t="shared" si="17"/>
        <v>0</v>
      </c>
      <c r="J166" s="271">
        <f t="shared" si="17"/>
        <v>0</v>
      </c>
      <c r="L166" s="17">
        <f t="shared" si="14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13" t="s">
        <v>74</v>
      </c>
      <c r="B168" s="596">
        <f>+C168/$C$21</f>
        <v>2.3816230651189714E-2</v>
      </c>
      <c r="C168" s="803">
        <f>SUM(C155:C167)</f>
        <v>14543.179999999997</v>
      </c>
      <c r="D168" s="597">
        <f>SUM(D155:D167)</f>
        <v>13886.706524245225</v>
      </c>
      <c r="E168" s="803">
        <f>SUM(E155:E167)</f>
        <v>27582.980000000003</v>
      </c>
      <c r="F168" s="597">
        <f>SUM(F155:F167)</f>
        <v>19390.906666666662</v>
      </c>
      <c r="G168" s="597">
        <f>SUM(G155:G167)</f>
        <v>14328.2156223</v>
      </c>
      <c r="H168" s="814">
        <f>+G168/$G$21</f>
        <v>1.6520236203423678E-2</v>
      </c>
      <c r="I168" s="596">
        <f>+IF((E168)=0,,(F168-E168)/E168)</f>
        <v>-0.29699739960415228</v>
      </c>
      <c r="J168" s="1015">
        <f>+IF((F168)=0,,(G168-F168)/F168)</f>
        <v>-0.26108583427249044</v>
      </c>
      <c r="K168" s="136">
        <f>(C168+(C168/3))</f>
        <v>19390.906666666662</v>
      </c>
      <c r="L168" s="17">
        <f t="shared" si="14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 hidden="1">
      <c r="A170" s="5" t="s">
        <v>167</v>
      </c>
      <c r="B170" s="92"/>
      <c r="C170" s="160">
        <f>IF(ISNA(VLOOKUP("MON651100000",Balance!C:G,5,FALSE))=TRUE,0,VLOOKUP("MON651100000",Balance!C:G,5,FALSE))</f>
        <v>0</v>
      </c>
      <c r="D170" s="117">
        <f>+[2]Montpe!$H170</f>
        <v>0</v>
      </c>
      <c r="E170" s="160">
        <f>IF(ISNA(VLOOKUP("MON651100000",Balanceanp!C:G,5,FALSE))=TRUE,0,VLOOKUP("MON651100000",Balanceanp!C:G,5,FALSE))</f>
        <v>0</v>
      </c>
      <c r="F170" s="368">
        <f>+C170+C170/9*(12-Clients!$I$14)</f>
        <v>0</v>
      </c>
      <c r="G170" s="396">
        <f t="shared" ref="G170:G183" si="18">+F170*1.03</f>
        <v>0</v>
      </c>
      <c r="H170" s="409"/>
      <c r="I170" s="149">
        <f t="shared" ref="I170:J183" si="19">+IF((E170)=0,,(F170-E170)/E170)</f>
        <v>0</v>
      </c>
      <c r="J170" s="271">
        <f t="shared" si="19"/>
        <v>0</v>
      </c>
      <c r="L170" s="17">
        <f t="shared" si="14"/>
        <v>0</v>
      </c>
    </row>
    <row r="171" spans="1:12">
      <c r="A171" s="590" t="s">
        <v>168</v>
      </c>
      <c r="B171" s="591"/>
      <c r="C171" s="805">
        <f>IF(ISNA(VLOOKUP("MON651600000",Balance!C:G,5,FALSE))=TRUE,0,VLOOKUP("MON651600000",Balance!C:G,5,FALSE))</f>
        <v>221.89</v>
      </c>
      <c r="D171" s="619">
        <f>+[2]Montpe!$H171</f>
        <v>261.11600259347085</v>
      </c>
      <c r="E171" s="805">
        <f>IF(ISNA(VLOOKUP("MON651600000",Balanceanp!C:G,5,FALSE))=TRUE,0,VLOOKUP("MON651600000",Balanceanp!C:G,5,FALSE))</f>
        <v>191.46</v>
      </c>
      <c r="F171" s="593">
        <f>+C171+C171/9*(12-Clients!$I$14)</f>
        <v>295.85333333333335</v>
      </c>
      <c r="G171" s="1030">
        <f t="shared" si="18"/>
        <v>304.72893333333337</v>
      </c>
      <c r="H171" s="1030"/>
      <c r="I171" s="1013">
        <f t="shared" si="19"/>
        <v>0.54524878999965187</v>
      </c>
      <c r="J171" s="1014">
        <f t="shared" si="19"/>
        <v>3.0000000000000065E-2</v>
      </c>
      <c r="L171" s="17">
        <f t="shared" si="14"/>
        <v>1</v>
      </c>
    </row>
    <row r="172" spans="1:12" hidden="1">
      <c r="A172" s="5" t="s">
        <v>169</v>
      </c>
      <c r="B172" s="92"/>
      <c r="C172" s="160">
        <f>IF(ISNA(VLOOKUP("MON671200000",Balance!C:G,5,FALSE))=TRUE,0,VLOOKUP("MON671200000",Balance!C:G,5,FALSE))</f>
        <v>0</v>
      </c>
      <c r="D172" s="117">
        <f>+[2]Montpe!$H172</f>
        <v>0</v>
      </c>
      <c r="E172" s="160">
        <f>IF(ISNA(VLOOKUP("MON671200000",Balanceanp!C:G,5,FALSE))=TRUE,0,VLOOKUP("MON671200000",Balanceanp!C:G,5,FALSE))</f>
        <v>0</v>
      </c>
      <c r="F172" s="368">
        <f>+C172+C172/9*(12-Clients!$I$14)</f>
        <v>0</v>
      </c>
      <c r="G172" s="396">
        <f t="shared" si="18"/>
        <v>0</v>
      </c>
      <c r="H172" s="409"/>
      <c r="I172" s="149">
        <f t="shared" si="19"/>
        <v>0</v>
      </c>
      <c r="J172" s="271">
        <f t="shared" si="19"/>
        <v>0</v>
      </c>
      <c r="L172" s="17">
        <f t="shared" si="14"/>
        <v>0</v>
      </c>
    </row>
    <row r="173" spans="1:12">
      <c r="A173" s="590" t="s">
        <v>170</v>
      </c>
      <c r="B173" s="591"/>
      <c r="C173" s="805">
        <f>IF(ISNA(VLOOKUP("MON671800000",Balance!C:G,5,FALSE))=TRUE,0,VLOOKUP("MON671800000",Balance!C:G,5,FALSE))+IF(ISNA(VLOOKUP("MON658000000",Balance!C:G,5,FALSE))=TRUE,0,VLOOKUP("MON658000000",Balance!C:G,5,FALSE))</f>
        <v>386.38</v>
      </c>
      <c r="D173" s="619">
        <f>+[2]Montpe!$H173</f>
        <v>0</v>
      </c>
      <c r="E173" s="805">
        <f>IF(ISNA(VLOOKUP("MON671800000",Balanceanp!C:G,5,FALSE))=TRUE,0,VLOOKUP("MON671800000",Balanceanp!C:G,5,FALSE))+IF(ISNA(VLOOKUP("MON658000000",Balanceanp!C:G,5,FALSE))=TRUE,0,VLOOKUP("MON658000000",Balanceanp!C:G,5,FALSE))</f>
        <v>25145.71</v>
      </c>
      <c r="F173" s="593">
        <f>+C173+C173/9*(12-Clients!$I$14)</f>
        <v>515.17333333333329</v>
      </c>
      <c r="G173" s="1030">
        <f t="shared" si="18"/>
        <v>530.62853333333328</v>
      </c>
      <c r="H173" s="1030"/>
      <c r="I173" s="1013">
        <f t="shared" si="19"/>
        <v>-0.97951247615067016</v>
      </c>
      <c r="J173" s="1014">
        <f t="shared" si="19"/>
        <v>2.9999999999999985E-2</v>
      </c>
      <c r="L173" s="17">
        <f t="shared" si="14"/>
        <v>1</v>
      </c>
    </row>
    <row r="174" spans="1:12" hidden="1">
      <c r="A174" s="5" t="s">
        <v>171</v>
      </c>
      <c r="B174" s="92"/>
      <c r="C174" s="160">
        <f>IF(ISNA(VLOOKUP("MON672000000",Balance!C:G,5,FALSE))=TRUE,0,VLOOKUP("MON672000000",Balance!C:G,5,FALSE))</f>
        <v>0</v>
      </c>
      <c r="D174" s="117">
        <f>+[2]Montpe!$H174</f>
        <v>0</v>
      </c>
      <c r="E174" s="160">
        <f>IF(ISNA(VLOOKUP("MON672000000",Balanceanp!C:G,5,FALSE))=TRUE,0,VLOOKUP("MON672000000",Balanceanp!C:G,5,FALSE))</f>
        <v>0</v>
      </c>
      <c r="F174" s="368">
        <f>+C174+C174/9*(12-Clients!$I$14)</f>
        <v>0</v>
      </c>
      <c r="G174" s="396">
        <f t="shared" si="18"/>
        <v>0</v>
      </c>
      <c r="H174" s="409"/>
      <c r="I174" s="149">
        <f t="shared" si="19"/>
        <v>0</v>
      </c>
      <c r="J174" s="271">
        <f t="shared" si="19"/>
        <v>0</v>
      </c>
      <c r="L174" s="17">
        <f t="shared" si="14"/>
        <v>0</v>
      </c>
    </row>
    <row r="175" spans="1:12" hidden="1">
      <c r="A175" s="5" t="s">
        <v>308</v>
      </c>
      <c r="B175" s="92"/>
      <c r="C175" s="160">
        <f>IF(ISNA(VLOOKUP("MON691100000",Balance!C:G,5,FALSE))=TRUE,0,VLOOKUP("MON691100000",Balance!C:G,5,FALSE))</f>
        <v>0</v>
      </c>
      <c r="D175" s="117">
        <f>+[2]Montpe!$H175</f>
        <v>0</v>
      </c>
      <c r="E175" s="160">
        <f>IF(ISNA(VLOOKUP("MON691100000",Balanceanp!C:G,5,FALSE))=TRUE,0,VLOOKUP("MON691100000",Balanceanp!C:G,5,FALSE))</f>
        <v>0</v>
      </c>
      <c r="F175" s="368">
        <f>+C175+C175/9*(12-Clients!$I$14)</f>
        <v>0</v>
      </c>
      <c r="G175" s="396">
        <f t="shared" si="18"/>
        <v>0</v>
      </c>
      <c r="H175" s="409"/>
      <c r="I175" s="149">
        <f t="shared" si="19"/>
        <v>0</v>
      </c>
      <c r="J175" s="271">
        <f t="shared" si="19"/>
        <v>0</v>
      </c>
      <c r="L175" s="17">
        <f t="shared" si="14"/>
        <v>0</v>
      </c>
    </row>
    <row r="176" spans="1:12" hidden="1">
      <c r="A176" s="5" t="s">
        <v>172</v>
      </c>
      <c r="B176" s="92"/>
      <c r="C176" s="160">
        <f>IF(ISNA(VLOOKUP("MON675100000",Balance!C:G,5,FALSE))=TRUE,0,VLOOKUP("MON675100000",Balance!C:G,5,FALSE))</f>
        <v>0</v>
      </c>
      <c r="D176" s="117">
        <f>+[2]Montpe!$H176</f>
        <v>0</v>
      </c>
      <c r="E176" s="160">
        <f>IF(ISNA(VLOOKUP("MON675100000",Balanceanp!C:G,5,FALSE))=TRUE,0,VLOOKUP("MON675100000",Balanceanp!C:G,5,FALSE))</f>
        <v>0</v>
      </c>
      <c r="F176" s="368">
        <f>+C176+C176/9*(12-Clients!$I$14)</f>
        <v>0</v>
      </c>
      <c r="G176" s="396">
        <f t="shared" si="18"/>
        <v>0</v>
      </c>
      <c r="H176" s="409"/>
      <c r="I176" s="149">
        <f t="shared" si="19"/>
        <v>0</v>
      </c>
      <c r="J176" s="271">
        <f t="shared" si="19"/>
        <v>0</v>
      </c>
      <c r="L176" s="17">
        <f t="shared" si="14"/>
        <v>0</v>
      </c>
    </row>
    <row r="177" spans="1:12">
      <c r="A177" s="590" t="s">
        <v>173</v>
      </c>
      <c r="B177" s="591"/>
      <c r="C177" s="805">
        <f>IF(ISNA(VLOOKUP("MON675200000",Balance!C:G,5,FALSE))=TRUE,0,VLOOKUP("MON675200000",Balance!C:G,5,FALSE))</f>
        <v>0</v>
      </c>
      <c r="D177" s="619">
        <f>+[2]Montpe!$H177</f>
        <v>0</v>
      </c>
      <c r="E177" s="805">
        <f>IF(ISNA(VLOOKUP("MON675200000",Balanceanp!C:G,5,FALSE))=TRUE,0,VLOOKUP("MON675200000",Balanceanp!C:G,5,FALSE))</f>
        <v>11418.54</v>
      </c>
      <c r="F177" s="593">
        <f>+C177+C177/9*(12-Clients!$I$14)</f>
        <v>0</v>
      </c>
      <c r="G177" s="1030">
        <f t="shared" si="18"/>
        <v>0</v>
      </c>
      <c r="H177" s="1030"/>
      <c r="I177" s="1013">
        <f t="shared" si="19"/>
        <v>-1</v>
      </c>
      <c r="J177" s="1014">
        <f t="shared" si="19"/>
        <v>0</v>
      </c>
      <c r="L177" s="17">
        <f t="shared" si="14"/>
        <v>1</v>
      </c>
    </row>
    <row r="178" spans="1:12" hidden="1">
      <c r="A178" s="5" t="s">
        <v>174</v>
      </c>
      <c r="B178" s="92"/>
      <c r="C178" s="160">
        <f>IF(ISNA(VLOOKUP("MON681110000",Balance!C:G,5,FALSE))=TRUE,0,VLOOKUP("MON681110000",Balance!C:G,5,FALSE))</f>
        <v>0</v>
      </c>
      <c r="D178" s="117">
        <f>+[2]Montpe!$H178</f>
        <v>0</v>
      </c>
      <c r="E178" s="160">
        <f>IF(ISNA(VLOOKUP("MON681110000",Balanceanp!C:G,5,FALSE))=TRUE,0,VLOOKUP("MON681110000",Balanceanp!C:G,5,FALSE))</f>
        <v>0</v>
      </c>
      <c r="F178" s="368">
        <f>+C178+C178/9*(12-Clients!$I$14)</f>
        <v>0</v>
      </c>
      <c r="G178" s="396">
        <f t="shared" si="18"/>
        <v>0</v>
      </c>
      <c r="H178" s="409"/>
      <c r="I178" s="149">
        <f t="shared" si="19"/>
        <v>0</v>
      </c>
      <c r="J178" s="271">
        <f t="shared" si="19"/>
        <v>0</v>
      </c>
      <c r="L178" s="17">
        <f t="shared" si="14"/>
        <v>0</v>
      </c>
    </row>
    <row r="179" spans="1:12">
      <c r="A179" s="590" t="s">
        <v>175</v>
      </c>
      <c r="B179" s="591"/>
      <c r="C179" s="805">
        <f>IF(ISNA(VLOOKUP("MON681120000",Balance!C:G,5,FALSE))=TRUE,0,VLOOKUP("MON681120000",Balance!C:G,5,FALSE))</f>
        <v>6675.03</v>
      </c>
      <c r="D179" s="619">
        <f>+[2]Montpe!$H179</f>
        <v>8900</v>
      </c>
      <c r="E179" s="805">
        <f>IF(ISNA(VLOOKUP("MON681120000",Balanceanp!C:G,5,FALSE))=TRUE,0,VLOOKUP("MON681120000",Balanceanp!C:G,5,FALSE))</f>
        <v>5077.04</v>
      </c>
      <c r="F179" s="631">
        <v>5919.13</v>
      </c>
      <c r="G179" s="636">
        <f>4960.18+500+G255/10</f>
        <v>5460.18</v>
      </c>
      <c r="H179" s="638"/>
      <c r="I179" s="1013">
        <f t="shared" si="19"/>
        <v>0.16586239226005708</v>
      </c>
      <c r="J179" s="1014">
        <f t="shared" si="19"/>
        <v>-7.7536732594148089E-2</v>
      </c>
      <c r="L179" s="17">
        <f t="shared" si="14"/>
        <v>1</v>
      </c>
    </row>
    <row r="180" spans="1:12">
      <c r="A180" s="590" t="s">
        <v>78</v>
      </c>
      <c r="B180" s="591"/>
      <c r="C180" s="805">
        <f>IF(ISNA(VLOOKUP("MON687250000",Balance!C:G,5,FALSE))=TRUE,0,+VLOOKUP("MON687250000",Balance!C:G,5,FALSE))</f>
        <v>0</v>
      </c>
      <c r="D180" s="619">
        <f>+[2]Montpe!$H180</f>
        <v>0</v>
      </c>
      <c r="E180" s="805">
        <f>IF(ISNA(VLOOKUP("MON687250000",Balanceanp!C:G,5,FALSE))=TRUE,0,+VLOOKUP("MON687250000",Balanceanp!C:G,5,FALSE))</f>
        <v>1987.89</v>
      </c>
      <c r="F180" s="593">
        <f>+C180+C180/9*(12-Clients!$I$14)</f>
        <v>0</v>
      </c>
      <c r="G180" s="1030">
        <f t="shared" si="18"/>
        <v>0</v>
      </c>
      <c r="H180" s="1030"/>
      <c r="I180" s="1013">
        <f t="shared" si="19"/>
        <v>-1</v>
      </c>
      <c r="J180" s="1014">
        <f t="shared" si="19"/>
        <v>0</v>
      </c>
      <c r="L180" s="17">
        <f t="shared" si="14"/>
        <v>1</v>
      </c>
    </row>
    <row r="181" spans="1:12" hidden="1">
      <c r="A181" s="5" t="s">
        <v>327</v>
      </c>
      <c r="B181" s="92"/>
      <c r="C181" s="160">
        <f>IF(ISNA(VLOOKUP("MON661880000",Balance!C:G,5,FALSE))=TRUE,0,+VLOOKUP("MON661880000",Balance!C:G,5,FALSE))</f>
        <v>0</v>
      </c>
      <c r="D181" s="117">
        <f>+[2]Montpe!$H181</f>
        <v>0</v>
      </c>
      <c r="E181" s="160">
        <f>IF(ISNA(VLOOKUP("MON661880000",Balanceanp!C:G,5,FALSE))=TRUE,0,+VLOOKUP("MON661880000",Balanceanp!C:G,5,FALSE))</f>
        <v>0</v>
      </c>
      <c r="F181" s="368">
        <f>+C181+C181/9*(12-Clients!$I$14)</f>
        <v>0</v>
      </c>
      <c r="G181" s="396">
        <f t="shared" si="18"/>
        <v>0</v>
      </c>
      <c r="H181" s="409"/>
      <c r="I181" s="149">
        <f t="shared" si="19"/>
        <v>0</v>
      </c>
      <c r="J181" s="271">
        <f t="shared" si="19"/>
        <v>0</v>
      </c>
      <c r="L181" s="17">
        <f t="shared" si="14"/>
        <v>0</v>
      </c>
    </row>
    <row r="182" spans="1:12" hidden="1">
      <c r="A182" s="5" t="s">
        <v>82</v>
      </c>
      <c r="B182" s="92"/>
      <c r="C182" s="160">
        <f>IF(ISNA(VLOOKUP("MON661610000",Balance!C:G,5,FALSE))=TRUE,0,+VLOOKUP("MON661610000",Balance!C:G,5,FALSE))</f>
        <v>0</v>
      </c>
      <c r="D182" s="117">
        <f>+[2]Montpe!$H182</f>
        <v>0</v>
      </c>
      <c r="E182" s="160">
        <f>IF(ISNA(VLOOKUP("MON661610000",Balanceanp!C:G,5,FALSE))=TRUE,0,+VLOOKUP("MON661610000",Balanceanp!C:G,5,FALSE))</f>
        <v>0</v>
      </c>
      <c r="F182" s="368">
        <f>+C182+C182/9*(12-Clients!$I$14)</f>
        <v>0</v>
      </c>
      <c r="G182" s="396">
        <f t="shared" si="18"/>
        <v>0</v>
      </c>
      <c r="H182" s="409"/>
      <c r="I182" s="149">
        <f t="shared" si="19"/>
        <v>0</v>
      </c>
      <c r="J182" s="271">
        <f t="shared" si="19"/>
        <v>0</v>
      </c>
      <c r="L182" s="17">
        <f t="shared" si="14"/>
        <v>0</v>
      </c>
    </row>
    <row r="183" spans="1:12">
      <c r="A183" s="590" t="s">
        <v>331</v>
      </c>
      <c r="B183" s="591"/>
      <c r="C183" s="805">
        <f>IF(ISNA(VLOOKUP("mon681500000",Balance!C:G,5,FALSE))=TRUE,0,VLOOKUP("mon681500000",Balance!C:G,5,FALSE))</f>
        <v>0</v>
      </c>
      <c r="D183" s="619">
        <f>+[2]Montpe!$H183</f>
        <v>0</v>
      </c>
      <c r="E183" s="805">
        <f>IF(ISNA(VLOOKUP("mon681500000",Balanceanp!C:G,5,FALSE))=TRUE,0,VLOOKUP("mon681500000",Balanceanp!C:G,5,FALSE))</f>
        <v>21300</v>
      </c>
      <c r="F183" s="593">
        <f>+C183+C183/9*(12-Clients!$I$14)</f>
        <v>0</v>
      </c>
      <c r="G183" s="1030">
        <f t="shared" si="18"/>
        <v>0</v>
      </c>
      <c r="H183" s="1030"/>
      <c r="I183" s="1013">
        <f t="shared" si="19"/>
        <v>-1</v>
      </c>
      <c r="J183" s="1014">
        <f t="shared" si="19"/>
        <v>0</v>
      </c>
      <c r="L183" s="17">
        <f t="shared" si="14"/>
        <v>1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13" t="s">
        <v>178</v>
      </c>
      <c r="B185" s="596"/>
      <c r="C185" s="803">
        <f>SUM(C169:C184)</f>
        <v>7283.2999999999993</v>
      </c>
      <c r="D185" s="597">
        <f>SUM(D169:D184)</f>
        <v>9161.1160025934714</v>
      </c>
      <c r="E185" s="597">
        <f>SUM(E169:E184)</f>
        <v>65120.639999999999</v>
      </c>
      <c r="F185" s="597">
        <f>SUM(F169:F184)</f>
        <v>6730.1566666666668</v>
      </c>
      <c r="G185" s="597">
        <f>SUM(G169:G184)</f>
        <v>6295.5374666666667</v>
      </c>
      <c r="H185" s="814"/>
      <c r="I185" s="596">
        <f>+IF((E185)=0,,(F185-E185)/E185)</f>
        <v>-0.89665094405296586</v>
      </c>
      <c r="J185" s="1015">
        <f>+IF((F185)=0,,(G185-F185)/F185)</f>
        <v>-6.4577872630008137E-2</v>
      </c>
      <c r="K185" s="136">
        <f>(C185+(C185/3))</f>
        <v>9711.0666666666657</v>
      </c>
      <c r="L185" s="17">
        <f t="shared" si="14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 hidden="1">
      <c r="A187" s="5" t="s">
        <v>179</v>
      </c>
      <c r="B187" s="92"/>
      <c r="C187" s="160">
        <f>IF(ISNA(VLOOKUP("MON740000000",Balance!C:G,5,FALSE))=TRUE,0,-VLOOKUP("MON740000000",Balance!C:G,5,FALSE))</f>
        <v>0</v>
      </c>
      <c r="D187" s="117">
        <f>+[2]Montpe!$H187</f>
        <v>0</v>
      </c>
      <c r="E187" s="160">
        <f>IF(ISNA(VLOOKUP("MON740000000",Balanceanp!C:G,5,FALSE))=TRUE,0,-VLOOKUP("MON740000000",Balanceanp!C:G,5,FALSE))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0">+IF((E187)=0,,(F187-E187)/E187)</f>
        <v>0</v>
      </c>
      <c r="J187" s="271">
        <f t="shared" si="20"/>
        <v>0</v>
      </c>
      <c r="L187" s="17">
        <f t="shared" si="14"/>
        <v>0</v>
      </c>
    </row>
    <row r="188" spans="1:12" hidden="1">
      <c r="A188" s="5" t="s">
        <v>167</v>
      </c>
      <c r="B188" s="92"/>
      <c r="C188" s="160">
        <f>IF(ISNA(VLOOKUP("MON751100000",Balance!C:G,5,FALSE))=TRUE,0,-VLOOKUP("MON751100000",Balance!C:G,5,FALSE))</f>
        <v>0</v>
      </c>
      <c r="D188" s="117">
        <f>+[2]Montpe!$H188</f>
        <v>0</v>
      </c>
      <c r="E188" s="160">
        <f>IF(ISNA(VLOOKUP("MON751100000",Balanceanp!C:G,5,FALSE))=TRUE,0,-VLOOKUP("MON751100000",Balanceanp!C:G,5,FALSE))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0"/>
        <v>0</v>
      </c>
      <c r="J188" s="271">
        <f t="shared" si="20"/>
        <v>0</v>
      </c>
      <c r="L188" s="17">
        <f t="shared" si="14"/>
        <v>0</v>
      </c>
    </row>
    <row r="189" spans="1:12" hidden="1">
      <c r="A189" s="5" t="s">
        <v>180</v>
      </c>
      <c r="B189" s="92"/>
      <c r="C189" s="160">
        <f>IF(ISNA(VLOOKUP("MON758100000",Balance!C:G,5,FALSE))=TRUE,0,-VLOOKUP("MON758100000",Balance!C:G,5,FALSE))</f>
        <v>0</v>
      </c>
      <c r="D189" s="117">
        <f>+[2]Montpe!$H189</f>
        <v>0</v>
      </c>
      <c r="E189" s="160">
        <f>IF(ISNA(VLOOKUP("MON758100000",Balanceanp!C:G,5,FALSE))=TRUE,0,-VLOOKUP("MON758100000",Balanceanp!C:G,5,FALSE))</f>
        <v>30475.73</v>
      </c>
      <c r="F189" s="368">
        <f>+C189+C189/9*(12-Clients!$I$14)</f>
        <v>0</v>
      </c>
      <c r="G189" s="368">
        <v>0</v>
      </c>
      <c r="H189" s="410"/>
      <c r="I189" s="149">
        <f t="shared" si="20"/>
        <v>-1</v>
      </c>
      <c r="J189" s="271">
        <f t="shared" si="20"/>
        <v>0</v>
      </c>
      <c r="L189" s="17">
        <v>0</v>
      </c>
    </row>
    <row r="190" spans="1:12" hidden="1">
      <c r="A190" s="5" t="s">
        <v>181</v>
      </c>
      <c r="B190" s="92"/>
      <c r="C190" s="160">
        <f>IF(ISNA(VLOOKUP("MON763800000",Balance!C:G,5,FALSE))=TRUE,0,-VLOOKUP("MON763800000",Balance!C:G,5,FALSE))</f>
        <v>0</v>
      </c>
      <c r="D190" s="117">
        <f>+[2]Montpe!$H190</f>
        <v>0</v>
      </c>
      <c r="E190" s="160">
        <f>IF(ISNA(VLOOKUP("MON763800000",Balanceanp!C:G,5,FALSE))=TRUE,0,-VLOOKUP("MON763800000",Balanceanp!C:G,5,FALSE))+IF(ISNA(VLOOKUP("MON763110000",Balanceanp!C:G,5,FALSE))=TRUE,0,-VLOOKUP("MON763110000",Balanceanp!C:G,5,FALSE))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0"/>
        <v>0</v>
      </c>
      <c r="J190" s="271">
        <f t="shared" si="20"/>
        <v>0</v>
      </c>
      <c r="L190" s="17">
        <f t="shared" si="14"/>
        <v>0</v>
      </c>
    </row>
    <row r="191" spans="1:12" hidden="1">
      <c r="A191" s="5" t="s">
        <v>182</v>
      </c>
      <c r="B191" s="92"/>
      <c r="C191" s="160">
        <f>IF(ISNA(VLOOKUP("MON765000000",Balance!C:G,5,FALSE))=TRUE,0,-VLOOKUP("MON765000000",Balance!C:G,5,FALSE))</f>
        <v>0</v>
      </c>
      <c r="D191" s="117">
        <f>+[2]Montpe!$H191</f>
        <v>0</v>
      </c>
      <c r="E191" s="160">
        <f>IF(ISNA(VLOOKUP("MON765000000",Balanceanp!C:G,5,FALSE))=TRUE,0,-VLOOKUP("MON765000000",Balanceanp!C:G,5,FALSE))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0"/>
        <v>0</v>
      </c>
      <c r="J191" s="271">
        <f t="shared" si="20"/>
        <v>0</v>
      </c>
      <c r="L191" s="17">
        <f t="shared" si="14"/>
        <v>0</v>
      </c>
    </row>
    <row r="192" spans="1:12" hidden="1">
      <c r="A192" s="5" t="s">
        <v>183</v>
      </c>
      <c r="B192" s="92"/>
      <c r="C192" s="160">
        <f>IF(ISNA(VLOOKUP("MON771400000",Balance!C:G,5,FALSE))=TRUE,0,-VLOOKUP("MON771400000",Balance!C:G,5,FALSE))</f>
        <v>0</v>
      </c>
      <c r="D192" s="117">
        <f>+[2]Montpe!$H192</f>
        <v>0</v>
      </c>
      <c r="E192" s="160">
        <f>IF(ISNA(VLOOKUP("MON771400000",Balanceanp!C:G,5,FALSE))=TRUE,0,-VLOOKUP("MON771400000",Balanceanp!C:G,5,FALSE))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0"/>
        <v>0</v>
      </c>
      <c r="J192" s="271">
        <f t="shared" si="20"/>
        <v>0</v>
      </c>
      <c r="L192" s="17">
        <f t="shared" si="14"/>
        <v>0</v>
      </c>
    </row>
    <row r="193" spans="1:12" hidden="1">
      <c r="A193" s="5" t="s">
        <v>184</v>
      </c>
      <c r="B193" s="92"/>
      <c r="C193" s="160">
        <f>IF(ISNA(VLOOKUP("MON771800000",Balance!C:G,5,FALSE))=TRUE,0,-VLOOKUP("MON771800000",Balance!C:G,5,FALSE))</f>
        <v>0</v>
      </c>
      <c r="D193" s="117">
        <f>+[2]Montpe!$H193</f>
        <v>0</v>
      </c>
      <c r="E193" s="160">
        <f>IF(ISNA(VLOOKUP("MON771800000",Balanceanp!C:G,5,FALSE))=TRUE,0,-VLOOKUP("MON771800000",Balanceanp!C:G,5,FALSE))</f>
        <v>993.81</v>
      </c>
      <c r="F193" s="368">
        <f>+C193+C193/9*(12-Clients!$I$14)</f>
        <v>0</v>
      </c>
      <c r="G193" s="368">
        <v>0</v>
      </c>
      <c r="H193" s="410"/>
      <c r="I193" s="149">
        <f t="shared" si="20"/>
        <v>-1</v>
      </c>
      <c r="J193" s="271">
        <f t="shared" si="20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IF(ISNA(VLOOKUP("MON758000000",Balance!C:G,5,FALSE))=TRUE,0,-VLOOKUP("MON758000000",Balance!C:G,5,FALSE))</f>
        <v>0</v>
      </c>
      <c r="D194" s="117">
        <f>+[2]Montpe!$H194</f>
        <v>0</v>
      </c>
      <c r="E194" s="160">
        <f>IF(ISNA(VLOOKUP("MON758000000",Balanceanp!C:G,5,FALSE))=TRUE,0,-VLOOKUP("MON758000000",Balanceanp!C:G,5,FALSE))</f>
        <v>15478.72</v>
      </c>
      <c r="F194" s="368">
        <f>+C194+C194/9*(12-Clients!$I$14)</f>
        <v>0</v>
      </c>
      <c r="G194" s="368">
        <v>0</v>
      </c>
      <c r="H194" s="410"/>
      <c r="I194" s="149">
        <f t="shared" si="20"/>
        <v>-1</v>
      </c>
      <c r="J194" s="271">
        <f t="shared" si="20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IF(ISNA(VLOOKUP("MON775100000",Balance!C:G,5,FALSE))=TRUE,0,-VLOOKUP("MON775100000",Balance!C:G,5,FALSE))</f>
        <v>0</v>
      </c>
      <c r="D195" s="117">
        <f>+[2]Montpe!$H195</f>
        <v>0</v>
      </c>
      <c r="E195" s="160">
        <f>IF(ISNA(VLOOKUP("MON775100000",Balanceanp!C:G,5,FALSE))=TRUE,0,-VLOOKUP("MON775100000",Balanceanp!C:G,5,FALSE))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0"/>
        <v>0</v>
      </c>
      <c r="J195" s="271">
        <f t="shared" si="20"/>
        <v>0</v>
      </c>
      <c r="L195" s="17">
        <f t="shared" si="14"/>
        <v>0</v>
      </c>
    </row>
    <row r="196" spans="1:12" hidden="1">
      <c r="A196" s="5" t="s">
        <v>187</v>
      </c>
      <c r="B196" s="92"/>
      <c r="C196" s="160">
        <f>IF(ISNA(VLOOKUP("MON775200000",Balance!C:G,5,FALSE))=TRUE,0,-VLOOKUP("MON775200000",Balance!C:G,5,FALSE))</f>
        <v>0</v>
      </c>
      <c r="D196" s="117">
        <f>+[2]Montpe!$H196</f>
        <v>0</v>
      </c>
      <c r="E196" s="160">
        <f>IF(ISNA(VLOOKUP("MON775200000",Balanceanp!C:G,5,FALSE))=TRUE,0,-VLOOKUP("MON775200000",Balanceanp!C:G,5,FALSE))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0"/>
        <v>0</v>
      </c>
      <c r="J196" s="271">
        <f t="shared" si="20"/>
        <v>0</v>
      </c>
      <c r="L196" s="17">
        <f t="shared" si="14"/>
        <v>0</v>
      </c>
    </row>
    <row r="197" spans="1:12" hidden="1">
      <c r="A197" s="5" t="s">
        <v>328</v>
      </c>
      <c r="B197" s="92"/>
      <c r="C197" s="160">
        <f>IF(ISNA(VLOOKUP("MON791000000",Balance!C:G,5,FALSE))=TRUE,0,-VLOOKUP("MON791000000",Balance!C:G,5,FALSE))</f>
        <v>0</v>
      </c>
      <c r="D197" s="117">
        <f>+[2]Montpe!$H197</f>
        <v>0</v>
      </c>
      <c r="E197" s="160">
        <f>IF(ISNA(VLOOKUP("MON791000000",Balanceanp!C:G,5,FALSE))=TRUE,0,-VLOOKUP("MON791000000",Balanceanp!C:G,5,FALSE))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0"/>
        <v>0</v>
      </c>
      <c r="J197" s="271">
        <f t="shared" si="20"/>
        <v>0</v>
      </c>
      <c r="L197" s="17">
        <f t="shared" si="14"/>
        <v>0</v>
      </c>
    </row>
    <row r="198" spans="1:12" hidden="1">
      <c r="A198" s="5" t="s">
        <v>344</v>
      </c>
      <c r="B198" s="92"/>
      <c r="C198" s="160">
        <f>IF(ISNA(VLOOKUP("mon781500000",Balance!C:G,5,FALSE))=TRUE,0,-VLOOKUP("mon781500000",Balance!C:G,5,FALSE))</f>
        <v>-503</v>
      </c>
      <c r="D198" s="117">
        <f>+[2]Montpe!$H198</f>
        <v>0</v>
      </c>
      <c r="E198" s="160">
        <f>IF(ISNA(VLOOKUP("mon781500000",Balanceanp!C:G,5,FALSE))=TRUE,0,-VLOOKUP("mon781500000",Balanceanp!C:G,5,FALSE))</f>
        <v>0</v>
      </c>
      <c r="F198" s="368">
        <f>+C198+C198/9*(12-Clients!$I$14)</f>
        <v>-670.66666666666663</v>
      </c>
      <c r="G198" s="368">
        <v>0</v>
      </c>
      <c r="H198" s="410"/>
      <c r="I198" s="149">
        <f t="shared" si="20"/>
        <v>0</v>
      </c>
      <c r="J198" s="271">
        <f t="shared" si="20"/>
        <v>-1</v>
      </c>
      <c r="L198" s="17">
        <v>0</v>
      </c>
    </row>
    <row r="199" spans="1:12" hidden="1">
      <c r="A199" s="5" t="s">
        <v>77</v>
      </c>
      <c r="B199" s="92"/>
      <c r="C199" s="160">
        <f>IF(ISNA(VLOOKUP("MON787250000",Balance!C:G,5,FALSE))=TRUE,0,-VLOOKUP("MON787250000",Balance!C:G,5,FALSE))</f>
        <v>0</v>
      </c>
      <c r="D199" s="117">
        <f>+[2]Montpe!$H199</f>
        <v>0</v>
      </c>
      <c r="E199" s="160">
        <f>IF(ISNA(VLOOKUP("MON787250000",Balanceanp!C:G,5,FALSE))=TRUE,0,-VLOOKUP("MON787250000",Balanceanp!C:G,5,FALSE))</f>
        <v>-264.7</v>
      </c>
      <c r="F199" s="368">
        <f>+C199+C199/9*(12-Clients!$I$14)</f>
        <v>0</v>
      </c>
      <c r="G199" s="368">
        <v>0</v>
      </c>
      <c r="H199" s="410"/>
      <c r="I199" s="149">
        <f t="shared" si="20"/>
        <v>-1</v>
      </c>
      <c r="J199" s="271">
        <f t="shared" si="20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1">IF(SUM(C200:J200)&lt;&gt;0,1,0)</f>
        <v>0</v>
      </c>
    </row>
    <row r="201" spans="1:12" s="33" customFormat="1" ht="15" customHeight="1">
      <c r="A201" s="13" t="s">
        <v>188</v>
      </c>
      <c r="B201" s="596"/>
      <c r="C201" s="803">
        <f>SUM(C186:C200)</f>
        <v>-503</v>
      </c>
      <c r="D201" s="597">
        <f>SUM(D186:D200)</f>
        <v>0</v>
      </c>
      <c r="E201" s="803">
        <f>SUM(E186:E200)</f>
        <v>46683.560000000005</v>
      </c>
      <c r="F201" s="597">
        <f>SUM(F186:F200)</f>
        <v>-670.66666666666663</v>
      </c>
      <c r="G201" s="597">
        <f>SUM(G186:G200)</f>
        <v>0</v>
      </c>
      <c r="H201" s="814"/>
      <c r="I201" s="596">
        <f>+IF((E201)=0,,(F201-E201)/E201)</f>
        <v>-1.0143662279968937</v>
      </c>
      <c r="J201" s="1015">
        <f>+IF((F201)=0,,(G201-F201)/F201)</f>
        <v>-1</v>
      </c>
      <c r="K201" s="136">
        <f>(C201+(C201/3))</f>
        <v>-670.66666666666663</v>
      </c>
      <c r="L201" s="17">
        <f t="shared" si="21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1"/>
        <v>0</v>
      </c>
    </row>
    <row r="203" spans="1:12" s="33" customFormat="1" ht="15" customHeight="1">
      <c r="A203" s="14" t="s">
        <v>189</v>
      </c>
      <c r="B203" s="363">
        <f>+C203/$C$21</f>
        <v>0.38116292610615832</v>
      </c>
      <c r="C203" s="659">
        <f>+C103+C116+C129+C154+C168+C185-C201</f>
        <v>232753.91999999998</v>
      </c>
      <c r="D203" s="642">
        <f>+D103+D116+D129+D154+D168+D185-D201</f>
        <v>307615.2389137664</v>
      </c>
      <c r="E203" s="659">
        <f>+E103+E116+E129+E154+E168+E185-E201</f>
        <v>322418.77831999998</v>
      </c>
      <c r="F203" s="642">
        <f>+F103+F116+F129+F154+F168+F185-F201</f>
        <v>297019.33333333331</v>
      </c>
      <c r="G203" s="642">
        <f>+G103+G116+G129+G154+G168+G185-G201</f>
        <v>283748.40856716613</v>
      </c>
      <c r="H203" s="815">
        <f>+G203/$G$21</f>
        <v>0.32715802549617745</v>
      </c>
      <c r="I203" s="363">
        <f>+IF((E203)=0,,(F203-E203)/E203)</f>
        <v>-7.877780915557521E-2</v>
      </c>
      <c r="J203" s="1035">
        <f>+IF((F203)=0,,(G203-F203)/F203)</f>
        <v>-4.4680339886406441E-2</v>
      </c>
      <c r="K203" s="145">
        <f>+K103+K116+K129+K154+K168+K185-K201</f>
        <v>310338.56000000006</v>
      </c>
      <c r="L203" s="17">
        <f t="shared" si="21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1"/>
        <v>0</v>
      </c>
    </row>
    <row r="205" spans="1:12" s="33" customFormat="1" ht="15" customHeight="1">
      <c r="A205" s="12" t="s">
        <v>228</v>
      </c>
      <c r="B205" s="366">
        <f>+C205/$C$21</f>
        <v>-3.3717055513172917E-2</v>
      </c>
      <c r="C205" s="667">
        <f>+C62-C203</f>
        <v>-20589.035039999959</v>
      </c>
      <c r="D205" s="646">
        <f>+D62-D203</f>
        <v>1745.1354862336302</v>
      </c>
      <c r="E205" s="667">
        <f>+E53-E203</f>
        <v>-23008.513920000114</v>
      </c>
      <c r="F205" s="646">
        <f>+F62-F203</f>
        <v>-26507.300658736087</v>
      </c>
      <c r="G205" s="646">
        <f>+G62-G203</f>
        <v>15415.375916598889</v>
      </c>
      <c r="H205" s="622">
        <f>+G205/$G$21</f>
        <v>1.7773717120115679E-2</v>
      </c>
      <c r="I205" s="366">
        <f>+IF((E205)=0,,(F205-E205)/E205)</f>
        <v>0.15206487263371921</v>
      </c>
      <c r="J205" s="1036">
        <f>+IF((F205)=0,,(G205-F205)/F205)</f>
        <v>-1.5815520831434942</v>
      </c>
      <c r="L205" s="17">
        <f t="shared" si="21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1"/>
        <v>0</v>
      </c>
    </row>
    <row r="207" spans="1:12" ht="15" customHeight="1">
      <c r="A207" s="63" t="s">
        <v>251</v>
      </c>
      <c r="B207" s="649">
        <f>+C207/$C$21</f>
        <v>2.6827368875205699E-3</v>
      </c>
      <c r="C207" s="112">
        <f>+[2]Montpe!$C207</f>
        <v>1638.1906112377364</v>
      </c>
      <c r="D207" s="651">
        <f>+[2]Montpe!$H207</f>
        <v>5299.2061475150886</v>
      </c>
      <c r="E207" s="651">
        <f>+[1]Montpe!$G$207</f>
        <v>1916.3316968698134</v>
      </c>
      <c r="F207" s="651">
        <f>+Repart!K22</f>
        <v>2106.8132053101144</v>
      </c>
      <c r="G207" s="651">
        <f>+Repart!Q22</f>
        <v>3282.9554970957706</v>
      </c>
      <c r="H207" s="816">
        <f>+G207/$G$21</f>
        <v>3.785202685876691E-3</v>
      </c>
      <c r="I207" s="363">
        <f>+IF((E207)=0,,(F207-E207)/E207)</f>
        <v>9.9399028232658532E-2</v>
      </c>
      <c r="J207" s="1035">
        <f>+IF((F207)=0,,(G207-F207)/F207)</f>
        <v>0.55825655963293286</v>
      </c>
      <c r="L207" s="17">
        <f t="shared" si="21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1"/>
        <v>0</v>
      </c>
    </row>
    <row r="209" spans="1:12" s="33" customFormat="1" ht="15" customHeight="1">
      <c r="A209" s="12" t="s">
        <v>190</v>
      </c>
      <c r="B209" s="366">
        <f>+C209/$C$21</f>
        <v>-3.6399792400693493E-2</v>
      </c>
      <c r="C209" s="667">
        <f>+C205-C207</f>
        <v>-22227.225651237695</v>
      </c>
      <c r="D209" s="646">
        <f>+D205-D207</f>
        <v>-3554.0706612814583</v>
      </c>
      <c r="E209" s="667">
        <f>+E205-E207</f>
        <v>-24924.845616869927</v>
      </c>
      <c r="F209" s="646">
        <f>+F205-F207</f>
        <v>-28614.113864046201</v>
      </c>
      <c r="G209" s="646">
        <f>+G205-G207</f>
        <v>12132.420419503118</v>
      </c>
      <c r="H209" s="622">
        <f>+G209/$G$21</f>
        <v>1.3988514434238986E-2</v>
      </c>
      <c r="I209" s="366">
        <f>+IF((E209)=0,,(F209-E209)/E209)</f>
        <v>0.14801569100509335</v>
      </c>
      <c r="J209" s="1036">
        <f>+IF((F209)=0,,(G209-F209)/F209)</f>
        <v>-1.4240012630531806</v>
      </c>
      <c r="L209" s="17">
        <f t="shared" si="21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1"/>
        <v>0</v>
      </c>
    </row>
    <row r="211" spans="1:12">
      <c r="A211" s="590" t="s">
        <v>191</v>
      </c>
      <c r="B211" s="591">
        <f>+C211/$C$21</f>
        <v>1.070196159982045E-2</v>
      </c>
      <c r="C211" s="805">
        <f>+[2]Montpe!$C211</f>
        <v>6535.0624193548392</v>
      </c>
      <c r="D211" s="619">
        <f>+[2]Montpe!$H211</f>
        <v>9026.0372215405096</v>
      </c>
      <c r="E211" s="805">
        <f>+[1]Montpe!$G211</f>
        <v>8095.0860719999991</v>
      </c>
      <c r="F211" s="593">
        <f>+Repart!I22</f>
        <v>8997.9607634408567</v>
      </c>
      <c r="G211" s="593">
        <f>+Repart!O22</f>
        <v>9644.6846793104778</v>
      </c>
      <c r="H211" s="593"/>
      <c r="I211" s="1013">
        <f t="shared" ref="I211:J213" si="22">+IF((E211)=0,,(F211-E211)/E211)</f>
        <v>0.11153367405984731</v>
      </c>
      <c r="J211" s="1014">
        <f t="shared" si="22"/>
        <v>7.1874498330476308E-2</v>
      </c>
      <c r="L211" s="17">
        <f t="shared" si="21"/>
        <v>1</v>
      </c>
    </row>
    <row r="212" spans="1:12">
      <c r="A212" s="590" t="s">
        <v>192</v>
      </c>
      <c r="B212" s="591">
        <f>+C212/$C$21</f>
        <v>3.8602111000099158E-2</v>
      </c>
      <c r="C212" s="805">
        <f>+[2]Montpe!$C212</f>
        <v>23572.052894372602</v>
      </c>
      <c r="D212" s="619">
        <f>+[2]Montpe!$H212</f>
        <v>33565.496092692956</v>
      </c>
      <c r="E212" s="805">
        <f>+[1]Montpe!$G212</f>
        <v>29410.881678801557</v>
      </c>
      <c r="F212" s="593">
        <f>+Repart!J22</f>
        <v>31432.730785056141</v>
      </c>
      <c r="G212" s="593">
        <f>+Repart!P22</f>
        <v>35371.358131770394</v>
      </c>
      <c r="H212" s="593"/>
      <c r="I212" s="1013">
        <f t="shared" si="22"/>
        <v>6.8744933536347169E-2</v>
      </c>
      <c r="J212" s="1014">
        <f t="shared" si="22"/>
        <v>0.12530337798670579</v>
      </c>
      <c r="L212" s="17">
        <f t="shared" si="21"/>
        <v>1</v>
      </c>
    </row>
    <row r="213" spans="1:12">
      <c r="A213" s="590" t="s">
        <v>193</v>
      </c>
      <c r="B213" s="591"/>
      <c r="C213" s="805">
        <f>+[2]Montpe!$C213</f>
        <v>-5675.12</v>
      </c>
      <c r="D213" s="619">
        <f>+[2]Montpe!$H213</f>
        <v>-7610.08</v>
      </c>
      <c r="E213" s="805">
        <f>+[1]Montpe!$G213</f>
        <v>-7227.68</v>
      </c>
      <c r="F213" s="593">
        <f>+C213+C213/9*(12-Clients!$I$14)</f>
        <v>-7566.8266666666659</v>
      </c>
      <c r="G213" s="593">
        <f>+G253*-4%</f>
        <v>-7892.5483000000013</v>
      </c>
      <c r="H213" s="593"/>
      <c r="I213" s="1013">
        <f t="shared" si="22"/>
        <v>4.6923309646617672E-2</v>
      </c>
      <c r="J213" s="1014">
        <f t="shared" si="22"/>
        <v>4.3046001670449537E-2</v>
      </c>
      <c r="L213" s="17">
        <f t="shared" si="21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1"/>
        <v>0</v>
      </c>
    </row>
    <row r="215" spans="1:12" s="33" customFormat="1" ht="15" customHeight="1">
      <c r="A215" s="20" t="s">
        <v>194</v>
      </c>
      <c r="B215" s="367">
        <f>+C215/$C$21</f>
        <v>4.0010371573515495E-2</v>
      </c>
      <c r="C215" s="668">
        <f>SUM(C210:C213)</f>
        <v>24431.995313727442</v>
      </c>
      <c r="D215" s="653">
        <f>SUM(D210:D213)</f>
        <v>34981.453314233462</v>
      </c>
      <c r="E215" s="668">
        <f>SUM(E210:E213)</f>
        <v>30278.287750801559</v>
      </c>
      <c r="F215" s="653">
        <f>SUM(F210:F213)</f>
        <v>32863.864881830326</v>
      </c>
      <c r="G215" s="653">
        <f>SUM(G210:G213)</f>
        <v>37123.494511080869</v>
      </c>
      <c r="H215" s="817">
        <f>+G215/$G$21</f>
        <v>4.2802880287832502E-2</v>
      </c>
      <c r="I215" s="363">
        <f>+IF((E215)=0,,(F215-E215)/E215)</f>
        <v>8.5393769697572119E-2</v>
      </c>
      <c r="J215" s="1035">
        <f>+IF((F215)=0,,(G215-F215)/F215)</f>
        <v>0.12961438481344276</v>
      </c>
      <c r="L215" s="17">
        <f t="shared" si="21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1"/>
        <v>0</v>
      </c>
    </row>
    <row r="217" spans="1:12" s="33" customFormat="1" ht="20.100000000000001" customHeight="1">
      <c r="A217" s="12" t="s">
        <v>86</v>
      </c>
      <c r="B217" s="366">
        <f>+C217/$C$21</f>
        <v>-7.6410163974208981E-2</v>
      </c>
      <c r="C217" s="667">
        <f>+C209-C215</f>
        <v>-46659.220964965134</v>
      </c>
      <c r="D217" s="646">
        <f>+D209-D215</f>
        <v>-38535.523975514923</v>
      </c>
      <c r="E217" s="667">
        <f>+E209-E215</f>
        <v>-55203.133367671486</v>
      </c>
      <c r="F217" s="646">
        <f>+F209-F215</f>
        <v>-61477.978745876528</v>
      </c>
      <c r="G217" s="646">
        <f>+G209-G215</f>
        <v>-24991.07409157775</v>
      </c>
      <c r="H217" s="622">
        <f>+G217/$G$21</f>
        <v>-2.8814365853593513E-2</v>
      </c>
      <c r="I217" s="366">
        <f>+IF((E217)=0,,(F217-E217)/E217)</f>
        <v>0.11366828285656279</v>
      </c>
      <c r="J217" s="1036">
        <f>+IF((F217)=0,,(G217-F217)/F217)</f>
        <v>-0.59349551495698838</v>
      </c>
      <c r="L217" s="17">
        <f t="shared" si="21"/>
        <v>1</v>
      </c>
    </row>
    <row r="218" spans="1:12" hidden="1">
      <c r="A218" s="2" t="s">
        <v>43</v>
      </c>
      <c r="C218" s="17">
        <f>+C225-C226-C215-C207-C53+C62-C38+C213</f>
        <v>-46659.220964965229</v>
      </c>
      <c r="D218" s="117">
        <f>+[2]Montpe!$H$217</f>
        <v>-38535.523975514923</v>
      </c>
      <c r="E218" s="17">
        <f>+[1]Montpe!$G$217</f>
        <v>-55203.133367671486</v>
      </c>
      <c r="F218" s="87"/>
      <c r="G218" s="398"/>
      <c r="H218" s="414"/>
      <c r="I218" s="66"/>
      <c r="J218" s="66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80.408943151298985</v>
      </c>
      <c r="D219" s="2"/>
      <c r="E219" s="2"/>
      <c r="F219" s="58"/>
      <c r="G219" s="58"/>
      <c r="H219" s="58"/>
      <c r="I219" s="66"/>
      <c r="J219" s="66"/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+B220/(C21*1.196)*Clients!K28</f>
        <v>122.53133254048461</v>
      </c>
      <c r="D220" s="2"/>
      <c r="E220" s="2"/>
      <c r="F220" s="58"/>
      <c r="G220" s="58"/>
      <c r="H220" s="58"/>
      <c r="I220" s="66"/>
      <c r="J220" s="66"/>
      <c r="L220" s="17">
        <v>0</v>
      </c>
    </row>
    <row r="221" spans="1:12" hidden="1">
      <c r="C221" s="17"/>
      <c r="D221" s="2"/>
      <c r="E221" s="2"/>
      <c r="F221" s="58"/>
      <c r="G221" s="58"/>
      <c r="H221" s="58"/>
      <c r="I221" s="66"/>
      <c r="J221" s="66"/>
      <c r="L221" s="17">
        <f t="shared" si="21"/>
        <v>0</v>
      </c>
    </row>
    <row r="222" spans="1:12">
      <c r="A222" s="654" t="s">
        <v>67</v>
      </c>
      <c r="B222" s="655"/>
      <c r="C222" s="656">
        <f>+(C215+C207+C203)/C60/Clients!$I$13*12</f>
        <v>971561.95917779719</v>
      </c>
      <c r="D222" s="656">
        <f>+(D215+D207+D203)/D60</f>
        <v>979436.65083196771</v>
      </c>
      <c r="E222" s="656">
        <f>+(E215+E207+E203)/E60/Clients!$I$13*12</f>
        <v>1276042.8378058402</v>
      </c>
      <c r="F222" s="656">
        <f>+(F215+F207+F203)/F60</f>
        <v>934656.56368376617</v>
      </c>
      <c r="G222" s="656">
        <f>+(G215+G207+G203)/G60</f>
        <v>919756.6467208406</v>
      </c>
      <c r="H222" s="656"/>
      <c r="I222" s="656"/>
      <c r="J222" s="656"/>
      <c r="L222" s="17">
        <f t="shared" si="21"/>
        <v>1</v>
      </c>
    </row>
    <row r="223" spans="1:12">
      <c r="A223" s="654" t="s">
        <v>66</v>
      </c>
      <c r="B223" s="655"/>
      <c r="C223" s="656">
        <f>+(C215+C207+C203)/C60/Clients!$I$13</f>
        <v>80963.496598149766</v>
      </c>
      <c r="D223" s="656">
        <f>+(D215+D207+D203)/D60/12</f>
        <v>81619.720902663976</v>
      </c>
      <c r="E223" s="656">
        <f>+(E215+E207+E203)/E60/Clients!$I$13</f>
        <v>106336.90315048669</v>
      </c>
      <c r="F223" s="656">
        <f>+(F215+F207+F203)/F60/9</f>
        <v>103850.72929819624</v>
      </c>
      <c r="G223" s="656">
        <f>+(G215+G207+G203)/G60/12</f>
        <v>76646.387226736711</v>
      </c>
      <c r="H223" s="656"/>
      <c r="I223" s="656"/>
      <c r="J223" s="656"/>
      <c r="L223" s="17">
        <f t="shared" si="21"/>
        <v>1</v>
      </c>
    </row>
    <row r="224" spans="1:12" hidden="1">
      <c r="B224" s="17"/>
      <c r="C224" s="17"/>
      <c r="D224" s="17"/>
      <c r="E224" s="17"/>
      <c r="F224" s="17"/>
      <c r="G224" s="17"/>
      <c r="H224" s="17"/>
      <c r="I224" s="17"/>
      <c r="J224" s="17"/>
      <c r="L224" s="17">
        <f t="shared" si="21"/>
        <v>0</v>
      </c>
    </row>
    <row r="225" spans="1:12" hidden="1">
      <c r="A225" s="590" t="s">
        <v>215</v>
      </c>
      <c r="B225" s="591"/>
      <c r="C225" s="311">
        <f>+C51-C40-C157-C166+C201-C164-C159-C137</f>
        <v>623961.75000000012</v>
      </c>
      <c r="D225" s="311"/>
      <c r="E225" s="590"/>
      <c r="F225" s="657"/>
      <c r="G225" s="658"/>
      <c r="H225" s="658"/>
      <c r="I225" s="623"/>
      <c r="J225" s="623"/>
      <c r="L225" s="17">
        <v>0</v>
      </c>
    </row>
    <row r="226" spans="1:12" hidden="1">
      <c r="A226" s="590" t="s">
        <v>216</v>
      </c>
      <c r="B226" s="591"/>
      <c r="C226" s="311">
        <f>+C44-C38-C40+C103+C116+C129+C154+C156+C158+C160+C161+C162+C163+C165+C185+C213</f>
        <v>653547.58000000007</v>
      </c>
      <c r="D226" s="311"/>
      <c r="E226" s="590"/>
      <c r="F226" s="657"/>
      <c r="G226" s="658"/>
      <c r="H226" s="658"/>
      <c r="I226" s="623"/>
      <c r="J226" s="623"/>
      <c r="L226" s="17">
        <v>0</v>
      </c>
    </row>
    <row r="227" spans="1:12" hidden="1">
      <c r="C227" s="17"/>
      <c r="D227" s="2"/>
      <c r="E227" s="2"/>
      <c r="F227" s="58"/>
      <c r="G227" s="58"/>
      <c r="H227" s="58"/>
      <c r="I227" s="66"/>
      <c r="J227" s="66"/>
      <c r="L227" s="17">
        <f t="shared" si="21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1"/>
        <v>0</v>
      </c>
    </row>
    <row r="229" spans="1:12" ht="20.25" hidden="1" customHeight="1">
      <c r="A229" s="7" t="str">
        <f>+A4</f>
        <v>MONTPELLIER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1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1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1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1"/>
        <v>0</v>
      </c>
    </row>
    <row r="233" spans="1:12" s="33" customFormat="1" ht="15" customHeight="1">
      <c r="A233" s="14" t="s">
        <v>223</v>
      </c>
      <c r="B233" s="363"/>
      <c r="C233" s="659">
        <f t="shared" ref="C233:J233" si="23">+C51</f>
        <v>597311.05000000005</v>
      </c>
      <c r="D233" s="659">
        <f t="shared" si="23"/>
        <v>870947</v>
      </c>
      <c r="E233" s="659">
        <f t="shared" si="23"/>
        <v>808049.67999999993</v>
      </c>
      <c r="F233" s="659">
        <f t="shared" si="23"/>
        <v>761576.6685658705</v>
      </c>
      <c r="G233" s="659">
        <f t="shared" si="23"/>
        <v>848847</v>
      </c>
      <c r="H233" s="659"/>
      <c r="I233" s="363">
        <f>+I51</f>
        <v>-5.7512567091332109E-2</v>
      </c>
      <c r="J233" s="363">
        <f t="shared" si="23"/>
        <v>0.11459165575341058</v>
      </c>
      <c r="K233" s="58"/>
      <c r="L233" s="17">
        <f t="shared" si="21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1"/>
        <v>0</v>
      </c>
    </row>
    <row r="235" spans="1:12" s="33" customFormat="1" ht="15" customHeight="1">
      <c r="A235" s="12" t="s">
        <v>295</v>
      </c>
      <c r="B235" s="364"/>
      <c r="C235" s="660">
        <f>+C60</f>
        <v>0.35520000000000002</v>
      </c>
      <c r="D235" s="660">
        <f>+D60</f>
        <v>0.35520000000000002</v>
      </c>
      <c r="E235" s="660">
        <f>+E60</f>
        <v>0.37053447555353264</v>
      </c>
      <c r="F235" s="660">
        <f>+F60</f>
        <v>0.35520000000000002</v>
      </c>
      <c r="G235" s="660">
        <f>+G60</f>
        <v>0.35243546184856051</v>
      </c>
      <c r="H235" s="660"/>
      <c r="I235" s="660"/>
      <c r="J235" s="660"/>
      <c r="L235" s="17">
        <f t="shared" si="21"/>
        <v>1</v>
      </c>
    </row>
    <row r="236" spans="1:12" s="33" customFormat="1" ht="15" customHeight="1">
      <c r="A236" s="12" t="s">
        <v>296</v>
      </c>
      <c r="B236" s="364"/>
      <c r="C236" s="661">
        <f>+C62</f>
        <v>212164.88496000002</v>
      </c>
      <c r="D236" s="661">
        <f>+D62</f>
        <v>309360.37440000003</v>
      </c>
      <c r="E236" s="661">
        <f>+E62</f>
        <v>299410.26439999987</v>
      </c>
      <c r="F236" s="661">
        <f>+F62</f>
        <v>270512.03267459723</v>
      </c>
      <c r="G236" s="661">
        <f>+G62</f>
        <v>299163.78448376502</v>
      </c>
      <c r="H236" s="661"/>
      <c r="I236" s="366">
        <f>+IF((E236)=0,,(F236-E236)/E236)</f>
        <v>-9.6517171124086074E-2</v>
      </c>
      <c r="J236" s="1036">
        <f>+IF((F236)=0,,(G236-F236)/F236)</f>
        <v>0.10591673695947341</v>
      </c>
      <c r="L236" s="17">
        <f t="shared" si="21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1"/>
        <v>0</v>
      </c>
    </row>
    <row r="238" spans="1:12" s="298" customFormat="1" ht="15" customHeight="1">
      <c r="A238" s="662" t="s">
        <v>122</v>
      </c>
      <c r="B238" s="663"/>
      <c r="C238" s="665">
        <f>+C103</f>
        <v>68510.84</v>
      </c>
      <c r="D238" s="665">
        <f>+D103</f>
        <v>99851.600925725681</v>
      </c>
      <c r="E238" s="665">
        <f>+E103</f>
        <v>95390.18</v>
      </c>
      <c r="F238" s="665">
        <f>+F103</f>
        <v>90807.786666666667</v>
      </c>
      <c r="G238" s="665">
        <f>+G103</f>
        <v>87990.568828718664</v>
      </c>
      <c r="H238" s="665"/>
      <c r="I238" s="663">
        <f t="shared" ref="I238:J243" si="24">+IF((E238)=0,,(F238-E238)/E238)</f>
        <v>-4.8038417930790431E-2</v>
      </c>
      <c r="J238" s="663">
        <f t="shared" si="24"/>
        <v>-3.1023967672390535E-2</v>
      </c>
      <c r="L238" s="17">
        <f t="shared" si="21"/>
        <v>1</v>
      </c>
    </row>
    <row r="239" spans="1:12" s="298" customFormat="1" ht="15" customHeight="1">
      <c r="A239" s="662" t="s">
        <v>133</v>
      </c>
      <c r="B239" s="663"/>
      <c r="C239" s="665">
        <f>+C116</f>
        <v>28856.34</v>
      </c>
      <c r="D239" s="665">
        <f>+D116</f>
        <v>39206.493600000002</v>
      </c>
      <c r="E239" s="665">
        <f>+E116</f>
        <v>19852.93</v>
      </c>
      <c r="F239" s="665">
        <f>+F116</f>
        <v>33910.383333333331</v>
      </c>
      <c r="G239" s="665">
        <f>+G116</f>
        <v>22283.684799999999</v>
      </c>
      <c r="H239" s="665"/>
      <c r="I239" s="663">
        <f t="shared" si="24"/>
        <v>0.70807952948674735</v>
      </c>
      <c r="J239" s="663">
        <f t="shared" si="24"/>
        <v>-0.3428654409195217</v>
      </c>
      <c r="L239" s="17">
        <f t="shared" si="21"/>
        <v>1</v>
      </c>
    </row>
    <row r="240" spans="1:12" s="298" customFormat="1" ht="15" customHeight="1">
      <c r="A240" s="662" t="s">
        <v>147</v>
      </c>
      <c r="B240" s="663"/>
      <c r="C240" s="665">
        <f>+C129</f>
        <v>12710.25</v>
      </c>
      <c r="D240" s="665">
        <f>+D129</f>
        <v>16996.081037500004</v>
      </c>
      <c r="E240" s="665">
        <f>+E129</f>
        <v>13923.89</v>
      </c>
      <c r="F240" s="665">
        <f>+F129</f>
        <v>11713.420000000002</v>
      </c>
      <c r="G240" s="665">
        <f>+G129</f>
        <v>12730.289199999999</v>
      </c>
      <c r="H240" s="665"/>
      <c r="I240" s="663">
        <f t="shared" si="24"/>
        <v>-0.15875376780483022</v>
      </c>
      <c r="J240" s="663">
        <f t="shared" si="24"/>
        <v>8.6812322959477009E-2</v>
      </c>
      <c r="L240" s="17">
        <f t="shared" si="21"/>
        <v>1</v>
      </c>
    </row>
    <row r="241" spans="1:12" s="298" customFormat="1" ht="15" customHeight="1">
      <c r="A241" s="662" t="s">
        <v>164</v>
      </c>
      <c r="B241" s="663"/>
      <c r="C241" s="665">
        <f>+C154</f>
        <v>100347.01</v>
      </c>
      <c r="D241" s="665">
        <f>+D154</f>
        <v>128513.24082370203</v>
      </c>
      <c r="E241" s="665">
        <f>+E154</f>
        <v>147231.71832000001</v>
      </c>
      <c r="F241" s="665">
        <f>+F154</f>
        <v>133796.01333333331</v>
      </c>
      <c r="G241" s="665">
        <f>+G154</f>
        <v>140120.11264948081</v>
      </c>
      <c r="H241" s="665"/>
      <c r="I241" s="663">
        <f t="shared" si="24"/>
        <v>-9.1255506218197793E-2</v>
      </c>
      <c r="J241" s="663">
        <f t="shared" si="24"/>
        <v>4.726672461003701E-2</v>
      </c>
      <c r="L241" s="17">
        <f t="shared" si="21"/>
        <v>1</v>
      </c>
    </row>
    <row r="242" spans="1:12" s="298" customFormat="1" ht="15" customHeight="1">
      <c r="A242" s="662" t="s">
        <v>74</v>
      </c>
      <c r="B242" s="663"/>
      <c r="C242" s="665">
        <f>+C168</f>
        <v>14543.179999999997</v>
      </c>
      <c r="D242" s="665">
        <f>+D168</f>
        <v>13886.706524245225</v>
      </c>
      <c r="E242" s="665">
        <f>+E168</f>
        <v>27582.980000000003</v>
      </c>
      <c r="F242" s="665">
        <f>+F168</f>
        <v>19390.906666666662</v>
      </c>
      <c r="G242" s="665">
        <f>+G168</f>
        <v>14328.2156223</v>
      </c>
      <c r="H242" s="665"/>
      <c r="I242" s="663">
        <f t="shared" si="24"/>
        <v>-0.29699739960415228</v>
      </c>
      <c r="J242" s="663">
        <f t="shared" si="24"/>
        <v>-0.26108583427249044</v>
      </c>
      <c r="L242" s="17">
        <f t="shared" si="21"/>
        <v>1</v>
      </c>
    </row>
    <row r="243" spans="1:12" s="298" customFormat="1" ht="15" customHeight="1">
      <c r="A243" s="662" t="s">
        <v>369</v>
      </c>
      <c r="B243" s="663"/>
      <c r="C243" s="665">
        <f>+C185-C201</f>
        <v>7786.2999999999993</v>
      </c>
      <c r="D243" s="665">
        <f>+D185-D201</f>
        <v>9161.1160025934714</v>
      </c>
      <c r="E243" s="665">
        <f>+E185-E201</f>
        <v>18437.079999999994</v>
      </c>
      <c r="F243" s="665">
        <f>+F185-F201</f>
        <v>7400.8233333333337</v>
      </c>
      <c r="G243" s="665">
        <f>+G185-G201</f>
        <v>6295.5374666666667</v>
      </c>
      <c r="H243" s="665"/>
      <c r="I243" s="663">
        <f t="shared" si="24"/>
        <v>-0.59859026845176477</v>
      </c>
      <c r="J243" s="663">
        <f t="shared" si="24"/>
        <v>-0.14934633849296952</v>
      </c>
      <c r="L243" s="17">
        <f t="shared" si="21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1"/>
        <v>0</v>
      </c>
    </row>
    <row r="245" spans="1:12" s="33" customFormat="1" ht="15" customHeight="1">
      <c r="A245" s="14" t="s">
        <v>189</v>
      </c>
      <c r="B245" s="363"/>
      <c r="C245" s="659">
        <f>+C203</f>
        <v>232753.91999999998</v>
      </c>
      <c r="D245" s="659">
        <f>+D203</f>
        <v>307615.2389137664</v>
      </c>
      <c r="E245" s="659">
        <f>+E203</f>
        <v>322418.77831999998</v>
      </c>
      <c r="F245" s="659">
        <f>+F203</f>
        <v>297019.33333333331</v>
      </c>
      <c r="G245" s="659">
        <f>+G203</f>
        <v>283748.40856716613</v>
      </c>
      <c r="H245" s="659"/>
      <c r="I245" s="363">
        <f>+I63</f>
        <v>0</v>
      </c>
      <c r="J245" s="363">
        <f>+J63</f>
        <v>0</v>
      </c>
      <c r="K245" s="58"/>
      <c r="L245" s="17">
        <f t="shared" si="21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1"/>
        <v>0</v>
      </c>
    </row>
    <row r="247" spans="1:12" s="33" customFormat="1" ht="15" customHeight="1">
      <c r="A247" s="12" t="s">
        <v>228</v>
      </c>
      <c r="B247" s="366"/>
      <c r="C247" s="667">
        <f>+C205</f>
        <v>-20589.035039999959</v>
      </c>
      <c r="D247" s="667">
        <f>+D205</f>
        <v>1745.1354862336302</v>
      </c>
      <c r="E247" s="667">
        <f>+E205</f>
        <v>-23008.513920000114</v>
      </c>
      <c r="F247" s="667">
        <f>+F205</f>
        <v>-26507.300658736087</v>
      </c>
      <c r="G247" s="667">
        <f>+G205</f>
        <v>15415.375916598889</v>
      </c>
      <c r="H247" s="667"/>
      <c r="I247" s="366">
        <f>+IF((E247)=0,,(F247-E247)/E247)</f>
        <v>0.15206487263371921</v>
      </c>
      <c r="J247" s="1036">
        <f>+IF((F247)=0,,(G247-F247)/F247)</f>
        <v>-1.5815520831434942</v>
      </c>
      <c r="L247" s="17">
        <f t="shared" si="21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1"/>
        <v>0</v>
      </c>
    </row>
    <row r="249" spans="1:12" s="33" customFormat="1" ht="15" customHeight="1">
      <c r="A249" s="20" t="s">
        <v>370</v>
      </c>
      <c r="B249" s="367"/>
      <c r="C249" s="668">
        <f>+C207+C215</f>
        <v>26070.185924965179</v>
      </c>
      <c r="D249" s="668">
        <f>+D207+D215</f>
        <v>40280.659461748553</v>
      </c>
      <c r="E249" s="668">
        <f>+E207+E215</f>
        <v>32194.619447671372</v>
      </c>
      <c r="F249" s="668">
        <f>+F207+F215</f>
        <v>34970.678087140441</v>
      </c>
      <c r="G249" s="668">
        <f>+G207+G215</f>
        <v>40406.450008176638</v>
      </c>
      <c r="H249" s="668"/>
      <c r="I249" s="363">
        <f>+I67</f>
        <v>-0.69991922534335083</v>
      </c>
      <c r="J249" s="363">
        <f>+J67</f>
        <v>3.0000000000000002E-2</v>
      </c>
      <c r="L249" s="17">
        <f t="shared" si="21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1"/>
        <v>0</v>
      </c>
    </row>
    <row r="251" spans="1:12" s="33" customFormat="1" ht="20.100000000000001" customHeight="1">
      <c r="A251" s="12" t="s">
        <v>86</v>
      </c>
      <c r="B251" s="366"/>
      <c r="C251" s="667">
        <f>+C217</f>
        <v>-46659.220964965134</v>
      </c>
      <c r="D251" s="667">
        <f>+D217</f>
        <v>-38535.523975514923</v>
      </c>
      <c r="E251" s="667">
        <f>+E217</f>
        <v>-55203.133367671486</v>
      </c>
      <c r="F251" s="667">
        <f>+F217</f>
        <v>-61477.978745876528</v>
      </c>
      <c r="G251" s="667">
        <f>+G217</f>
        <v>-24991.07409157775</v>
      </c>
      <c r="H251" s="667"/>
      <c r="I251" s="366">
        <f>+IF((E251)=0,,(F251-E251)/E251)</f>
        <v>0.11366828285656279</v>
      </c>
      <c r="J251" s="1036">
        <f>+IF((F251)=0,,(G251-F251)/F251)</f>
        <v>-0.59349551495698838</v>
      </c>
      <c r="L251" s="17">
        <f t="shared" si="21"/>
        <v>1</v>
      </c>
    </row>
    <row r="252" spans="1:12" hidden="1">
      <c r="C252" s="17"/>
      <c r="D252" s="2"/>
      <c r="E252" s="2"/>
      <c r="F252" s="2"/>
      <c r="G252" s="2"/>
      <c r="H252" s="5"/>
      <c r="I252" s="24"/>
      <c r="J252" s="66"/>
      <c r="L252" s="17">
        <f t="shared" si="21"/>
        <v>0</v>
      </c>
    </row>
    <row r="253" spans="1:12" s="298" customFormat="1" ht="15" customHeight="1">
      <c r="A253" s="662" t="s">
        <v>95</v>
      </c>
      <c r="B253" s="663"/>
      <c r="C253" s="665">
        <f>+C28</f>
        <v>139979.82999999999</v>
      </c>
      <c r="D253" s="665">
        <v>184608</v>
      </c>
      <c r="E253" s="665">
        <f>+E28</f>
        <v>177603.7</v>
      </c>
      <c r="F253" s="665"/>
      <c r="G253" s="1037">
        <f>+G28</f>
        <v>197313.70750000002</v>
      </c>
      <c r="H253" s="1037"/>
      <c r="I253" s="663"/>
      <c r="J253" s="663"/>
      <c r="L253" s="17">
        <v>1</v>
      </c>
    </row>
    <row r="254" spans="1:12" s="298" customFormat="1" ht="15" customHeight="1">
      <c r="A254" s="662" t="s">
        <v>371</v>
      </c>
      <c r="B254" s="663"/>
      <c r="C254" s="665">
        <f>+C222</f>
        <v>971561.95917779719</v>
      </c>
      <c r="D254" s="665">
        <f>+D222</f>
        <v>979436.65083196771</v>
      </c>
      <c r="E254" s="665">
        <f>+E222</f>
        <v>1276042.8378058402</v>
      </c>
      <c r="F254" s="665">
        <f>+F222</f>
        <v>934656.56368376617</v>
      </c>
      <c r="G254" s="665">
        <f>+G222</f>
        <v>919756.6467208406</v>
      </c>
      <c r="H254" s="665"/>
      <c r="I254" s="663"/>
      <c r="J254" s="663"/>
      <c r="L254" s="17">
        <v>1</v>
      </c>
    </row>
    <row r="255" spans="1:12" s="298" customFormat="1" ht="15" customHeight="1">
      <c r="A255" s="662" t="s">
        <v>372</v>
      </c>
      <c r="B255" s="663"/>
      <c r="C255" s="665"/>
      <c r="D255" s="665">
        <v>16000</v>
      </c>
      <c r="E255" s="665"/>
      <c r="F255" s="665"/>
      <c r="G255" s="1037">
        <v>0</v>
      </c>
      <c r="H255" s="1037"/>
      <c r="I255" s="663"/>
      <c r="J255" s="663"/>
      <c r="L255" s="17">
        <v>1</v>
      </c>
    </row>
    <row r="256" spans="1:12" hidden="1">
      <c r="C256" s="17"/>
      <c r="D256" s="2"/>
      <c r="E256" s="2"/>
      <c r="F256" s="2"/>
      <c r="G256" s="2"/>
      <c r="H256" s="2"/>
      <c r="I256" s="24"/>
      <c r="J256" s="66"/>
      <c r="L256" s="17">
        <f t="shared" si="21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ageMargins left="0.95" right="0.39370078740157483" top="0.15748031496062992" bottom="0.21" header="3.937007874015748E-2" footer="0.12"/>
  <pageSetup paperSize="9" scale="68" fitToHeight="2" orientation="landscape" horizontalDpi="4294967293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 enableFormatConditionsCalculation="0">
    <tabColor indexed="43"/>
    <pageSetUpPr fitToPage="1"/>
  </sheetPr>
  <dimension ref="A1:L256"/>
  <sheetViews>
    <sheetView workbookViewId="0">
      <pane xSplit="2" ySplit="7" topLeftCell="C91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  <c r="E1" s="17" t="s">
        <v>299</v>
      </c>
    </row>
    <row r="2" spans="1:12">
      <c r="E2" s="17"/>
    </row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214</v>
      </c>
      <c r="B4" s="90" t="s">
        <v>226</v>
      </c>
      <c r="C4" s="156" t="str">
        <f>+Clients!E13</f>
        <v>Septembre</v>
      </c>
      <c r="D4" s="105" t="s">
        <v>197</v>
      </c>
      <c r="E4" s="156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212393.12084913009</v>
      </c>
      <c r="F5" s="157">
        <f>F217</f>
        <v>174719.08236652869</v>
      </c>
      <c r="G5" s="215">
        <f>G217</f>
        <v>144577.6094305517</v>
      </c>
      <c r="H5" s="90">
        <f>G5/G21</f>
        <v>7.0135130204520543E-2</v>
      </c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>
      <c r="A7" s="5"/>
      <c r="B7" s="92"/>
      <c r="C7" s="160"/>
      <c r="D7" s="115"/>
      <c r="E7" s="160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" t="s">
        <v>221</v>
      </c>
      <c r="B8" s="92"/>
      <c r="C8" s="160">
        <f>-IF(ISNA(VLOOKUP("GRE707130000",Balance!C:G,5,FALSE))=TRUE,0,VLOOKUP("GRE707130000",Balance!C:G,5,FALSE))</f>
        <v>1575046.77</v>
      </c>
      <c r="D8" s="117">
        <f>+[2]Grenoble!$H8</f>
        <v>2004813</v>
      </c>
      <c r="E8" s="160">
        <f>-IF(ISNA(VLOOKUP("GRE707130000",Balanceanp!C:G,5,FALSE))=TRUE,0,VLOOKUP("GRE707130000",Balanceanp!C:G,5,FALSE))</f>
        <v>1733287.7</v>
      </c>
      <c r="F8" s="368">
        <f>+CA!G140</f>
        <v>2072274.7520446451</v>
      </c>
      <c r="G8" s="395">
        <v>2061415</v>
      </c>
      <c r="H8" s="401"/>
      <c r="I8" s="149">
        <f>+IF((E8)=0,,(F8-E8)/E8)</f>
        <v>0.19557460198018206</v>
      </c>
      <c r="J8" s="271">
        <f>+IF((F8)=0,,(G8-F8)/F8)</f>
        <v>-5.2404981694295985E-3</v>
      </c>
      <c r="L8" s="17">
        <v>0</v>
      </c>
    </row>
    <row r="9" spans="1:12">
      <c r="A9" s="5" t="s">
        <v>422</v>
      </c>
      <c r="B9" s="92"/>
      <c r="C9" s="160">
        <f>-IF(ISNA(VLOOKUP("GRE707131000",Balance!C:G,5,FALSE))=TRUE,0,VLOOKUP("GRE707131000",Balance!C:G,5,FALSE))</f>
        <v>0</v>
      </c>
      <c r="D9" s="117">
        <f>+[2]Grenoble!$H9</f>
        <v>0</v>
      </c>
      <c r="E9" s="160">
        <f>-IF(ISNA(VLOOKUP("GRE707131000",Balanceanp!C:G,5,FALSE))=TRUE,0,VLOOKUP("GRE707131000",Balanceanp!C:G,5,FALSE))</f>
        <v>380493.63</v>
      </c>
      <c r="F9" s="368">
        <f>+C9</f>
        <v>0</v>
      </c>
      <c r="G9" s="395">
        <f>+F9*1.03</f>
        <v>0</v>
      </c>
      <c r="H9" s="401"/>
      <c r="I9" s="149">
        <f t="shared" ref="I9:J19" si="0">+IF((E9)=0,,(F9-E9)/E9)</f>
        <v>-1</v>
      </c>
      <c r="J9" s="271">
        <f t="shared" si="0"/>
        <v>0</v>
      </c>
      <c r="L9" s="17">
        <v>0</v>
      </c>
    </row>
    <row r="10" spans="1:12">
      <c r="A10" s="5" t="s">
        <v>84</v>
      </c>
      <c r="B10" s="92"/>
      <c r="C10" s="160">
        <f>-IF(ISNA(VLOOKUP("GRE707300000",Balance!C:G,5,FALSE))=TRUE,0,VLOOKUP("GRE707300000",Balance!C:G,5,FALSE))</f>
        <v>0</v>
      </c>
      <c r="D10" s="117">
        <f>+[2]Grenoble!$H10</f>
        <v>0</v>
      </c>
      <c r="E10" s="160">
        <f>-IF(ISNA(VLOOKUP("GRE707300000",Balanceanp!C:G,5,FALSE))=TRUE,0,VLOOKUP("GRE707300000",Balanceanp!C:G,5,FALSE))</f>
        <v>0</v>
      </c>
      <c r="F10" s="368">
        <f t="shared" ref="F10:F19" si="1">+C10</f>
        <v>0</v>
      </c>
      <c r="G10" s="395">
        <f>+F10*1.03</f>
        <v>0</v>
      </c>
      <c r="H10" s="401"/>
      <c r="I10" s="149">
        <f t="shared" si="0"/>
        <v>0</v>
      </c>
      <c r="J10" s="271">
        <f t="shared" si="0"/>
        <v>0</v>
      </c>
      <c r="L10" s="17">
        <v>0</v>
      </c>
    </row>
    <row r="11" spans="1:12">
      <c r="A11" s="5" t="s">
        <v>267</v>
      </c>
      <c r="B11" s="92"/>
      <c r="C11" s="160">
        <f>-IF(ISNA(VLOOKUP("GRE707110000",Balance!C:G,5,FALSE))=TRUE,0,VLOOKUP("GRE707110000",Balance!C:G,5,FALSE))</f>
        <v>250</v>
      </c>
      <c r="D11" s="117">
        <f>+[2]Grenoble!$H11</f>
        <v>0</v>
      </c>
      <c r="E11" s="160">
        <f>-IF(ISNA(VLOOKUP("GRE707110000",Balanceanp!C:G,5,FALSE))=TRUE,0,VLOOKUP("GRE707110000",Balanceanp!C:G,5,FALSE))</f>
        <v>2253</v>
      </c>
      <c r="F11" s="368">
        <f t="shared" si="1"/>
        <v>250</v>
      </c>
      <c r="G11" s="395">
        <v>0</v>
      </c>
      <c r="H11" s="401"/>
      <c r="I11" s="149">
        <f t="shared" si="0"/>
        <v>-0.88903683976919667</v>
      </c>
      <c r="J11" s="271">
        <f t="shared" si="0"/>
        <v>-1</v>
      </c>
      <c r="L11" s="17">
        <v>0</v>
      </c>
    </row>
    <row r="12" spans="1:12">
      <c r="A12" s="5" t="s">
        <v>46</v>
      </c>
      <c r="B12" s="92"/>
      <c r="C12" s="160">
        <f>-IF(ISNA(VLOOKUP("GRE707120000",Balance!C:G,5,FALSE))=TRUE,0,VLOOKUP("GRE707120000",Balance!C:G,5,FALSE))</f>
        <v>0</v>
      </c>
      <c r="D12" s="117">
        <f>+[2]Grenoble!$H12</f>
        <v>0</v>
      </c>
      <c r="E12" s="160">
        <f>-IF(ISNA(VLOOKUP("GRE707120000",Balanceanp!C:G,5,FALSE))=TRUE,0,VLOOKUP("GRE707120000",Balanceanp!C:G,5,FALSE))</f>
        <v>0</v>
      </c>
      <c r="F12" s="368">
        <f t="shared" si="1"/>
        <v>0</v>
      </c>
      <c r="G12" s="395">
        <v>0</v>
      </c>
      <c r="H12" s="401"/>
      <c r="I12" s="149">
        <f t="shared" si="0"/>
        <v>0</v>
      </c>
      <c r="J12" s="271">
        <f t="shared" si="0"/>
        <v>0</v>
      </c>
      <c r="L12" s="17">
        <v>0</v>
      </c>
    </row>
    <row r="13" spans="1:12">
      <c r="A13" s="5" t="s">
        <v>268</v>
      </c>
      <c r="B13" s="92"/>
      <c r="C13" s="160">
        <f>-IF(ISNA(VLOOKUP("GRE707230000",Balance!C:G,5,FALSE))=TRUE,0,VLOOKUP("GRE707230000",Balance!C:G,5,FALSE))</f>
        <v>0</v>
      </c>
      <c r="D13" s="117">
        <f>+[2]Grenoble!$H13</f>
        <v>0</v>
      </c>
      <c r="E13" s="160">
        <f>-IF(ISNA(VLOOKUP("GRE707230000",Balanceanp!C:G,5,FALSE))=TRUE,0,VLOOKUP("GRE707230000",Balanceanp!C:G,5,FALSE))</f>
        <v>0</v>
      </c>
      <c r="F13" s="368">
        <f t="shared" si="1"/>
        <v>0</v>
      </c>
      <c r="G13" s="395">
        <v>0</v>
      </c>
      <c r="H13" s="401"/>
      <c r="I13" s="149">
        <f t="shared" si="0"/>
        <v>0</v>
      </c>
      <c r="J13" s="271">
        <f t="shared" si="0"/>
        <v>0</v>
      </c>
      <c r="L13" s="17">
        <v>0</v>
      </c>
    </row>
    <row r="14" spans="1:12">
      <c r="A14" s="5" t="s">
        <v>269</v>
      </c>
      <c r="B14" s="92"/>
      <c r="C14" s="160">
        <f>-IF(ISNA(VLOOKUP("GRE708820000",Balance!C:G,5,FALSE))=TRUE,0,VLOOKUP("GRE708820000",Balance!C:G,5,FALSE))</f>
        <v>200.48</v>
      </c>
      <c r="D14" s="117">
        <f>+[2]Grenoble!$H14</f>
        <v>0</v>
      </c>
      <c r="E14" s="160">
        <f>-IF(ISNA(VLOOKUP("GRE708820000",Balanceanp!C:G,5,FALSE))=TRUE,0,VLOOKUP("GRE708820000",Balanceanp!C:G,5,FALSE))</f>
        <v>1471.77</v>
      </c>
      <c r="F14" s="368">
        <f t="shared" si="1"/>
        <v>200.48</v>
      </c>
      <c r="G14" s="395">
        <v>0</v>
      </c>
      <c r="H14" s="401"/>
      <c r="I14" s="149">
        <f t="shared" si="0"/>
        <v>-0.86378306392982596</v>
      </c>
      <c r="J14" s="271">
        <f t="shared" si="0"/>
        <v>-1</v>
      </c>
      <c r="L14" s="17">
        <v>0</v>
      </c>
    </row>
    <row r="15" spans="1:12">
      <c r="A15" s="5" t="s">
        <v>270</v>
      </c>
      <c r="B15" s="92"/>
      <c r="C15" s="160">
        <f>-IF(ISNA(VLOOKUP("GRE708500000",Balance!C:G,5,FALSE))=TRUE,0,VLOOKUP("GRE708500000",Balance!C:G,5,FALSE))</f>
        <v>2772</v>
      </c>
      <c r="D15" s="117">
        <f>+[2]Grenoble!$H15</f>
        <v>0</v>
      </c>
      <c r="E15" s="160">
        <f>-IF(ISNA(VLOOKUP("GRE708500000",Balanceanp!C:G,5,FALSE))=TRUE,0,VLOOKUP("GRE708500000",Balanceanp!C:G,5,FALSE))</f>
        <v>3438</v>
      </c>
      <c r="F15" s="368">
        <f t="shared" si="1"/>
        <v>2772</v>
      </c>
      <c r="G15" s="395">
        <v>0</v>
      </c>
      <c r="H15" s="401"/>
      <c r="I15" s="149">
        <f t="shared" si="0"/>
        <v>-0.193717277486911</v>
      </c>
      <c r="J15" s="271">
        <f t="shared" si="0"/>
        <v>-1</v>
      </c>
      <c r="L15" s="17">
        <v>0</v>
      </c>
    </row>
    <row r="16" spans="1:12">
      <c r="A16" s="5" t="s">
        <v>85</v>
      </c>
      <c r="B16" s="92"/>
      <c r="C16" s="160">
        <f>IF(ISNA(VLOOKUP("GRE706000000",Balance!C:G,5,FALSE))=TRUE,0,-VLOOKUP("GRE706000000",Balance!C:G,5,FALSE))+IF(ISNA(VLOOKUP("GRE706010000",Balance!C:G,5,FALSE))=TRUE,0,-VLOOKUP("GRE706010000",Balance!C:G,5,FALSE))</f>
        <v>0</v>
      </c>
      <c r="D16" s="117">
        <f>+[2]Grenoble!$H16</f>
        <v>0</v>
      </c>
      <c r="E16" s="160">
        <f>IF(ISNA(VLOOKUP("GRE706000000",Balanceanp!C:G,5,FALSE))=TRUE,0,-VLOOKUP("GRE706000000",Balanceanp!C:G,5,FALSE))+IF(ISNA(VLOOKUP("GRE706010000",Balanceanp!C:G,5,FALSE))=TRUE,0,-VLOOKUP("GRE706010000",Balanceanp!C:G,5,FALSE))</f>
        <v>0</v>
      </c>
      <c r="F16" s="368">
        <f t="shared" si="1"/>
        <v>0</v>
      </c>
      <c r="G16" s="395">
        <v>0</v>
      </c>
      <c r="H16" s="401"/>
      <c r="I16" s="149">
        <f t="shared" si="0"/>
        <v>0</v>
      </c>
      <c r="J16" s="271">
        <f t="shared" si="0"/>
        <v>0</v>
      </c>
      <c r="L16" s="17">
        <v>0</v>
      </c>
    </row>
    <row r="17" spans="1:12">
      <c r="A17" s="5" t="s">
        <v>88</v>
      </c>
      <c r="B17" s="92"/>
      <c r="C17" s="160">
        <f>IF(ISNA(VLOOKUP("GRE707500000",Balance!C:G,5,FALSE))=TRUE,0,-VLOOKUP("GRE707500000",Balance!C:G,5,FALSE))</f>
        <v>0</v>
      </c>
      <c r="D17" s="117">
        <f>+[2]Grenoble!$H17</f>
        <v>0</v>
      </c>
      <c r="E17" s="160">
        <f>IF(ISNA(VLOOKUP("GRE707500000",Balanceanp!C:G,5,FALSE))=TRUE,0,-VLOOKUP("GRE707500000",Balanceanp!C:G,5,FALSE))</f>
        <v>0</v>
      </c>
      <c r="F17" s="368">
        <f t="shared" si="1"/>
        <v>0</v>
      </c>
      <c r="G17" s="395">
        <v>0</v>
      </c>
      <c r="H17" s="401"/>
      <c r="I17" s="149">
        <f t="shared" si="0"/>
        <v>0</v>
      </c>
      <c r="J17" s="271">
        <f t="shared" si="0"/>
        <v>0</v>
      </c>
      <c r="L17" s="17">
        <v>0</v>
      </c>
    </row>
    <row r="18" spans="1:12">
      <c r="A18" s="5" t="s">
        <v>89</v>
      </c>
      <c r="B18" s="92"/>
      <c r="C18" s="160">
        <f>IF(ISNA(VLOOKUP("GRE707510000",Balance!C:G,5,FALSE))=TRUE,0,-VLOOKUP("GRE707510000",Balance!C:G,5,FALSE))</f>
        <v>0</v>
      </c>
      <c r="D18" s="117">
        <f>+[2]Grenoble!$H18</f>
        <v>0</v>
      </c>
      <c r="E18" s="160">
        <f>IF(ISNA(VLOOKUP("GRE707510000",Balanceanp!C:G,5,FALSE))=TRUE,0,-VLOOKUP("GRE707510000",Balanceanp!C:G,5,FALSE))</f>
        <v>0</v>
      </c>
      <c r="F18" s="368">
        <f t="shared" si="1"/>
        <v>0</v>
      </c>
      <c r="G18" s="395">
        <v>0</v>
      </c>
      <c r="H18" s="401"/>
      <c r="I18" s="149">
        <f t="shared" si="0"/>
        <v>0</v>
      </c>
      <c r="J18" s="271">
        <f t="shared" si="0"/>
        <v>0</v>
      </c>
      <c r="L18" s="17">
        <v>0</v>
      </c>
    </row>
    <row r="19" spans="1:12">
      <c r="A19" s="5" t="s">
        <v>90</v>
      </c>
      <c r="B19" s="92"/>
      <c r="C19" s="160">
        <f>IF(ISNA(VLOOKUP("GRE708300000",Balance!C:G,5,FALSE))=TRUE,0,-VLOOKUP("GRE708300000",Balance!C:G,5,FALSE))</f>
        <v>0</v>
      </c>
      <c r="D19" s="117">
        <f>+[2]Grenoble!$H19</f>
        <v>0</v>
      </c>
      <c r="E19" s="160">
        <f>IF(ISNA(VLOOKUP("GRE708300000",Balanceanp!C:G,5,FALSE))=TRUE,0,-VLOOKUP("GRE708300000",Balanceanp!C:G,5,FALSE))</f>
        <v>0</v>
      </c>
      <c r="F19" s="368">
        <f t="shared" si="1"/>
        <v>0</v>
      </c>
      <c r="G19" s="395">
        <v>0</v>
      </c>
      <c r="H19" s="401"/>
      <c r="I19" s="149">
        <f t="shared" si="0"/>
        <v>0</v>
      </c>
      <c r="J19" s="271">
        <f t="shared" si="0"/>
        <v>0</v>
      </c>
      <c r="L19" s="17">
        <v>0</v>
      </c>
    </row>
    <row r="20" spans="1:12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1578269.25</v>
      </c>
      <c r="D21" s="312">
        <f>SUM(D7:D20)</f>
        <v>2004813</v>
      </c>
      <c r="E21" s="305">
        <f>SUM(E7:E20)</f>
        <v>2120944.1</v>
      </c>
      <c r="F21" s="312">
        <f>SUM(F7:F20)</f>
        <v>2075497.2320446451</v>
      </c>
      <c r="G21" s="312">
        <f>SUM(G7:G20)</f>
        <v>2061415</v>
      </c>
      <c r="H21" s="312"/>
      <c r="I21" s="598">
        <f>+IF((E21)=0,,(F21-E21)/E21)</f>
        <v>-2.1427659482093363E-2</v>
      </c>
      <c r="J21" s="599">
        <f>+IF((F21)=0,,(G21-F21)/F21)</f>
        <v>-6.7849919658877203E-3</v>
      </c>
      <c r="L21" s="17">
        <f t="shared" ref="L21:L71" si="2">IF(SUM(C21:J21)&lt;&gt;0,1,0)</f>
        <v>1</v>
      </c>
    </row>
    <row r="22" spans="1:12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2"/>
        <v>0</v>
      </c>
    </row>
    <row r="23" spans="1:12">
      <c r="A23" s="590" t="s">
        <v>92</v>
      </c>
      <c r="B23" s="591"/>
      <c r="C23" s="311">
        <f>IF(ISNA(VLOOKUP("GRE602650000",Balance!C:G,5,FALSE))=TRUE,0,VLOOKUP("GRE602650000",Balance!C:G,5,FALSE))</f>
        <v>88.2</v>
      </c>
      <c r="D23" s="600"/>
      <c r="E23" s="311">
        <f>IF(ISNA(VLOOKUP("GRE602650000",Balanceanp!C:G,5,FALSE))=TRUE,0,VLOOKUP("GRE602650000",Balanceanp!C:G,5,FALSE))</f>
        <v>36</v>
      </c>
      <c r="F23" s="600"/>
      <c r="G23" s="600"/>
      <c r="H23" s="600"/>
      <c r="I23" s="591"/>
      <c r="J23" s="595"/>
      <c r="L23" s="17">
        <f t="shared" si="2"/>
        <v>1</v>
      </c>
    </row>
    <row r="24" spans="1:12">
      <c r="A24" s="590" t="s">
        <v>93</v>
      </c>
      <c r="B24" s="591"/>
      <c r="C24" s="311">
        <f>IF(ISNA(VLOOKUP("gre607100000",Balance!C:G,5,FALSE))=TRUE,0,VLOOKUP("gre607100000",Balance!C:G,5,FALSE))</f>
        <v>611572.60000000009</v>
      </c>
      <c r="D24" s="600"/>
      <c r="E24" s="311">
        <f>IF(ISNA(VLOOKUP("gre607100000",Balanceanp!C:G,5,FALSE))=TRUE,0,VLOOKUP("gre607100000",Balanceanp!C:G,5,FALSE))</f>
        <v>730330.32</v>
      </c>
      <c r="F24" s="600"/>
      <c r="G24" s="602">
        <f>H24*G30</f>
        <v>809084.77334999992</v>
      </c>
      <c r="H24" s="603">
        <f>1-H28</f>
        <v>0.63</v>
      </c>
      <c r="I24" s="591"/>
      <c r="J24" s="595"/>
      <c r="L24" s="17">
        <f t="shared" si="2"/>
        <v>1</v>
      </c>
    </row>
    <row r="25" spans="1:12">
      <c r="A25" s="5" t="s">
        <v>94</v>
      </c>
      <c r="B25" s="92"/>
      <c r="C25" s="160">
        <f>IF(ISNA(VLOOKUP("gre607110000",Balance!C:G,5,FALSE))=TRUE,0,VLOOKUP("gre607110000",Balance!C:G,5,FALSE))+IF(ISNA(VLOOKUP("gre607120000",Balance!C:G,5,FALSE))=TRUE,0,VLOOKUP("gre607120000",Balance!C:G,5,FALSE))</f>
        <v>26658.92</v>
      </c>
      <c r="D25" s="115"/>
      <c r="E25" s="160">
        <f>IF(ISNA(VLOOKUP("gre607110000",Balanceanp!C:G,5,FALSE))=TRUE,0,VLOOKUP("gre607110000",Balanceanp!C:G,5,FALSE))+IF(ISNA(VLOOKUP("gre607120000",Balanceanp!C:G,5,FALSE))=TRUE,0,VLOOKUP("gre607120000",Balanceanp!C:G,5,FALSE))</f>
        <v>44323.06</v>
      </c>
      <c r="F25" s="134"/>
      <c r="G25" s="134"/>
      <c r="H25" s="400"/>
      <c r="I25" s="149"/>
      <c r="J25" s="271"/>
      <c r="L25" s="17">
        <v>0</v>
      </c>
    </row>
    <row r="26" spans="1:12">
      <c r="A26" s="5" t="s">
        <v>288</v>
      </c>
      <c r="B26" s="92"/>
      <c r="C26" s="160">
        <f>IF(ISNA(VLOOKUP("gre607130000",Balance!C:G,5,FALSE))=TRUE,0,VLOOKUP("gre607130000",Balance!C:G,5,FALSE))</f>
        <v>26239.78</v>
      </c>
      <c r="D26" s="115"/>
      <c r="E26" s="160">
        <f>IF(ISNA(VLOOKUP("gre607130000",Balanceanp!C:G,5,FALSE))=TRUE,0,VLOOKUP("gre607130000",Balanceanp!C:G,5,FALSE))</f>
        <v>23936</v>
      </c>
      <c r="F26" s="134"/>
      <c r="G26" s="134"/>
      <c r="H26" s="400"/>
      <c r="I26" s="149"/>
      <c r="J26" s="271"/>
      <c r="L26" s="17">
        <v>0</v>
      </c>
    </row>
    <row r="27" spans="1:12">
      <c r="A27" s="5" t="s">
        <v>289</v>
      </c>
      <c r="B27" s="92"/>
      <c r="C27" s="160">
        <f>IF(ISNA(VLOOKUP("gre607140000",Balance!C:G,5,FALSE))=TRUE,0,VLOOKUP("gre607140000",Balance!C:G,5,FALSE))</f>
        <v>-66883.179999999993</v>
      </c>
      <c r="D27" s="115"/>
      <c r="E27" s="160">
        <f>IF(ISNA(VLOOKUP("gre607140000",Balanceanp!C:G,5,FALSE))=TRUE,0,VLOOKUP("gre607140000",Balanceanp!C:G,5,FALSE))</f>
        <v>-91135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IF(ISNA(VLOOKUP("GRE607200000",Balance!C:G,5,FALSE))=TRUE,0,VLOOKUP("GRE607200000",Balance!C:G,5,FALSE))</f>
        <v>368511.92</v>
      </c>
      <c r="D28" s="971">
        <f>C28/C30</f>
        <v>0.3691811124516744</v>
      </c>
      <c r="E28" s="311">
        <f>IF(ISNA(VLOOKUP("GRE607200000",Balanceanp!C:G,5,FALSE))=TRUE,0,VLOOKUP("GRE607200000",Balanceanp!C:G,5,FALSE))</f>
        <v>515022.53</v>
      </c>
      <c r="F28" s="971">
        <f>E28/E30</f>
        <v>0.39398311290891475</v>
      </c>
      <c r="G28" s="602">
        <f>H28*G30</f>
        <v>475176.77164999995</v>
      </c>
      <c r="H28" s="604">
        <v>0.37</v>
      </c>
      <c r="I28" s="591"/>
      <c r="J28" s="595"/>
      <c r="L28" s="17">
        <f t="shared" si="2"/>
        <v>1</v>
      </c>
    </row>
    <row r="29" spans="1:12">
      <c r="A29" s="5" t="s">
        <v>293</v>
      </c>
      <c r="B29" s="92"/>
      <c r="C29" s="160">
        <f>IF(ISNA(VLOOKUP("GRE607150000",Balance!C:G,5,FALSE))=TRUE,0,VLOOKUP("GRE607150000",Balance!C:G,5,FALSE))</f>
        <v>31999.119999999999</v>
      </c>
      <c r="D29" s="115"/>
      <c r="E29" s="357">
        <f>IF(ISNA(VLOOKUP("GRE607150000",Balanceanp!C:G,5,FALSE))=TRUE,0,VLOOKUP("GRE607150000",Balanceanp!C:G,5,FALSE))</f>
        <v>84706.9</v>
      </c>
      <c r="F29" s="134"/>
      <c r="G29" s="134"/>
      <c r="H29" s="400"/>
      <c r="I29" s="149">
        <f>+IF((D28)=0,"",(C28-D28)/D28)</f>
        <v>998186.36</v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998187.36</v>
      </c>
      <c r="D30" s="402"/>
      <c r="E30" s="306">
        <f>SUM(E23:E29)</f>
        <v>1307219.8099999998</v>
      </c>
      <c r="F30" s="812">
        <f>1-(E30/E21)</f>
        <v>0.38366135627997</v>
      </c>
      <c r="G30" s="402">
        <f>G21*(1-H30)</f>
        <v>1284261.5449999999</v>
      </c>
      <c r="H30" s="577">
        <v>0.377</v>
      </c>
      <c r="I30" s="608"/>
      <c r="J30" s="609"/>
      <c r="L30" s="17">
        <f t="shared" si="2"/>
        <v>1</v>
      </c>
    </row>
    <row r="31" spans="1:12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2"/>
        <v>0</v>
      </c>
    </row>
    <row r="32" spans="1:12" s="33" customFormat="1" ht="0.75" customHeight="1">
      <c r="A32" s="56" t="s">
        <v>336</v>
      </c>
      <c r="B32" s="610"/>
      <c r="C32" s="307">
        <f>+C21-C30-C38</f>
        <v>603968.31000000006</v>
      </c>
      <c r="D32" s="403"/>
      <c r="E32" s="307">
        <f>+E21-E30-E38</f>
        <v>807837.60160000029</v>
      </c>
      <c r="F32" s="403"/>
      <c r="G32" s="403"/>
      <c r="H32" s="403"/>
      <c r="I32" s="608"/>
      <c r="J32" s="577"/>
      <c r="L32" s="17">
        <f t="shared" si="2"/>
        <v>1</v>
      </c>
    </row>
    <row r="33" spans="1:12" s="33" customFormat="1" ht="0.75" customHeight="1">
      <c r="A33" s="56" t="s">
        <v>337</v>
      </c>
      <c r="B33" s="610"/>
      <c r="C33" s="308">
        <f>+C32/C21</f>
        <v>0.38267761346804424</v>
      </c>
      <c r="D33" s="403"/>
      <c r="E33" s="308">
        <f>+E32/E21</f>
        <v>0.38088585248427825</v>
      </c>
      <c r="F33" s="403"/>
      <c r="G33" s="403"/>
      <c r="H33" s="403"/>
      <c r="I33" s="608"/>
      <c r="J33" s="577"/>
      <c r="L33" s="17">
        <f t="shared" si="2"/>
        <v>1</v>
      </c>
    </row>
    <row r="34" spans="1:12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s="17">
        <f t="shared" si="2"/>
        <v>0</v>
      </c>
    </row>
    <row r="35" spans="1:12">
      <c r="A35" s="590" t="s">
        <v>96</v>
      </c>
      <c r="B35" s="591"/>
      <c r="C35" s="311">
        <f>IF(ISNA(VLOOKUP("GRE607400000",Balance!C:G,5,FALSE))=TRUE,0,VLOOKUP("GRE607400000",Balance!C:G,5,FALSE))</f>
        <v>6030.35</v>
      </c>
      <c r="D35" s="600"/>
      <c r="E35" s="311">
        <f>IF(ISNA(VLOOKUP("GRE607400000",Balanceanp!C:G,5,FALSE))=TRUE,0,VLOOKUP("GRE607400000",Balanceanp!C:G,5,FALSE))</f>
        <v>9967.15</v>
      </c>
      <c r="F35" s="972">
        <f>E35/E30</f>
        <v>7.6246932028975305E-3</v>
      </c>
      <c r="G35" s="613">
        <f>F35*G30</f>
        <v>9792.1002729041811</v>
      </c>
      <c r="H35" s="600"/>
      <c r="I35" s="591" t="str">
        <f t="shared" si="3"/>
        <v/>
      </c>
      <c r="J35" s="595"/>
      <c r="L35" s="17">
        <f t="shared" si="2"/>
        <v>1</v>
      </c>
    </row>
    <row r="36" spans="1:12">
      <c r="A36" s="590" t="s">
        <v>97</v>
      </c>
      <c r="B36" s="591"/>
      <c r="C36" s="311">
        <f>IF(ISNA(VLOOKUP("GRE608000000",Balance!C:G,5,FALSE))=TRUE,0,VLOOKUP("GRE608000000",Balance!C:G,5,FALSE))</f>
        <v>2769.26</v>
      </c>
      <c r="D36" s="600"/>
      <c r="E36" s="311">
        <f>IF(ISNA(VLOOKUP("GRE608000000",Balanceanp!C:G,5,FALSE))=TRUE,0,VLOOKUP("GRE608000000",Balanceanp!C:G,5,FALSE))</f>
        <v>2521.4299999999998</v>
      </c>
      <c r="F36" s="972">
        <f>E36/E30</f>
        <v>1.9288492881698299E-3</v>
      </c>
      <c r="G36" s="613">
        <f>F36*G30</f>
        <v>2477.1469668971358</v>
      </c>
      <c r="H36" s="600"/>
      <c r="I36" s="591" t="str">
        <f t="shared" si="3"/>
        <v/>
      </c>
      <c r="J36" s="595"/>
      <c r="L36" s="17">
        <f t="shared" si="2"/>
        <v>1</v>
      </c>
    </row>
    <row r="37" spans="1:12">
      <c r="A37" s="5" t="s">
        <v>98</v>
      </c>
      <c r="B37" s="92"/>
      <c r="C37" s="160">
        <f>IF(ISNA(VLOOKUP("GRE608100000",Balance!C:G,5,FALSE))=TRUE,0,VLOOKUP("GRE608100000",Balance!C:G,5,FALSE))</f>
        <v>0</v>
      </c>
      <c r="D37" s="115"/>
      <c r="E37" s="160">
        <f>IF(ISNA(VLOOKUP("GRE608100000",Balanceanp!C:G,5,FALSE))=TRUE,0,VLOOKUP("GRE608100000",Balanceanp!C:G,5,FALSE))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s="17">
        <f t="shared" si="2"/>
        <v>0</v>
      </c>
    </row>
    <row r="38" spans="1:12">
      <c r="A38" s="5" t="s">
        <v>99</v>
      </c>
      <c r="B38" s="92"/>
      <c r="C38" s="160">
        <f>+C56-C57</f>
        <v>-23886.420000000013</v>
      </c>
      <c r="D38" s="115"/>
      <c r="E38" s="160">
        <f>+E56-E57</f>
        <v>5886.6884000000136</v>
      </c>
      <c r="F38" s="134"/>
      <c r="G38" s="134"/>
      <c r="H38" s="400"/>
      <c r="I38" s="149" t="str">
        <f t="shared" si="3"/>
        <v/>
      </c>
      <c r="J38" s="271"/>
      <c r="L38" s="17">
        <v>0</v>
      </c>
    </row>
    <row r="39" spans="1:12">
      <c r="A39" s="5" t="s">
        <v>177</v>
      </c>
      <c r="B39" s="92"/>
      <c r="C39" s="160">
        <f>IF(ISNA(VLOOKUP("GRE681730000",Balance!C:G,5,FALSE))=TRUE,0,VLOOKUP("GRE681730000",Balance!C:G,5,FALSE))</f>
        <v>0</v>
      </c>
      <c r="D39" s="115"/>
      <c r="E39" s="160">
        <f>IF(ISNA(VLOOKUP("GRE681730000",Balanceanp!C:G,5,FALSE))=TRUE,0,VLOOKUP("GRE681730000",Balanceanp!C:G,5,FALSE))</f>
        <v>10741.5</v>
      </c>
      <c r="F39" s="134"/>
      <c r="G39" s="134"/>
      <c r="H39" s="400"/>
      <c r="I39" s="149" t="str">
        <f t="shared" si="3"/>
        <v/>
      </c>
      <c r="J39" s="271"/>
      <c r="L39" s="17">
        <v>0</v>
      </c>
    </row>
    <row r="40" spans="1:12">
      <c r="A40" s="5" t="s">
        <v>176</v>
      </c>
      <c r="B40" s="92"/>
      <c r="C40" s="160">
        <f>IF(ISNA(VLOOKUP("GRE781730000",Balance!C:G,5,FALSE))=TRUE,0,VLOOKUP("GRE781730000",Balance!C:G,5,FALSE))</f>
        <v>-6493.68</v>
      </c>
      <c r="D40" s="115"/>
      <c r="E40" s="160">
        <f>IF(ISNA(VLOOKUP("GRE781730000",Balanceanp!C:G,5,FALSE))=TRUE,0,VLOOKUP("GRE781730000",Balanceanp!C:G,5,FALSE))</f>
        <v>-7226.26</v>
      </c>
      <c r="F40" s="134"/>
      <c r="G40" s="134"/>
      <c r="H40" s="400"/>
      <c r="I40" s="149" t="str">
        <f t="shared" si="3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IF(ISNA(VLOOKUP("gre609110000",Balance!C:G,5,FALSE))=TRUE,0,VLOOKUP("gre609110000",Balance!C:G,5,FALSE))</f>
        <v>560.83000000000004</v>
      </c>
      <c r="D41" s="600"/>
      <c r="E41" s="311">
        <f>IF(ISNA(VLOOKUP("gre609110000",Balanceanp!C:G,5,FALSE))=TRUE,0,VLOOKUP("gre609110000",Balanceanp!C:G,5,FALSE))</f>
        <v>-18081.11</v>
      </c>
      <c r="F41" s="614">
        <f>E41/SUM(E24:E25)</f>
        <v>-2.3340903772988125E-2</v>
      </c>
      <c r="G41" s="615">
        <f>H41*(G24)</f>
        <v>-16181.695467</v>
      </c>
      <c r="H41" s="616">
        <v>-0.02</v>
      </c>
      <c r="I41" s="591" t="str">
        <f t="shared" si="3"/>
        <v/>
      </c>
      <c r="J41" s="595"/>
      <c r="L41" s="17">
        <f t="shared" si="2"/>
        <v>1</v>
      </c>
    </row>
    <row r="42" spans="1:12">
      <c r="A42" s="590" t="s">
        <v>318</v>
      </c>
      <c r="B42" s="591"/>
      <c r="C42" s="311">
        <f>IF(ISNA(VLOOKUP("gre609120000",Balance!C:G,5,FALSE))=TRUE,0,VLOOKUP("gre609120000",Balance!C:G,5,FALSE))</f>
        <v>-25925.83</v>
      </c>
      <c r="D42" s="600"/>
      <c r="E42" s="311">
        <f>IF(ISNA(VLOOKUP("gre609120000",Balanceanp!C:G,5,FALSE))=TRUE,0,VLOOKUP("gre609120000",Balanceanp!C:G,5,FALSE))</f>
        <v>-35501.040000000001</v>
      </c>
      <c r="F42" s="614">
        <f>E42/E28</f>
        <v>-6.8931042686617996E-2</v>
      </c>
      <c r="G42" s="615">
        <f>H42*G28</f>
        <v>-33262.374015499998</v>
      </c>
      <c r="H42" s="616">
        <v>-7.0000000000000007E-2</v>
      </c>
      <c r="I42" s="591" t="str">
        <f t="shared" si="3"/>
        <v/>
      </c>
      <c r="J42" s="595"/>
      <c r="L42" s="17">
        <f t="shared" si="2"/>
        <v>1</v>
      </c>
    </row>
    <row r="43" spans="1:12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2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951241.87</v>
      </c>
      <c r="D44" s="404"/>
      <c r="E44" s="305">
        <f>+E30+SUM(E34:E43)</f>
        <v>1275528.1683999998</v>
      </c>
      <c r="F44" s="404"/>
      <c r="G44" s="618">
        <f>SUM(G35:G43)+G30</f>
        <v>1247086.7227573013</v>
      </c>
      <c r="H44" s="404"/>
      <c r="I44" s="598"/>
      <c r="J44" s="599"/>
      <c r="L44" s="17">
        <f t="shared" si="2"/>
        <v>1</v>
      </c>
    </row>
    <row r="45" spans="1:12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2"/>
        <v>0</v>
      </c>
    </row>
    <row r="46" spans="1:12" s="33" customFormat="1" ht="15" customHeight="1">
      <c r="A46" s="56" t="s">
        <v>339</v>
      </c>
      <c r="B46" s="95"/>
      <c r="C46" s="166">
        <f>+C21-C44</f>
        <v>627027.38</v>
      </c>
      <c r="D46" s="120"/>
      <c r="E46" s="166">
        <f>+E21-E44</f>
        <v>845415.93160000024</v>
      </c>
      <c r="F46" s="138"/>
      <c r="G46" s="138"/>
      <c r="H46" s="403"/>
      <c r="I46" s="273"/>
      <c r="J46" s="274"/>
      <c r="L46" s="17">
        <v>0</v>
      </c>
    </row>
    <row r="47" spans="1:12" s="33" customFormat="1" ht="15" customHeight="1">
      <c r="A47" s="56" t="s">
        <v>340</v>
      </c>
      <c r="B47" s="95"/>
      <c r="C47" s="196">
        <f>+C46/C21</f>
        <v>0.39728796591582838</v>
      </c>
      <c r="D47" s="120"/>
      <c r="E47" s="196">
        <f>+E46/E21</f>
        <v>0.39860358959955627</v>
      </c>
      <c r="F47" s="138"/>
      <c r="G47" s="138"/>
      <c r="H47" s="403"/>
      <c r="I47" s="273"/>
      <c r="J47" s="274"/>
      <c r="L47" s="17">
        <v>0</v>
      </c>
    </row>
    <row r="48" spans="1:12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2"/>
        <v>0</v>
      </c>
    </row>
    <row r="49" spans="1:12">
      <c r="A49" s="590" t="s">
        <v>91</v>
      </c>
      <c r="B49" s="591">
        <f>+C49/C21</f>
        <v>2.81986105982867E-2</v>
      </c>
      <c r="C49" s="311">
        <f>IF(ISNA(VLOOKUP("GRE709700000",Balance!C:G,5,FALSE))=TRUE,0,VLOOKUP("GRE709700000",Balance!C:G,5,FALSE))</f>
        <v>44505</v>
      </c>
      <c r="D49" s="592">
        <f>+[2]Grenoble!$H49</f>
        <v>59340</v>
      </c>
      <c r="E49" s="311">
        <f>IF(ISNA(VLOOKUP("GRE709700000",Balanceanp!C:G,5,FALSE))=TRUE,0,VLOOKUP("GRE709700000",Balanceanp!C:G,5,FALSE))</f>
        <v>51396.75</v>
      </c>
      <c r="F49" s="592">
        <f>+C49+C49/9*(12-Clients!$I$14)</f>
        <v>59340</v>
      </c>
      <c r="G49" s="620">
        <v>62468</v>
      </c>
      <c r="H49" s="621">
        <f>G49/G21</f>
        <v>3.0303456606263175E-2</v>
      </c>
      <c r="I49" s="591">
        <f>+IF((E49)=0,,(F49-E49)/E49)</f>
        <v>0.15454770972872797</v>
      </c>
      <c r="J49" s="595">
        <f>+IF((F49)=0,,(G49-F49)/F49)</f>
        <v>5.2713178294573643E-2</v>
      </c>
      <c r="L49" s="17">
        <f t="shared" si="2"/>
        <v>1</v>
      </c>
    </row>
    <row r="50" spans="1:12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2"/>
        <v>0</v>
      </c>
    </row>
    <row r="51" spans="1:12" s="33" customFormat="1" ht="15" customHeight="1">
      <c r="A51" s="13" t="s">
        <v>223</v>
      </c>
      <c r="B51" s="596"/>
      <c r="C51" s="305">
        <f>+C21-C49</f>
        <v>1533764.25</v>
      </c>
      <c r="D51" s="312">
        <f>+D21-D49</f>
        <v>1945473</v>
      </c>
      <c r="E51" s="305">
        <f>+E21-E49</f>
        <v>2069547.35</v>
      </c>
      <c r="F51" s="312">
        <f>+F21-F49</f>
        <v>2016157.2320446451</v>
      </c>
      <c r="G51" s="312">
        <f>+G21-G49</f>
        <v>1998947</v>
      </c>
      <c r="H51" s="312"/>
      <c r="I51" s="598">
        <f>+IF((E51)=0,,(F51-E51)/E51)</f>
        <v>-2.5797968795135309E-2</v>
      </c>
      <c r="J51" s="599">
        <f>+IF((F51)=0,,(G51-F51)/F51)</f>
        <v>-8.5361556981306021E-3</v>
      </c>
      <c r="L51" s="17">
        <f t="shared" si="2"/>
        <v>1</v>
      </c>
    </row>
    <row r="52" spans="1:12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2"/>
        <v>0</v>
      </c>
    </row>
    <row r="53" spans="1:12" s="33" customFormat="1" ht="15" customHeight="1">
      <c r="A53" s="16" t="s">
        <v>3</v>
      </c>
      <c r="B53" s="96"/>
      <c r="C53" s="169">
        <f>+C51-C44</f>
        <v>582522.38</v>
      </c>
      <c r="D53" s="122"/>
      <c r="E53" s="169">
        <f>+E51-E44</f>
        <v>794019.18160000024</v>
      </c>
      <c r="F53" s="140"/>
      <c r="G53" s="140">
        <f>+G51-G44</f>
        <v>751860.27724269871</v>
      </c>
      <c r="H53" s="405"/>
      <c r="I53" s="224"/>
      <c r="J53" s="123"/>
      <c r="K53" s="2"/>
      <c r="L53" s="17">
        <v>0</v>
      </c>
    </row>
    <row r="54" spans="1:12" s="33" customFormat="1" ht="15" customHeight="1">
      <c r="A54" s="16" t="s">
        <v>4</v>
      </c>
      <c r="B54" s="96"/>
      <c r="C54" s="197">
        <f>+C53/C51</f>
        <v>0.37979916405014658</v>
      </c>
      <c r="D54" s="123"/>
      <c r="E54" s="197">
        <f>+E53/E51</f>
        <v>0.38366804296601392</v>
      </c>
      <c r="F54" s="141"/>
      <c r="G54" s="141"/>
      <c r="H54" s="406"/>
      <c r="I54" s="224"/>
      <c r="J54" s="123"/>
      <c r="K54" s="2"/>
      <c r="L54" s="17">
        <v>0</v>
      </c>
    </row>
    <row r="55" spans="1:12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2"/>
        <v>0</v>
      </c>
    </row>
    <row r="56" spans="1:12">
      <c r="A56" s="5" t="s">
        <v>290</v>
      </c>
      <c r="B56" s="92"/>
      <c r="C56" s="160">
        <f>+[2]Grenoble!$C56</f>
        <v>194547.58</v>
      </c>
      <c r="D56" s="115"/>
      <c r="E56" s="160">
        <f>+[1]Grenoble!$G$56</f>
        <v>196445.70759999999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>
      <c r="A57" s="5" t="s">
        <v>100</v>
      </c>
      <c r="B57" s="92"/>
      <c r="C57" s="160">
        <f>+[2]Grenoble!$C57</f>
        <v>218434</v>
      </c>
      <c r="D57" s="115"/>
      <c r="E57" s="160">
        <f>+[1]Grenoble!$G$57</f>
        <v>190559.01919999998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2"/>
        <v>0</v>
      </c>
    </row>
    <row r="59" spans="1:12" ht="12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2"/>
        <v>0</v>
      </c>
    </row>
    <row r="60" spans="1:12" s="33" customFormat="1" ht="15" customHeight="1">
      <c r="A60" s="16" t="s">
        <v>295</v>
      </c>
      <c r="B60" s="364"/>
      <c r="C60" s="15">
        <f>+[2]Grenoble!$C60</f>
        <v>0.376</v>
      </c>
      <c r="D60" s="406">
        <f>+[2]Grenoble!$H60</f>
        <v>0.37596563920445053</v>
      </c>
      <c r="E60" s="15">
        <f>+[1]Grenoble!$G$54</f>
        <v>0.38366804296601392</v>
      </c>
      <c r="F60" s="406">
        <f>+C60</f>
        <v>0.376</v>
      </c>
      <c r="G60" s="406">
        <f>G62/G51</f>
        <v>0.37612817010290855</v>
      </c>
      <c r="H60" s="406"/>
      <c r="I60" s="15"/>
      <c r="J60" s="406"/>
      <c r="L60" s="17">
        <f t="shared" si="2"/>
        <v>1</v>
      </c>
    </row>
    <row r="61" spans="1:12">
      <c r="A61" s="5" t="s">
        <v>65</v>
      </c>
      <c r="B61" s="92"/>
      <c r="C61" s="92">
        <f>+[2]Grenoble!$C61</f>
        <v>0.35199999999999998</v>
      </c>
      <c r="D61" s="117"/>
      <c r="E61" s="92">
        <f>+Sud!J61</f>
        <v>0</v>
      </c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576695.35800000001</v>
      </c>
      <c r="D62" s="405">
        <f>D51*D60</f>
        <v>731431</v>
      </c>
      <c r="E62" s="309">
        <f>+E51*E60</f>
        <v>794019.18160000024</v>
      </c>
      <c r="F62" s="405">
        <f>+F51*F60</f>
        <v>758075.11924878659</v>
      </c>
      <c r="G62" s="405">
        <f>G51-G44</f>
        <v>751860.27724269871</v>
      </c>
      <c r="H62" s="405"/>
      <c r="I62" s="15">
        <f>+IF((E62)=0,,(F62-E62)/E62)</f>
        <v>-4.5268506333542256E-2</v>
      </c>
      <c r="J62" s="406">
        <f>+IF((F62)=0,,(G62-F62)/F62)</f>
        <v>-8.1981875519756848E-3</v>
      </c>
      <c r="L62" s="17">
        <f t="shared" si="2"/>
        <v>1</v>
      </c>
    </row>
    <row r="63" spans="1:12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2"/>
        <v>0</v>
      </c>
    </row>
    <row r="64" spans="1:12">
      <c r="A64" s="590" t="s">
        <v>104</v>
      </c>
      <c r="B64" s="591"/>
      <c r="C64" s="311">
        <f>IF(ISNA(VLOOKUP("GRE613520000",Balance!C:G,5,FALSE))=TRUE,0,VLOOKUP("GRE613520000",Balance!C:G,5,FALSE))</f>
        <v>7632.46</v>
      </c>
      <c r="D64" s="592">
        <f>+[2]Grenoble!$H64</f>
        <v>9462.6151499999996</v>
      </c>
      <c r="E64" s="311">
        <f>IF(ISNA(VLOOKUP("GRE613520000",Balanceanp!C:G,5,FALSE))=TRUE,0,VLOOKUP("GRE613520000",Balanceanp!C:G,5,FALSE))</f>
        <v>8826.6</v>
      </c>
      <c r="F64" s="625">
        <f>+C64+C64/9*(12-Clients!$I$14)</f>
        <v>10176.613333333335</v>
      </c>
      <c r="G64" s="594">
        <f>+F64*1.03</f>
        <v>10481.911733333334</v>
      </c>
      <c r="H64" s="594"/>
      <c r="I64" s="591">
        <f t="shared" ref="I64:J68" si="4">+IF((E64)=0,,(F64-E64)/E64)</f>
        <v>0.15294828510789366</v>
      </c>
      <c r="J64" s="595">
        <f t="shared" si="4"/>
        <v>2.9999999999999964E-2</v>
      </c>
      <c r="L64" s="17">
        <f t="shared" si="2"/>
        <v>1</v>
      </c>
    </row>
    <row r="65" spans="1:12">
      <c r="A65" s="5" t="s">
        <v>314</v>
      </c>
      <c r="B65" s="92"/>
      <c r="C65" s="160"/>
      <c r="D65" s="117">
        <f>+[2]Grenoble!$H65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s="17">
        <f t="shared" si="2"/>
        <v>0</v>
      </c>
    </row>
    <row r="66" spans="1:12">
      <c r="A66" s="590" t="s">
        <v>110</v>
      </c>
      <c r="B66" s="591"/>
      <c r="C66" s="311">
        <f>IF(ISNA(VLOOKUP("GRE616120000",Balance!C:G,5,FALSE))=TRUE,0,VLOOKUP("GRE616120000",Balance!C:G,5,FALSE))</f>
        <v>1992.24</v>
      </c>
      <c r="D66" s="592">
        <f>+[2]Grenoble!$H66</f>
        <v>2516.7792500000005</v>
      </c>
      <c r="E66" s="311">
        <f>IF(ISNA(VLOOKUP("GRE616120000",Balanceanp!C:G,5,FALSE))=TRUE,0,VLOOKUP("GRE616120000",Balanceanp!C:G,5,FALSE))</f>
        <v>2590.9899999999998</v>
      </c>
      <c r="F66" s="625">
        <f>+C66+C66/9*(12-Clients!$I$14)</f>
        <v>2656.32</v>
      </c>
      <c r="G66" s="594">
        <f>+F66*1.03</f>
        <v>2736.0096000000003</v>
      </c>
      <c r="H66" s="594"/>
      <c r="I66" s="591">
        <f t="shared" si="4"/>
        <v>2.5214300325358409E-2</v>
      </c>
      <c r="J66" s="595">
        <f t="shared" si="4"/>
        <v>3.0000000000000058E-2</v>
      </c>
      <c r="L66" s="17">
        <f t="shared" si="2"/>
        <v>1</v>
      </c>
    </row>
    <row r="67" spans="1:12">
      <c r="A67" s="590" t="s">
        <v>107</v>
      </c>
      <c r="B67" s="591"/>
      <c r="C67" s="311">
        <f>IF(ISNA(VLOOKUP("GRE615520000",Balance!C:G,5,FALSE))=TRUE,0,VLOOKUP("GRE615520000",Balance!C:G,5,FALSE))</f>
        <v>3271.89</v>
      </c>
      <c r="D67" s="592">
        <f>+[2]Grenoble!$H67</f>
        <v>3722.9633250000002</v>
      </c>
      <c r="E67" s="311">
        <f>IF(ISNA(VLOOKUP("GRE615520000",Balanceanp!C:G,5,FALSE))=TRUE,0,VLOOKUP("GRE615520000",Balanceanp!C:G,5,FALSE))</f>
        <v>7186.2</v>
      </c>
      <c r="F67" s="625">
        <f>+C67+C67/9*(12-Clients!$I$14)</f>
        <v>4362.5199999999995</v>
      </c>
      <c r="G67" s="594">
        <f>+F67*1.03</f>
        <v>4493.3955999999998</v>
      </c>
      <c r="H67" s="594"/>
      <c r="I67" s="591">
        <f t="shared" si="4"/>
        <v>-0.39293089532715486</v>
      </c>
      <c r="J67" s="595">
        <f t="shared" si="4"/>
        <v>3.0000000000000072E-2</v>
      </c>
      <c r="L67" s="17">
        <f t="shared" si="2"/>
        <v>1</v>
      </c>
    </row>
    <row r="68" spans="1:12">
      <c r="A68" s="590" t="s">
        <v>125</v>
      </c>
      <c r="B68" s="591"/>
      <c r="C68" s="311">
        <f>IF(ISNA(VLOOKUP("GRE606130000",Balance!C:G,5,FALSE))=TRUE,0,VLOOKUP("GRE606130000",Balance!C:G,5,FALSE))</f>
        <v>4683.6899999999996</v>
      </c>
      <c r="D68" s="592">
        <f>+[2]Grenoble!$H68</f>
        <v>7351.1537749999998</v>
      </c>
      <c r="E68" s="311">
        <f>IF(ISNA(VLOOKUP("GRE606130000",Balanceanp!C:G,5,FALSE))=TRUE,0,VLOOKUP("GRE606130000",Balanceanp!C:G,5,FALSE))</f>
        <v>8317.11</v>
      </c>
      <c r="F68" s="625">
        <f>+C68+C68/9*(12-Clients!$I$14)</f>
        <v>6244.92</v>
      </c>
      <c r="G68" s="625">
        <f>+F68*1.03</f>
        <v>6432.2676000000001</v>
      </c>
      <c r="H68" s="625"/>
      <c r="I68" s="591">
        <f t="shared" si="4"/>
        <v>-0.24914784101689172</v>
      </c>
      <c r="J68" s="595">
        <f t="shared" si="4"/>
        <v>3.0000000000000009E-2</v>
      </c>
      <c r="L68" s="17">
        <f t="shared" si="2"/>
        <v>1</v>
      </c>
    </row>
    <row r="69" spans="1:12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2"/>
        <v>0</v>
      </c>
    </row>
    <row r="70" spans="1:12">
      <c r="A70" s="11" t="s">
        <v>128</v>
      </c>
      <c r="B70" s="626"/>
      <c r="C70" s="627">
        <f>SUM(C64:C69)</f>
        <v>17580.28</v>
      </c>
      <c r="D70" s="628">
        <f>SUM(D64:D69)</f>
        <v>23053.511500000001</v>
      </c>
      <c r="E70" s="311">
        <f>SUM(E64:E69)</f>
        <v>26920.9</v>
      </c>
      <c r="F70" s="973">
        <f>SUM(F64:F69)</f>
        <v>23440.373333333337</v>
      </c>
      <c r="G70" s="412">
        <f>SUM(G64:G69)</f>
        <v>24143.584533333335</v>
      </c>
      <c r="H70" s="412"/>
      <c r="I70" s="591">
        <f>+IF((E70)=0,,(F70-E70)/E70)</f>
        <v>-0.12928715855215334</v>
      </c>
      <c r="J70" s="595">
        <f>+IF((F70)=0,,(G70-F70)/F70)</f>
        <v>2.9999999999999905E-2</v>
      </c>
      <c r="L70" s="17">
        <f t="shared" si="2"/>
        <v>1</v>
      </c>
    </row>
    <row r="71" spans="1:12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2"/>
        <v>0</v>
      </c>
    </row>
    <row r="72" spans="1:12">
      <c r="A72" s="590" t="s">
        <v>1</v>
      </c>
      <c r="B72" s="591"/>
      <c r="C72" s="311">
        <f>IF(ISNA(VLOOKUP("gre602220000",Balance!C:G,5,FALSE))=TRUE,0,VLOOKUP("gre602220000",Balance!C:G,5,FALSE))</f>
        <v>0</v>
      </c>
      <c r="D72" s="592">
        <f>+[2]Grenoble!$H72</f>
        <v>3.6486119166666664</v>
      </c>
      <c r="E72" s="311">
        <f>IF(ISNA(VLOOKUP("gre602220000",Balanceanp!C:G,5,FALSE))=TRUE,0,VLOOKUP("gre602220000",Balanceanp!C:G,5,FALSE))</f>
        <v>293.76</v>
      </c>
      <c r="F72" s="625">
        <f>+C72+C72/9*(12-Clients!$I$14)</f>
        <v>0</v>
      </c>
      <c r="G72" s="630">
        <f>+F72*1.03</f>
        <v>0</v>
      </c>
      <c r="H72" s="630"/>
      <c r="I72" s="591">
        <f t="shared" ref="I72:J87" si="5">+IF((E72)=0,,(F72-E72)/E72)</f>
        <v>-1</v>
      </c>
      <c r="J72" s="595">
        <f t="shared" si="5"/>
        <v>0</v>
      </c>
      <c r="L72" s="17">
        <f t="shared" ref="L72:L133" si="6">IF(SUM(C72:J72)&lt;&gt;0,1,0)</f>
        <v>1</v>
      </c>
    </row>
    <row r="73" spans="1:12">
      <c r="A73" s="590" t="s">
        <v>123</v>
      </c>
      <c r="B73" s="591"/>
      <c r="C73" s="311">
        <f>IF(ISNA(VLOOKUP("GRE606100000",Balance!C:G,5,FALSE))=TRUE,0,VLOOKUP("GRE606100000",Balance!C:G,5,FALSE))</f>
        <v>4477.62</v>
      </c>
      <c r="D73" s="592">
        <f>+[2]Grenoble!$H73</f>
        <v>7802.4743455660409</v>
      </c>
      <c r="E73" s="311">
        <f>IF(ISNA(VLOOKUP("GRE606100000",Balanceanp!C:G,5,FALSE))=TRUE,0,VLOOKUP("GRE606100000",Balanceanp!C:G,5,FALSE))</f>
        <v>7298.25</v>
      </c>
      <c r="F73" s="625">
        <f>+C73+C73/9*(12-Clients!$I$14)</f>
        <v>5970.16</v>
      </c>
      <c r="G73" s="630">
        <f t="shared" ref="G73:G101" si="7">+F73*1.03</f>
        <v>6149.2647999999999</v>
      </c>
      <c r="H73" s="630"/>
      <c r="I73" s="591">
        <f t="shared" si="5"/>
        <v>-0.18197376083307645</v>
      </c>
      <c r="J73" s="595">
        <f t="shared" si="5"/>
        <v>3.0000000000000013E-2</v>
      </c>
      <c r="L73" s="17">
        <f t="shared" si="6"/>
        <v>1</v>
      </c>
    </row>
    <row r="74" spans="1:12">
      <c r="A74" s="590" t="s">
        <v>124</v>
      </c>
      <c r="B74" s="591"/>
      <c r="C74" s="311">
        <f>IF(ISNA(VLOOKUP("GRE606110000",Balance!C:G,5,FALSE))=TRUE,0,VLOOKUP("GRE606110000",Balance!C:G,5,FALSE))</f>
        <v>2526.9299999999998</v>
      </c>
      <c r="D74" s="592">
        <f>+[2]Grenoble!$H74</f>
        <v>3436.6297228235417</v>
      </c>
      <c r="E74" s="311">
        <f>IF(ISNA(VLOOKUP("GRE606110000",Balanceanp!C:G,5,FALSE))=TRUE,0,VLOOKUP("GRE606110000",Balanceanp!C:G,5,FALSE))</f>
        <v>2209.37</v>
      </c>
      <c r="F74" s="625">
        <f>+C74+C74/9*(12-Clients!$I$14)</f>
        <v>3369.24</v>
      </c>
      <c r="G74" s="630">
        <f t="shared" si="7"/>
        <v>3470.3172</v>
      </c>
      <c r="H74" s="630"/>
      <c r="I74" s="591">
        <f t="shared" si="5"/>
        <v>0.52497770857755832</v>
      </c>
      <c r="J74" s="595">
        <f t="shared" si="5"/>
        <v>3.0000000000000054E-2</v>
      </c>
      <c r="L74" s="17">
        <f t="shared" si="6"/>
        <v>1</v>
      </c>
    </row>
    <row r="75" spans="1:12">
      <c r="A75" s="5" t="s">
        <v>360</v>
      </c>
      <c r="B75" s="92"/>
      <c r="C75" s="160">
        <f>IF(ISNA(VLOOKUP("gre606140000",Balance!C:G,5,FALSE))=TRUE,0,VLOOKUP("gre606140000",Balance!C:G,5,FALSE))</f>
        <v>0</v>
      </c>
      <c r="D75" s="117">
        <f>+[2]Grenoble!$H75</f>
        <v>0</v>
      </c>
      <c r="E75" s="160">
        <f>IF(ISNA(VLOOKUP("gre606140000",Balanceanp!C:G,5,FALSE))=TRUE,0,VLOOKUP("gre606140000",Balanceanp!C:G,5,FALSE))</f>
        <v>0</v>
      </c>
      <c r="F75" s="368">
        <f>+C75+C75/9*(12-Clients!$I$14)</f>
        <v>0</v>
      </c>
      <c r="G75" s="396">
        <f t="shared" si="7"/>
        <v>0</v>
      </c>
      <c r="H75" s="409"/>
      <c r="I75" s="149">
        <f t="shared" si="5"/>
        <v>0</v>
      </c>
      <c r="J75" s="271">
        <f t="shared" si="5"/>
        <v>0</v>
      </c>
      <c r="L75" s="17">
        <f t="shared" si="6"/>
        <v>0</v>
      </c>
    </row>
    <row r="76" spans="1:12">
      <c r="A76" s="590" t="s">
        <v>126</v>
      </c>
      <c r="B76" s="591"/>
      <c r="C76" s="311">
        <f>IF(ISNA(VLOOKUP("GRE606310000",Balance!C:G,5,FALSE))=TRUE,0,VLOOKUP("GRE606310000",Balance!C:G,5,FALSE))</f>
        <v>77.03</v>
      </c>
      <c r="D76" s="592">
        <f>+[2]Grenoble!$H76</f>
        <v>48.807494034197219</v>
      </c>
      <c r="E76" s="311">
        <f>IF(ISNA(VLOOKUP("GRE606310000",Balanceanp!C:G,5,FALSE))=TRUE,0,VLOOKUP("GRE606310000",Balanceanp!C:G,5,FALSE))</f>
        <v>24.66</v>
      </c>
      <c r="F76" s="625">
        <f>+C76+C76/9*(12-Clients!$I$14)</f>
        <v>102.70666666666668</v>
      </c>
      <c r="G76" s="630">
        <f t="shared" si="7"/>
        <v>105.78786666666669</v>
      </c>
      <c r="H76" s="630"/>
      <c r="I76" s="591">
        <f t="shared" si="5"/>
        <v>3.164909434982428</v>
      </c>
      <c r="J76" s="595">
        <f t="shared" si="5"/>
        <v>3.0000000000000093E-2</v>
      </c>
      <c r="L76" s="17">
        <f t="shared" si="6"/>
        <v>1</v>
      </c>
    </row>
    <row r="77" spans="1:12">
      <c r="A77" s="590" t="s">
        <v>127</v>
      </c>
      <c r="B77" s="591"/>
      <c r="C77" s="311">
        <f>IF(ISNA(VLOOKUP("GRE606410000",Balance!C:G,5,FALSE))=TRUE,0,VLOOKUP("GRE606410000",Balance!C:G,5,FALSE))</f>
        <v>2025.99</v>
      </c>
      <c r="D77" s="592">
        <f>+[2]Grenoble!$H77</f>
        <v>2561.2386251527087</v>
      </c>
      <c r="E77" s="311">
        <f>IF(ISNA(VLOOKUP("GRE606410000",Balanceanp!C:G,5,FALSE))=TRUE,0,VLOOKUP("GRE606410000",Balanceanp!C:G,5,FALSE))</f>
        <v>3200.33</v>
      </c>
      <c r="F77" s="625">
        <f>+C77+C77/9*(12-Clients!$I$14)</f>
        <v>2701.32</v>
      </c>
      <c r="G77" s="630">
        <f t="shared" si="7"/>
        <v>2782.3596000000002</v>
      </c>
      <c r="H77" s="630"/>
      <c r="I77" s="591">
        <f t="shared" si="5"/>
        <v>-0.15592454528126781</v>
      </c>
      <c r="J77" s="595">
        <f t="shared" si="5"/>
        <v>3.0000000000000023E-2</v>
      </c>
      <c r="L77" s="17">
        <f t="shared" si="6"/>
        <v>1</v>
      </c>
    </row>
    <row r="78" spans="1:12">
      <c r="A78" s="590" t="s">
        <v>101</v>
      </c>
      <c r="B78" s="591"/>
      <c r="C78" s="311">
        <f>IF(ISNA(VLOOKUP("GRE611000000",Balance!C:G,5,FALSE))=TRUE,0,VLOOKUP("GRE611000000",Balance!C:G,5,FALSE))</f>
        <v>223.02</v>
      </c>
      <c r="D78" s="592">
        <f>+[2]Grenoble!$H78</f>
        <v>1598.8716286458332</v>
      </c>
      <c r="E78" s="311">
        <f>IF(ISNA(VLOOKUP("GRE611000000",Balanceanp!C:G,5,FALSE))=TRUE,0,VLOOKUP("GRE611000000",Balanceanp!C:G,5,FALSE))</f>
        <v>142.69999999999999</v>
      </c>
      <c r="F78" s="625">
        <f>+C78+C78/9*(12-Clients!$I$14)</f>
        <v>297.36</v>
      </c>
      <c r="G78" s="625">
        <f t="shared" si="7"/>
        <v>306.2808</v>
      </c>
      <c r="H78" s="625"/>
      <c r="I78" s="591">
        <f t="shared" si="5"/>
        <v>1.0838121934127543</v>
      </c>
      <c r="J78" s="595">
        <f t="shared" si="5"/>
        <v>2.999999999999995E-2</v>
      </c>
      <c r="L78" s="17">
        <f t="shared" si="6"/>
        <v>1</v>
      </c>
    </row>
    <row r="79" spans="1:12">
      <c r="A79" s="590" t="s">
        <v>102</v>
      </c>
      <c r="B79" s="591"/>
      <c r="C79" s="311">
        <f>IF(ISNA(VLOOKUP("GRE613200000",Balance!C:G,5,FALSE))=TRUE,0,VLOOKUP("GRE613200000",Balance!C:G,5,FALSE))</f>
        <v>36188.99</v>
      </c>
      <c r="D79" s="592">
        <f>+[2]Grenoble!$H79</f>
        <v>47263.482714468628</v>
      </c>
      <c r="E79" s="311">
        <f>IF(ISNA(VLOOKUP("GRE613200000",Balanceanp!C:G,5,FALSE))=TRUE,0,VLOOKUP("GRE613200000",Balanceanp!C:G,5,FALSE))</f>
        <v>43737.78</v>
      </c>
      <c r="F79" s="620">
        <f>11568.75+11568.75+12063+980.81+11082.19-(484.95*3)</f>
        <v>45808.65</v>
      </c>
      <c r="G79" s="620">
        <f>11568.75*2+(11568.75/1498*1517)*2-(484.95*12)</f>
        <v>40749.066288384514</v>
      </c>
      <c r="H79" s="974">
        <f>G79/G21</f>
        <v>1.9767521963498139E-2</v>
      </c>
      <c r="I79" s="591">
        <f t="shared" si="5"/>
        <v>4.7347396232730668E-2</v>
      </c>
      <c r="J79" s="595">
        <f t="shared" si="5"/>
        <v>-0.11045039990515955</v>
      </c>
      <c r="L79" s="17">
        <f t="shared" si="6"/>
        <v>1</v>
      </c>
    </row>
    <row r="80" spans="1:12">
      <c r="A80" s="5" t="s">
        <v>325</v>
      </c>
      <c r="B80" s="92"/>
      <c r="C80" s="160">
        <f>IF(ISNA(VLOOKUP("gre614000000",Balance!C:G,5,FALSE))=TRUE,0,VLOOKUP("gre614000000",Balance!C:G,5,FALSE))</f>
        <v>0</v>
      </c>
      <c r="D80" s="117">
        <f>+[2]Grenoble!$H80</f>
        <v>0</v>
      </c>
      <c r="E80" s="160">
        <f>IF(ISNA(VLOOKUP("gre614000000",Balanceanp!C:G,5,FALSE))=TRUE,0,VLOOKUP("gre614000000",Balanceanp!C:G,5,FALSE))</f>
        <v>0</v>
      </c>
      <c r="F80" s="368">
        <f>+C80+C80/9*(12-Clients!$I$14)</f>
        <v>0</v>
      </c>
      <c r="G80" s="396">
        <f t="shared" si="7"/>
        <v>0</v>
      </c>
      <c r="H80" s="409"/>
      <c r="I80" s="149">
        <f t="shared" si="5"/>
        <v>0</v>
      </c>
      <c r="J80" s="271">
        <f t="shared" si="5"/>
        <v>0</v>
      </c>
      <c r="L80" s="17">
        <f t="shared" si="6"/>
        <v>0</v>
      </c>
    </row>
    <row r="81" spans="1:12">
      <c r="A81" s="590" t="s">
        <v>103</v>
      </c>
      <c r="B81" s="591"/>
      <c r="C81" s="311">
        <f>IF(ISNA(VLOOKUP("GRE613510000",Balance!C:G,5,FALSE))=TRUE,0,VLOOKUP("GRE613510000",Balance!C:G,5,FALSE))</f>
        <v>0</v>
      </c>
      <c r="D81" s="592">
        <f>+[2]Grenoble!$H81</f>
        <v>148.23339714937504</v>
      </c>
      <c r="E81" s="311">
        <f>IF(ISNA(VLOOKUP("GRE613510000",Balanceanp!C:G,5,FALSE))=TRUE,0,VLOOKUP("GRE613510000",Balanceanp!C:G,5,FALSE))</f>
        <v>0</v>
      </c>
      <c r="F81" s="625">
        <f>+C81+C81/9*(12-Clients!$I$14)</f>
        <v>0</v>
      </c>
      <c r="G81" s="630">
        <f t="shared" si="7"/>
        <v>0</v>
      </c>
      <c r="H81" s="630"/>
      <c r="I81" s="591">
        <f t="shared" si="5"/>
        <v>0</v>
      </c>
      <c r="J81" s="595">
        <f t="shared" si="5"/>
        <v>0</v>
      </c>
      <c r="L81" s="17">
        <f t="shared" si="6"/>
        <v>1</v>
      </c>
    </row>
    <row r="82" spans="1:12">
      <c r="A82" s="590" t="s">
        <v>105</v>
      </c>
      <c r="B82" s="591"/>
      <c r="C82" s="311">
        <f>IF(ISNA(VLOOKUP("GRE613530000",Balance!C:G,5,FALSE))=TRUE,0,VLOOKUP("GRE613530000",Balance!C:G,5,FALSE))</f>
        <v>603.33000000000004</v>
      </c>
      <c r="D82" s="592">
        <f>+[2]Grenoble!$H82</f>
        <v>652.9454887091299</v>
      </c>
      <c r="E82" s="311">
        <f>IF(ISNA(VLOOKUP("GRE613530000",Balanceanp!C:G,5,FALSE))=TRUE,0,VLOOKUP("GRE613530000",Balanceanp!C:G,5,FALSE))</f>
        <v>781.72</v>
      </c>
      <c r="F82" s="625">
        <f>+C82+C82/9*(12-Clients!$I$14)</f>
        <v>804.44</v>
      </c>
      <c r="G82" s="630">
        <f t="shared" si="7"/>
        <v>828.57320000000004</v>
      </c>
      <c r="H82" s="630"/>
      <c r="I82" s="591">
        <f t="shared" si="5"/>
        <v>2.9064115028398948E-2</v>
      </c>
      <c r="J82" s="595">
        <f t="shared" si="5"/>
        <v>2.9999999999999982E-2</v>
      </c>
      <c r="L82" s="17">
        <f t="shared" si="6"/>
        <v>1</v>
      </c>
    </row>
    <row r="83" spans="1:12">
      <c r="A83" s="590" t="s">
        <v>287</v>
      </c>
      <c r="B83" s="591"/>
      <c r="C83" s="311">
        <f>IF(ISNA(VLOOKUP("gre613540000",Balance!C:G,5,FALSE))=TRUE,0,VLOOKUP("gre613540000",Balance!C:G,5,FALSE))</f>
        <v>339.12</v>
      </c>
      <c r="D83" s="592">
        <f>+[2]Grenoble!$H83</f>
        <v>930.51468954383495</v>
      </c>
      <c r="E83" s="311">
        <f>IF(ISNA(VLOOKUP("gre613540000",Balanceanp!C:G,5,FALSE))=TRUE,0,VLOOKUP("gre613540000",Balanceanp!C:G,5,FALSE))</f>
        <v>904.56</v>
      </c>
      <c r="F83" s="625">
        <f>+C83+C83/9*(12-Clients!$I$14)</f>
        <v>452.15999999999997</v>
      </c>
      <c r="G83" s="630">
        <f t="shared" si="7"/>
        <v>465.72479999999996</v>
      </c>
      <c r="H83" s="630"/>
      <c r="I83" s="591">
        <f t="shared" si="5"/>
        <v>-0.50013266118333777</v>
      </c>
      <c r="J83" s="595">
        <f t="shared" si="5"/>
        <v>2.9999999999999982E-2</v>
      </c>
      <c r="L83" s="17">
        <f t="shared" si="6"/>
        <v>1</v>
      </c>
    </row>
    <row r="84" spans="1:12">
      <c r="A84" s="590" t="s">
        <v>108</v>
      </c>
      <c r="B84" s="591"/>
      <c r="C84" s="311">
        <f>IF(ISNA(VLOOKUP("GRE615200000",Balance!C:G,5,FALSE))=TRUE,0,VLOOKUP("GRE615200000",Balance!C:G,5,FALSE))</f>
        <v>13184.58</v>
      </c>
      <c r="D84" s="592">
        <f>+[2]Grenoble!$H84</f>
        <v>6941.5823105531181</v>
      </c>
      <c r="E84" s="311">
        <f>IF(ISNA(VLOOKUP("GRE615200000",Balanceanp!C:G,5,FALSE))=TRUE,0,VLOOKUP("GRE615200000",Balanceanp!C:G,5,FALSE))</f>
        <v>6463.53</v>
      </c>
      <c r="F84" s="625">
        <f>+C84+C84/9*(12-Clients!$I$14)</f>
        <v>17579.440000000002</v>
      </c>
      <c r="G84" s="630">
        <f t="shared" si="7"/>
        <v>18106.823200000003</v>
      </c>
      <c r="H84" s="630"/>
      <c r="I84" s="591">
        <f t="shared" si="5"/>
        <v>1.7197893411185534</v>
      </c>
      <c r="J84" s="595">
        <f t="shared" si="5"/>
        <v>3.0000000000000009E-2</v>
      </c>
      <c r="L84" s="17">
        <f t="shared" si="6"/>
        <v>1</v>
      </c>
    </row>
    <row r="85" spans="1:12">
      <c r="A85" s="590" t="s">
        <v>109</v>
      </c>
      <c r="B85" s="591"/>
      <c r="C85" s="311">
        <f>IF(ISNA(VLOOKUP("GRE615500000",Balance!C:G,5,FALSE))=TRUE,0,VLOOKUP("GRE615500000",Balance!C:G,5,FALSE))</f>
        <v>0</v>
      </c>
      <c r="D85" s="592">
        <f>+[2]Grenoble!$H85</f>
        <v>836.44424742623971</v>
      </c>
      <c r="E85" s="311">
        <f>IF(ISNA(VLOOKUP("GRE615500000",Balanceanp!C:G,5,FALSE))=TRUE,0,VLOOKUP("GRE615500000",Balanceanp!C:G,5,FALSE))</f>
        <v>528.36</v>
      </c>
      <c r="F85" s="625">
        <f>+C85+C85/9*(12-Clients!$I$14)</f>
        <v>0</v>
      </c>
      <c r="G85" s="630">
        <f t="shared" si="7"/>
        <v>0</v>
      </c>
      <c r="H85" s="630"/>
      <c r="I85" s="591">
        <f t="shared" si="5"/>
        <v>-1</v>
      </c>
      <c r="J85" s="595">
        <f t="shared" si="5"/>
        <v>0</v>
      </c>
      <c r="L85" s="17">
        <f t="shared" si="6"/>
        <v>1</v>
      </c>
    </row>
    <row r="86" spans="1:12">
      <c r="A86" s="590" t="s">
        <v>106</v>
      </c>
      <c r="B86" s="591"/>
      <c r="C86" s="311">
        <f>IF(ISNA(VLOOKUP("GRE615510000",Balance!C:G,5,FALSE))=TRUE,0,VLOOKUP("GRE615510000",Balance!C:G,5,FALSE))</f>
        <v>1152.98</v>
      </c>
      <c r="D86" s="592">
        <f>+[2]Grenoble!$H86</f>
        <v>844.86262094541678</v>
      </c>
      <c r="E86" s="311">
        <f>IF(ISNA(VLOOKUP("GRE615510000",Balanceanp!C:G,5,FALSE))=TRUE,0,VLOOKUP("GRE615510000",Balanceanp!C:G,5,FALSE))</f>
        <v>471.01</v>
      </c>
      <c r="F86" s="625">
        <f>+C86+C86/9*(12-Clients!$I$14)</f>
        <v>1537.3066666666666</v>
      </c>
      <c r="G86" s="630">
        <f t="shared" si="7"/>
        <v>1583.4258666666667</v>
      </c>
      <c r="H86" s="630"/>
      <c r="I86" s="591">
        <f t="shared" si="5"/>
        <v>2.2638514398137337</v>
      </c>
      <c r="J86" s="595">
        <f t="shared" si="5"/>
        <v>3.0000000000000061E-2</v>
      </c>
      <c r="L86" s="17">
        <f t="shared" si="6"/>
        <v>1</v>
      </c>
    </row>
    <row r="87" spans="1:12">
      <c r="A87" s="5" t="s">
        <v>363</v>
      </c>
      <c r="B87" s="92"/>
      <c r="C87" s="160">
        <f>IF(ISNA(VLOOKUP("gre615530000",Balance!C:G,5,FALSE))=TRUE,0,VLOOKUP("gre615530000",Balance!C:G,5,FALSE))</f>
        <v>0</v>
      </c>
      <c r="D87" s="117">
        <f>+[2]Grenoble!$H87</f>
        <v>0</v>
      </c>
      <c r="E87" s="160">
        <f>IF(ISNA(VLOOKUP("gre615530000",Balanceanp!C:G,5,FALSE))=TRUE,0,VLOOKUP("gre615530000",Balanceanp!C:G,5,FALSE))</f>
        <v>0</v>
      </c>
      <c r="F87" s="368">
        <f>+C87+C87/9*(12-Clients!$I$14)</f>
        <v>0</v>
      </c>
      <c r="G87" s="396">
        <f t="shared" si="7"/>
        <v>0</v>
      </c>
      <c r="H87" s="409"/>
      <c r="I87" s="149">
        <f t="shared" si="5"/>
        <v>0</v>
      </c>
      <c r="J87" s="271">
        <f t="shared" si="5"/>
        <v>0</v>
      </c>
      <c r="L87" s="17">
        <f t="shared" si="6"/>
        <v>0</v>
      </c>
    </row>
    <row r="88" spans="1:12">
      <c r="A88" s="590" t="s">
        <v>111</v>
      </c>
      <c r="B88" s="591"/>
      <c r="C88" s="311">
        <f>IF(ISNA(VLOOKUP("GRE616130000",Balance!C:G,5,FALSE))=TRUE,0,VLOOKUP("GRE616130000",Balance!C:G,5,FALSE))</f>
        <v>2807.82</v>
      </c>
      <c r="D88" s="592">
        <f>+[2]Grenoble!$H88</f>
        <v>3743.7151500000004</v>
      </c>
      <c r="E88" s="311">
        <f>IF(ISNA(VLOOKUP("GRE616130000",Balanceanp!C:G,5,FALSE))=TRUE,0,VLOOKUP("GRE616130000",Balanceanp!C:G,5,FALSE))</f>
        <v>3406.57</v>
      </c>
      <c r="F88" s="625">
        <f>+C88+C88/9*(12-Clients!$I$14)</f>
        <v>3743.76</v>
      </c>
      <c r="G88" s="632">
        <f>+E88*1.05*1.05</f>
        <v>3755.7434250000006</v>
      </c>
      <c r="H88" s="632"/>
      <c r="I88" s="591">
        <f t="shared" ref="I88:I101" si="8">+IF((E88)=0,,(F88-E88)/E88)</f>
        <v>9.8982260749081938E-2</v>
      </c>
      <c r="J88" s="595">
        <f t="shared" ref="J88:J101" si="9">+IF((F88)=0,,(G88-F88)/F88)</f>
        <v>3.2009063080967667E-3</v>
      </c>
      <c r="L88" s="17">
        <f t="shared" si="6"/>
        <v>1</v>
      </c>
    </row>
    <row r="89" spans="1:12">
      <c r="A89" s="5" t="s">
        <v>315</v>
      </c>
      <c r="B89" s="92"/>
      <c r="C89" s="160"/>
      <c r="D89" s="117">
        <f>+[2]Grenoble!$H89</f>
        <v>0</v>
      </c>
      <c r="E89" s="160"/>
      <c r="F89" s="368">
        <f>+C89+C89/9*(12-Clients!$I$14)</f>
        <v>0</v>
      </c>
      <c r="G89" s="396">
        <f t="shared" si="7"/>
        <v>0</v>
      </c>
      <c r="H89" s="409"/>
      <c r="I89" s="149">
        <f t="shared" si="8"/>
        <v>0</v>
      </c>
      <c r="J89" s="271">
        <f t="shared" si="9"/>
        <v>0</v>
      </c>
      <c r="L89" s="17">
        <f t="shared" si="6"/>
        <v>0</v>
      </c>
    </row>
    <row r="90" spans="1:12">
      <c r="A90" s="590" t="s">
        <v>112</v>
      </c>
      <c r="B90" s="591"/>
      <c r="C90" s="311">
        <f>IF(ISNA(VLOOKUP("GRE618100000",Balance!C:G,5,FALSE))=TRUE,0,VLOOKUP("GRE618100000",Balance!C:G,5,FALSE))</f>
        <v>65</v>
      </c>
      <c r="D90" s="592">
        <f>+[2]Grenoble!$H90</f>
        <v>596.60381302562496</v>
      </c>
      <c r="E90" s="311">
        <f>IF(ISNA(VLOOKUP("GRE618100000",Balanceanp!C:G,5,FALSE))=TRUE,0,VLOOKUP("GRE618100000",Balanceanp!C:G,5,FALSE))</f>
        <v>466.77</v>
      </c>
      <c r="F90" s="625">
        <f>+C90+C90/9*(12-Clients!$I$14)</f>
        <v>86.666666666666671</v>
      </c>
      <c r="G90" s="630">
        <f t="shared" si="7"/>
        <v>89.26666666666668</v>
      </c>
      <c r="H90" s="630"/>
      <c r="I90" s="591">
        <f t="shared" si="8"/>
        <v>-0.81432682763102449</v>
      </c>
      <c r="J90" s="595">
        <f t="shared" si="9"/>
        <v>3.0000000000000096E-2</v>
      </c>
      <c r="L90" s="17">
        <f t="shared" si="6"/>
        <v>1</v>
      </c>
    </row>
    <row r="91" spans="1:12">
      <c r="A91" s="590" t="s">
        <v>113</v>
      </c>
      <c r="B91" s="591"/>
      <c r="C91" s="311">
        <f>IF(ISNA(VLOOKUP("GRE618500000",Balance!C:G,5,FALSE))=TRUE,0,VLOOKUP("GRE618500000",Balance!C:G,5,FALSE))</f>
        <v>1712.18</v>
      </c>
      <c r="D91" s="592">
        <f>+[2]Grenoble!$H91</f>
        <v>1377.2329446410417</v>
      </c>
      <c r="E91" s="311">
        <f>IF(ISNA(VLOOKUP("GRE618500000",Balanceanp!C:G,5,FALSE))=TRUE,0,VLOOKUP("GRE618500000",Balanceanp!C:G,5,FALSE))</f>
        <v>1251.4100000000001</v>
      </c>
      <c r="F91" s="625">
        <f>+C91+C91/9*(12-Clients!$I$14)</f>
        <v>2282.9066666666668</v>
      </c>
      <c r="G91" s="630">
        <f t="shared" si="7"/>
        <v>2351.3938666666668</v>
      </c>
      <c r="H91" s="630"/>
      <c r="I91" s="591">
        <f t="shared" si="8"/>
        <v>0.82426755952618769</v>
      </c>
      <c r="J91" s="595">
        <f t="shared" si="9"/>
        <v>3.0000000000000013E-2</v>
      </c>
      <c r="L91" s="17">
        <f t="shared" si="6"/>
        <v>1</v>
      </c>
    </row>
    <row r="92" spans="1:12">
      <c r="A92" s="5" t="s">
        <v>309</v>
      </c>
      <c r="B92" s="92"/>
      <c r="C92" s="160">
        <f>IF(ISNA(VLOOKUP("GRE622200000",Balance!C:G,5,FALSE))=TRUE,0,VLOOKUP("GRE622200000",Balance!C:G,5,FALSE))</f>
        <v>0</v>
      </c>
      <c r="D92" s="117">
        <f>+[2]Grenoble!$H92</f>
        <v>0</v>
      </c>
      <c r="E92" s="160">
        <f>IF(ISNA(VLOOKUP("GRE622200000",Balanceanp!C:G,5,FALSE))=TRUE,0,VLOOKUP("GRE622200000",Balanceanp!C:G,5,FALSE))</f>
        <v>0</v>
      </c>
      <c r="F92" s="368">
        <f>+C92+C92/9*(12-Clients!$I$14)</f>
        <v>0</v>
      </c>
      <c r="G92" s="396">
        <f t="shared" si="7"/>
        <v>0</v>
      </c>
      <c r="H92" s="409"/>
      <c r="I92" s="149">
        <f t="shared" si="8"/>
        <v>0</v>
      </c>
      <c r="J92" s="271">
        <f t="shared" si="9"/>
        <v>0</v>
      </c>
      <c r="L92" s="17">
        <f t="shared" si="6"/>
        <v>0</v>
      </c>
    </row>
    <row r="93" spans="1:12">
      <c r="A93" s="590" t="s">
        <v>115</v>
      </c>
      <c r="B93" s="591"/>
      <c r="C93" s="311">
        <f>IF(ISNA(VLOOKUP("GRE622600000",Balance!C:G,5,FALSE))=TRUE,0,VLOOKUP("GRE622600000",Balance!C:G,5,FALSE))</f>
        <v>0</v>
      </c>
      <c r="D93" s="592">
        <f>+[2]Grenoble!$H93</f>
        <v>0.56912864583333345</v>
      </c>
      <c r="E93" s="311">
        <f>IF(ISNA(VLOOKUP("GRE622600000",Balanceanp!C:G,5,FALSE))=TRUE,0,VLOOKUP("GRE622600000",Balanceanp!C:G,5,FALSE))</f>
        <v>0</v>
      </c>
      <c r="F93" s="625">
        <f>+C93+C93/9*(12-Clients!$I$14)</f>
        <v>0</v>
      </c>
      <c r="G93" s="630">
        <f t="shared" si="7"/>
        <v>0</v>
      </c>
      <c r="H93" s="630"/>
      <c r="I93" s="591">
        <f t="shared" si="8"/>
        <v>0</v>
      </c>
      <c r="J93" s="595">
        <f t="shared" si="9"/>
        <v>0</v>
      </c>
      <c r="L93" s="17">
        <f t="shared" si="6"/>
        <v>1</v>
      </c>
    </row>
    <row r="94" spans="1:12">
      <c r="A94" s="590" t="s">
        <v>42</v>
      </c>
      <c r="B94" s="591"/>
      <c r="C94" s="311">
        <f>IF(ISNA(VLOOKUP("GRE622710000",Balance!C:G,5,FALSE))=TRUE,0,VLOOKUP("GRE622710000",Balance!C:G,5,FALSE))</f>
        <v>0</v>
      </c>
      <c r="D94" s="592">
        <f>+[2]Grenoble!$H94</f>
        <v>8.8784068749999996</v>
      </c>
      <c r="E94" s="311">
        <f>IF(ISNA(VLOOKUP("GRE622710000",Balanceanp!C:G,5,FALSE))=TRUE,0,VLOOKUP("GRE622710000",Balanceanp!C:G,5,FALSE))</f>
        <v>40</v>
      </c>
      <c r="F94" s="625">
        <f>+C94+C94/9*(12-Clients!$I$14)</f>
        <v>0</v>
      </c>
      <c r="G94" s="630">
        <f t="shared" si="7"/>
        <v>0</v>
      </c>
      <c r="H94" s="630"/>
      <c r="I94" s="591">
        <f t="shared" si="8"/>
        <v>-1</v>
      </c>
      <c r="J94" s="595">
        <f t="shared" si="9"/>
        <v>0</v>
      </c>
      <c r="L94" s="17">
        <f t="shared" si="6"/>
        <v>1</v>
      </c>
    </row>
    <row r="95" spans="1:12">
      <c r="A95" s="590" t="s">
        <v>117</v>
      </c>
      <c r="B95" s="591">
        <f>+C95/$C$21</f>
        <v>3.6486930224358107E-3</v>
      </c>
      <c r="C95" s="311">
        <f>IF(ISNA(VLOOKUP("GRE624200000",Balance!C:G,5,FALSE))=TRUE,0,VLOOKUP("GRE624200000",Balance!C:G,5,FALSE))</f>
        <v>5758.62</v>
      </c>
      <c r="D95" s="592">
        <f>+[2]Grenoble!$H95</f>
        <v>7368.1551027390615</v>
      </c>
      <c r="E95" s="311">
        <f>IF(ISNA(VLOOKUP("GRE624200000",Balanceanp!C:G,5,FALSE))=TRUE,0,VLOOKUP("GRE624200000",Balanceanp!C:G,5,FALSE))</f>
        <v>8253.9699999999993</v>
      </c>
      <c r="F95" s="625">
        <f>+C95+C95/9*(12-Clients!$I$14)</f>
        <v>7678.16</v>
      </c>
      <c r="G95" s="630">
        <f>B95*G21</f>
        <v>7521.4705268445168</v>
      </c>
      <c r="H95" s="633">
        <f>+G95/$G$21</f>
        <v>3.6486930224358107E-3</v>
      </c>
      <c r="I95" s="591">
        <f t="shared" si="8"/>
        <v>-6.9761581396588501E-2</v>
      </c>
      <c r="J95" s="595">
        <f t="shared" si="9"/>
        <v>-2.0407164366916426E-2</v>
      </c>
      <c r="L95" s="17">
        <f t="shared" si="6"/>
        <v>1</v>
      </c>
    </row>
    <row r="96" spans="1:12">
      <c r="A96" s="590" t="s">
        <v>118</v>
      </c>
      <c r="B96" s="591"/>
      <c r="C96" s="311">
        <f>IF(ISNA(VLOOKUP("GRE625100000",Balance!C:G,5,FALSE))=TRUE,0,VLOOKUP("GRE625100000",Balance!C:G,5,FALSE))</f>
        <v>9529.18</v>
      </c>
      <c r="D96" s="592">
        <f>+[2]Grenoble!$H96</f>
        <v>11744.533799999999</v>
      </c>
      <c r="E96" s="311">
        <f>IF(ISNA(VLOOKUP("GRE625100000",Balanceanp!C:G,5,FALSE))=TRUE,0,VLOOKUP("GRE625100000",Balanceanp!C:G,5,FALSE))</f>
        <v>12605.08</v>
      </c>
      <c r="F96" s="625">
        <f>+C96+C96/9*(12-Clients!$I$14)</f>
        <v>12705.573333333334</v>
      </c>
      <c r="G96" s="594">
        <f t="shared" si="7"/>
        <v>13086.740533333334</v>
      </c>
      <c r="H96" s="594"/>
      <c r="I96" s="591">
        <f t="shared" si="8"/>
        <v>7.9724470874705904E-3</v>
      </c>
      <c r="J96" s="595">
        <f t="shared" si="9"/>
        <v>2.9999999999999988E-2</v>
      </c>
      <c r="L96" s="17">
        <f t="shared" si="6"/>
        <v>1</v>
      </c>
    </row>
    <row r="97" spans="1:12">
      <c r="A97" s="590" t="s">
        <v>7</v>
      </c>
      <c r="B97" s="591"/>
      <c r="C97" s="311">
        <f>IF(ISNA(VLOOKUP("GRE625200000",Balance!C:G,5,FALSE))=TRUE,0,VLOOKUP("GRE625200000",Balance!C:G,5,FALSE))</f>
        <v>0</v>
      </c>
      <c r="D97" s="592">
        <f>+[2]Grenoble!$H97</f>
        <v>65.678645700624998</v>
      </c>
      <c r="E97" s="311">
        <f>IF(ISNA(VLOOKUP("GRE625200000",Balanceanp!C:G,5,FALSE))=TRUE,0,VLOOKUP("GRE625200000",Balanceanp!C:G,5,FALSE))</f>
        <v>42.98</v>
      </c>
      <c r="F97" s="625">
        <f>+C97+C97/9*(12-Clients!$I$14)</f>
        <v>0</v>
      </c>
      <c r="G97" s="594">
        <f t="shared" si="7"/>
        <v>0</v>
      </c>
      <c r="H97" s="594"/>
      <c r="I97" s="591">
        <f t="shared" si="8"/>
        <v>-1</v>
      </c>
      <c r="J97" s="595">
        <f t="shared" si="9"/>
        <v>0</v>
      </c>
      <c r="L97" s="17">
        <f t="shared" si="6"/>
        <v>1</v>
      </c>
    </row>
    <row r="98" spans="1:12">
      <c r="A98" s="5" t="s">
        <v>307</v>
      </c>
      <c r="B98" s="92"/>
      <c r="C98" s="160">
        <f>IF(ISNA(VLOOKUP("GRE625510000",Balance!C:G,5,FALSE))=TRUE,0,VLOOKUP("GRE625510000",Balance!C:G,5,FALSE))</f>
        <v>0</v>
      </c>
      <c r="D98" s="117">
        <f>+[2]Grenoble!$H98</f>
        <v>0</v>
      </c>
      <c r="E98" s="160">
        <f>IF(ISNA(VLOOKUP("GRE625510000",Balanceanp!C:G,5,FALSE))=TRUE,0,VLOOKUP("GRE625510000",Balanceanp!C:G,5,FALSE))</f>
        <v>0</v>
      </c>
      <c r="F98" s="368">
        <f>+C98+C98/9*(12-Clients!$I$14)</f>
        <v>0</v>
      </c>
      <c r="G98" s="396">
        <f t="shared" si="7"/>
        <v>0</v>
      </c>
      <c r="H98" s="409"/>
      <c r="I98" s="149">
        <f t="shared" si="8"/>
        <v>0</v>
      </c>
      <c r="J98" s="271">
        <f t="shared" si="9"/>
        <v>0</v>
      </c>
      <c r="L98" s="17">
        <f t="shared" si="6"/>
        <v>0</v>
      </c>
    </row>
    <row r="99" spans="1:12">
      <c r="A99" s="590" t="s">
        <v>119</v>
      </c>
      <c r="B99" s="591"/>
      <c r="C99" s="311">
        <f>IF(ISNA(VLOOKUP("GRE626000000",Balance!C:G,5,FALSE))=TRUE,0,VLOOKUP("GRE626000000",Balance!C:G,5,FALSE))</f>
        <v>4086.29</v>
      </c>
      <c r="D99" s="592">
        <f>+[2]Grenoble!$H99</f>
        <v>6446.1013838248673</v>
      </c>
      <c r="E99" s="311">
        <f>IF(ISNA(VLOOKUP("GRE626000000",Balanceanp!C:G,5,FALSE))=TRUE,0,VLOOKUP("GRE626000000",Balanceanp!C:G,5,FALSE))</f>
        <v>5693.88</v>
      </c>
      <c r="F99" s="625">
        <f>+C99+C99/9*(12-Clients!$I$14)</f>
        <v>5448.3866666666672</v>
      </c>
      <c r="G99" s="630">
        <f>+F99</f>
        <v>5448.3866666666672</v>
      </c>
      <c r="H99" s="630"/>
      <c r="I99" s="591">
        <f t="shared" si="8"/>
        <v>-4.3115298062715211E-2</v>
      </c>
      <c r="J99" s="595">
        <f t="shared" si="9"/>
        <v>0</v>
      </c>
      <c r="L99" s="17">
        <f t="shared" si="6"/>
        <v>1</v>
      </c>
    </row>
    <row r="100" spans="1:12">
      <c r="A100" s="590" t="s">
        <v>120</v>
      </c>
      <c r="B100" s="591"/>
      <c r="C100" s="311">
        <f>IF(ISNA(VLOOKUP("GRE626100000",Balance!C:G,5,FALSE))=TRUE,0,VLOOKUP("GRE626100000",Balance!C:G,5,FALSE))</f>
        <v>1241.96</v>
      </c>
      <c r="D100" s="592">
        <f>+[2]Grenoble!$H100</f>
        <v>778.43192880253889</v>
      </c>
      <c r="E100" s="311">
        <f>IF(ISNA(VLOOKUP("GRE626100000",Balanceanp!C:G,5,FALSE))=TRUE,0,VLOOKUP("GRE626100000",Balanceanp!C:G,5,FALSE))</f>
        <v>673.41</v>
      </c>
      <c r="F100" s="625">
        <f>+C100+C100/9*(12-Clients!$I$14)</f>
        <v>1655.9466666666667</v>
      </c>
      <c r="G100" s="630">
        <f t="shared" si="7"/>
        <v>1705.6250666666667</v>
      </c>
      <c r="H100" s="630"/>
      <c r="I100" s="591">
        <f t="shared" si="8"/>
        <v>1.4590467422026208</v>
      </c>
      <c r="J100" s="595">
        <f t="shared" si="9"/>
        <v>3.0000000000000006E-2</v>
      </c>
      <c r="L100" s="17">
        <f t="shared" si="6"/>
        <v>1</v>
      </c>
    </row>
    <row r="101" spans="1:12">
      <c r="A101" s="5" t="s">
        <v>121</v>
      </c>
      <c r="B101" s="92"/>
      <c r="C101" s="160">
        <f>IF(ISNA(VLOOKUP("GRE628400000",Balance!C:G,5,FALSE))=TRUE,0,VLOOKUP("GRE628400000",Balance!C:G,5,FALSE))</f>
        <v>0</v>
      </c>
      <c r="D101" s="117">
        <f>+[2]Grenoble!$H101</f>
        <v>0</v>
      </c>
      <c r="E101" s="160">
        <f>IF(ISNA(VLOOKUP("GRE628400000",Balanceanp!C:G,5,FALSE))=TRUE,0,VLOOKUP("GRE628400000",Balanceanp!C:G,5,FALSE))</f>
        <v>0</v>
      </c>
      <c r="F101" s="368">
        <f>+C101+C101/9*(12-Clients!$I$14)</f>
        <v>0</v>
      </c>
      <c r="G101" s="396">
        <f t="shared" si="7"/>
        <v>0</v>
      </c>
      <c r="H101" s="409"/>
      <c r="I101" s="149">
        <f t="shared" si="8"/>
        <v>0</v>
      </c>
      <c r="J101" s="271">
        <f t="shared" si="9"/>
        <v>0</v>
      </c>
      <c r="L101" s="17">
        <f t="shared" si="6"/>
        <v>0</v>
      </c>
    </row>
    <row r="102" spans="1:12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6"/>
        <v>0</v>
      </c>
    </row>
    <row r="103" spans="1:12" s="33" customFormat="1" ht="15" customHeight="1">
      <c r="A103" s="13" t="s">
        <v>122</v>
      </c>
      <c r="B103" s="596">
        <f>+C103/$C$21</f>
        <v>6.5629435535159791E-2</v>
      </c>
      <c r="C103" s="305">
        <f>SUM(C70:C102)</f>
        <v>103580.91999999998</v>
      </c>
      <c r="D103" s="312">
        <f>SUM(D70:D102)</f>
        <v>128253.14770118934</v>
      </c>
      <c r="E103" s="305">
        <f>SUM(E70:E102)</f>
        <v>125411.00000000001</v>
      </c>
      <c r="F103" s="312">
        <f>SUM(F70:F102)</f>
        <v>135664.55666666667</v>
      </c>
      <c r="G103" s="312">
        <f>SUM(G70:G102)</f>
        <v>132649.8349068957</v>
      </c>
      <c r="H103" s="421">
        <f>+G103/$G$21</f>
        <v>6.4348922903391947E-2</v>
      </c>
      <c r="I103" s="598">
        <f>+IF((E103)=0,,(F103-E103)/E103)</f>
        <v>8.175962767752952E-2</v>
      </c>
      <c r="J103" s="599">
        <f>+IF((F103)=0,,(G103-F103)/F103)</f>
        <v>-2.2221881925861164E-2</v>
      </c>
      <c r="K103" s="136">
        <f>(C103+(C103/3))</f>
        <v>138107.89333333331</v>
      </c>
      <c r="L103" s="17">
        <f t="shared" si="6"/>
        <v>1</v>
      </c>
    </row>
    <row r="104" spans="1:12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6"/>
        <v>0</v>
      </c>
    </row>
    <row r="105" spans="1:12">
      <c r="A105" s="590" t="s">
        <v>129</v>
      </c>
      <c r="B105" s="591"/>
      <c r="C105" s="311">
        <f>IF(ISNA(VLOOKUP("GRE623100000",Balance!C:G,5,FALSE))=TRUE,0,VLOOKUP("GRE623100000",Balance!C:G,5,FALSE))</f>
        <v>0</v>
      </c>
      <c r="D105" s="592">
        <f>+[2]Grenoble!$H105</f>
        <v>1055.029</v>
      </c>
      <c r="E105" s="311">
        <f>IF(ISNA(VLOOKUP("GRE623100000",Balanceanp!C:G,5,FALSE))=TRUE,0,VLOOKUP("GRE623100000",Balanceanp!C:G,5,FALSE))</f>
        <v>774.3</v>
      </c>
      <c r="F105" s="625">
        <f>+C105+C105/9*(12-Clients!$I$14)</f>
        <v>0</v>
      </c>
      <c r="G105" s="594">
        <f t="shared" ref="G105:G114" si="10">+F105*1.03</f>
        <v>0</v>
      </c>
      <c r="H105" s="594"/>
      <c r="I105" s="591">
        <f t="shared" ref="I105:J114" si="11">+IF((E105)=0,,(F105-E105)/E105)</f>
        <v>-1</v>
      </c>
      <c r="J105" s="595">
        <f t="shared" si="11"/>
        <v>0</v>
      </c>
      <c r="L105" s="17">
        <f t="shared" si="6"/>
        <v>1</v>
      </c>
    </row>
    <row r="106" spans="1:12">
      <c r="A106" s="590" t="s">
        <v>130</v>
      </c>
      <c r="B106" s="591"/>
      <c r="C106" s="311">
        <f>IF(ISNA(VLOOKUP("GRE623200000",Balance!C:G,5,FALSE))=TRUE,0,VLOOKUP("GRE623200000",Balance!C:G,5,FALSE))</f>
        <v>9312.43</v>
      </c>
      <c r="D106" s="592">
        <f>+[2]Grenoble!$H106</f>
        <v>9065.5758999999998</v>
      </c>
      <c r="E106" s="311">
        <f>IF(ISNA(VLOOKUP("GRE623200000",Balanceanp!C:G,5,FALSE))=TRUE,0,VLOOKUP("GRE623200000",Balanceanp!C:G,5,FALSE))</f>
        <v>11392.28</v>
      </c>
      <c r="F106" s="625">
        <f>+C106+C106/9*(12-Clients!$I$14)</f>
        <v>12416.573333333334</v>
      </c>
      <c r="G106" s="594">
        <f t="shared" si="10"/>
        <v>12789.070533333334</v>
      </c>
      <c r="H106" s="594"/>
      <c r="I106" s="591">
        <f t="shared" si="11"/>
        <v>8.991117961754215E-2</v>
      </c>
      <c r="J106" s="595">
        <f t="shared" si="11"/>
        <v>2.9999999999999982E-2</v>
      </c>
      <c r="L106" s="17">
        <f t="shared" si="6"/>
        <v>1</v>
      </c>
    </row>
    <row r="107" spans="1:12">
      <c r="A107" s="5" t="s">
        <v>131</v>
      </c>
      <c r="B107" s="92"/>
      <c r="C107" s="160">
        <f>IF(ISNA(VLOOKUP("GRE629000000",Balance!C:G,5,FALSE))=TRUE,0,VLOOKUP("GRE629000000",Balance!C:G,5,FALSE))</f>
        <v>0</v>
      </c>
      <c r="D107" s="117">
        <f>+[2]Grenoble!$H107</f>
        <v>0</v>
      </c>
      <c r="E107" s="160">
        <f>IF(ISNA(VLOOKUP("GRE629000000",Balanceanp!C:G,5,FALSE))=TRUE,0,VLOOKUP("GRE629000000",Balanceanp!C:G,5,FALSE))</f>
        <v>0</v>
      </c>
      <c r="F107" s="368">
        <f>+C107+C107/9*(12-Clients!$I$14)</f>
        <v>0</v>
      </c>
      <c r="G107" s="395">
        <f t="shared" si="10"/>
        <v>0</v>
      </c>
      <c r="H107" s="401"/>
      <c r="I107" s="149">
        <f t="shared" si="11"/>
        <v>0</v>
      </c>
      <c r="J107" s="271">
        <f t="shared" si="11"/>
        <v>0</v>
      </c>
      <c r="L107" s="17">
        <f t="shared" si="6"/>
        <v>0</v>
      </c>
    </row>
    <row r="108" spans="1:12">
      <c r="A108" s="590" t="s">
        <v>132</v>
      </c>
      <c r="B108" s="591"/>
      <c r="C108" s="311">
        <f>IF(ISNA(VLOOKUP("GRE623300000",Balance!C:G,5,FALSE))=TRUE,0,VLOOKUP("GRE623300000",Balance!C:G,5,FALSE))</f>
        <v>1648.92</v>
      </c>
      <c r="D108" s="592">
        <f>+[2]Grenoble!$H108</f>
        <v>386.25</v>
      </c>
      <c r="E108" s="311">
        <f>IF(ISNA(VLOOKUP("GRE623300000",Balanceanp!C:G,5,FALSE))=TRUE,0,VLOOKUP("GRE623300000",Balanceanp!C:G,5,FALSE))</f>
        <v>0</v>
      </c>
      <c r="F108" s="625">
        <f>+C108+C108/9*(12-Clients!$I$14)</f>
        <v>2198.56</v>
      </c>
      <c r="G108" s="594">
        <f t="shared" si="10"/>
        <v>2264.5167999999999</v>
      </c>
      <c r="H108" s="594"/>
      <c r="I108" s="591">
        <f t="shared" si="11"/>
        <v>0</v>
      </c>
      <c r="J108" s="595">
        <f t="shared" si="11"/>
        <v>2.9999999999999968E-2</v>
      </c>
      <c r="L108" s="17">
        <f t="shared" si="6"/>
        <v>1</v>
      </c>
    </row>
    <row r="109" spans="1:12">
      <c r="A109" s="590" t="s">
        <v>133</v>
      </c>
      <c r="B109" s="591"/>
      <c r="C109" s="311">
        <f>IF(ISNA(VLOOKUP("GRE623700000",Balance!C:G,5,FALSE))=TRUE,0,VLOOKUP("GRE623700000",Balance!C:G,5,FALSE))</f>
        <v>7584.4299999999994</v>
      </c>
      <c r="D109" s="592">
        <f>+[2]Grenoble!$H109</f>
        <v>8590.3235999999997</v>
      </c>
      <c r="E109" s="311">
        <f>IF(ISNA(VLOOKUP("GRE623700000",Balanceanp!C:G,5,FALSE))=TRUE,0,VLOOKUP("GRE623700000",Balanceanp!C:G,5,FALSE))</f>
        <v>2965.84</v>
      </c>
      <c r="F109" s="625">
        <f>+C109+C109/9*(12-Clients!$I$14)</f>
        <v>10112.573333333332</v>
      </c>
      <c r="G109" s="594">
        <f t="shared" si="10"/>
        <v>10415.950533333333</v>
      </c>
      <c r="H109" s="594"/>
      <c r="I109" s="591">
        <f t="shared" si="11"/>
        <v>2.409682698100144</v>
      </c>
      <c r="J109" s="595">
        <f t="shared" si="11"/>
        <v>3.0000000000000086E-2</v>
      </c>
      <c r="L109" s="17">
        <f t="shared" si="6"/>
        <v>1</v>
      </c>
    </row>
    <row r="110" spans="1:12">
      <c r="A110" s="590" t="s">
        <v>134</v>
      </c>
      <c r="B110" s="591"/>
      <c r="C110" s="311">
        <f>IF(ISNA(VLOOKUP("GRE623410000",Balance!C:G,5,FALSE))=TRUE,0,VLOOKUP("GRE623410000",Balance!C:G,5,FALSE))+IF(ISNA(VLOOKUP("GRE623420000",Balance!C:G,5,FALSE))=TRUE,0,VLOOKUP("GRE623420000",Balance!C:G,5,FALSE))</f>
        <v>34009.300000000003</v>
      </c>
      <c r="D110" s="592">
        <f>+[2]Grenoble!$H110</f>
        <v>45865.869100000004</v>
      </c>
      <c r="E110" s="311">
        <f>IF(ISNA(VLOOKUP("GRE623410000",Balanceanp!C:G,5,FALSE))=TRUE,0,VLOOKUP("GRE623410000",Balanceanp!C:G,5,FALSE))+IF(ISNA(VLOOKUP("GRE623420000",Balanceanp!C:G,5,FALSE))=TRUE,0,VLOOKUP("GRE623420000",Balanceanp!C:G,5,FALSE))</f>
        <v>46785.539999999994</v>
      </c>
      <c r="F110" s="625">
        <f>+C110+C110/9*(12-Clients!$I$14)</f>
        <v>45345.733333333337</v>
      </c>
      <c r="G110" s="594">
        <f t="shared" si="10"/>
        <v>46706.10533333334</v>
      </c>
      <c r="H110" s="594"/>
      <c r="I110" s="591">
        <f t="shared" si="11"/>
        <v>-3.077460827996549E-2</v>
      </c>
      <c r="J110" s="595">
        <f t="shared" si="11"/>
        <v>3.0000000000000065E-2</v>
      </c>
      <c r="L110" s="17">
        <f t="shared" si="6"/>
        <v>1</v>
      </c>
    </row>
    <row r="111" spans="1:12">
      <c r="A111" s="590" t="s">
        <v>135</v>
      </c>
      <c r="B111" s="591"/>
      <c r="C111" s="311">
        <f>IF(ISNA(VLOOKUP("Gre623800000",Balance!C:G,5,FALSE))=TRUE,0,VLOOKUP("Gre623800000",Balance!C:G,5,FALSE))+IF(ISNA(VLOOKUP("Gre623820000",Balance!C:G,5,FALSE))=TRUE,0,VLOOKUP("Gre623820000",Balance!C:G,5,FALSE))</f>
        <v>0</v>
      </c>
      <c r="D111" s="592">
        <f>+[2]Grenoble!$H111</f>
        <v>72.872500000000002</v>
      </c>
      <c r="E111" s="311">
        <f>IF(ISNA(VLOOKUP("GRE623800000",Balanceanp!C:G,5,FALSE))=TRUE,0,VLOOKUP("GRE623800000",Balanceanp!C:G,5,FALSE))</f>
        <v>40</v>
      </c>
      <c r="F111" s="625">
        <f>+C111+C111/9*(12-Clients!$I$14)</f>
        <v>0</v>
      </c>
      <c r="G111" s="594">
        <f t="shared" si="10"/>
        <v>0</v>
      </c>
      <c r="H111" s="594"/>
      <c r="I111" s="591">
        <f t="shared" si="11"/>
        <v>-1</v>
      </c>
      <c r="J111" s="595">
        <f t="shared" si="11"/>
        <v>0</v>
      </c>
      <c r="L111" s="17">
        <f t="shared" si="6"/>
        <v>1</v>
      </c>
    </row>
    <row r="112" spans="1:12">
      <c r="A112" s="590" t="s">
        <v>136</v>
      </c>
      <c r="B112" s="591"/>
      <c r="C112" s="311">
        <f>IF(ISNA(VLOOKUP("GRE625600000",Balance!C:G,5,FALSE))=TRUE,0,VLOOKUP("GRE625600000",Balance!C:G,5,FALSE))</f>
        <v>6952.5</v>
      </c>
      <c r="D112" s="592">
        <f>+[2]Grenoble!$H112</f>
        <v>9270</v>
      </c>
      <c r="E112" s="311">
        <f>IF(ISNA(VLOOKUP("GRE625600000",Balanceanp!C:G,5,FALSE))=TRUE,0,VLOOKUP("GRE625600000",Balanceanp!C:G,5,FALSE))</f>
        <v>25.23</v>
      </c>
      <c r="F112" s="625">
        <f>+C112+C112/9*(12-Clients!$I$14)</f>
        <v>9270</v>
      </c>
      <c r="G112" s="594">
        <f t="shared" si="10"/>
        <v>9548.1</v>
      </c>
      <c r="H112" s="594"/>
      <c r="I112" s="591">
        <f t="shared" si="11"/>
        <v>366.41973840665872</v>
      </c>
      <c r="J112" s="595">
        <f t="shared" si="11"/>
        <v>3.0000000000000041E-2</v>
      </c>
      <c r="L112" s="17">
        <f t="shared" si="6"/>
        <v>1</v>
      </c>
    </row>
    <row r="113" spans="1:12">
      <c r="A113" s="590" t="s">
        <v>137</v>
      </c>
      <c r="B113" s="591"/>
      <c r="C113" s="635">
        <f>IF(ISNA(VLOOKUP("gre625700000",Balance!C:G,5,FALSE))=TRUE,0,VLOOKUP("gre625700000",Balance!C:G,5,FALSE))+IF(ISNA(VLOOKUP("gre625710000",Balance!C:G,5,FALSE))=TRUE,0,VLOOKUP("gre625710000",Balance!C:G,5,FALSE))</f>
        <v>12798.65</v>
      </c>
      <c r="D113" s="592">
        <f>+[2]Grenoble!$H113</f>
        <v>21100</v>
      </c>
      <c r="E113" s="311">
        <f>IF(ISNA(VLOOKUP("gre625700000",Balanceanp!C:G,5,FALSE))=TRUE,0,VLOOKUP("gre625700000",Balanceanp!C:G,5,FALSE))+IF(ISNA(VLOOKUP("gre625710000",Balanceanp!C:G,5,FALSE))=TRUE,0,VLOOKUP("gre625710000",Balanceanp!C:G,5,FALSE))</f>
        <v>15493.380000000001</v>
      </c>
      <c r="F113" s="625">
        <v>17729.3</v>
      </c>
      <c r="G113" s="594">
        <v>2000</v>
      </c>
      <c r="H113" s="594"/>
      <c r="I113" s="591">
        <f t="shared" si="11"/>
        <v>0.14431453950009604</v>
      </c>
      <c r="J113" s="595">
        <f t="shared" si="11"/>
        <v>-0.88719238774232489</v>
      </c>
      <c r="L113" s="17">
        <f t="shared" si="6"/>
        <v>1</v>
      </c>
    </row>
    <row r="114" spans="1:12">
      <c r="A114" s="5" t="s">
        <v>138</v>
      </c>
      <c r="B114" s="92"/>
      <c r="C114" s="160">
        <f>IF(ISNA(VLOOKUP("GRE623810000",Balance!C:G,5,FALSE))=TRUE,0,VLOOKUP("GRE623810000",Balance!C:G,5,FALSE))</f>
        <v>0</v>
      </c>
      <c r="D114" s="117">
        <f>+[2]Grenoble!$H114</f>
        <v>0</v>
      </c>
      <c r="E114" s="160">
        <f>IF(ISNA(VLOOKUP("GRE623810000",Balanceanp!C:G,5,FALSE))=TRUE,0,VLOOKUP("GRE623810000",Balanceanp!C:G,5,FALSE))</f>
        <v>0</v>
      </c>
      <c r="F114" s="368">
        <f>+C114+C114/9*(12-Clients!$I$14)</f>
        <v>0</v>
      </c>
      <c r="G114" s="395">
        <f t="shared" si="10"/>
        <v>0</v>
      </c>
      <c r="H114" s="401"/>
      <c r="I114" s="149">
        <f t="shared" si="11"/>
        <v>0</v>
      </c>
      <c r="J114" s="271">
        <f t="shared" si="11"/>
        <v>0</v>
      </c>
      <c r="L114" s="17">
        <f t="shared" si="6"/>
        <v>0</v>
      </c>
    </row>
    <row r="115" spans="1:12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6"/>
        <v>0</v>
      </c>
    </row>
    <row r="116" spans="1:12" s="33" customFormat="1" ht="15" customHeight="1">
      <c r="A116" s="13" t="s">
        <v>133</v>
      </c>
      <c r="B116" s="596">
        <f>+C116/$C$21</f>
        <v>4.5813621471748243E-2</v>
      </c>
      <c r="C116" s="305">
        <f>SUM(C104:C115)</f>
        <v>72306.23</v>
      </c>
      <c r="D116" s="312">
        <f>SUM(D104:D115)</f>
        <v>95405.920100000003</v>
      </c>
      <c r="E116" s="305">
        <f>SUM(E104:E115)</f>
        <v>77476.569999999992</v>
      </c>
      <c r="F116" s="312">
        <f>SUM(F104:F115)</f>
        <v>97072.74</v>
      </c>
      <c r="G116" s="312">
        <f>SUM(G104:G115)</f>
        <v>83723.743200000012</v>
      </c>
      <c r="H116" s="421">
        <f>+G116/$G$21</f>
        <v>4.0614695827865817E-2</v>
      </c>
      <c r="I116" s="598">
        <f>+IF((E116)=0,,(F116-E116)/E116)</f>
        <v>0.25293027298446502</v>
      </c>
      <c r="J116" s="599">
        <f>+IF((F116)=0,,(G116-F116)/F116)</f>
        <v>-0.13751540133718274</v>
      </c>
      <c r="K116" s="136">
        <f>(C116+(C116/3))</f>
        <v>96408.306666666656</v>
      </c>
      <c r="L116" s="17">
        <f t="shared" si="6"/>
        <v>1</v>
      </c>
    </row>
    <row r="117" spans="1:12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6"/>
        <v>0</v>
      </c>
    </row>
    <row r="118" spans="1:12">
      <c r="A118" s="590" t="s">
        <v>139</v>
      </c>
      <c r="B118" s="591"/>
      <c r="C118" s="311">
        <f>IF(ISNA(VLOOKUP("GRE633300000",Balance!C:G,5,FALSE))=TRUE,0,VLOOKUP("GRE633300000",Balance!C:G,5,FALSE))</f>
        <v>2719.18</v>
      </c>
      <c r="D118" s="592">
        <f>+[2]Grenoble!$H118</f>
        <v>1238.6499999999999</v>
      </c>
      <c r="E118" s="311">
        <f>IF(ISNA(VLOOKUP("GRE633300000",Balanceanp!C:G,5,FALSE))=TRUE,0,VLOOKUP("GRE633300000",Balanceanp!C:G,5,FALSE))</f>
        <v>1369</v>
      </c>
      <c r="F118" s="625">
        <f>+C118+C118/9*(12-Clients!$I$14)</f>
        <v>3625.5733333333328</v>
      </c>
      <c r="G118" s="630">
        <f>G131*(0.2+0.5)%</f>
        <v>1294.1599999999999</v>
      </c>
      <c r="H118" s="630"/>
      <c r="I118" s="591">
        <f t="shared" ref="I118:J127" si="12">+IF((E118)=0,,(F118-E118)/E118)</f>
        <v>1.6483369856342827</v>
      </c>
      <c r="J118" s="595">
        <f t="shared" si="12"/>
        <v>-0.64304680087379285</v>
      </c>
      <c r="L118" s="17">
        <f t="shared" si="6"/>
        <v>1</v>
      </c>
    </row>
    <row r="119" spans="1:12">
      <c r="A119" s="590" t="s">
        <v>140</v>
      </c>
      <c r="B119" s="591"/>
      <c r="C119" s="311">
        <f>IF(ISNA(VLOOKUP("GRE633400000",Balance!C:G,5,FALSE))=TRUE,0,VLOOKUP("GRE633400000",Balance!C:G,5,FALSE))</f>
        <v>0</v>
      </c>
      <c r="D119" s="592">
        <f>+[2]Grenoble!$H119</f>
        <v>796.27500000000009</v>
      </c>
      <c r="E119" s="311">
        <f>IF(ISNA(VLOOKUP("GRE633400000",Balanceanp!C:G,5,FALSE))=TRUE,0,VLOOKUP("GRE633400000",Balanceanp!C:G,5,FALSE))</f>
        <v>745</v>
      </c>
      <c r="F119" s="625">
        <f>+C119+C119/9*(12-Clients!$I$14)</f>
        <v>0</v>
      </c>
      <c r="G119" s="630">
        <f>+G131*0.45%</f>
        <v>831.96000000000015</v>
      </c>
      <c r="H119" s="630"/>
      <c r="I119" s="591">
        <f t="shared" si="12"/>
        <v>-1</v>
      </c>
      <c r="J119" s="595">
        <f t="shared" si="12"/>
        <v>0</v>
      </c>
      <c r="L119" s="17">
        <f t="shared" si="6"/>
        <v>1</v>
      </c>
    </row>
    <row r="120" spans="1:12">
      <c r="A120" s="590" t="s">
        <v>141</v>
      </c>
      <c r="B120" s="591"/>
      <c r="C120" s="311">
        <f>IF(ISNA(VLOOKUP("GRE633500000",Balance!C:G,5,FALSE))=TRUE,0,VLOOKUP("GRE633500000",Balance!C:G,5,FALSE))</f>
        <v>0</v>
      </c>
      <c r="D120" s="592">
        <f>+[2]Grenoble!$H120</f>
        <v>1380.21</v>
      </c>
      <c r="E120" s="311">
        <f>IF(ISNA(VLOOKUP("GRE633500000",Balanceanp!C:G,5,FALSE))=TRUE,0,VLOOKUP("GRE633500000",Balanceanp!C:G,5,FALSE))</f>
        <v>1126</v>
      </c>
      <c r="F120" s="625">
        <f>+C120+C120/9*(12-Clients!$I$14)</f>
        <v>0</v>
      </c>
      <c r="G120" s="630">
        <f>+G131*(0.6+0.18)%</f>
        <v>1442.0640000000001</v>
      </c>
      <c r="H120" s="630"/>
      <c r="I120" s="591">
        <f t="shared" si="12"/>
        <v>-1</v>
      </c>
      <c r="J120" s="595">
        <f t="shared" si="12"/>
        <v>0</v>
      </c>
      <c r="L120" s="17">
        <f t="shared" si="6"/>
        <v>1</v>
      </c>
    </row>
    <row r="121" spans="1:12">
      <c r="A121" s="590" t="s">
        <v>706</v>
      </c>
      <c r="B121" s="591"/>
      <c r="C121" s="311">
        <f>IF(ISNA(VLOOKUP("GRE635110000",Balance!C:G,5,FALSE))=TRUE,0,VLOOKUP("GRE635110000",Balance!C:G,5,FALSE))</f>
        <v>6188.22</v>
      </c>
      <c r="D121" s="592">
        <f>+[2]Grenoble!$H121</f>
        <v>8250.9</v>
      </c>
      <c r="E121" s="311">
        <f>IF(ISNA(VLOOKUP("GRE635110000",Balanceanp!C:G,5,FALSE))=TRUE,0,VLOOKUP("GRE635110000",Balanceanp!C:G,5,FALSE))</f>
        <v>8650</v>
      </c>
      <c r="F121" s="637">
        <v>3324</v>
      </c>
      <c r="G121" s="637">
        <f>+F121*1.05</f>
        <v>3490.2000000000003</v>
      </c>
      <c r="H121" s="632"/>
      <c r="I121" s="591">
        <f t="shared" si="12"/>
        <v>-0.61572254335260113</v>
      </c>
      <c r="J121" s="595">
        <f t="shared" si="12"/>
        <v>5.0000000000000079E-2</v>
      </c>
      <c r="L121" s="17">
        <f t="shared" si="6"/>
        <v>1</v>
      </c>
    </row>
    <row r="122" spans="1:12">
      <c r="A122" s="590" t="s">
        <v>143</v>
      </c>
      <c r="B122" s="591"/>
      <c r="C122" s="311">
        <f>IF(ISNA(VLOOKUP("GRE635120000",Balance!C:G,5,FALSE))=TRUE,0,VLOOKUP("GRE635120000",Balance!C:G,5,FALSE))</f>
        <v>4400.55</v>
      </c>
      <c r="D122" s="592">
        <f>+[2]Grenoble!$H122</f>
        <v>5867.4000000000005</v>
      </c>
      <c r="E122" s="311">
        <f>IF(ISNA(VLOOKUP("GRE635120000",Balanceanp!C:G,5,FALSE))=TRUE,0,VLOOKUP("GRE635120000",Balanceanp!C:G,5,FALSE))</f>
        <v>5805</v>
      </c>
      <c r="F122" s="632">
        <v>5588</v>
      </c>
      <c r="G122" s="632">
        <f>+F122*1.05</f>
        <v>5867.4000000000005</v>
      </c>
      <c r="H122" s="632"/>
      <c r="I122" s="591">
        <f t="shared" si="12"/>
        <v>-3.7381567614125755E-2</v>
      </c>
      <c r="J122" s="595">
        <f t="shared" si="12"/>
        <v>5.00000000000001E-2</v>
      </c>
      <c r="L122" s="17">
        <f t="shared" si="6"/>
        <v>1</v>
      </c>
    </row>
    <row r="123" spans="1:12">
      <c r="A123" s="590" t="s">
        <v>144</v>
      </c>
      <c r="B123" s="591"/>
      <c r="C123" s="311">
        <f>IF(ISNA(VLOOKUP("GRE635130000",Balance!C:G,5,FALSE))=TRUE,0,VLOOKUP("GRE635130000",Balance!C:G,5,FALSE))</f>
        <v>0</v>
      </c>
      <c r="D123" s="592">
        <f>+[2]Grenoble!$H123</f>
        <v>50</v>
      </c>
      <c r="E123" s="311">
        <f>IF(ISNA(VLOOKUP("GRE635130000",Balanceanp!C:G,5,FALSE))=TRUE,0,VLOOKUP("GRE635130000",Balanceanp!C:G,5,FALSE))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2"/>
        <v>0</v>
      </c>
      <c r="J123" s="595">
        <f t="shared" si="12"/>
        <v>0</v>
      </c>
      <c r="L123" s="17">
        <f t="shared" si="6"/>
        <v>1</v>
      </c>
    </row>
    <row r="124" spans="1:12">
      <c r="A124" s="5" t="s">
        <v>145</v>
      </c>
      <c r="B124" s="92"/>
      <c r="C124" s="160">
        <f>IF(ISNA(VLOOKUP("GRE635140000",Balance!C:G,5,FALSE))=TRUE,0,VLOOKUP("GRE635140000",Balance!C:G,5,FALSE))</f>
        <v>0</v>
      </c>
      <c r="D124" s="117">
        <f>+[2]Grenoble!$H124</f>
        <v>0</v>
      </c>
      <c r="E124" s="160">
        <f>IF(ISNA(VLOOKUP("GRE635140000",Balanceanp!C:G,5,FALSE))=TRUE,0,VLOOKUP("GRE635140000",Balanceanp!C:G,5,FALSE))</f>
        <v>0</v>
      </c>
      <c r="F124" s="368">
        <f>+C124+C124/9*(12-Clients!$I$14)</f>
        <v>0</v>
      </c>
      <c r="G124" s="397">
        <v>0</v>
      </c>
      <c r="H124" s="413"/>
      <c r="I124" s="149">
        <f t="shared" si="12"/>
        <v>0</v>
      </c>
      <c r="J124" s="271">
        <f t="shared" si="12"/>
        <v>0</v>
      </c>
      <c r="L124" s="17">
        <f t="shared" si="6"/>
        <v>0</v>
      </c>
    </row>
    <row r="125" spans="1:12">
      <c r="A125" s="5" t="s">
        <v>286</v>
      </c>
      <c r="B125" s="92"/>
      <c r="C125" s="160">
        <f>IF(ISNA(VLOOKUP("GRE635300000",Balance!C:G,5,FALSE))=TRUE,0,VLOOKUP("GRE635300000",Balance!C:G,5,FALSE))</f>
        <v>0</v>
      </c>
      <c r="D125" s="117">
        <f>+[2]Grenoble!$H125</f>
        <v>0</v>
      </c>
      <c r="E125" s="160">
        <f>IF(ISNA(VLOOKUP("GRE635300000",Balanceanp!C:G,5,FALSE))=TRUE,0,VLOOKUP("GRE635300000",Balanceanp!C:G,5,FALSE))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2"/>
        <v>0</v>
      </c>
      <c r="J125" s="271">
        <f t="shared" si="12"/>
        <v>0</v>
      </c>
      <c r="L125" s="17">
        <f t="shared" si="6"/>
        <v>0</v>
      </c>
    </row>
    <row r="126" spans="1:12">
      <c r="A126" s="5" t="s">
        <v>361</v>
      </c>
      <c r="B126" s="92"/>
      <c r="C126" s="160">
        <f>IF(ISNA(VLOOKUP("gre635400000",Balance!C:G,5,FALSE))=TRUE,0,VLOOKUP("gre635400000",Balance!C:G,5,FALSE))</f>
        <v>0</v>
      </c>
      <c r="D126" s="117">
        <f>+[2]Grenoble!$H126</f>
        <v>0</v>
      </c>
      <c r="E126" s="160">
        <f>IF(ISNA(VLOOKUP("gre635400000",Balanceanp!C:G,5,FALSE))=TRUE,0,VLOOKUP("gre635400000",Balanceanp!C:G,5,FALSE))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2"/>
        <v>0</v>
      </c>
      <c r="J126" s="271">
        <f t="shared" si="12"/>
        <v>0</v>
      </c>
      <c r="L126" s="17">
        <f t="shared" si="6"/>
        <v>0</v>
      </c>
    </row>
    <row r="127" spans="1:12">
      <c r="A127" s="590" t="s">
        <v>146</v>
      </c>
      <c r="B127" s="591"/>
      <c r="C127" s="311">
        <f>IF(ISNA(VLOOKUP("GRE637100000",Balance!C:G,5,FALSE))=TRUE,0,VLOOKUP("GRE637100000",Balance!C:G,5,FALSE))</f>
        <v>2828.75</v>
      </c>
      <c r="D127" s="592">
        <f>+[2]Grenoble!$H127</f>
        <v>3112.7568000000001</v>
      </c>
      <c r="E127" s="311">
        <f>IF(ISNA(VLOOKUP("GRE637100000",Balanceanp!C:G,5,FALSE))=TRUE,0,VLOOKUP("GRE637100000",Balanceanp!C:G,5,FALSE))</f>
        <v>3315.36</v>
      </c>
      <c r="F127" s="625">
        <f>+C127+C127/9*(12-Clients!$I$14)</f>
        <v>3771.6666666666665</v>
      </c>
      <c r="G127" s="630">
        <f>+G51*0.16%</f>
        <v>3198.3152</v>
      </c>
      <c r="H127" s="630"/>
      <c r="I127" s="591">
        <f t="shared" si="12"/>
        <v>0.13763412319225254</v>
      </c>
      <c r="J127" s="595">
        <f t="shared" si="12"/>
        <v>-0.15201541316836054</v>
      </c>
      <c r="L127" s="17">
        <f t="shared" si="6"/>
        <v>1</v>
      </c>
    </row>
    <row r="128" spans="1:12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6"/>
        <v>0</v>
      </c>
    </row>
    <row r="129" spans="1:12" s="33" customFormat="1" ht="15" customHeight="1">
      <c r="A129" s="13" t="s">
        <v>147</v>
      </c>
      <c r="B129" s="596">
        <f>+C129/$C$21</f>
        <v>1.0224301081707066E-2</v>
      </c>
      <c r="C129" s="305">
        <f>SUM(C117:C128)</f>
        <v>16136.7</v>
      </c>
      <c r="D129" s="312">
        <f>SUM(D117:D128)</f>
        <v>20696.191800000001</v>
      </c>
      <c r="E129" s="305">
        <f>SUM(E117:E128)</f>
        <v>21010.36</v>
      </c>
      <c r="F129" s="312">
        <f>SUM(F117:F128)</f>
        <v>16309.24</v>
      </c>
      <c r="G129" s="312">
        <f>SUM(G117:G128)</f>
        <v>16174.099200000001</v>
      </c>
      <c r="H129" s="421">
        <f>+G129/$G$21</f>
        <v>7.8461150229332775E-3</v>
      </c>
      <c r="I129" s="598">
        <f>+IF((E129)=0,,(F129-E129)/E129)</f>
        <v>-0.22375247258971293</v>
      </c>
      <c r="J129" s="599">
        <f>+IF((F129)=0,,(G129-F129)/F129)</f>
        <v>-8.2861494465713437E-3</v>
      </c>
      <c r="K129" s="136">
        <f>(C129+(C129/3))</f>
        <v>21515.600000000002</v>
      </c>
      <c r="L129" s="17">
        <f t="shared" si="6"/>
        <v>1</v>
      </c>
    </row>
    <row r="130" spans="1:12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6"/>
        <v>0</v>
      </c>
    </row>
    <row r="131" spans="1:12">
      <c r="A131" s="590" t="s">
        <v>148</v>
      </c>
      <c r="B131" s="591"/>
      <c r="C131" s="311">
        <f>IF(ISNA(VLOOKUP("GRE641100000",Balance!C:G,5,FALSE))=TRUE,0,VLOOKUP("GRE641100000",Balance!C:G,5,FALSE))</f>
        <v>134983.51999999999</v>
      </c>
      <c r="D131" s="592">
        <f>+[2]Grenoble!$H131</f>
        <v>176950</v>
      </c>
      <c r="E131" s="311">
        <f>IF(ISNA(VLOOKUP("GRE641100000",Balanceanp!C:G,5,FALSE))=TRUE,0,VLOOKUP("GRE641100000",Balanceanp!C:G,5,FALSE))+IF(ISNA(VLOOKUP("GRE641112000",Balanceanp!C:G,5,FALSE))=TRUE,0,VLOOKUP("GRE641112000",Balanceanp!C:G,5,FALSE))</f>
        <v>174895.47</v>
      </c>
      <c r="F131" s="625">
        <f>+C131+C131/9*(12-Clients!$I$14)</f>
        <v>179978.02666666664</v>
      </c>
      <c r="G131" s="594">
        <v>184880</v>
      </c>
      <c r="H131" s="594"/>
      <c r="I131" s="591">
        <f t="shared" ref="I131:J146" si="13">+IF((E131)=0,,(F131-E131)/E131)</f>
        <v>2.9060539227612023E-2</v>
      </c>
      <c r="J131" s="595">
        <f t="shared" si="13"/>
        <v>2.7236510056931531E-2</v>
      </c>
      <c r="L131" s="17">
        <v>1</v>
      </c>
    </row>
    <row r="132" spans="1:12">
      <c r="A132" s="5" t="s">
        <v>149</v>
      </c>
      <c r="B132" s="92"/>
      <c r="C132" s="160">
        <f>IF(ISNA(VLOOKUP("GRE641110000",Balance!C:G,5,FALSE))=TRUE,0,VLOOKUP("GRE641110000",Balance!C:G,5,FALSE))</f>
        <v>-6600</v>
      </c>
      <c r="D132" s="117">
        <f>+[2]Grenoble!$H132</f>
        <v>0</v>
      </c>
      <c r="E132" s="160">
        <f>IF(ISNA(VLOOKUP("GRE641110000",Balanceanp!C:G,5,FALSE))=TRUE,0,VLOOKUP("GRE641110000",Balanceanp!C:G,5,FALSE))</f>
        <v>4100</v>
      </c>
      <c r="F132" s="368">
        <f>+C132+C132/9*(12-Clients!$I$14)</f>
        <v>-8800</v>
      </c>
      <c r="G132" s="395"/>
      <c r="H132" s="401"/>
      <c r="I132" s="149">
        <f t="shared" si="13"/>
        <v>-3.1463414634146343</v>
      </c>
      <c r="J132" s="271">
        <f t="shared" si="13"/>
        <v>-1</v>
      </c>
      <c r="L132" s="17">
        <v>0</v>
      </c>
    </row>
    <row r="133" spans="1:12">
      <c r="A133" s="5" t="s">
        <v>150</v>
      </c>
      <c r="B133" s="92"/>
      <c r="C133" s="160">
        <f>IF(ISNA(VLOOKUP("GRE641111000",Balance!C:G,5,FALSE))=TRUE,0,VLOOKUP("GRE641111000",Balance!C:G,5,FALSE))</f>
        <v>0</v>
      </c>
      <c r="D133" s="117">
        <f>+[2]Grenoble!$H133</f>
        <v>0</v>
      </c>
      <c r="E133" s="160">
        <f>IF(ISNA(VLOOKUP("GRE641111000",Balanceanp!C:G,5,FALSE))=TRUE,0,VLOOKUP("GRE641111000",Balanceanp!C:G,5,FALSE))</f>
        <v>0</v>
      </c>
      <c r="F133" s="368">
        <f>+C133+C133/9*(12-Clients!$I$14)</f>
        <v>0</v>
      </c>
      <c r="G133" s="395"/>
      <c r="H133" s="401"/>
      <c r="I133" s="149">
        <f t="shared" si="13"/>
        <v>0</v>
      </c>
      <c r="J133" s="271">
        <f t="shared" si="13"/>
        <v>0</v>
      </c>
      <c r="L133" s="17">
        <f t="shared" si="6"/>
        <v>0</v>
      </c>
    </row>
    <row r="134" spans="1:12">
      <c r="A134" s="5" t="s">
        <v>151</v>
      </c>
      <c r="B134" s="92"/>
      <c r="C134" s="160">
        <f>IF(ISNA(VLOOKUP("GRE641200000",Balance!C:G,5,FALSE))=TRUE,0,VLOOKUP("GRE641200000",Balance!C:G,5,FALSE))</f>
        <v>0</v>
      </c>
      <c r="D134" s="117">
        <f>+[2]Grenoble!$H134</f>
        <v>0</v>
      </c>
      <c r="E134" s="160">
        <f>IF(ISNA(VLOOKUP("GRE641200000",Balanceanp!C:G,5,FALSE))=TRUE,0,VLOOKUP("GRE641200000",Balanceanp!C:G,5,FALSE))</f>
        <v>-2442.1800000000003</v>
      </c>
      <c r="F134" s="368">
        <f>+C134+C134/9*(12-Clients!$I$14)</f>
        <v>0</v>
      </c>
      <c r="G134" s="395"/>
      <c r="H134" s="401"/>
      <c r="I134" s="149">
        <f t="shared" si="13"/>
        <v>-1</v>
      </c>
      <c r="J134" s="271">
        <f t="shared" si="13"/>
        <v>0</v>
      </c>
      <c r="L134" s="17">
        <v>0</v>
      </c>
    </row>
    <row r="135" spans="1:12">
      <c r="A135" s="5" t="s">
        <v>114</v>
      </c>
      <c r="B135" s="92"/>
      <c r="C135" s="160">
        <f>IF(ISNA(VLOOKUP("GRE621100000",Balance!C:G,5,FALSE))=TRUE,0,VLOOKUP("GRE621100000",Balance!C:G,5,FALSE))</f>
        <v>0</v>
      </c>
      <c r="D135" s="117">
        <f>+[2]Grenoble!$H135</f>
        <v>8658.1387999999988</v>
      </c>
      <c r="E135" s="160">
        <f>IF(ISNA(VLOOKUP("GRE621100000",Balanceanp!C:G,5,FALSE))=TRUE,0,VLOOKUP("GRE621100000",Balanceanp!C:G,5,FALSE))</f>
        <v>13377.97</v>
      </c>
      <c r="F135" s="368">
        <f>+C135+C135/9*(12-Clients!$I$14)</f>
        <v>0</v>
      </c>
      <c r="G135" s="395"/>
      <c r="H135" s="401"/>
      <c r="I135" s="149">
        <f t="shared" si="13"/>
        <v>-1</v>
      </c>
      <c r="J135" s="271">
        <f t="shared" si="13"/>
        <v>0</v>
      </c>
      <c r="L135" s="17">
        <v>0</v>
      </c>
    </row>
    <row r="136" spans="1:12">
      <c r="A136" s="5" t="s">
        <v>338</v>
      </c>
      <c r="B136" s="92"/>
      <c r="C136" s="160">
        <f>IF(ISNA(VLOOKUP("GRE621200000",Balance!C:G,5,FALSE))=TRUE,0,VLOOKUP("GRE621200000",Balance!C:G,5,FALSE))</f>
        <v>0</v>
      </c>
      <c r="D136" s="117">
        <f>+[2]Grenoble!$H136</f>
        <v>0</v>
      </c>
      <c r="E136" s="160">
        <f>IF(ISNA(VLOOKUP("GRE621200000",Balanceanp!C:G,5,FALSE))=TRUE,0,VLOOKUP("GRE621200000",Balanceanp!C:G,5,FALSE))</f>
        <v>0</v>
      </c>
      <c r="F136" s="368">
        <f>+C136+C136/9*(12-Clients!$I$14)</f>
        <v>0</v>
      </c>
      <c r="G136" s="395"/>
      <c r="H136" s="401"/>
      <c r="I136" s="149">
        <f t="shared" si="13"/>
        <v>0</v>
      </c>
      <c r="J136" s="271">
        <f t="shared" si="13"/>
        <v>0</v>
      </c>
      <c r="L136" s="17">
        <f t="shared" ref="L136:L197" si="14">IF(SUM(C136:J136)&lt;&gt;0,1,0)</f>
        <v>0</v>
      </c>
    </row>
    <row r="137" spans="1:12">
      <c r="A137" s="5" t="s">
        <v>87</v>
      </c>
      <c r="B137" s="92"/>
      <c r="C137" s="160">
        <f>-IF(ISNA(VLOOKUP("GRE706100000",Balance!C:G,5,FALSE))=TRUE,0,-VLOOKUP("GRE706100000",Balance!C:G,5,FALSE))</f>
        <v>0</v>
      </c>
      <c r="D137" s="117">
        <f>+[2]Grenoble!$H137</f>
        <v>0</v>
      </c>
      <c r="E137" s="160">
        <f>-IF(ISNA(VLOOKUP("GRE706100000",Balanceanp!C:G,5,FALSE))=TRUE,0,-VLOOKUP("GRE706100000",Balanceanp!C:G,5,FALSE))</f>
        <v>0</v>
      </c>
      <c r="F137" s="368">
        <f>+C137+C137/9*(12-Clients!$I$14)</f>
        <v>0</v>
      </c>
      <c r="G137" s="395"/>
      <c r="H137" s="401"/>
      <c r="I137" s="149">
        <f t="shared" si="13"/>
        <v>0</v>
      </c>
      <c r="J137" s="271">
        <f t="shared" si="13"/>
        <v>0</v>
      </c>
      <c r="L137" s="17">
        <f t="shared" si="14"/>
        <v>0</v>
      </c>
    </row>
    <row r="138" spans="1:12">
      <c r="A138" s="5" t="s">
        <v>152</v>
      </c>
      <c r="B138" s="92"/>
      <c r="C138" s="160">
        <f>IF(ISNA(VLOOKUP("GRE641210000",Balance!C:G,5,FALSE))=TRUE,0,VLOOKUP("GRE641210000",Balance!C:G,5,FALSE))</f>
        <v>0</v>
      </c>
      <c r="D138" s="117">
        <f>+[2]Grenoble!$H138</f>
        <v>0</v>
      </c>
      <c r="E138" s="160">
        <f>IF(ISNA(VLOOKUP("GRE641210000",Balanceanp!C:G,5,FALSE))=TRUE,0,VLOOKUP("GRE641210000",Balanceanp!C:G,5,FALSE))</f>
        <v>-929.48999999999978</v>
      </c>
      <c r="F138" s="368">
        <f>+C138+C138/9*(12-Clients!$I$14)</f>
        <v>0</v>
      </c>
      <c r="G138" s="395"/>
      <c r="H138" s="401"/>
      <c r="I138" s="149">
        <f t="shared" si="13"/>
        <v>-1</v>
      </c>
      <c r="J138" s="271">
        <f t="shared" si="13"/>
        <v>0</v>
      </c>
      <c r="L138" s="17">
        <v>0</v>
      </c>
    </row>
    <row r="139" spans="1:12">
      <c r="A139" s="5" t="s">
        <v>153</v>
      </c>
      <c r="B139" s="92"/>
      <c r="C139" s="160">
        <f>IF(ISNA(VLOOKUP("GRE641400000",Balance!C:G,5,FALSE))=TRUE,0,VLOOKUP("GRE641400000",Balance!C:G,5,FALSE))</f>
        <v>0</v>
      </c>
      <c r="D139" s="117">
        <f>+[2]Grenoble!$H139</f>
        <v>0</v>
      </c>
      <c r="E139" s="160">
        <f>IF(ISNA(VLOOKUP("GRE641400000",Balanceanp!C:G,5,FALSE))=TRUE,0,VLOOKUP("GRE641400000",Balanceanp!C:G,5,FALSE))</f>
        <v>0</v>
      </c>
      <c r="F139" s="368">
        <f>+C139+C139/9*(12-Clients!$I$14)</f>
        <v>0</v>
      </c>
      <c r="G139" s="395"/>
      <c r="H139" s="401"/>
      <c r="I139" s="149">
        <f t="shared" si="13"/>
        <v>0</v>
      </c>
      <c r="J139" s="271">
        <f t="shared" si="13"/>
        <v>0</v>
      </c>
      <c r="L139" s="17">
        <f t="shared" si="14"/>
        <v>0</v>
      </c>
    </row>
    <row r="140" spans="1:12">
      <c r="A140" s="590" t="s">
        <v>154</v>
      </c>
      <c r="B140" s="591"/>
      <c r="C140" s="311">
        <f>IF(ISNA(VLOOKUP("GRE641600000",Balance!C:G,5,FALSE))=TRUE,0,VLOOKUP("GRE641600000",Balance!C:G,5,FALSE))</f>
        <v>0</v>
      </c>
      <c r="D140" s="592">
        <f>+[2]Grenoble!$H140</f>
        <v>0</v>
      </c>
      <c r="E140" s="311">
        <f>IF(ISNA(VLOOKUP("GRE641600000",Balanceanp!C:G,5,FALSE))=TRUE,0,VLOOKUP("GRE641600000",Balanceanp!C:G,5,FALSE))</f>
        <v>3383.37</v>
      </c>
      <c r="F140" s="625">
        <f>+C140+C140/9*(12-Clients!$I$14)</f>
        <v>0</v>
      </c>
      <c r="G140" s="594"/>
      <c r="H140" s="594"/>
      <c r="I140" s="591">
        <f t="shared" si="13"/>
        <v>-1</v>
      </c>
      <c r="J140" s="595">
        <f t="shared" si="13"/>
        <v>0</v>
      </c>
      <c r="L140" s="17">
        <f t="shared" si="14"/>
        <v>1</v>
      </c>
    </row>
    <row r="141" spans="1:12">
      <c r="A141" s="590" t="s">
        <v>155</v>
      </c>
      <c r="B141" s="591"/>
      <c r="C141" s="311">
        <f>IF(ISNA(VLOOKUP("GRE645100000",Balance!C:G,5,FALSE))=TRUE,0,VLOOKUP("GRE645100000",Balance!C:G,5,FALSE))</f>
        <v>32365.279999999999</v>
      </c>
      <c r="D141" s="592">
        <f>+[2]Grenoble!$H141</f>
        <v>43786.339014069075</v>
      </c>
      <c r="E141" s="311">
        <f>IF(ISNA(VLOOKUP("GRE645100000",Balanceanp!C:G,5,FALSE))=TRUE,0,VLOOKUP("GRE645100000",Balanceanp!C:G,5,FALSE))</f>
        <v>43775.72</v>
      </c>
      <c r="F141" s="625">
        <f>+C141+C141/9*(12-Clients!$I$14)</f>
        <v>43153.706666666665</v>
      </c>
      <c r="G141" s="630">
        <f t="shared" ref="G141:G146" si="15">+($G$131/$C$131*C141)*1.01</f>
        <v>44772.353662610076</v>
      </c>
      <c r="H141" s="630"/>
      <c r="I141" s="591">
        <f t="shared" si="13"/>
        <v>-1.4209094295498419E-2</v>
      </c>
      <c r="J141" s="595">
        <f t="shared" si="13"/>
        <v>3.7508875157500822E-2</v>
      </c>
      <c r="L141" s="17">
        <f t="shared" si="14"/>
        <v>1</v>
      </c>
    </row>
    <row r="142" spans="1:12">
      <c r="A142" s="590" t="s">
        <v>156</v>
      </c>
      <c r="B142" s="591"/>
      <c r="C142" s="311">
        <f>IF(ISNA(VLOOKUP("GRE645200000",Balance!C:G,5,FALSE))=TRUE,0,VLOOKUP("GRE645200000",Balance!C:G,5,FALSE))</f>
        <v>2567.6799999999998</v>
      </c>
      <c r="D142" s="592">
        <f>+[2]Grenoble!$H142</f>
        <v>5552.6020722189141</v>
      </c>
      <c r="E142" s="311">
        <f>IF(ISNA(VLOOKUP("GRE645200000",Balanceanp!C:G,5,FALSE))=TRUE,0,VLOOKUP("GRE645200000",Balanceanp!C:G,5,FALSE))</f>
        <v>5273.97</v>
      </c>
      <c r="F142" s="625">
        <f>+C142+C142/9*(12-Clients!$I$14)</f>
        <v>3423.5733333333328</v>
      </c>
      <c r="G142" s="630">
        <f t="shared" si="15"/>
        <v>3551.9877180858821</v>
      </c>
      <c r="H142" s="630"/>
      <c r="I142" s="591">
        <f t="shared" si="13"/>
        <v>-0.35085460604945939</v>
      </c>
      <c r="J142" s="595">
        <f t="shared" si="13"/>
        <v>3.7508875157500919E-2</v>
      </c>
      <c r="L142" s="17">
        <f t="shared" si="14"/>
        <v>1</v>
      </c>
    </row>
    <row r="143" spans="1:12">
      <c r="A143" s="590" t="s">
        <v>157</v>
      </c>
      <c r="B143" s="591"/>
      <c r="C143" s="311">
        <f>IF(ISNA(VLOOKUP("GRE645300000",Balance!C:G,5,FALSE))=TRUE,0,VLOOKUP("GRE645300000",Balance!C:G,5,FALSE))</f>
        <v>8354.91</v>
      </c>
      <c r="D143" s="592">
        <f>+[2]Grenoble!$H143</f>
        <v>11073.129921224545</v>
      </c>
      <c r="E143" s="311">
        <f>IF(ISNA(VLOOKUP("GRE645300000",Balanceanp!C:G,5,FALSE))=TRUE,0,VLOOKUP("GRE645300000",Balanceanp!C:G,5,FALSE))</f>
        <v>10840.97</v>
      </c>
      <c r="F143" s="625">
        <f>+C143+C143/9*(12-Clients!$I$14)</f>
        <v>11139.88</v>
      </c>
      <c r="G143" s="630">
        <f t="shared" si="15"/>
        <v>11557.72436818954</v>
      </c>
      <c r="H143" s="630"/>
      <c r="I143" s="591">
        <f t="shared" si="13"/>
        <v>2.7572255988163409E-2</v>
      </c>
      <c r="J143" s="595">
        <f t="shared" si="13"/>
        <v>3.750887515750085E-2</v>
      </c>
      <c r="L143" s="17">
        <f t="shared" si="14"/>
        <v>1</v>
      </c>
    </row>
    <row r="144" spans="1:12">
      <c r="A144" s="5" t="s">
        <v>326</v>
      </c>
      <c r="B144" s="92"/>
      <c r="C144" s="160">
        <f>IF(ISNA(VLOOKUP("GRE645310000",Balance!C:G,5,FALSE))=TRUE,0,VLOOKUP("GRE645310000",Balance!C:G,5,FALSE))</f>
        <v>0</v>
      </c>
      <c r="D144" s="117">
        <f>+[2]Grenoble!$H144</f>
        <v>0</v>
      </c>
      <c r="E144" s="160">
        <f>IF(ISNA(VLOOKUP("GRE645310000",Balanceanp!C:G,5,FALSE))=TRUE,0,VLOOKUP("GRE645310000",Balanceanp!C:G,5,FALSE))</f>
        <v>0</v>
      </c>
      <c r="F144" s="368">
        <f>+C144+C144/9*(12-Clients!$I$14)</f>
        <v>0</v>
      </c>
      <c r="G144" s="396">
        <f t="shared" si="15"/>
        <v>0</v>
      </c>
      <c r="H144" s="409"/>
      <c r="I144" s="149">
        <f t="shared" si="13"/>
        <v>0</v>
      </c>
      <c r="J144" s="271">
        <f t="shared" si="13"/>
        <v>0</v>
      </c>
      <c r="L144" s="17">
        <f t="shared" si="14"/>
        <v>0</v>
      </c>
    </row>
    <row r="145" spans="1:12">
      <c r="A145" s="590" t="s">
        <v>158</v>
      </c>
      <c r="B145" s="591"/>
      <c r="C145" s="311">
        <f>IF(ISNA(VLOOKUP("GRE645400000",Balance!C:G,5,FALSE))=TRUE,0,VLOOKUP("GRE645400000",Balance!C:G,5,FALSE))</f>
        <v>5639.19</v>
      </c>
      <c r="D145" s="592">
        <f>+[2]Grenoble!$H145</f>
        <v>7148.0434606828576</v>
      </c>
      <c r="E145" s="311">
        <f>IF(ISNA(VLOOKUP("GRE645400000",Balanceanp!C:G,5,FALSE))=TRUE,0,VLOOKUP("GRE645400000",Balanceanp!C:G,5,FALSE))</f>
        <v>7037.03</v>
      </c>
      <c r="F145" s="625">
        <f>+C145+C145/9*(12-Clients!$I$14)</f>
        <v>7518.9199999999992</v>
      </c>
      <c r="G145" s="630">
        <f t="shared" si="15"/>
        <v>7800.9462315992359</v>
      </c>
      <c r="H145" s="630"/>
      <c r="I145" s="591">
        <f t="shared" si="13"/>
        <v>6.8479173742331562E-2</v>
      </c>
      <c r="J145" s="595">
        <f t="shared" si="13"/>
        <v>3.7508875157500919E-2</v>
      </c>
      <c r="L145" s="17">
        <f t="shared" si="14"/>
        <v>1</v>
      </c>
    </row>
    <row r="146" spans="1:12">
      <c r="A146" s="5" t="s">
        <v>159</v>
      </c>
      <c r="B146" s="92"/>
      <c r="C146" s="160">
        <f>IF(ISNA(VLOOKUP("GRE645800000",Balance!C:G,5,FALSE))=TRUE,0,VLOOKUP("GRE645800000",Balance!C:G,5,FALSE))</f>
        <v>0</v>
      </c>
      <c r="D146" s="117">
        <f>+[2]Grenoble!$H146</f>
        <v>0</v>
      </c>
      <c r="E146" s="160">
        <f>IF(ISNA(VLOOKUP("GRE645800000",Balanceanp!C:G,5,FALSE))=TRUE,0,VLOOKUP("GRE645800000",Balanceanp!C:G,5,FALSE))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3"/>
        <v>0</v>
      </c>
      <c r="J146" s="271">
        <f t="shared" si="13"/>
        <v>0</v>
      </c>
      <c r="L146" s="17">
        <f t="shared" si="14"/>
        <v>0</v>
      </c>
    </row>
    <row r="147" spans="1:12">
      <c r="A147" s="590" t="s">
        <v>160</v>
      </c>
      <c r="B147" s="591"/>
      <c r="C147" s="311">
        <f>IF(ISNA(VLOOKUP("GRE645900000",Balance!C:G,5,FALSE))=TRUE,0,VLOOKUP("GRE645900000",Balance!C:G,5,FALSE))</f>
        <v>-1156.5999999999999</v>
      </c>
      <c r="D147" s="592">
        <f>+[2]Grenoble!$H147</f>
        <v>219.95650000000001</v>
      </c>
      <c r="E147" s="311">
        <f>IF(ISNA(VLOOKUP("GRE645900000",Balanceanp!C:G,5,FALSE))=TRUE,0,VLOOKUP("GRE645900000",Balanceanp!C:G,5,FALSE))</f>
        <v>1545.62</v>
      </c>
      <c r="F147" s="625">
        <f>+C147+C147/9*(12-Clients!$I$14)</f>
        <v>-1542.1333333333332</v>
      </c>
      <c r="G147" s="630">
        <f>+F147*1.03</f>
        <v>-1588.3973333333333</v>
      </c>
      <c r="H147" s="630"/>
      <c r="I147" s="591">
        <f t="shared" ref="I147:J152" si="16">+IF((E147)=0,,(F147-E147)/E147)</f>
        <v>-1.9977441630758745</v>
      </c>
      <c r="J147" s="595">
        <f t="shared" si="16"/>
        <v>3.0000000000000082E-2</v>
      </c>
      <c r="L147" s="17">
        <f t="shared" si="14"/>
        <v>1</v>
      </c>
    </row>
    <row r="148" spans="1:12">
      <c r="A148" s="590" t="s">
        <v>161</v>
      </c>
      <c r="B148" s="591"/>
      <c r="C148" s="311">
        <f>IF(ISNA(VLOOKUP("GRE647100000",Balance!C:G,5,FALSE))=TRUE,0,VLOOKUP("GRE647100000",Balance!C:G,5,FALSE))</f>
        <v>0</v>
      </c>
      <c r="D148" s="592">
        <f>+[2]Grenoble!$H148</f>
        <v>74.708578000000003</v>
      </c>
      <c r="E148" s="311">
        <f>IF(ISNA(VLOOKUP("GRE647100000",Balanceanp!C:G,5,FALSE))=TRUE,0,VLOOKUP("GRE647100000",Balanceanp!C:G,5,FALSE))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6"/>
        <v>-1</v>
      </c>
      <c r="J148" s="595">
        <f t="shared" si="16"/>
        <v>0</v>
      </c>
      <c r="L148" s="17">
        <f t="shared" si="14"/>
        <v>1</v>
      </c>
    </row>
    <row r="149" spans="1:12">
      <c r="A149" s="590" t="s">
        <v>162</v>
      </c>
      <c r="B149" s="591"/>
      <c r="C149" s="311">
        <f>IF(ISNA(VLOOKUP("GRE647400000",Balance!C:G,5,FALSE))=TRUE,0,VLOOKUP("GRE647400000",Balance!C:G,5,FALSE))</f>
        <v>0</v>
      </c>
      <c r="D149" s="592">
        <f>+[2]Grenoble!$H149</f>
        <v>161.63316200000003</v>
      </c>
      <c r="E149" s="311">
        <f>IF(ISNA(VLOOKUP("GRE647400000",Balanceanp!C:G,5,FALSE))=TRUE,0,VLOOKUP("GRE647400000",Balanceanp!C:G,5,FALSE))</f>
        <v>129.88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6"/>
        <v>-1</v>
      </c>
      <c r="J149" s="595">
        <f t="shared" si="16"/>
        <v>0</v>
      </c>
      <c r="L149" s="17">
        <f t="shared" si="14"/>
        <v>1</v>
      </c>
    </row>
    <row r="150" spans="1:12">
      <c r="A150" s="590" t="s">
        <v>163</v>
      </c>
      <c r="B150" s="591"/>
      <c r="C150" s="311">
        <f>IF(ISNA(VLOOKUP("GRE647500000",Balance!C:G,5,FALSE))=TRUE,0,VLOOKUP("GRE647500000",Balance!C:G,5,FALSE))</f>
        <v>333.6</v>
      </c>
      <c r="D150" s="592">
        <f>+[2]Grenoble!$H150</f>
        <v>514.11387305725691</v>
      </c>
      <c r="E150" s="311">
        <f>IF(ISNA(VLOOKUP("GRE647500000",Balanceanp!C:G,5,FALSE))=TRUE,0,VLOOKUP("GRE647500000",Balanceanp!C:G,5,FALSE))</f>
        <v>374.78</v>
      </c>
      <c r="F150" s="625">
        <f>+C150+C150/9*(12-Clients!$I$14)</f>
        <v>444.80000000000007</v>
      </c>
      <c r="G150" s="630">
        <f>+F150*1.03</f>
        <v>458.14400000000006</v>
      </c>
      <c r="H150" s="630"/>
      <c r="I150" s="591">
        <f t="shared" si="16"/>
        <v>0.18682960670259913</v>
      </c>
      <c r="J150" s="595">
        <f t="shared" si="16"/>
        <v>2.9999999999999982E-2</v>
      </c>
      <c r="L150" s="17">
        <f t="shared" si="14"/>
        <v>1</v>
      </c>
    </row>
    <row r="151" spans="1:12">
      <c r="A151" s="5" t="s">
        <v>570</v>
      </c>
      <c r="B151" s="92"/>
      <c r="C151" s="160"/>
      <c r="D151" s="117">
        <f>+[2]Grenoble!$H151</f>
        <v>0</v>
      </c>
      <c r="E151" s="160"/>
      <c r="F151" s="368"/>
      <c r="G151" s="395"/>
      <c r="H151" s="409"/>
      <c r="I151" s="149"/>
      <c r="J151" s="271"/>
      <c r="L151" s="17">
        <f t="shared" si="14"/>
        <v>0</v>
      </c>
    </row>
    <row r="152" spans="1:12">
      <c r="A152" s="590" t="s">
        <v>58</v>
      </c>
      <c r="B152" s="591"/>
      <c r="C152" s="311">
        <f>IF(ISNA(VLOOKUP("GRE648000000",Balance!C:G,5,FALSE))=TRUE,0,VLOOKUP("GRE648000000",Balance!C:G,5,FALSE))</f>
        <v>0</v>
      </c>
      <c r="D152" s="592">
        <f>+[2]Grenoble!$H152</f>
        <v>2168.0818912499999</v>
      </c>
      <c r="E152" s="311">
        <f>IF(ISNA(VLOOKUP("GRE648000000",Balanceanp!C:G,5,FALSE))=TRUE,0,VLOOKUP("GRE648000000",Balanceanp!C:G,5,FALSE))</f>
        <v>21909.478320000002</v>
      </c>
      <c r="F152" s="625">
        <f>+C152+C152/9*(12-Clients!$I$14)</f>
        <v>0</v>
      </c>
      <c r="G152" s="630">
        <f>+F152*1.03</f>
        <v>0</v>
      </c>
      <c r="H152" s="630">
        <f>SUM(G141:G152)</f>
        <v>66552.758647151408</v>
      </c>
      <c r="I152" s="591">
        <f t="shared" si="16"/>
        <v>-1</v>
      </c>
      <c r="J152" s="595">
        <f t="shared" si="16"/>
        <v>0</v>
      </c>
      <c r="L152" s="17">
        <f t="shared" si="14"/>
        <v>1</v>
      </c>
    </row>
    <row r="153" spans="1:12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4"/>
        <v>0</v>
      </c>
    </row>
    <row r="154" spans="1:12" s="33" customFormat="1" ht="15" customHeight="1">
      <c r="A154" s="13" t="s">
        <v>164</v>
      </c>
      <c r="B154" s="596">
        <f>+C154/$C$21</f>
        <v>0.11182349272787263</v>
      </c>
      <c r="C154" s="305">
        <f>SUM(C130:C153)</f>
        <v>176487.58</v>
      </c>
      <c r="D154" s="312">
        <f>SUM(D130:D153)</f>
        <v>256306.74727250269</v>
      </c>
      <c r="E154" s="305">
        <f>SUM(E130:E153)</f>
        <v>283312.18832000002</v>
      </c>
      <c r="F154" s="312">
        <f>SUM(F130:F153)</f>
        <v>235316.77333333332</v>
      </c>
      <c r="G154" s="312">
        <f>SUM(G130:G153)</f>
        <v>251432.75864715141</v>
      </c>
      <c r="H154" s="421">
        <f>+G154/$G$21</f>
        <v>0.12197095618647939</v>
      </c>
      <c r="I154" s="598">
        <f>+IF((E154)=0,,(F154-E154)/E154)</f>
        <v>-0.16940822515004567</v>
      </c>
      <c r="J154" s="599">
        <f>+IF((F154)=0,,(G154-F154)/F154)</f>
        <v>6.8486343262022006E-2</v>
      </c>
      <c r="K154" s="136">
        <f>(C154+(C154/3))</f>
        <v>235316.77333333332</v>
      </c>
      <c r="L154" s="17">
        <f t="shared" si="14"/>
        <v>1</v>
      </c>
    </row>
    <row r="155" spans="1:12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4"/>
        <v>0</v>
      </c>
    </row>
    <row r="156" spans="1:12">
      <c r="A156" s="590" t="s">
        <v>545</v>
      </c>
      <c r="B156" s="591">
        <v>0.81830000000000003</v>
      </c>
      <c r="C156" s="311">
        <f>IF(ISNA(VLOOKUP("GRE681740000",Balance!C:G,5,FALSE))=TRUE,0,VLOOKUP("GRE681740000",Balance!C:G,5,FALSE))</f>
        <v>12145.69</v>
      </c>
      <c r="D156" s="592">
        <f>+[2]Grenoble!$H156</f>
        <v>26377.16425596</v>
      </c>
      <c r="E156" s="311">
        <f>IF(ISNA(VLOOKUP("GRE681740000",Balanceanp!C:G,5,FALSE))=TRUE,0,VLOOKUP("GRE681740000",Balanceanp!C:G,5,FALSE))</f>
        <v>12221.3</v>
      </c>
      <c r="F156" s="625">
        <f>+C156+C156/9*(12-Clients!$I$14)</f>
        <v>16194.253333333334</v>
      </c>
      <c r="G156" s="637">
        <f>+G21*B156*1.62%</f>
        <v>27327.065490900008</v>
      </c>
      <c r="H156" s="639"/>
      <c r="I156" s="591">
        <f t="shared" ref="I156:J166" si="17">+IF((E156)=0,,(F156-E156)/E156)</f>
        <v>0.32508434727347624</v>
      </c>
      <c r="J156" s="595">
        <f t="shared" si="17"/>
        <v>0.6874544894670459</v>
      </c>
      <c r="L156" s="17">
        <f t="shared" si="14"/>
        <v>1</v>
      </c>
    </row>
    <row r="157" spans="1:12">
      <c r="A157" s="590" t="s">
        <v>165</v>
      </c>
      <c r="B157" s="591"/>
      <c r="C157" s="311">
        <f>IF(ISNA(VLOOKUP("GRE781740000",Balance!C:G,5,FALSE))=TRUE,0,VLOOKUP("GRE781740000",Balance!C:G,5,FALSE))</f>
        <v>-1756.72</v>
      </c>
      <c r="D157" s="592">
        <f>+[2]Grenoble!$H157</f>
        <v>0</v>
      </c>
      <c r="E157" s="311">
        <f>IF(ISNA(VLOOKUP("GRE781740000",Balanceanp!C:G,5,FALSE))=TRUE,0,VLOOKUP("GRE781740000",Balanceanp!C:G,5,FALSE))</f>
        <v>-2281.9699999999998</v>
      </c>
      <c r="F157" s="625">
        <f>+C157+C157/9*(12-Clients!$I$14)</f>
        <v>-2342.2933333333335</v>
      </c>
      <c r="G157" s="630">
        <v>0</v>
      </c>
      <c r="H157" s="630"/>
      <c r="I157" s="591">
        <f t="shared" si="17"/>
        <v>2.6434761777470225E-2</v>
      </c>
      <c r="J157" s="595">
        <f t="shared" si="17"/>
        <v>-1</v>
      </c>
      <c r="L157" s="17">
        <f t="shared" si="14"/>
        <v>1</v>
      </c>
    </row>
    <row r="158" spans="1:12">
      <c r="A158" s="590" t="s">
        <v>166</v>
      </c>
      <c r="B158" s="591"/>
      <c r="C158" s="311">
        <f>IF(ISNA(VLOOKUP("GRE654400000",Balance!C:G,5,FALSE))=TRUE,0,VLOOKUP("GRE654400000",Balance!C:G,5,FALSE))</f>
        <v>2350.58</v>
      </c>
      <c r="D158" s="592">
        <f>+[2]Grenoble!$H158</f>
        <v>0</v>
      </c>
      <c r="E158" s="311">
        <f>IF(ISNA(VLOOKUP("GRE654400000",Balanceanp!C:G,5,FALSE))=TRUE,0,VLOOKUP("GRE654400000",Balanceanp!C:G,5,FALSE))</f>
        <v>2281.9699999999998</v>
      </c>
      <c r="F158" s="625">
        <f>+C158+C158/9*(12-Clients!$I$14)</f>
        <v>3134.1066666666666</v>
      </c>
      <c r="G158" s="630">
        <v>0</v>
      </c>
      <c r="H158" s="630"/>
      <c r="I158" s="591">
        <f t="shared" si="17"/>
        <v>0.37342150276588509</v>
      </c>
      <c r="J158" s="595">
        <f t="shared" si="17"/>
        <v>-1</v>
      </c>
      <c r="L158" s="17">
        <f t="shared" si="14"/>
        <v>1</v>
      </c>
    </row>
    <row r="159" spans="1:12">
      <c r="A159" s="590" t="s">
        <v>60</v>
      </c>
      <c r="B159" s="591"/>
      <c r="C159" s="311">
        <f>IF(ISNA(VLOOKUP("GRE791100000",Balance!C:G,5,FALSE))=TRUE,0,VLOOKUP("GRE791100000",Balance!C:G,5,FALSE))</f>
        <v>0</v>
      </c>
      <c r="D159" s="592">
        <f>+[2]Grenoble!$H159</f>
        <v>0</v>
      </c>
      <c r="E159" s="311">
        <f>IF(ISNA(VLOOKUP("GRE791100000",Balanceanp!C:G,5,FALSE))=TRUE,0,VLOOKUP("GRE791100000",Balanceanp!C:G,5,FALSE))</f>
        <v>-4185.8</v>
      </c>
      <c r="F159" s="625">
        <f>+C159+C159/9*(12-Clients!$I$14)</f>
        <v>0</v>
      </c>
      <c r="G159" s="630">
        <v>0</v>
      </c>
      <c r="H159" s="630"/>
      <c r="I159" s="591">
        <f t="shared" si="17"/>
        <v>-1</v>
      </c>
      <c r="J159" s="595">
        <f t="shared" si="17"/>
        <v>0</v>
      </c>
      <c r="L159" s="17">
        <f t="shared" si="14"/>
        <v>1</v>
      </c>
    </row>
    <row r="160" spans="1:12">
      <c r="A160" s="590" t="s">
        <v>199</v>
      </c>
      <c r="B160" s="591"/>
      <c r="C160" s="311">
        <f>IF(ISNA(VLOOKUP("GRE654100000",Balance!C:G,5,FALSE))=TRUE,0,VLOOKUP("GRE654100000",Balance!C:G,5,FALSE))</f>
        <v>0.60000000000000009</v>
      </c>
      <c r="D160" s="592">
        <f>+[2]Grenoble!$H160</f>
        <v>0</v>
      </c>
      <c r="E160" s="311">
        <f>IF(ISNA(VLOOKUP("GRE654100000",Balanceanp!C:G,5,FALSE))=TRUE,0,VLOOKUP("GRE654100000",Balanceanp!C:G,5,FALSE))</f>
        <v>-13.130000000000003</v>
      </c>
      <c r="F160" s="625">
        <f>+C160+C160/9*(12-Clients!$I$14)</f>
        <v>0.80000000000000016</v>
      </c>
      <c r="G160" s="630">
        <v>0</v>
      </c>
      <c r="H160" s="630"/>
      <c r="I160" s="591">
        <f t="shared" si="17"/>
        <v>-1.0609291698400609</v>
      </c>
      <c r="J160" s="595">
        <f t="shared" si="17"/>
        <v>-1</v>
      </c>
      <c r="L160" s="17">
        <f t="shared" si="14"/>
        <v>1</v>
      </c>
    </row>
    <row r="161" spans="1:12">
      <c r="A161" s="590" t="s">
        <v>41</v>
      </c>
      <c r="B161" s="591"/>
      <c r="C161" s="311">
        <f>IF(ISNA(VLOOKUP("GRE622700000",Balance!C:G,5,FALSE))=TRUE,0,VLOOKUP("GRE622700000",Balance!C:G,5,FALSE))</f>
        <v>411.12</v>
      </c>
      <c r="D161" s="592">
        <f>+[2]Grenoble!$H161</f>
        <v>598.90711490715216</v>
      </c>
      <c r="E161" s="311">
        <f>IF(ISNA(VLOOKUP("GRE622700000",Balanceanp!C:G,5,FALSE))=TRUE,0,VLOOKUP("GRE622700000",Balanceanp!C:G,5,FALSE))</f>
        <v>944.84</v>
      </c>
      <c r="F161" s="625">
        <f>+C161+C161/9*(12-Clients!$I$14)</f>
        <v>548.16</v>
      </c>
      <c r="G161" s="630">
        <f t="shared" ref="G161:G166" si="18">+F161*1.03</f>
        <v>564.60479999999995</v>
      </c>
      <c r="H161" s="630"/>
      <c r="I161" s="591">
        <f t="shared" si="17"/>
        <v>-0.41983827949705776</v>
      </c>
      <c r="J161" s="595">
        <f t="shared" si="17"/>
        <v>2.9999999999999978E-2</v>
      </c>
      <c r="L161" s="17">
        <f t="shared" si="14"/>
        <v>1</v>
      </c>
    </row>
    <row r="162" spans="1:12">
      <c r="A162" s="590" t="s">
        <v>355</v>
      </c>
      <c r="B162" s="591"/>
      <c r="C162" s="311">
        <f>IF(ISNA(VLOOKUP("GRE654200000",Balance!C:G,5,FALSE))=TRUE,0,VLOOKUP("GRE654200000",Balance!C:G,5,FALSE))</f>
        <v>31.1</v>
      </c>
      <c r="D162" s="592">
        <f>+[2]Grenoble!$H162</f>
        <v>51.545448902890627</v>
      </c>
      <c r="E162" s="311">
        <f>IF(ISNA(VLOOKUP("GRE654200000",Balanceanp!C:G,5,FALSE))=TRUE,0,VLOOKUP("GRE654200000",Balanceanp!C:G,5,FALSE))</f>
        <v>65.029999999999987</v>
      </c>
      <c r="F162" s="625">
        <f>+C162+C162/9*(12-Clients!$I$14)</f>
        <v>41.466666666666669</v>
      </c>
      <c r="G162" s="630">
        <f t="shared" si="18"/>
        <v>42.710666666666668</v>
      </c>
      <c r="H162" s="630"/>
      <c r="I162" s="591">
        <f t="shared" si="17"/>
        <v>-0.36234558408939449</v>
      </c>
      <c r="J162" s="595">
        <f t="shared" si="17"/>
        <v>2.9999999999999992E-2</v>
      </c>
      <c r="L162" s="17">
        <f t="shared" si="14"/>
        <v>1</v>
      </c>
    </row>
    <row r="163" spans="1:12">
      <c r="A163" s="590" t="s">
        <v>200</v>
      </c>
      <c r="B163" s="591"/>
      <c r="C163" s="311">
        <f>IF(ISNA(VLOOKUP("GRE665000000",Balance!C:G,5,FALSE))=TRUE,0,VLOOKUP("GRE665000000",Balance!C:G,5,FALSE))+IF(ISNA(VLOOKUP("GRE665100000",Balance!C:G,5,FALSE))=TRUE,0,VLOOKUP("GRE665100000",Balance!C:G,5,FALSE))</f>
        <v>1310.56</v>
      </c>
      <c r="D163" s="592">
        <f>+[2]Grenoble!$H163</f>
        <v>1271.4742957631754</v>
      </c>
      <c r="E163" s="311">
        <f>IF(ISNA(VLOOKUP("GRE665000000",Balanceanp!C:G,5,FALSE))=TRUE,0,VLOOKUP("GRE665000000",Balanceanp!C:G,5,FALSE))+IF(ISNA(VLOOKUP("GRE665100000",Balanceanp!C:G,5,FALSE))=TRUE,0,VLOOKUP("GRE665100000",Balanceanp!C:G,5,FALSE))</f>
        <v>1198.95</v>
      </c>
      <c r="F163" s="625">
        <f>+C163+C163/9*(12-Clients!$I$14)</f>
        <v>1747.4133333333334</v>
      </c>
      <c r="G163" s="630">
        <f t="shared" si="18"/>
        <v>1799.8357333333336</v>
      </c>
      <c r="H163" s="630"/>
      <c r="I163" s="591">
        <f t="shared" si="17"/>
        <v>0.45745304919582414</v>
      </c>
      <c r="J163" s="595">
        <f t="shared" si="17"/>
        <v>3.0000000000000086E-2</v>
      </c>
      <c r="L163" s="17">
        <f t="shared" si="14"/>
        <v>1</v>
      </c>
    </row>
    <row r="164" spans="1:12">
      <c r="A164" s="590" t="s">
        <v>271</v>
      </c>
      <c r="B164" s="591"/>
      <c r="C164" s="311">
        <f>IF(ISNA(VLOOKUP("GRE763000000",Balance!C:G,5,FALSE))=TRUE,0,VLOOKUP("GRE763000000",Balance!C:G,5,FALSE))</f>
        <v>-64.5</v>
      </c>
      <c r="D164" s="592">
        <f>+[2]Grenoble!$H164</f>
        <v>-96.08929112558333</v>
      </c>
      <c r="E164" s="311">
        <f>IF(ISNA(VLOOKUP("GRE763000000",Balanceanp!C:G,5,FALSE))=TRUE,0,VLOOKUP("GRE763000000",Balanceanp!C:G,5,FALSE))</f>
        <v>-112.6</v>
      </c>
      <c r="F164" s="625">
        <f>+C164+C164/9*(12-Clients!$I$14)</f>
        <v>-86</v>
      </c>
      <c r="G164" s="630">
        <f t="shared" si="18"/>
        <v>-88.58</v>
      </c>
      <c r="H164" s="630"/>
      <c r="I164" s="591">
        <f t="shared" si="17"/>
        <v>-0.23623445825932501</v>
      </c>
      <c r="J164" s="595">
        <f t="shared" si="17"/>
        <v>2.9999999999999982E-2</v>
      </c>
      <c r="L164" s="17">
        <f t="shared" si="14"/>
        <v>1</v>
      </c>
    </row>
    <row r="165" spans="1:12">
      <c r="A165" s="590" t="s">
        <v>242</v>
      </c>
      <c r="B165" s="591"/>
      <c r="C165" s="311">
        <f>IF(ISNA(VLOOKUP("GRE627520000",Balance!C:G,5,FALSE))=TRUE,0,VLOOKUP("GRE627520000",Balance!C:G,5,FALSE))</f>
        <v>426</v>
      </c>
      <c r="D165" s="592">
        <f>+[2]Grenoble!$H165</f>
        <v>373.04237707853537</v>
      </c>
      <c r="E165" s="311">
        <f>IF(ISNA(VLOOKUP("GRE627520000",Balanceanp!C:G,5,FALSE))=TRUE,0,VLOOKUP("GRE627520000",Balanceanp!C:G,5,FALSE))</f>
        <v>330</v>
      </c>
      <c r="F165" s="625">
        <f>+C165+C165/9*(12-Clients!$I$14)</f>
        <v>568</v>
      </c>
      <c r="G165" s="630">
        <f t="shared" si="18"/>
        <v>585.04</v>
      </c>
      <c r="H165" s="630"/>
      <c r="I165" s="591">
        <f t="shared" si="17"/>
        <v>0.72121212121212119</v>
      </c>
      <c r="J165" s="595">
        <f t="shared" si="17"/>
        <v>2.9999999999999936E-2</v>
      </c>
      <c r="L165" s="17">
        <f t="shared" si="14"/>
        <v>1</v>
      </c>
    </row>
    <row r="166" spans="1:12">
      <c r="A166" s="5" t="s">
        <v>201</v>
      </c>
      <c r="B166" s="92"/>
      <c r="C166" s="160">
        <f>IF(ISNA(VLOOKUP("GRE763100000",Balance!C:G,5,FALSE))=TRUE,0,VLOOKUP("GRE763100000",Balance!C:G,5,FALSE))</f>
        <v>0</v>
      </c>
      <c r="D166" s="117">
        <f>+[2]Grenoble!$H166</f>
        <v>0</v>
      </c>
      <c r="E166" s="160">
        <f>IF(ISNA(VLOOKUP("GRE763100000",Balanceanp!C:G,5,FALSE))=TRUE,0,VLOOKUP("GRE763100000",Balanceanp!C:G,5,FALSE))</f>
        <v>0</v>
      </c>
      <c r="F166" s="368">
        <f>+C166+C166/9*(12-Clients!$I$14)</f>
        <v>0</v>
      </c>
      <c r="G166" s="396">
        <f t="shared" si="18"/>
        <v>0</v>
      </c>
      <c r="H166" s="409"/>
      <c r="I166" s="149">
        <f t="shared" si="17"/>
        <v>0</v>
      </c>
      <c r="J166" s="271">
        <f t="shared" si="17"/>
        <v>0</v>
      </c>
      <c r="L166" s="17">
        <f t="shared" si="14"/>
        <v>0</v>
      </c>
    </row>
    <row r="167" spans="1:12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4"/>
        <v>0</v>
      </c>
    </row>
    <row r="168" spans="1:12" s="33" customFormat="1" ht="15" customHeight="1">
      <c r="A168" s="13" t="s">
        <v>74</v>
      </c>
      <c r="B168" s="596">
        <f>+C168/$C$21</f>
        <v>9.4118478200091657E-3</v>
      </c>
      <c r="C168" s="305">
        <f>SUM(C155:C167)</f>
        <v>14854.430000000002</v>
      </c>
      <c r="D168" s="312">
        <f>SUM(D155:D167)</f>
        <v>28576.044201486169</v>
      </c>
      <c r="E168" s="305">
        <f>SUM(E155:E167)</f>
        <v>10448.59</v>
      </c>
      <c r="F168" s="312">
        <f>SUM(F155:F167)</f>
        <v>19805.906666666666</v>
      </c>
      <c r="G168" s="312">
        <f>SUM(G155:G167)</f>
        <v>30230.676690900007</v>
      </c>
      <c r="H168" s="421">
        <f>+G168/$G$21</f>
        <v>1.4665012474877696E-2</v>
      </c>
      <c r="I168" s="598">
        <f>+IF((E168)=0,,(F168-E168)/E168)</f>
        <v>0.89555783762849017</v>
      </c>
      <c r="J168" s="599">
        <f>+IF((F168)=0,,(G168-F168)/F168)</f>
        <v>0.52634651872707372</v>
      </c>
      <c r="K168" s="136">
        <f>(C168+(C168/3))</f>
        <v>19805.906666666669</v>
      </c>
      <c r="L168" s="17">
        <f t="shared" si="14"/>
        <v>1</v>
      </c>
    </row>
    <row r="169" spans="1:12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4"/>
        <v>0</v>
      </c>
    </row>
    <row r="170" spans="1:12">
      <c r="A170" s="5" t="s">
        <v>167</v>
      </c>
      <c r="B170" s="92"/>
      <c r="C170" s="160">
        <f>IF(ISNA(VLOOKUP("GRE651100000",Balance!C:G,5,FALSE))=TRUE,0,VLOOKUP("GRE651100000",Balance!C:G,5,FALSE))</f>
        <v>0</v>
      </c>
      <c r="D170" s="117">
        <f>+[2]Grenoble!$H170</f>
        <v>0</v>
      </c>
      <c r="E170" s="160">
        <f>IF(ISNA(VLOOKUP("GRE651100000",Balanceanp!C:G,5,FALSE))=TRUE,0,VLOOKUP("GRE651100000",Balanceanp!C:G,5,FALSE))</f>
        <v>0</v>
      </c>
      <c r="F170" s="368">
        <f>+C170+C170/9*(12-Clients!$I$14)</f>
        <v>0</v>
      </c>
      <c r="G170" s="396">
        <f t="shared" ref="G170:G183" si="19">+F170*1.03</f>
        <v>0</v>
      </c>
      <c r="H170" s="409"/>
      <c r="I170" s="149">
        <f t="shared" ref="I170:J183" si="20">+IF((E170)=0,,(F170-E170)/E170)</f>
        <v>0</v>
      </c>
      <c r="J170" s="271">
        <f t="shared" si="20"/>
        <v>0</v>
      </c>
      <c r="L170" s="17">
        <f t="shared" si="14"/>
        <v>0</v>
      </c>
    </row>
    <row r="171" spans="1:12">
      <c r="A171" s="5" t="s">
        <v>168</v>
      </c>
      <c r="B171" s="92"/>
      <c r="C171" s="160">
        <f>IF(ISNA(VLOOKUP("GRE651600000",Balance!C:G,5,FALSE))=TRUE,0,VLOOKUP("GRE651600000",Balance!C:G,5,FALSE))</f>
        <v>0</v>
      </c>
      <c r="D171" s="117">
        <f>+[2]Grenoble!$H171</f>
        <v>0</v>
      </c>
      <c r="E171" s="160">
        <f>IF(ISNA(VLOOKUP("GRE651600000",Balanceanp!C:G,5,FALSE))=TRUE,0,VLOOKUP("GRE651600000",Balanceanp!C:G,5,FALSE))</f>
        <v>0</v>
      </c>
      <c r="F171" s="368">
        <f>+C171+C171/9*(12-Clients!$I$14)</f>
        <v>0</v>
      </c>
      <c r="G171" s="396">
        <f t="shared" si="19"/>
        <v>0</v>
      </c>
      <c r="H171" s="409"/>
      <c r="I171" s="149">
        <f t="shared" si="20"/>
        <v>0</v>
      </c>
      <c r="J171" s="271">
        <f t="shared" si="20"/>
        <v>0</v>
      </c>
      <c r="L171" s="17">
        <f t="shared" si="14"/>
        <v>0</v>
      </c>
    </row>
    <row r="172" spans="1:12">
      <c r="A172" s="5" t="s">
        <v>169</v>
      </c>
      <c r="B172" s="92"/>
      <c r="C172" s="160">
        <f>IF(ISNA(VLOOKUP("GRE671200000",Balance!C:G,5,FALSE))=TRUE,0,VLOOKUP("GRE671200000",Balance!C:G,5,FALSE))</f>
        <v>0</v>
      </c>
      <c r="D172" s="117">
        <f>+[2]Grenoble!$H172</f>
        <v>0</v>
      </c>
      <c r="E172" s="160">
        <f>IF(ISNA(VLOOKUP("GRE671200000",Balanceanp!C:G,5,FALSE))=TRUE,0,VLOOKUP("GRE671200000",Balanceanp!C:G,5,FALSE))</f>
        <v>0</v>
      </c>
      <c r="F172" s="368">
        <f>+C172+C172/9*(12-Clients!$I$14)</f>
        <v>0</v>
      </c>
      <c r="G172" s="396">
        <f t="shared" si="19"/>
        <v>0</v>
      </c>
      <c r="H172" s="409"/>
      <c r="I172" s="149">
        <f t="shared" si="20"/>
        <v>0</v>
      </c>
      <c r="J172" s="271">
        <f t="shared" si="20"/>
        <v>0</v>
      </c>
      <c r="L172" s="17">
        <f t="shared" si="14"/>
        <v>0</v>
      </c>
    </row>
    <row r="173" spans="1:12">
      <c r="A173" s="590" t="s">
        <v>170</v>
      </c>
      <c r="B173" s="591"/>
      <c r="C173" s="311">
        <f>IF(ISNA(VLOOKUP("GRE671800000",Balance!C:G,5,FALSE))=TRUE,0,VLOOKUP("GRE671800000",Balance!C:G,5,FALSE))</f>
        <v>290.75</v>
      </c>
      <c r="D173" s="592">
        <f>+[2]Grenoble!$H173</f>
        <v>2083.9681</v>
      </c>
      <c r="E173" s="311">
        <f>IF(ISNA(VLOOKUP("GRE671800000",Balanceanp!C:G,5,FALSE))=TRUE,0,VLOOKUP("GRE671800000",Balanceanp!C:G,5,FALSE))+IF(ISNA(VLOOKUP("GRE658000000",Balanceanp!C:G,5,FALSE))=TRUE,0,VLOOKUP("GRE658000000",Balanceanp!C:G,5,FALSE))</f>
        <v>2478.77</v>
      </c>
      <c r="F173" s="625">
        <f>+C173+C173/9*(12-Clients!$I$14)</f>
        <v>387.66666666666669</v>
      </c>
      <c r="G173" s="630">
        <f t="shared" si="19"/>
        <v>399.29666666666668</v>
      </c>
      <c r="H173" s="630"/>
      <c r="I173" s="591">
        <f t="shared" si="20"/>
        <v>-0.84360522893747036</v>
      </c>
      <c r="J173" s="595">
        <f t="shared" si="20"/>
        <v>2.9999999999999988E-2</v>
      </c>
      <c r="L173" s="17">
        <f t="shared" si="14"/>
        <v>1</v>
      </c>
    </row>
    <row r="174" spans="1:12">
      <c r="A174" s="5" t="s">
        <v>341</v>
      </c>
      <c r="B174" s="92"/>
      <c r="C174" s="160">
        <f>IF(ISNA(VLOOKUP("GRE672000000",Balance!C:G,5,FALSE))=TRUE,0,VLOOKUP("GRE672000000",Balance!C:G,5,FALSE))</f>
        <v>0</v>
      </c>
      <c r="D174" s="117">
        <f>+[2]Grenoble!$H174</f>
        <v>0</v>
      </c>
      <c r="E174" s="160">
        <f>IF(ISNA(VLOOKUP("GRE672000000",Balanceanp!C:G,5,FALSE))=TRUE,0,VLOOKUP("GRE672000000",Balanceanp!C:G,5,FALSE))</f>
        <v>0</v>
      </c>
      <c r="F174" s="368">
        <f>+C174+C174/9*(12-Clients!$I$14)</f>
        <v>0</v>
      </c>
      <c r="G174" s="396">
        <f t="shared" si="19"/>
        <v>0</v>
      </c>
      <c r="H174" s="409"/>
      <c r="I174" s="149">
        <f t="shared" si="20"/>
        <v>0</v>
      </c>
      <c r="J174" s="271">
        <f t="shared" si="20"/>
        <v>0</v>
      </c>
      <c r="L174" s="17">
        <f t="shared" si="14"/>
        <v>0</v>
      </c>
    </row>
    <row r="175" spans="1:12">
      <c r="A175" s="5" t="s">
        <v>308</v>
      </c>
      <c r="B175" s="92"/>
      <c r="C175" s="160">
        <f>IF(ISNA(VLOOKUP("GRE691100000",Balance!C:G,5,FALSE))=TRUE,0,VLOOKUP("GRE691100000",Balance!C:G,5,FALSE))</f>
        <v>0</v>
      </c>
      <c r="D175" s="117">
        <f>+[2]Grenoble!$H175</f>
        <v>0</v>
      </c>
      <c r="E175" s="160">
        <f>IF(ISNA(VLOOKUP("GRE691100000",Balanceanp!C:G,5,FALSE))=TRUE,0,VLOOKUP("GRE691100000",Balanceanp!C:G,5,FALSE))</f>
        <v>0</v>
      </c>
      <c r="F175" s="368">
        <f>+C175+C175/9*(12-Clients!$I$14)</f>
        <v>0</v>
      </c>
      <c r="G175" s="396">
        <f t="shared" si="19"/>
        <v>0</v>
      </c>
      <c r="H175" s="409"/>
      <c r="I175" s="149">
        <f t="shared" si="20"/>
        <v>0</v>
      </c>
      <c r="J175" s="271">
        <f t="shared" si="20"/>
        <v>0</v>
      </c>
      <c r="L175" s="17">
        <f t="shared" si="14"/>
        <v>0</v>
      </c>
    </row>
    <row r="176" spans="1:12">
      <c r="A176" s="5" t="s">
        <v>172</v>
      </c>
      <c r="B176" s="92"/>
      <c r="C176" s="160">
        <f>IF(ISNA(VLOOKUP("GRE675100000",Balance!C:G,5,FALSE))=TRUE,0,VLOOKUP("GRE675100000",Balance!C:G,5,FALSE))</f>
        <v>0</v>
      </c>
      <c r="D176" s="117">
        <f>+[2]Grenoble!$H176</f>
        <v>0</v>
      </c>
      <c r="E176" s="160">
        <f>IF(ISNA(VLOOKUP("GRE675100000",Balanceanp!C:G,5,FALSE))=TRUE,0,VLOOKUP("GRE675100000",Balanceanp!C:G,5,FALSE))</f>
        <v>0</v>
      </c>
      <c r="F176" s="368">
        <f>+C176+C176/9*(12-Clients!$I$14)</f>
        <v>0</v>
      </c>
      <c r="G176" s="396">
        <f t="shared" si="19"/>
        <v>0</v>
      </c>
      <c r="H176" s="409"/>
      <c r="I176" s="149">
        <f t="shared" si="20"/>
        <v>0</v>
      </c>
      <c r="J176" s="271">
        <f t="shared" si="20"/>
        <v>0</v>
      </c>
      <c r="L176" s="17">
        <f t="shared" si="14"/>
        <v>0</v>
      </c>
    </row>
    <row r="177" spans="1:12">
      <c r="A177" s="5" t="s">
        <v>173</v>
      </c>
      <c r="B177" s="92"/>
      <c r="C177" s="160">
        <f>IF(ISNA(VLOOKUP("GRE675200000",Balance!C:G,5,FALSE))=TRUE,0,VLOOKUP("GRE675200000",Balance!C:G,5,FALSE))</f>
        <v>0</v>
      </c>
      <c r="D177" s="117">
        <f>+[2]Grenoble!$H177</f>
        <v>0</v>
      </c>
      <c r="E177" s="160">
        <f>IF(ISNA(VLOOKUP("GRE675200000",Balanceanp!C:G,5,FALSE))=TRUE,0,VLOOKUP("GRE675200000",Balanceanp!C:G,5,FALSE))</f>
        <v>0</v>
      </c>
      <c r="F177" s="368">
        <f>+C177+C177/9*(12-Clients!$I$14)</f>
        <v>0</v>
      </c>
      <c r="G177" s="396">
        <f t="shared" si="19"/>
        <v>0</v>
      </c>
      <c r="H177" s="409"/>
      <c r="I177" s="149">
        <f t="shared" si="20"/>
        <v>0</v>
      </c>
      <c r="J177" s="271">
        <f t="shared" si="20"/>
        <v>0</v>
      </c>
      <c r="L177" s="17">
        <f t="shared" si="14"/>
        <v>0</v>
      </c>
    </row>
    <row r="178" spans="1:12">
      <c r="A178" s="5" t="s">
        <v>174</v>
      </c>
      <c r="B178" s="92"/>
      <c r="C178" s="160">
        <f>IF(ISNA(VLOOKUP("GRE681110000",Balance!C:G,5,FALSE))=TRUE,0,VLOOKUP("GRE681110000",Balance!C:G,5,FALSE))</f>
        <v>0</v>
      </c>
      <c r="D178" s="117">
        <f>+[2]Grenoble!$H178</f>
        <v>0</v>
      </c>
      <c r="E178" s="160">
        <f>IF(ISNA(VLOOKUP("GRE681110000",Balanceanp!C:G,5,FALSE))=TRUE,0,VLOOKUP("GRE681110000",Balanceanp!C:G,5,FALSE))</f>
        <v>0</v>
      </c>
      <c r="F178" s="368">
        <f>+C178+C178/9*(12-Clients!$I$14)</f>
        <v>0</v>
      </c>
      <c r="G178" s="396">
        <f t="shared" si="19"/>
        <v>0</v>
      </c>
      <c r="H178" s="409"/>
      <c r="I178" s="149">
        <f t="shared" si="20"/>
        <v>0</v>
      </c>
      <c r="J178" s="271">
        <f t="shared" si="20"/>
        <v>0</v>
      </c>
      <c r="L178" s="17">
        <f t="shared" si="14"/>
        <v>0</v>
      </c>
    </row>
    <row r="179" spans="1:12">
      <c r="A179" s="590" t="s">
        <v>175</v>
      </c>
      <c r="B179" s="591"/>
      <c r="C179" s="311">
        <f>IF(ISNA(VLOOKUP("GRE681120000",Balance!C:G,5,FALSE))=TRUE,0,VLOOKUP("GRE681120000",Balance!C:G,5,FALSE))</f>
        <v>7200</v>
      </c>
      <c r="D179" s="592">
        <f>+[2]Grenoble!$H179</f>
        <v>9600</v>
      </c>
      <c r="E179" s="311">
        <f>IF(ISNA(VLOOKUP("GRE681120000",Balanceanp!C:G,5,FALSE))=TRUE,0,VLOOKUP("GRE681120000",Balanceanp!C:G,5,FALSE))</f>
        <v>12214.3</v>
      </c>
      <c r="F179" s="620">
        <v>8919.51</v>
      </c>
      <c r="G179" s="637">
        <f>7211.72+500+G255/10</f>
        <v>10161.720000000001</v>
      </c>
      <c r="H179" s="632"/>
      <c r="I179" s="591">
        <f t="shared" si="20"/>
        <v>-0.26974857339348135</v>
      </c>
      <c r="J179" s="595">
        <f t="shared" si="20"/>
        <v>0.13926886118183632</v>
      </c>
      <c r="L179" s="17">
        <f t="shared" si="14"/>
        <v>1</v>
      </c>
    </row>
    <row r="180" spans="1:12">
      <c r="A180" s="590" t="s">
        <v>78</v>
      </c>
      <c r="B180" s="591"/>
      <c r="C180" s="311">
        <f>IF(ISNA(VLOOKUP("GRE687250000",Balance!C:G,5,FALSE))=TRUE,0,+VLOOKUP("GRE687250000",Balance!C:G,5,FALSE))</f>
        <v>0</v>
      </c>
      <c r="D180" s="592">
        <f>+[2]Grenoble!$H180</f>
        <v>0</v>
      </c>
      <c r="E180" s="311">
        <f>IF(ISNA(VLOOKUP("GRE687250000",Balanceanp!C:G,5,FALSE))=TRUE,0,+VLOOKUP("GRE687250000",Balanceanp!C:G,5,FALSE))</f>
        <v>417.72</v>
      </c>
      <c r="F180" s="625">
        <f>+C180+C180/9*(12-Clients!$I$14)</f>
        <v>0</v>
      </c>
      <c r="G180" s="630">
        <f t="shared" si="19"/>
        <v>0</v>
      </c>
      <c r="H180" s="630"/>
      <c r="I180" s="591">
        <f t="shared" si="20"/>
        <v>-1</v>
      </c>
      <c r="J180" s="595">
        <f t="shared" si="20"/>
        <v>0</v>
      </c>
      <c r="L180" s="17">
        <f t="shared" si="14"/>
        <v>1</v>
      </c>
    </row>
    <row r="181" spans="1:12">
      <c r="A181" s="5" t="s">
        <v>327</v>
      </c>
      <c r="B181" s="92"/>
      <c r="C181" s="160">
        <f>IF(ISNA(VLOOKUP("GRE661880000",Balance!C:G,5,FALSE))=TRUE,0,+VLOOKUP("GRE661880000",Balance!C:G,5,FALSE))</f>
        <v>0</v>
      </c>
      <c r="D181" s="117">
        <f>+[2]Grenoble!$H181</f>
        <v>0</v>
      </c>
      <c r="E181" s="160">
        <f>IF(ISNA(VLOOKUP("GRE661880000",Balanceanp!C:G,5,FALSE))=TRUE,0,+VLOOKUP("GRE661880000",Balanceanp!C:G,5,FALSE))</f>
        <v>0</v>
      </c>
      <c r="F181" s="368">
        <f>+C181+C181/9*(12-Clients!$I$14)</f>
        <v>0</v>
      </c>
      <c r="G181" s="396">
        <f t="shared" si="19"/>
        <v>0</v>
      </c>
      <c r="H181" s="409"/>
      <c r="I181" s="149">
        <f t="shared" si="20"/>
        <v>0</v>
      </c>
      <c r="J181" s="271">
        <f t="shared" si="20"/>
        <v>0</v>
      </c>
      <c r="L181" s="17">
        <f t="shared" si="14"/>
        <v>0</v>
      </c>
    </row>
    <row r="182" spans="1:12">
      <c r="A182" s="5" t="s">
        <v>82</v>
      </c>
      <c r="B182" s="92"/>
      <c r="C182" s="160"/>
      <c r="D182" s="117">
        <f>+[2]Grenoble!$H182</f>
        <v>0</v>
      </c>
      <c r="E182" s="160"/>
      <c r="F182" s="368">
        <f>+C182+C182/9*(12-Clients!$I$14)</f>
        <v>0</v>
      </c>
      <c r="G182" s="396">
        <f t="shared" si="19"/>
        <v>0</v>
      </c>
      <c r="H182" s="409"/>
      <c r="I182" s="149">
        <f t="shared" si="20"/>
        <v>0</v>
      </c>
      <c r="J182" s="271">
        <f t="shared" si="20"/>
        <v>0</v>
      </c>
      <c r="L182" s="17">
        <f t="shared" si="14"/>
        <v>0</v>
      </c>
    </row>
    <row r="183" spans="1:12">
      <c r="A183" s="590" t="s">
        <v>331</v>
      </c>
      <c r="B183" s="591"/>
      <c r="C183" s="311">
        <f>IF(ISNA(VLOOKUP("gre681500000",Balance!C:G,5,FALSE))=TRUE,0,VLOOKUP("gre681500000",Balance!C:G,5,FALSE))</f>
        <v>0</v>
      </c>
      <c r="D183" s="592">
        <f>+[2]Grenoble!$H183</f>
        <v>0</v>
      </c>
      <c r="E183" s="311">
        <f>IF(ISNA(VLOOKUP("gre681500000",Balanceanp!C:G,5,FALSE))=TRUE,0,VLOOKUP("gre681500000",Balanceanp!C:G,5,FALSE))</f>
        <v>1200</v>
      </c>
      <c r="F183" s="625">
        <f>+C183+C183/9*(12-Clients!$I$14)</f>
        <v>0</v>
      </c>
      <c r="G183" s="630">
        <f t="shared" si="19"/>
        <v>0</v>
      </c>
      <c r="H183" s="630"/>
      <c r="I183" s="591">
        <f t="shared" si="20"/>
        <v>-1</v>
      </c>
      <c r="J183" s="595">
        <f t="shared" si="20"/>
        <v>0</v>
      </c>
      <c r="L183" s="17">
        <f t="shared" si="14"/>
        <v>1</v>
      </c>
    </row>
    <row r="184" spans="1:12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4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7490.75</v>
      </c>
      <c r="D185" s="312">
        <f>SUM(D169:D184)</f>
        <v>11683.9681</v>
      </c>
      <c r="E185" s="312">
        <f>SUM(E169:E184)</f>
        <v>16310.789999999999</v>
      </c>
      <c r="F185" s="312">
        <f>SUM(F169:F184)</f>
        <v>9307.1766666666663</v>
      </c>
      <c r="G185" s="312">
        <f>SUM(G169:G184)</f>
        <v>10561.016666666668</v>
      </c>
      <c r="H185" s="421"/>
      <c r="I185" s="598">
        <f>+IF((E185)=0,,(F185-E185)/E185)</f>
        <v>-0.42938529239438022</v>
      </c>
      <c r="J185" s="599">
        <f>+IF((F185)=0,,(G185-F185)/F185)</f>
        <v>0.13471754592244789</v>
      </c>
      <c r="K185" s="136">
        <f>(C185+(C185/3))</f>
        <v>9987.6666666666661</v>
      </c>
      <c r="L185" s="17">
        <f t="shared" si="14"/>
        <v>1</v>
      </c>
    </row>
    <row r="186" spans="1:12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4"/>
        <v>0</v>
      </c>
    </row>
    <row r="187" spans="1:12">
      <c r="A187" s="5" t="s">
        <v>179</v>
      </c>
      <c r="B187" s="92"/>
      <c r="C187" s="160">
        <f>IF(ISNA(VLOOKUP("GRE740000000",Balance!C:G,5,FALSE))=TRUE,0,-VLOOKUP("GRE740000000",Balance!C:G,5,FALSE))</f>
        <v>0</v>
      </c>
      <c r="D187" s="117">
        <f>+[2]Grenoble!$H187</f>
        <v>0</v>
      </c>
      <c r="E187" s="160">
        <f>IF(ISNA(VLOOKUP("GRE740000000",Balanceanp!C:G,5,FALSE))=TRUE,0,-VLOOKUP("GRE740000000",Balanceanp!C:G,5,FALSE))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1">+IF((E187)=0,,(F187-E187)/E187)</f>
        <v>0</v>
      </c>
      <c r="J187" s="271">
        <f t="shared" si="21"/>
        <v>0</v>
      </c>
      <c r="L187" s="17">
        <f t="shared" si="14"/>
        <v>0</v>
      </c>
    </row>
    <row r="188" spans="1:12">
      <c r="A188" s="5" t="s">
        <v>167</v>
      </c>
      <c r="B188" s="92"/>
      <c r="C188" s="160">
        <f>IF(ISNA(VLOOKUP("GRE751100000",Balance!C:G,5,FALSE))=TRUE,0,-VLOOKUP("GRE751100000",Balance!C:G,5,FALSE))</f>
        <v>0</v>
      </c>
      <c r="D188" s="117">
        <f>+[2]Grenoble!$H188</f>
        <v>0</v>
      </c>
      <c r="E188" s="160">
        <f>IF(ISNA(VLOOKUP("GRE751100000",Balanceanp!C:G,5,FALSE))=TRUE,0,-VLOOKUP("GRE751100000",Balanceanp!C:G,5,FALSE))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1"/>
        <v>0</v>
      </c>
      <c r="J188" s="271">
        <f t="shared" si="21"/>
        <v>0</v>
      </c>
      <c r="L188" s="17">
        <f t="shared" si="14"/>
        <v>0</v>
      </c>
    </row>
    <row r="189" spans="1:12">
      <c r="A189" s="5" t="s">
        <v>180</v>
      </c>
      <c r="B189" s="92"/>
      <c r="C189" s="160">
        <f>IF(ISNA(VLOOKUP("GRE758100000",Balance!C:G,5,FALSE))=TRUE,0,-VLOOKUP("GRE758100000",Balance!C:G,5,FALSE))</f>
        <v>5376.65</v>
      </c>
      <c r="D189" s="117">
        <f>+[2]Grenoble!$H189</f>
        <v>0</v>
      </c>
      <c r="E189" s="160">
        <f>IF(ISNA(VLOOKUP("GRE758100000",Balanceanp!C:G,5,FALSE))=TRUE,0,-VLOOKUP("GRE758100000",Balanceanp!C:G,5,FALSE))</f>
        <v>3792.87</v>
      </c>
      <c r="F189" s="368">
        <f>+C189+C189/9*(12-Clients!$I$14)</f>
        <v>7168.8666666666668</v>
      </c>
      <c r="G189" s="368">
        <v>0</v>
      </c>
      <c r="H189" s="410"/>
      <c r="I189" s="149">
        <f t="shared" si="21"/>
        <v>0.89009026585848372</v>
      </c>
      <c r="J189" s="271">
        <f t="shared" si="21"/>
        <v>-1</v>
      </c>
      <c r="L189" s="17">
        <v>0</v>
      </c>
    </row>
    <row r="190" spans="1:12">
      <c r="A190" s="5" t="s">
        <v>181</v>
      </c>
      <c r="B190" s="92"/>
      <c r="C190" s="160">
        <f>IF(ISNA(VLOOKUP("GRE763800000",Balance!C:G,5,FALSE))=TRUE,0,-VLOOKUP("GRE763800000",Balance!C:G,5,FALSE))</f>
        <v>0</v>
      </c>
      <c r="D190" s="117">
        <f>+[2]Grenoble!$H190</f>
        <v>0</v>
      </c>
      <c r="E190" s="160">
        <f>IF(ISNA(VLOOKUP("GRE763800000",Balanceanp!C:G,5,FALSE))=TRUE,0,-VLOOKUP("GRE763800000",Balanceanp!C:G,5,FALSE))+IF(ISNA(VLOOKUP("GRE763110000",Balanceanp!C:G,5,FALSE))=TRUE,0,-VLOOKUP("GRE763110000",Balanceanp!C:G,5,FALSE))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1"/>
        <v>0</v>
      </c>
      <c r="J190" s="271">
        <f t="shared" si="21"/>
        <v>0</v>
      </c>
      <c r="L190" s="17">
        <f t="shared" si="14"/>
        <v>0</v>
      </c>
    </row>
    <row r="191" spans="1:12">
      <c r="A191" s="5" t="s">
        <v>182</v>
      </c>
      <c r="B191" s="92"/>
      <c r="C191" s="160">
        <f>IF(ISNA(VLOOKUP("GRE765000000",Balance!C:G,5,FALSE))=TRUE,0,-VLOOKUP("GRE765000000",Balance!C:G,5,FALSE))</f>
        <v>0</v>
      </c>
      <c r="D191" s="117">
        <f>+[2]Grenoble!$H191</f>
        <v>0</v>
      </c>
      <c r="E191" s="160">
        <f>IF(ISNA(VLOOKUP("GRE765000000",Balanceanp!C:G,5,FALSE))=TRUE,0,-VLOOKUP("GRE765000000",Balanceanp!C:G,5,FALSE))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1"/>
        <v>0</v>
      </c>
      <c r="J191" s="271">
        <f t="shared" si="21"/>
        <v>0</v>
      </c>
      <c r="L191" s="17">
        <f t="shared" si="14"/>
        <v>0</v>
      </c>
    </row>
    <row r="192" spans="1:12">
      <c r="A192" s="5" t="s">
        <v>183</v>
      </c>
      <c r="B192" s="92"/>
      <c r="C192" s="160">
        <f>IF(ISNA(VLOOKUP("GRE771400000",Balance!C:G,5,FALSE))=TRUE,0,-VLOOKUP("GRE771400000",Balance!C:G,5,FALSE))</f>
        <v>0</v>
      </c>
      <c r="D192" s="117">
        <f>+[2]Grenoble!$H192</f>
        <v>0</v>
      </c>
      <c r="E192" s="160">
        <f>IF(ISNA(VLOOKUP("GRE771400000",Balanceanp!C:G,5,FALSE))=TRUE,0,-VLOOKUP("GRE771400000",Balanceanp!C:G,5,FALSE))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1"/>
        <v>0</v>
      </c>
      <c r="J192" s="271">
        <f t="shared" si="21"/>
        <v>0</v>
      </c>
      <c r="L192" s="17">
        <f t="shared" si="14"/>
        <v>0</v>
      </c>
    </row>
    <row r="193" spans="1:12">
      <c r="A193" s="5" t="s">
        <v>184</v>
      </c>
      <c r="B193" s="92"/>
      <c r="C193" s="160">
        <f>IF(ISNA(VLOOKUP("GRE771800000",Balance!C:G,5,FALSE))=TRUE,0,-VLOOKUP("GRE771800000",Balance!C:G,5,FALSE))</f>
        <v>94.01</v>
      </c>
      <c r="D193" s="117">
        <f>+[2]Grenoble!$H193</f>
        <v>0</v>
      </c>
      <c r="E193" s="160">
        <f>IF(ISNA(VLOOKUP("GRE771800000",Balanceanp!C:G,5,FALSE))=TRUE,0,-VLOOKUP("GRE771800000",Balanceanp!C:G,5,FALSE))</f>
        <v>14337.48</v>
      </c>
      <c r="F193" s="368">
        <f>+C193+C193/9*(12-Clients!$I$14)</f>
        <v>125.34666666666666</v>
      </c>
      <c r="G193" s="368">
        <v>0</v>
      </c>
      <c r="H193" s="410"/>
      <c r="I193" s="149">
        <f t="shared" si="21"/>
        <v>-0.99125741297168912</v>
      </c>
      <c r="J193" s="271">
        <f t="shared" si="21"/>
        <v>-1</v>
      </c>
      <c r="L193" s="17">
        <v>0</v>
      </c>
    </row>
    <row r="194" spans="1:12">
      <c r="A194" s="5" t="s">
        <v>185</v>
      </c>
      <c r="B194" s="92"/>
      <c r="C194" s="160">
        <f>IF(ISNA(VLOOKUP("GRE758000000",Balance!C:G,5,FALSE))=TRUE,0,-VLOOKUP("GRE758000000",Balance!C:G,5,FALSE))</f>
        <v>0</v>
      </c>
      <c r="D194" s="117">
        <f>+[2]Grenoble!$H194</f>
        <v>0</v>
      </c>
      <c r="E194" s="160">
        <f>IF(ISNA(VLOOKUP("GRE758000000",Balanceanp!C:G,5,FALSE))=TRUE,0,-VLOOKUP("GRE758000000",Balanceanp!C:G,5,FALSE))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1"/>
        <v>0</v>
      </c>
      <c r="J194" s="271">
        <f t="shared" si="21"/>
        <v>0</v>
      </c>
      <c r="L194" s="17">
        <v>0</v>
      </c>
    </row>
    <row r="195" spans="1:12">
      <c r="A195" s="5" t="s">
        <v>186</v>
      </c>
      <c r="B195" s="92"/>
      <c r="C195" s="160">
        <f>IF(ISNA(VLOOKUP("GRE775100000",Balance!C:G,5,FALSE))=TRUE,0,-VLOOKUP("GRE775100000",Balance!C:G,5,FALSE))</f>
        <v>0</v>
      </c>
      <c r="D195" s="117">
        <f>+[2]Grenoble!$H195</f>
        <v>0</v>
      </c>
      <c r="E195" s="160">
        <f>IF(ISNA(VLOOKUP("GRE775100000",Balanceanp!C:G,5,FALSE))=TRUE,0,-VLOOKUP("GRE775100000",Balanceanp!C:G,5,FALSE))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1"/>
        <v>0</v>
      </c>
      <c r="J195" s="271">
        <f t="shared" si="21"/>
        <v>0</v>
      </c>
      <c r="L195" s="17">
        <f t="shared" si="14"/>
        <v>0</v>
      </c>
    </row>
    <row r="196" spans="1:12">
      <c r="A196" s="5" t="s">
        <v>187</v>
      </c>
      <c r="B196" s="92"/>
      <c r="C196" s="160">
        <f>IF(ISNA(VLOOKUP("GRE775200000",Balance!C:G,5,FALSE))=TRUE,0,-VLOOKUP("GRE775200000",Balance!C:G,5,FALSE))</f>
        <v>0</v>
      </c>
      <c r="D196" s="117">
        <f>+[2]Grenoble!$H196</f>
        <v>0</v>
      </c>
      <c r="E196" s="160">
        <f>IF(ISNA(VLOOKUP("GRE775200000",Balanceanp!C:G,5,FALSE))=TRUE,0,-VLOOKUP("GRE775200000",Balanceanp!C:G,5,FALSE))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1"/>
        <v>0</v>
      </c>
      <c r="J196" s="271">
        <f t="shared" si="21"/>
        <v>0</v>
      </c>
      <c r="L196" s="17">
        <f t="shared" si="14"/>
        <v>0</v>
      </c>
    </row>
    <row r="197" spans="1:12">
      <c r="A197" s="590" t="s">
        <v>328</v>
      </c>
      <c r="B197" s="591"/>
      <c r="C197" s="311">
        <f>IF(ISNA(VLOOKUP("GRE791000000",Balance!C:G,5,FALSE))=TRUE,0,-VLOOKUP("GRE791000000",Balance!C:G,5,FALSE))+IF(ISNA(VLOOKUP("GRE791600000",Balance!C:G,5,FALSE))=TRUE,0,-VLOOKUP("GRE791600000",Balance!C:G,5,FALSE))</f>
        <v>0</v>
      </c>
      <c r="D197" s="592">
        <f>+[2]Grenoble!$H197</f>
        <v>0</v>
      </c>
      <c r="E197" s="311">
        <f>IF(ISNA(VLOOKUP("GRE791000000",Balanceanp!C:G,5,FALSE))=TRUE,0,-VLOOKUP("GRE791000000",Balanceanp!C:G,5,FALSE))++IF(ISNA(VLOOKUP("GRE791600000",Balanceanp!C:G,5,FALSE))=TRUE,0,-VLOOKUP("GRE791600000",Balanceanp!C:G,5,FALSE))</f>
        <v>74.91</v>
      </c>
      <c r="F197" s="625">
        <f>+C197+C197/9*(12-Clients!$I$14)</f>
        <v>0</v>
      </c>
      <c r="G197" s="625">
        <v>0</v>
      </c>
      <c r="H197" s="625"/>
      <c r="I197" s="591">
        <f t="shared" si="21"/>
        <v>-1</v>
      </c>
      <c r="J197" s="595">
        <f t="shared" si="21"/>
        <v>0</v>
      </c>
      <c r="L197" s="17">
        <f t="shared" si="14"/>
        <v>1</v>
      </c>
    </row>
    <row r="198" spans="1:12">
      <c r="A198" s="5" t="s">
        <v>344</v>
      </c>
      <c r="B198" s="92"/>
      <c r="C198" s="160">
        <f>IF(ISNA(VLOOKUP("gre781500000",Balance!C:G,5,FALSE))=TRUE,0,-VLOOKUP("gre781500000",Balance!C:G,5,FALSE))</f>
        <v>1200</v>
      </c>
      <c r="D198" s="117">
        <f>+[2]Grenoble!$H198</f>
        <v>0</v>
      </c>
      <c r="E198" s="160">
        <f>IF(ISNA(VLOOKUP("gre781500000",Balanceanp!C:G,5,FALSE))=TRUE,0,-VLOOKUP("gre781500000",Balanceanp!C:G,5,FALSE))</f>
        <v>0</v>
      </c>
      <c r="F198" s="368">
        <f>+C198+C198/9*(12-Clients!$I$14)</f>
        <v>1600</v>
      </c>
      <c r="G198" s="368">
        <v>0</v>
      </c>
      <c r="H198" s="410"/>
      <c r="I198" s="149">
        <f t="shared" si="21"/>
        <v>0</v>
      </c>
      <c r="J198" s="271">
        <f t="shared" si="21"/>
        <v>-1</v>
      </c>
      <c r="L198" s="17">
        <v>0</v>
      </c>
    </row>
    <row r="199" spans="1:12">
      <c r="A199" s="5" t="s">
        <v>77</v>
      </c>
      <c r="B199" s="92"/>
      <c r="C199" s="160">
        <f>IF(ISNA(VLOOKUP("GRE787250000",Balance!C:G,5,FALSE))=TRUE,0,-VLOOKUP("GRE787250000",Balance!C:G,5,FALSE))</f>
        <v>0</v>
      </c>
      <c r="D199" s="117">
        <f>+[2]Grenoble!$H199</f>
        <v>0</v>
      </c>
      <c r="E199" s="160">
        <f>IF(ISNA(VLOOKUP("GRE787250000",Balanceanp!C:G,5,FALSE))=TRUE,0,-VLOOKUP("GRE787250000",Balanceanp!C:G,5,FALSE))</f>
        <v>2967.53</v>
      </c>
      <c r="F199" s="368">
        <f>+C199+C199/9*(12-Clients!$I$14)</f>
        <v>0</v>
      </c>
      <c r="G199" s="368">
        <v>0</v>
      </c>
      <c r="H199" s="410"/>
      <c r="I199" s="149">
        <f t="shared" si="21"/>
        <v>-1</v>
      </c>
      <c r="J199" s="271">
        <f t="shared" si="21"/>
        <v>0</v>
      </c>
      <c r="L199" s="17">
        <v>0</v>
      </c>
    </row>
    <row r="200" spans="1:12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2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6670.66</v>
      </c>
      <c r="D201" s="312">
        <f>SUM(D186:D200)</f>
        <v>0</v>
      </c>
      <c r="E201" s="305">
        <f>SUM(E186:E200)</f>
        <v>21172.789999999997</v>
      </c>
      <c r="F201" s="312">
        <f>SUM(F186:F200)</f>
        <v>8894.2133333333331</v>
      </c>
      <c r="G201" s="312">
        <f>SUM(G186:G200)</f>
        <v>0</v>
      </c>
      <c r="H201" s="421"/>
      <c r="I201" s="598">
        <f>+IF((E201)=0,,(F201-E201)/E201)</f>
        <v>-0.57992246967294658</v>
      </c>
      <c r="J201" s="599">
        <f>+IF((F201)=0,,(G201-F201)/F201)</f>
        <v>-1</v>
      </c>
      <c r="K201" s="136">
        <f>(C201+(C201/3))</f>
        <v>8894.2133333333331</v>
      </c>
      <c r="L201" s="17">
        <f t="shared" si="22"/>
        <v>1</v>
      </c>
    </row>
    <row r="202" spans="1:12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2"/>
        <v>0</v>
      </c>
    </row>
    <row r="203" spans="1:12" s="33" customFormat="1" ht="15" customHeight="1">
      <c r="A203" s="14" t="s">
        <v>189</v>
      </c>
      <c r="B203" s="363">
        <f>+C203/$C$21</f>
        <v>0.24342231213083571</v>
      </c>
      <c r="C203" s="313">
        <f>+C103+C116+C129+C154+C168+C185-C201</f>
        <v>384185.94999999995</v>
      </c>
      <c r="D203" s="641">
        <f>+D103+D116+D129+D154+D168+D185-D201</f>
        <v>540922.01917517825</v>
      </c>
      <c r="E203" s="313">
        <f>+E103+E116+E129+E154+E168+E185-E201</f>
        <v>512796.70832000003</v>
      </c>
      <c r="F203" s="641">
        <f>+F103+F116+F129+F154+F168+F185-F201</f>
        <v>504582.18</v>
      </c>
      <c r="G203" s="641">
        <f>+G103+G116+G129+G154+G168+G185-G201</f>
        <v>524772.12931161385</v>
      </c>
      <c r="H203" s="422">
        <f>+G203/$G$21</f>
        <v>0.25456889045224462</v>
      </c>
      <c r="I203" s="643">
        <f>+IF((E203)=0,,(F203-E203)/E203)</f>
        <v>-1.6019073809798983E-2</v>
      </c>
      <c r="J203" s="644">
        <f>+IF((F203)=0,,(G203-F203)/F203)</f>
        <v>4.001320322412865E-2</v>
      </c>
      <c r="K203" s="145">
        <f>+K103+K116+K129+K154+K168+K185-K201</f>
        <v>512247.93333333329</v>
      </c>
      <c r="L203" s="17">
        <f t="shared" si="22"/>
        <v>1</v>
      </c>
    </row>
    <row r="204" spans="1:12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2"/>
        <v>0</v>
      </c>
    </row>
    <row r="205" spans="1:12" s="33" customFormat="1" ht="15" customHeight="1">
      <c r="A205" s="12" t="s">
        <v>228</v>
      </c>
      <c r="B205" s="366">
        <f>+C205/$C$21</f>
        <v>0.12197501028420851</v>
      </c>
      <c r="C205" s="314">
        <f>+C62-C203</f>
        <v>192509.40800000005</v>
      </c>
      <c r="D205" s="645">
        <f>+D62-D203</f>
        <v>190508.98082482175</v>
      </c>
      <c r="E205" s="314">
        <f>+E53-E203</f>
        <v>281222.47328000021</v>
      </c>
      <c r="F205" s="645">
        <f>+F62-F203</f>
        <v>253492.9392487866</v>
      </c>
      <c r="G205" s="645">
        <f>+G62-G203</f>
        <v>227088.14793108485</v>
      </c>
      <c r="H205" s="406">
        <f>+G205/$G$21</f>
        <v>0.11016129596955725</v>
      </c>
      <c r="I205" s="647">
        <f>+IF((E205)=0,,(F205-E205)/E205)</f>
        <v>-9.8603549381363259E-2</v>
      </c>
      <c r="J205" s="648">
        <f>+IF((F205)=0,,(G205-F205)/F205)</f>
        <v>-0.10416381377702669</v>
      </c>
      <c r="L205" s="17">
        <f t="shared" si="22"/>
        <v>1</v>
      </c>
    </row>
    <row r="206" spans="1:12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2"/>
        <v>0</v>
      </c>
    </row>
    <row r="207" spans="1:12" ht="15" customHeight="1">
      <c r="A207" s="63" t="s">
        <v>251</v>
      </c>
      <c r="B207" s="649">
        <f>+C207/$C$21</f>
        <v>2.675330287880143E-3</v>
      </c>
      <c r="C207" s="650">
        <f>+[2]Grenoble!$C207</f>
        <v>4222.391526954877</v>
      </c>
      <c r="D207" s="315">
        <f>+[2]Grenoble!$H207</f>
        <v>11954.164888888827</v>
      </c>
      <c r="E207" s="315">
        <f>+[1]Grenoble!$G$207</f>
        <v>4956.1477656273182</v>
      </c>
      <c r="F207" s="315">
        <f>+Repart!K23</f>
        <v>5603.539557196993</v>
      </c>
      <c r="G207" s="315">
        <f>+Repart!Q23</f>
        <v>7802.8735947064988</v>
      </c>
      <c r="H207" s="423">
        <f>+G207/$G$21</f>
        <v>3.785202685876691E-3</v>
      </c>
      <c r="I207" s="643">
        <f>+IF((E207)=0,,(F207-E207)/E207)</f>
        <v>0.13062398907061884</v>
      </c>
      <c r="J207" s="644">
        <f>+IF((F207)=0,,(G207-F207)/F207)</f>
        <v>0.39249014217892991</v>
      </c>
      <c r="L207" s="17">
        <f t="shared" si="22"/>
        <v>1</v>
      </c>
    </row>
    <row r="208" spans="1:12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2"/>
        <v>0</v>
      </c>
    </row>
    <row r="209" spans="1:12" s="33" customFormat="1" ht="15" customHeight="1">
      <c r="A209" s="12" t="s">
        <v>190</v>
      </c>
      <c r="B209" s="366">
        <f>+C209/$C$21</f>
        <v>0.11929967999632836</v>
      </c>
      <c r="C209" s="314">
        <f>+C205-C207</f>
        <v>188287.01647304517</v>
      </c>
      <c r="D209" s="645">
        <f>+D205-D207</f>
        <v>178554.81593593291</v>
      </c>
      <c r="E209" s="314">
        <f>+E205-E207</f>
        <v>276266.3255143729</v>
      </c>
      <c r="F209" s="645">
        <f>+F205-F207</f>
        <v>247889.39969158961</v>
      </c>
      <c r="G209" s="645">
        <f>+G205-G207</f>
        <v>219285.27433637835</v>
      </c>
      <c r="H209" s="406">
        <f>+G209/$G$21</f>
        <v>0.10637609328368056</v>
      </c>
      <c r="I209" s="647">
        <f>+IF((E209)=0,,(F209-E209)/E209)</f>
        <v>-0.10271583324514506</v>
      </c>
      <c r="J209" s="648">
        <f>+IF((F209)=0,,(G209-F209)/F209)</f>
        <v>-0.1153906758046086</v>
      </c>
      <c r="L209" s="17">
        <f t="shared" si="22"/>
        <v>1</v>
      </c>
    </row>
    <row r="210" spans="1:12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2"/>
        <v>0</v>
      </c>
    </row>
    <row r="211" spans="1:12">
      <c r="A211" s="590" t="s">
        <v>191</v>
      </c>
      <c r="B211" s="591">
        <f>+C211/$C$21</f>
        <v>4.1406511717533871E-3</v>
      </c>
      <c r="C211" s="311">
        <f>+[2]Grenoble!$C211</f>
        <v>6535.0624193548392</v>
      </c>
      <c r="D211" s="592">
        <f>+[2]Grenoble!$H211</f>
        <v>9026.0372215405096</v>
      </c>
      <c r="E211" s="311">
        <f>+[1]Grenoble!$G211</f>
        <v>8095.0860719999991</v>
      </c>
      <c r="F211" s="625">
        <f>+Repart!I23</f>
        <v>8997.9607634408567</v>
      </c>
      <c r="G211" s="625">
        <f>+Repart!O23</f>
        <v>9644.6846793104778</v>
      </c>
      <c r="H211" s="625"/>
      <c r="I211" s="591">
        <f t="shared" ref="I211:J213" si="23">+IF((E211)=0,,(F211-E211)/E211)</f>
        <v>0.11153367405984731</v>
      </c>
      <c r="J211" s="595">
        <f t="shared" si="23"/>
        <v>7.1874498330476308E-2</v>
      </c>
      <c r="L211" s="17">
        <f t="shared" si="22"/>
        <v>1</v>
      </c>
    </row>
    <row r="212" spans="1:12">
      <c r="A212" s="590" t="s">
        <v>192</v>
      </c>
      <c r="B212" s="591">
        <f>+C212/$C$21</f>
        <v>3.8496590790377268E-2</v>
      </c>
      <c r="C212" s="311">
        <f>+[2]Grenoble!$C212</f>
        <v>60757.985474285641</v>
      </c>
      <c r="D212" s="592">
        <f>+[2]Grenoble!$H212</f>
        <v>75718.412097925044</v>
      </c>
      <c r="E212" s="311">
        <f>+[1]Grenoble!$G212</f>
        <v>76064.428593242817</v>
      </c>
      <c r="F212" s="625">
        <f>+Repart!J23</f>
        <v>83925.369894953386</v>
      </c>
      <c r="G212" s="625">
        <f>+Repart!P23</f>
        <v>84070.051092516165</v>
      </c>
      <c r="H212" s="625"/>
      <c r="I212" s="591">
        <f t="shared" si="23"/>
        <v>0.10334582730841543</v>
      </c>
      <c r="J212" s="595">
        <f t="shared" si="23"/>
        <v>1.7239268381404993E-3</v>
      </c>
      <c r="L212" s="17">
        <f t="shared" si="22"/>
        <v>1</v>
      </c>
    </row>
    <row r="213" spans="1:12">
      <c r="A213" s="590" t="s">
        <v>193</v>
      </c>
      <c r="B213" s="591"/>
      <c r="C213" s="311">
        <f>+[2]Grenoble!$C213</f>
        <v>-14814.76</v>
      </c>
      <c r="D213" s="592">
        <f>+[2]Grenoble!$H213</f>
        <v>-17519.64</v>
      </c>
      <c r="E213" s="311">
        <f>+[1]Grenoble!$G213</f>
        <v>-20286.310000000001</v>
      </c>
      <c r="F213" s="625">
        <f>+C213+C213/9*(12-Clients!$I$14)</f>
        <v>-19753.013333333332</v>
      </c>
      <c r="G213" s="625">
        <f>+G253*-4%</f>
        <v>-19007.070865999998</v>
      </c>
      <c r="H213" s="625"/>
      <c r="I213" s="591">
        <f t="shared" si="23"/>
        <v>-2.6288500307185922E-2</v>
      </c>
      <c r="J213" s="595">
        <f t="shared" si="23"/>
        <v>-3.7763477133615442E-2</v>
      </c>
      <c r="L213" s="17">
        <f t="shared" si="22"/>
        <v>1</v>
      </c>
    </row>
    <row r="214" spans="1:12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2"/>
        <v>0</v>
      </c>
    </row>
    <row r="215" spans="1:12" s="33" customFormat="1" ht="15" customHeight="1">
      <c r="A215" s="20" t="s">
        <v>194</v>
      </c>
      <c r="B215" s="367">
        <f>+C215/$C$21</f>
        <v>3.3250529270364031E-2</v>
      </c>
      <c r="C215" s="316">
        <f>SUM(C210:C213)</f>
        <v>52478.287893640481</v>
      </c>
      <c r="D215" s="652">
        <f>SUM(D210:D213)</f>
        <v>67224.809319465552</v>
      </c>
      <c r="E215" s="316">
        <f>SUM(E210:E213)</f>
        <v>63873.204665242825</v>
      </c>
      <c r="F215" s="652">
        <f>SUM(F210:F213)</f>
        <v>73170.317325060911</v>
      </c>
      <c r="G215" s="652">
        <f>SUM(G210:G213)</f>
        <v>74707.664905826648</v>
      </c>
      <c r="H215" s="424">
        <f>+G215/$G$21</f>
        <v>3.624096307916002E-2</v>
      </c>
      <c r="I215" s="643">
        <f>+IF((E215)=0,,(F215-E215)/E215)</f>
        <v>0.14555575704309687</v>
      </c>
      <c r="J215" s="644">
        <f>+IF((F215)=0,,(G215-F215)/F215)</f>
        <v>2.1010535924506572E-2</v>
      </c>
      <c r="L215" s="17">
        <f t="shared" si="22"/>
        <v>1</v>
      </c>
    </row>
    <row r="216" spans="1:12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2"/>
        <v>0</v>
      </c>
    </row>
    <row r="217" spans="1:12" s="33" customFormat="1" ht="20.100000000000001" customHeight="1">
      <c r="A217" s="12" t="s">
        <v>86</v>
      </c>
      <c r="B217" s="366">
        <f>+C217/$C$21</f>
        <v>8.6049150725964335E-2</v>
      </c>
      <c r="C217" s="314">
        <f>+C209-C215</f>
        <v>135808.72857940468</v>
      </c>
      <c r="D217" s="645">
        <f>+D209-D215</f>
        <v>111330.00661646736</v>
      </c>
      <c r="E217" s="314">
        <f>+E209-E215</f>
        <v>212393.12084913009</v>
      </c>
      <c r="F217" s="645">
        <f>+F209-F215</f>
        <v>174719.08236652869</v>
      </c>
      <c r="G217" s="645">
        <f>+G209-G215</f>
        <v>144577.6094305517</v>
      </c>
      <c r="H217" s="406">
        <f>+G217/$G$21</f>
        <v>7.0135130204520543E-2</v>
      </c>
      <c r="I217" s="647">
        <f>+IF((E217)=0,,(F217-E217)/E217)</f>
        <v>-0.17737880743022053</v>
      </c>
      <c r="J217" s="648">
        <f>+IF((F217)=0,,(G217-F217)/F217)</f>
        <v>-0.17251391506707714</v>
      </c>
      <c r="L217" s="17">
        <f t="shared" si="22"/>
        <v>1</v>
      </c>
    </row>
    <row r="218" spans="1:12">
      <c r="A218" s="2" t="s">
        <v>43</v>
      </c>
      <c r="C218" s="17">
        <f>+C225-C226-C215-C207-C53+C62-C38+C213</f>
        <v>135808.72857940392</v>
      </c>
      <c r="D218" s="117">
        <f>+[2]Grenoble!$H$217</f>
        <v>111330.00661646736</v>
      </c>
      <c r="E218" s="17">
        <f>+[1]Grenoble!$G$217</f>
        <v>212393.12084913009</v>
      </c>
      <c r="F218" s="87"/>
      <c r="G218" s="398"/>
      <c r="H218" s="414"/>
      <c r="L218" s="17">
        <v>0</v>
      </c>
    </row>
    <row r="219" spans="1:12">
      <c r="B219" s="58"/>
      <c r="E219" s="17"/>
      <c r="L219" s="17">
        <v>0</v>
      </c>
    </row>
    <row r="220" spans="1:12">
      <c r="B220" s="58"/>
      <c r="E220" s="17"/>
      <c r="L220" s="17">
        <v>0</v>
      </c>
    </row>
    <row r="221" spans="1:12">
      <c r="E221" s="17"/>
      <c r="L221" s="17">
        <f t="shared" si="22"/>
        <v>0</v>
      </c>
    </row>
    <row r="222" spans="1:12">
      <c r="A222" s="654" t="s">
        <v>67</v>
      </c>
      <c r="B222" s="655"/>
      <c r="C222" s="655">
        <f>+(C215+C207+C203)/C60/Clients!$I$13*12</f>
        <v>1563427.7639028204</v>
      </c>
      <c r="D222" s="655">
        <f>+(D215+D207+D203)/D60</f>
        <v>1649355.4961450107</v>
      </c>
      <c r="E222" s="655">
        <f>+(E215+E207+E203)/E60/Clients!$I$13*12</f>
        <v>2021282.2739661667</v>
      </c>
      <c r="F222" s="655">
        <f>+(F215+F207+F203)/F60</f>
        <v>1551478.8214953667</v>
      </c>
      <c r="G222" s="655">
        <f>+(G215+G207+G203)/G60</f>
        <v>1614563.1092879712</v>
      </c>
      <c r="H222" s="655"/>
      <c r="I222" s="655"/>
      <c r="J222" s="655"/>
      <c r="L222" s="17">
        <f t="shared" si="22"/>
        <v>1</v>
      </c>
    </row>
    <row r="223" spans="1:12">
      <c r="A223" s="654" t="s">
        <v>66</v>
      </c>
      <c r="B223" s="655"/>
      <c r="C223" s="655">
        <f>+(C215+C207+C203)/C60/Clients!$I$13</f>
        <v>130285.6469919017</v>
      </c>
      <c r="D223" s="655">
        <f>+(D215+D207+D203)/D60/12</f>
        <v>137446.29134541756</v>
      </c>
      <c r="E223" s="655">
        <f>+(E215+E207+E203)/E60/Clients!$I$13</f>
        <v>168440.18949718055</v>
      </c>
      <c r="F223" s="655">
        <f>+(F215+F207+F203)/F60/9</f>
        <v>172386.53572170742</v>
      </c>
      <c r="G223" s="655">
        <f>+(G215+G207+G203)/G60/12</f>
        <v>134546.92577399759</v>
      </c>
      <c r="H223" s="655"/>
      <c r="I223" s="655"/>
      <c r="J223" s="655"/>
      <c r="L223" s="17">
        <f t="shared" si="22"/>
        <v>1</v>
      </c>
    </row>
    <row r="224" spans="1:12">
      <c r="B224" s="17"/>
      <c r="D224" s="17"/>
      <c r="E224" s="17"/>
      <c r="F224" s="17"/>
      <c r="G224" s="17"/>
      <c r="H224" s="17"/>
      <c r="I224" s="17"/>
      <c r="J224" s="17"/>
      <c r="L224" s="17">
        <f t="shared" si="22"/>
        <v>0</v>
      </c>
    </row>
    <row r="225" spans="1:12">
      <c r="A225" s="2" t="s">
        <v>215</v>
      </c>
      <c r="C225" s="17">
        <f>+C51-C40-C157-C166+C201-C164-C159-C137</f>
        <v>1548749.8099999998</v>
      </c>
      <c r="D225" s="17"/>
      <c r="E225" s="17">
        <f>+E51-E40-E157-E166+E201-E164-E159-E137</f>
        <v>2104526.77</v>
      </c>
      <c r="L225" s="17">
        <v>0</v>
      </c>
    </row>
    <row r="226" spans="1:12">
      <c r="A226" s="2" t="s">
        <v>216</v>
      </c>
      <c r="C226" s="17">
        <f>+C44-C38-C40+C103+C116+C129+C154+C156+C158+C160+C161+C162+C163+C165+C185+C213-C137</f>
        <v>1359485.0400000005</v>
      </c>
      <c r="D226" s="17"/>
      <c r="E226" s="17">
        <f>+E44-E38-E40+E103+E116+E129+E154+E156+E158+E160+E161+E162+E163+E165+E185+E213-E137</f>
        <v>1797131.2983200001</v>
      </c>
      <c r="L226" s="17">
        <v>0</v>
      </c>
    </row>
    <row r="227" spans="1:12">
      <c r="E227" s="17"/>
      <c r="L227" s="17">
        <f t="shared" si="22"/>
        <v>0</v>
      </c>
    </row>
    <row r="228" spans="1:12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2"/>
        <v>0</v>
      </c>
    </row>
    <row r="229" spans="1:12" ht="20.25" customHeight="1">
      <c r="A229" s="7" t="str">
        <f>+A4</f>
        <v>GRENOBLE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2"/>
        <v>0</v>
      </c>
    </row>
    <row r="230" spans="1:12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2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2"/>
        <v>1</v>
      </c>
    </row>
    <row r="232" spans="1:12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2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4">+C51</f>
        <v>1533764.25</v>
      </c>
      <c r="D233" s="313">
        <f t="shared" si="24"/>
        <v>1945473</v>
      </c>
      <c r="E233" s="313">
        <f t="shared" si="24"/>
        <v>2069547.35</v>
      </c>
      <c r="F233" s="313">
        <f t="shared" si="24"/>
        <v>2016157.2320446451</v>
      </c>
      <c r="G233" s="313">
        <f t="shared" si="24"/>
        <v>1998947</v>
      </c>
      <c r="H233" s="313"/>
      <c r="I233" s="643">
        <f>+I51</f>
        <v>-2.5797968795135309E-2</v>
      </c>
      <c r="J233" s="643">
        <f t="shared" si="24"/>
        <v>-8.5361556981306021E-3</v>
      </c>
      <c r="K233" s="58"/>
      <c r="L233" s="17">
        <f t="shared" si="22"/>
        <v>1</v>
      </c>
    </row>
    <row r="234" spans="1:12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2"/>
        <v>0</v>
      </c>
    </row>
    <row r="235" spans="1:12" s="33" customFormat="1" ht="15" customHeight="1">
      <c r="A235" s="12" t="s">
        <v>295</v>
      </c>
      <c r="B235" s="364"/>
      <c r="C235" s="15">
        <f>+C60</f>
        <v>0.376</v>
      </c>
      <c r="D235" s="15">
        <f>+D60</f>
        <v>0.37596563920445053</v>
      </c>
      <c r="E235" s="15">
        <f>+E60</f>
        <v>0.38366804296601392</v>
      </c>
      <c r="F235" s="15">
        <f>+F60</f>
        <v>0.376</v>
      </c>
      <c r="G235" s="15">
        <f>+G60</f>
        <v>0.37612817010290855</v>
      </c>
      <c r="H235" s="15"/>
      <c r="I235" s="15"/>
      <c r="J235" s="15"/>
      <c r="L235" s="17">
        <f t="shared" si="22"/>
        <v>1</v>
      </c>
    </row>
    <row r="236" spans="1:12" s="33" customFormat="1" ht="15" customHeight="1">
      <c r="A236" s="12" t="s">
        <v>296</v>
      </c>
      <c r="B236" s="364"/>
      <c r="C236" s="309">
        <f>+C62</f>
        <v>576695.35800000001</v>
      </c>
      <c r="D236" s="309">
        <f>+D62</f>
        <v>731431</v>
      </c>
      <c r="E236" s="309">
        <f>+E62</f>
        <v>794019.18160000024</v>
      </c>
      <c r="F236" s="309">
        <f>+F62</f>
        <v>758075.11924878659</v>
      </c>
      <c r="G236" s="309">
        <f>+G62</f>
        <v>751860.27724269871</v>
      </c>
      <c r="H236" s="309"/>
      <c r="I236" s="647">
        <f>+IF((E236)=0,,(F236-E236)/E236)</f>
        <v>-4.5268506333542256E-2</v>
      </c>
      <c r="J236" s="648">
        <f>+IF((F236)=0,,(G236-F236)/F236)</f>
        <v>-8.1981875519756848E-3</v>
      </c>
      <c r="L236" s="17">
        <f t="shared" si="22"/>
        <v>1</v>
      </c>
    </row>
    <row r="237" spans="1:12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2"/>
        <v>0</v>
      </c>
    </row>
    <row r="238" spans="1:12" s="298" customFormat="1" ht="15" customHeight="1">
      <c r="A238" s="662" t="s">
        <v>122</v>
      </c>
      <c r="B238" s="663"/>
      <c r="C238" s="664">
        <f>+C103</f>
        <v>103580.91999999998</v>
      </c>
      <c r="D238" s="664">
        <f>+D103</f>
        <v>128253.14770118934</v>
      </c>
      <c r="E238" s="664">
        <f>+E103</f>
        <v>125411.00000000001</v>
      </c>
      <c r="F238" s="664">
        <f>+F103</f>
        <v>135664.55666666667</v>
      </c>
      <c r="G238" s="664">
        <f>+G103</f>
        <v>132649.8349068957</v>
      </c>
      <c r="H238" s="664"/>
      <c r="I238" s="666">
        <f t="shared" ref="I238:J243" si="25">+IF((E238)=0,,(F238-E238)/E238)</f>
        <v>8.175962767752952E-2</v>
      </c>
      <c r="J238" s="666">
        <f t="shared" si="25"/>
        <v>-2.2221881925861164E-2</v>
      </c>
      <c r="L238" s="17">
        <f t="shared" si="22"/>
        <v>1</v>
      </c>
    </row>
    <row r="239" spans="1:12" s="298" customFormat="1" ht="15" customHeight="1">
      <c r="A239" s="662" t="s">
        <v>133</v>
      </c>
      <c r="B239" s="663"/>
      <c r="C239" s="664">
        <f>+C116</f>
        <v>72306.23</v>
      </c>
      <c r="D239" s="664">
        <f>+D116</f>
        <v>95405.920100000003</v>
      </c>
      <c r="E239" s="664">
        <f>+E116</f>
        <v>77476.569999999992</v>
      </c>
      <c r="F239" s="664">
        <f>+F116</f>
        <v>97072.74</v>
      </c>
      <c r="G239" s="664">
        <f>+G116</f>
        <v>83723.743200000012</v>
      </c>
      <c r="H239" s="664"/>
      <c r="I239" s="666">
        <f t="shared" si="25"/>
        <v>0.25293027298446502</v>
      </c>
      <c r="J239" s="666">
        <f t="shared" si="25"/>
        <v>-0.13751540133718274</v>
      </c>
      <c r="L239" s="17">
        <f t="shared" si="22"/>
        <v>1</v>
      </c>
    </row>
    <row r="240" spans="1:12" s="298" customFormat="1" ht="15" customHeight="1">
      <c r="A240" s="662" t="s">
        <v>147</v>
      </c>
      <c r="B240" s="663"/>
      <c r="C240" s="664">
        <f>+C129</f>
        <v>16136.7</v>
      </c>
      <c r="D240" s="664">
        <f>+D129</f>
        <v>20696.191800000001</v>
      </c>
      <c r="E240" s="664">
        <f>+E129</f>
        <v>21010.36</v>
      </c>
      <c r="F240" s="664">
        <f>+F129</f>
        <v>16309.24</v>
      </c>
      <c r="G240" s="664">
        <f>+G129</f>
        <v>16174.099200000001</v>
      </c>
      <c r="H240" s="664"/>
      <c r="I240" s="666">
        <f t="shared" si="25"/>
        <v>-0.22375247258971293</v>
      </c>
      <c r="J240" s="666">
        <f t="shared" si="25"/>
        <v>-8.2861494465713437E-3</v>
      </c>
      <c r="L240" s="17">
        <f t="shared" si="22"/>
        <v>1</v>
      </c>
    </row>
    <row r="241" spans="1:12" s="298" customFormat="1" ht="15" customHeight="1">
      <c r="A241" s="662" t="s">
        <v>164</v>
      </c>
      <c r="B241" s="663"/>
      <c r="C241" s="664">
        <f>+C154</f>
        <v>176487.58</v>
      </c>
      <c r="D241" s="664">
        <f>+D154</f>
        <v>256306.74727250269</v>
      </c>
      <c r="E241" s="664">
        <f>+E154</f>
        <v>283312.18832000002</v>
      </c>
      <c r="F241" s="664">
        <f>+F154</f>
        <v>235316.77333333332</v>
      </c>
      <c r="G241" s="664">
        <f>+G154</f>
        <v>251432.75864715141</v>
      </c>
      <c r="H241" s="664"/>
      <c r="I241" s="666">
        <f t="shared" si="25"/>
        <v>-0.16940822515004567</v>
      </c>
      <c r="J241" s="666">
        <f t="shared" si="25"/>
        <v>6.8486343262022006E-2</v>
      </c>
      <c r="L241" s="17">
        <f t="shared" si="22"/>
        <v>1</v>
      </c>
    </row>
    <row r="242" spans="1:12" s="298" customFormat="1" ht="15" customHeight="1">
      <c r="A242" s="662" t="s">
        <v>74</v>
      </c>
      <c r="B242" s="663"/>
      <c r="C242" s="664">
        <f>+C168</f>
        <v>14854.430000000002</v>
      </c>
      <c r="D242" s="664">
        <f>+D168</f>
        <v>28576.044201486169</v>
      </c>
      <c r="E242" s="664">
        <f>+E168</f>
        <v>10448.59</v>
      </c>
      <c r="F242" s="664">
        <f>+F168</f>
        <v>19805.906666666666</v>
      </c>
      <c r="G242" s="664">
        <f>+G168</f>
        <v>30230.676690900007</v>
      </c>
      <c r="H242" s="664"/>
      <c r="I242" s="666">
        <f t="shared" si="25"/>
        <v>0.89555783762849017</v>
      </c>
      <c r="J242" s="666">
        <f t="shared" si="25"/>
        <v>0.52634651872707372</v>
      </c>
      <c r="L242" s="17">
        <f t="shared" si="22"/>
        <v>1</v>
      </c>
    </row>
    <row r="243" spans="1:12" s="298" customFormat="1" ht="15" customHeight="1">
      <c r="A243" s="662" t="s">
        <v>369</v>
      </c>
      <c r="B243" s="663"/>
      <c r="C243" s="664">
        <f>+C185-C201</f>
        <v>820.09000000000015</v>
      </c>
      <c r="D243" s="664">
        <f>+D185-D201</f>
        <v>11683.9681</v>
      </c>
      <c r="E243" s="664">
        <f>+E185-E201</f>
        <v>-4861.9999999999982</v>
      </c>
      <c r="F243" s="664">
        <f>+F185-F201</f>
        <v>412.96333333333314</v>
      </c>
      <c r="G243" s="664">
        <f>+G185-G201</f>
        <v>10561.016666666668</v>
      </c>
      <c r="H243" s="664"/>
      <c r="I243" s="666">
        <f t="shared" si="25"/>
        <v>-1.0849369258192787</v>
      </c>
      <c r="J243" s="666">
        <f t="shared" si="25"/>
        <v>24.573739395749438</v>
      </c>
      <c r="L243" s="17">
        <f t="shared" si="22"/>
        <v>1</v>
      </c>
    </row>
    <row r="244" spans="1:12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2"/>
        <v>0</v>
      </c>
    </row>
    <row r="245" spans="1:12" s="33" customFormat="1" ht="15" customHeight="1">
      <c r="A245" s="14" t="s">
        <v>189</v>
      </c>
      <c r="B245" s="363"/>
      <c r="C245" s="389">
        <f>+C203</f>
        <v>384185.94999999995</v>
      </c>
      <c r="D245" s="389">
        <f>+D203</f>
        <v>540922.01917517825</v>
      </c>
      <c r="E245" s="389">
        <f>+E203</f>
        <v>512796.70832000003</v>
      </c>
      <c r="F245" s="389">
        <f>+F203</f>
        <v>504582.18</v>
      </c>
      <c r="G245" s="389">
        <f>+G203</f>
        <v>524772.12931161385</v>
      </c>
      <c r="H245" s="389"/>
      <c r="I245" s="643">
        <f>+I63</f>
        <v>0</v>
      </c>
      <c r="J245" s="643">
        <f>+J63</f>
        <v>0</v>
      </c>
      <c r="K245" s="58"/>
      <c r="L245" s="17">
        <f t="shared" si="22"/>
        <v>1</v>
      </c>
    </row>
    <row r="246" spans="1:12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2"/>
        <v>0</v>
      </c>
    </row>
    <row r="247" spans="1:12" s="33" customFormat="1" ht="15" customHeight="1">
      <c r="A247" s="12" t="s">
        <v>228</v>
      </c>
      <c r="B247" s="366"/>
      <c r="C247" s="314">
        <f>+C205</f>
        <v>192509.40800000005</v>
      </c>
      <c r="D247" s="314">
        <f>+D205</f>
        <v>190508.98082482175</v>
      </c>
      <c r="E247" s="314">
        <f>+E205</f>
        <v>281222.47328000021</v>
      </c>
      <c r="F247" s="314">
        <f>+F205</f>
        <v>253492.9392487866</v>
      </c>
      <c r="G247" s="314">
        <f>+G205</f>
        <v>227088.14793108485</v>
      </c>
      <c r="H247" s="314"/>
      <c r="I247" s="647">
        <f>+IF((E247)=0,,(F247-E247)/E247)</f>
        <v>-9.8603549381363259E-2</v>
      </c>
      <c r="J247" s="648">
        <f>+IF((F247)=0,,(G247-F247)/F247)</f>
        <v>-0.10416381377702669</v>
      </c>
      <c r="L247" s="17">
        <f t="shared" si="22"/>
        <v>1</v>
      </c>
    </row>
    <row r="248" spans="1:12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2"/>
        <v>0</v>
      </c>
    </row>
    <row r="249" spans="1:12" s="33" customFormat="1" ht="15" customHeight="1">
      <c r="A249" s="20" t="s">
        <v>370</v>
      </c>
      <c r="B249" s="367"/>
      <c r="C249" s="316">
        <f>+C207+C215</f>
        <v>56700.679420595356</v>
      </c>
      <c r="D249" s="316">
        <f>+D207+D215</f>
        <v>79178.974208354382</v>
      </c>
      <c r="E249" s="316">
        <f>+E207+E215</f>
        <v>68829.352430870145</v>
      </c>
      <c r="F249" s="316">
        <f>+F207+F215</f>
        <v>78773.856882257911</v>
      </c>
      <c r="G249" s="316">
        <f>+G207+G215</f>
        <v>82510.538500533148</v>
      </c>
      <c r="H249" s="316"/>
      <c r="I249" s="643">
        <f>+I67</f>
        <v>-0.39293089532715486</v>
      </c>
      <c r="J249" s="643">
        <f>+J67</f>
        <v>3.0000000000000072E-2</v>
      </c>
      <c r="L249" s="17">
        <f t="shared" si="22"/>
        <v>1</v>
      </c>
    </row>
    <row r="250" spans="1:12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2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135808.72857940468</v>
      </c>
      <c r="D251" s="314">
        <f>+D217</f>
        <v>111330.00661646736</v>
      </c>
      <c r="E251" s="314">
        <f>+E217</f>
        <v>212393.12084913009</v>
      </c>
      <c r="F251" s="314">
        <f>+F217</f>
        <v>174719.08236652869</v>
      </c>
      <c r="G251" s="314">
        <f>+G217</f>
        <v>144577.6094305517</v>
      </c>
      <c r="H251" s="314"/>
      <c r="I251" s="647">
        <f>+IF((E251)=0,,(F251-E251)/E251)</f>
        <v>-0.17737880743022053</v>
      </c>
      <c r="J251" s="648">
        <f>+IF((F251)=0,,(G251-F251)/F251)</f>
        <v>-0.17251391506707714</v>
      </c>
      <c r="L251" s="17">
        <f t="shared" si="22"/>
        <v>1</v>
      </c>
    </row>
    <row r="252" spans="1:12">
      <c r="F252" s="2"/>
      <c r="G252" s="2"/>
      <c r="H252" s="5"/>
      <c r="I252" s="24"/>
      <c r="L252" s="17">
        <f t="shared" si="22"/>
        <v>0</v>
      </c>
    </row>
    <row r="253" spans="1:12" s="298" customFormat="1" ht="15" customHeight="1">
      <c r="A253" s="662" t="s">
        <v>95</v>
      </c>
      <c r="B253" s="663"/>
      <c r="C253" s="664">
        <f>+C28</f>
        <v>368511.92</v>
      </c>
      <c r="D253" s="664">
        <v>431125</v>
      </c>
      <c r="E253" s="664">
        <f>+E28</f>
        <v>515022.53</v>
      </c>
      <c r="F253" s="664"/>
      <c r="G253" s="669">
        <f>+G28</f>
        <v>475176.77164999995</v>
      </c>
      <c r="H253" s="669"/>
      <c r="I253" s="666"/>
      <c r="J253" s="666"/>
      <c r="L253" s="17">
        <v>1</v>
      </c>
    </row>
    <row r="254" spans="1:12" s="298" customFormat="1" ht="15" customHeight="1">
      <c r="A254" s="662" t="s">
        <v>371</v>
      </c>
      <c r="B254" s="663"/>
      <c r="C254" s="664">
        <f>+C222</f>
        <v>1563427.7639028204</v>
      </c>
      <c r="D254" s="664">
        <f>+D222</f>
        <v>1649355.4961450107</v>
      </c>
      <c r="E254" s="664">
        <f>+E222</f>
        <v>2021282.2739661667</v>
      </c>
      <c r="F254" s="664">
        <f>+F222</f>
        <v>1551478.8214953667</v>
      </c>
      <c r="G254" s="664">
        <f>+G222</f>
        <v>1614563.1092879712</v>
      </c>
      <c r="H254" s="664"/>
      <c r="I254" s="666"/>
      <c r="J254" s="666"/>
      <c r="L254" s="17">
        <v>1</v>
      </c>
    </row>
    <row r="255" spans="1:12" s="298" customFormat="1" ht="15" customHeight="1">
      <c r="A255" s="662" t="s">
        <v>372</v>
      </c>
      <c r="B255" s="663"/>
      <c r="C255" s="664"/>
      <c r="D255" s="664">
        <v>74750</v>
      </c>
      <c r="E255" s="664"/>
      <c r="F255" s="664"/>
      <c r="G255" s="669">
        <f>500+12000+2500+9000+500</f>
        <v>24500</v>
      </c>
      <c r="H255" s="669"/>
      <c r="I255" s="666"/>
      <c r="J255" s="666"/>
      <c r="L255" s="17">
        <v>1</v>
      </c>
    </row>
    <row r="256" spans="1:12">
      <c r="F256" s="2"/>
      <c r="G256" s="2"/>
      <c r="H256" s="2"/>
      <c r="I256" s="24"/>
      <c r="L256" s="17">
        <f t="shared" si="22"/>
        <v>0</v>
      </c>
    </row>
  </sheetData>
  <autoFilter ref="L1:L256"/>
  <phoneticPr fontId="0" type="noConversion"/>
  <pageMargins left="0.39370078740157483" right="0.39370078740157483" top="0" bottom="0" header="0.51181102362204722" footer="0.12"/>
  <pageSetup paperSize="9" scale="73" fitToHeight="2" orientation="landscape" horizontalDpi="4294967293" verticalDpi="36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indexed="43"/>
    <pageSetUpPr fitToPage="1"/>
  </sheetPr>
  <dimension ref="A1:L256"/>
  <sheetViews>
    <sheetView workbookViewId="0">
      <pane xSplit="2" ySplit="7" topLeftCell="C160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6.710937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5.7109375" style="442" customWidth="1"/>
    <col min="13" max="16384" width="11.42578125" style="2"/>
  </cols>
  <sheetData>
    <row r="1" spans="1:12" ht="12.75">
      <c r="A1" s="1" t="s">
        <v>515</v>
      </c>
      <c r="B1" s="22"/>
      <c r="C1" s="45" t="s">
        <v>299</v>
      </c>
    </row>
    <row r="2" spans="1:12" hidden="1"/>
    <row r="3" spans="1:12" ht="12.75" customHeight="1">
      <c r="A3" s="6"/>
      <c r="B3" s="102" t="s">
        <v>198</v>
      </c>
      <c r="C3" s="155" t="s">
        <v>195</v>
      </c>
      <c r="D3" s="104" t="s">
        <v>196</v>
      </c>
      <c r="E3" s="267"/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L3" s="2">
        <v>1</v>
      </c>
    </row>
    <row r="4" spans="1:12" ht="20.25" customHeight="1">
      <c r="A4" s="7" t="s">
        <v>62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  <c r="L4" s="2">
        <v>1</v>
      </c>
    </row>
    <row r="5" spans="1:12">
      <c r="A5" s="3"/>
      <c r="B5" s="90"/>
      <c r="C5" s="157"/>
      <c r="D5" s="106"/>
      <c r="E5" s="157">
        <f>E217</f>
        <v>2090.306085435368</v>
      </c>
      <c r="F5" s="132"/>
      <c r="G5" s="215">
        <f>G217</f>
        <v>-22219.394385378877</v>
      </c>
      <c r="H5" s="90"/>
      <c r="I5" s="152"/>
      <c r="J5" s="184"/>
      <c r="L5" s="2">
        <v>1</v>
      </c>
    </row>
    <row r="6" spans="1:12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  <c r="L6" s="2">
        <v>1</v>
      </c>
    </row>
    <row r="7" spans="1:12" hidden="1">
      <c r="A7" s="5"/>
      <c r="B7" s="92"/>
      <c r="C7" s="160"/>
      <c r="D7" s="115"/>
      <c r="E7" s="237"/>
      <c r="F7" s="134"/>
      <c r="G7" s="134"/>
      <c r="H7" s="400"/>
      <c r="I7" s="149"/>
      <c r="J7" s="186"/>
      <c r="L7" s="17">
        <f>IF(SUM(C7:J7)&lt;&gt;0,1,0)</f>
        <v>0</v>
      </c>
    </row>
    <row r="8" spans="1:12">
      <c r="A8" s="590" t="s">
        <v>221</v>
      </c>
      <c r="B8" s="591"/>
      <c r="C8" s="311">
        <f>-IF(ISNA(VLOOKUP("MAR707130000",Balance!C:G,5,FALSE))=TRUE,0,VLOOKUP("MAR707130000",Balance!C:G,5,FALSE))</f>
        <v>193155.48</v>
      </c>
      <c r="D8" s="592">
        <f>+[2]STMarcelin!$H8</f>
        <v>305973</v>
      </c>
      <c r="E8" s="311">
        <f>-IF(ISNA(VLOOKUP("MAR707130000",Balanceanp!C:G,5,FALSE))=TRUE,0,VLOOKUP("MAR707130000",Balanceanp!C:G,5,FALSE))</f>
        <v>142709.35999999999</v>
      </c>
      <c r="F8" s="625">
        <f>+CA!G146</f>
        <v>254153.54514504166</v>
      </c>
      <c r="G8" s="594">
        <v>328645</v>
      </c>
      <c r="H8" s="594"/>
      <c r="I8" s="591">
        <f>+IF((E8)=0,,(F8-E8)/E8)</f>
        <v>0.780917139177428</v>
      </c>
      <c r="J8" s="595">
        <f>+IF((F8)=0,,(G8-F8)/F8)</f>
        <v>0.29309626514336901</v>
      </c>
      <c r="L8" s="17">
        <f t="shared" ref="L8:L71" si="0">IF(SUM(C8:J8)&lt;&gt;0,1,0)</f>
        <v>1</v>
      </c>
    </row>
    <row r="9" spans="1:12" hidden="1">
      <c r="A9" s="5" t="s">
        <v>422</v>
      </c>
      <c r="B9" s="92"/>
      <c r="C9" s="160">
        <f>-IF(ISNA(VLOOKUP("MAR707131000",Balance!C:G,5,FALSE))=TRUE,0,VLOOKUP("MAR707131000",Balance!C:G,5,FALSE))</f>
        <v>0</v>
      </c>
      <c r="D9" s="117">
        <f>+[2]STMarcelin!$H9</f>
        <v>0</v>
      </c>
      <c r="E9" s="160">
        <f>-IF(ISNA(VLOOKUP("MAR707131000",Balanceanp!C:G,5,FALSE))=TRUE,0,VLOOKUP("MAR707131000",Balanceanp!C:G,5,FALSE))</f>
        <v>159732.39000000001</v>
      </c>
      <c r="F9" s="368">
        <f>+C9</f>
        <v>0</v>
      </c>
      <c r="G9" s="395">
        <f t="shared" ref="G9:G19" si="1">+F9*1.03</f>
        <v>0</v>
      </c>
      <c r="H9" s="401"/>
      <c r="I9" s="149">
        <f t="shared" ref="I9:J19" si="2">+IF((E9)=0,,(F9-E9)/E9)</f>
        <v>-1</v>
      </c>
      <c r="J9" s="271">
        <f t="shared" si="2"/>
        <v>0</v>
      </c>
      <c r="L9" s="17">
        <v>0</v>
      </c>
    </row>
    <row r="10" spans="1:12" hidden="1">
      <c r="A10" s="5" t="s">
        <v>84</v>
      </c>
      <c r="B10" s="92"/>
      <c r="C10" s="160">
        <f>-IF(ISNA(VLOOKUP("MAR707300000",Balance!C:G,5,FALSE))=TRUE,0,VLOOKUP("MAR707300000",Balance!C:G,5,FALSE))</f>
        <v>0</v>
      </c>
      <c r="D10" s="117">
        <f>+[2]STMarcelin!$H10</f>
        <v>0</v>
      </c>
      <c r="E10" s="160">
        <f>-IF(ISNA(VLOOKUP("MAR707300000",Balanceanp!C:G,5,FALSE))=TRUE,0,VLOOKUP("MAR707300000",Balanceanp!C:G,5,FALSE))</f>
        <v>0</v>
      </c>
      <c r="F10" s="368">
        <f t="shared" ref="F10:F19" si="3">+C10</f>
        <v>0</v>
      </c>
      <c r="G10" s="395">
        <f t="shared" si="1"/>
        <v>0</v>
      </c>
      <c r="H10" s="401"/>
      <c r="I10" s="149">
        <f t="shared" si="2"/>
        <v>0</v>
      </c>
      <c r="J10" s="271">
        <f t="shared" si="2"/>
        <v>0</v>
      </c>
      <c r="L10" s="17">
        <v>0</v>
      </c>
    </row>
    <row r="11" spans="1:12" hidden="1">
      <c r="A11" s="5" t="s">
        <v>267</v>
      </c>
      <c r="B11" s="92"/>
      <c r="C11" s="160">
        <f>-IF(ISNA(VLOOKUP("MAR707110000",Balance!C:G,5,FALSE))=TRUE,0,VLOOKUP("MAR707110000",Balance!C:G,5,FALSE))</f>
        <v>0</v>
      </c>
      <c r="D11" s="117">
        <f>+[2]STMarcelin!$H11</f>
        <v>0</v>
      </c>
      <c r="E11" s="160">
        <f>-IF(ISNA(VLOOKUP("MAR707110000",Balanceanp!C:G,5,FALSE))=TRUE,0,VLOOKUP("MAR707110000",Balanceanp!C:G,5,FALSE))</f>
        <v>0</v>
      </c>
      <c r="F11" s="368">
        <f t="shared" si="3"/>
        <v>0</v>
      </c>
      <c r="G11" s="395">
        <f t="shared" si="1"/>
        <v>0</v>
      </c>
      <c r="H11" s="401"/>
      <c r="I11" s="149">
        <f t="shared" si="2"/>
        <v>0</v>
      </c>
      <c r="J11" s="271">
        <f t="shared" si="2"/>
        <v>0</v>
      </c>
      <c r="L11" s="17">
        <v>0</v>
      </c>
    </row>
    <row r="12" spans="1:12" hidden="1">
      <c r="A12" s="5" t="s">
        <v>46</v>
      </c>
      <c r="B12" s="92"/>
      <c r="C12" s="160">
        <f>-IF(ISNA(VLOOKUP("MAR707120000",Balance!C:G,5,FALSE))=TRUE,0,VLOOKUP("MAR707120000",Balance!C:G,5,FALSE))</f>
        <v>0</v>
      </c>
      <c r="D12" s="117">
        <f>+[2]STMarcelin!$H12</f>
        <v>0</v>
      </c>
      <c r="E12" s="160">
        <f>-IF(ISNA(VLOOKUP("MAR707120000",Balanceanp!C:G,5,FALSE))=TRUE,0,VLOOKUP("MAR707120000",Balanceanp!C:G,5,FALSE))</f>
        <v>0</v>
      </c>
      <c r="F12" s="368">
        <f t="shared" si="3"/>
        <v>0</v>
      </c>
      <c r="G12" s="395">
        <f t="shared" si="1"/>
        <v>0</v>
      </c>
      <c r="H12" s="401"/>
      <c r="I12" s="149">
        <f t="shared" si="2"/>
        <v>0</v>
      </c>
      <c r="J12" s="271">
        <f t="shared" si="2"/>
        <v>0</v>
      </c>
      <c r="L12" s="17">
        <v>0</v>
      </c>
    </row>
    <row r="13" spans="1:12" hidden="1">
      <c r="A13" s="5" t="s">
        <v>268</v>
      </c>
      <c r="B13" s="92"/>
      <c r="C13" s="160">
        <f>-IF(ISNA(VLOOKUP("MAR707230000",Balance!C:G,5,FALSE))=TRUE,0,VLOOKUP("MAR707230000",Balance!C:G,5,FALSE))</f>
        <v>0</v>
      </c>
      <c r="D13" s="117">
        <f>+[2]STMarcelin!$H13</f>
        <v>0</v>
      </c>
      <c r="E13" s="160">
        <f>-IF(ISNA(VLOOKUP("MAR707230000",Balanceanp!C:G,5,FALSE))=TRUE,0,VLOOKUP("MAR707230000",Balanceanp!C:G,5,FALSE))</f>
        <v>0</v>
      </c>
      <c r="F13" s="368">
        <f t="shared" si="3"/>
        <v>0</v>
      </c>
      <c r="G13" s="395">
        <f t="shared" si="1"/>
        <v>0</v>
      </c>
      <c r="H13" s="401"/>
      <c r="I13" s="149">
        <f t="shared" si="2"/>
        <v>0</v>
      </c>
      <c r="J13" s="271">
        <f t="shared" si="2"/>
        <v>0</v>
      </c>
      <c r="L13" s="17">
        <v>0</v>
      </c>
    </row>
    <row r="14" spans="1:12" hidden="1">
      <c r="A14" s="5" t="s">
        <v>269</v>
      </c>
      <c r="B14" s="92"/>
      <c r="C14" s="160">
        <f>-IF(ISNA(VLOOKUP("MAR708820000",Balance!C:G,5,FALSE))=TRUE,0,VLOOKUP("MAR708820000",Balance!C:G,5,FALSE))</f>
        <v>0</v>
      </c>
      <c r="D14" s="117">
        <f>+[2]STMarcelin!$H14</f>
        <v>0</v>
      </c>
      <c r="E14" s="160">
        <f>-IF(ISNA(VLOOKUP("MAR708820000",Balanceanp!C:G,5,FALSE))=TRUE,0,VLOOKUP("MAR708820000",Balanceanp!C:G,5,FALSE))</f>
        <v>0</v>
      </c>
      <c r="F14" s="368">
        <f t="shared" si="3"/>
        <v>0</v>
      </c>
      <c r="G14" s="395">
        <f t="shared" si="1"/>
        <v>0</v>
      </c>
      <c r="H14" s="401"/>
      <c r="I14" s="149">
        <f t="shared" si="2"/>
        <v>0</v>
      </c>
      <c r="J14" s="271">
        <f t="shared" si="2"/>
        <v>0</v>
      </c>
      <c r="L14" s="17">
        <v>0</v>
      </c>
    </row>
    <row r="15" spans="1:12" hidden="1">
      <c r="A15" s="5" t="s">
        <v>270</v>
      </c>
      <c r="B15" s="92"/>
      <c r="C15" s="160">
        <f>-IF(ISNA(VLOOKUP("MAR708500000",Balance!C:G,5,FALSE))=TRUE,0,VLOOKUP("MAR708500000",Balance!C:G,5,FALSE))</f>
        <v>687</v>
      </c>
      <c r="D15" s="117">
        <f>+[2]STMarcelin!$H15</f>
        <v>0</v>
      </c>
      <c r="E15" s="160">
        <f>-IF(ISNA(VLOOKUP("MAR708500000",Balanceanp!C:G,5,FALSE))=TRUE,0,VLOOKUP("MAR708500000",Balanceanp!C:G,5,FALSE))</f>
        <v>828</v>
      </c>
      <c r="F15" s="368">
        <f t="shared" si="3"/>
        <v>687</v>
      </c>
      <c r="G15" s="395">
        <v>0</v>
      </c>
      <c r="H15" s="401"/>
      <c r="I15" s="149">
        <f t="shared" si="2"/>
        <v>-0.17028985507246377</v>
      </c>
      <c r="J15" s="271">
        <f t="shared" si="2"/>
        <v>-1</v>
      </c>
      <c r="L15" s="17">
        <v>0</v>
      </c>
    </row>
    <row r="16" spans="1:12" hidden="1">
      <c r="A16" s="5" t="s">
        <v>85</v>
      </c>
      <c r="B16" s="92"/>
      <c r="C16" s="160">
        <f>IF(ISNA(VLOOKUP("MAR706000000",Balance!C:G,5,FALSE))=TRUE,0,-VLOOKUP("MAR706000000",Balance!C:G,5,FALSE))+IF(ISNA(VLOOKUP("MAR706010000",Balance!C:G,5,FALSE))=TRUE,0,-VLOOKUP("MAR706010000",Balance!C:G,5,FALSE))</f>
        <v>0</v>
      </c>
      <c r="D16" s="117">
        <f>+[2]STMarcelin!$H16</f>
        <v>0</v>
      </c>
      <c r="E16" s="160">
        <f>IF(ISNA(VLOOKUP("MAR706000000",Balanceanp!C:G,5,FALSE))=TRUE,0,-VLOOKUP("MAR706000000",Balanceanp!C:G,5,FALSE))+IF(ISNA(VLOOKUP("MAR706010000",Balanceanp!C:G,5,FALSE))=TRUE,0,-VLOOKUP("MAR706010000",Balanceanp!C:G,5,FALSE))</f>
        <v>0</v>
      </c>
      <c r="F16" s="368">
        <f t="shared" si="3"/>
        <v>0</v>
      </c>
      <c r="G16" s="395">
        <f t="shared" si="1"/>
        <v>0</v>
      </c>
      <c r="H16" s="401"/>
      <c r="I16" s="149">
        <f t="shared" si="2"/>
        <v>0</v>
      </c>
      <c r="J16" s="271">
        <f t="shared" si="2"/>
        <v>0</v>
      </c>
      <c r="L16" s="17">
        <v>0</v>
      </c>
    </row>
    <row r="17" spans="1:12" hidden="1">
      <c r="A17" s="5" t="s">
        <v>88</v>
      </c>
      <c r="B17" s="92"/>
      <c r="C17" s="160">
        <f>IF(ISNA(VLOOKUP("MAR707500000",Balance!C:G,5,FALSE))=TRUE,0,-VLOOKUP("MAR707500000",Balance!C:G,5,FALSE))</f>
        <v>0</v>
      </c>
      <c r="D17" s="117">
        <f>+[2]STMarcelin!$H17</f>
        <v>0</v>
      </c>
      <c r="E17" s="160">
        <f>IF(ISNA(VLOOKUP("MAR707500000",Balanceanp!C:G,5,FALSE))=TRUE,0,-VLOOKUP("MAR707500000",Balanceanp!C:G,5,FALSE))</f>
        <v>0</v>
      </c>
      <c r="F17" s="368">
        <f t="shared" si="3"/>
        <v>0</v>
      </c>
      <c r="G17" s="395">
        <f t="shared" si="1"/>
        <v>0</v>
      </c>
      <c r="H17" s="401"/>
      <c r="I17" s="149">
        <f t="shared" si="2"/>
        <v>0</v>
      </c>
      <c r="J17" s="271">
        <f t="shared" si="2"/>
        <v>0</v>
      </c>
      <c r="L17" s="17">
        <v>0</v>
      </c>
    </row>
    <row r="18" spans="1:12" hidden="1">
      <c r="A18" s="5" t="s">
        <v>89</v>
      </c>
      <c r="B18" s="92"/>
      <c r="C18" s="160">
        <f>IF(ISNA(VLOOKUP("MAR707510000",Balance!C:G,5,FALSE))=TRUE,0,-VLOOKUP("MAR707510000",Balance!C:G,5,FALSE))</f>
        <v>0</v>
      </c>
      <c r="D18" s="117">
        <f>+[2]STMarcelin!$H18</f>
        <v>0</v>
      </c>
      <c r="E18" s="160">
        <f>IF(ISNA(VLOOKUP("MAR707510000",Balanceanp!C:G,5,FALSE))=TRUE,0,-VLOOKUP("MAR707510000",Balanceanp!C:G,5,FALSE))</f>
        <v>0</v>
      </c>
      <c r="F18" s="368">
        <f t="shared" si="3"/>
        <v>0</v>
      </c>
      <c r="G18" s="395">
        <f t="shared" si="1"/>
        <v>0</v>
      </c>
      <c r="H18" s="401"/>
      <c r="I18" s="149">
        <f t="shared" si="2"/>
        <v>0</v>
      </c>
      <c r="J18" s="271">
        <f t="shared" si="2"/>
        <v>0</v>
      </c>
      <c r="L18" s="17">
        <v>0</v>
      </c>
    </row>
    <row r="19" spans="1:12" hidden="1">
      <c r="A19" s="5" t="s">
        <v>90</v>
      </c>
      <c r="B19" s="92"/>
      <c r="C19" s="160">
        <f>IF(ISNA(VLOOKUP("MAR708300000",Balance!C:G,5,FALSE))=TRUE,0,-VLOOKUP("MAR708300000",Balance!C:G,5,FALSE))</f>
        <v>0</v>
      </c>
      <c r="D19" s="117">
        <f>+[2]STMarcelin!$H19</f>
        <v>0</v>
      </c>
      <c r="E19" s="160">
        <f>IF(ISNA(VLOOKUP("MAR708300000",Balanceanp!C:G,5,FALSE))=TRUE,0,-VLOOKUP("MAR708300000",Balanceanp!C:G,5,FALSE))</f>
        <v>0</v>
      </c>
      <c r="F19" s="368">
        <f t="shared" si="3"/>
        <v>0</v>
      </c>
      <c r="G19" s="395">
        <f t="shared" si="1"/>
        <v>0</v>
      </c>
      <c r="H19" s="401"/>
      <c r="I19" s="149">
        <f t="shared" si="2"/>
        <v>0</v>
      </c>
      <c r="J19" s="271">
        <f t="shared" si="2"/>
        <v>0</v>
      </c>
      <c r="L19" s="17">
        <v>0</v>
      </c>
    </row>
    <row r="20" spans="1:12" hidden="1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s="17">
        <v>0</v>
      </c>
    </row>
    <row r="21" spans="1:12" s="33" customFormat="1" ht="15" customHeight="1">
      <c r="A21" s="13" t="s">
        <v>222</v>
      </c>
      <c r="B21" s="596"/>
      <c r="C21" s="305">
        <f>SUM(C7:C20)</f>
        <v>193842.48</v>
      </c>
      <c r="D21" s="312">
        <f>SUM(D7:D20)</f>
        <v>305973</v>
      </c>
      <c r="E21" s="305">
        <f>SUM(E7:E20)</f>
        <v>303269.75</v>
      </c>
      <c r="F21" s="312">
        <f>SUM(F7:F20)</f>
        <v>254840.54514504166</v>
      </c>
      <c r="G21" s="312">
        <f>SUM(G7:G20)</f>
        <v>328645</v>
      </c>
      <c r="H21" s="312"/>
      <c r="I21" s="598">
        <f>+IF((E21)=0,,(F21-E21)/E21)</f>
        <v>-0.15969019282324842</v>
      </c>
      <c r="J21" s="599">
        <f>+IF((F21)=0,,(G21-F21)/F21)</f>
        <v>0.28961033187616508</v>
      </c>
      <c r="L21" s="17">
        <f t="shared" si="0"/>
        <v>1</v>
      </c>
    </row>
    <row r="22" spans="1:12" hidden="1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s="17">
        <f t="shared" si="0"/>
        <v>0</v>
      </c>
    </row>
    <row r="23" spans="1:12" hidden="1">
      <c r="A23" s="5" t="s">
        <v>92</v>
      </c>
      <c r="B23" s="92"/>
      <c r="C23" s="160">
        <f>IF(ISNA(VLOOKUP("MAR602650000",Balance!C:G,5,FALSE))=TRUE,0,VLOOKUP("MAR602650000",Balance!C:G,5,FALSE))</f>
        <v>0</v>
      </c>
      <c r="D23" s="115"/>
      <c r="E23" s="160">
        <f>IF(ISNA(VLOOKUP("MAR602650000",Balanceanp!C:G,5,FALSE))=TRUE,0,VLOOKUP("MAR602650000",Balanceanp!C:G,5,FALSE))</f>
        <v>0</v>
      </c>
      <c r="F23" s="134"/>
      <c r="G23" s="134"/>
      <c r="H23" s="400"/>
      <c r="I23" s="149"/>
      <c r="J23" s="271"/>
      <c r="L23" s="17">
        <f t="shared" si="0"/>
        <v>0</v>
      </c>
    </row>
    <row r="24" spans="1:12">
      <c r="A24" s="590" t="s">
        <v>93</v>
      </c>
      <c r="B24" s="591"/>
      <c r="C24" s="311">
        <f>IF(ISNA(VLOOKUP("mar607100000",Balance!C:G,5,FALSE))=TRUE,0,VLOOKUP("mar607100000",Balance!C:G,5,FALSE))</f>
        <v>27856.34</v>
      </c>
      <c r="D24" s="600"/>
      <c r="E24" s="311">
        <f>IF(ISNA(VLOOKUP("mar607100000",Balanceanp!C:G,5,FALSE))=TRUE,0,VLOOKUP("mar607100000",Balanceanp!C:G,5,FALSE))</f>
        <v>49396.08</v>
      </c>
      <c r="F24" s="600"/>
      <c r="G24" s="602">
        <f>H24*G30</f>
        <v>120203.55197499999</v>
      </c>
      <c r="H24" s="603">
        <f>1-H28</f>
        <v>0.65</v>
      </c>
      <c r="I24" s="591"/>
      <c r="J24" s="595"/>
      <c r="L24" s="17">
        <f t="shared" si="0"/>
        <v>1</v>
      </c>
    </row>
    <row r="25" spans="1:12" hidden="1">
      <c r="A25" s="5" t="s">
        <v>94</v>
      </c>
      <c r="B25" s="92"/>
      <c r="C25" s="160">
        <f>IF(ISNA(VLOOKUP("mar607110000",Balance!C:G,5,FALSE))=TRUE,0,VLOOKUP("mar607110000",Balance!C:G,5,FALSE))+IF(ISNA(VLOOKUP("mar607120000",Balance!C:G,5,FALSE))=TRUE,0,VLOOKUP("mar607120000",Balance!C:G,5,FALSE))</f>
        <v>112.23</v>
      </c>
      <c r="D25" s="115"/>
      <c r="E25" s="160">
        <f>IF(ISNA(VLOOKUP("mar607110000",Balanceanp!C:G,5,FALSE))=TRUE,0,VLOOKUP("mar607110000",Balanceanp!C:G,5,FALSE))+IF(ISNA(VLOOKUP("mar607120000",Balanceanp!C:G,5,FALSE))=TRUE,0,VLOOKUP("mar607120000",Balanceanp!C:G,5,FALSE))</f>
        <v>921.54</v>
      </c>
      <c r="F25" s="134"/>
      <c r="G25" s="134"/>
      <c r="H25" s="400"/>
      <c r="I25" s="149"/>
      <c r="J25" s="271"/>
      <c r="L25" s="17">
        <v>0</v>
      </c>
    </row>
    <row r="26" spans="1:12" hidden="1">
      <c r="A26" s="5" t="s">
        <v>288</v>
      </c>
      <c r="B26" s="92"/>
      <c r="C26" s="160">
        <f>IF(ISNA(VLOOKUP("MAR607130000",Balance!C:G,5,FALSE))=TRUE,0,VLOOKUP("MAR607130000",Balance!C:G,5,FALSE))</f>
        <v>51736.4</v>
      </c>
      <c r="D26" s="115"/>
      <c r="E26" s="160">
        <f>IF(ISNA(VLOOKUP("MAR607130000",Balanceanp!C:G,5,FALSE))=TRUE,0,VLOOKUP("MAR607130000",Balanceanp!C:G,5,FALSE))</f>
        <v>80317</v>
      </c>
      <c r="F26" s="134"/>
      <c r="G26" s="134"/>
      <c r="H26" s="400"/>
      <c r="I26" s="149"/>
      <c r="J26" s="271"/>
      <c r="L26" s="17">
        <v>0</v>
      </c>
    </row>
    <row r="27" spans="1:12" hidden="1">
      <c r="A27" s="5" t="s">
        <v>289</v>
      </c>
      <c r="B27" s="92"/>
      <c r="C27" s="160">
        <f>IF(ISNA(VLOOKUP("MAR607140000",Balance!C:G,5,FALSE))=TRUE,0,VLOOKUP("MAR607140000",Balance!C:G,5,FALSE))</f>
        <v>-2693.17</v>
      </c>
      <c r="D27" s="115"/>
      <c r="E27" s="160">
        <f>IF(ISNA(VLOOKUP("MAR607140000",Balanceanp!C:G,5,FALSE))=TRUE,0,VLOOKUP("MAR607140000",Balanceanp!C:G,5,FALSE))</f>
        <v>-10972</v>
      </c>
      <c r="F27" s="134"/>
      <c r="G27" s="134"/>
      <c r="H27" s="400"/>
      <c r="I27" s="149"/>
      <c r="J27" s="271"/>
      <c r="L27" s="17">
        <v>0</v>
      </c>
    </row>
    <row r="28" spans="1:12">
      <c r="A28" s="590" t="s">
        <v>95</v>
      </c>
      <c r="B28" s="591"/>
      <c r="C28" s="311">
        <f>IF(ISNA(VLOOKUP("MAR607200000",Balance!C:G,5,FALSE))=TRUE,0,VLOOKUP("MAR607200000",Balance!C:G,5,FALSE))</f>
        <v>26106.79</v>
      </c>
      <c r="D28" s="1018">
        <f>C28/C30</f>
        <v>0.25317248810326054</v>
      </c>
      <c r="E28" s="311">
        <f>IF(ISNA(VLOOKUP("MAR607200000",Balanceanp!C:G,5,FALSE))=TRUE,0,VLOOKUP("MAR607200000",Balanceanp!C:G,5,FALSE))</f>
        <v>50792.9</v>
      </c>
      <c r="F28" s="1018">
        <f>E28/E30</f>
        <v>0.29798330966342423</v>
      </c>
      <c r="G28" s="602">
        <f>H28*G30</f>
        <v>64724.98952499999</v>
      </c>
      <c r="H28" s="604">
        <v>0.35</v>
      </c>
      <c r="I28" s="591"/>
      <c r="J28" s="595"/>
      <c r="L28" s="17">
        <f t="shared" si="0"/>
        <v>1</v>
      </c>
    </row>
    <row r="29" spans="1:12" hidden="1">
      <c r="A29" s="5" t="s">
        <v>293</v>
      </c>
      <c r="B29" s="92"/>
      <c r="C29" s="160">
        <f>IF(ISNA(VLOOKUP("MAR607150000",Balance!C:G,5,FALSE))=TRUE,0,VLOOKUP("MAR607150000",Balance!C:G,5,FALSE))</f>
        <v>0</v>
      </c>
      <c r="D29" s="115"/>
      <c r="E29" s="357">
        <f>IF(ISNA(VLOOKUP("MAR607150000",Balanceanp!C:G,5,FALSE))=TRUE,0,VLOOKUP("MAR607150000",Balanceanp!C:G,5,FALSE))</f>
        <v>0</v>
      </c>
      <c r="F29" s="134"/>
      <c r="G29" s="134"/>
      <c r="H29" s="400"/>
      <c r="I29" s="149">
        <f>+IF((D28)=0,"",(C28-D28)/D28)</f>
        <v>103117.59</v>
      </c>
      <c r="J29" s="271"/>
      <c r="L29" s="17">
        <v>0</v>
      </c>
    </row>
    <row r="30" spans="1:12" s="43" customFormat="1" ht="15" customHeight="1">
      <c r="A30" s="42" t="s">
        <v>292</v>
      </c>
      <c r="B30" s="606"/>
      <c r="C30" s="306">
        <f>SUM(C23:C29)</f>
        <v>103118.59</v>
      </c>
      <c r="D30" s="402"/>
      <c r="E30" s="306">
        <f>SUM(E23:E29)</f>
        <v>170455.52</v>
      </c>
      <c r="F30" s="607">
        <f>1-(E30/E21)</f>
        <v>0.43794090904219762</v>
      </c>
      <c r="G30" s="402">
        <f>G21*(1-H30)</f>
        <v>184928.54149999999</v>
      </c>
      <c r="H30" s="577">
        <v>0.43730000000000002</v>
      </c>
      <c r="I30" s="608"/>
      <c r="J30" s="609"/>
      <c r="L30" s="17">
        <f t="shared" si="0"/>
        <v>1</v>
      </c>
    </row>
    <row r="31" spans="1:12" hidden="1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s="17">
        <f t="shared" si="0"/>
        <v>0</v>
      </c>
    </row>
    <row r="32" spans="1:12" s="33" customFormat="1" ht="0.75" customHeight="1">
      <c r="A32" s="56" t="s">
        <v>336</v>
      </c>
      <c r="B32" s="610"/>
      <c r="C32" s="307">
        <f>+C21-C30-C38</f>
        <v>80389.670000000013</v>
      </c>
      <c r="D32" s="403"/>
      <c r="E32" s="307">
        <f>+E21-E30-E38</f>
        <v>134484.84970000002</v>
      </c>
      <c r="F32" s="403"/>
      <c r="G32" s="403"/>
      <c r="H32" s="403"/>
      <c r="I32" s="608"/>
      <c r="J32" s="577"/>
      <c r="L32" s="17">
        <f t="shared" si="0"/>
        <v>1</v>
      </c>
    </row>
    <row r="33" spans="1:12" s="33" customFormat="1" ht="0.75" customHeight="1">
      <c r="A33" s="56" t="s">
        <v>337</v>
      </c>
      <c r="B33" s="610"/>
      <c r="C33" s="308">
        <f>+C32/C21</f>
        <v>0.4147164749439855</v>
      </c>
      <c r="D33" s="403"/>
      <c r="E33" s="308">
        <f>+E32/E21</f>
        <v>0.44344960122135496</v>
      </c>
      <c r="F33" s="403"/>
      <c r="G33" s="403"/>
      <c r="H33" s="403"/>
      <c r="I33" s="608"/>
      <c r="J33" s="577"/>
      <c r="L33" s="17">
        <f t="shared" si="0"/>
        <v>1</v>
      </c>
    </row>
    <row r="34" spans="1:12" hidden="1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4">+IF((D33)=0,"",(C33-D33)/D33)</f>
        <v/>
      </c>
      <c r="J34" s="271"/>
      <c r="L34" s="17">
        <f t="shared" si="0"/>
        <v>0</v>
      </c>
    </row>
    <row r="35" spans="1:12">
      <c r="A35" s="590" t="s">
        <v>96</v>
      </c>
      <c r="B35" s="591"/>
      <c r="C35" s="311">
        <f>IF(ISNA(VLOOKUP("MAR607400000",Balance!C:G,5,FALSE))=TRUE,0,VLOOKUP("MAR607400000",Balance!C:G,5,FALSE))</f>
        <v>896.91</v>
      </c>
      <c r="D35" s="600"/>
      <c r="E35" s="311">
        <f>IF(ISNA(VLOOKUP("MAR607400000",Balanceanp!C:G,5,FALSE))=TRUE,0,VLOOKUP("MAR607400000",Balanceanp!C:G,5,FALSE))</f>
        <v>1093.3699999999999</v>
      </c>
      <c r="F35" s="972">
        <f>E35/E30</f>
        <v>6.4144006600666261E-3</v>
      </c>
      <c r="G35" s="613">
        <f>F35*G30</f>
        <v>1186.2057586627584</v>
      </c>
      <c r="H35" s="600"/>
      <c r="I35" s="591" t="str">
        <f t="shared" si="4"/>
        <v/>
      </c>
      <c r="J35" s="595"/>
      <c r="L35" s="17">
        <f t="shared" si="0"/>
        <v>1</v>
      </c>
    </row>
    <row r="36" spans="1:12">
      <c r="A36" s="590" t="s">
        <v>97</v>
      </c>
      <c r="B36" s="591"/>
      <c r="C36" s="311">
        <f>IF(ISNA(VLOOKUP("MAR608000000",Balance!C:G,5,FALSE))=TRUE,0,VLOOKUP("MAR608000000",Balance!C:G,5,FALSE))</f>
        <v>464.34</v>
      </c>
      <c r="D36" s="600"/>
      <c r="E36" s="311">
        <f>IF(ISNA(VLOOKUP("MAR608000000",Balanceanp!C:G,5,FALSE))=TRUE,0,VLOOKUP("MAR608000000",Balanceanp!C:G,5,FALSE))</f>
        <v>131.13999999999999</v>
      </c>
      <c r="F36" s="972">
        <f>E36/E30</f>
        <v>7.6935026803473419E-4</v>
      </c>
      <c r="G36" s="613">
        <f>F36*G30</f>
        <v>142.27482297029746</v>
      </c>
      <c r="H36" s="600"/>
      <c r="I36" s="591" t="str">
        <f t="shared" si="4"/>
        <v/>
      </c>
      <c r="J36" s="595"/>
      <c r="L36" s="17">
        <f t="shared" si="0"/>
        <v>1</v>
      </c>
    </row>
    <row r="37" spans="1:12" hidden="1">
      <c r="A37" s="5" t="s">
        <v>98</v>
      </c>
      <c r="B37" s="92"/>
      <c r="C37" s="160">
        <f>IF(ISNA(VLOOKUP("MAR608100000",Balance!C:G,5,FALSE))=TRUE,0,VLOOKUP("MAR608100000",Balance!C:G,5,FALSE))</f>
        <v>0</v>
      </c>
      <c r="D37" s="115"/>
      <c r="E37" s="160">
        <f>IF(ISNA(VLOOKUP("MAR608100000",Balanceanp!C:G,5,FALSE))=TRUE,0,VLOOKUP("MAR608100000",Balanceanp!C:G,5,FALSE))</f>
        <v>0</v>
      </c>
      <c r="F37" s="134"/>
      <c r="G37" s="134"/>
      <c r="H37" s="400"/>
      <c r="I37" s="149" t="str">
        <f t="shared" si="4"/>
        <v/>
      </c>
      <c r="J37" s="271"/>
      <c r="L37" s="17">
        <f t="shared" si="0"/>
        <v>0</v>
      </c>
    </row>
    <row r="38" spans="1:12" hidden="1">
      <c r="A38" s="5" t="s">
        <v>99</v>
      </c>
      <c r="B38" s="92"/>
      <c r="C38" s="160">
        <f>+C56-C57</f>
        <v>10334.220000000001</v>
      </c>
      <c r="D38" s="115"/>
      <c r="E38" s="160">
        <f>+E56-E57</f>
        <v>-1670.6196999999956</v>
      </c>
      <c r="F38" s="134"/>
      <c r="G38" s="134"/>
      <c r="H38" s="400"/>
      <c r="I38" s="149" t="str">
        <f t="shared" si="4"/>
        <v/>
      </c>
      <c r="J38" s="271"/>
      <c r="L38" s="17">
        <v>0</v>
      </c>
    </row>
    <row r="39" spans="1:12" hidden="1">
      <c r="A39" s="5" t="s">
        <v>177</v>
      </c>
      <c r="B39" s="92"/>
      <c r="C39" s="160">
        <f>IF(ISNA(VLOOKUP("MAR681730000",Balance!C:G,5,FALSE))=TRUE,0,VLOOKUP("MAR681730000",Balance!C:G,5,FALSE))</f>
        <v>0</v>
      </c>
      <c r="D39" s="115"/>
      <c r="E39" s="160">
        <f>IF(ISNA(VLOOKUP("MAR681730000",Balanceanp!C:G,5,FALSE))=TRUE,0,VLOOKUP("MAR681730000",Balanceanp!C:G,5,FALSE))</f>
        <v>2921.85</v>
      </c>
      <c r="F39" s="134"/>
      <c r="G39" s="134"/>
      <c r="H39" s="400"/>
      <c r="I39" s="149" t="str">
        <f t="shared" si="4"/>
        <v/>
      </c>
      <c r="J39" s="271"/>
      <c r="L39" s="17">
        <v>0</v>
      </c>
    </row>
    <row r="40" spans="1:12" hidden="1">
      <c r="A40" s="5" t="s">
        <v>176</v>
      </c>
      <c r="B40" s="92"/>
      <c r="C40" s="160">
        <f>IF(ISNA(VLOOKUP("MAR781730000",Balance!C:G,5,FALSE))=TRUE,0,VLOOKUP("MAR781730000",Balance!C:G,5,FALSE))</f>
        <v>-2478.38</v>
      </c>
      <c r="D40" s="115"/>
      <c r="E40" s="160">
        <f>IF(ISNA(VLOOKUP("MAR781730000",Balanceanp!C:G,5,FALSE))=TRUE,0,VLOOKUP("MAR781730000",Balanceanp!C:G,5,FALSE))</f>
        <v>-2191.88</v>
      </c>
      <c r="F40" s="134"/>
      <c r="G40" s="134"/>
      <c r="H40" s="400"/>
      <c r="I40" s="149" t="str">
        <f t="shared" si="4"/>
        <v/>
      </c>
      <c r="J40" s="271"/>
      <c r="L40" s="17">
        <v>0</v>
      </c>
    </row>
    <row r="41" spans="1:12">
      <c r="A41" s="590" t="s">
        <v>317</v>
      </c>
      <c r="B41" s="591"/>
      <c r="C41" s="311">
        <f>IF(ISNA(VLOOKUP("MAR609110000",Balance!C:G,5,FALSE))=TRUE,0,VLOOKUP("MAR609110000",Balance!C:G,5,FALSE))</f>
        <v>-130.16999999999999</v>
      </c>
      <c r="D41" s="600"/>
      <c r="E41" s="311">
        <f>IF(ISNA(VLOOKUP("MAR609110000",Balanceanp!C:G,5,FALSE))=TRUE,0,VLOOKUP("MAR609110000",Balanceanp!C:G,5,FALSE))</f>
        <v>-1113.97</v>
      </c>
      <c r="F41" s="614">
        <f>E41/SUM(E24:E25)</f>
        <v>-2.2138765704737228E-2</v>
      </c>
      <c r="G41" s="615">
        <f>H41*(G24)</f>
        <v>-2404.0710395000001</v>
      </c>
      <c r="H41" s="616">
        <v>-0.02</v>
      </c>
      <c r="I41" s="591" t="str">
        <f t="shared" si="4"/>
        <v/>
      </c>
      <c r="J41" s="595"/>
      <c r="L41" s="17">
        <f t="shared" si="0"/>
        <v>1</v>
      </c>
    </row>
    <row r="42" spans="1:12">
      <c r="A42" s="590" t="s">
        <v>318</v>
      </c>
      <c r="B42" s="591"/>
      <c r="C42" s="311">
        <f>IF(ISNA(VLOOKUP("MAR609120000",Balance!C:G,5,FALSE))=TRUE,0,VLOOKUP("MAR609120000",Balance!C:G,5,FALSE))</f>
        <v>-1883.84</v>
      </c>
      <c r="D42" s="600"/>
      <c r="E42" s="311">
        <f>IF(ISNA(VLOOKUP("MAR609120000",Balanceanp!C:G,5,FALSE))=TRUE,0,VLOOKUP("MAR609120000",Balanceanp!C:G,5,FALSE))</f>
        <v>-3951.58</v>
      </c>
      <c r="F42" s="614">
        <f>E42/E28</f>
        <v>-7.7797881199931487E-2</v>
      </c>
      <c r="G42" s="615">
        <f>H42*G28</f>
        <v>-4530.7492667500001</v>
      </c>
      <c r="H42" s="616">
        <v>-7.0000000000000007E-2</v>
      </c>
      <c r="I42" s="591" t="str">
        <f t="shared" si="4"/>
        <v/>
      </c>
      <c r="J42" s="595"/>
      <c r="L42" s="17">
        <f t="shared" si="0"/>
        <v>1</v>
      </c>
    </row>
    <row r="43" spans="1:12" hidden="1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s="17">
        <f t="shared" si="0"/>
        <v>0</v>
      </c>
    </row>
    <row r="44" spans="1:12" s="33" customFormat="1" ht="15" customHeight="1">
      <c r="A44" s="13" t="s">
        <v>291</v>
      </c>
      <c r="B44" s="596"/>
      <c r="C44" s="305">
        <f>+C30+SUM(C34:C43)</f>
        <v>110321.67</v>
      </c>
      <c r="D44" s="404"/>
      <c r="E44" s="305">
        <f>+E30+SUM(E34:E43)</f>
        <v>165673.8303</v>
      </c>
      <c r="F44" s="404"/>
      <c r="G44" s="618">
        <f>SUM(G35:G43)+G30</f>
        <v>179322.20177538306</v>
      </c>
      <c r="H44" s="404"/>
      <c r="I44" s="598"/>
      <c r="J44" s="599"/>
      <c r="L44" s="17">
        <f t="shared" si="0"/>
        <v>1</v>
      </c>
    </row>
    <row r="45" spans="1:12" hidden="1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s="17">
        <f t="shared" si="0"/>
        <v>0</v>
      </c>
    </row>
    <row r="46" spans="1:12" s="33" customFormat="1" ht="15" hidden="1" customHeight="1">
      <c r="A46" s="56" t="s">
        <v>339</v>
      </c>
      <c r="B46" s="95"/>
      <c r="C46" s="166">
        <f>+C21-C44</f>
        <v>83520.810000000012</v>
      </c>
      <c r="D46" s="120"/>
      <c r="E46" s="166">
        <f>+E21-E44</f>
        <v>137595.9197</v>
      </c>
      <c r="F46" s="138"/>
      <c r="G46" s="138"/>
      <c r="H46" s="403"/>
      <c r="I46" s="273"/>
      <c r="J46" s="274"/>
      <c r="L46" s="17">
        <v>0</v>
      </c>
    </row>
    <row r="47" spans="1:12" s="33" customFormat="1" ht="15" hidden="1" customHeight="1">
      <c r="A47" s="56" t="s">
        <v>340</v>
      </c>
      <c r="B47" s="95"/>
      <c r="C47" s="196">
        <f>+C46/C21</f>
        <v>0.43086948743123804</v>
      </c>
      <c r="D47" s="120"/>
      <c r="E47" s="196">
        <f>+E46/E21</f>
        <v>0.45370802627034185</v>
      </c>
      <c r="F47" s="138"/>
      <c r="G47" s="138"/>
      <c r="H47" s="403"/>
      <c r="I47" s="273"/>
      <c r="J47" s="274"/>
      <c r="L47" s="17">
        <v>0</v>
      </c>
    </row>
    <row r="48" spans="1:12" hidden="1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s="17">
        <f t="shared" si="0"/>
        <v>0</v>
      </c>
    </row>
    <row r="49" spans="1:12">
      <c r="A49" s="590" t="s">
        <v>91</v>
      </c>
      <c r="B49" s="591">
        <f>+C49/C21</f>
        <v>1.4702659602786756E-2</v>
      </c>
      <c r="C49" s="311">
        <f>IF(ISNA(VLOOKUP("MAR709700000",Balance!C:G,5,FALSE))=TRUE,0,VLOOKUP("MAR709700000",Balance!C:G,5,FALSE))</f>
        <v>2850</v>
      </c>
      <c r="D49" s="592">
        <f>+[2]STMarcelin!$H49</f>
        <v>3800</v>
      </c>
      <c r="E49" s="311">
        <f>IF(ISNA(VLOOKUP("MAR709700000",Balanceanp!C:G,5,FALSE))=TRUE,0,VLOOKUP("MAR709700000",Balanceanp!C:G,5,FALSE))</f>
        <v>2830.27</v>
      </c>
      <c r="F49" s="592">
        <f>+C49+C49/9*(12-Clients!$I$14)</f>
        <v>3800</v>
      </c>
      <c r="G49" s="620">
        <v>2446</v>
      </c>
      <c r="H49" s="621">
        <f>G49/G21</f>
        <v>7.4426813126625994E-3</v>
      </c>
      <c r="I49" s="591">
        <f>+IF((E49)=0,,(F49-E49)/E49)</f>
        <v>0.34262808848625748</v>
      </c>
      <c r="J49" s="595">
        <f>+IF((F49)=0,,(G49-F49)/F49)</f>
        <v>-0.3563157894736842</v>
      </c>
      <c r="L49" s="17">
        <f t="shared" si="0"/>
        <v>1</v>
      </c>
    </row>
    <row r="50" spans="1:12" hidden="1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s="17">
        <f t="shared" si="0"/>
        <v>0</v>
      </c>
    </row>
    <row r="51" spans="1:12" s="33" customFormat="1" ht="15" customHeight="1">
      <c r="A51" s="13" t="s">
        <v>223</v>
      </c>
      <c r="B51" s="596"/>
      <c r="C51" s="305">
        <f>+C21-C49</f>
        <v>190992.48</v>
      </c>
      <c r="D51" s="312">
        <f>+D21-D49</f>
        <v>302173</v>
      </c>
      <c r="E51" s="305">
        <f>+E21-E49</f>
        <v>300439.48</v>
      </c>
      <c r="F51" s="312">
        <f>+F21-F49</f>
        <v>251040.54514504166</v>
      </c>
      <c r="G51" s="312">
        <f>+G21-G49</f>
        <v>326199</v>
      </c>
      <c r="H51" s="312"/>
      <c r="I51" s="598">
        <f>+IF((E51)=0,,(F51-E51)/E51)</f>
        <v>-0.1644222485505511</v>
      </c>
      <c r="J51" s="599">
        <f>+IF((F51)=0,,(G51-F51)/F51)</f>
        <v>0.29938771369196421</v>
      </c>
      <c r="L51" s="17">
        <f t="shared" si="0"/>
        <v>1</v>
      </c>
    </row>
    <row r="52" spans="1:12" hidden="1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s="17">
        <f t="shared" si="0"/>
        <v>0</v>
      </c>
    </row>
    <row r="53" spans="1:12" s="33" customFormat="1" ht="15" hidden="1" customHeight="1">
      <c r="A53" s="16" t="s">
        <v>3</v>
      </c>
      <c r="B53" s="96"/>
      <c r="C53" s="169">
        <f>+C51-C44</f>
        <v>80670.810000000012</v>
      </c>
      <c r="D53" s="122"/>
      <c r="E53" s="169">
        <f>+E51-E44</f>
        <v>134765.64969999998</v>
      </c>
      <c r="F53" s="140"/>
      <c r="G53" s="140">
        <f>+G51-G44</f>
        <v>146876.79822461694</v>
      </c>
      <c r="H53" s="405"/>
      <c r="I53" s="224"/>
      <c r="J53" s="123"/>
      <c r="K53" s="2"/>
      <c r="L53" s="17">
        <v>0</v>
      </c>
    </row>
    <row r="54" spans="1:12" s="33" customFormat="1" ht="15" hidden="1" customHeight="1">
      <c r="A54" s="16" t="s">
        <v>4</v>
      </c>
      <c r="B54" s="96"/>
      <c r="C54" s="197">
        <f>+C53/C51</f>
        <v>0.42237689148808377</v>
      </c>
      <c r="D54" s="123"/>
      <c r="E54" s="197">
        <f>+E53/E51</f>
        <v>0.44856171931864608</v>
      </c>
      <c r="F54" s="141"/>
      <c r="G54" s="141"/>
      <c r="H54" s="406"/>
      <c r="I54" s="224"/>
      <c r="J54" s="123"/>
      <c r="K54" s="2"/>
      <c r="L54" s="17">
        <v>0</v>
      </c>
    </row>
    <row r="55" spans="1:12" hidden="1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s="17">
        <f t="shared" si="0"/>
        <v>0</v>
      </c>
    </row>
    <row r="56" spans="1:12" hidden="1">
      <c r="A56" s="5" t="s">
        <v>290</v>
      </c>
      <c r="B56" s="92"/>
      <c r="C56" s="160">
        <f>+[2]STMarcelin!$C56</f>
        <v>65506.22</v>
      </c>
      <c r="D56" s="115"/>
      <c r="E56" s="160">
        <f>+[1]STMarcelin!$G56</f>
        <v>62268.053900000006</v>
      </c>
      <c r="F56" s="134"/>
      <c r="G56" s="134"/>
      <c r="H56" s="400"/>
      <c r="I56" s="149" t="str">
        <f>+IF((D55)=0,"",(C55-D55)/D55)</f>
        <v/>
      </c>
      <c r="J56" s="271"/>
      <c r="L56" s="17">
        <v>0</v>
      </c>
    </row>
    <row r="57" spans="1:12" hidden="1">
      <c r="A57" s="5" t="s">
        <v>100</v>
      </c>
      <c r="B57" s="92"/>
      <c r="C57" s="160">
        <f>+[2]STMarcelin!$C57</f>
        <v>55172</v>
      </c>
      <c r="D57" s="115"/>
      <c r="E57" s="160">
        <f>+[1]STMarcelin!$G57</f>
        <v>63938.673600000002</v>
      </c>
      <c r="F57" s="134"/>
      <c r="G57" s="134"/>
      <c r="H57" s="400"/>
      <c r="I57" s="149" t="str">
        <f>+IF((D56)=0,"",(C56-D56)/D56)</f>
        <v/>
      </c>
      <c r="J57" s="271"/>
      <c r="L57" s="17">
        <v>0</v>
      </c>
    </row>
    <row r="58" spans="1:12" ht="12" hidden="1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s="17">
        <f t="shared" si="0"/>
        <v>0</v>
      </c>
    </row>
    <row r="59" spans="1:12" hidden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s="17">
        <f t="shared" si="0"/>
        <v>0</v>
      </c>
    </row>
    <row r="60" spans="1:12" s="33" customFormat="1" ht="15" customHeight="1">
      <c r="A60" s="16" t="s">
        <v>295</v>
      </c>
      <c r="B60" s="364"/>
      <c r="C60" s="15">
        <f>+[2]STMarcelin!$C60</f>
        <v>0.45</v>
      </c>
      <c r="D60" s="406">
        <f>+[2]STMarcelin!$H60</f>
        <v>0.4695555195202748</v>
      </c>
      <c r="E60" s="15">
        <f>+[1]STMarcelin!$G$54</f>
        <v>0.44856171931864608</v>
      </c>
      <c r="F60" s="406">
        <f>+C60</f>
        <v>0.45</v>
      </c>
      <c r="G60" s="406">
        <f>G62/G51</f>
        <v>0.45026746931970035</v>
      </c>
      <c r="H60" s="406"/>
      <c r="I60" s="15"/>
      <c r="J60" s="406"/>
      <c r="L60" s="17">
        <f t="shared" si="0"/>
        <v>1</v>
      </c>
    </row>
    <row r="61" spans="1:12" hidden="1">
      <c r="A61" s="5" t="s">
        <v>65</v>
      </c>
      <c r="B61" s="92"/>
      <c r="C61" s="92">
        <f>+[2]STMarcelin!$C61</f>
        <v>0.435</v>
      </c>
      <c r="D61" s="117"/>
      <c r="E61" s="160"/>
      <c r="F61" s="135"/>
      <c r="G61" s="135"/>
      <c r="H61" s="408"/>
      <c r="I61" s="149"/>
      <c r="J61" s="254"/>
      <c r="L61" s="17">
        <v>0</v>
      </c>
    </row>
    <row r="62" spans="1:12" s="33" customFormat="1" ht="15" customHeight="1">
      <c r="A62" s="16" t="s">
        <v>296</v>
      </c>
      <c r="B62" s="364"/>
      <c r="C62" s="309">
        <f>+C51*C60</f>
        <v>85946.616000000009</v>
      </c>
      <c r="D62" s="405">
        <f>D51*D60</f>
        <v>141887</v>
      </c>
      <c r="E62" s="309">
        <f>+E51*E60</f>
        <v>134765.64969999998</v>
      </c>
      <c r="F62" s="405">
        <f>+F51*F60</f>
        <v>112968.24531526875</v>
      </c>
      <c r="G62" s="405">
        <f>G51-G44</f>
        <v>146876.79822461694</v>
      </c>
      <c r="H62" s="405"/>
      <c r="I62" s="15">
        <f>+IF((E62)=0,,(F62-E62)/E62)</f>
        <v>-0.16174302897848331</v>
      </c>
      <c r="J62" s="406">
        <f>+IF((F62)=0,,(G62-F62)/F62)</f>
        <v>0.3001600389093157</v>
      </c>
      <c r="L62" s="17">
        <f t="shared" si="0"/>
        <v>1</v>
      </c>
    </row>
    <row r="63" spans="1:12" hidden="1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s="17">
        <f t="shared" si="0"/>
        <v>0</v>
      </c>
    </row>
    <row r="64" spans="1:12">
      <c r="A64" s="590" t="s">
        <v>104</v>
      </c>
      <c r="B64" s="591"/>
      <c r="C64" s="311">
        <f>IF(ISNA(VLOOKUP("MAR613520000",Balance!C:G,5,FALSE))=TRUE,0,VLOOKUP("MAR613520000",Balance!C:G,5,FALSE))</f>
        <v>0</v>
      </c>
      <c r="D64" s="592">
        <f>+[2]STMarcelin!$H64</f>
        <v>139.41565</v>
      </c>
      <c r="E64" s="311">
        <f>IF(ISNA(VLOOKUP("MAR613520000",Balanceanp!C:G,5,FALSE))=TRUE,0,VLOOKUP("MAR613520000",Balanceanp!C:G,5,FALSE))</f>
        <v>0</v>
      </c>
      <c r="F64" s="625">
        <f>+C64+C64/9*(12-Clients!$I$14)</f>
        <v>0</v>
      </c>
      <c r="G64" s="594">
        <f>+F64*1.03</f>
        <v>0</v>
      </c>
      <c r="H64" s="594"/>
      <c r="I64" s="591">
        <f t="shared" ref="I64:J68" si="5">+IF((E64)=0,,(F64-E64)/E64)</f>
        <v>0</v>
      </c>
      <c r="J64" s="595">
        <f t="shared" si="5"/>
        <v>0</v>
      </c>
      <c r="L64" s="17">
        <f t="shared" si="0"/>
        <v>1</v>
      </c>
    </row>
    <row r="65" spans="1:12" hidden="1">
      <c r="A65" s="5" t="s">
        <v>314</v>
      </c>
      <c r="B65" s="92"/>
      <c r="C65" s="160"/>
      <c r="D65" s="117">
        <f>+[2]STMarcelin!$H65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5"/>
        <v>0</v>
      </c>
      <c r="J65" s="271">
        <f t="shared" si="5"/>
        <v>0</v>
      </c>
      <c r="L65" s="17">
        <f t="shared" si="0"/>
        <v>0</v>
      </c>
    </row>
    <row r="66" spans="1:12">
      <c r="A66" s="590" t="s">
        <v>110</v>
      </c>
      <c r="B66" s="591"/>
      <c r="C66" s="311">
        <f>IF(ISNA(VLOOKUP("MAR616120000",Balance!C:G,5,FALSE))=TRUE,0,VLOOKUP("MAR616120000",Balance!C:G,5,FALSE))</f>
        <v>407.43</v>
      </c>
      <c r="D66" s="592">
        <f>+[2]STMarcelin!$H66</f>
        <v>543.219425</v>
      </c>
      <c r="E66" s="311">
        <f>IF(ISNA(VLOOKUP("MAR616120000",Balanceanp!C:G,5,FALSE))=TRUE,0,VLOOKUP("MAR616120000",Balanceanp!C:G,5,FALSE))</f>
        <v>457.83</v>
      </c>
      <c r="F66" s="625">
        <f>+C66+C66/9*(12-Clients!$I$14)</f>
        <v>543.24</v>
      </c>
      <c r="G66" s="594">
        <f>+F66*1.03</f>
        <v>559.53719999999998</v>
      </c>
      <c r="H66" s="594"/>
      <c r="I66" s="591">
        <f t="shared" si="5"/>
        <v>0.1865539610772558</v>
      </c>
      <c r="J66" s="595">
        <f t="shared" si="5"/>
        <v>2.9999999999999954E-2</v>
      </c>
      <c r="L66" s="17">
        <f t="shared" si="0"/>
        <v>1</v>
      </c>
    </row>
    <row r="67" spans="1:12">
      <c r="A67" s="590" t="s">
        <v>107</v>
      </c>
      <c r="B67" s="591"/>
      <c r="C67" s="311">
        <f>IF(ISNA(VLOOKUP("MAR615520000",Balance!C:G,5,FALSE))=TRUE,0,VLOOKUP("MAR615520000",Balance!C:G,5,FALSE))</f>
        <v>56.85</v>
      </c>
      <c r="D67" s="592">
        <f>+[2]STMarcelin!$H67</f>
        <v>674.01655000000005</v>
      </c>
      <c r="E67" s="311">
        <f>IF(ISNA(VLOOKUP("MAR615520000",Balanceanp!C:G,5,FALSE))=TRUE,0,VLOOKUP("MAR615520000",Balanceanp!C:G,5,FALSE))</f>
        <v>445.29</v>
      </c>
      <c r="F67" s="625">
        <f>+C67+C67/9*(12-Clients!$I$14)</f>
        <v>75.8</v>
      </c>
      <c r="G67" s="594">
        <f>+F67*1.03</f>
        <v>78.073999999999998</v>
      </c>
      <c r="H67" s="594"/>
      <c r="I67" s="591">
        <f t="shared" si="5"/>
        <v>-0.82977385524040514</v>
      </c>
      <c r="J67" s="595">
        <f t="shared" si="5"/>
        <v>3.0000000000000013E-2</v>
      </c>
      <c r="L67" s="17">
        <f t="shared" si="0"/>
        <v>1</v>
      </c>
    </row>
    <row r="68" spans="1:12">
      <c r="A68" s="590" t="s">
        <v>125</v>
      </c>
      <c r="B68" s="591"/>
      <c r="C68" s="311">
        <f>IF(ISNA(VLOOKUP("MAR606130000",Balance!C:G,5,FALSE))=TRUE,0,VLOOKUP("MAR606130000",Balance!C:G,5,FALSE))</f>
        <v>188.89</v>
      </c>
      <c r="D68" s="592">
        <f>+[2]STMarcelin!$H68</f>
        <v>753.82095000000004</v>
      </c>
      <c r="E68" s="311">
        <f>IF(ISNA(VLOOKUP("MAR606130000",Balanceanp!C:G,5,FALSE))=TRUE,0,VLOOKUP("MAR606130000",Balanceanp!C:G,5,FALSE))</f>
        <v>438.16</v>
      </c>
      <c r="F68" s="625">
        <f>+C68+C68/9*(12-Clients!$I$14)</f>
        <v>251.8533333333333</v>
      </c>
      <c r="G68" s="625">
        <f>+F68*1.03</f>
        <v>259.40893333333332</v>
      </c>
      <c r="H68" s="625"/>
      <c r="I68" s="591">
        <f t="shared" si="5"/>
        <v>-0.42520236139005552</v>
      </c>
      <c r="J68" s="595">
        <f t="shared" si="5"/>
        <v>3.000000000000011E-2</v>
      </c>
      <c r="L68" s="17">
        <f t="shared" si="0"/>
        <v>1</v>
      </c>
    </row>
    <row r="69" spans="1:12" hidden="1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s="17">
        <f t="shared" si="0"/>
        <v>0</v>
      </c>
    </row>
    <row r="70" spans="1:12">
      <c r="A70" s="11" t="s">
        <v>128</v>
      </c>
      <c r="B70" s="626"/>
      <c r="C70" s="627">
        <f>SUM(C64:C69)</f>
        <v>653.17000000000007</v>
      </c>
      <c r="D70" s="628">
        <f>SUM(D64:D69)</f>
        <v>2110.4725749999998</v>
      </c>
      <c r="E70" s="311">
        <f>SUM(E64:E69)</f>
        <v>1341.28</v>
      </c>
      <c r="F70" s="973">
        <f>SUM(F64:F69)</f>
        <v>870.8933333333332</v>
      </c>
      <c r="G70" s="412">
        <f>SUM(G64:G69)</f>
        <v>897.02013333333321</v>
      </c>
      <c r="H70" s="412"/>
      <c r="I70" s="591">
        <f>+IF((E70)=0,,(F70-E70)/E70)</f>
        <v>-0.35069982901904656</v>
      </c>
      <c r="J70" s="595">
        <f>+IF((F70)=0,,(G70-F70)/F70)</f>
        <v>3.0000000000000009E-2</v>
      </c>
      <c r="L70" s="17">
        <f t="shared" si="0"/>
        <v>1</v>
      </c>
    </row>
    <row r="71" spans="1:12" hidden="1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s="17">
        <f t="shared" si="0"/>
        <v>0</v>
      </c>
    </row>
    <row r="72" spans="1:12">
      <c r="A72" s="590" t="s">
        <v>1</v>
      </c>
      <c r="B72" s="591"/>
      <c r="C72" s="311">
        <f>IF(ISNA(VLOOKUP("MAR602220000",Balance!C:G,5,FALSE))=TRUE,0,VLOOKUP("MAR602220000",Balance!C:G,5,FALSE))</f>
        <v>0</v>
      </c>
      <c r="D72" s="592">
        <f>+[2]STMarcelin!$H72</f>
        <v>0.45530291666666672</v>
      </c>
      <c r="E72" s="311">
        <f>IF(ISNA(VLOOKUP("MAR602220000",Balanceanp!C:G,5,FALSE))=TRUE,0,VLOOKUP("MAR602220000",Balanceanp!C:G,5,FALSE))</f>
        <v>0</v>
      </c>
      <c r="F72" s="625">
        <f>+C72+C72/9*(12-Clients!$I$14)</f>
        <v>0</v>
      </c>
      <c r="G72" s="630">
        <f>+F72*1.03</f>
        <v>0</v>
      </c>
      <c r="H72" s="630"/>
      <c r="I72" s="591">
        <f t="shared" ref="I72:J87" si="6">+IF((E72)=0,,(F72-E72)/E72)</f>
        <v>0</v>
      </c>
      <c r="J72" s="595">
        <f t="shared" si="6"/>
        <v>0</v>
      </c>
      <c r="L72" s="17">
        <f t="shared" ref="L72:L133" si="7">IF(SUM(C72:J72)&lt;&gt;0,1,0)</f>
        <v>1</v>
      </c>
    </row>
    <row r="73" spans="1:12">
      <c r="A73" s="590" t="s">
        <v>123</v>
      </c>
      <c r="B73" s="591"/>
      <c r="C73" s="311">
        <f>IF(ISNA(VLOOKUP("MAR606100000",Balance!C:G,5,FALSE))=TRUE,0,VLOOKUP("MAR606100000",Balance!C:G,5,FALSE))</f>
        <v>200.99</v>
      </c>
      <c r="D73" s="592">
        <f>+[2]STMarcelin!$H73</f>
        <v>1541.4923411585419</v>
      </c>
      <c r="E73" s="311">
        <f>IF(ISNA(VLOOKUP("MAR606100000",Balanceanp!C:G,5,FALSE))=TRUE,0,VLOOKUP("MAR606100000",Balanceanp!C:G,5,FALSE))</f>
        <v>1640.06</v>
      </c>
      <c r="F73" s="625">
        <f>+C73+C73/9*(12-Clients!$I$14)</f>
        <v>267.98666666666668</v>
      </c>
      <c r="G73" s="630">
        <f t="shared" ref="G73:G101" si="8">+F73*1.03</f>
        <v>276.02626666666669</v>
      </c>
      <c r="H73" s="630"/>
      <c r="I73" s="591">
        <f t="shared" si="6"/>
        <v>-0.83659947400298362</v>
      </c>
      <c r="J73" s="595">
        <f t="shared" si="6"/>
        <v>3.0000000000000027E-2</v>
      </c>
      <c r="L73" s="17">
        <f t="shared" si="7"/>
        <v>1</v>
      </c>
    </row>
    <row r="74" spans="1:12">
      <c r="A74" s="590" t="s">
        <v>124</v>
      </c>
      <c r="B74" s="591"/>
      <c r="C74" s="311">
        <f>IF(ISNA(VLOOKUP("MAR606110000",Balance!C:G,5,FALSE))=TRUE,0,VLOOKUP("MAR606110000",Balance!C:G,5,FALSE))</f>
        <v>1863.87</v>
      </c>
      <c r="D74" s="592">
        <f>+[2]STMarcelin!$H74</f>
        <v>1458.3696491904168</v>
      </c>
      <c r="E74" s="311">
        <f>IF(ISNA(VLOOKUP("MAR606110000",Balanceanp!C:G,5,FALSE))=TRUE,0,VLOOKUP("MAR606110000",Balanceanp!C:G,5,FALSE))</f>
        <v>1623.06</v>
      </c>
      <c r="F74" s="625">
        <f>+C74+C74/9*(12-Clients!$I$14)</f>
        <v>2485.16</v>
      </c>
      <c r="G74" s="630">
        <f t="shared" si="8"/>
        <v>2559.7147999999997</v>
      </c>
      <c r="H74" s="630"/>
      <c r="I74" s="591">
        <f t="shared" si="6"/>
        <v>0.53115719689968333</v>
      </c>
      <c r="J74" s="595">
        <f t="shared" si="6"/>
        <v>2.9999999999999957E-2</v>
      </c>
      <c r="L74" s="17">
        <f t="shared" si="7"/>
        <v>1</v>
      </c>
    </row>
    <row r="75" spans="1:12" hidden="1">
      <c r="A75" s="5" t="s">
        <v>360</v>
      </c>
      <c r="B75" s="92"/>
      <c r="C75" s="160">
        <f>IF(ISNA(VLOOKUP("MAR606140000",Balance!C:G,5,FALSE))=TRUE,0,VLOOKUP("MAR606140000",Balance!C:G,5,FALSE))</f>
        <v>0</v>
      </c>
      <c r="D75" s="117">
        <f>+[2]STMarcelin!$H75</f>
        <v>0</v>
      </c>
      <c r="E75" s="160">
        <f>IF(ISNA(VLOOKUP("MAR606140000",Balanceanp!C:G,5,FALSE))=TRUE,0,VLOOKUP("MAR606140000",Balanceanp!C:G,5,FALSE))</f>
        <v>0</v>
      </c>
      <c r="F75" s="368">
        <f>+C75+C75/9*(12-Clients!$I$14)</f>
        <v>0</v>
      </c>
      <c r="G75" s="396">
        <f t="shared" si="8"/>
        <v>0</v>
      </c>
      <c r="H75" s="409"/>
      <c r="I75" s="149">
        <f t="shared" si="6"/>
        <v>0</v>
      </c>
      <c r="J75" s="271">
        <f t="shared" si="6"/>
        <v>0</v>
      </c>
      <c r="L75" s="17">
        <f t="shared" si="7"/>
        <v>0</v>
      </c>
    </row>
    <row r="76" spans="1:12">
      <c r="A76" s="590" t="s">
        <v>126</v>
      </c>
      <c r="B76" s="591"/>
      <c r="C76" s="311">
        <f>IF(ISNA(VLOOKUP("MAR606310000",Balance!C:G,5,FALSE))=TRUE,0,VLOOKUP("MAR606310000",Balance!C:G,5,FALSE))</f>
        <v>18.47</v>
      </c>
      <c r="D76" s="592">
        <f>+[2]STMarcelin!$H76</f>
        <v>33.163091365833331</v>
      </c>
      <c r="E76" s="311">
        <f>IF(ISNA(VLOOKUP("MAR606310000",Balanceanp!C:G,5,FALSE))=TRUE,0,VLOOKUP("MAR606310000",Balanceanp!C:G,5,FALSE))</f>
        <v>30.14</v>
      </c>
      <c r="F76" s="625">
        <f>+C76+C76/9*(12-Clients!$I$14)</f>
        <v>24.626666666666665</v>
      </c>
      <c r="G76" s="630">
        <f t="shared" si="8"/>
        <v>25.365466666666666</v>
      </c>
      <c r="H76" s="630"/>
      <c r="I76" s="591">
        <f t="shared" si="6"/>
        <v>-0.18292413182924139</v>
      </c>
      <c r="J76" s="595">
        <f t="shared" si="6"/>
        <v>3.0000000000000051E-2</v>
      </c>
      <c r="L76" s="17">
        <f t="shared" si="7"/>
        <v>1</v>
      </c>
    </row>
    <row r="77" spans="1:12">
      <c r="A77" s="590" t="s">
        <v>127</v>
      </c>
      <c r="B77" s="591"/>
      <c r="C77" s="311">
        <f>IF(ISNA(VLOOKUP("MAR606410000",Balance!C:G,5,FALSE))=TRUE,0,VLOOKUP("MAR606410000",Balance!C:G,5,FALSE))</f>
        <v>776.05</v>
      </c>
      <c r="D77" s="592">
        <f>+[2]STMarcelin!$H77</f>
        <v>898.96372736833337</v>
      </c>
      <c r="E77" s="311">
        <f>IF(ISNA(VLOOKUP("MAR606410000",Balanceanp!C:G,5,FALSE))=TRUE,0,VLOOKUP("MAR606410000",Balanceanp!C:G,5,FALSE))</f>
        <v>1295.31</v>
      </c>
      <c r="F77" s="625">
        <f>+C77+C77/9*(12-Clients!$I$14)</f>
        <v>1034.7333333333333</v>
      </c>
      <c r="G77" s="630">
        <f t="shared" si="8"/>
        <v>1065.7753333333333</v>
      </c>
      <c r="H77" s="630"/>
      <c r="I77" s="591">
        <f t="shared" si="6"/>
        <v>-0.20116934684875945</v>
      </c>
      <c r="J77" s="595">
        <f t="shared" si="6"/>
        <v>2.9999999999999919E-2</v>
      </c>
      <c r="L77" s="17">
        <f t="shared" si="7"/>
        <v>1</v>
      </c>
    </row>
    <row r="78" spans="1:12">
      <c r="A78" s="590" t="s">
        <v>101</v>
      </c>
      <c r="B78" s="591"/>
      <c r="C78" s="311">
        <f>IF(ISNA(VLOOKUP("MAR611000000",Balance!C:G,5,FALSE))=TRUE,0,VLOOKUP("MAR611000000",Balance!C:G,5,FALSE))</f>
        <v>0</v>
      </c>
      <c r="D78" s="592">
        <f>+[2]STMarcelin!$H78</f>
        <v>0.56912864583333345</v>
      </c>
      <c r="E78" s="311">
        <f>IF(ISNA(VLOOKUP("MAR611000000",Balanceanp!C:G,5,FALSE))=TRUE,0,VLOOKUP("MAR611000000",Balanceanp!C:G,5,FALSE))</f>
        <v>0</v>
      </c>
      <c r="F78" s="625">
        <f>+C78+C78/9*(12-Clients!$I$14)</f>
        <v>0</v>
      </c>
      <c r="G78" s="625">
        <f t="shared" si="8"/>
        <v>0</v>
      </c>
      <c r="H78" s="625"/>
      <c r="I78" s="591">
        <f t="shared" si="6"/>
        <v>0</v>
      </c>
      <c r="J78" s="595">
        <f t="shared" si="6"/>
        <v>0</v>
      </c>
      <c r="L78" s="17">
        <f t="shared" si="7"/>
        <v>1</v>
      </c>
    </row>
    <row r="79" spans="1:12">
      <c r="A79" s="590" t="s">
        <v>102</v>
      </c>
      <c r="B79" s="591"/>
      <c r="C79" s="311">
        <f>IF(ISNA(VLOOKUP("MAR613200000",Balance!C:G,5,FALSE))=TRUE,0,VLOOKUP("MAR613200000",Balance!C:G,5,FALSE))</f>
        <v>20923.599999999999</v>
      </c>
      <c r="D79" s="592">
        <f>+[2]STMarcelin!$H79</f>
        <v>32495.139300000003</v>
      </c>
      <c r="E79" s="311">
        <f>IF(ISNA(VLOOKUP("MAR613200000",Balanceanp!C:G,5,FALSE))=TRUE,0,VLOOKUP("MAR613200000",Balanceanp!C:G,5,FALSE))</f>
        <v>27577.55</v>
      </c>
      <c r="F79" s="620">
        <f>+(4398.17+3664.14)*3+3778.64+4534.36-(376.25*5+391.63*7)</f>
        <v>27877.27</v>
      </c>
      <c r="G79" s="640">
        <f>+(3778.64+4534.36)*3+-(391.63*9)+25000</f>
        <v>46414.33</v>
      </c>
      <c r="H79" s="974">
        <f>G79/G21</f>
        <v>0.14122938124724246</v>
      </c>
      <c r="I79" s="591">
        <f t="shared" si="6"/>
        <v>1.0868260596028334E-2</v>
      </c>
      <c r="J79" s="595">
        <f t="shared" si="6"/>
        <v>0.66495248638048132</v>
      </c>
      <c r="L79" s="17">
        <f t="shared" si="7"/>
        <v>1</v>
      </c>
    </row>
    <row r="80" spans="1:12" hidden="1">
      <c r="A80" s="5" t="s">
        <v>325</v>
      </c>
      <c r="B80" s="92"/>
      <c r="C80" s="160">
        <f>IF(ISNA(VLOOKUP("MAR614000000",Balance!C:G,5,FALSE))=TRUE,0,VLOOKUP("MAR614000000",Balance!C:G,5,FALSE))</f>
        <v>0</v>
      </c>
      <c r="D80" s="117">
        <f>+[2]STMarcelin!$H80</f>
        <v>0</v>
      </c>
      <c r="E80" s="160">
        <f>IF(ISNA(VLOOKUP("MAR614000000",Balanceanp!C:G,5,FALSE))=TRUE,0,VLOOKUP("MAR614000000",Balanceanp!C:G,5,FALSE))</f>
        <v>0</v>
      </c>
      <c r="F80" s="368">
        <f>+C80+C80/9*(12-Clients!$I$14)</f>
        <v>0</v>
      </c>
      <c r="G80" s="396">
        <f t="shared" si="8"/>
        <v>0</v>
      </c>
      <c r="H80" s="409"/>
      <c r="I80" s="149">
        <f t="shared" si="6"/>
        <v>0</v>
      </c>
      <c r="J80" s="271">
        <f t="shared" si="6"/>
        <v>0</v>
      </c>
      <c r="L80" s="17">
        <f t="shared" si="7"/>
        <v>0</v>
      </c>
    </row>
    <row r="81" spans="1:12" hidden="1">
      <c r="A81" s="5" t="s">
        <v>103</v>
      </c>
      <c r="B81" s="92"/>
      <c r="C81" s="160">
        <f>IF(ISNA(VLOOKUP("MAR613510000",Balance!C:G,5,FALSE))=TRUE,0,VLOOKUP("MAR613510000",Balance!C:G,5,FALSE))</f>
        <v>0</v>
      </c>
      <c r="D81" s="117">
        <f>+[2]STMarcelin!$H81</f>
        <v>0</v>
      </c>
      <c r="E81" s="160">
        <f>IF(ISNA(VLOOKUP("MAR613510000",Balanceanp!C:G,5,FALSE))=TRUE,0,VLOOKUP("MAR613510000",Balanceanp!C:G,5,FALSE))</f>
        <v>0</v>
      </c>
      <c r="F81" s="368">
        <f>+C81+C81/9*(12-Clients!$I$14)</f>
        <v>0</v>
      </c>
      <c r="G81" s="396">
        <f t="shared" si="8"/>
        <v>0</v>
      </c>
      <c r="H81" s="409"/>
      <c r="I81" s="149">
        <f t="shared" si="6"/>
        <v>0</v>
      </c>
      <c r="J81" s="271">
        <f t="shared" si="6"/>
        <v>0</v>
      </c>
      <c r="L81" s="17">
        <f t="shared" si="7"/>
        <v>0</v>
      </c>
    </row>
    <row r="82" spans="1:12">
      <c r="A82" s="590" t="s">
        <v>105</v>
      </c>
      <c r="B82" s="591"/>
      <c r="C82" s="311">
        <f>IF(ISNA(VLOOKUP("MAR613530000",Balance!C:G,5,FALSE))=TRUE,0,VLOOKUP("MAR613530000",Balance!C:G,5,FALSE))</f>
        <v>135</v>
      </c>
      <c r="D82" s="592">
        <f>+[2]STMarcelin!$H82</f>
        <v>189.61060427187499</v>
      </c>
      <c r="E82" s="311">
        <f>IF(ISNA(VLOOKUP("MAR613530000",Balanceanp!C:G,5,FALSE))=TRUE,0,VLOOKUP("MAR613530000",Balanceanp!C:G,5,FALSE))</f>
        <v>180</v>
      </c>
      <c r="F82" s="625">
        <f>+C82+C82/9*(12-Clients!$I$14)</f>
        <v>180</v>
      </c>
      <c r="G82" s="630">
        <f t="shared" si="8"/>
        <v>185.4</v>
      </c>
      <c r="H82" s="630"/>
      <c r="I82" s="591">
        <f t="shared" si="6"/>
        <v>0</v>
      </c>
      <c r="J82" s="595">
        <f t="shared" si="6"/>
        <v>3.000000000000003E-2</v>
      </c>
      <c r="L82" s="17">
        <f t="shared" si="7"/>
        <v>1</v>
      </c>
    </row>
    <row r="83" spans="1:12">
      <c r="A83" s="590" t="s">
        <v>287</v>
      </c>
      <c r="B83" s="591"/>
      <c r="C83" s="311">
        <f>IF(ISNA(VLOOKUP("MAR613540000",Balance!C:G,5,FALSE))=TRUE,0,VLOOKUP("MAR613540000",Balance!C:G,5,FALSE))</f>
        <v>0</v>
      </c>
      <c r="D83" s="592">
        <f>+[2]STMarcelin!$H83</f>
        <v>0.39080167013888889</v>
      </c>
      <c r="E83" s="311">
        <f>IF(ISNA(VLOOKUP("MAR613540000",Balanceanp!C:G,5,FALSE))=TRUE,0,VLOOKUP("MAR613540000",Balanceanp!C:G,5,FALSE))</f>
        <v>0</v>
      </c>
      <c r="F83" s="625">
        <f>+C83+C83/9*(12-Clients!$I$14)</f>
        <v>0</v>
      </c>
      <c r="G83" s="630">
        <f t="shared" si="8"/>
        <v>0</v>
      </c>
      <c r="H83" s="630"/>
      <c r="I83" s="591">
        <f t="shared" si="6"/>
        <v>0</v>
      </c>
      <c r="J83" s="595">
        <f t="shared" si="6"/>
        <v>0</v>
      </c>
      <c r="L83" s="17">
        <f t="shared" si="7"/>
        <v>1</v>
      </c>
    </row>
    <row r="84" spans="1:12">
      <c r="A84" s="590" t="s">
        <v>108</v>
      </c>
      <c r="B84" s="591"/>
      <c r="C84" s="311">
        <f>IF(ISNA(VLOOKUP("MAR615200000",Balance!C:G,5,FALSE))=TRUE,0,VLOOKUP("MAR615200000",Balance!C:G,5,FALSE))</f>
        <v>1307.44</v>
      </c>
      <c r="D84" s="592">
        <f>+[2]STMarcelin!$H84</f>
        <v>905.56209351937503</v>
      </c>
      <c r="E84" s="311">
        <f>IF(ISNA(VLOOKUP("MAR615200000",Balanceanp!C:G,5,FALSE))=TRUE,0,VLOOKUP("MAR615200000",Balanceanp!C:G,5,FALSE))</f>
        <v>3307.15</v>
      </c>
      <c r="F84" s="625">
        <f>+C84+C84/9*(12-Clients!$I$14)</f>
        <v>1743.2533333333333</v>
      </c>
      <c r="G84" s="630">
        <f t="shared" si="8"/>
        <v>1795.5509333333334</v>
      </c>
      <c r="H84" s="630"/>
      <c r="I84" s="591">
        <f t="shared" si="6"/>
        <v>-0.47288349989164891</v>
      </c>
      <c r="J84" s="595">
        <f t="shared" si="6"/>
        <v>3.0000000000000058E-2</v>
      </c>
      <c r="L84" s="17">
        <f t="shared" si="7"/>
        <v>1</v>
      </c>
    </row>
    <row r="85" spans="1:12">
      <c r="A85" s="590" t="s">
        <v>109</v>
      </c>
      <c r="B85" s="591"/>
      <c r="C85" s="311">
        <f>IF(ISNA(VLOOKUP("MAR615500000",Balance!C:G,5,FALSE))=TRUE,0,VLOOKUP("MAR615500000",Balance!C:G,5,FALSE))</f>
        <v>1044</v>
      </c>
      <c r="D85" s="592">
        <f>+[2]STMarcelin!$H85</f>
        <v>1282.8841837500001</v>
      </c>
      <c r="E85" s="311">
        <f>IF(ISNA(VLOOKUP("MAR615500000",Balanceanp!C:G,5,FALSE))=TRUE,0,VLOOKUP("MAR615500000",Balanceanp!C:G,5,FALSE))</f>
        <v>920</v>
      </c>
      <c r="F85" s="625">
        <f>+C85+C85/9*(12-Clients!$I$14)</f>
        <v>1392</v>
      </c>
      <c r="G85" s="630">
        <f t="shared" si="8"/>
        <v>1433.76</v>
      </c>
      <c r="H85" s="630"/>
      <c r="I85" s="591">
        <f t="shared" si="6"/>
        <v>0.5130434782608696</v>
      </c>
      <c r="J85" s="595">
        <f t="shared" si="6"/>
        <v>2.9999999999999992E-2</v>
      </c>
      <c r="L85" s="17">
        <f t="shared" si="7"/>
        <v>1</v>
      </c>
    </row>
    <row r="86" spans="1:12">
      <c r="A86" s="590" t="s">
        <v>106</v>
      </c>
      <c r="B86" s="591"/>
      <c r="C86" s="311">
        <f>IF(ISNA(VLOOKUP("MAR615510000",Balance!C:G,5,FALSE))=TRUE,0,VLOOKUP("MAR615510000",Balance!C:G,5,FALSE))</f>
        <v>222.89999999999998</v>
      </c>
      <c r="D86" s="592">
        <f>+[2]STMarcelin!$H86</f>
        <v>567.06527129583344</v>
      </c>
      <c r="E86" s="311">
        <f>IF(ISNA(VLOOKUP("MAR615510000",Balanceanp!C:G,5,FALSE))=TRUE,0,VLOOKUP("MAR615510000",Balanceanp!C:G,5,FALSE))</f>
        <v>481.71999999999997</v>
      </c>
      <c r="F86" s="625">
        <f>+C86+C86/9*(12-Clients!$I$14)</f>
        <v>297.2</v>
      </c>
      <c r="G86" s="630">
        <f t="shared" si="8"/>
        <v>306.11599999999999</v>
      </c>
      <c r="H86" s="630"/>
      <c r="I86" s="591">
        <f t="shared" si="6"/>
        <v>-0.38304409200365358</v>
      </c>
      <c r="J86" s="595">
        <f t="shared" si="6"/>
        <v>2.9999999999999992E-2</v>
      </c>
      <c r="L86" s="17">
        <f t="shared" si="7"/>
        <v>1</v>
      </c>
    </row>
    <row r="87" spans="1:12" hidden="1">
      <c r="A87" s="5" t="s">
        <v>363</v>
      </c>
      <c r="B87" s="92"/>
      <c r="C87" s="160">
        <f>IF(ISNA(VLOOKUP("MAR615530000",Balance!C:G,5,FALSE))=TRUE,0,VLOOKUP("MAR615530000",Balance!C:G,5,FALSE))</f>
        <v>0</v>
      </c>
      <c r="D87" s="117">
        <f>+[2]STMarcelin!$H87</f>
        <v>0</v>
      </c>
      <c r="E87" s="160">
        <f>IF(ISNA(VLOOKUP("MAR615530000",Balanceanp!C:G,5,FALSE))=TRUE,0,VLOOKUP("MAR615530000",Balanceanp!C:G,5,FALSE))</f>
        <v>0</v>
      </c>
      <c r="F87" s="368">
        <f>+C87+C87/9*(12-Clients!$I$14)</f>
        <v>0</v>
      </c>
      <c r="G87" s="396">
        <f t="shared" si="8"/>
        <v>0</v>
      </c>
      <c r="H87" s="409"/>
      <c r="I87" s="149">
        <f t="shared" si="6"/>
        <v>0</v>
      </c>
      <c r="J87" s="271">
        <f t="shared" si="6"/>
        <v>0</v>
      </c>
      <c r="L87" s="17">
        <f t="shared" si="7"/>
        <v>0</v>
      </c>
    </row>
    <row r="88" spans="1:12">
      <c r="A88" s="590" t="s">
        <v>111</v>
      </c>
      <c r="B88" s="591"/>
      <c r="C88" s="311">
        <f>IF(ISNA(VLOOKUP("MAR616130000",Balance!C:G,5,FALSE))=TRUE,0,VLOOKUP("MAR616130000",Balance!C:G,5,FALSE))</f>
        <v>1502.01</v>
      </c>
      <c r="D88" s="592">
        <f>+[2]STMarcelin!$H88</f>
        <v>2002.7353500000002</v>
      </c>
      <c r="E88" s="311">
        <f>IF(ISNA(VLOOKUP("MAR616130000",Balanceanp!C:G,5,FALSE))=TRUE,0,VLOOKUP("MAR616130000",Balanceanp!C:G,5,FALSE))</f>
        <v>1832.5</v>
      </c>
      <c r="F88" s="625">
        <f>+C88+C88/9*(12-Clients!$I$14)</f>
        <v>2002.6799999999998</v>
      </c>
      <c r="G88" s="632">
        <f>+E88*1.05*1.05</f>
        <v>2020.3312500000002</v>
      </c>
      <c r="H88" s="632"/>
      <c r="I88" s="591">
        <f t="shared" ref="I88:I101" si="9">+IF((E88)=0,,(F88-E88)/E88)</f>
        <v>9.2867667121418737E-2</v>
      </c>
      <c r="J88" s="595">
        <f t="shared" ref="J88:J101" si="10">+IF((F88)=0,,(G88-F88)/F88)</f>
        <v>8.8138144885854686E-3</v>
      </c>
      <c r="L88" s="17">
        <f t="shared" si="7"/>
        <v>1</v>
      </c>
    </row>
    <row r="89" spans="1:12" hidden="1">
      <c r="A89" s="5" t="s">
        <v>315</v>
      </c>
      <c r="B89" s="92"/>
      <c r="C89" s="160"/>
      <c r="D89" s="117">
        <f>+[2]STMarcelin!$H89</f>
        <v>0</v>
      </c>
      <c r="E89" s="160"/>
      <c r="F89" s="368">
        <f>+C89+C89/9*(12-Clients!$I$14)</f>
        <v>0</v>
      </c>
      <c r="G89" s="396">
        <f t="shared" si="8"/>
        <v>0</v>
      </c>
      <c r="H89" s="409"/>
      <c r="I89" s="149">
        <f t="shared" si="9"/>
        <v>0</v>
      </c>
      <c r="J89" s="271">
        <f t="shared" si="10"/>
        <v>0</v>
      </c>
      <c r="L89" s="17">
        <f t="shared" si="7"/>
        <v>0</v>
      </c>
    </row>
    <row r="90" spans="1:12">
      <c r="A90" s="590" t="s">
        <v>112</v>
      </c>
      <c r="B90" s="591"/>
      <c r="C90" s="311">
        <f>IF(ISNA(VLOOKUP("MAR618100000",Balance!C:G,5,FALSE))=TRUE,0,VLOOKUP("MAR618100000",Balance!C:G,5,FALSE))</f>
        <v>0</v>
      </c>
      <c r="D90" s="592">
        <f>+[2]STMarcelin!$H90</f>
        <v>39.091128645833329</v>
      </c>
      <c r="E90" s="311">
        <f>IF(ISNA(VLOOKUP("MAR618100000",Balanceanp!C:G,5,FALSE))=TRUE,0,VLOOKUP("MAR618100000",Balanceanp!C:G,5,FALSE))</f>
        <v>37.4</v>
      </c>
      <c r="F90" s="625">
        <f>+C90+C90/9*(12-Clients!$I$14)</f>
        <v>0</v>
      </c>
      <c r="G90" s="630">
        <f t="shared" si="8"/>
        <v>0</v>
      </c>
      <c r="H90" s="630"/>
      <c r="I90" s="591">
        <f t="shared" si="9"/>
        <v>-1</v>
      </c>
      <c r="J90" s="595">
        <f t="shared" si="10"/>
        <v>0</v>
      </c>
      <c r="L90" s="17">
        <f t="shared" si="7"/>
        <v>1</v>
      </c>
    </row>
    <row r="91" spans="1:12">
      <c r="A91" s="590" t="s">
        <v>113</v>
      </c>
      <c r="B91" s="591"/>
      <c r="C91" s="311">
        <f>IF(ISNA(VLOOKUP("MAR618500000",Balance!C:G,5,FALSE))=TRUE,0,VLOOKUP("MAR618500000",Balance!C:G,5,FALSE))</f>
        <v>96.54</v>
      </c>
      <c r="D91" s="592">
        <f>+[2]STMarcelin!$H91</f>
        <v>114.23136428166666</v>
      </c>
      <c r="E91" s="311">
        <f>IF(ISNA(VLOOKUP("MAR618500000",Balanceanp!C:G,5,FALSE))=TRUE,0,VLOOKUP("MAR618500000",Balanceanp!C:G,5,FALSE))</f>
        <v>50.9</v>
      </c>
      <c r="F91" s="625">
        <f>+C91+C91/9*(12-Clients!$I$14)</f>
        <v>128.72</v>
      </c>
      <c r="G91" s="630">
        <f t="shared" si="8"/>
        <v>132.58160000000001</v>
      </c>
      <c r="H91" s="630"/>
      <c r="I91" s="591">
        <f t="shared" si="9"/>
        <v>1.5288801571709232</v>
      </c>
      <c r="J91" s="595">
        <f t="shared" si="10"/>
        <v>3.0000000000000079E-2</v>
      </c>
      <c r="L91" s="17">
        <f t="shared" si="7"/>
        <v>1</v>
      </c>
    </row>
    <row r="92" spans="1:12" hidden="1">
      <c r="A92" s="5" t="s">
        <v>309</v>
      </c>
      <c r="B92" s="92"/>
      <c r="C92" s="160">
        <f>IF(ISNA(VLOOKUP("MAR622200000",Balance!C:G,5,FALSE))=TRUE,0,VLOOKUP("MAR622200000",Balance!C:G,5,FALSE))</f>
        <v>0</v>
      </c>
      <c r="D92" s="117">
        <f>+[2]STMarcelin!$H92</f>
        <v>0</v>
      </c>
      <c r="E92" s="160">
        <f>IF(ISNA(VLOOKUP("MAR622200000",Balanceanp!C:G,5,FALSE))=TRUE,0,VLOOKUP("MAR622200000",Balanceanp!C:G,5,FALSE))</f>
        <v>0</v>
      </c>
      <c r="F92" s="368">
        <f>+C92+C92/9*(12-Clients!$I$14)</f>
        <v>0</v>
      </c>
      <c r="G92" s="396">
        <f t="shared" si="8"/>
        <v>0</v>
      </c>
      <c r="H92" s="409"/>
      <c r="I92" s="149">
        <f t="shared" si="9"/>
        <v>0</v>
      </c>
      <c r="J92" s="271">
        <f t="shared" si="10"/>
        <v>0</v>
      </c>
      <c r="L92" s="17">
        <f t="shared" si="7"/>
        <v>0</v>
      </c>
    </row>
    <row r="93" spans="1:12" hidden="1">
      <c r="A93" s="5" t="s">
        <v>115</v>
      </c>
      <c r="B93" s="92"/>
      <c r="C93" s="160">
        <f>IF(ISNA(VLOOKUP("MAR622600000",Balance!C:G,5,FALSE))=TRUE,0,VLOOKUP("MAR622600000",Balance!C:G,5,FALSE))</f>
        <v>0</v>
      </c>
      <c r="D93" s="117">
        <f>+[2]STMarcelin!$H93</f>
        <v>0</v>
      </c>
      <c r="E93" s="160">
        <f>IF(ISNA(VLOOKUP("MAR622600000",Balanceanp!C:G,5,FALSE))=TRUE,0,VLOOKUP("MAR622600000",Balanceanp!C:G,5,FALSE))</f>
        <v>0</v>
      </c>
      <c r="F93" s="368">
        <f>+C93+C93/9*(12-Clients!$I$14)</f>
        <v>0</v>
      </c>
      <c r="G93" s="396">
        <f t="shared" si="8"/>
        <v>0</v>
      </c>
      <c r="H93" s="409"/>
      <c r="I93" s="149">
        <f t="shared" si="9"/>
        <v>0</v>
      </c>
      <c r="J93" s="271">
        <f t="shared" si="10"/>
        <v>0</v>
      </c>
      <c r="L93" s="17">
        <f t="shared" si="7"/>
        <v>0</v>
      </c>
    </row>
    <row r="94" spans="1:12">
      <c r="A94" s="590" t="s">
        <v>42</v>
      </c>
      <c r="B94" s="591"/>
      <c r="C94" s="311">
        <f>IF(ISNA(VLOOKUP("MAR622710000",Balance!C:G,5,FALSE))=TRUE,0,VLOOKUP("MAR622710000",Balance!C:G,5,FALSE))</f>
        <v>0</v>
      </c>
      <c r="D94" s="592">
        <f>+[2]STMarcelin!$H94</f>
        <v>2.1588187793750002</v>
      </c>
      <c r="E94" s="311">
        <f>IF(ISNA(VLOOKUP("MAR622710000",Balanceanp!C:G,5,FALSE))=TRUE,0,VLOOKUP("MAR622710000",Balanceanp!C:G,5,FALSE))</f>
        <v>0</v>
      </c>
      <c r="F94" s="625">
        <f>+C94+C94/9*(12-Clients!$I$14)</f>
        <v>0</v>
      </c>
      <c r="G94" s="630">
        <f t="shared" si="8"/>
        <v>0</v>
      </c>
      <c r="H94" s="630"/>
      <c r="I94" s="591">
        <f t="shared" si="9"/>
        <v>0</v>
      </c>
      <c r="J94" s="595">
        <f t="shared" si="10"/>
        <v>0</v>
      </c>
      <c r="L94" s="17">
        <f t="shared" si="7"/>
        <v>1</v>
      </c>
    </row>
    <row r="95" spans="1:12">
      <c r="A95" s="590" t="s">
        <v>117</v>
      </c>
      <c r="B95" s="591">
        <f>+C95/$C$21</f>
        <v>7.8620537665428133E-5</v>
      </c>
      <c r="C95" s="311">
        <f>IF(ISNA(VLOOKUP("MAR624200000",Balance!C:G,5,FALSE))=TRUE,0,VLOOKUP("MAR624200000",Balance!C:G,5,FALSE))</f>
        <v>15.24</v>
      </c>
      <c r="D95" s="592">
        <f>+[2]STMarcelin!$H95</f>
        <v>716.92738436481989</v>
      </c>
      <c r="E95" s="311">
        <f>IF(ISNA(VLOOKUP("MAR624200000",Balanceanp!C:G,5,FALSE))=TRUE,0,VLOOKUP("MAR624200000",Balanceanp!C:G,5,FALSE))</f>
        <v>308.37</v>
      </c>
      <c r="F95" s="625">
        <f>+C95+C95/9*(12-Clients!$I$14)</f>
        <v>20.32</v>
      </c>
      <c r="G95" s="630">
        <f>B95*G21</f>
        <v>25.838246601054628</v>
      </c>
      <c r="H95" s="633">
        <f>+G95/$G$21</f>
        <v>7.8620537665428133E-5</v>
      </c>
      <c r="I95" s="591">
        <f t="shared" si="9"/>
        <v>-0.93410513344359047</v>
      </c>
      <c r="J95" s="595">
        <f t="shared" si="10"/>
        <v>0.27156725398890885</v>
      </c>
      <c r="L95" s="17">
        <f t="shared" si="7"/>
        <v>1</v>
      </c>
    </row>
    <row r="96" spans="1:12">
      <c r="A96" s="590" t="s">
        <v>118</v>
      </c>
      <c r="B96" s="591"/>
      <c r="C96" s="311">
        <f>IF(ISNA(VLOOKUP("MAR625100000",Balance!C:G,5,FALSE))=TRUE,0,VLOOKUP("MAR625100000",Balance!C:G,5,FALSE))</f>
        <v>2702.79</v>
      </c>
      <c r="D96" s="592">
        <f>+[2]STMarcelin!$H96</f>
        <v>3197.4264249999997</v>
      </c>
      <c r="E96" s="311">
        <f>IF(ISNA(VLOOKUP("MAR625100000",Balanceanp!C:G,5,FALSE))=TRUE,0,VLOOKUP("MAR625100000",Balanceanp!C:G,5,FALSE))</f>
        <v>3129.64</v>
      </c>
      <c r="F96" s="625">
        <f>+C96+C96/9*(12-Clients!$I$14)</f>
        <v>3603.7200000000003</v>
      </c>
      <c r="G96" s="594">
        <f t="shared" si="8"/>
        <v>3711.8316000000004</v>
      </c>
      <c r="H96" s="594"/>
      <c r="I96" s="591">
        <f t="shared" si="9"/>
        <v>0.15148068148413249</v>
      </c>
      <c r="J96" s="595">
        <f t="shared" si="10"/>
        <v>3.0000000000000047E-2</v>
      </c>
      <c r="L96" s="17">
        <f t="shared" si="7"/>
        <v>1</v>
      </c>
    </row>
    <row r="97" spans="1:12">
      <c r="A97" s="590" t="s">
        <v>7</v>
      </c>
      <c r="B97" s="591"/>
      <c r="C97" s="311">
        <f>IF(ISNA(VLOOKUP("MAR625200000",Balance!C:G,5,FALSE))=TRUE,0,VLOOKUP("MAR625200000",Balance!C:G,5,FALSE))</f>
        <v>0</v>
      </c>
      <c r="D97" s="592">
        <f>+[2]STMarcelin!$H97</f>
        <v>52.883678739166669</v>
      </c>
      <c r="E97" s="311">
        <f>IF(ISNA(VLOOKUP("MAR625200000",Balanceanp!C:G,5,FALSE))=TRUE,0,VLOOKUP("MAR625200000",Balanceanp!C:G,5,FALSE))</f>
        <v>33.93</v>
      </c>
      <c r="F97" s="625">
        <f>+C97+C97/9*(12-Clients!$I$14)</f>
        <v>0</v>
      </c>
      <c r="G97" s="594">
        <f t="shared" si="8"/>
        <v>0</v>
      </c>
      <c r="H97" s="594"/>
      <c r="I97" s="591">
        <f t="shared" si="9"/>
        <v>-1</v>
      </c>
      <c r="J97" s="595">
        <f t="shared" si="10"/>
        <v>0</v>
      </c>
      <c r="L97" s="17">
        <f t="shared" si="7"/>
        <v>1</v>
      </c>
    </row>
    <row r="98" spans="1:12" hidden="1">
      <c r="A98" s="5" t="s">
        <v>307</v>
      </c>
      <c r="B98" s="92"/>
      <c r="C98" s="160">
        <f>IF(ISNA(VLOOKUP("MAR625510000",Balance!C:G,5,FALSE))=TRUE,0,VLOOKUP("MAR625510000",Balance!C:G,5,FALSE))</f>
        <v>0</v>
      </c>
      <c r="D98" s="117">
        <f>+[2]STMarcelin!$H98</f>
        <v>0</v>
      </c>
      <c r="E98" s="160">
        <f>IF(ISNA(VLOOKUP("MAR625510000",Balanceanp!C:G,5,FALSE))=TRUE,0,VLOOKUP("MAR625510000",Balanceanp!C:G,5,FALSE))</f>
        <v>0</v>
      </c>
      <c r="F98" s="368">
        <f>+C98+C98/9*(12-Clients!$I$14)</f>
        <v>0</v>
      </c>
      <c r="G98" s="396">
        <f t="shared" si="8"/>
        <v>0</v>
      </c>
      <c r="H98" s="409"/>
      <c r="I98" s="149">
        <f t="shared" si="9"/>
        <v>0</v>
      </c>
      <c r="J98" s="271">
        <f t="shared" si="10"/>
        <v>0</v>
      </c>
      <c r="L98" s="17">
        <f t="shared" si="7"/>
        <v>0</v>
      </c>
    </row>
    <row r="99" spans="1:12">
      <c r="A99" s="590" t="s">
        <v>119</v>
      </c>
      <c r="B99" s="591"/>
      <c r="C99" s="311">
        <f>IF(ISNA(VLOOKUP("MAR626000000",Balance!C:G,5,FALSE))=TRUE,0,VLOOKUP("MAR626000000",Balance!C:G,5,FALSE))</f>
        <v>1885.03</v>
      </c>
      <c r="D99" s="592">
        <f>+[2]STMarcelin!$H99</f>
        <v>2841.8245899141666</v>
      </c>
      <c r="E99" s="311">
        <f>IF(ISNA(VLOOKUP("MAR626000000",Balanceanp!C:G,5,FALSE))=TRUE,0,VLOOKUP("MAR626000000",Balanceanp!C:G,5,FALSE))</f>
        <v>2711.61</v>
      </c>
      <c r="F99" s="625">
        <f>+C99+C99/9*(12-Clients!$I$14)</f>
        <v>2513.3733333333334</v>
      </c>
      <c r="G99" s="630">
        <f>+F99</f>
        <v>2513.3733333333334</v>
      </c>
      <c r="H99" s="630"/>
      <c r="I99" s="591">
        <f t="shared" si="9"/>
        <v>-7.3106629148980376E-2</v>
      </c>
      <c r="J99" s="595">
        <f t="shared" si="10"/>
        <v>0</v>
      </c>
      <c r="L99" s="17">
        <f t="shared" si="7"/>
        <v>1</v>
      </c>
    </row>
    <row r="100" spans="1:12">
      <c r="A100" s="590" t="s">
        <v>120</v>
      </c>
      <c r="B100" s="591"/>
      <c r="C100" s="311">
        <f>IF(ISNA(VLOOKUP("MAR626100000",Balance!C:G,5,FALSE))=TRUE,0,VLOOKUP("MAR626100000",Balance!C:G,5,FALSE))</f>
        <v>792.78</v>
      </c>
      <c r="D100" s="592">
        <f>+[2]STMarcelin!$H100</f>
        <v>738.91918245645832</v>
      </c>
      <c r="E100" s="311">
        <f>IF(ISNA(VLOOKUP("MAR626100000",Balanceanp!C:G,5,FALSE))=TRUE,0,VLOOKUP("MAR626100000",Balanceanp!C:G,5,FALSE))</f>
        <v>685.88</v>
      </c>
      <c r="F100" s="625">
        <f>+C100+C100/9*(12-Clients!$I$14)</f>
        <v>1057.04</v>
      </c>
      <c r="G100" s="630">
        <f t="shared" si="8"/>
        <v>1088.7511999999999</v>
      </c>
      <c r="H100" s="630"/>
      <c r="I100" s="591">
        <f t="shared" si="9"/>
        <v>0.54114422347932578</v>
      </c>
      <c r="J100" s="595">
        <f t="shared" si="10"/>
        <v>2.9999999999999964E-2</v>
      </c>
      <c r="L100" s="17">
        <f t="shared" si="7"/>
        <v>1</v>
      </c>
    </row>
    <row r="101" spans="1:12" hidden="1">
      <c r="A101" s="5" t="s">
        <v>121</v>
      </c>
      <c r="B101" s="92"/>
      <c r="C101" s="160">
        <f>IF(ISNA(VLOOKUP("MAR628400000",Balance!C:G,5,FALSE))=TRUE,0,VLOOKUP("MAR628400000",Balance!C:G,5,FALSE))</f>
        <v>0</v>
      </c>
      <c r="D101" s="117">
        <f>+[2]STMarcelin!$H101</f>
        <v>0</v>
      </c>
      <c r="E101" s="160">
        <f>IF(ISNA(VLOOKUP("MAR628400000",Balanceanp!C:G,5,FALSE))=TRUE,0,VLOOKUP("MAR628400000",Balanceanp!C:G,5,FALSE))</f>
        <v>0</v>
      </c>
      <c r="F101" s="368">
        <f>+C101+C101/9*(12-Clients!$I$14)</f>
        <v>0</v>
      </c>
      <c r="G101" s="396">
        <f t="shared" si="8"/>
        <v>0</v>
      </c>
      <c r="H101" s="409"/>
      <c r="I101" s="149">
        <f t="shared" si="9"/>
        <v>0</v>
      </c>
      <c r="J101" s="271">
        <f t="shared" si="10"/>
        <v>0</v>
      </c>
      <c r="L101" s="17">
        <f t="shared" si="7"/>
        <v>0</v>
      </c>
    </row>
    <row r="102" spans="1:12" hidden="1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s="17">
        <f t="shared" si="7"/>
        <v>0</v>
      </c>
    </row>
    <row r="103" spans="1:12" s="33" customFormat="1" ht="15" customHeight="1">
      <c r="A103" s="13" t="s">
        <v>122</v>
      </c>
      <c r="B103" s="596">
        <f>+C103/$C$21</f>
        <v>0.17612176649824124</v>
      </c>
      <c r="C103" s="305">
        <f>SUM(C70:C102)</f>
        <v>34139.879999999997</v>
      </c>
      <c r="D103" s="312">
        <f>SUM(D70:D102)</f>
        <v>51190.335992334338</v>
      </c>
      <c r="E103" s="305">
        <f>SUM(E70:E102)</f>
        <v>47186.500000000007</v>
      </c>
      <c r="F103" s="312">
        <f>SUM(F70:F102)</f>
        <v>45498.976666666669</v>
      </c>
      <c r="G103" s="312">
        <f>SUM(G70:G102)</f>
        <v>64451.766163267726</v>
      </c>
      <c r="H103" s="421">
        <f>+G103/$G$21</f>
        <v>0.19611363679127242</v>
      </c>
      <c r="I103" s="598">
        <f>+IF((E103)=0,,(F103-E103)/E103)</f>
        <v>-3.5762841773247386E-2</v>
      </c>
      <c r="J103" s="599">
        <f>+IF((F103)=0,,(G103-F103)/F103)</f>
        <v>0.41655419275586031</v>
      </c>
      <c r="K103" s="136">
        <f>(C103+(C103/3))</f>
        <v>45519.839999999997</v>
      </c>
      <c r="L103" s="17">
        <f t="shared" si="7"/>
        <v>1</v>
      </c>
    </row>
    <row r="104" spans="1:12" hidden="1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s="17">
        <f t="shared" si="7"/>
        <v>0</v>
      </c>
    </row>
    <row r="105" spans="1:12">
      <c r="A105" s="590" t="s">
        <v>129</v>
      </c>
      <c r="B105" s="591"/>
      <c r="C105" s="311">
        <f>IF(ISNA(VLOOKUP("MAR623100000",Balance!C:G,5,FALSE))=TRUE,0,VLOOKUP("MAR623100000",Balance!C:G,5,FALSE))</f>
        <v>0</v>
      </c>
      <c r="D105" s="592">
        <f>+[2]STMarcelin!$H105</f>
        <v>993.22899999999993</v>
      </c>
      <c r="E105" s="311">
        <f>IF(ISNA(VLOOKUP("MAR623100000",Balanceanp!C:G,5,FALSE))=TRUE,0,VLOOKUP("MAR623100000",Balanceanp!C:G,5,FALSE))</f>
        <v>834.3</v>
      </c>
      <c r="F105" s="625">
        <f>+C105+C105/9*(12-Clients!$I$14)</f>
        <v>0</v>
      </c>
      <c r="G105" s="594">
        <f t="shared" ref="G105:G114" si="11">+F105*1.03</f>
        <v>0</v>
      </c>
      <c r="H105" s="594"/>
      <c r="I105" s="591">
        <f t="shared" ref="I105:J114" si="12">+IF((E105)=0,,(F105-E105)/E105)</f>
        <v>-1</v>
      </c>
      <c r="J105" s="595">
        <f t="shared" si="12"/>
        <v>0</v>
      </c>
      <c r="L105" s="17">
        <f t="shared" si="7"/>
        <v>1</v>
      </c>
    </row>
    <row r="106" spans="1:12">
      <c r="A106" s="590" t="s">
        <v>130</v>
      </c>
      <c r="B106" s="591"/>
      <c r="C106" s="311">
        <f>IF(ISNA(VLOOKUP("MAR623200000",Balance!C:G,5,FALSE))=TRUE,0,VLOOKUP("MAR623200000",Balance!C:G,5,FALSE))</f>
        <v>1260.1500000000001</v>
      </c>
      <c r="D106" s="592">
        <f>+[2]STMarcelin!$H106</f>
        <v>1633.5388</v>
      </c>
      <c r="E106" s="311">
        <f>IF(ISNA(VLOOKUP("MAR623200000",Balanceanp!C:G,5,FALSE))=TRUE,0,VLOOKUP("MAR623200000",Balanceanp!C:G,5,FALSE))</f>
        <v>1967.16</v>
      </c>
      <c r="F106" s="625">
        <f>+C106+C106/9*(12-Clients!$I$14)</f>
        <v>1680.2000000000003</v>
      </c>
      <c r="G106" s="594">
        <f t="shared" si="11"/>
        <v>1730.6060000000002</v>
      </c>
      <c r="H106" s="594"/>
      <c r="I106" s="591">
        <f t="shared" si="12"/>
        <v>-0.14587527196567629</v>
      </c>
      <c r="J106" s="595">
        <f t="shared" si="12"/>
        <v>2.9999999999999964E-2</v>
      </c>
      <c r="L106" s="17">
        <f t="shared" si="7"/>
        <v>1</v>
      </c>
    </row>
    <row r="107" spans="1:12" hidden="1">
      <c r="A107" s="5" t="s">
        <v>131</v>
      </c>
      <c r="B107" s="92"/>
      <c r="C107" s="160">
        <f>IF(ISNA(VLOOKUP("MAR629000000",Balance!C:G,5,FALSE))=TRUE,0,VLOOKUP("MAR629000000",Balance!C:G,5,FALSE))</f>
        <v>0</v>
      </c>
      <c r="D107" s="117">
        <f>+[2]STMarcelin!$H107</f>
        <v>0</v>
      </c>
      <c r="E107" s="160">
        <f>IF(ISNA(VLOOKUP("MAR629000000",Balanceanp!C:G,5,FALSE))=TRUE,0,VLOOKUP("MAR629000000",Balanceanp!C:G,5,FALSE))</f>
        <v>0</v>
      </c>
      <c r="F107" s="368">
        <f>+C107+C107/9*(12-Clients!$I$14)</f>
        <v>0</v>
      </c>
      <c r="G107" s="395">
        <f t="shared" si="11"/>
        <v>0</v>
      </c>
      <c r="H107" s="401"/>
      <c r="I107" s="149">
        <f t="shared" si="12"/>
        <v>0</v>
      </c>
      <c r="J107" s="271">
        <f t="shared" si="12"/>
        <v>0</v>
      </c>
      <c r="L107" s="17">
        <f t="shared" si="7"/>
        <v>0</v>
      </c>
    </row>
    <row r="108" spans="1:12">
      <c r="A108" s="590" t="s">
        <v>132</v>
      </c>
      <c r="B108" s="591"/>
      <c r="C108" s="311">
        <f>IF(ISNA(VLOOKUP("MAR623300000",Balance!C:G,5,FALSE))=TRUE,0,VLOOKUP("MAR623300000",Balance!C:G,5,FALSE))</f>
        <v>329.64</v>
      </c>
      <c r="D108" s="592">
        <f>+[2]STMarcelin!$H108</f>
        <v>36.050000000000004</v>
      </c>
      <c r="E108" s="311">
        <f>IF(ISNA(VLOOKUP("MAR623300000",Balanceanp!C:G,5,FALSE))=TRUE,0,VLOOKUP("MAR623300000",Balanceanp!C:G,5,FALSE))</f>
        <v>0</v>
      </c>
      <c r="F108" s="625">
        <f>+C108+C108/9*(12-Clients!$I$14)</f>
        <v>439.52</v>
      </c>
      <c r="G108" s="594">
        <f t="shared" si="11"/>
        <v>452.7056</v>
      </c>
      <c r="H108" s="594"/>
      <c r="I108" s="591">
        <f t="shared" si="12"/>
        <v>0</v>
      </c>
      <c r="J108" s="595">
        <f t="shared" si="12"/>
        <v>3.0000000000000051E-2</v>
      </c>
      <c r="L108" s="17">
        <f t="shared" si="7"/>
        <v>1</v>
      </c>
    </row>
    <row r="109" spans="1:12">
      <c r="A109" s="590" t="s">
        <v>133</v>
      </c>
      <c r="B109" s="591"/>
      <c r="C109" s="311">
        <f>IF(ISNA(VLOOKUP("MAR623700000",Balance!C:G,5,FALSE))=TRUE,0,VLOOKUP("MAR623700000",Balance!C:G,5,FALSE))</f>
        <v>1524.62</v>
      </c>
      <c r="D109" s="592">
        <f>+[2]STMarcelin!$H109</f>
        <v>1740.3704</v>
      </c>
      <c r="E109" s="311">
        <f>IF(ISNA(VLOOKUP("MAR623700000",Balanceanp!C:G,5,FALSE))=TRUE,0,VLOOKUP("MAR623700000",Balanceanp!C:G,5,FALSE))</f>
        <v>582.67999999999995</v>
      </c>
      <c r="F109" s="625">
        <f>+C109+C109/9*(12-Clients!$I$14)</f>
        <v>2032.8266666666664</v>
      </c>
      <c r="G109" s="594">
        <f t="shared" si="11"/>
        <v>2093.8114666666665</v>
      </c>
      <c r="H109" s="594"/>
      <c r="I109" s="591">
        <f t="shared" si="12"/>
        <v>2.4887531177776254</v>
      </c>
      <c r="J109" s="595">
        <f t="shared" si="12"/>
        <v>3.0000000000000093E-2</v>
      </c>
      <c r="L109" s="17">
        <f t="shared" si="7"/>
        <v>1</v>
      </c>
    </row>
    <row r="110" spans="1:12">
      <c r="A110" s="590" t="s">
        <v>134</v>
      </c>
      <c r="B110" s="591"/>
      <c r="C110" s="311">
        <f>IF(ISNA(VLOOKUP("MAR623410000",Balance!C:G,5,FALSE))=TRUE,0,VLOOKUP("MAR623410000",Balance!C:G,5,FALSE))+IF(ISNA(VLOOKUP("MAR623420000",Balance!C:G,5,FALSE))=TRUE,0,VLOOKUP("MAR623420000",Balance!C:G,5,FALSE))</f>
        <v>1663.5</v>
      </c>
      <c r="D110" s="592">
        <f>+[2]STMarcelin!$H110</f>
        <v>2217.59</v>
      </c>
      <c r="E110" s="311">
        <f>IF(ISNA(VLOOKUP("MAR623410000",Balanceanp!C:G,5,FALSE))=TRUE,0,VLOOKUP("MAR623410000",Balanceanp!C:G,5,FALSE))+IF(ISNA(VLOOKUP("MAR623420000",Balanceanp!C:G,5,FALSE))=TRUE,0,VLOOKUP("MAR623420000",Balanceanp!C:G,5,FALSE))</f>
        <v>1426.1699999999998</v>
      </c>
      <c r="F110" s="625">
        <f>+C110+C110/9*(12-Clients!$I$14)</f>
        <v>2218</v>
      </c>
      <c r="G110" s="594">
        <v>1500</v>
      </c>
      <c r="H110" s="594"/>
      <c r="I110" s="591">
        <f t="shared" si="12"/>
        <v>0.55521431526395892</v>
      </c>
      <c r="J110" s="595">
        <f t="shared" si="12"/>
        <v>-0.32371505861136157</v>
      </c>
      <c r="L110" s="17">
        <f t="shared" si="7"/>
        <v>1</v>
      </c>
    </row>
    <row r="111" spans="1:12">
      <c r="A111" s="590" t="s">
        <v>135</v>
      </c>
      <c r="B111" s="591"/>
      <c r="C111" s="311">
        <f>IF(ISNA(VLOOKUP("MAR623800000",Balance!C:G,5,FALSE))=TRUE,0,VLOOKUP("MAR623800000",Balance!C:G,5,FALSE))+IF(ISNA(VLOOKUP("MAR623820000",Balance!C:G,5,FALSE))=TRUE,0,VLOOKUP("MAR623820000",Balance!C:G,5,FALSE))</f>
        <v>0</v>
      </c>
      <c r="D111" s="592">
        <f>+[2]STMarcelin!$H111</f>
        <v>128.75</v>
      </c>
      <c r="E111" s="311">
        <f>IF(ISNA(VLOOKUP("MAR623800000",Balanceanp!C:G,5,FALSE))=TRUE,0,VLOOKUP("MAR623800000",Balanceanp!C:G,5,FALSE))</f>
        <v>20</v>
      </c>
      <c r="F111" s="625">
        <f>+C111+C111/9*(12-Clients!$I$14)</f>
        <v>0</v>
      </c>
      <c r="G111" s="594">
        <f t="shared" si="11"/>
        <v>0</v>
      </c>
      <c r="H111" s="594"/>
      <c r="I111" s="591">
        <f t="shared" si="12"/>
        <v>-1</v>
      </c>
      <c r="J111" s="595">
        <f t="shared" si="12"/>
        <v>0</v>
      </c>
      <c r="L111" s="17">
        <f t="shared" si="7"/>
        <v>1</v>
      </c>
    </row>
    <row r="112" spans="1:12">
      <c r="A112" s="590" t="s">
        <v>136</v>
      </c>
      <c r="B112" s="591"/>
      <c r="C112" s="311">
        <f>IF(ISNA(VLOOKUP("MAR625600000",Balance!C:G,5,FALSE))=TRUE,0,VLOOKUP("MAR625600000",Balance!C:G,5,FALSE))</f>
        <v>19.5</v>
      </c>
      <c r="D112" s="592">
        <f>+[2]STMarcelin!$H112</f>
        <v>25.986900000000002</v>
      </c>
      <c r="E112" s="311">
        <f>IF(ISNA(VLOOKUP("MAR625600000",Balanceanp!C:G,5,FALSE))=TRUE,0,VLOOKUP("MAR625600000",Balanceanp!C:G,5,FALSE))</f>
        <v>25.23</v>
      </c>
      <c r="F112" s="625">
        <f>+C112+C112/9*(12-Clients!$I$14)</f>
        <v>26</v>
      </c>
      <c r="G112" s="594">
        <f t="shared" si="11"/>
        <v>26.78</v>
      </c>
      <c r="H112" s="594"/>
      <c r="I112" s="591">
        <f t="shared" si="12"/>
        <v>3.051922314704715E-2</v>
      </c>
      <c r="J112" s="595">
        <f t="shared" si="12"/>
        <v>3.0000000000000044E-2</v>
      </c>
      <c r="L112" s="17">
        <f t="shared" si="7"/>
        <v>1</v>
      </c>
    </row>
    <row r="113" spans="1:12">
      <c r="A113" s="590" t="s">
        <v>137</v>
      </c>
      <c r="B113" s="591"/>
      <c r="C113" s="635">
        <f>IF(ISNA(VLOOKUP("mar625700000",Balance!C:G,5,FALSE))=TRUE,0,VLOOKUP("mar625700000",Balance!C:G,5,FALSE))+IF(ISNA(VLOOKUP("mar625710000",Balance!C:G,5,FALSE))=TRUE,0,VLOOKUP("mar625710000",Balance!C:G,5,FALSE))</f>
        <v>3289.4700000000003</v>
      </c>
      <c r="D113" s="592">
        <f>+[2]STMarcelin!$H113</f>
        <v>2134.61</v>
      </c>
      <c r="E113" s="311">
        <f>IF(ISNA(VLOOKUP("mar625700000",Balanceanp!C:G,5,FALSE))=TRUE,0,VLOOKUP("mar625700000",Balanceanp!C:G,5,FALSE))+IF(ISNA(VLOOKUP("mar625710000",Balanceanp!C:G,5,FALSE))=TRUE,0,VLOOKUP("mar625710000",Balanceanp!C:G,5,FALSE))</f>
        <v>1781.4299999999998</v>
      </c>
      <c r="F113" s="625">
        <v>1956.59</v>
      </c>
      <c r="G113" s="594">
        <v>2000</v>
      </c>
      <c r="H113" s="594"/>
      <c r="I113" s="591">
        <f t="shared" si="12"/>
        <v>9.832550254570771E-2</v>
      </c>
      <c r="J113" s="595">
        <f t="shared" si="12"/>
        <v>2.2186559268932215E-2</v>
      </c>
      <c r="L113" s="17">
        <f t="shared" si="7"/>
        <v>1</v>
      </c>
    </row>
    <row r="114" spans="1:12" hidden="1">
      <c r="A114" s="5" t="s">
        <v>138</v>
      </c>
      <c r="B114" s="92"/>
      <c r="C114" s="160">
        <f>IF(ISNA(VLOOKUP("MAR623810000",Balance!C:G,5,FALSE))=TRUE,0,VLOOKUP("MAR623810000",Balance!C:G,5,FALSE))</f>
        <v>0</v>
      </c>
      <c r="D114" s="117">
        <f>+[2]STMarcelin!$H114</f>
        <v>0</v>
      </c>
      <c r="E114" s="160">
        <f>IF(ISNA(VLOOKUP("MAR623810000",Balanceanp!C:G,5,FALSE))=TRUE,0,VLOOKUP("MAR623810000",Balanceanp!C:G,5,FALSE))</f>
        <v>0</v>
      </c>
      <c r="F114" s="368">
        <f>+C114+C114/9*(12-Clients!$I$14)</f>
        <v>0</v>
      </c>
      <c r="G114" s="395">
        <f t="shared" si="11"/>
        <v>0</v>
      </c>
      <c r="H114" s="401"/>
      <c r="I114" s="149">
        <f t="shared" si="12"/>
        <v>0</v>
      </c>
      <c r="J114" s="271">
        <f t="shared" si="12"/>
        <v>0</v>
      </c>
      <c r="L114" s="17">
        <f t="shared" si="7"/>
        <v>0</v>
      </c>
    </row>
    <row r="115" spans="1:12" hidden="1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s="17">
        <f t="shared" si="7"/>
        <v>0</v>
      </c>
    </row>
    <row r="116" spans="1:12" s="33" customFormat="1" ht="15" customHeight="1">
      <c r="A116" s="13" t="s">
        <v>133</v>
      </c>
      <c r="B116" s="596">
        <f>+C116/$C$21</f>
        <v>4.171882241704708E-2</v>
      </c>
      <c r="C116" s="305">
        <f>SUM(C104:C115)</f>
        <v>8086.88</v>
      </c>
      <c r="D116" s="312">
        <f>SUM(D104:D115)</f>
        <v>8910.1251000000011</v>
      </c>
      <c r="E116" s="305">
        <f>SUM(E104:E115)</f>
        <v>6636.9699999999993</v>
      </c>
      <c r="F116" s="312">
        <f>SUM(F104:F115)</f>
        <v>8353.1366666666672</v>
      </c>
      <c r="G116" s="312">
        <f>SUM(G104:G115)</f>
        <v>7803.9030666666667</v>
      </c>
      <c r="H116" s="421">
        <f>+G116/$G$21</f>
        <v>2.3745692363086816E-2</v>
      </c>
      <c r="I116" s="598">
        <f>+IF((E116)=0,,(F116-E116)/E116)</f>
        <v>0.25857683049142427</v>
      </c>
      <c r="J116" s="599">
        <f>+IF((F116)=0,,(G116-F116)/F116)</f>
        <v>-6.5751779471264538E-2</v>
      </c>
      <c r="K116" s="136">
        <f>(C116+(C116/3))</f>
        <v>10782.506666666666</v>
      </c>
      <c r="L116" s="17">
        <f t="shared" si="7"/>
        <v>1</v>
      </c>
    </row>
    <row r="117" spans="1:12" hidden="1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s="17">
        <f t="shared" si="7"/>
        <v>0</v>
      </c>
    </row>
    <row r="118" spans="1:12">
      <c r="A118" s="590" t="s">
        <v>139</v>
      </c>
      <c r="B118" s="591"/>
      <c r="C118" s="311">
        <f>IF(ISNA(VLOOKUP("MAR633300000",Balance!C:G,5,FALSE))=TRUE,0,VLOOKUP("MAR633300000",Balance!C:G,5,FALSE))</f>
        <v>491.21</v>
      </c>
      <c r="D118" s="592">
        <f>+[2]STMarcelin!$H118</f>
        <v>319.68999999999994</v>
      </c>
      <c r="E118" s="311">
        <f>IF(ISNA(VLOOKUP("MAR633300000",Balanceanp!C:G,5,FALSE))=TRUE,0,VLOOKUP("MAR633300000",Balanceanp!C:G,5,FALSE))</f>
        <v>285</v>
      </c>
      <c r="F118" s="625">
        <f>+C118+C118/9*(12-Clients!$I$14)</f>
        <v>654.9466666666666</v>
      </c>
      <c r="G118" s="630">
        <f>G131*(0.2+0.5)%</f>
        <v>341.42499999999995</v>
      </c>
      <c r="H118" s="630"/>
      <c r="I118" s="591">
        <f t="shared" ref="I118:J127" si="13">+IF((E118)=0,,(F118-E118)/E118)</f>
        <v>1.2980584795321635</v>
      </c>
      <c r="J118" s="595">
        <f t="shared" si="13"/>
        <v>-0.47869801103397736</v>
      </c>
      <c r="L118" s="17">
        <f t="shared" si="7"/>
        <v>1</v>
      </c>
    </row>
    <row r="119" spans="1:12">
      <c r="A119" s="590" t="s">
        <v>140</v>
      </c>
      <c r="B119" s="591"/>
      <c r="C119" s="311">
        <f>IF(ISNA(VLOOKUP("MAR633400000",Balance!C:G,5,FALSE))=TRUE,0,VLOOKUP("MAR633400000",Balance!C:G,5,FALSE))</f>
        <v>0</v>
      </c>
      <c r="D119" s="592">
        <f>+[2]STMarcelin!$H119</f>
        <v>205.51500000000001</v>
      </c>
      <c r="E119" s="311">
        <f>IF(ISNA(VLOOKUP("MAR633400000",Balanceanp!C:G,5,FALSE))=TRUE,0,VLOOKUP("MAR633400000",Balanceanp!C:G,5,FALSE))</f>
        <v>157</v>
      </c>
      <c r="F119" s="625">
        <f>+C119+C119/9*(12-Clients!$I$14)</f>
        <v>0</v>
      </c>
      <c r="G119" s="630">
        <f>+G131*0.45%</f>
        <v>219.48750000000004</v>
      </c>
      <c r="H119" s="630"/>
      <c r="I119" s="591">
        <f t="shared" si="13"/>
        <v>-1</v>
      </c>
      <c r="J119" s="595">
        <f t="shared" si="13"/>
        <v>0</v>
      </c>
      <c r="L119" s="17">
        <f t="shared" si="7"/>
        <v>1</v>
      </c>
    </row>
    <row r="120" spans="1:12">
      <c r="A120" s="590" t="s">
        <v>141</v>
      </c>
      <c r="B120" s="591"/>
      <c r="C120" s="311">
        <f>IF(ISNA(VLOOKUP("MAR633500000",Balance!C:G,5,FALSE))=TRUE,0,VLOOKUP("MAR633500000",Balance!C:G,5,FALSE))</f>
        <v>0</v>
      </c>
      <c r="D120" s="592">
        <f>+[2]STMarcelin!$H120</f>
        <v>356.226</v>
      </c>
      <c r="E120" s="311">
        <f>IF(ISNA(VLOOKUP("MAR633500000",Balanceanp!C:G,5,FALSE))=TRUE,0,VLOOKUP("MAR633500000",Balanceanp!C:G,5,FALSE))</f>
        <v>237</v>
      </c>
      <c r="F120" s="625">
        <f>+C120+C120/9*(12-Clients!$I$14)</f>
        <v>0</v>
      </c>
      <c r="G120" s="630">
        <f>+G131*(0.6+0.18)%</f>
        <v>380.44500000000005</v>
      </c>
      <c r="H120" s="630"/>
      <c r="I120" s="591">
        <f t="shared" si="13"/>
        <v>-1</v>
      </c>
      <c r="J120" s="595">
        <f t="shared" si="13"/>
        <v>0</v>
      </c>
      <c r="L120" s="17">
        <f t="shared" si="7"/>
        <v>1</v>
      </c>
    </row>
    <row r="121" spans="1:12">
      <c r="A121" s="590" t="s">
        <v>706</v>
      </c>
      <c r="B121" s="591"/>
      <c r="C121" s="311">
        <f>IF(ISNA(VLOOKUP("MAR635110000",Balance!C:G,5,FALSE))=TRUE,0,VLOOKUP("MAR635110000",Balance!C:G,5,FALSE))</f>
        <v>1945.89</v>
      </c>
      <c r="D121" s="592">
        <f>+[2]STMarcelin!$H121</f>
        <v>2594.5500000000002</v>
      </c>
      <c r="E121" s="311">
        <f>IF(ISNA(VLOOKUP("MAR635110000",Balanceanp!C:G,5,FALSE))=TRUE,0,VLOOKUP("MAR635110000",Balanceanp!C:G,5,FALSE))</f>
        <v>2498</v>
      </c>
      <c r="F121" s="637">
        <v>1304</v>
      </c>
      <c r="G121" s="637">
        <f>+F121*1.05</f>
        <v>1369.2</v>
      </c>
      <c r="H121" s="632"/>
      <c r="I121" s="591">
        <f t="shared" si="13"/>
        <v>-0.47798238590872699</v>
      </c>
      <c r="J121" s="595">
        <f t="shared" si="13"/>
        <v>5.0000000000000037E-2</v>
      </c>
      <c r="L121" s="17">
        <f t="shared" si="7"/>
        <v>1</v>
      </c>
    </row>
    <row r="122" spans="1:12">
      <c r="A122" s="590" t="s">
        <v>143</v>
      </c>
      <c r="B122" s="591"/>
      <c r="C122" s="311">
        <f>IF(ISNA(VLOOKUP("MAR635120000",Balance!C:G,5,FALSE))=TRUE,0,VLOOKUP("MAR635120000",Balance!C:G,5,FALSE))</f>
        <v>2258.64</v>
      </c>
      <c r="D122" s="592">
        <f>+[2]STMarcelin!$H122</f>
        <v>3011.4794850000003</v>
      </c>
      <c r="E122" s="311">
        <f>IF(ISNA(VLOOKUP("MAR635120000",Balanceanp!C:G,5,FALSE))=TRUE,0,VLOOKUP("MAR635120000",Balanceanp!C:G,5,FALSE))</f>
        <v>3054</v>
      </c>
      <c r="F122" s="620">
        <v>3112.64</v>
      </c>
      <c r="G122" s="620">
        <f>+F122*1.05</f>
        <v>3268.2719999999999</v>
      </c>
      <c r="H122" s="632"/>
      <c r="I122" s="591">
        <f t="shared" si="13"/>
        <v>1.9201047806155818E-2</v>
      </c>
      <c r="J122" s="595">
        <f t="shared" si="13"/>
        <v>5.0000000000000024E-2</v>
      </c>
      <c r="L122" s="17">
        <f t="shared" si="7"/>
        <v>1</v>
      </c>
    </row>
    <row r="123" spans="1:12">
      <c r="A123" s="590" t="s">
        <v>144</v>
      </c>
      <c r="B123" s="591"/>
      <c r="C123" s="311">
        <f>IF(ISNA(VLOOKUP("MAR635130000",Balance!C:G,5,FALSE))=TRUE,0,VLOOKUP("MAR635130000",Balance!C:G,5,FALSE))</f>
        <v>0</v>
      </c>
      <c r="D123" s="592">
        <f>+[2]STMarcelin!$H123</f>
        <v>50</v>
      </c>
      <c r="E123" s="311">
        <f>IF(ISNA(VLOOKUP("MAR635130000",Balanceanp!C:G,5,FALSE))=TRUE,0,VLOOKUP("MAR635130000",Balanceanp!C:G,5,FALSE))</f>
        <v>0</v>
      </c>
      <c r="F123" s="625">
        <f>+C123+C123/9*(12-Clients!$I$14)</f>
        <v>0</v>
      </c>
      <c r="G123" s="632">
        <v>50</v>
      </c>
      <c r="H123" s="632"/>
      <c r="I123" s="591">
        <f t="shared" si="13"/>
        <v>0</v>
      </c>
      <c r="J123" s="595">
        <f t="shared" si="13"/>
        <v>0</v>
      </c>
      <c r="L123" s="17">
        <f t="shared" si="7"/>
        <v>1</v>
      </c>
    </row>
    <row r="124" spans="1:12" hidden="1">
      <c r="A124" s="5" t="s">
        <v>145</v>
      </c>
      <c r="B124" s="92"/>
      <c r="C124" s="160">
        <f>IF(ISNA(VLOOKUP("MAR635140000",Balance!C:G,5,FALSE))=TRUE,0,VLOOKUP("MAR635140000",Balance!C:G,5,FALSE))</f>
        <v>0</v>
      </c>
      <c r="D124" s="117">
        <f>+[2]STMarcelin!$H124</f>
        <v>0</v>
      </c>
      <c r="E124" s="160">
        <f>IF(ISNA(VLOOKUP("MAR635140000",Balanceanp!C:G,5,FALSE))=TRUE,0,VLOOKUP("MAR635140000",Balanceanp!C:G,5,FALSE))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3"/>
        <v>0</v>
      </c>
      <c r="J124" s="271">
        <f t="shared" si="13"/>
        <v>0</v>
      </c>
      <c r="L124" s="17">
        <f t="shared" si="7"/>
        <v>0</v>
      </c>
    </row>
    <row r="125" spans="1:12" hidden="1">
      <c r="A125" s="5" t="s">
        <v>286</v>
      </c>
      <c r="B125" s="92"/>
      <c r="C125" s="160">
        <f>IF(ISNA(VLOOKUP("MAR635300000",Balance!C:G,5,FALSE))=TRUE,0,VLOOKUP("MAR635300000",Balance!C:G,5,FALSE))</f>
        <v>0</v>
      </c>
      <c r="D125" s="117">
        <f>+[2]STMarcelin!$H125</f>
        <v>0</v>
      </c>
      <c r="E125" s="160">
        <f>IF(ISNA(VLOOKUP("MAR635300000",Balanceanp!C:G,5,FALSE))=TRUE,0,VLOOKUP("MAR635300000",Balanceanp!C:G,5,FALSE))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3"/>
        <v>0</v>
      </c>
      <c r="J125" s="271">
        <f t="shared" si="13"/>
        <v>0</v>
      </c>
      <c r="L125" s="17">
        <f t="shared" si="7"/>
        <v>0</v>
      </c>
    </row>
    <row r="126" spans="1:12" hidden="1">
      <c r="A126" s="5" t="s">
        <v>361</v>
      </c>
      <c r="B126" s="92"/>
      <c r="C126" s="160">
        <f>IF(ISNA(VLOOKUP("MAR635400000",Balance!C:G,5,FALSE))=TRUE,0,VLOOKUP("MAR635400000",Balance!C:G,5,FALSE))</f>
        <v>0</v>
      </c>
      <c r="D126" s="117">
        <f>+[2]STMarcelin!$H126</f>
        <v>0</v>
      </c>
      <c r="E126" s="160">
        <f>IF(ISNA(VLOOKUP("MAR635400000",Balanceanp!C:G,5,FALSE))=TRUE,0,VLOOKUP("MAR635400000",Balanceanp!C:G,5,FALSE))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3"/>
        <v>0</v>
      </c>
      <c r="J126" s="271">
        <f t="shared" si="13"/>
        <v>0</v>
      </c>
      <c r="L126" s="17">
        <f t="shared" si="7"/>
        <v>0</v>
      </c>
    </row>
    <row r="127" spans="1:12">
      <c r="A127" s="590" t="s">
        <v>146</v>
      </c>
      <c r="B127" s="591"/>
      <c r="C127" s="311">
        <f>IF(ISNA(VLOOKUP("MAR637100000",Balance!C:G,5,FALSE))=TRUE,0,VLOOKUP("MAR637100000",Balance!C:G,5,FALSE))</f>
        <v>354.52</v>
      </c>
      <c r="D127" s="592">
        <f>+[2]STMarcelin!$H127</f>
        <v>483.47680000000003</v>
      </c>
      <c r="E127" s="311">
        <f>IF(ISNA(VLOOKUP("MAR637100000",Balanceanp!C:G,5,FALSE))=TRUE,0,VLOOKUP("MAR637100000",Balanceanp!C:G,5,FALSE))</f>
        <v>487.93</v>
      </c>
      <c r="F127" s="625">
        <f>+C127+C127/9*(12-Clients!$I$14)</f>
        <v>472.69333333333327</v>
      </c>
      <c r="G127" s="630">
        <f>+G51*0.16%</f>
        <v>521.91840000000002</v>
      </c>
      <c r="H127" s="630"/>
      <c r="I127" s="591">
        <f t="shared" si="13"/>
        <v>-3.1227156900921722E-2</v>
      </c>
      <c r="J127" s="595">
        <f t="shared" si="13"/>
        <v>0.10413742525104386</v>
      </c>
      <c r="L127" s="17">
        <f t="shared" si="7"/>
        <v>1</v>
      </c>
    </row>
    <row r="128" spans="1:12" hidden="1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s="17">
        <f t="shared" si="7"/>
        <v>0</v>
      </c>
    </row>
    <row r="129" spans="1:12" s="33" customFormat="1" ht="15" customHeight="1">
      <c r="A129" s="13" t="s">
        <v>147</v>
      </c>
      <c r="B129" s="596">
        <f>+C129/$C$21</f>
        <v>2.6053422345813981E-2</v>
      </c>
      <c r="C129" s="305">
        <f>SUM(C117:C128)</f>
        <v>5050.26</v>
      </c>
      <c r="D129" s="312">
        <f>SUM(D117:D128)</f>
        <v>7020.9372850000009</v>
      </c>
      <c r="E129" s="305">
        <f>SUM(E117:E128)</f>
        <v>6718.93</v>
      </c>
      <c r="F129" s="312">
        <f>SUM(F117:F128)</f>
        <v>5544.28</v>
      </c>
      <c r="G129" s="312">
        <f>SUM(G117:G128)</f>
        <v>6150.7479000000003</v>
      </c>
      <c r="H129" s="421">
        <f>+G129/$G$21</f>
        <v>1.8715476882350257E-2</v>
      </c>
      <c r="I129" s="598">
        <f>+IF((E129)=0,,(F129-E129)/E129)</f>
        <v>-0.17482694417117017</v>
      </c>
      <c r="J129" s="599">
        <f>+IF((F129)=0,,(G129-F129)/F129)</f>
        <v>0.10938623229707024</v>
      </c>
      <c r="K129" s="136">
        <f>(C129+(C129/3))</f>
        <v>6733.68</v>
      </c>
      <c r="L129" s="17">
        <f t="shared" si="7"/>
        <v>1</v>
      </c>
    </row>
    <row r="130" spans="1:12" hidden="1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s="17">
        <f t="shared" si="7"/>
        <v>0</v>
      </c>
    </row>
    <row r="131" spans="1:12">
      <c r="A131" s="590" t="s">
        <v>148</v>
      </c>
      <c r="B131" s="591"/>
      <c r="C131" s="311">
        <f>IF(ISNA(VLOOKUP("MAR641100000",Balance!C:G,5,FALSE))=TRUE,0,VLOOKUP("MAR641100000",Balance!C:G,5,FALSE))</f>
        <v>33832.879999999997</v>
      </c>
      <c r="D131" s="592">
        <f>+[2]STMarcelin!$H131</f>
        <v>45670</v>
      </c>
      <c r="E131" s="311">
        <f>IF(ISNA(VLOOKUP("MAR641100000",Balanceanp!C:G,5,FALSE))=TRUE,0,VLOOKUP("MAR641100000",Balanceanp!C:G,5,FALSE))+IF(ISNA(VLOOKUP("MAR641112000",Balanceanp!C:G,5,FALSE))=TRUE,0,VLOOKUP("MAR641112000",Balanceanp!C:G,5,FALSE))</f>
        <v>44404.07</v>
      </c>
      <c r="F131" s="625">
        <f>+C131+C131/9*(12-Clients!$I$14)</f>
        <v>45110.506666666661</v>
      </c>
      <c r="G131" s="594">
        <v>48775</v>
      </c>
      <c r="H131" s="594"/>
      <c r="I131" s="591">
        <f t="shared" ref="I131:J146" si="14">+IF((E131)=0,,(F131-E131)/E131)</f>
        <v>1.5909277385308621E-2</v>
      </c>
      <c r="J131" s="595">
        <f t="shared" si="14"/>
        <v>8.1233699288975836E-2</v>
      </c>
      <c r="L131" s="17">
        <v>1</v>
      </c>
    </row>
    <row r="132" spans="1:12" hidden="1">
      <c r="A132" s="5" t="s">
        <v>149</v>
      </c>
      <c r="B132" s="92"/>
      <c r="C132" s="160">
        <f>IF(ISNA(VLOOKUP("MAR641110000",Balance!C:G,5,FALSE))=TRUE,0,VLOOKUP("MAR641110000",Balance!C:G,5,FALSE))</f>
        <v>-150</v>
      </c>
      <c r="D132" s="117">
        <f>+[2]STMarcelin!$H132</f>
        <v>0</v>
      </c>
      <c r="E132" s="160">
        <f>IF(ISNA(VLOOKUP("MAR641110000",Balanceanp!C:G,5,FALSE))=TRUE,0,VLOOKUP("MAR641110000",Balanceanp!C:G,5,FALSE))</f>
        <v>0</v>
      </c>
      <c r="F132" s="368">
        <f>+C132+C132/9*(12-Clients!$I$14)</f>
        <v>-200</v>
      </c>
      <c r="G132" s="395">
        <v>0</v>
      </c>
      <c r="H132" s="401"/>
      <c r="I132" s="149">
        <f t="shared" si="14"/>
        <v>0</v>
      </c>
      <c r="J132" s="271">
        <f t="shared" si="14"/>
        <v>-1</v>
      </c>
      <c r="L132" s="17">
        <v>0</v>
      </c>
    </row>
    <row r="133" spans="1:12" hidden="1">
      <c r="A133" s="5" t="s">
        <v>150</v>
      </c>
      <c r="B133" s="92"/>
      <c r="C133" s="160">
        <f>IF(ISNA(VLOOKUP("MAR641111000",Balance!C:G,5,FALSE))=TRUE,0,VLOOKUP("MAR641111000",Balance!C:G,5,FALSE))</f>
        <v>0</v>
      </c>
      <c r="D133" s="117">
        <f>+[2]STMarcelin!$H133</f>
        <v>0</v>
      </c>
      <c r="E133" s="160">
        <f>IF(ISNA(VLOOKUP("MAR641111000",Balanceanp!C:G,5,FALSE))=TRUE,0,VLOOKUP("MAR641111000",Balanceanp!C:G,5,FALSE))</f>
        <v>0</v>
      </c>
      <c r="F133" s="368">
        <f>+C133+C133/9*(12-Clients!$I$14)</f>
        <v>0</v>
      </c>
      <c r="G133" s="395">
        <f t="shared" ref="G133:G140" si="15">+F133*1.03</f>
        <v>0</v>
      </c>
      <c r="H133" s="401"/>
      <c r="I133" s="149">
        <f t="shared" si="14"/>
        <v>0</v>
      </c>
      <c r="J133" s="271">
        <f t="shared" si="14"/>
        <v>0</v>
      </c>
      <c r="L133" s="17">
        <f t="shared" si="7"/>
        <v>0</v>
      </c>
    </row>
    <row r="134" spans="1:12" hidden="1">
      <c r="A134" s="5" t="s">
        <v>151</v>
      </c>
      <c r="B134" s="92"/>
      <c r="C134" s="160">
        <f>IF(ISNA(VLOOKUP("MAR641200000",Balance!C:G,5,FALSE))=TRUE,0,VLOOKUP("MAR641200000",Balance!C:G,5,FALSE))</f>
        <v>0</v>
      </c>
      <c r="D134" s="117">
        <f>+[2]STMarcelin!$H134</f>
        <v>0</v>
      </c>
      <c r="E134" s="160">
        <f>IF(ISNA(VLOOKUP("MAR641200000",Balanceanp!C:G,5,FALSE))=TRUE,0,VLOOKUP("MAR641200000",Balanceanp!C:G,5,FALSE))</f>
        <v>-1610.4900000000002</v>
      </c>
      <c r="F134" s="368">
        <f>+C134+C134/9*(12-Clients!$I$14)</f>
        <v>0</v>
      </c>
      <c r="G134" s="395">
        <f t="shared" si="15"/>
        <v>0</v>
      </c>
      <c r="H134" s="401"/>
      <c r="I134" s="149">
        <f t="shared" si="14"/>
        <v>-1</v>
      </c>
      <c r="J134" s="271">
        <f t="shared" si="14"/>
        <v>0</v>
      </c>
      <c r="L134" s="17">
        <v>0</v>
      </c>
    </row>
    <row r="135" spans="1:12" hidden="1">
      <c r="A135" s="5" t="s">
        <v>114</v>
      </c>
      <c r="B135" s="92"/>
      <c r="C135" s="160">
        <f>IF(ISNA(VLOOKUP("MAR621100000",Balance!C:G,5,FALSE))=TRUE,0,VLOOKUP("MAR621100000",Balance!C:G,5,FALSE))</f>
        <v>0</v>
      </c>
      <c r="D135" s="117">
        <f>+[2]STMarcelin!$H135</f>
        <v>0</v>
      </c>
      <c r="E135" s="160">
        <f>IF(ISNA(VLOOKUP("MAR621100000",Balanceanp!C:G,5,FALSE))=TRUE,0,VLOOKUP("MAR621100000",Balanceanp!C:G,5,FALSE))</f>
        <v>0</v>
      </c>
      <c r="F135" s="368">
        <f>+C135+C135/9*(12-Clients!$I$14)</f>
        <v>0</v>
      </c>
      <c r="G135" s="395">
        <f t="shared" si="15"/>
        <v>0</v>
      </c>
      <c r="H135" s="401"/>
      <c r="I135" s="149">
        <f t="shared" si="14"/>
        <v>0</v>
      </c>
      <c r="J135" s="271">
        <f t="shared" si="14"/>
        <v>0</v>
      </c>
      <c r="L135" s="17">
        <v>0</v>
      </c>
    </row>
    <row r="136" spans="1:12" hidden="1">
      <c r="A136" s="5" t="s">
        <v>338</v>
      </c>
      <c r="B136" s="92"/>
      <c r="C136" s="160">
        <f>IF(ISNA(VLOOKUP("MAR621200000",Balance!C:G,5,FALSE))=TRUE,0,VLOOKUP("MAR621200000",Balance!C:G,5,FALSE))</f>
        <v>0</v>
      </c>
      <c r="D136" s="117">
        <f>+[2]STMarcelin!$H136</f>
        <v>0</v>
      </c>
      <c r="E136" s="160">
        <f>IF(ISNA(VLOOKUP("MAR621200000",Balanceanp!C:G,5,FALSE))=TRUE,0,VLOOKUP("MAR621200000",Balanceanp!C:G,5,FALSE))</f>
        <v>0</v>
      </c>
      <c r="F136" s="368">
        <f>+C136+C136/9*(12-Clients!$I$14)</f>
        <v>0</v>
      </c>
      <c r="G136" s="395">
        <f t="shared" si="15"/>
        <v>0</v>
      </c>
      <c r="H136" s="401"/>
      <c r="I136" s="149">
        <f t="shared" si="14"/>
        <v>0</v>
      </c>
      <c r="J136" s="271">
        <f t="shared" si="14"/>
        <v>0</v>
      </c>
      <c r="L136" s="17">
        <f t="shared" ref="L136:L197" si="16">IF(SUM(C136:J136)&lt;&gt;0,1,0)</f>
        <v>0</v>
      </c>
    </row>
    <row r="137" spans="1:12" hidden="1">
      <c r="A137" s="5" t="s">
        <v>87</v>
      </c>
      <c r="B137" s="92"/>
      <c r="C137" s="160">
        <f>IF(ISNA(VLOOKUP("MAR706100000",Balance!C:G,5,FALSE))=TRUE,0,-VLOOKUP("MAR706100000",Balance!C:G,5,FALSE))</f>
        <v>0</v>
      </c>
      <c r="D137" s="117">
        <f>+[2]STMarcelin!$H137</f>
        <v>0</v>
      </c>
      <c r="E137" s="160">
        <f>IF(ISNA(VLOOKUP("MAR706100000",Balanceanp!C:G,5,FALSE))=TRUE,0,-VLOOKUP("MAR706100000",Balanceanp!C:G,5,FALSE))</f>
        <v>0</v>
      </c>
      <c r="F137" s="368">
        <f>+C137+C137/9*(12-Clients!$I$14)</f>
        <v>0</v>
      </c>
      <c r="G137" s="395">
        <f t="shared" si="15"/>
        <v>0</v>
      </c>
      <c r="H137" s="401"/>
      <c r="I137" s="149">
        <f t="shared" si="14"/>
        <v>0</v>
      </c>
      <c r="J137" s="271">
        <f t="shared" si="14"/>
        <v>0</v>
      </c>
      <c r="L137" s="17">
        <f t="shared" si="16"/>
        <v>0</v>
      </c>
    </row>
    <row r="138" spans="1:12" hidden="1">
      <c r="A138" s="5" t="s">
        <v>152</v>
      </c>
      <c r="B138" s="92"/>
      <c r="C138" s="160">
        <f>IF(ISNA(VLOOKUP("MAR641210000",Balance!C:G,5,FALSE))=TRUE,0,VLOOKUP("MAR641210000",Balance!C:G,5,FALSE))</f>
        <v>0</v>
      </c>
      <c r="D138" s="117">
        <f>+[2]STMarcelin!$H138</f>
        <v>0</v>
      </c>
      <c r="E138" s="160">
        <f>IF(ISNA(VLOOKUP("MAR641210000",Balanceanp!C:G,5,FALSE))=TRUE,0,VLOOKUP("MAR641210000",Balanceanp!C:G,5,FALSE))</f>
        <v>-521.6099999999999</v>
      </c>
      <c r="F138" s="368">
        <f>+C138+C138/9*(12-Clients!$I$14)</f>
        <v>0</v>
      </c>
      <c r="G138" s="395">
        <f t="shared" si="15"/>
        <v>0</v>
      </c>
      <c r="H138" s="401"/>
      <c r="I138" s="149">
        <f t="shared" si="14"/>
        <v>-1</v>
      </c>
      <c r="J138" s="271">
        <f t="shared" si="14"/>
        <v>0</v>
      </c>
      <c r="L138" s="17">
        <v>0</v>
      </c>
    </row>
    <row r="139" spans="1:12" hidden="1">
      <c r="A139" s="5" t="s">
        <v>153</v>
      </c>
      <c r="B139" s="92"/>
      <c r="C139" s="160">
        <f>IF(ISNA(VLOOKUP("MAR641400000",Balance!C:G,5,FALSE))=TRUE,0,VLOOKUP("MAR641400000",Balance!C:G,5,FALSE))</f>
        <v>0</v>
      </c>
      <c r="D139" s="117">
        <f>+[2]STMarcelin!$H139</f>
        <v>0</v>
      </c>
      <c r="E139" s="160">
        <f>IF(ISNA(VLOOKUP("MAR641400000",Balanceanp!C:G,5,FALSE))=TRUE,0,VLOOKUP("MAR641400000",Balanceanp!C:G,5,FALSE))</f>
        <v>0</v>
      </c>
      <c r="F139" s="368">
        <f>+C139+C139/9*(12-Clients!$I$14)</f>
        <v>0</v>
      </c>
      <c r="G139" s="395">
        <f t="shared" si="15"/>
        <v>0</v>
      </c>
      <c r="H139" s="401"/>
      <c r="I139" s="149">
        <f t="shared" si="14"/>
        <v>0</v>
      </c>
      <c r="J139" s="271">
        <f t="shared" si="14"/>
        <v>0</v>
      </c>
      <c r="L139" s="17">
        <f t="shared" si="16"/>
        <v>0</v>
      </c>
    </row>
    <row r="140" spans="1:12" hidden="1">
      <c r="A140" s="5" t="s">
        <v>154</v>
      </c>
      <c r="B140" s="92"/>
      <c r="C140" s="160">
        <f>IF(ISNA(VLOOKUP("MAR641600000",Balance!C:G,5,FALSE))=TRUE,0,VLOOKUP("MAR641600000",Balance!C:G,5,FALSE))</f>
        <v>0</v>
      </c>
      <c r="D140" s="117">
        <f>+[2]STMarcelin!$H140</f>
        <v>0</v>
      </c>
      <c r="E140" s="160">
        <f>IF(ISNA(VLOOKUP("MAR641600000",Balanceanp!C:G,5,FALSE))=TRUE,0,VLOOKUP("MAR641600000",Balanceanp!C:G,5,FALSE))</f>
        <v>0</v>
      </c>
      <c r="F140" s="368">
        <f>+C140+C140/9*(12-Clients!$I$14)</f>
        <v>0</v>
      </c>
      <c r="G140" s="395">
        <f t="shared" si="15"/>
        <v>0</v>
      </c>
      <c r="H140" s="401"/>
      <c r="I140" s="149">
        <f t="shared" si="14"/>
        <v>0</v>
      </c>
      <c r="J140" s="271">
        <f t="shared" si="14"/>
        <v>0</v>
      </c>
      <c r="L140" s="17">
        <f t="shared" si="16"/>
        <v>0</v>
      </c>
    </row>
    <row r="141" spans="1:12">
      <c r="A141" s="590" t="s">
        <v>155</v>
      </c>
      <c r="B141" s="591"/>
      <c r="C141" s="311">
        <f>IF(ISNA(VLOOKUP("MAR645100000",Balance!C:G,5,FALSE))=TRUE,0,VLOOKUP("MAR645100000",Balance!C:G,5,FALSE))</f>
        <v>5928.59</v>
      </c>
      <c r="D141" s="592">
        <f>+[2]STMarcelin!$H141</f>
        <v>8588.6434885641174</v>
      </c>
      <c r="E141" s="311">
        <f>IF(ISNA(VLOOKUP("MAR645100000",Balanceanp!C:G,5,FALSE))=TRUE,0,VLOOKUP("MAR645100000",Balanceanp!C:G,5,FALSE))</f>
        <v>8149.99</v>
      </c>
      <c r="F141" s="625">
        <f>+C141+C141/9*(12-Clients!$I$14)</f>
        <v>7904.7866666666669</v>
      </c>
      <c r="G141" s="630">
        <f t="shared" ref="G141:G146" si="17">+($G$131/$C$131*C141)*1.01</f>
        <v>8632.3909469870759</v>
      </c>
      <c r="H141" s="630"/>
      <c r="I141" s="591">
        <f t="shared" si="14"/>
        <v>-3.0086335484256169E-2</v>
      </c>
      <c r="J141" s="595">
        <f t="shared" si="14"/>
        <v>9.2046036281865806E-2</v>
      </c>
      <c r="L141" s="17">
        <f t="shared" si="16"/>
        <v>1</v>
      </c>
    </row>
    <row r="142" spans="1:12">
      <c r="A142" s="590" t="s">
        <v>156</v>
      </c>
      <c r="B142" s="591"/>
      <c r="C142" s="311">
        <f>IF(ISNA(VLOOKUP("MAR645200000",Balance!C:G,5,FALSE))=TRUE,0,VLOOKUP("MAR645200000",Balance!C:G,5,FALSE))</f>
        <v>897.04</v>
      </c>
      <c r="D142" s="592">
        <f>+[2]STMarcelin!$H142</f>
        <v>1076.8188868389057</v>
      </c>
      <c r="E142" s="311">
        <f>IF(ISNA(VLOOKUP("MAR645200000",Balanceanp!C:G,5,FALSE))=TRUE,0,VLOOKUP("MAR645200000",Balanceanp!C:G,5,FALSE))</f>
        <v>1029.1199999999999</v>
      </c>
      <c r="F142" s="625">
        <f>+C142+C142/9*(12-Clients!$I$14)</f>
        <v>1196.0533333333333</v>
      </c>
      <c r="G142" s="630">
        <f t="shared" si="17"/>
        <v>1306.1453018483796</v>
      </c>
      <c r="H142" s="630"/>
      <c r="I142" s="591">
        <f t="shared" si="14"/>
        <v>0.16220978441127704</v>
      </c>
      <c r="J142" s="595">
        <f t="shared" si="14"/>
        <v>9.2046036281865654E-2</v>
      </c>
      <c r="L142" s="17">
        <f t="shared" si="16"/>
        <v>1</v>
      </c>
    </row>
    <row r="143" spans="1:12">
      <c r="A143" s="590" t="s">
        <v>157</v>
      </c>
      <c r="B143" s="591"/>
      <c r="C143" s="311">
        <f>IF(ISNA(VLOOKUP("MAR645300000",Balance!C:G,5,FALSE))=TRUE,0,VLOOKUP("MAR645300000",Balance!C:G,5,FALSE))</f>
        <v>1513.46</v>
      </c>
      <c r="D143" s="592">
        <f>+[2]STMarcelin!$H143</f>
        <v>2038.0371142620361</v>
      </c>
      <c r="E143" s="311">
        <f>IF(ISNA(VLOOKUP("MAR645300000",Balanceanp!C:G,5,FALSE))=TRUE,0,VLOOKUP("MAR645300000",Balanceanp!C:G,5,FALSE))</f>
        <v>1988.5</v>
      </c>
      <c r="F143" s="625">
        <f>+C143+C143/9*(12-Clients!$I$14)</f>
        <v>2017.9466666666667</v>
      </c>
      <c r="G143" s="630">
        <f t="shared" si="17"/>
        <v>2203.6906587615367</v>
      </c>
      <c r="H143" s="630"/>
      <c r="I143" s="591">
        <f t="shared" si="14"/>
        <v>1.4808482105439636E-2</v>
      </c>
      <c r="J143" s="595">
        <f t="shared" si="14"/>
        <v>9.2046036281865723E-2</v>
      </c>
      <c r="L143" s="17">
        <f t="shared" si="16"/>
        <v>1</v>
      </c>
    </row>
    <row r="144" spans="1:12" hidden="1">
      <c r="A144" s="5" t="s">
        <v>326</v>
      </c>
      <c r="B144" s="92"/>
      <c r="C144" s="160">
        <f>IF(ISNA(VLOOKUP("MAR645310000",Balance!C:G,5,FALSE))=TRUE,0,VLOOKUP("MAR645310000",Balance!C:G,5,FALSE))</f>
        <v>0</v>
      </c>
      <c r="D144" s="117">
        <f>+[2]STMarcelin!$H144</f>
        <v>0</v>
      </c>
      <c r="E144" s="160">
        <f>IF(ISNA(VLOOKUP("MAR645310000",Balanceanp!C:G,5,FALSE))=TRUE,0,VLOOKUP("MAR645310000",Balanceanp!C:G,5,FALSE))</f>
        <v>0</v>
      </c>
      <c r="F144" s="368">
        <f>+C144+C144/9*(12-Clients!$I$14)</f>
        <v>0</v>
      </c>
      <c r="G144" s="396">
        <f t="shared" si="17"/>
        <v>0</v>
      </c>
      <c r="H144" s="409"/>
      <c r="I144" s="149">
        <f t="shared" si="14"/>
        <v>0</v>
      </c>
      <c r="J144" s="271">
        <f t="shared" si="14"/>
        <v>0</v>
      </c>
      <c r="L144" s="17">
        <f t="shared" si="16"/>
        <v>0</v>
      </c>
    </row>
    <row r="145" spans="1:12">
      <c r="A145" s="590" t="s">
        <v>158</v>
      </c>
      <c r="B145" s="591"/>
      <c r="C145" s="311">
        <f>IF(ISNA(VLOOKUP("MAR645400000",Balance!C:G,5,FALSE))=TRUE,0,VLOOKUP("MAR645400000",Balance!C:G,5,FALSE))</f>
        <v>1168.29</v>
      </c>
      <c r="D145" s="592">
        <f>+[2]STMarcelin!$H145</f>
        <v>1502.836475050359</v>
      </c>
      <c r="E145" s="311">
        <f>IF(ISNA(VLOOKUP("MAR645400000",Balanceanp!C:G,5,FALSE))=TRUE,0,VLOOKUP("MAR645400000",Balanceanp!C:G,5,FALSE))</f>
        <v>1484.53</v>
      </c>
      <c r="F145" s="625">
        <f>+C145+C145/9*(12-Clients!$I$14)</f>
        <v>1557.72</v>
      </c>
      <c r="G145" s="630">
        <f t="shared" si="17"/>
        <v>1701.1019516369877</v>
      </c>
      <c r="H145" s="630"/>
      <c r="I145" s="591">
        <f t="shared" si="14"/>
        <v>4.9301799222649628E-2</v>
      </c>
      <c r="J145" s="595">
        <f t="shared" si="14"/>
        <v>9.2046036281865584E-2</v>
      </c>
      <c r="L145" s="17">
        <f t="shared" si="16"/>
        <v>1</v>
      </c>
    </row>
    <row r="146" spans="1:12" hidden="1">
      <c r="A146" s="5" t="s">
        <v>159</v>
      </c>
      <c r="B146" s="92"/>
      <c r="C146" s="160">
        <f>IF(ISNA(VLOOKUP("MAR645800000",Balance!C:G,5,FALSE))=TRUE,0,VLOOKUP("MAR645800000",Balance!C:G,5,FALSE))</f>
        <v>0</v>
      </c>
      <c r="D146" s="117">
        <f>+[2]STMarcelin!$H146</f>
        <v>0</v>
      </c>
      <c r="E146" s="160">
        <f>IF(ISNA(VLOOKUP("MAR645800000",Balanceanp!C:G,5,FALSE))=TRUE,0,VLOOKUP("MAR645800000",Balanceanp!C:G,5,FALSE))</f>
        <v>0</v>
      </c>
      <c r="F146" s="368">
        <f>+C146+C146/9*(12-Clients!$I$14)</f>
        <v>0</v>
      </c>
      <c r="G146" s="396">
        <f t="shared" si="17"/>
        <v>0</v>
      </c>
      <c r="H146" s="409"/>
      <c r="I146" s="149">
        <f t="shared" si="14"/>
        <v>0</v>
      </c>
      <c r="J146" s="271">
        <f t="shared" si="14"/>
        <v>0</v>
      </c>
      <c r="L146" s="17">
        <f t="shared" si="16"/>
        <v>0</v>
      </c>
    </row>
    <row r="147" spans="1:12">
      <c r="A147" s="590" t="s">
        <v>160</v>
      </c>
      <c r="B147" s="591"/>
      <c r="C147" s="311">
        <f>IF(ISNA(VLOOKUP("MAR645900000",Balance!C:G,5,FALSE))=TRUE,0,VLOOKUP("MAR645900000",Balance!C:G,5,FALSE))</f>
        <v>255.68</v>
      </c>
      <c r="D147" s="592">
        <f>+[2]STMarcelin!$H147</f>
        <v>159.1968</v>
      </c>
      <c r="E147" s="311">
        <f>IF(ISNA(VLOOKUP("MAR645900000",Balanceanp!C:G,5,FALSE))=TRUE,0,VLOOKUP("MAR645900000",Balanceanp!C:G,5,FALSE))</f>
        <v>-3.5</v>
      </c>
      <c r="F147" s="625">
        <f>+C147+C147/9*(12-Clients!$I$14)</f>
        <v>340.90666666666664</v>
      </c>
      <c r="G147" s="630">
        <f>+F147*1.03</f>
        <v>351.13386666666662</v>
      </c>
      <c r="H147" s="630"/>
      <c r="I147" s="591">
        <f t="shared" ref="I147:J152" si="18">+IF((E147)=0,,(F147-E147)/E147)</f>
        <v>-98.40190476190476</v>
      </c>
      <c r="J147" s="595">
        <f t="shared" si="18"/>
        <v>2.999999999999995E-2</v>
      </c>
      <c r="L147" s="17">
        <f t="shared" si="16"/>
        <v>1</v>
      </c>
    </row>
    <row r="148" spans="1:12">
      <c r="A148" s="590" t="s">
        <v>161</v>
      </c>
      <c r="B148" s="591"/>
      <c r="C148" s="311">
        <f>IF(ISNA(VLOOKUP("MAR647100000",Balance!C:G,5,FALSE))=TRUE,0,VLOOKUP("MAR647100000",Balance!C:G,5,FALSE))</f>
        <v>0</v>
      </c>
      <c r="D148" s="592">
        <f>+[2]STMarcelin!$H148</f>
        <v>25.265333500000001</v>
      </c>
      <c r="E148" s="311">
        <f>IF(ISNA(VLOOKUP("MAR647100000",Balanceanp!C:G,5,FALSE))=TRUE,0,VLOOKUP("MAR647100000",Balanceanp!C:G,5,FALSE))</f>
        <v>39.6</v>
      </c>
      <c r="F148" s="625">
        <f>+C148+C148/9*(12-Clients!$I$14)</f>
        <v>0</v>
      </c>
      <c r="G148" s="630">
        <f>+F148*1.03</f>
        <v>0</v>
      </c>
      <c r="H148" s="630"/>
      <c r="I148" s="591">
        <f t="shared" si="18"/>
        <v>-1</v>
      </c>
      <c r="J148" s="595">
        <f t="shared" si="18"/>
        <v>0</v>
      </c>
      <c r="L148" s="17">
        <f t="shared" si="16"/>
        <v>1</v>
      </c>
    </row>
    <row r="149" spans="1:12">
      <c r="A149" s="590" t="s">
        <v>162</v>
      </c>
      <c r="B149" s="591"/>
      <c r="C149" s="311">
        <f>IF(ISNA(VLOOKUP("MAR647400000",Balance!C:G,5,FALSE))=TRUE,0,VLOOKUP("MAR647400000",Balance!C:G,5,FALSE))</f>
        <v>0</v>
      </c>
      <c r="D149" s="592">
        <f>+[2]STMarcelin!$H149</f>
        <v>83.915490500000004</v>
      </c>
      <c r="E149" s="311">
        <f>IF(ISNA(VLOOKUP("MAR647400000",Balanceanp!C:G,5,FALSE))=TRUE,0,VLOOKUP("MAR647400000",Balanceanp!C:G,5,FALSE))</f>
        <v>115.79</v>
      </c>
      <c r="F149" s="625">
        <f>+C149+C149/9*(12-Clients!$I$14)</f>
        <v>0</v>
      </c>
      <c r="G149" s="630">
        <f>+F149*1.03</f>
        <v>0</v>
      </c>
      <c r="H149" s="630"/>
      <c r="I149" s="591">
        <f t="shared" si="18"/>
        <v>-1</v>
      </c>
      <c r="J149" s="595">
        <f t="shared" si="18"/>
        <v>0</v>
      </c>
      <c r="L149" s="17">
        <f t="shared" si="16"/>
        <v>1</v>
      </c>
    </row>
    <row r="150" spans="1:12">
      <c r="A150" s="590" t="s">
        <v>163</v>
      </c>
      <c r="B150" s="591"/>
      <c r="C150" s="311">
        <f>IF(ISNA(VLOOKUP("MAR647500000",Balance!C:G,5,FALSE))=TRUE,0,VLOOKUP("MAR647500000",Balance!C:G,5,FALSE))</f>
        <v>139</v>
      </c>
      <c r="D150" s="592">
        <f>+[2]STMarcelin!$H150</f>
        <v>188.06896466046527</v>
      </c>
      <c r="E150" s="311">
        <f>IF(ISNA(VLOOKUP("MAR647500000",Balanceanp!C:G,5,FALSE))=TRUE,0,VLOOKUP("MAR647500000",Balanceanp!C:G,5,FALSE))</f>
        <v>137</v>
      </c>
      <c r="F150" s="625">
        <f>+C150+C150/9*(12-Clients!$I$14)</f>
        <v>185.33333333333334</v>
      </c>
      <c r="G150" s="630">
        <f>+F150*1.03</f>
        <v>190.89333333333335</v>
      </c>
      <c r="H150" s="630"/>
      <c r="I150" s="591">
        <f t="shared" si="18"/>
        <v>0.3527980535279806</v>
      </c>
      <c r="J150" s="595">
        <f t="shared" si="18"/>
        <v>3.0000000000000009E-2</v>
      </c>
      <c r="L150" s="17">
        <f t="shared" si="16"/>
        <v>1</v>
      </c>
    </row>
    <row r="151" spans="1:12" hidden="1">
      <c r="A151" s="5" t="s">
        <v>570</v>
      </c>
      <c r="B151" s="92"/>
      <c r="C151" s="160"/>
      <c r="D151" s="117">
        <f>+[2]STMarcelin!$H151</f>
        <v>0</v>
      </c>
      <c r="E151" s="160"/>
      <c r="F151" s="368"/>
      <c r="G151" s="395"/>
      <c r="H151" s="409"/>
      <c r="I151" s="149"/>
      <c r="J151" s="271"/>
      <c r="L151" s="17">
        <f t="shared" si="16"/>
        <v>0</v>
      </c>
    </row>
    <row r="152" spans="1:12">
      <c r="A152" s="590" t="s">
        <v>58</v>
      </c>
      <c r="B152" s="591"/>
      <c r="C152" s="311">
        <f>IF(ISNA(VLOOKUP("MAR648000000",Balance!C:G,5,FALSE))=TRUE,0,VLOOKUP("MAR648000000",Balance!C:G,5,FALSE))</f>
        <v>0</v>
      </c>
      <c r="D152" s="592">
        <f>+[2]STMarcelin!$H152</f>
        <v>0</v>
      </c>
      <c r="E152" s="311">
        <f>IF(ISNA(VLOOKUP("MAR648000000",Balanceanp!C:G,5,FALSE))=TRUE,0,VLOOKUP("MAR648000000",Balanceanp!C:G,5,FALSE))</f>
        <v>1626.3499200000001</v>
      </c>
      <c r="F152" s="625">
        <f>+C152+C152/9*(12-Clients!$I$14)</f>
        <v>0</v>
      </c>
      <c r="G152" s="630">
        <f>+F152*1.03</f>
        <v>0</v>
      </c>
      <c r="H152" s="630">
        <f>SUM(G141:G152)</f>
        <v>14385.35605923398</v>
      </c>
      <c r="I152" s="591">
        <f t="shared" si="18"/>
        <v>-1</v>
      </c>
      <c r="J152" s="595">
        <f t="shared" si="18"/>
        <v>0</v>
      </c>
      <c r="L152" s="17">
        <f t="shared" si="16"/>
        <v>1</v>
      </c>
    </row>
    <row r="153" spans="1:12" hidden="1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s="17">
        <f t="shared" si="16"/>
        <v>0</v>
      </c>
    </row>
    <row r="154" spans="1:12" s="33" customFormat="1" ht="15" customHeight="1">
      <c r="A154" s="13" t="s">
        <v>164</v>
      </c>
      <c r="B154" s="596">
        <f>+C154/$C$21</f>
        <v>0.2248472058343455</v>
      </c>
      <c r="C154" s="305">
        <f>SUM(C130:C153)</f>
        <v>43584.94</v>
      </c>
      <c r="D154" s="312">
        <f>SUM(D130:D153)</f>
        <v>59332.782553375888</v>
      </c>
      <c r="E154" s="305">
        <f>SUM(E130:E153)</f>
        <v>56839.349920000001</v>
      </c>
      <c r="F154" s="312">
        <f>SUM(F130:F153)</f>
        <v>58113.253333333341</v>
      </c>
      <c r="G154" s="312">
        <f>SUM(G130:G153)</f>
        <v>63160.356059233978</v>
      </c>
      <c r="H154" s="421">
        <f>+G154/$G$21</f>
        <v>0.19218413807979423</v>
      </c>
      <c r="I154" s="598">
        <f>+IF((E154)=0,,(F154-E154)/E154)</f>
        <v>2.2412350161047385E-2</v>
      </c>
      <c r="J154" s="599">
        <f>+IF((F154)=0,,(G154-F154)/F154)</f>
        <v>8.684942653185887E-2</v>
      </c>
      <c r="K154" s="136">
        <f>(C154+(C154/3))</f>
        <v>58113.253333333334</v>
      </c>
      <c r="L154" s="17">
        <f t="shared" si="16"/>
        <v>1</v>
      </c>
    </row>
    <row r="155" spans="1:12" hidden="1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s="17">
        <f t="shared" si="16"/>
        <v>0</v>
      </c>
    </row>
    <row r="156" spans="1:12">
      <c r="A156" s="590" t="s">
        <v>545</v>
      </c>
      <c r="B156" s="591">
        <v>0.45610000000000001</v>
      </c>
      <c r="C156" s="311">
        <f>IF(ISNA(VLOOKUP("MAR681740000",Balance!C:G,5,FALSE))=TRUE,0,VLOOKUP("MAR681740000",Balance!C:G,5,FALSE))</f>
        <v>2513.61</v>
      </c>
      <c r="D156" s="592">
        <f>+[2]STMarcelin!$H156</f>
        <v>2339.9285175</v>
      </c>
      <c r="E156" s="311">
        <f>IF(ISNA(VLOOKUP("MAR681740000",Balanceanp!C:G,5,FALSE))=TRUE,0,VLOOKUP("MAR681740000",Balanceanp!C:G,5,FALSE))</f>
        <v>87.32</v>
      </c>
      <c r="F156" s="625">
        <f>+C156+C156/9*(12-Clients!$I$14)</f>
        <v>3351.4800000000005</v>
      </c>
      <c r="G156" s="637">
        <f>+G21*B156*1.62%</f>
        <v>2428.2987489000002</v>
      </c>
      <c r="H156" s="639"/>
      <c r="I156" s="591">
        <f t="shared" ref="I156:J166" si="19">+IF((E156)=0,,(F156-E156)/E156)</f>
        <v>37.381584974805321</v>
      </c>
      <c r="J156" s="595">
        <f t="shared" si="19"/>
        <v>-0.27545479940205525</v>
      </c>
      <c r="L156" s="17">
        <f t="shared" si="16"/>
        <v>1</v>
      </c>
    </row>
    <row r="157" spans="1:12" hidden="1">
      <c r="A157" s="5" t="s">
        <v>165</v>
      </c>
      <c r="B157" s="92"/>
      <c r="C157" s="160">
        <f>IF(ISNA(VLOOKUP("MAR781740000",Balance!C:G,5,FALSE))=TRUE,0,VLOOKUP("MAR781740000",Balance!C:G,5,FALSE))</f>
        <v>0</v>
      </c>
      <c r="D157" s="117">
        <f>+[2]STMarcelin!$H157</f>
        <v>0</v>
      </c>
      <c r="E157" s="160">
        <f>IF(ISNA(VLOOKUP("MAR781740000",Balanceanp!C:G,5,FALSE))=TRUE,0,VLOOKUP("MAR781740000",Balanceanp!C:G,5,FALSE))</f>
        <v>0</v>
      </c>
      <c r="F157" s="368">
        <f>+C157+C157/9*(12-Clients!$I$14)</f>
        <v>0</v>
      </c>
      <c r="G157" s="396">
        <v>0</v>
      </c>
      <c r="H157" s="409"/>
      <c r="I157" s="149">
        <f t="shared" si="19"/>
        <v>0</v>
      </c>
      <c r="J157" s="271">
        <f t="shared" si="19"/>
        <v>0</v>
      </c>
      <c r="L157" s="17">
        <f t="shared" si="16"/>
        <v>0</v>
      </c>
    </row>
    <row r="158" spans="1:12" hidden="1">
      <c r="A158" s="5" t="s">
        <v>166</v>
      </c>
      <c r="B158" s="92"/>
      <c r="C158" s="160">
        <f>IF(ISNA(VLOOKUP("MAR654400000",Balance!C:G,5,FALSE))=TRUE,0,VLOOKUP("MAR654400000",Balance!C:G,5,FALSE))</f>
        <v>0</v>
      </c>
      <c r="D158" s="117">
        <f>+[2]STMarcelin!$H158</f>
        <v>0</v>
      </c>
      <c r="E158" s="160">
        <f>IF(ISNA(VLOOKUP("MAR654400000",Balanceanp!C:G,5,FALSE))=TRUE,0,VLOOKUP("MAR654400000",Balanceanp!C:G,5,FALSE))</f>
        <v>0</v>
      </c>
      <c r="F158" s="368">
        <f>+C158+C158/9*(12-Clients!$I$14)</f>
        <v>0</v>
      </c>
      <c r="G158" s="396">
        <v>0</v>
      </c>
      <c r="H158" s="409"/>
      <c r="I158" s="149">
        <f t="shared" si="19"/>
        <v>0</v>
      </c>
      <c r="J158" s="271">
        <f t="shared" si="19"/>
        <v>0</v>
      </c>
      <c r="L158" s="17">
        <f t="shared" si="16"/>
        <v>0</v>
      </c>
    </row>
    <row r="159" spans="1:12" hidden="1">
      <c r="A159" s="5" t="s">
        <v>60</v>
      </c>
      <c r="B159" s="92"/>
      <c r="C159" s="160">
        <f>IF(ISNA(VLOOKUP("MAR791100000",Balance!C:G,5,FALSE))=TRUE,0,VLOOKUP("MAR791100000",Balance!C:G,5,FALSE))</f>
        <v>0</v>
      </c>
      <c r="D159" s="117">
        <f>+[2]STMarcelin!$H159</f>
        <v>0</v>
      </c>
      <c r="E159" s="160">
        <f>IF(ISNA(VLOOKUP("MAR791100000",Balanceanp!C:G,5,FALSE))=TRUE,0,VLOOKUP("MAR791100000",Balanceanp!C:G,5,FALSE))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9"/>
        <v>0</v>
      </c>
      <c r="J159" s="271">
        <f t="shared" si="19"/>
        <v>0</v>
      </c>
      <c r="L159" s="17">
        <f t="shared" si="16"/>
        <v>0</v>
      </c>
    </row>
    <row r="160" spans="1:12">
      <c r="A160" s="590" t="s">
        <v>199</v>
      </c>
      <c r="B160" s="591"/>
      <c r="C160" s="311">
        <f>IF(ISNA(VLOOKUP("MAR654100000",Balance!C:G,5,FALSE))=TRUE,0,VLOOKUP("MAR654100000",Balance!C:G,5,FALSE))</f>
        <v>1.22</v>
      </c>
      <c r="D160" s="592">
        <f>+[2]STMarcelin!$H160</f>
        <v>0</v>
      </c>
      <c r="E160" s="311">
        <f>IF(ISNA(VLOOKUP("MAR654100000",Balanceanp!C:G,5,FALSE))=TRUE,0,VLOOKUP("MAR654100000",Balanceanp!C:G,5,FALSE))</f>
        <v>1.4000000000000001</v>
      </c>
      <c r="F160" s="625">
        <f>+C160+C160/9*(12-Clients!$I$14)</f>
        <v>1.6266666666666665</v>
      </c>
      <c r="G160" s="630">
        <v>0</v>
      </c>
      <c r="H160" s="630"/>
      <c r="I160" s="591">
        <f t="shared" si="19"/>
        <v>0.16190476190476166</v>
      </c>
      <c r="J160" s="595">
        <f t="shared" si="19"/>
        <v>-1</v>
      </c>
      <c r="L160" s="17">
        <f t="shared" si="16"/>
        <v>1</v>
      </c>
    </row>
    <row r="161" spans="1:12">
      <c r="A161" s="590" t="s">
        <v>41</v>
      </c>
      <c r="B161" s="591"/>
      <c r="C161" s="311">
        <f>IF(ISNA(VLOOKUP("MAR622700000",Balance!C:G,5,FALSE))=TRUE,0,VLOOKUP("MAR622700000",Balance!C:G,5,FALSE))</f>
        <v>0</v>
      </c>
      <c r="D161" s="592">
        <f>+[2]STMarcelin!$H161</f>
        <v>11.938156300729167</v>
      </c>
      <c r="E161" s="311">
        <f>IF(ISNA(VLOOKUP("MAR622700000",Balanceanp!C:G,5,FALSE))=TRUE,0,VLOOKUP("MAR622700000",Balanceanp!C:G,5,FALSE))</f>
        <v>0</v>
      </c>
      <c r="F161" s="625">
        <f>+C161+C161/9*(12-Clients!$I$14)</f>
        <v>0</v>
      </c>
      <c r="G161" s="630">
        <f t="shared" ref="G161:G166" si="20">+F161*1.03</f>
        <v>0</v>
      </c>
      <c r="H161" s="630"/>
      <c r="I161" s="591">
        <f t="shared" si="19"/>
        <v>0</v>
      </c>
      <c r="J161" s="595">
        <f t="shared" si="19"/>
        <v>0</v>
      </c>
      <c r="L161" s="17">
        <f t="shared" si="16"/>
        <v>1</v>
      </c>
    </row>
    <row r="162" spans="1:12">
      <c r="A162" s="590" t="s">
        <v>355</v>
      </c>
      <c r="B162" s="591"/>
      <c r="C162" s="311">
        <f>IF(ISNA(VLOOKUP("MAR654200000",Balance!C:G,5,FALSE))=TRUE,0,VLOOKUP("MAR654200000",Balance!C:G,5,FALSE))</f>
        <v>0</v>
      </c>
      <c r="D162" s="592">
        <f>+[2]STMarcelin!$H162</f>
        <v>0.42056899541145842</v>
      </c>
      <c r="E162" s="311">
        <f>IF(ISNA(VLOOKUP("MAR654200000",Balanceanp!C:G,5,FALSE))=TRUE,0,VLOOKUP("MAR654200000",Balanceanp!C:G,5,FALSE))</f>
        <v>0</v>
      </c>
      <c r="F162" s="625">
        <f>+C162+C162/9*(12-Clients!$I$14)</f>
        <v>0</v>
      </c>
      <c r="G162" s="630">
        <f t="shared" si="20"/>
        <v>0</v>
      </c>
      <c r="H162" s="630"/>
      <c r="I162" s="591">
        <f t="shared" si="19"/>
        <v>0</v>
      </c>
      <c r="J162" s="595">
        <f t="shared" si="19"/>
        <v>0</v>
      </c>
      <c r="L162" s="17">
        <f t="shared" si="16"/>
        <v>1</v>
      </c>
    </row>
    <row r="163" spans="1:12">
      <c r="A163" s="590" t="s">
        <v>200</v>
      </c>
      <c r="B163" s="591"/>
      <c r="C163" s="311">
        <f>IF(ISNA(VLOOKUP("MAR665000000",Balance!C:G,5,FALSE))=TRUE,0,VLOOKUP("MAR665000000",Balance!C:G,5,FALSE))+IF(ISNA(VLOOKUP("MAR665100000",Balance!C:G,5,FALSE))=TRUE,0,VLOOKUP("MAR665100000",Balance!C:G,5,FALSE))</f>
        <v>0</v>
      </c>
      <c r="D163" s="592">
        <f>+[2]STMarcelin!$H163</f>
        <v>3.8931008350694443</v>
      </c>
      <c r="E163" s="311">
        <f>IF(ISNA(VLOOKUP("MAR665000000",Balanceanp!C:G,5,FALSE))=TRUE,0,VLOOKUP("MAR665000000",Balanceanp!C:G,5,FALSE))+IF(ISNA(VLOOKUP("MAR665100000",Balanceanp!C:G,5,FALSE))=TRUE,0,VLOOKUP("MAR665100000",Balanceanp!C:G,5,FALSE))</f>
        <v>3.59</v>
      </c>
      <c r="F163" s="625">
        <f>+C163+C163/9*(12-Clients!$I$14)</f>
        <v>0</v>
      </c>
      <c r="G163" s="630">
        <f t="shared" si="20"/>
        <v>0</v>
      </c>
      <c r="H163" s="630"/>
      <c r="I163" s="591">
        <f t="shared" si="19"/>
        <v>-1</v>
      </c>
      <c r="J163" s="595">
        <f t="shared" si="19"/>
        <v>0</v>
      </c>
      <c r="L163" s="17">
        <f t="shared" si="16"/>
        <v>1</v>
      </c>
    </row>
    <row r="164" spans="1:12" hidden="1">
      <c r="A164" s="5" t="s">
        <v>271</v>
      </c>
      <c r="B164" s="92"/>
      <c r="C164" s="160">
        <f>IF(ISNA(VLOOKUP("MAR763000000",Balance!C:G,5,FALSE))=TRUE,0,VLOOKUP("MAR763000000",Balance!C:G,5,FALSE))</f>
        <v>0</v>
      </c>
      <c r="D164" s="117">
        <f>+[2]STMarcelin!$H164</f>
        <v>0</v>
      </c>
      <c r="E164" s="160">
        <f>IF(ISNA(VLOOKUP("MAR763000000",Balanceanp!C:G,5,FALSE))=TRUE,0,VLOOKUP("MAR763000000",Balanceanp!C:G,5,FALSE))</f>
        <v>0</v>
      </c>
      <c r="F164" s="368">
        <f>+C164+C164/9*(12-Clients!$I$14)</f>
        <v>0</v>
      </c>
      <c r="G164" s="396">
        <f t="shared" si="20"/>
        <v>0</v>
      </c>
      <c r="H164" s="409"/>
      <c r="I164" s="149">
        <f t="shared" si="19"/>
        <v>0</v>
      </c>
      <c r="J164" s="271">
        <f t="shared" si="19"/>
        <v>0</v>
      </c>
      <c r="L164" s="17">
        <f t="shared" si="16"/>
        <v>0</v>
      </c>
    </row>
    <row r="165" spans="1:12">
      <c r="A165" s="590" t="s">
        <v>242</v>
      </c>
      <c r="B165" s="591"/>
      <c r="C165" s="311">
        <f>IF(ISNA(VLOOKUP("MAR627520000",Balance!C:G,5,FALSE))=TRUE,0,VLOOKUP("MAR627520000",Balance!C:G,5,FALSE))</f>
        <v>9</v>
      </c>
      <c r="D165" s="592">
        <f>+[2]STMarcelin!$H165</f>
        <v>50.480394234270832</v>
      </c>
      <c r="E165" s="311">
        <f>IF(ISNA(VLOOKUP("MAR627520000",Balanceanp!C:G,5,FALSE))=TRUE,0,VLOOKUP("MAR627520000",Balanceanp!C:G,5,FALSE))</f>
        <v>45</v>
      </c>
      <c r="F165" s="625">
        <f>+C165+C165/9*(12-Clients!$I$14)</f>
        <v>12</v>
      </c>
      <c r="G165" s="630">
        <f t="shared" si="20"/>
        <v>12.36</v>
      </c>
      <c r="H165" s="630"/>
      <c r="I165" s="591">
        <f t="shared" si="19"/>
        <v>-0.73333333333333328</v>
      </c>
      <c r="J165" s="595">
        <f t="shared" si="19"/>
        <v>2.9999999999999954E-2</v>
      </c>
      <c r="L165" s="17">
        <f t="shared" si="16"/>
        <v>1</v>
      </c>
    </row>
    <row r="166" spans="1:12" hidden="1">
      <c r="A166" s="5" t="s">
        <v>201</v>
      </c>
      <c r="B166" s="92"/>
      <c r="C166" s="160">
        <f>IF(ISNA(VLOOKUP("MAR763100000",Balance!C:G,5,FALSE))=TRUE,0,VLOOKUP("MAR763100000",Balance!C:G,5,FALSE))</f>
        <v>0</v>
      </c>
      <c r="D166" s="117">
        <f>+[2]STMarcelin!$H166</f>
        <v>0</v>
      </c>
      <c r="E166" s="160">
        <f>IF(ISNA(VLOOKUP("MAR763100000",Balanceanp!C:G,5,FALSE))=TRUE,0,VLOOKUP("MAR763100000",Balanceanp!C:G,5,FALSE))</f>
        <v>0</v>
      </c>
      <c r="F166" s="368">
        <f>+C166+C166/9*(12-Clients!$I$14)</f>
        <v>0</v>
      </c>
      <c r="G166" s="396">
        <f t="shared" si="20"/>
        <v>0</v>
      </c>
      <c r="H166" s="409"/>
      <c r="I166" s="149">
        <f t="shared" si="19"/>
        <v>0</v>
      </c>
      <c r="J166" s="271">
        <f t="shared" si="19"/>
        <v>0</v>
      </c>
      <c r="L166" s="17">
        <f t="shared" si="16"/>
        <v>0</v>
      </c>
    </row>
    <row r="167" spans="1:12" hidden="1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s="17">
        <f t="shared" si="16"/>
        <v>0</v>
      </c>
    </row>
    <row r="168" spans="1:12" s="33" customFormat="1" ht="15" customHeight="1">
      <c r="A168" s="13" t="s">
        <v>74</v>
      </c>
      <c r="B168" s="596">
        <f>+C168/$C$21</f>
        <v>1.3020004696596947E-2</v>
      </c>
      <c r="C168" s="305">
        <f>SUM(C155:C167)</f>
        <v>2523.83</v>
      </c>
      <c r="D168" s="312">
        <f>SUM(D155:D167)</f>
        <v>2406.6607378654812</v>
      </c>
      <c r="E168" s="305">
        <f>SUM(E155:E167)</f>
        <v>137.31</v>
      </c>
      <c r="F168" s="312">
        <f>SUM(F155:F167)</f>
        <v>3365.106666666667</v>
      </c>
      <c r="G168" s="312">
        <f>SUM(G155:G167)</f>
        <v>2440.6587489000003</v>
      </c>
      <c r="H168" s="421">
        <f>+G168/$G$21</f>
        <v>7.4264289701653774E-3</v>
      </c>
      <c r="I168" s="598">
        <f>+IF((E168)=0,,(F168-E168)/E168)</f>
        <v>23.507367756657686</v>
      </c>
      <c r="J168" s="599">
        <f>+IF((F168)=0,,(G168-F168)/F168)</f>
        <v>-0.27471578447240896</v>
      </c>
      <c r="K168" s="136">
        <f>(C168+(C168/3))</f>
        <v>3365.1066666666666</v>
      </c>
      <c r="L168" s="17">
        <f t="shared" si="16"/>
        <v>1</v>
      </c>
    </row>
    <row r="169" spans="1:12" hidden="1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s="17">
        <f t="shared" si="16"/>
        <v>0</v>
      </c>
    </row>
    <row r="170" spans="1:12" hidden="1">
      <c r="A170" s="5" t="s">
        <v>167</v>
      </c>
      <c r="B170" s="92"/>
      <c r="C170" s="160">
        <f>IF(ISNA(VLOOKUP("MAR651100000",Balance!C:G,5,FALSE))=TRUE,0,VLOOKUP("MAR651100000",Balance!C:G,5,FALSE))</f>
        <v>0</v>
      </c>
      <c r="D170" s="117">
        <f>+[2]STMarcelin!$H170</f>
        <v>0</v>
      </c>
      <c r="E170" s="160">
        <f>IF(ISNA(VLOOKUP("MAR651100000",Balanceanp!C:G,5,FALSE))=TRUE,0,VLOOKUP("MAR651100000",Balanceanp!C:G,5,FALSE))</f>
        <v>0</v>
      </c>
      <c r="F170" s="368">
        <f>+C170+C170/9*(12-Clients!$I$14)</f>
        <v>0</v>
      </c>
      <c r="G170" s="396">
        <f t="shared" ref="G170:G183" si="21">+F170*1.03</f>
        <v>0</v>
      </c>
      <c r="H170" s="409"/>
      <c r="I170" s="149">
        <f t="shared" ref="I170:J183" si="22">+IF((E170)=0,,(F170-E170)/E170)</f>
        <v>0</v>
      </c>
      <c r="J170" s="271">
        <f t="shared" si="22"/>
        <v>0</v>
      </c>
      <c r="L170" s="17">
        <f t="shared" si="16"/>
        <v>0</v>
      </c>
    </row>
    <row r="171" spans="1:12" hidden="1">
      <c r="A171" s="5" t="s">
        <v>168</v>
      </c>
      <c r="B171" s="92"/>
      <c r="C171" s="160">
        <f>IF(ISNA(VLOOKUP("MAR651600000",Balance!C:G,5,FALSE))=TRUE,0,VLOOKUP("MAR651600000",Balance!C:G,5,FALSE))</f>
        <v>0</v>
      </c>
      <c r="D171" s="117">
        <f>+[2]STMarcelin!$H171</f>
        <v>0</v>
      </c>
      <c r="E171" s="160">
        <f>IF(ISNA(VLOOKUP("MAR651600000",Balanceanp!C:G,5,FALSE))=TRUE,0,VLOOKUP("MAR651600000",Balanceanp!C:G,5,FALSE))</f>
        <v>0</v>
      </c>
      <c r="F171" s="368">
        <f>+C171+C171/9*(12-Clients!$I$14)</f>
        <v>0</v>
      </c>
      <c r="G171" s="396">
        <f t="shared" si="21"/>
        <v>0</v>
      </c>
      <c r="H171" s="409"/>
      <c r="I171" s="149">
        <f t="shared" si="22"/>
        <v>0</v>
      </c>
      <c r="J171" s="271">
        <f t="shared" si="22"/>
        <v>0</v>
      </c>
      <c r="L171" s="17">
        <f t="shared" si="16"/>
        <v>0</v>
      </c>
    </row>
    <row r="172" spans="1:12" hidden="1">
      <c r="A172" s="5" t="s">
        <v>169</v>
      </c>
      <c r="B172" s="92"/>
      <c r="C172" s="160">
        <f>IF(ISNA(VLOOKUP("MAR671200000",Balance!C:G,5,FALSE))=TRUE,0,VLOOKUP("MAR671200000",Balance!C:G,5,FALSE))</f>
        <v>0</v>
      </c>
      <c r="D172" s="117">
        <f>+[2]STMarcelin!$H172</f>
        <v>0</v>
      </c>
      <c r="E172" s="160">
        <f>IF(ISNA(VLOOKUP("MAR671200000",Balanceanp!C:G,5,FALSE))=TRUE,0,VLOOKUP("MAR671200000",Balanceanp!C:G,5,FALSE))</f>
        <v>0</v>
      </c>
      <c r="F172" s="368">
        <f>+C172+C172/9*(12-Clients!$I$14)</f>
        <v>0</v>
      </c>
      <c r="G172" s="396">
        <f t="shared" si="21"/>
        <v>0</v>
      </c>
      <c r="H172" s="409"/>
      <c r="I172" s="149">
        <f t="shared" si="22"/>
        <v>0</v>
      </c>
      <c r="J172" s="271">
        <f t="shared" si="22"/>
        <v>0</v>
      </c>
      <c r="L172" s="17">
        <f t="shared" si="16"/>
        <v>0</v>
      </c>
    </row>
    <row r="173" spans="1:12">
      <c r="A173" s="590" t="s">
        <v>170</v>
      </c>
      <c r="B173" s="591"/>
      <c r="C173" s="311">
        <f>IF(ISNA(VLOOKUP("MAR671800000",Balance!C:G,5,FALSE))=TRUE,0,VLOOKUP("MAR671800000",Balance!C:G,5,FALSE))</f>
        <v>489.67</v>
      </c>
      <c r="D173" s="592">
        <f>+[2]STMarcelin!$H173</f>
        <v>0</v>
      </c>
      <c r="E173" s="311">
        <f>IF(ISNA(VLOOKUP("MAR671800000",Balanceanp!C:G,5,FALSE))=TRUE,0,VLOOKUP("MAR671800000",Balanceanp!C:G,5,FALSE))+IF(ISNA(VLOOKUP("MAR658000000",Balanceanp!C:G,5,FALSE))=TRUE,0,VLOOKUP("MAR658000000",Balanceanp!C:G,5,FALSE))</f>
        <v>1152.5</v>
      </c>
      <c r="F173" s="625">
        <f>+C173+C173/9*(12-Clients!$I$14)</f>
        <v>652.89333333333343</v>
      </c>
      <c r="G173" s="630">
        <f t="shared" si="21"/>
        <v>672.48013333333347</v>
      </c>
      <c r="H173" s="630"/>
      <c r="I173" s="591">
        <f t="shared" si="22"/>
        <v>-0.43349819233550246</v>
      </c>
      <c r="J173" s="595">
        <f t="shared" si="22"/>
        <v>3.0000000000000054E-2</v>
      </c>
      <c r="L173" s="17">
        <f t="shared" si="16"/>
        <v>1</v>
      </c>
    </row>
    <row r="174" spans="1:12" hidden="1">
      <c r="A174" s="5" t="s">
        <v>341</v>
      </c>
      <c r="B174" s="92"/>
      <c r="C174" s="160">
        <f>IF(ISNA(VLOOKUP("MAR672000000",Balance!C:G,5,FALSE))=TRUE,0,VLOOKUP("MAR672000000",Balance!C:G,5,FALSE))</f>
        <v>0</v>
      </c>
      <c r="D174" s="117">
        <f>+[2]STMarcelin!$H174</f>
        <v>0</v>
      </c>
      <c r="E174" s="160">
        <f>IF(ISNA(VLOOKUP("MAR672000000",Balanceanp!C:G,5,FALSE))=TRUE,0,VLOOKUP("MAR672000000",Balanceanp!C:G,5,FALSE))</f>
        <v>0</v>
      </c>
      <c r="F174" s="368">
        <f>+C174+C174/9*(12-Clients!$I$14)</f>
        <v>0</v>
      </c>
      <c r="G174" s="396">
        <f t="shared" si="21"/>
        <v>0</v>
      </c>
      <c r="H174" s="409"/>
      <c r="I174" s="149">
        <f t="shared" si="22"/>
        <v>0</v>
      </c>
      <c r="J174" s="271">
        <f t="shared" si="22"/>
        <v>0</v>
      </c>
      <c r="L174" s="17">
        <f t="shared" si="16"/>
        <v>0</v>
      </c>
    </row>
    <row r="175" spans="1:12" hidden="1">
      <c r="A175" s="5" t="s">
        <v>308</v>
      </c>
      <c r="B175" s="92"/>
      <c r="C175" s="160">
        <f>IF(ISNA(VLOOKUP("MAR691100000",Balance!C:G,5,FALSE))=TRUE,0,VLOOKUP("MAR691100000",Balance!C:G,5,FALSE))</f>
        <v>0</v>
      </c>
      <c r="D175" s="117">
        <f>+[2]STMarcelin!$H175</f>
        <v>0</v>
      </c>
      <c r="E175" s="160">
        <f>IF(ISNA(VLOOKUP("MAR691100000",Balanceanp!C:G,5,FALSE))=TRUE,0,VLOOKUP("MAR691100000",Balanceanp!C:G,5,FALSE))</f>
        <v>0</v>
      </c>
      <c r="F175" s="368">
        <f>+C175+C175/9*(12-Clients!$I$14)</f>
        <v>0</v>
      </c>
      <c r="G175" s="396">
        <f t="shared" si="21"/>
        <v>0</v>
      </c>
      <c r="H175" s="409"/>
      <c r="I175" s="149">
        <f t="shared" si="22"/>
        <v>0</v>
      </c>
      <c r="J175" s="271">
        <f t="shared" si="22"/>
        <v>0</v>
      </c>
      <c r="L175" s="17">
        <f t="shared" si="16"/>
        <v>0</v>
      </c>
    </row>
    <row r="176" spans="1:12" hidden="1">
      <c r="A176" s="5" t="s">
        <v>172</v>
      </c>
      <c r="B176" s="92"/>
      <c r="C176" s="160">
        <f>IF(ISNA(VLOOKUP("MAR675100000",Balance!C:G,5,FALSE))=TRUE,0,VLOOKUP("MAR675100000",Balance!C:G,5,FALSE))</f>
        <v>0</v>
      </c>
      <c r="D176" s="117">
        <f>+[2]STMarcelin!$H176</f>
        <v>0</v>
      </c>
      <c r="E176" s="160">
        <f>IF(ISNA(VLOOKUP("MAR675100000",Balanceanp!C:G,5,FALSE))=TRUE,0,VLOOKUP("MAR675100000",Balanceanp!C:G,5,FALSE))</f>
        <v>0</v>
      </c>
      <c r="F176" s="368">
        <f>+C176+C176/9*(12-Clients!$I$14)</f>
        <v>0</v>
      </c>
      <c r="G176" s="396">
        <f t="shared" si="21"/>
        <v>0</v>
      </c>
      <c r="H176" s="409"/>
      <c r="I176" s="149">
        <f t="shared" si="22"/>
        <v>0</v>
      </c>
      <c r="J176" s="271">
        <f t="shared" si="22"/>
        <v>0</v>
      </c>
      <c r="L176" s="17">
        <f t="shared" si="16"/>
        <v>0</v>
      </c>
    </row>
    <row r="177" spans="1:12" hidden="1">
      <c r="A177" s="5" t="s">
        <v>173</v>
      </c>
      <c r="B177" s="92"/>
      <c r="C177" s="160">
        <f>IF(ISNA(VLOOKUP("MAR675200000",Balance!C:G,5,FALSE))=TRUE,0,VLOOKUP("MAR675200000",Balance!C:G,5,FALSE))</f>
        <v>0</v>
      </c>
      <c r="D177" s="117">
        <f>+[2]STMarcelin!$H177</f>
        <v>0</v>
      </c>
      <c r="E177" s="160">
        <f>IF(ISNA(VLOOKUP("MAR675200000",Balanceanp!C:G,5,FALSE))=TRUE,0,VLOOKUP("MAR675200000",Balanceanp!C:G,5,FALSE))</f>
        <v>0</v>
      </c>
      <c r="F177" s="368">
        <f>+C177+C177/9*(12-Clients!$I$14)</f>
        <v>0</v>
      </c>
      <c r="G177" s="396">
        <f t="shared" si="21"/>
        <v>0</v>
      </c>
      <c r="H177" s="409"/>
      <c r="I177" s="149">
        <f t="shared" si="22"/>
        <v>0</v>
      </c>
      <c r="J177" s="271">
        <f t="shared" si="22"/>
        <v>0</v>
      </c>
      <c r="L177" s="17">
        <f t="shared" si="16"/>
        <v>0</v>
      </c>
    </row>
    <row r="178" spans="1:12" hidden="1">
      <c r="A178" s="5" t="s">
        <v>174</v>
      </c>
      <c r="B178" s="92"/>
      <c r="C178" s="160">
        <f>IF(ISNA(VLOOKUP("MAR681110000",Balance!C:G,5,FALSE))=TRUE,0,VLOOKUP("MAR681110000",Balance!C:G,5,FALSE))</f>
        <v>0</v>
      </c>
      <c r="D178" s="117">
        <f>+[2]STMarcelin!$H178</f>
        <v>0</v>
      </c>
      <c r="E178" s="160">
        <f>IF(ISNA(VLOOKUP("MAR681110000",Balanceanp!C:G,5,FALSE))=TRUE,0,VLOOKUP("MAR681110000",Balanceanp!C:G,5,FALSE))</f>
        <v>0</v>
      </c>
      <c r="F178" s="368">
        <f>+C178+C178/9*(12-Clients!$I$14)</f>
        <v>0</v>
      </c>
      <c r="G178" s="396">
        <f t="shared" si="21"/>
        <v>0</v>
      </c>
      <c r="H178" s="409"/>
      <c r="I178" s="149">
        <f t="shared" si="22"/>
        <v>0</v>
      </c>
      <c r="J178" s="271">
        <f t="shared" si="22"/>
        <v>0</v>
      </c>
      <c r="L178" s="17">
        <f t="shared" si="16"/>
        <v>0</v>
      </c>
    </row>
    <row r="179" spans="1:12">
      <c r="A179" s="590" t="s">
        <v>175</v>
      </c>
      <c r="B179" s="591"/>
      <c r="C179" s="311">
        <f>IF(ISNA(VLOOKUP("MAR681120000",Balance!C:G,5,FALSE))=TRUE,0,VLOOKUP("MAR681120000",Balance!C:G,5,FALSE))</f>
        <v>1800</v>
      </c>
      <c r="D179" s="592">
        <f>+[2]STMarcelin!$H179</f>
        <v>2400</v>
      </c>
      <c r="E179" s="311">
        <f>IF(ISNA(VLOOKUP("MAR681120000",Balanceanp!C:G,5,FALSE))=TRUE,0,VLOOKUP("MAR681120000",Balanceanp!C:G,5,FALSE))</f>
        <v>1385.26</v>
      </c>
      <c r="F179" s="620">
        <v>2200.35</v>
      </c>
      <c r="G179" s="637">
        <f>2213.58+500+G255/10</f>
        <v>2713.58</v>
      </c>
      <c r="H179" s="632"/>
      <c r="I179" s="591">
        <f t="shared" si="22"/>
        <v>0.58840217720861065</v>
      </c>
      <c r="J179" s="595">
        <f t="shared" si="22"/>
        <v>0.23324925580021363</v>
      </c>
      <c r="L179" s="17">
        <f t="shared" si="16"/>
        <v>1</v>
      </c>
    </row>
    <row r="180" spans="1:12" hidden="1">
      <c r="A180" s="5" t="s">
        <v>78</v>
      </c>
      <c r="B180" s="92"/>
      <c r="C180" s="160">
        <f>IF(ISNA(VLOOKUP("MAR687250000",Balance!C:G,5,FALSE))=TRUE,0,+VLOOKUP("MAR687250000",Balance!C:G,5,FALSE))</f>
        <v>0</v>
      </c>
      <c r="D180" s="117">
        <f>+[2]STMarcelin!$H180</f>
        <v>0</v>
      </c>
      <c r="E180" s="160">
        <f>IF(ISNA(VLOOKUP("MAR687250000",Balanceanp!C:G,5,FALSE))=TRUE,0,+VLOOKUP("MAR687250000",Balanceanp!C:G,5,FALSE))</f>
        <v>0</v>
      </c>
      <c r="F180" s="368">
        <f>+C180+C180/9*(12-Clients!$I$14)</f>
        <v>0</v>
      </c>
      <c r="G180" s="396">
        <f t="shared" si="21"/>
        <v>0</v>
      </c>
      <c r="H180" s="409"/>
      <c r="I180" s="149">
        <f t="shared" si="22"/>
        <v>0</v>
      </c>
      <c r="J180" s="271">
        <f t="shared" si="22"/>
        <v>0</v>
      </c>
      <c r="L180" s="17">
        <f t="shared" si="16"/>
        <v>0</v>
      </c>
    </row>
    <row r="181" spans="1:12" hidden="1">
      <c r="A181" s="5" t="s">
        <v>327</v>
      </c>
      <c r="B181" s="92"/>
      <c r="C181" s="160">
        <f>IF(ISNA(VLOOKUP("MAR661880000",Balance!C:G,5,FALSE))=TRUE,0,+VLOOKUP("MAR661880000",Balance!C:G,5,FALSE))</f>
        <v>0</v>
      </c>
      <c r="D181" s="117">
        <f>+[2]STMarcelin!$H181</f>
        <v>0</v>
      </c>
      <c r="E181" s="160">
        <f>IF(ISNA(VLOOKUP("MAR661880000",Balanceanp!C:G,5,FALSE))=TRUE,0,+VLOOKUP("MAR661880000",Balanceanp!C:G,5,FALSE))</f>
        <v>0</v>
      </c>
      <c r="F181" s="368">
        <f>+C181+C181/9*(12-Clients!$I$14)</f>
        <v>0</v>
      </c>
      <c r="G181" s="396">
        <f t="shared" si="21"/>
        <v>0</v>
      </c>
      <c r="H181" s="409"/>
      <c r="I181" s="149">
        <f t="shared" si="22"/>
        <v>0</v>
      </c>
      <c r="J181" s="271">
        <f t="shared" si="22"/>
        <v>0</v>
      </c>
      <c r="L181" s="17">
        <f t="shared" si="16"/>
        <v>0</v>
      </c>
    </row>
    <row r="182" spans="1:12" hidden="1">
      <c r="A182" s="5" t="s">
        <v>82</v>
      </c>
      <c r="B182" s="92"/>
      <c r="C182" s="160"/>
      <c r="D182" s="117">
        <f>+[2]STMarcelin!$H182</f>
        <v>0</v>
      </c>
      <c r="E182" s="160"/>
      <c r="F182" s="368">
        <f>+C182+C182/9*(12-Clients!$I$14)</f>
        <v>0</v>
      </c>
      <c r="G182" s="396">
        <f t="shared" si="21"/>
        <v>0</v>
      </c>
      <c r="H182" s="409"/>
      <c r="I182" s="149">
        <f t="shared" si="22"/>
        <v>0</v>
      </c>
      <c r="J182" s="271">
        <f t="shared" si="22"/>
        <v>0</v>
      </c>
      <c r="L182" s="17">
        <f t="shared" si="16"/>
        <v>0</v>
      </c>
    </row>
    <row r="183" spans="1:12" hidden="1">
      <c r="A183" s="5" t="s">
        <v>331</v>
      </c>
      <c r="B183" s="92"/>
      <c r="C183" s="160">
        <f>IF(ISNA(VLOOKUP("MAR681500000",Balance!C:G,5,FALSE))=TRUE,0,VLOOKUP("MAR681500000",Balance!C:G,5,FALSE))</f>
        <v>0</v>
      </c>
      <c r="D183" s="117">
        <f>+[2]STMarcelin!$H183</f>
        <v>0</v>
      </c>
      <c r="E183" s="160">
        <f>IF(ISNA(VLOOKUP("MAR681500000",Balanceanp!C:G,5,FALSE))=TRUE,0,VLOOKUP("MAR681500000",Balanceanp!C:G,5,FALSE))</f>
        <v>0</v>
      </c>
      <c r="F183" s="368">
        <f>+C183+C183/9*(12-Clients!$I$14)</f>
        <v>0</v>
      </c>
      <c r="G183" s="396">
        <f t="shared" si="21"/>
        <v>0</v>
      </c>
      <c r="H183" s="409"/>
      <c r="I183" s="149">
        <f t="shared" si="22"/>
        <v>0</v>
      </c>
      <c r="J183" s="271">
        <f t="shared" si="22"/>
        <v>0</v>
      </c>
      <c r="L183" s="17">
        <f t="shared" si="16"/>
        <v>0</v>
      </c>
    </row>
    <row r="184" spans="1:12" hidden="1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s="17">
        <f t="shared" si="16"/>
        <v>0</v>
      </c>
    </row>
    <row r="185" spans="1:12" s="33" customFormat="1" ht="15" customHeight="1">
      <c r="A185" s="13" t="s">
        <v>178</v>
      </c>
      <c r="B185" s="596"/>
      <c r="C185" s="305">
        <f>SUM(C169:C184)</f>
        <v>2289.67</v>
      </c>
      <c r="D185" s="312">
        <f>SUM(D169:D184)</f>
        <v>2400</v>
      </c>
      <c r="E185" s="312">
        <f>SUM(E169:E184)</f>
        <v>2537.7600000000002</v>
      </c>
      <c r="F185" s="312">
        <f>SUM(F169:F184)</f>
        <v>2853.2433333333333</v>
      </c>
      <c r="G185" s="312">
        <f>SUM(G169:G184)</f>
        <v>3386.0601333333334</v>
      </c>
      <c r="H185" s="421"/>
      <c r="I185" s="598">
        <f>+IF((E185)=0,,(F185-E185)/E185)</f>
        <v>0.12431566946178248</v>
      </c>
      <c r="J185" s="599">
        <f>+IF((F185)=0,,(G185-F185)/F185)</f>
        <v>0.18674075000029208</v>
      </c>
      <c r="K185" s="136">
        <f>(C185+(C185/3))</f>
        <v>3052.8933333333334</v>
      </c>
      <c r="L185" s="17">
        <f t="shared" si="16"/>
        <v>1</v>
      </c>
    </row>
    <row r="186" spans="1:12" hidden="1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s="17">
        <f t="shared" si="16"/>
        <v>0</v>
      </c>
    </row>
    <row r="187" spans="1:12" hidden="1">
      <c r="A187" s="5" t="s">
        <v>179</v>
      </c>
      <c r="B187" s="92"/>
      <c r="C187" s="160">
        <f>IF(ISNA(VLOOKUP("MAR740000000",Balance!C:G,5,FALSE))=TRUE,0,-VLOOKUP("MAR740000000",Balance!C:G,5,FALSE))</f>
        <v>0</v>
      </c>
      <c r="D187" s="117">
        <f>+[2]STMarcelin!$H187</f>
        <v>0</v>
      </c>
      <c r="E187" s="160">
        <f>IF(ISNA(VLOOKUP("MAR740000000",Balanceanp!C:G,5,FALSE))=TRUE,0,-VLOOKUP("MAR740000000",Balanceanp!C:G,5,FALSE))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23">+IF((E187)=0,,(F187-E187)/E187)</f>
        <v>0</v>
      </c>
      <c r="J187" s="271">
        <f t="shared" si="23"/>
        <v>0</v>
      </c>
      <c r="L187" s="17">
        <f t="shared" si="16"/>
        <v>0</v>
      </c>
    </row>
    <row r="188" spans="1:12" hidden="1">
      <c r="A188" s="5" t="s">
        <v>167</v>
      </c>
      <c r="B188" s="92"/>
      <c r="C188" s="160">
        <f>IF(ISNA(VLOOKUP("MAR751100000",Balance!C:G,5,FALSE))=TRUE,0,-VLOOKUP("MAR751100000",Balance!C:G,5,FALSE))</f>
        <v>0</v>
      </c>
      <c r="D188" s="117">
        <f>+[2]STMarcelin!$H188</f>
        <v>0</v>
      </c>
      <c r="E188" s="160">
        <f>IF(ISNA(VLOOKUP("MAR751100000",Balanceanp!C:G,5,FALSE))=TRUE,0,-VLOOKUP("MAR751100000",Balanceanp!C:G,5,FALSE))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23"/>
        <v>0</v>
      </c>
      <c r="J188" s="271">
        <f t="shared" si="23"/>
        <v>0</v>
      </c>
      <c r="L188" s="17">
        <f t="shared" si="16"/>
        <v>0</v>
      </c>
    </row>
    <row r="189" spans="1:12" hidden="1">
      <c r="A189" s="5" t="s">
        <v>180</v>
      </c>
      <c r="B189" s="92"/>
      <c r="C189" s="160">
        <f>IF(ISNA(VLOOKUP("MAR758100000",Balance!C:G,5,FALSE))=TRUE,0,-VLOOKUP("MAR758100000",Balance!C:G,5,FALSE))</f>
        <v>1413.9</v>
      </c>
      <c r="D189" s="117">
        <f>+[2]STMarcelin!$H189</f>
        <v>0</v>
      </c>
      <c r="E189" s="160">
        <f>IF(ISNA(VLOOKUP("MAR758100000",Balanceanp!C:G,5,FALSE))=TRUE,0,-VLOOKUP("MAR758100000",Balanceanp!C:G,5,FALSE))</f>
        <v>4749.5</v>
      </c>
      <c r="F189" s="368">
        <f>+C189+C189/9*(12-Clients!$I$14)</f>
        <v>1885.2000000000003</v>
      </c>
      <c r="G189" s="368">
        <v>0</v>
      </c>
      <c r="H189" s="410"/>
      <c r="I189" s="149">
        <f t="shared" si="23"/>
        <v>-0.60307400779029363</v>
      </c>
      <c r="J189" s="271">
        <f t="shared" si="23"/>
        <v>-1</v>
      </c>
      <c r="L189" s="17">
        <v>0</v>
      </c>
    </row>
    <row r="190" spans="1:12" hidden="1">
      <c r="A190" s="5" t="s">
        <v>181</v>
      </c>
      <c r="B190" s="92"/>
      <c r="C190" s="160">
        <f>IF(ISNA(VLOOKUP("MAR763800000",Balance!C:G,5,FALSE))=TRUE,0,-VLOOKUP("MAR763800000",Balance!C:G,5,FALSE))</f>
        <v>0</v>
      </c>
      <c r="D190" s="117">
        <f>+[2]STMarcelin!$H190</f>
        <v>0</v>
      </c>
      <c r="E190" s="160">
        <f>IF(ISNA(VLOOKUP("MAR763800000",Balanceanp!C:G,5,FALSE))=TRUE,0,-VLOOKUP("MAR763800000",Balanceanp!C:G,5,FALSE))+IF(ISNA(VLOOKUP("MAR763110000",Balanceanp!C:G,5,FALSE))=TRUE,0,-VLOOKUP("MAR763110000",Balanceanp!C:G,5,FALSE))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3"/>
        <v>0</v>
      </c>
      <c r="J190" s="271">
        <f t="shared" si="23"/>
        <v>0</v>
      </c>
      <c r="L190" s="17">
        <f t="shared" si="16"/>
        <v>0</v>
      </c>
    </row>
    <row r="191" spans="1:12" hidden="1">
      <c r="A191" s="5" t="s">
        <v>182</v>
      </c>
      <c r="B191" s="92"/>
      <c r="C191" s="160">
        <f>IF(ISNA(VLOOKUP("MAR765000000",Balance!C:G,5,FALSE))=TRUE,0,-VLOOKUP("MAR765000000",Balance!C:G,5,FALSE))</f>
        <v>0</v>
      </c>
      <c r="D191" s="117">
        <f>+[2]STMarcelin!$H191</f>
        <v>0</v>
      </c>
      <c r="E191" s="160">
        <f>IF(ISNA(VLOOKUP("MAR765000000",Balanceanp!C:G,5,FALSE))=TRUE,0,-VLOOKUP("MAR765000000",Balanceanp!C:G,5,FALSE))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3"/>
        <v>0</v>
      </c>
      <c r="J191" s="271">
        <f t="shared" si="23"/>
        <v>0</v>
      </c>
      <c r="L191" s="17">
        <f t="shared" si="16"/>
        <v>0</v>
      </c>
    </row>
    <row r="192" spans="1:12" hidden="1">
      <c r="A192" s="5" t="s">
        <v>183</v>
      </c>
      <c r="B192" s="92"/>
      <c r="C192" s="160">
        <f>IF(ISNA(VLOOKUP("MAR771400000",Balance!C:G,5,FALSE))=TRUE,0,-VLOOKUP("MAR771400000",Balance!C:G,5,FALSE))</f>
        <v>0</v>
      </c>
      <c r="D192" s="117">
        <f>+[2]STMarcelin!$H192</f>
        <v>0</v>
      </c>
      <c r="E192" s="160">
        <f>IF(ISNA(VLOOKUP("MAR771400000",Balanceanp!C:G,5,FALSE))=TRUE,0,-VLOOKUP("MAR771400000",Balanceanp!C:G,5,FALSE))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3"/>
        <v>0</v>
      </c>
      <c r="J192" s="271">
        <f t="shared" si="23"/>
        <v>0</v>
      </c>
      <c r="L192" s="17">
        <f t="shared" si="16"/>
        <v>0</v>
      </c>
    </row>
    <row r="193" spans="1:12" hidden="1">
      <c r="A193" s="5" t="s">
        <v>184</v>
      </c>
      <c r="B193" s="92"/>
      <c r="C193" s="160">
        <f>IF(ISNA(VLOOKUP("MAR771800000",Balance!C:G,5,FALSE))=TRUE,0,-VLOOKUP("MAR771800000",Balance!C:G,5,FALSE))</f>
        <v>0</v>
      </c>
      <c r="D193" s="117">
        <f>+[2]STMarcelin!$H193</f>
        <v>0</v>
      </c>
      <c r="E193" s="160">
        <f>IF(ISNA(VLOOKUP("MAR771800000",Balanceanp!C:G,5,FALSE))=TRUE,0,-VLOOKUP("MAR771800000",Balanceanp!C:G,5,FALSE))</f>
        <v>54</v>
      </c>
      <c r="F193" s="368">
        <f>+C193+C193/9*(12-Clients!$I$14)</f>
        <v>0</v>
      </c>
      <c r="G193" s="368">
        <v>0</v>
      </c>
      <c r="H193" s="410"/>
      <c r="I193" s="149">
        <f t="shared" si="23"/>
        <v>-1</v>
      </c>
      <c r="J193" s="271">
        <f t="shared" si="23"/>
        <v>0</v>
      </c>
      <c r="L193" s="17">
        <v>0</v>
      </c>
    </row>
    <row r="194" spans="1:12" hidden="1">
      <c r="A194" s="5" t="s">
        <v>185</v>
      </c>
      <c r="B194" s="92"/>
      <c r="C194" s="160">
        <f>IF(ISNA(VLOOKUP("MAR758000000",Balance!C:G,5,FALSE))=TRUE,0,-VLOOKUP("MAR758000000",Balance!C:G,5,FALSE))</f>
        <v>0</v>
      </c>
      <c r="D194" s="117">
        <f>+[2]STMarcelin!$H194</f>
        <v>0</v>
      </c>
      <c r="E194" s="160">
        <f>IF(ISNA(VLOOKUP("MAR772000000",Balanceanp!C:G,5,FALSE))=TRUE,0,-VLOOKUP("MAR772000000",Balanceanp!C:G,5,FALSE))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3"/>
        <v>0</v>
      </c>
      <c r="J194" s="271">
        <f t="shared" si="23"/>
        <v>0</v>
      </c>
      <c r="L194" s="17">
        <v>0</v>
      </c>
    </row>
    <row r="195" spans="1:12" hidden="1">
      <c r="A195" s="5" t="s">
        <v>186</v>
      </c>
      <c r="B195" s="92"/>
      <c r="C195" s="160">
        <f>IF(ISNA(VLOOKUP("MAR775100000",Balance!C:G,5,FALSE))=TRUE,0,-VLOOKUP("MAR775100000",Balance!C:G,5,FALSE))</f>
        <v>0</v>
      </c>
      <c r="D195" s="117">
        <f>+[2]STMarcelin!$H195</f>
        <v>0</v>
      </c>
      <c r="E195" s="160">
        <f>IF(ISNA(VLOOKUP("MAR775100000",Balanceanp!C:G,5,FALSE))=TRUE,0,-VLOOKUP("MAR775100000",Balanceanp!C:G,5,FALSE))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3"/>
        <v>0</v>
      </c>
      <c r="J195" s="271">
        <f t="shared" si="23"/>
        <v>0</v>
      </c>
      <c r="L195" s="17">
        <f t="shared" si="16"/>
        <v>0</v>
      </c>
    </row>
    <row r="196" spans="1:12" hidden="1">
      <c r="A196" s="5" t="s">
        <v>187</v>
      </c>
      <c r="B196" s="92"/>
      <c r="C196" s="160">
        <f>IF(ISNA(VLOOKUP("MAR775200000",Balance!C:G,5,FALSE))=TRUE,0,-VLOOKUP("MAR775200000",Balance!C:G,5,FALSE))</f>
        <v>0</v>
      </c>
      <c r="D196" s="117">
        <f>+[2]STMarcelin!$H196</f>
        <v>0</v>
      </c>
      <c r="E196" s="160">
        <f>IF(ISNA(VLOOKUP("MAR775200000",Balanceanp!C:G,5,FALSE))=TRUE,0,-VLOOKUP("MAR775200000",Balanceanp!C:G,5,FALSE))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3"/>
        <v>0</v>
      </c>
      <c r="J196" s="271">
        <f t="shared" si="23"/>
        <v>0</v>
      </c>
      <c r="L196" s="17">
        <f t="shared" si="16"/>
        <v>0</v>
      </c>
    </row>
    <row r="197" spans="1:12">
      <c r="A197" s="590" t="s">
        <v>328</v>
      </c>
      <c r="B197" s="591"/>
      <c r="C197" s="311">
        <f>IF(ISNA(VLOOKUP("MAR791000000",Balance!C:G,5,FALSE))=TRUE,0,-VLOOKUP("MAR791000000",Balance!C:G,5,FALSE))</f>
        <v>70</v>
      </c>
      <c r="D197" s="592">
        <f>+[2]STMarcelin!$H197</f>
        <v>0</v>
      </c>
      <c r="E197" s="311">
        <f>IF(ISNA(VLOOKUP("MAR791000000",Balanceanp!C:G,5,FALSE))=TRUE,0,-VLOOKUP("MAR791000000",Balanceanp!C:G,5,FALSE))</f>
        <v>0</v>
      </c>
      <c r="F197" s="625">
        <f>+C197+C197/9*(12-Clients!$I$14)</f>
        <v>93.333333333333329</v>
      </c>
      <c r="G197" s="625">
        <v>0</v>
      </c>
      <c r="H197" s="625"/>
      <c r="I197" s="591">
        <f t="shared" si="23"/>
        <v>0</v>
      </c>
      <c r="J197" s="595">
        <f t="shared" si="23"/>
        <v>-1</v>
      </c>
      <c r="L197" s="17">
        <f t="shared" si="16"/>
        <v>1</v>
      </c>
    </row>
    <row r="198" spans="1:12" hidden="1">
      <c r="A198" s="5" t="s">
        <v>344</v>
      </c>
      <c r="B198" s="92"/>
      <c r="C198" s="160">
        <f>IF(ISNA(VLOOKUP("MAR781500000",Balance!C:G,5,FALSE))=TRUE,0,-VLOOKUP("MAR781500000",Balance!C:G,5,FALSE))</f>
        <v>0</v>
      </c>
      <c r="D198" s="117">
        <f>+[2]STMarcelin!$H198</f>
        <v>0</v>
      </c>
      <c r="E198" s="160">
        <f>IF(ISNA(VLOOKUP("MAR781500000",Balanceanp!C:G,5,FALSE))=TRUE,0,-VLOOKUP("MAR781500000",Balanceanp!C:G,5,FALSE))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3"/>
        <v>0</v>
      </c>
      <c r="J198" s="271">
        <f t="shared" si="23"/>
        <v>0</v>
      </c>
      <c r="L198" s="17">
        <v>0</v>
      </c>
    </row>
    <row r="199" spans="1:12" hidden="1">
      <c r="A199" s="5" t="s">
        <v>77</v>
      </c>
      <c r="B199" s="92"/>
      <c r="C199" s="160">
        <f>IF(ISNA(VLOOKUP("MAR787250000",Balance!C:G,5,FALSE))=TRUE,0,-VLOOKUP("MAR787250000",Balance!C:G,5,FALSE))</f>
        <v>0</v>
      </c>
      <c r="D199" s="117">
        <f>+[2]STMarcelin!$H199</f>
        <v>0</v>
      </c>
      <c r="E199" s="160">
        <f>IF(ISNA(VLOOKUP("MAR787250000",Balanceanp!C:G,5,FALSE))=TRUE,0,-VLOOKUP("MAR787250000",Balanceanp!C:G,5,FALSE))</f>
        <v>0</v>
      </c>
      <c r="F199" s="368">
        <f>+C199+C199/9*(12-Clients!$I$14)</f>
        <v>0</v>
      </c>
      <c r="G199" s="368">
        <v>0</v>
      </c>
      <c r="H199" s="410"/>
      <c r="I199" s="149">
        <f t="shared" si="23"/>
        <v>0</v>
      </c>
      <c r="J199" s="271">
        <f t="shared" si="23"/>
        <v>0</v>
      </c>
      <c r="L199" s="17">
        <v>0</v>
      </c>
    </row>
    <row r="200" spans="1:12" hidden="1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L200" s="17">
        <f t="shared" ref="L200:L256" si="24">IF(SUM(C200:J200)&lt;&gt;0,1,0)</f>
        <v>0</v>
      </c>
    </row>
    <row r="201" spans="1:12" s="33" customFormat="1" ht="15" customHeight="1">
      <c r="A201" s="13" t="s">
        <v>188</v>
      </c>
      <c r="B201" s="596"/>
      <c r="C201" s="305">
        <f>SUM(C186:C200)</f>
        <v>1483.9</v>
      </c>
      <c r="D201" s="312">
        <f>SUM(D186:D200)</f>
        <v>0</v>
      </c>
      <c r="E201" s="305">
        <f>SUM(E186:E200)</f>
        <v>4803.5</v>
      </c>
      <c r="F201" s="312">
        <f>SUM(F186:F200)</f>
        <v>1978.5333333333335</v>
      </c>
      <c r="G201" s="312">
        <f>SUM(G186:G200)</f>
        <v>0</v>
      </c>
      <c r="H201" s="421"/>
      <c r="I201" s="598">
        <f>+IF((E201)=0,,(F201-E201)/E201)</f>
        <v>-0.58810589500711274</v>
      </c>
      <c r="J201" s="599">
        <f>+IF((F201)=0,,(G201-F201)/F201)</f>
        <v>-1</v>
      </c>
      <c r="K201" s="136">
        <f>(C201+(C201/3))</f>
        <v>1978.5333333333335</v>
      </c>
      <c r="L201" s="17">
        <f t="shared" si="24"/>
        <v>1</v>
      </c>
    </row>
    <row r="202" spans="1:12" hidden="1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L202" s="17">
        <f t="shared" si="24"/>
        <v>0</v>
      </c>
    </row>
    <row r="203" spans="1:12" s="33" customFormat="1" ht="15" customHeight="1">
      <c r="A203" s="14" t="s">
        <v>189</v>
      </c>
      <c r="B203" s="363">
        <f>+C203/$C$21</f>
        <v>0.48591805057384735</v>
      </c>
      <c r="C203" s="313">
        <f>+C103+C116+C129+C154+C168+C185-C201</f>
        <v>94191.56</v>
      </c>
      <c r="D203" s="641">
        <f>+D103+D116+D129+D154+D168+D185-D201</f>
        <v>131260.84166857571</v>
      </c>
      <c r="E203" s="313">
        <f>+E103+E116+E129+E154+E168+E185-E201</f>
        <v>115253.31991999999</v>
      </c>
      <c r="F203" s="641">
        <f>+F103+F116+F129+F154+F168+F185-F201</f>
        <v>121749.46333333333</v>
      </c>
      <c r="G203" s="641">
        <f>+G103+G116+G129+G154+G168+G185-G201</f>
        <v>147393.49207140171</v>
      </c>
      <c r="H203" s="422">
        <f>+G203/$G$21</f>
        <v>0.44848846649546381</v>
      </c>
      <c r="I203" s="643">
        <f>+IF((E203)=0,,(F203-E203)/E203)</f>
        <v>5.6364045893363093E-2</v>
      </c>
      <c r="J203" s="644">
        <f>+IF((F203)=0,,(G203-F203)/F203)</f>
        <v>0.21062950123943083</v>
      </c>
      <c r="K203" s="145">
        <f>+K103+K116+K129+K154+K168+K185-K201</f>
        <v>125588.74666666666</v>
      </c>
      <c r="L203" s="17">
        <f t="shared" si="24"/>
        <v>1</v>
      </c>
    </row>
    <row r="204" spans="1:12" hidden="1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L204" s="17">
        <f t="shared" si="24"/>
        <v>0</v>
      </c>
    </row>
    <row r="205" spans="1:12" s="33" customFormat="1" ht="15" customHeight="1">
      <c r="A205" s="12" t="s">
        <v>228</v>
      </c>
      <c r="B205" s="366">
        <f>+C205/$C$21</f>
        <v>-4.2534247395101366E-2</v>
      </c>
      <c r="C205" s="314">
        <f>+C62-C203</f>
        <v>-8244.9439999999886</v>
      </c>
      <c r="D205" s="645">
        <f>+D62-D203</f>
        <v>10626.158331424289</v>
      </c>
      <c r="E205" s="314">
        <f>+E53-E203</f>
        <v>19512.329779999985</v>
      </c>
      <c r="F205" s="645">
        <f>+F62-F203</f>
        <v>-8781.218018064581</v>
      </c>
      <c r="G205" s="645">
        <f>+G62-G203</f>
        <v>-516.6938467847649</v>
      </c>
      <c r="H205" s="406">
        <f>+G205/$G$21</f>
        <v>-1.5721944553690604E-3</v>
      </c>
      <c r="I205" s="647">
        <f>+IF((E205)=0,,(F205-E205)/E205)</f>
        <v>-1.4500343176377264</v>
      </c>
      <c r="J205" s="648">
        <f>+IF((F205)=0,,(G205-F205)/F205)</f>
        <v>-0.94115920528088126</v>
      </c>
      <c r="L205" s="17">
        <f t="shared" si="24"/>
        <v>1</v>
      </c>
    </row>
    <row r="206" spans="1:12" hidden="1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L206" s="17">
        <f t="shared" si="24"/>
        <v>0</v>
      </c>
    </row>
    <row r="207" spans="1:12" ht="15" customHeight="1">
      <c r="A207" s="63" t="s">
        <v>251</v>
      </c>
      <c r="B207" s="649">
        <f>+C207/$C$21</f>
        <v>2.7341825160538537E-3</v>
      </c>
      <c r="C207" s="650">
        <f>+[2]STMarcelin!$C207</f>
        <v>530.0007196845188</v>
      </c>
      <c r="D207" s="315">
        <f>+[2]STMarcelin!$H207</f>
        <v>1824.4353431207703</v>
      </c>
      <c r="E207" s="315">
        <f>+[1]STMarcelin!$G$207</f>
        <v>708.67011244891148</v>
      </c>
      <c r="F207" s="315">
        <f>+Repart!K24</f>
        <v>699.43478326481443</v>
      </c>
      <c r="G207" s="315">
        <f>+Repart!Q24</f>
        <v>1243.9879366999451</v>
      </c>
      <c r="H207" s="423">
        <f>+G207/$G$21</f>
        <v>3.785202685876691E-3</v>
      </c>
      <c r="I207" s="643">
        <f>+IF((E207)=0,,(F207-E207)/E207)</f>
        <v>-1.3031915727591567E-2</v>
      </c>
      <c r="J207" s="644">
        <f>+IF((F207)=0,,(G207-F207)/F207)</f>
        <v>0.77856172793304768</v>
      </c>
      <c r="L207" s="17">
        <f t="shared" si="24"/>
        <v>1</v>
      </c>
    </row>
    <row r="208" spans="1:12" hidden="1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L208" s="17">
        <f t="shared" si="24"/>
        <v>0</v>
      </c>
    </row>
    <row r="209" spans="1:12" s="33" customFormat="1" ht="15" customHeight="1">
      <c r="A209" s="12" t="s">
        <v>190</v>
      </c>
      <c r="B209" s="366">
        <f>+C209/$C$21</f>
        <v>-4.5268429911155213E-2</v>
      </c>
      <c r="C209" s="314">
        <f>+C205-C207</f>
        <v>-8774.9447196845067</v>
      </c>
      <c r="D209" s="645">
        <f>+D205-D207</f>
        <v>8801.7229883035179</v>
      </c>
      <c r="E209" s="314">
        <f>+E205-E207</f>
        <v>18803.659667551074</v>
      </c>
      <c r="F209" s="645">
        <f>+F205-F207</f>
        <v>-9480.6528013293955</v>
      </c>
      <c r="G209" s="645">
        <f>+G205-G207</f>
        <v>-1760.68178348471</v>
      </c>
      <c r="H209" s="406">
        <f>+G209/$G$21</f>
        <v>-5.3573971412457511E-3</v>
      </c>
      <c r="I209" s="647">
        <f>+IF((E209)=0,,(F209-E209)/E209)</f>
        <v>-1.5041918950325335</v>
      </c>
      <c r="J209" s="648">
        <f>+IF((F209)=0,,(G209-F209)/F209)</f>
        <v>-0.81428686184586108</v>
      </c>
      <c r="L209" s="17">
        <f t="shared" si="24"/>
        <v>1</v>
      </c>
    </row>
    <row r="210" spans="1:12" hidden="1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L210" s="17">
        <f t="shared" si="24"/>
        <v>0</v>
      </c>
    </row>
    <row r="211" spans="1:12">
      <c r="A211" s="590" t="s">
        <v>191</v>
      </c>
      <c r="B211" s="591">
        <f>+C211/$C$21</f>
        <v>3.3713262538504658E-2</v>
      </c>
      <c r="C211" s="311">
        <f>+[2]STMarcelin!$C211</f>
        <v>6535.0624193548392</v>
      </c>
      <c r="D211" s="592">
        <f>+[2]STMarcelin!$H211</f>
        <v>9026.0372215405096</v>
      </c>
      <c r="E211" s="311">
        <f>+[1]STMarcelin!$G211</f>
        <v>8095.0860719999991</v>
      </c>
      <c r="F211" s="625">
        <f>+Repart!I24</f>
        <v>8997.9607634408567</v>
      </c>
      <c r="G211" s="625">
        <f>+Repart!O24</f>
        <v>9644.6846793104778</v>
      </c>
      <c r="H211" s="625"/>
      <c r="I211" s="591">
        <f t="shared" ref="I211:J213" si="25">+IF((E211)=0,,(F211-E211)/E211)</f>
        <v>0.11153367405984731</v>
      </c>
      <c r="J211" s="595">
        <f t="shared" si="25"/>
        <v>7.1874498330476308E-2</v>
      </c>
      <c r="L211" s="17">
        <f t="shared" si="24"/>
        <v>1</v>
      </c>
    </row>
    <row r="212" spans="1:12">
      <c r="A212" s="590" t="s">
        <v>192</v>
      </c>
      <c r="B212" s="591">
        <f>+C212/$C$21</f>
        <v>3.8118859833638427E-2</v>
      </c>
      <c r="C212" s="311">
        <f>+[2]STMarcelin!$C212</f>
        <v>7389.0543249248603</v>
      </c>
      <c r="D212" s="592">
        <f>+[2]STMarcelin!$H212</f>
        <v>11556.085133545334</v>
      </c>
      <c r="E212" s="311">
        <f>+[1]STMarcelin!$G212</f>
        <v>10876.307510115708</v>
      </c>
      <c r="F212" s="625">
        <f>+Repart!J24</f>
        <v>10231.142210488044</v>
      </c>
      <c r="G212" s="625">
        <f>+Repart!P24</f>
        <v>13403.027503583691</v>
      </c>
      <c r="H212" s="625"/>
      <c r="I212" s="591">
        <f t="shared" si="25"/>
        <v>-5.9318412892207815E-2</v>
      </c>
      <c r="J212" s="595">
        <f t="shared" si="25"/>
        <v>0.31002259843911822</v>
      </c>
      <c r="L212" s="17">
        <f t="shared" si="24"/>
        <v>1</v>
      </c>
    </row>
    <row r="213" spans="1:12">
      <c r="A213" s="590" t="s">
        <v>193</v>
      </c>
      <c r="B213" s="591"/>
      <c r="C213" s="311">
        <f>+[2]STMarcelin!$C213</f>
        <v>-1076.48</v>
      </c>
      <c r="D213" s="592">
        <f>+[2]STMarcelin!$H213</f>
        <v>-2356</v>
      </c>
      <c r="E213" s="311">
        <f>+[1]STMarcelin!$G213</f>
        <v>-2258.04</v>
      </c>
      <c r="F213" s="625">
        <f>+C213+C213/9*(12-Clients!$I$14)</f>
        <v>-1435.3066666666666</v>
      </c>
      <c r="G213" s="625">
        <f>+G253*-4%</f>
        <v>-2588.9995809999996</v>
      </c>
      <c r="H213" s="625"/>
      <c r="I213" s="591">
        <f t="shared" si="25"/>
        <v>-0.36435728921247335</v>
      </c>
      <c r="J213" s="595">
        <f t="shared" si="25"/>
        <v>0.80379541259475307</v>
      </c>
      <c r="L213" s="17">
        <f t="shared" si="24"/>
        <v>1</v>
      </c>
    </row>
    <row r="214" spans="1:12" hidden="1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L214" s="17">
        <f t="shared" si="24"/>
        <v>0</v>
      </c>
    </row>
    <row r="215" spans="1:12" s="33" customFormat="1" ht="15" customHeight="1">
      <c r="A215" s="20" t="s">
        <v>194</v>
      </c>
      <c r="B215" s="367">
        <f>+C215/$C$21</f>
        <v>6.6278747281192957E-2</v>
      </c>
      <c r="C215" s="316">
        <f>SUM(C210:C213)</f>
        <v>12847.6367442797</v>
      </c>
      <c r="D215" s="652">
        <f>SUM(D210:D213)</f>
        <v>18226.122355085841</v>
      </c>
      <c r="E215" s="316">
        <f>SUM(E210:E213)</f>
        <v>16713.353582115706</v>
      </c>
      <c r="F215" s="652">
        <f>SUM(F210:F213)</f>
        <v>17793.796307262233</v>
      </c>
      <c r="G215" s="652">
        <f>SUM(G210:G213)</f>
        <v>20458.712601894167</v>
      </c>
      <c r="H215" s="424">
        <f>+G215/$G$21</f>
        <v>6.2251708079825246E-2</v>
      </c>
      <c r="I215" s="643">
        <f>+IF((E215)=0,,(F215-E215)/E215)</f>
        <v>6.4645477631889894E-2</v>
      </c>
      <c r="J215" s="644">
        <f>+IF((F215)=0,,(G215-F215)/F215)</f>
        <v>0.14976659553781077</v>
      </c>
      <c r="L215" s="17">
        <f t="shared" si="24"/>
        <v>1</v>
      </c>
    </row>
    <row r="216" spans="1:12" hidden="1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L216" s="17">
        <f t="shared" si="24"/>
        <v>0</v>
      </c>
    </row>
    <row r="217" spans="1:12" s="33" customFormat="1" ht="20.100000000000001" customHeight="1">
      <c r="A217" s="12" t="s">
        <v>86</v>
      </c>
      <c r="B217" s="366">
        <f>+C217/$C$21</f>
        <v>-0.11154717719234816</v>
      </c>
      <c r="C217" s="314">
        <f>+C209-C215</f>
        <v>-21622.581463964205</v>
      </c>
      <c r="D217" s="645">
        <f>+D209-D215</f>
        <v>-9424.3993667823233</v>
      </c>
      <c r="E217" s="314">
        <f>+E209-E215</f>
        <v>2090.306085435368</v>
      </c>
      <c r="F217" s="645">
        <f>+F209-F215</f>
        <v>-27274.449108591631</v>
      </c>
      <c r="G217" s="645">
        <f>+G209-G215</f>
        <v>-22219.394385378877</v>
      </c>
      <c r="H217" s="406">
        <f>+G217/$G$21</f>
        <v>-6.7609105221070998E-2</v>
      </c>
      <c r="I217" s="647">
        <f>+IF((E217)=0,,(F217-E217)/E217)</f>
        <v>-14.048064730152149</v>
      </c>
      <c r="J217" s="648">
        <f>+IF((F217)=0,,(G217-F217)/F217)</f>
        <v>-0.18534030524636255</v>
      </c>
      <c r="L217" s="17">
        <f t="shared" si="24"/>
        <v>1</v>
      </c>
    </row>
    <row r="218" spans="1:12" hidden="1">
      <c r="A218" s="2" t="s">
        <v>43</v>
      </c>
      <c r="C218" s="17">
        <f>+C225-C226-C215-C207-C53+C62-C38+C213</f>
        <v>-21622.581463964209</v>
      </c>
      <c r="D218" s="117">
        <f>+[2]STMarcelin!$H$217</f>
        <v>-9424.3993667823233</v>
      </c>
      <c r="E218" s="17">
        <f>+[1]STMarcelin!$G$217</f>
        <v>2090.306085435368</v>
      </c>
      <c r="F218" s="87"/>
      <c r="G218" s="398"/>
      <c r="H218" s="414"/>
      <c r="L218" s="17">
        <v>0</v>
      </c>
    </row>
    <row r="219" spans="1:12" hidden="1">
      <c r="A219" s="2" t="s">
        <v>346</v>
      </c>
      <c r="B219" s="58">
        <f>+Clients!K13</f>
        <v>270</v>
      </c>
      <c r="C219" s="17">
        <f>+B219/C44*C57</f>
        <v>135.02732509397291</v>
      </c>
      <c r="L219" s="17">
        <v>0</v>
      </c>
    </row>
    <row r="220" spans="1:12" hidden="1">
      <c r="A220" s="2" t="s">
        <v>354</v>
      </c>
      <c r="B220" s="58">
        <f>+Clients!K13</f>
        <v>270</v>
      </c>
      <c r="C220" s="17">
        <f>+B220/(C21*1.196)*Clients!K42</f>
        <v>51.775798821247221</v>
      </c>
      <c r="L220" s="17">
        <v>0</v>
      </c>
    </row>
    <row r="221" spans="1:12" hidden="1">
      <c r="L221" s="17">
        <f t="shared" si="24"/>
        <v>0</v>
      </c>
    </row>
    <row r="222" spans="1:12">
      <c r="A222" s="654" t="s">
        <v>67</v>
      </c>
      <c r="B222" s="655"/>
      <c r="C222" s="655">
        <f>+(C215+C207+C203)/C60/Clients!$I$13*12</f>
        <v>318723.54804137541</v>
      </c>
      <c r="D222" s="655">
        <f>+(D215+D207+D203)/D60</f>
        <v>322243.89465461049</v>
      </c>
      <c r="E222" s="655">
        <f>+(E215+E207+E203)/E60/Clients!$I$13*12</f>
        <v>394372.6148130967</v>
      </c>
      <c r="F222" s="655">
        <f>+(F215+F207+F203)/F60</f>
        <v>311650.43205302308</v>
      </c>
      <c r="G222" s="655">
        <f>+(G215+G207+G203)/G60</f>
        <v>375546.10122174647</v>
      </c>
      <c r="H222" s="655"/>
      <c r="I222" s="655"/>
      <c r="J222" s="655"/>
      <c r="L222" s="17">
        <f t="shared" si="24"/>
        <v>1</v>
      </c>
    </row>
    <row r="223" spans="1:12">
      <c r="A223" s="654" t="s">
        <v>66</v>
      </c>
      <c r="B223" s="655"/>
      <c r="C223" s="655">
        <f>+(C215+C207+C203)/C60/Clients!$I$13</f>
        <v>26560.295670114618</v>
      </c>
      <c r="D223" s="655">
        <f>+(D215+D207+D203)/D60/12</f>
        <v>26853.657887884208</v>
      </c>
      <c r="E223" s="655">
        <f>+(E215+E207+E203)/E60/Clients!$I$13</f>
        <v>32864.384567758061</v>
      </c>
      <c r="F223" s="655">
        <f>+(F215+F207+F203)/F60/9</f>
        <v>34627.825783669228</v>
      </c>
      <c r="G223" s="655">
        <f>+(G215+G207+G203)/G60/12</f>
        <v>31295.508435145541</v>
      </c>
      <c r="H223" s="655"/>
      <c r="I223" s="655"/>
      <c r="J223" s="655"/>
      <c r="L223" s="17">
        <f t="shared" si="24"/>
        <v>1</v>
      </c>
    </row>
    <row r="224" spans="1:12" hidden="1">
      <c r="B224" s="17"/>
      <c r="D224" s="17"/>
      <c r="E224" s="17"/>
      <c r="F224" s="17"/>
      <c r="G224" s="17"/>
      <c r="H224" s="17"/>
      <c r="I224" s="17"/>
      <c r="J224" s="17"/>
      <c r="L224" s="17">
        <f t="shared" si="24"/>
        <v>0</v>
      </c>
    </row>
    <row r="225" spans="1:12" hidden="1">
      <c r="A225" s="2" t="s">
        <v>215</v>
      </c>
      <c r="C225" s="17">
        <f>+C51-C40-C157-C166+C201-C164-C159-C137</f>
        <v>194954.76</v>
      </c>
      <c r="D225" s="17"/>
      <c r="L225" s="17">
        <v>0</v>
      </c>
    </row>
    <row r="226" spans="1:12" hidden="1">
      <c r="A226" s="2" t="s">
        <v>216</v>
      </c>
      <c r="C226" s="17">
        <f>+C44-C38-C40+C103+C116+C129+C154+C156+C158+C160+C161+C162+C163+C165+C185+C213</f>
        <v>197064.81</v>
      </c>
      <c r="D226" s="17"/>
      <c r="L226" s="17">
        <v>0</v>
      </c>
    </row>
    <row r="227" spans="1:12" hidden="1">
      <c r="L227" s="17">
        <f t="shared" si="24"/>
        <v>0</v>
      </c>
    </row>
    <row r="228" spans="1:12" ht="12.75" hidden="1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L228" s="17">
        <f t="shared" si="24"/>
        <v>0</v>
      </c>
    </row>
    <row r="229" spans="1:12" ht="20.25" hidden="1" customHeight="1">
      <c r="A229" s="7" t="str">
        <f>+A4</f>
        <v>ST MARCELLIN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L229" s="17">
        <f t="shared" si="24"/>
        <v>0</v>
      </c>
    </row>
    <row r="230" spans="1:12" hidden="1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L230" s="17">
        <f t="shared" si="24"/>
        <v>0</v>
      </c>
    </row>
    <row r="231" spans="1:12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L231" s="17">
        <f t="shared" si="24"/>
        <v>1</v>
      </c>
    </row>
    <row r="232" spans="1:12" ht="11.25" hidden="1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L232" s="17">
        <f t="shared" si="24"/>
        <v>0</v>
      </c>
    </row>
    <row r="233" spans="1:12" s="33" customFormat="1" ht="15" customHeight="1">
      <c r="A233" s="14" t="s">
        <v>223</v>
      </c>
      <c r="B233" s="363"/>
      <c r="C233" s="313">
        <f t="shared" ref="C233:J233" si="26">+C51</f>
        <v>190992.48</v>
      </c>
      <c r="D233" s="313">
        <f t="shared" si="26"/>
        <v>302173</v>
      </c>
      <c r="E233" s="313">
        <f t="shared" si="26"/>
        <v>300439.48</v>
      </c>
      <c r="F233" s="313">
        <f t="shared" si="26"/>
        <v>251040.54514504166</v>
      </c>
      <c r="G233" s="313">
        <f t="shared" si="26"/>
        <v>326199</v>
      </c>
      <c r="H233" s="313"/>
      <c r="I233" s="643">
        <f>+I51</f>
        <v>-0.1644222485505511</v>
      </c>
      <c r="J233" s="643">
        <f t="shared" si="26"/>
        <v>0.29938771369196421</v>
      </c>
      <c r="K233" s="58"/>
      <c r="L233" s="17">
        <f t="shared" si="24"/>
        <v>1</v>
      </c>
    </row>
    <row r="234" spans="1:12" ht="11.25" hidden="1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L234" s="17">
        <f t="shared" si="24"/>
        <v>0</v>
      </c>
    </row>
    <row r="235" spans="1:12" s="33" customFormat="1" ht="15" customHeight="1">
      <c r="A235" s="12" t="s">
        <v>295</v>
      </c>
      <c r="B235" s="364"/>
      <c r="C235" s="15">
        <f>+C60</f>
        <v>0.45</v>
      </c>
      <c r="D235" s="15">
        <f>+D60</f>
        <v>0.4695555195202748</v>
      </c>
      <c r="E235" s="15">
        <f>+E60</f>
        <v>0.44856171931864608</v>
      </c>
      <c r="F235" s="15">
        <f>+F60</f>
        <v>0.45</v>
      </c>
      <c r="G235" s="15">
        <f>+G60</f>
        <v>0.45026746931970035</v>
      </c>
      <c r="H235" s="15"/>
      <c r="I235" s="15"/>
      <c r="J235" s="15"/>
      <c r="L235" s="17">
        <f t="shared" si="24"/>
        <v>1</v>
      </c>
    </row>
    <row r="236" spans="1:12" s="33" customFormat="1" ht="15" customHeight="1">
      <c r="A236" s="12" t="s">
        <v>296</v>
      </c>
      <c r="B236" s="364"/>
      <c r="C236" s="309">
        <f>+C62</f>
        <v>85946.616000000009</v>
      </c>
      <c r="D236" s="309">
        <f>+D62</f>
        <v>141887</v>
      </c>
      <c r="E236" s="309">
        <f>+E62</f>
        <v>134765.64969999998</v>
      </c>
      <c r="F236" s="309">
        <f>+F62</f>
        <v>112968.24531526875</v>
      </c>
      <c r="G236" s="309">
        <f>+G62</f>
        <v>146876.79822461694</v>
      </c>
      <c r="H236" s="309"/>
      <c r="I236" s="647">
        <f>+IF((E236)=0,,(F236-E236)/E236)</f>
        <v>-0.16174302897848331</v>
      </c>
      <c r="J236" s="648">
        <f>+IF((F236)=0,,(G236-F236)/F236)</f>
        <v>0.3001600389093157</v>
      </c>
      <c r="L236" s="17">
        <f t="shared" si="24"/>
        <v>1</v>
      </c>
    </row>
    <row r="237" spans="1:12" s="25" customFormat="1" ht="11.25" hidden="1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L237" s="17">
        <f t="shared" si="24"/>
        <v>0</v>
      </c>
    </row>
    <row r="238" spans="1:12" s="298" customFormat="1" ht="15" customHeight="1">
      <c r="A238" s="662" t="s">
        <v>122</v>
      </c>
      <c r="B238" s="663"/>
      <c r="C238" s="664">
        <f>+C103</f>
        <v>34139.879999999997</v>
      </c>
      <c r="D238" s="664">
        <f>+D103</f>
        <v>51190.335992334338</v>
      </c>
      <c r="E238" s="664">
        <f>+E103</f>
        <v>47186.500000000007</v>
      </c>
      <c r="F238" s="664">
        <f>+F103</f>
        <v>45498.976666666669</v>
      </c>
      <c r="G238" s="664">
        <f>+G103</f>
        <v>64451.766163267726</v>
      </c>
      <c r="H238" s="664"/>
      <c r="I238" s="666">
        <f t="shared" ref="I238:J243" si="27">+IF((E238)=0,,(F238-E238)/E238)</f>
        <v>-3.5762841773247386E-2</v>
      </c>
      <c r="J238" s="666">
        <f t="shared" si="27"/>
        <v>0.41655419275586031</v>
      </c>
      <c r="L238" s="17">
        <f t="shared" si="24"/>
        <v>1</v>
      </c>
    </row>
    <row r="239" spans="1:12" s="298" customFormat="1" ht="15" customHeight="1">
      <c r="A239" s="662" t="s">
        <v>133</v>
      </c>
      <c r="B239" s="663"/>
      <c r="C239" s="664">
        <f>+C116</f>
        <v>8086.88</v>
      </c>
      <c r="D239" s="664">
        <f>+D116</f>
        <v>8910.1251000000011</v>
      </c>
      <c r="E239" s="664">
        <f>+E116</f>
        <v>6636.9699999999993</v>
      </c>
      <c r="F239" s="664">
        <f>+F116</f>
        <v>8353.1366666666672</v>
      </c>
      <c r="G239" s="664">
        <f>+G116</f>
        <v>7803.9030666666667</v>
      </c>
      <c r="H239" s="664"/>
      <c r="I239" s="666">
        <f t="shared" si="27"/>
        <v>0.25857683049142427</v>
      </c>
      <c r="J239" s="666">
        <f t="shared" si="27"/>
        <v>-6.5751779471264538E-2</v>
      </c>
      <c r="L239" s="17">
        <f t="shared" si="24"/>
        <v>1</v>
      </c>
    </row>
    <row r="240" spans="1:12" s="298" customFormat="1" ht="15" customHeight="1">
      <c r="A240" s="662" t="s">
        <v>147</v>
      </c>
      <c r="B240" s="663"/>
      <c r="C240" s="664">
        <f>+C129</f>
        <v>5050.26</v>
      </c>
      <c r="D240" s="664">
        <f>+D129</f>
        <v>7020.9372850000009</v>
      </c>
      <c r="E240" s="664">
        <f>+E129</f>
        <v>6718.93</v>
      </c>
      <c r="F240" s="664">
        <f>+F129</f>
        <v>5544.28</v>
      </c>
      <c r="G240" s="664">
        <f>+G129</f>
        <v>6150.7479000000003</v>
      </c>
      <c r="H240" s="664"/>
      <c r="I240" s="666">
        <f t="shared" si="27"/>
        <v>-0.17482694417117017</v>
      </c>
      <c r="J240" s="666">
        <f t="shared" si="27"/>
        <v>0.10938623229707024</v>
      </c>
      <c r="L240" s="17">
        <f t="shared" si="24"/>
        <v>1</v>
      </c>
    </row>
    <row r="241" spans="1:12" s="298" customFormat="1" ht="15" customHeight="1">
      <c r="A241" s="662" t="s">
        <v>164</v>
      </c>
      <c r="B241" s="663"/>
      <c r="C241" s="664">
        <f>+C154</f>
        <v>43584.94</v>
      </c>
      <c r="D241" s="664">
        <f>+D154</f>
        <v>59332.782553375888</v>
      </c>
      <c r="E241" s="664">
        <f>+E154</f>
        <v>56839.349920000001</v>
      </c>
      <c r="F241" s="664">
        <f>+F154</f>
        <v>58113.253333333341</v>
      </c>
      <c r="G241" s="664">
        <f>+G154</f>
        <v>63160.356059233978</v>
      </c>
      <c r="H241" s="664"/>
      <c r="I241" s="666">
        <f t="shared" si="27"/>
        <v>2.2412350161047385E-2</v>
      </c>
      <c r="J241" s="666">
        <f t="shared" si="27"/>
        <v>8.684942653185887E-2</v>
      </c>
      <c r="L241" s="17">
        <f t="shared" si="24"/>
        <v>1</v>
      </c>
    </row>
    <row r="242" spans="1:12" s="298" customFormat="1" ht="15" customHeight="1">
      <c r="A242" s="662" t="s">
        <v>74</v>
      </c>
      <c r="B242" s="663"/>
      <c r="C242" s="664">
        <f>+C168</f>
        <v>2523.83</v>
      </c>
      <c r="D242" s="664">
        <f>+D168</f>
        <v>2406.6607378654812</v>
      </c>
      <c r="E242" s="664">
        <f>+E168</f>
        <v>137.31</v>
      </c>
      <c r="F242" s="664">
        <f>+F168</f>
        <v>3365.106666666667</v>
      </c>
      <c r="G242" s="664">
        <f>+G168</f>
        <v>2440.6587489000003</v>
      </c>
      <c r="H242" s="664"/>
      <c r="I242" s="666">
        <f t="shared" si="27"/>
        <v>23.507367756657686</v>
      </c>
      <c r="J242" s="666">
        <f t="shared" si="27"/>
        <v>-0.27471578447240896</v>
      </c>
      <c r="L242" s="17">
        <f t="shared" si="24"/>
        <v>1</v>
      </c>
    </row>
    <row r="243" spans="1:12" s="298" customFormat="1" ht="15" customHeight="1">
      <c r="A243" s="662" t="s">
        <v>369</v>
      </c>
      <c r="B243" s="663"/>
      <c r="C243" s="664">
        <f>+C185-C201</f>
        <v>805.77</v>
      </c>
      <c r="D243" s="664">
        <f>+D185-D201</f>
        <v>2400</v>
      </c>
      <c r="E243" s="664">
        <f>+E185-E201</f>
        <v>-2265.7399999999998</v>
      </c>
      <c r="F243" s="664">
        <f>+F185-F201</f>
        <v>874.70999999999981</v>
      </c>
      <c r="G243" s="664">
        <f>+G185-G201</f>
        <v>3386.0601333333334</v>
      </c>
      <c r="H243" s="664"/>
      <c r="I243" s="666">
        <f t="shared" si="27"/>
        <v>-1.3860593007141155</v>
      </c>
      <c r="J243" s="666">
        <f t="shared" si="27"/>
        <v>2.8710659913952439</v>
      </c>
      <c r="L243" s="17">
        <f t="shared" si="24"/>
        <v>1</v>
      </c>
    </row>
    <row r="244" spans="1:12" s="25" customFormat="1" hidden="1">
      <c r="B244" s="23"/>
      <c r="C244" s="160"/>
      <c r="D244" s="162"/>
      <c r="E244" s="160"/>
      <c r="F244" s="113"/>
      <c r="G244" s="113"/>
      <c r="H244" s="18"/>
      <c r="I244" s="149"/>
      <c r="J244" s="186"/>
      <c r="L244" s="17">
        <f t="shared" si="24"/>
        <v>0</v>
      </c>
    </row>
    <row r="245" spans="1:12" s="33" customFormat="1" ht="15" customHeight="1">
      <c r="A245" s="14" t="s">
        <v>189</v>
      </c>
      <c r="B245" s="363"/>
      <c r="C245" s="389">
        <f>+C203</f>
        <v>94191.56</v>
      </c>
      <c r="D245" s="389">
        <f>+D203</f>
        <v>131260.84166857571</v>
      </c>
      <c r="E245" s="389">
        <f>+E203</f>
        <v>115253.31991999999</v>
      </c>
      <c r="F245" s="389">
        <f>+F203</f>
        <v>121749.46333333333</v>
      </c>
      <c r="G245" s="389">
        <f>+G203</f>
        <v>147393.49207140171</v>
      </c>
      <c r="H245" s="389"/>
      <c r="I245" s="643">
        <f>+I63</f>
        <v>0</v>
      </c>
      <c r="J245" s="643">
        <f>+J63</f>
        <v>0</v>
      </c>
      <c r="K245" s="58"/>
      <c r="L245" s="17">
        <f t="shared" si="24"/>
        <v>1</v>
      </c>
    </row>
    <row r="246" spans="1:12" hidden="1">
      <c r="B246" s="23"/>
      <c r="C246" s="160"/>
      <c r="D246" s="162"/>
      <c r="E246" s="160"/>
      <c r="F246" s="113"/>
      <c r="G246" s="113"/>
      <c r="H246" s="18"/>
      <c r="I246" s="149"/>
      <c r="J246" s="186"/>
      <c r="L246" s="17">
        <f t="shared" si="24"/>
        <v>0</v>
      </c>
    </row>
    <row r="247" spans="1:12" s="33" customFormat="1" ht="15" customHeight="1">
      <c r="A247" s="12" t="s">
        <v>228</v>
      </c>
      <c r="B247" s="366"/>
      <c r="C247" s="314">
        <f>+C205</f>
        <v>-8244.9439999999886</v>
      </c>
      <c r="D247" s="314">
        <f>+D205</f>
        <v>10626.158331424289</v>
      </c>
      <c r="E247" s="314">
        <f>+E205</f>
        <v>19512.329779999985</v>
      </c>
      <c r="F247" s="314">
        <f>+F205</f>
        <v>-8781.218018064581</v>
      </c>
      <c r="G247" s="314">
        <f>+G205</f>
        <v>-516.6938467847649</v>
      </c>
      <c r="H247" s="314"/>
      <c r="I247" s="647">
        <f>+IF((E247)=0,,(F247-E247)/E247)</f>
        <v>-1.4500343176377264</v>
      </c>
      <c r="J247" s="648">
        <f>+IF((F247)=0,,(G247-F247)/F247)</f>
        <v>-0.94115920528088126</v>
      </c>
      <c r="L247" s="17">
        <f t="shared" si="24"/>
        <v>1</v>
      </c>
    </row>
    <row r="248" spans="1:12" hidden="1">
      <c r="B248" s="23"/>
      <c r="C248" s="160"/>
      <c r="D248" s="162"/>
      <c r="E248" s="160"/>
      <c r="F248" s="113"/>
      <c r="G248" s="113"/>
      <c r="H248" s="18"/>
      <c r="I248" s="149"/>
      <c r="J248" s="186"/>
      <c r="L248" s="17">
        <f t="shared" si="24"/>
        <v>0</v>
      </c>
    </row>
    <row r="249" spans="1:12" s="33" customFormat="1" ht="15" customHeight="1">
      <c r="A249" s="20" t="s">
        <v>370</v>
      </c>
      <c r="B249" s="367"/>
      <c r="C249" s="316">
        <f>+C207+C215</f>
        <v>13377.637463964218</v>
      </c>
      <c r="D249" s="316">
        <f>+D207+D215</f>
        <v>20050.557698206612</v>
      </c>
      <c r="E249" s="316">
        <f>+E207+E215</f>
        <v>17422.023694564617</v>
      </c>
      <c r="F249" s="316">
        <f>+F207+F215</f>
        <v>18493.231090527046</v>
      </c>
      <c r="G249" s="316">
        <f>+G207+G215</f>
        <v>21702.700538594112</v>
      </c>
      <c r="H249" s="316"/>
      <c r="I249" s="643">
        <f>+I67</f>
        <v>-0.82977385524040514</v>
      </c>
      <c r="J249" s="643">
        <f>+J67</f>
        <v>3.0000000000000013E-2</v>
      </c>
      <c r="L249" s="17">
        <f t="shared" si="24"/>
        <v>1</v>
      </c>
    </row>
    <row r="250" spans="1:12" hidden="1">
      <c r="B250" s="23"/>
      <c r="C250" s="160"/>
      <c r="D250" s="162"/>
      <c r="E250" s="160"/>
      <c r="F250" s="113"/>
      <c r="G250" s="113"/>
      <c r="H250" s="18"/>
      <c r="I250" s="149"/>
      <c r="J250" s="186"/>
      <c r="L250" s="17">
        <f t="shared" si="24"/>
        <v>0</v>
      </c>
    </row>
    <row r="251" spans="1:12" s="33" customFormat="1" ht="20.100000000000001" customHeight="1">
      <c r="A251" s="12" t="s">
        <v>86</v>
      </c>
      <c r="B251" s="366"/>
      <c r="C251" s="314">
        <f>+C217</f>
        <v>-21622.581463964205</v>
      </c>
      <c r="D251" s="314">
        <f>+D217</f>
        <v>-9424.3993667823233</v>
      </c>
      <c r="E251" s="314">
        <f>+E217</f>
        <v>2090.306085435368</v>
      </c>
      <c r="F251" s="314">
        <f>+F217</f>
        <v>-27274.449108591631</v>
      </c>
      <c r="G251" s="314">
        <f>+G217</f>
        <v>-22219.394385378877</v>
      </c>
      <c r="H251" s="314"/>
      <c r="I251" s="647">
        <f>+IF((E251)=0,,(F251-E251)/E251)</f>
        <v>-14.048064730152149</v>
      </c>
      <c r="J251" s="648">
        <f>+IF((F251)=0,,(G251-F251)/F251)</f>
        <v>-0.18534030524636255</v>
      </c>
      <c r="L251" s="17">
        <f t="shared" si="24"/>
        <v>1</v>
      </c>
    </row>
    <row r="252" spans="1:12" hidden="1">
      <c r="F252" s="2"/>
      <c r="G252" s="2"/>
      <c r="H252" s="5"/>
      <c r="I252" s="24"/>
      <c r="L252" s="17">
        <f t="shared" si="24"/>
        <v>0</v>
      </c>
    </row>
    <row r="253" spans="1:12" s="298" customFormat="1" ht="15" customHeight="1">
      <c r="A253" s="662" t="s">
        <v>95</v>
      </c>
      <c r="B253" s="663"/>
      <c r="C253" s="664">
        <f>+C28</f>
        <v>26106.79</v>
      </c>
      <c r="D253" s="664">
        <v>46359</v>
      </c>
      <c r="E253" s="664">
        <f>+E28</f>
        <v>50792.9</v>
      </c>
      <c r="F253" s="664"/>
      <c r="G253" s="669">
        <f>+G28</f>
        <v>64724.98952499999</v>
      </c>
      <c r="H253" s="669"/>
      <c r="I253" s="666"/>
      <c r="J253" s="666"/>
      <c r="L253" s="17">
        <v>1</v>
      </c>
    </row>
    <row r="254" spans="1:12" s="298" customFormat="1">
      <c r="A254" s="662" t="s">
        <v>371</v>
      </c>
      <c r="B254" s="663"/>
      <c r="C254" s="664">
        <f>+C222</f>
        <v>318723.54804137541</v>
      </c>
      <c r="D254" s="664">
        <f>+D222</f>
        <v>322243.89465461049</v>
      </c>
      <c r="E254" s="664">
        <f>+E222</f>
        <v>394372.6148130967</v>
      </c>
      <c r="F254" s="664">
        <f>+F222</f>
        <v>311650.43205302308</v>
      </c>
      <c r="G254" s="664">
        <f>+G222</f>
        <v>375546.10122174647</v>
      </c>
      <c r="H254" s="664"/>
      <c r="I254" s="666"/>
      <c r="J254" s="666"/>
      <c r="L254" s="17">
        <v>1</v>
      </c>
    </row>
    <row r="255" spans="1:12" s="298" customFormat="1" ht="21.75" customHeight="1">
      <c r="A255" s="662" t="s">
        <v>372</v>
      </c>
      <c r="B255" s="663"/>
      <c r="C255" s="664"/>
      <c r="D255" s="664">
        <v>0</v>
      </c>
      <c r="E255" s="664"/>
      <c r="F255" s="664"/>
      <c r="G255" s="669">
        <v>0</v>
      </c>
      <c r="H255" s="669"/>
      <c r="I255" s="666"/>
      <c r="J255" s="666"/>
      <c r="L255" s="17">
        <v>1</v>
      </c>
    </row>
    <row r="256" spans="1:12">
      <c r="F256" s="2"/>
      <c r="G256" s="2"/>
      <c r="H256" s="2"/>
      <c r="I256" s="24"/>
      <c r="L256" s="17">
        <f t="shared" si="24"/>
        <v>0</v>
      </c>
    </row>
  </sheetData>
  <autoFilter ref="L1:L256">
    <filterColumn colId="0">
      <filters>
        <filter val="1"/>
      </filters>
    </filterColumn>
  </autoFilter>
  <phoneticPr fontId="0" type="noConversion"/>
  <hyperlinks>
    <hyperlink ref="C1" location="Sommaire!A1" display="Retour au sommaire"/>
  </hyperlinks>
  <printOptions horizontalCentered="1" verticalCentered="1"/>
  <pageMargins left="0" right="0" top="0" bottom="0" header="0.51181102362204722" footer="0.51181102362204722"/>
  <pageSetup paperSize="9" scale="79" fitToHeight="2" orientation="landscape" horizontalDpi="4294967293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3"/>
    <pageSetUpPr fitToPage="1"/>
  </sheetPr>
  <dimension ref="A1:O257"/>
  <sheetViews>
    <sheetView workbookViewId="0">
      <pane xSplit="2" ySplit="7" topLeftCell="C197" activePane="bottomRight" state="frozen"/>
      <selection activeCell="M1" sqref="M1"/>
      <selection pane="topRight" activeCell="M1" sqref="M1"/>
      <selection pane="bottomLeft" activeCell="M1" sqref="M1"/>
      <selection pane="bottomRight" activeCell="M1" sqref="M1"/>
    </sheetView>
  </sheetViews>
  <sheetFormatPr baseColWidth="10" defaultRowHeight="11.25"/>
  <cols>
    <col min="1" max="1" width="60" style="2" customWidth="1"/>
    <col min="2" max="2" width="8.85546875" style="24" bestFit="1" customWidth="1"/>
    <col min="3" max="3" width="13.7109375" style="435" customWidth="1"/>
    <col min="4" max="4" width="10.85546875" style="30" customWidth="1"/>
    <col min="5" max="5" width="11" style="30" customWidth="1"/>
    <col min="6" max="7" width="13.7109375" style="581" customWidth="1"/>
    <col min="8" max="8" width="11.140625" style="581" bestFit="1" customWidth="1"/>
    <col min="9" max="9" width="9.5703125" style="801" customWidth="1"/>
    <col min="10" max="10" width="9.140625" style="801" bestFit="1" customWidth="1"/>
    <col min="11" max="11" width="8.7109375" style="2" customWidth="1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802" t="s">
        <v>299</v>
      </c>
    </row>
    <row r="2" spans="1:15">
      <c r="C2" s="17"/>
      <c r="D2" s="2"/>
      <c r="E2" s="2"/>
      <c r="F2" s="58"/>
      <c r="G2" s="58"/>
      <c r="H2" s="58"/>
      <c r="I2" s="66"/>
      <c r="J2" s="66"/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400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157">
        <f>E217</f>
        <v>43549.104364386527</v>
      </c>
      <c r="F5" s="215">
        <f>F217</f>
        <v>-55035.278550787843</v>
      </c>
      <c r="G5" s="215">
        <f>G217</f>
        <v>14077.192973159865</v>
      </c>
      <c r="H5" s="90">
        <f>G5/G21</f>
        <v>5.9878029369734064E-3</v>
      </c>
      <c r="I5" s="152"/>
      <c r="J5" s="184"/>
    </row>
    <row r="6" spans="1:15">
      <c r="A6" s="4"/>
      <c r="B6" s="91"/>
      <c r="C6" s="158">
        <f>+Clients!E14</f>
        <v>2010</v>
      </c>
      <c r="D6" s="159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1158">
        <f>G5/G60</f>
        <v>41329.37881277431</v>
      </c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90" t="s">
        <v>221</v>
      </c>
      <c r="B8" s="591"/>
      <c r="C8" s="805">
        <f>-IF(ISNA(VLOOKUP("CLE707130000",Balance!C:G,5,FALSE))=TRUE,0,VLOOKUP("CLE707130000",Balance!C:G,5,FALSE))</f>
        <v>1723395.15</v>
      </c>
      <c r="D8" s="619">
        <f>+[2]PSA!$H8</f>
        <v>2368050</v>
      </c>
      <c r="E8" s="805">
        <f>-IF(ISNA(VLOOKUP("CLE707130000",Balanceanp!C:G,5,FALSE))=TRUE,0,VLOOKUP("CLE707130000",Balanceanp!C:G,5,FALSE))</f>
        <v>1797659.57</v>
      </c>
      <c r="F8" s="593">
        <f>+CA!G157</f>
        <v>2242123.0525154239</v>
      </c>
      <c r="G8" s="1012">
        <f>50000+2300978</f>
        <v>2350978</v>
      </c>
      <c r="H8" s="1012"/>
      <c r="I8" s="1013">
        <f>+IF((E8)=0,,(F8-E8)/E8)</f>
        <v>0.24724563534319446</v>
      </c>
      <c r="J8" s="1014">
        <f>+IF((F8)=0,,(G8-F8)/F8)</f>
        <v>4.8549943484347324E-2</v>
      </c>
      <c r="L8" t="s">
        <v>733</v>
      </c>
      <c r="M8" s="2" t="e">
        <f ca="1">IF($M$2="Alimentation",_xll.PALO.SETDATA(G8,FALSE,"localhost/Bati_fin_dev","Reporting","décembre","2011",$A$4,+L8,"NA",+$G$3),_xll.PALO.DATAC("localhost/Bati_fin_dev","Reporting","décembre","2011",$A$4,+L8,"NA",+$G$3))</f>
        <v>#VALUE!</v>
      </c>
    </row>
    <row r="9" spans="1:15" ht="12.75">
      <c r="A9" s="5" t="s">
        <v>422</v>
      </c>
      <c r="B9" s="92"/>
      <c r="C9" s="160">
        <f>-IF(ISNA(VLOOKUP("CLE707131000",Balance!C:G,5,FALSE))=TRUE,0,VLOOKUP("CLE707131000",Balance!C:G,5,FALSE))</f>
        <v>0</v>
      </c>
      <c r="D9" s="117">
        <f>+[2]PSA!$H9</f>
        <v>0</v>
      </c>
      <c r="E9" s="160">
        <f>-IF(ISNA(VLOOKUP("CLE707131000",Balanceanp!C:G,5,FALSE))=TRUE,0,VLOOKUP("CLE707131000",Balanceanp!C:G,5,FALSE))</f>
        <v>541056.86</v>
      </c>
      <c r="F9" s="368">
        <f>+C9+C9/9*(12-Clients!$I$14)</f>
        <v>0</v>
      </c>
      <c r="G9" s="395">
        <v>0</v>
      </c>
      <c r="H9" s="401"/>
      <c r="I9" s="149">
        <f t="shared" ref="I9:J19" si="0">+IF((E9)=0,,(F9-E9)/E9)</f>
        <v>-1</v>
      </c>
      <c r="J9" s="271">
        <f t="shared" si="0"/>
        <v>0</v>
      </c>
      <c r="L9" t="s">
        <v>737</v>
      </c>
      <c r="M9" s="2" t="e">
        <f ca="1">IF($M$2="Alimentation",_xll.PALO.SETDATA(G9,FALSE,"localhost/Bati_fin_dev","Reporting","décembre","2011",$A$4,+L9,"NA",+$G$3),_xll.PALO.DATAC("localhost/Bati_fin_dev","Reporting","décembre","2011",$A$4,+L9,"NA",+$G$3))</f>
        <v>#VALUE!</v>
      </c>
    </row>
    <row r="10" spans="1:15" ht="12.75">
      <c r="A10" s="5" t="s">
        <v>84</v>
      </c>
      <c r="B10" s="92"/>
      <c r="C10" s="160">
        <f>-IF(ISNA(VLOOKUP("CLE707300000",Balance!C:G,5,FALSE))=TRUE,0,VLOOKUP("CLE707300000",Balance!C:G,5,FALSE))</f>
        <v>0</v>
      </c>
      <c r="D10" s="117">
        <f>+[2]PSA!$H10</f>
        <v>0</v>
      </c>
      <c r="E10" s="160">
        <f>-IF(ISNA(VLOOKUP("CLE707300000",Balanceanp!C:G,5,FALSE))=TRUE,0,VLOOKUP("CLE707300000",Balanceanp!C:G,5,FALSE))</f>
        <v>0</v>
      </c>
      <c r="F10" s="368">
        <f>+C10+C10/9*(12-Clients!$I$14)</f>
        <v>0</v>
      </c>
      <c r="G10" s="395">
        <v>0</v>
      </c>
      <c r="H10" s="401"/>
      <c r="I10" s="149">
        <f t="shared" si="0"/>
        <v>0</v>
      </c>
      <c r="J10" s="271">
        <f t="shared" si="0"/>
        <v>0</v>
      </c>
      <c r="L10" t="s">
        <v>735</v>
      </c>
      <c r="M10" s="2" t="e">
        <f ca="1">IF($M$2="Alimentation",_xll.PALO.SETDATA(G10,FALSE,"localhost/Bati_fin_dev","Reporting","décembre","2011",$A$4,+L10,"NA",+$G$3),_xll.PALO.DATAC("localhost/Bati_fin_dev","Reporting","décembre","2011",$A$4,+L10,"NA",+$G$3))</f>
        <v>#VALUE!</v>
      </c>
    </row>
    <row r="11" spans="1:15" ht="12.75">
      <c r="A11" s="5" t="s">
        <v>267</v>
      </c>
      <c r="B11" s="92"/>
      <c r="C11" s="160">
        <f>-IF(ISNA(VLOOKUP("CLE707110000",Balance!C:G,5,FALSE))=TRUE,0,VLOOKUP("CLE707110000",Balance!C:G,5,FALSE))</f>
        <v>0</v>
      </c>
      <c r="D11" s="117">
        <f>+[2]PSA!$H11</f>
        <v>0</v>
      </c>
      <c r="E11" s="160">
        <f>-IF(ISNA(VLOOKUP("CLE707110000",Balanceanp!C:G,5,FALSE))=TRUE,0,VLOOKUP("CLE707110000",Balanceanp!C:G,5,FALSE))</f>
        <v>126.78</v>
      </c>
      <c r="F11" s="368">
        <f>+C11+C11/9*(12-Clients!$I$14)</f>
        <v>0</v>
      </c>
      <c r="G11" s="395">
        <v>0</v>
      </c>
      <c r="H11" s="401"/>
      <c r="I11" s="149">
        <f t="shared" si="0"/>
        <v>-1</v>
      </c>
      <c r="J11" s="271">
        <f t="shared" si="0"/>
        <v>0</v>
      </c>
      <c r="L11" t="s">
        <v>734</v>
      </c>
      <c r="M11" s="2" t="e">
        <f ca="1">IF($M$2="Alimentation",_xll.PALO.SETDATA(G11,FALSE,"localhost/Bati_fin_dev","Reporting","décembre","2011",$A$4,+L11,"NA",+$G$3),_xll.PALO.DATAC("localhost/Bati_fin_dev","Reporting","décembre","2011",$A$4,+L11,"NA",+$G$3))</f>
        <v>#VALUE!</v>
      </c>
    </row>
    <row r="12" spans="1:15" ht="12.75">
      <c r="A12" s="5" t="s">
        <v>46</v>
      </c>
      <c r="B12" s="92"/>
      <c r="C12" s="160">
        <f>-IF(ISNA(VLOOKUP("CLE707120000",Balance!C:G,5,FALSE))=TRUE,0,VLOOKUP("CLE707120000",Balance!C:G,5,FALSE))</f>
        <v>0</v>
      </c>
      <c r="D12" s="117">
        <f>+[2]PSA!$H12</f>
        <v>0</v>
      </c>
      <c r="E12" s="160">
        <f>-IF(ISNA(VLOOKUP("CLE707120000",Balanceanp!C:G,5,FALSE))=TRUE,0,VLOOKUP("CLE707120000",Balanceanp!C:G,5,FALSE))</f>
        <v>0</v>
      </c>
      <c r="F12" s="368">
        <f>+C12+C12/9*(12-Clients!$I$14)</f>
        <v>0</v>
      </c>
      <c r="G12" s="395">
        <v>0</v>
      </c>
      <c r="H12" s="401"/>
      <c r="I12" s="149">
        <f t="shared" si="0"/>
        <v>0</v>
      </c>
      <c r="J12" s="271">
        <f t="shared" si="0"/>
        <v>0</v>
      </c>
      <c r="L12" t="s">
        <v>736</v>
      </c>
      <c r="M12" s="2" t="e">
        <f ca="1">IF($M$2="Alimentation",_xll.PALO.SETDATA(G12,FALSE,"localhost/Bati_fin_dev","Reporting","décembre","2011",$A$4,+L12,"NA",+$G$3),_xll.PALO.DATAC("localhost/Bati_fin_dev","Reporting","décembre","2011",$A$4,+L12,"NA",+$G$3))</f>
        <v>#VALUE!</v>
      </c>
    </row>
    <row r="13" spans="1:15" ht="12.75">
      <c r="A13" s="5" t="s">
        <v>268</v>
      </c>
      <c r="B13" s="92"/>
      <c r="C13" s="160">
        <f>-IF(ISNA(VLOOKUP("CLE707230000",Balance!C:G,5,FALSE))=TRUE,0,VLOOKUP("CLE707230000",Balance!C:G,5,FALSE))</f>
        <v>1772.26</v>
      </c>
      <c r="D13" s="117">
        <f>+[2]PSA!$H13</f>
        <v>0</v>
      </c>
      <c r="E13" s="160">
        <f>-IF(ISNA(VLOOKUP("CLE707230000",Balanceanp!C:G,5,FALSE))=TRUE,0,VLOOKUP("CLE707230000",Balanceanp!C:G,5,FALSE))</f>
        <v>0</v>
      </c>
      <c r="F13" s="368">
        <f>+C13+C13/9*(12-Clients!$I$14)</f>
        <v>2363.0133333333333</v>
      </c>
      <c r="G13" s="395">
        <v>0</v>
      </c>
      <c r="H13" s="401"/>
      <c r="I13" s="149">
        <f t="shared" si="0"/>
        <v>0</v>
      </c>
      <c r="J13" s="271">
        <f t="shared" si="0"/>
        <v>-1</v>
      </c>
      <c r="L13" t="s">
        <v>738</v>
      </c>
      <c r="M13" s="2" t="e">
        <f ca="1">IF($M$2="Alimentation",_xll.PALO.SETDATA(G13,FALSE,"localhost/Bati_fin_dev","Reporting","décembre","2011",$A$4,+L13,"NA",+$G$3),_xll.PALO.DATAC("localhost/Bati_fin_dev","Reporting","décembre","2011",$A$4,+L13,"NA",+$G$3))</f>
        <v>#VALUE!</v>
      </c>
    </row>
    <row r="14" spans="1:15" ht="12.75">
      <c r="A14" s="5" t="s">
        <v>269</v>
      </c>
      <c r="B14" s="92"/>
      <c r="C14" s="160">
        <f>-IF(ISNA(VLOOKUP("CLE708820000",Balance!C:G,5,FALSE))=TRUE,0,VLOOKUP("CLE708820000",Balance!C:G,5,FALSE))</f>
        <v>308.70999999999998</v>
      </c>
      <c r="D14" s="117">
        <f>+[2]PSA!$H14</f>
        <v>0</v>
      </c>
      <c r="E14" s="160">
        <f>-IF(ISNA(VLOOKUP("CLE708820000",Balanceanp!C:G,5,FALSE))=TRUE,0,VLOOKUP("CLE708820000",Balanceanp!C:G,5,FALSE))</f>
        <v>927.22</v>
      </c>
      <c r="F14" s="368">
        <f>+C14+C14/9*(12-Clients!$I$14)</f>
        <v>411.61333333333334</v>
      </c>
      <c r="G14" s="395">
        <v>0</v>
      </c>
      <c r="H14" s="401"/>
      <c r="I14" s="149">
        <f t="shared" si="0"/>
        <v>-0.55607802535176842</v>
      </c>
      <c r="J14" s="271">
        <f t="shared" si="0"/>
        <v>-1</v>
      </c>
      <c r="L14" t="s">
        <v>731</v>
      </c>
      <c r="M14" s="2" t="e">
        <f ca="1">IF($M$2="Alimentation",_xll.PALO.SETDATA(G14,FALSE,"localhost/Bati_fin_dev","Reporting","décembre","2011",$A$4,+L14,"NA",+$G$3),_xll.PALO.DATAC("localhost/Bati_fin_dev","Reporting","décembre","2011",$A$4,+L14,"NA",+$G$3))</f>
        <v>#VALUE!</v>
      </c>
    </row>
    <row r="15" spans="1:15" ht="12.75">
      <c r="A15" s="5" t="s">
        <v>270</v>
      </c>
      <c r="B15" s="92"/>
      <c r="C15" s="160">
        <f>-IF(ISNA(VLOOKUP("CLE708500000",Balance!C:G,5,FALSE))=TRUE,0,VLOOKUP("CLE708500000",Balance!C:G,5,FALSE))</f>
        <v>242</v>
      </c>
      <c r="D15" s="117">
        <f>+[2]PSA!$H15</f>
        <v>0</v>
      </c>
      <c r="E15" s="160">
        <f>-IF(ISNA(VLOOKUP("CLE708500000",Balanceanp!C:G,5,FALSE))=TRUE,0,VLOOKUP("CLE708500000",Balanceanp!C:G,5,FALSE))</f>
        <v>334</v>
      </c>
      <c r="F15" s="368">
        <f>+C15+C15/9*(12-Clients!$I$14)</f>
        <v>322.66666666666669</v>
      </c>
      <c r="G15" s="395">
        <v>0</v>
      </c>
      <c r="H15" s="401"/>
      <c r="I15" s="149">
        <f t="shared" si="0"/>
        <v>-3.393213572854286E-2</v>
      </c>
      <c r="J15" s="271">
        <f t="shared" si="0"/>
        <v>-1</v>
      </c>
      <c r="L15" t="s">
        <v>728</v>
      </c>
      <c r="M15" s="2" t="e">
        <f ca="1">IF($M$2="Alimentation",_xll.PALO.SETDATA(G15,FALSE,"localhost/Bati_fin_dev","Reporting","décembre","2011",$A$4,+L15,"NA",+$G$3),_xll.PALO.DATAC("localhost/Bati_fin_dev","Reporting","décembre","2011",$A$4,+L15,"NA",+$G$3))</f>
        <v>#VALUE!</v>
      </c>
    </row>
    <row r="16" spans="1:15" ht="12.75">
      <c r="A16" s="5" t="s">
        <v>85</v>
      </c>
      <c r="B16" s="92"/>
      <c r="C16" s="160">
        <f>IF(ISNA(VLOOKUP("CLE706000000",Balance!C:G,5,FALSE))=TRUE,0,-VLOOKUP("CLE706000000",Balance!C:G,5,FALSE))+IF(ISNA(VLOOKUP("CLE706010000",Balance!C:G,5,FALSE))=TRUE,0,-VLOOKUP("CLE706010000",Balance!C:G,5,FALSE))</f>
        <v>0</v>
      </c>
      <c r="D16" s="117">
        <f>+[2]PSA!$H16</f>
        <v>0</v>
      </c>
      <c r="E16" s="160">
        <f>IF(ISNA(VLOOKUP("CLE706000000",Balanceanp!C:G,5,FALSE))=TRUE,0,-VLOOKUP("CLE706000000",Balanceanp!C:G,5,FALSE))+IF(ISNA(VLOOKUP("CLE706010000",Balanceanp!C:G,5,FALSE))=TRUE,0,-VLOOKUP("CLE706010000",Balanceanp!C:G,5,FALSE))</f>
        <v>0</v>
      </c>
      <c r="F16" s="368">
        <f>+C16+C16/9*(12-Clients!$I$14)</f>
        <v>0</v>
      </c>
      <c r="G16" s="395">
        <v>0</v>
      </c>
      <c r="H16" s="401"/>
      <c r="I16" s="149">
        <f t="shared" si="0"/>
        <v>0</v>
      </c>
      <c r="J16" s="271">
        <f t="shared" si="0"/>
        <v>0</v>
      </c>
      <c r="L16" t="s">
        <v>730</v>
      </c>
      <c r="M16" s="2" t="e">
        <f ca="1">IF($M$2="Alimentation",_xll.PALO.SETDATA(G16,FALSE,"localhost/Bati_fin_dev","Reporting","décembre","2011",$A$4,+L16,"NA",+$G$3),_xll.PALO.DATAC("localhost/Bati_fin_dev","Reporting","décembre","2011",$A$4,+L16,"NA",+$G$3))</f>
        <v>#VALUE!</v>
      </c>
    </row>
    <row r="17" spans="1:13" ht="12.75">
      <c r="A17" s="5" t="s">
        <v>88</v>
      </c>
      <c r="B17" s="92"/>
      <c r="C17" s="160">
        <f>IF(ISNA(VLOOKUP("CLE707500000",Balance!C:G,5,FALSE))=TRUE,0,-VLOOKUP("CLE707500000",Balance!C:G,5,FALSE))</f>
        <v>0</v>
      </c>
      <c r="D17" s="117">
        <f>+[2]PSA!$H17</f>
        <v>0</v>
      </c>
      <c r="E17" s="160">
        <f>IF(ISNA(VLOOKUP("CLE707500000",Balanceanp!C:G,5,FALSE))=TRUE,0,-VLOOKUP("CLE707500000",Balanceanp!C:G,5,FALSE))</f>
        <v>0</v>
      </c>
      <c r="F17" s="368">
        <f>+C17+C17/9*(12-Clients!$I$14)</f>
        <v>0</v>
      </c>
      <c r="G17" s="395">
        <v>0</v>
      </c>
      <c r="H17" s="401"/>
      <c r="I17" s="149">
        <f t="shared" si="0"/>
        <v>0</v>
      </c>
      <c r="J17" s="271">
        <f t="shared" si="0"/>
        <v>0</v>
      </c>
      <c r="L17" t="s">
        <v>740</v>
      </c>
      <c r="M17" s="2" t="e">
        <f ca="1">IF($M$2="Alimentation",_xll.PALO.SETDATA(G17,FALSE,"localhost/Bati_fin_dev","Reporting","décembre","2011",$A$4,+L17,"NA",+$G$3),_xll.PALO.DATAC("localhost/Bati_fin_dev","Reporting","décembre","2011",$A$4,+L17,"NA",+$G$3))</f>
        <v>#VALUE!</v>
      </c>
    </row>
    <row r="18" spans="1:13" ht="12.75">
      <c r="A18" s="5" t="s">
        <v>89</v>
      </c>
      <c r="B18" s="92"/>
      <c r="C18" s="160">
        <f>IF(ISNA(VLOOKUP("CLE707510000",Balance!C:G,5,FALSE))=TRUE,0,-VLOOKUP("CLE707510000",Balance!C:G,5,FALSE))</f>
        <v>0</v>
      </c>
      <c r="D18" s="117">
        <f>+[2]PSA!$H18</f>
        <v>0</v>
      </c>
      <c r="E18" s="160">
        <f>IF(ISNA(VLOOKUP("CLE707510000",Balanceanp!C:G,5,FALSE))=TRUE,0,-VLOOKUP("CLE707510000",Balanceanp!C:G,5,FALSE))</f>
        <v>0</v>
      </c>
      <c r="F18" s="368">
        <f>+C18+C18/9*(12-Clients!$I$14)</f>
        <v>0</v>
      </c>
      <c r="G18" s="395">
        <v>0</v>
      </c>
      <c r="H18" s="401"/>
      <c r="I18" s="149">
        <f t="shared" si="0"/>
        <v>0</v>
      </c>
      <c r="J18" s="271">
        <f t="shared" si="0"/>
        <v>0</v>
      </c>
      <c r="L18" t="s">
        <v>739</v>
      </c>
      <c r="M18" s="2" t="e">
        <f ca="1">IF($M$2="Alimentation",_xll.PALO.SETDATA(G18,FALSE,"localhost/Bati_fin_dev","Reporting","décembre","2011",$A$4,+L18,"NA",+$G$3),_xll.PALO.DATAC("localhost/Bati_fin_dev","Reporting","décembre","2011",$A$4,+L18,"NA",+$G$3))</f>
        <v>#VALUE!</v>
      </c>
    </row>
    <row r="19" spans="1:13" ht="12.75">
      <c r="A19" s="5" t="s">
        <v>90</v>
      </c>
      <c r="B19" s="92"/>
      <c r="C19" s="160">
        <f>IF(ISNA(VLOOKUP("CLE708300000",Balance!C:G,5,FALSE))=TRUE,0,-VLOOKUP("CLE708300000",Balance!C:G,5,FALSE))</f>
        <v>1257.2099999999991</v>
      </c>
      <c r="D19" s="117">
        <f>+[2]PSA!$H19</f>
        <v>0</v>
      </c>
      <c r="E19" s="160">
        <f>IF(ISNA(VLOOKUP("CLE708300000",Balanceanp!C:G,5,FALSE))=TRUE,0,-VLOOKUP("CLE708300000",Balanceanp!C:G,5,FALSE))</f>
        <v>0</v>
      </c>
      <c r="F19" s="368">
        <f>+C19+C19/9*(12-Clients!$I$14)</f>
        <v>1676.2799999999988</v>
      </c>
      <c r="G19" s="395">
        <v>0</v>
      </c>
      <c r="H19" s="401"/>
      <c r="I19" s="149">
        <f t="shared" si="0"/>
        <v>0</v>
      </c>
      <c r="J19" s="271">
        <f t="shared" si="0"/>
        <v>-1</v>
      </c>
      <c r="L19" t="s">
        <v>729</v>
      </c>
      <c r="M19" s="2" t="e">
        <f ca="1">IF($M$2="Alimentation",_xll.PALO.SETDATA(G19,FALSE,"localhost/Bati_fin_dev","Reporting","décembre","2011",$A$4,+L19,"NA",+$G$3),_xll.PALO.DATAC("localhost/Bati_fin_dev","Reporting","décembre","2011",$A$4,+L19,"NA",+$G$3))</f>
        <v>#VALUE!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596"/>
      <c r="C21" s="803">
        <f>SUM(C7:C20)</f>
        <v>1726975.3299999998</v>
      </c>
      <c r="D21" s="597">
        <f>SUM(D7:D20)</f>
        <v>2368050</v>
      </c>
      <c r="E21" s="803">
        <f>SUM(E7:E20)</f>
        <v>2340104.4300000002</v>
      </c>
      <c r="F21" s="597">
        <f>SUM(F7:F20)</f>
        <v>2246896.6258487566</v>
      </c>
      <c r="G21" s="597">
        <f>SUM(G7:G20)</f>
        <v>2350978</v>
      </c>
      <c r="H21" s="597"/>
      <c r="I21" s="596">
        <f>+IF((E21)=0,,(F21-E21)/E21)</f>
        <v>-3.9830617367466598E-2</v>
      </c>
      <c r="J21" s="1015">
        <f>+IF((F21)=0,,(G21-F21)/F21)</f>
        <v>4.6322279785313676E-2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90" t="s">
        <v>92</v>
      </c>
      <c r="B23" s="591"/>
      <c r="C23" s="805">
        <f>IF(ISNA(VLOOKUP("CLE602650000",Balance!C:G,5,FALSE))=TRUE,0,VLOOKUP("CLE602650000",Balance!C:G,5,FALSE))</f>
        <v>27.44</v>
      </c>
      <c r="D23" s="601"/>
      <c r="E23" s="805">
        <f>IF(ISNA(VLOOKUP("CLE602650000",Balanceanp!C:G,5,FALSE))=TRUE,0,VLOOKUP("CLE602650000",Balanceanp!C:G,5,FALSE))</f>
        <v>17.399999999999999</v>
      </c>
      <c r="F23" s="601"/>
      <c r="G23" s="601"/>
      <c r="H23" s="601"/>
      <c r="I23" s="1013"/>
      <c r="J23" s="1014"/>
      <c r="L23" t="s">
        <v>748</v>
      </c>
      <c r="M23" s="2" t="e">
        <f ca="1">IF($M$2="Alimentation",_xll.PALO.SETDATA(G23,FALSE,"localhost/Bati_fin_dev","Reporting","décembre","2011",$A$4,+L23,"NA",+$G$3),_xll.PALO.DATAC("localhost/Bati_fin_dev","Reporting","décembre","2011",$A$4,+L23,"NA",+$G$3))</f>
        <v>#VALUE!</v>
      </c>
    </row>
    <row r="24" spans="1:13" ht="12.75">
      <c r="A24" s="590" t="s">
        <v>93</v>
      </c>
      <c r="B24" s="591"/>
      <c r="C24" s="805">
        <f>IF(ISNA(VLOOKUP("CLE607100000",Balance!C:G,5,FALSE))=TRUE,0,VLOOKUP("CLE607100000",Balance!C:G,5,FALSE))</f>
        <v>821748.9</v>
      </c>
      <c r="D24" s="601"/>
      <c r="E24" s="805">
        <f>IF(ISNA(VLOOKUP("CLE607100000",Balanceanp!C:G,5,FALSE))=TRUE,0,VLOOKUP("CLE607100000",Balanceanp!C:G,5,FALSE))</f>
        <v>1084109.3499999999</v>
      </c>
      <c r="F24" s="601"/>
      <c r="G24" s="1016">
        <f>H24*G30</f>
        <v>1122262.8580800002</v>
      </c>
      <c r="H24" s="1017">
        <f>1-H28</f>
        <v>0.72</v>
      </c>
      <c r="I24" s="1013"/>
      <c r="J24" s="1014"/>
      <c r="L24" t="s">
        <v>749</v>
      </c>
      <c r="M24" s="2" t="e">
        <f ca="1">IF($M$2="Alimentation",_xll.PALO.SETDATA(G24,FALSE,"localhost/Bati_fin_dev","Reporting","décembre","2011",$A$4,+L24,"NA",+$G$3),_xll.PALO.DATAC("localhost/Bati_fin_dev","Reporting","décembre","2011",$A$4,+L24,"NA",+$G$3))</f>
        <v>#VALUE!</v>
      </c>
    </row>
    <row r="25" spans="1:13" ht="12.75">
      <c r="A25" s="5" t="s">
        <v>94</v>
      </c>
      <c r="B25" s="92"/>
      <c r="C25" s="160">
        <f>IF(ISNA(VLOOKUP("CLE607110000",Balance!C:G,5,FALSE))=TRUE,0,VLOOKUP("CLE607110000",Balance!C:G,5,FALSE))+IF(ISNA(VLOOKUP("CLE607120000",Balance!C:G,5,FALSE))=TRUE,0,VLOOKUP("CLE607120000",Balance!C:G,5,FALSE))</f>
        <v>104083</v>
      </c>
      <c r="D25" s="115"/>
      <c r="E25" s="160">
        <f>IF(ISNA(VLOOKUP("CLE607110000",Balanceanp!C:G,5,FALSE))=TRUE,0,VLOOKUP("CLE607110000",Balanceanp!C:G,5,FALSE))+IF(ISNA(VLOOKUP("CLE607120000",Balanceanp!C:G,5,FALSE))=TRUE,0,VLOOKUP("CLE607120000",Balanceanp!C:G,5,FALSE))</f>
        <v>124481.08</v>
      </c>
      <c r="F25" s="134"/>
      <c r="G25" s="134"/>
      <c r="H25" s="400"/>
      <c r="I25" s="149"/>
      <c r="J25" s="271"/>
      <c r="L25" t="s">
        <v>752</v>
      </c>
      <c r="M25" s="2" t="e">
        <f ca="1">IF($M$2="Alimentation",_xll.PALO.SETDATA(G25,FALSE,"localhost/Bati_fin_dev","Reporting","décembre","2011",$A$4,+L25,"NA",+$G$3),_xll.PALO.DATAC("localhost/Bati_fin_dev","Reporting","décembre","2011",$A$4,+L25,"NA",+$G$3))</f>
        <v>#VALUE!</v>
      </c>
    </row>
    <row r="26" spans="1:13" ht="12.75">
      <c r="A26" s="5" t="s">
        <v>288</v>
      </c>
      <c r="B26" s="92"/>
      <c r="C26" s="160">
        <f>IF(ISNA(VLOOKUP("CLE607130000",Balance!C:G,5,FALSE))=TRUE,0,VLOOKUP("CLE607130000",Balance!C:G,5,FALSE))</f>
        <v>20455.29</v>
      </c>
      <c r="D26" s="115"/>
      <c r="E26" s="160">
        <f>IF(ISNA(VLOOKUP("CLE607130000",Balanceanp!C:G,5,FALSE))=TRUE,0,VLOOKUP("CLE607130000",Balanceanp!C:G,5,FALSE))</f>
        <v>39443</v>
      </c>
      <c r="F26" s="134"/>
      <c r="G26" s="134"/>
      <c r="H26" s="400"/>
      <c r="I26" s="149"/>
      <c r="J26" s="271"/>
      <c r="L26" t="s">
        <v>750</v>
      </c>
      <c r="M26" s="2" t="e">
        <f ca="1">IF($M$2="Alimentation",_xll.PALO.SETDATA(G26,FALSE,"localhost/Bati_fin_dev","Reporting","décembre","2011",$A$4,+L26,"NA",+$G$3),_xll.PALO.DATAC("localhost/Bati_fin_dev","Reporting","décembre","2011",$A$4,+L26,"NA",+$G$3))</f>
        <v>#VALUE!</v>
      </c>
    </row>
    <row r="27" spans="1:13" ht="12.75">
      <c r="A27" s="5" t="s">
        <v>289</v>
      </c>
      <c r="B27" s="92"/>
      <c r="C27" s="160">
        <f>IF(ISNA(VLOOKUP("CLE607140000",Balance!C:G,5,FALSE))=TRUE,0,VLOOKUP("CLE607140000",Balance!C:G,5,FALSE))</f>
        <v>-39144.449999999997</v>
      </c>
      <c r="D27" s="115"/>
      <c r="E27" s="160">
        <f>IF(ISNA(VLOOKUP("CLE607140000",Balanceanp!C:G,5,FALSE))=TRUE,0,VLOOKUP("CLE607140000",Balanceanp!C:G,5,FALSE))</f>
        <v>-36216</v>
      </c>
      <c r="F27" s="134"/>
      <c r="G27" s="134"/>
      <c r="H27" s="400"/>
      <c r="I27" s="149"/>
      <c r="J27" s="271"/>
      <c r="L27" t="s">
        <v>751</v>
      </c>
      <c r="M27" s="2" t="e">
        <f ca="1">IF($M$2="Alimentation",_xll.PALO.SETDATA(G27,FALSE,"localhost/Bati_fin_dev","Reporting","décembre","2011",$A$4,+L27,"NA",+$G$3),_xll.PALO.DATAC("localhost/Bati_fin_dev","Reporting","décembre","2011",$A$4,+L27,"NA",+$G$3))</f>
        <v>#VALUE!</v>
      </c>
    </row>
    <row r="28" spans="1:13" ht="12.75">
      <c r="A28" s="590" t="s">
        <v>95</v>
      </c>
      <c r="B28" s="591"/>
      <c r="C28" s="805">
        <f>IF(ISNA(VLOOKUP("CLE607200000",Balance!C:G,5,FALSE))=TRUE,0,VLOOKUP("CLE607200000",Balance!C:G,5,FALSE))</f>
        <v>258806.16</v>
      </c>
      <c r="D28" s="1018">
        <f>C28/C30</f>
        <v>0.21787463053008402</v>
      </c>
      <c r="E28" s="805">
        <f>IF(ISNA(VLOOKUP("CLE607200000",Balanceanp!C:G,5,FALSE))=TRUE,0,VLOOKUP("CLE607200000",Balanceanp!C:G,5,FALSE))</f>
        <v>335645.9</v>
      </c>
      <c r="F28" s="1018">
        <f>E28/E30</f>
        <v>0.21689827439725212</v>
      </c>
      <c r="G28" s="1016">
        <f>H28*G30</f>
        <v>436435.55592000007</v>
      </c>
      <c r="H28" s="1019">
        <v>0.28000000000000003</v>
      </c>
      <c r="I28" s="1013"/>
      <c r="J28" s="1014"/>
      <c r="L28" t="s">
        <v>754</v>
      </c>
      <c r="M28" s="2" t="e">
        <f ca="1">IF($M$2="Alimentation",_xll.PALO.SETDATA(G28,FALSE,"localhost/Bati_fin_dev","Reporting","décembre","2011",$A$4,+L28,"NA",+$G$3),_xll.PALO.DATAC("localhost/Bati_fin_dev","Reporting","décembre","2011",$A$4,+L28,"NA",+$G$3))</f>
        <v>#VALUE!</v>
      </c>
    </row>
    <row r="29" spans="1:13" ht="12.75">
      <c r="A29" s="5" t="s">
        <v>293</v>
      </c>
      <c r="B29" s="92"/>
      <c r="C29" s="160">
        <f>IF(ISNA(VLOOKUP("CLE607150000",Balance!C:G,5,FALSE))=TRUE,0,VLOOKUP("CLE607150000",Balance!C:G,5,FALSE))</f>
        <v>21891.01</v>
      </c>
      <c r="D29" s="115"/>
      <c r="E29" s="357">
        <f>IF(ISNA(VLOOKUP("PSA607150000",Balanceanp!C:G,5,FALSE))=TRUE,0,VLOOKUP("PSA607150000",Balanceanp!C:G,5,FALSE))</f>
        <v>0</v>
      </c>
      <c r="F29" s="134"/>
      <c r="G29" s="134"/>
      <c r="H29" s="400"/>
      <c r="I29" s="149">
        <f>+IF((D28)=0,"",(C28-D28)/D28)</f>
        <v>1187866.3500000001</v>
      </c>
      <c r="J29" s="271"/>
      <c r="L29" t="s">
        <v>753</v>
      </c>
      <c r="M29" s="2" t="e">
        <f ca="1">IF($M$2="Alimentation",_xll.PALO.SETDATA(G29,FALSE,"localhost/Bati_fin_dev","Reporting","décembre","2011",$A$4,+L29,"NA",+$G$3),_xll.PALO.DATAC("localhost/Bati_fin_dev","Reporting","décembre","2011",$A$4,+L29,"NA",+$G$3))</f>
        <v>#VALUE!</v>
      </c>
    </row>
    <row r="30" spans="1:13" s="43" customFormat="1" ht="15" customHeight="1">
      <c r="A30" s="42" t="s">
        <v>292</v>
      </c>
      <c r="B30" s="606"/>
      <c r="C30" s="804">
        <f>SUM(C23:C29)</f>
        <v>1187867.3500000001</v>
      </c>
      <c r="D30" s="1020"/>
      <c r="E30" s="804">
        <f>SUM(E23:E29)</f>
        <v>1547480.73</v>
      </c>
      <c r="F30" s="607">
        <f>1-(E30/E21)</f>
        <v>0.33871296077158408</v>
      </c>
      <c r="G30" s="1020">
        <f>G21*(1-H30)</f>
        <v>1558698.4140000001</v>
      </c>
      <c r="H30" s="812">
        <v>0.33700000000000002</v>
      </c>
      <c r="I30" s="606"/>
      <c r="J30" s="1021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0.75" customHeight="1">
      <c r="A32" s="56" t="s">
        <v>336</v>
      </c>
      <c r="B32" s="610"/>
      <c r="C32" s="1022">
        <f>+C21-C30-C38</f>
        <v>574650.93999999971</v>
      </c>
      <c r="D32" s="611"/>
      <c r="E32" s="1022">
        <f>+E21-E30-E38</f>
        <v>777552.8154000002</v>
      </c>
      <c r="F32" s="611"/>
      <c r="G32" s="611"/>
      <c r="H32" s="611"/>
      <c r="I32" s="606"/>
      <c r="J32" s="812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0.75" customHeight="1">
      <c r="A33" s="56" t="s">
        <v>337</v>
      </c>
      <c r="B33" s="610"/>
      <c r="C33" s="1023">
        <f>+C32/C21</f>
        <v>0.3327499414829509</v>
      </c>
      <c r="D33" s="611"/>
      <c r="E33" s="1023">
        <f>+E32/E21</f>
        <v>0.33227269921453895</v>
      </c>
      <c r="F33" s="611"/>
      <c r="G33" s="611"/>
      <c r="H33" s="611">
        <v>33.5</v>
      </c>
      <c r="I33" s="606"/>
      <c r="J33" s="812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1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90" t="s">
        <v>96</v>
      </c>
      <c r="B35" s="591"/>
      <c r="C35" s="805">
        <f>IF(ISNA(VLOOKUP("CLE607400000",Balance!C:G,5,FALSE))=TRUE,0,VLOOKUP("CLE607400000",Balance!C:G,5,FALSE))</f>
        <v>9278.5</v>
      </c>
      <c r="D35" s="601"/>
      <c r="E35" s="805">
        <f>IF(ISNA(VLOOKUP("CLE607400000",Balanceanp!C:G,5,FALSE))=TRUE,0,VLOOKUP("CLE607400000",Balanceanp!C:G,5,FALSE))</f>
        <v>13475.42</v>
      </c>
      <c r="F35" s="612">
        <f>E35/E30</f>
        <v>8.7079727319124677E-3</v>
      </c>
      <c r="G35" s="1024">
        <f>F35*G30</f>
        <v>13573.103286387211</v>
      </c>
      <c r="H35" s="601"/>
      <c r="I35" s="1013" t="str">
        <f t="shared" si="1"/>
        <v/>
      </c>
      <c r="J35" s="1014"/>
      <c r="L35" t="s">
        <v>743</v>
      </c>
      <c r="M35" s="2" t="e">
        <f ca="1">IF($M$2="Alimentation",_xll.PALO.SETDATA(G35,FALSE,"localhost/Bati_fin_dev","Reporting","décembre","2011",$A$4,+L35,"NA",+$G$3),_xll.PALO.DATAC("localhost/Bati_fin_dev","Reporting","décembre","2011",$A$4,+L35,"NA",+$G$3))</f>
        <v>#VALUE!</v>
      </c>
    </row>
    <row r="36" spans="1:13" ht="12.75">
      <c r="A36" s="590" t="s">
        <v>97</v>
      </c>
      <c r="B36" s="591"/>
      <c r="C36" s="805">
        <f>IF(ISNA(VLOOKUP("CLE608000000",Balance!C:G,5,FALSE))=TRUE,0,VLOOKUP("CLE608000000",Balance!C:G,5,FALSE))</f>
        <v>712.98</v>
      </c>
      <c r="D36" s="601"/>
      <c r="E36" s="805">
        <f>IF(ISNA(VLOOKUP("CLE608000000",Balanceanp!C:G,5,FALSE))=TRUE,0,VLOOKUP("CLE608000000",Balanceanp!C:G,5,FALSE))</f>
        <v>454.37</v>
      </c>
      <c r="F36" s="612">
        <f>E36/E30</f>
        <v>2.9361916513170411E-4</v>
      </c>
      <c r="G36" s="1024">
        <f>F36*G30</f>
        <v>457.66372701079132</v>
      </c>
      <c r="H36" s="601"/>
      <c r="I36" s="1013" t="str">
        <f t="shared" si="1"/>
        <v/>
      </c>
      <c r="J36" s="1014"/>
      <c r="L36" t="s">
        <v>744</v>
      </c>
      <c r="M36" s="2" t="e">
        <f ca="1">IF($M$2="Alimentation",_xll.PALO.SETDATA(G36,FALSE,"localhost/Bati_fin_dev","Reporting","décembre","2011",$A$4,+L36,"NA",+$G$3),_xll.PALO.DATAC("localhost/Bati_fin_dev","Reporting","décembre","2011",$A$4,+L36,"NA",+$G$3))</f>
        <v>#VALUE!</v>
      </c>
    </row>
    <row r="37" spans="1:13" ht="12.75">
      <c r="A37" s="5" t="s">
        <v>98</v>
      </c>
      <c r="B37" s="92"/>
      <c r="C37" s="160">
        <f>IF(ISNA(VLOOKUP("CLE608100000",Balance!C:G,5,FALSE))=TRUE,0,VLOOKUP("CLE608100000",Balance!C:G,5,FALSE))</f>
        <v>0</v>
      </c>
      <c r="D37" s="115"/>
      <c r="E37" s="160">
        <f>IF(ISNA(VLOOKUP("CLE608100000",Balanceanp!C:G,5,FALSE))=TRUE,0,VLOOKUP("CLE608100000",Balanceanp!C:G,5,FALSE))</f>
        <v>0</v>
      </c>
      <c r="F37" s="134"/>
      <c r="G37" s="134"/>
      <c r="H37" s="400"/>
      <c r="I37" s="149" t="str">
        <f t="shared" si="1"/>
        <v/>
      </c>
      <c r="J37" s="271"/>
      <c r="L37" t="s">
        <v>742</v>
      </c>
      <c r="M37" s="2" t="e">
        <f ca="1">IF($M$2="Alimentation",_xll.PALO.SETDATA(G37,FALSE,"localhost/Bati_fin_dev","Reporting","décembre","2011",$A$4,+L37,"NA",+$G$3),_xll.PALO.DATAC("localhost/Bati_fin_dev","Reporting","décembre","2011",$A$4,+L37,"NA",+$G$3))</f>
        <v>#VALUE!</v>
      </c>
    </row>
    <row r="38" spans="1:13" ht="12.75">
      <c r="A38" s="5" t="s">
        <v>99</v>
      </c>
      <c r="B38" s="92"/>
      <c r="C38" s="160">
        <f>+C56-C57</f>
        <v>-35542.960000000021</v>
      </c>
      <c r="D38" s="115"/>
      <c r="E38" s="160">
        <f>+E56-E57</f>
        <v>15070.884600000049</v>
      </c>
      <c r="F38" s="134"/>
      <c r="G38" s="134"/>
      <c r="H38" s="400"/>
      <c r="I38" s="149" t="str">
        <f t="shared" si="1"/>
        <v/>
      </c>
      <c r="J38" s="271"/>
      <c r="L38" t="s">
        <v>747</v>
      </c>
      <c r="M38" s="2" t="e">
        <f ca="1">IF($M$2="Alimentation",_xll.PALO.SETDATA(G38,FALSE,"localhost/Bati_fin_dev","Reporting","décembre","2011",$A$4,+L38,"NA",+$G$3),_xll.PALO.DATAC("localhost/Bati_fin_dev","Reporting","décembre","2011",$A$4,+L38,"NA",+$G$3))</f>
        <v>#VALUE!</v>
      </c>
    </row>
    <row r="39" spans="1:13" ht="12.75">
      <c r="A39" s="5" t="s">
        <v>177</v>
      </c>
      <c r="B39" s="92"/>
      <c r="C39" s="160">
        <f>IF(ISNA(VLOOKUP("CLE681730000",Balance!C:G,5,FALSE))=TRUE,0,VLOOKUP("CLE681730000",Balance!C:G,5,FALSE))</f>
        <v>0</v>
      </c>
      <c r="D39" s="115"/>
      <c r="E39" s="160">
        <f>IF(ISNA(VLOOKUP("CLE681730000",Balanceanp!C:G,5,FALSE))=TRUE,0,VLOOKUP("CLE681730000",Balanceanp!C:G,5,FALSE))</f>
        <v>10873.73</v>
      </c>
      <c r="F39" s="134"/>
      <c r="G39" s="134"/>
      <c r="H39" s="400"/>
      <c r="I39" s="149" t="str">
        <f t="shared" si="1"/>
        <v/>
      </c>
      <c r="J39" s="271"/>
      <c r="L39" t="s">
        <v>741</v>
      </c>
      <c r="M39" s="2" t="e">
        <f ca="1">IF($M$2="Alimentation",_xll.PALO.SETDATA(G39,FALSE,"localhost/Bati_fin_dev","Reporting","décembre","2011",$A$4,+L39,"NA",+$G$3),_xll.PALO.DATAC("localhost/Bati_fin_dev","Reporting","décembre","2011",$A$4,+L39,"NA",+$G$3))</f>
        <v>#VALUE!</v>
      </c>
    </row>
    <row r="40" spans="1:13" ht="12.75">
      <c r="A40" s="5" t="s">
        <v>176</v>
      </c>
      <c r="B40" s="92"/>
      <c r="C40" s="160">
        <f>IF(ISNA(VLOOKUP("CLE781730000",Balance!C:G,5,FALSE))=TRUE,0,VLOOKUP("CLE781730000",Balance!C:G,5,FALSE))</f>
        <v>-10873.73</v>
      </c>
      <c r="D40" s="115"/>
      <c r="E40" s="160">
        <f>IF(ISNA(VLOOKUP("CLE781730000",Balanceanp!C:G,5,FALSE))=TRUE,0,VLOOKUP("CLE781730000",Balanceanp!C:G,5,FALSE))</f>
        <v>-10514.21</v>
      </c>
      <c r="F40" s="134"/>
      <c r="G40" s="134"/>
      <c r="H40" s="400"/>
      <c r="I40" s="149" t="str">
        <f t="shared" si="1"/>
        <v/>
      </c>
      <c r="J40" s="271"/>
      <c r="L40" t="s">
        <v>745</v>
      </c>
      <c r="M40" s="2" t="e">
        <f ca="1">IF($M$2="Alimentation",_xll.PALO.SETDATA(G40,FALSE,"localhost/Bati_fin_dev","Reporting","décembre","2011",$A$4,+L40,"NA",+$G$3),_xll.PALO.DATAC("localhost/Bati_fin_dev","Reporting","décembre","2011",$A$4,+L40,"NA",+$G$3))</f>
        <v>#VALUE!</v>
      </c>
    </row>
    <row r="41" spans="1:13" ht="12.75">
      <c r="A41" s="590" t="s">
        <v>317</v>
      </c>
      <c r="B41" s="591"/>
      <c r="C41" s="805">
        <f>IF(ISNA(VLOOKUP("CLE609110000",Balance!C:G,5,FALSE))=TRUE,0,VLOOKUP("CLE609110000",Balance!C:G,5,FALSE))</f>
        <v>-12574.51</v>
      </c>
      <c r="D41" s="601"/>
      <c r="E41" s="805">
        <f>IF(ISNA(VLOOKUP("CLE609110000",Balanceanp!C:G,5,FALSE))=TRUE,0,VLOOKUP("CLE609110000",Balanceanp!C:G,5,FALSE))</f>
        <v>-25581.85</v>
      </c>
      <c r="F41" s="614">
        <f>E41/SUM(E24:E25)</f>
        <v>-2.1166682579143045E-2</v>
      </c>
      <c r="G41" s="1025">
        <f>H41*(G24)</f>
        <v>-22445.257161600002</v>
      </c>
      <c r="H41" s="1026">
        <v>-0.02</v>
      </c>
      <c r="I41" s="1013" t="str">
        <f t="shared" si="1"/>
        <v/>
      </c>
      <c r="J41" s="1014"/>
      <c r="L41" t="s">
        <v>746</v>
      </c>
      <c r="M41" s="2" t="e">
        <f ca="1">IF($M$2="Alimentation",_xll.PALO.SETDATA(G41,FALSE,"localhost/Bati_fin_dev","Reporting","décembre","2011",$A$4,+L41,"NA",+$G$3),_xll.PALO.DATAC("localhost/Bati_fin_dev","Reporting","décembre","2011",$A$4,+L41,"NA",+$G$3))</f>
        <v>#VALUE!</v>
      </c>
    </row>
    <row r="42" spans="1:13" ht="12.75">
      <c r="A42" s="590" t="s">
        <v>318</v>
      </c>
      <c r="B42" s="591"/>
      <c r="C42" s="805">
        <f>IF(ISNA(VLOOKUP("CLE609120000",Balance!C:G,5,FALSE))=TRUE,0,VLOOKUP("CLE609120000",Balance!C:G,5,FALSE))</f>
        <v>-18116.43</v>
      </c>
      <c r="D42" s="601"/>
      <c r="E42" s="805">
        <f>IF(ISNA(VLOOKUP("CLE609120000",Balanceanp!C:G,5,FALSE))=TRUE,0,VLOOKUP("CLE609120000",Balanceanp!C:G,5,FALSE))</f>
        <v>-24068.76</v>
      </c>
      <c r="F42" s="614">
        <f>E42/E28</f>
        <v>-7.17087859556753E-2</v>
      </c>
      <c r="G42" s="1025">
        <f>H42*G28</f>
        <v>-30550.488914400008</v>
      </c>
      <c r="H42" s="1026">
        <v>-7.0000000000000007E-2</v>
      </c>
      <c r="I42" s="1013" t="str">
        <f t="shared" si="1"/>
        <v/>
      </c>
      <c r="J42" s="1014"/>
      <c r="L42" t="s">
        <v>755</v>
      </c>
      <c r="M42" s="2" t="e">
        <f ca="1">IF($M$2="Alimentation",_xll.PALO.SETDATA(G42,FALSE,"localhost/Bati_fin_dev","Reporting","décembre","2011",$A$4,+L42,"NA",+$G$3),_xll.PALO.DATAC("localhost/Bati_fin_dev","Reporting","décembre","2011",$A$4,+L42,"NA",+$G$3))</f>
        <v>#VALUE!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596"/>
      <c r="C44" s="803">
        <f>+C30+SUM(C34:C43)</f>
        <v>1120751.2000000002</v>
      </c>
      <c r="D44" s="617"/>
      <c r="E44" s="803">
        <f>+E30+SUM(E34:E43)</f>
        <v>1527190.3145999999</v>
      </c>
      <c r="F44" s="617"/>
      <c r="G44" s="1027">
        <f>SUM(G35:G43)+G30</f>
        <v>1519733.4349373982</v>
      </c>
      <c r="H44" s="617"/>
      <c r="I44" s="596"/>
      <c r="J44" s="1015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606224.12999999966</v>
      </c>
      <c r="D46" s="120"/>
      <c r="E46" s="166">
        <f>+E21-E44</f>
        <v>812914.11540000024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0.35103230455527107</v>
      </c>
      <c r="D47" s="120"/>
      <c r="E47" s="196">
        <f>+E46/E21</f>
        <v>0.34738369150474202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90" t="s">
        <v>91</v>
      </c>
      <c r="B49" s="591">
        <f>+C49/C21</f>
        <v>1.97317526243991E-2</v>
      </c>
      <c r="C49" s="805">
        <f>IF(ISNA(VLOOKUP("CLE709700000",Balance!C:G,5,FALSE))=TRUE,0,VLOOKUP("CLE709700000",Balance!C:G,5,FALSE))</f>
        <v>34076.25</v>
      </c>
      <c r="D49" s="619">
        <f>+[2]PSA!$H49</f>
        <v>45435</v>
      </c>
      <c r="E49" s="805">
        <f>IF(ISNA(VLOOKUP("CLE709700000",Balanceanp!C:G,5,FALSE))=TRUE,0,VLOOKUP("CLE709700000",Balanceanp!C:G,5,FALSE))</f>
        <v>39106.21</v>
      </c>
      <c r="F49" s="593">
        <f>+C49+C49/9*(12-Clients!$I$14)</f>
        <v>45435</v>
      </c>
      <c r="G49" s="631">
        <v>46222</v>
      </c>
      <c r="H49" s="612">
        <f>G49/G21</f>
        <v>1.966075395005823E-2</v>
      </c>
      <c r="I49" s="1013">
        <f>+IF((E49)=0,,(F49-E49)/E49)</f>
        <v>0.16183593347450445</v>
      </c>
      <c r="J49" s="1014">
        <f>+IF((F49)=0,,(G49-F49)/F49)</f>
        <v>1.7321448222735777E-2</v>
      </c>
      <c r="L49" t="s">
        <v>732</v>
      </c>
      <c r="M49" s="2" t="e">
        <f ca="1">IF($M$2="Alimentation",_xll.PALO.SETDATA(G49,FALSE,"localhost/Bati_fin_dev","Reporting","décembre","2011",$A$4,+L49,"NA",+$G$3),_xll.PALO.DATAC("localhost/Bati_fin_dev","Reporting","décembre","2011",$A$4,+L49,"NA",+$G$3))</f>
        <v>#VALUE!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596"/>
      <c r="C51" s="803">
        <f>+C21-C49</f>
        <v>1692899.0799999998</v>
      </c>
      <c r="D51" s="597">
        <f>+D21-D49</f>
        <v>2322615</v>
      </c>
      <c r="E51" s="803">
        <f>+E21-E49</f>
        <v>2300998.2200000002</v>
      </c>
      <c r="F51" s="597">
        <f>+F21-F49</f>
        <v>2201461.6258487566</v>
      </c>
      <c r="G51" s="597">
        <f>+G21-G49</f>
        <v>2304756</v>
      </c>
      <c r="H51" s="597"/>
      <c r="I51" s="596">
        <f>+IF((E51)=0,,(F51-E51)/E51)</f>
        <v>-4.3258005715121138E-2</v>
      </c>
      <c r="J51" s="1015">
        <f>+IF((F51)=0,,(G51-F51)/F51)</f>
        <v>4.6920815215854152E-2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572147.87999999966</v>
      </c>
      <c r="D53" s="122"/>
      <c r="E53" s="169">
        <f>+E51-E44</f>
        <v>773807.90540000028</v>
      </c>
      <c r="F53" s="140"/>
      <c r="G53" s="140">
        <f>+G51-G44</f>
        <v>785022.56506260182</v>
      </c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0.33796927812141037</v>
      </c>
      <c r="D54" s="123"/>
      <c r="E54" s="197">
        <f>+E53/E51</f>
        <v>0.33629226597141837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+[2]PSA!$C56</f>
        <v>312486.03999999998</v>
      </c>
      <c r="D56" s="115"/>
      <c r="E56" s="160">
        <f>+[1]PSA!$G56</f>
        <v>322783.78000000003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+[2]PSA!$C57</f>
        <v>348029</v>
      </c>
      <c r="D57" s="115"/>
      <c r="E57" s="160">
        <f>+[1]PSA!$G57</f>
        <v>307712.89539999998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364"/>
      <c r="C60" s="660">
        <f>+[2]PSA!$C60</f>
        <v>0.315</v>
      </c>
      <c r="D60" s="622">
        <f>+[2]PSA!$H60</f>
        <v>0.34238132449846403</v>
      </c>
      <c r="E60" s="660">
        <f>+[1]PSA!$G$54</f>
        <v>0.33629226597141837</v>
      </c>
      <c r="F60" s="622">
        <f>+C60</f>
        <v>0.315</v>
      </c>
      <c r="G60" s="622">
        <f>G62/G51</f>
        <v>0.34060983681682649</v>
      </c>
      <c r="H60" s="622"/>
      <c r="I60" s="660"/>
      <c r="J60" s="622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+[2]PSA!$C61</f>
        <v>0.32469999999999999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364"/>
      <c r="C62" s="661">
        <f>+C51*C60</f>
        <v>533263.21019999997</v>
      </c>
      <c r="D62" s="624">
        <f>D51*D60</f>
        <v>795220</v>
      </c>
      <c r="E62" s="661">
        <f>+E51*E60</f>
        <v>773807.90540000028</v>
      </c>
      <c r="F62" s="624">
        <f>+F51*F60</f>
        <v>693460.41214235837</v>
      </c>
      <c r="G62" s="624">
        <f>G51-G44</f>
        <v>785022.56506260182</v>
      </c>
      <c r="H62" s="624"/>
      <c r="I62" s="660">
        <f>+IF((E62)=0,,(F62-E62)/E62)</f>
        <v>-0.10383390076133729</v>
      </c>
      <c r="J62" s="622">
        <f>+IF((F62)=0,,(G62-F62)/F62)</f>
        <v>0.13203659692320971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90" t="s">
        <v>104</v>
      </c>
      <c r="B64" s="591"/>
      <c r="C64" s="805">
        <f>IF(ISNA(VLOOKUP("CLE613520000",Balance!C:G,5,FALSE))=TRUE,0,VLOOKUP("CLE613520000",Balance!C:G,5,FALSE))</f>
        <v>8199.17</v>
      </c>
      <c r="D64" s="619">
        <f>+[2]PSA!$H64</f>
        <v>12000</v>
      </c>
      <c r="E64" s="805">
        <f>IF(ISNA(VLOOKUP("CLE613520000",Balanceanp!C:G,5,FALSE))=TRUE,0,VLOOKUP("CLE613520000",Balanceanp!C:G,5,FALSE))</f>
        <v>13751.59</v>
      </c>
      <c r="F64" s="593">
        <f>+C64+C64/9*(12-Clients!$I$14)</f>
        <v>10932.226666666667</v>
      </c>
      <c r="G64" s="1012">
        <v>12000</v>
      </c>
      <c r="H64" s="1012"/>
      <c r="I64" s="1013">
        <f t="shared" ref="I64:J68" si="2">+IF((E64)=0,,(F64-E64)/E64)</f>
        <v>-0.20502089818946992</v>
      </c>
      <c r="J64" s="1014">
        <f t="shared" si="2"/>
        <v>9.7672081442389827E-2</v>
      </c>
      <c r="L64" t="s">
        <v>866</v>
      </c>
      <c r="M64" s="2" t="e">
        <f ca="1">IF($M$2="Alimentation",_xll.PALO.SETDATA(G64,FALSE,"localhost/Bati_fin_dev","Reporting","décembre","2011",$A$4,+L64,"NA",+$G$3),_xll.PALO.DATAC("localhost/Bati_fin_dev","Reporting","décembre","2011",$A$4,+L64,"NA",+$G$3))</f>
        <v>#VALUE!</v>
      </c>
    </row>
    <row r="65" spans="1:13" ht="12.75">
      <c r="A65" s="5" t="s">
        <v>314</v>
      </c>
      <c r="B65" s="92"/>
      <c r="C65" s="160"/>
      <c r="D65" s="117">
        <f>+[2]PSA!$H65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2"/>
        <v>0</v>
      </c>
      <c r="J65" s="271">
        <f t="shared" si="2"/>
        <v>0</v>
      </c>
      <c r="L65" t="s">
        <v>864</v>
      </c>
      <c r="M65" s="2" t="e">
        <f ca="1">IF($M$2="Alimentation",_xll.PALO.SETDATA(G65,FALSE,"localhost/Bati_fin_dev","Reporting","décembre","2011",$A$4,+L65,"NA",+$G$3),_xll.PALO.DATAC("localhost/Bati_fin_dev","Reporting","décembre","2011",$A$4,+L65,"NA",+$G$3))</f>
        <v>#VALUE!</v>
      </c>
    </row>
    <row r="66" spans="1:13" ht="12.75">
      <c r="A66" s="590" t="s">
        <v>110</v>
      </c>
      <c r="B66" s="591"/>
      <c r="C66" s="805">
        <f>IF(ISNA(VLOOKUP("CLE616120000",Balance!C:G,5,FALSE))=TRUE,0,VLOOKUP("CLE616120000",Balance!C:G,5,FALSE))</f>
        <v>2263.83</v>
      </c>
      <c r="D66" s="619">
        <f>+[2]PSA!$H66</f>
        <v>2891.7000000000003</v>
      </c>
      <c r="E66" s="805">
        <f>IF(ISNA(VLOOKUP("CLE616120000",Balanceanp!C:G,5,FALSE))=TRUE,0,VLOOKUP("CLE616120000",Balanceanp!C:G,5,FALSE))</f>
        <v>3159.55</v>
      </c>
      <c r="F66" s="593">
        <f>+C66+C66/9*(12-Clients!$I$14)</f>
        <v>3018.44</v>
      </c>
      <c r="G66" s="1012">
        <f>2754*1.05</f>
        <v>2891.7000000000003</v>
      </c>
      <c r="H66" s="1012"/>
      <c r="I66" s="1013">
        <f t="shared" si="2"/>
        <v>-4.466142330395155E-2</v>
      </c>
      <c r="J66" s="1014">
        <f t="shared" si="2"/>
        <v>-4.1988576880772774E-2</v>
      </c>
      <c r="L66" t="s">
        <v>862</v>
      </c>
      <c r="M66" s="2" t="e">
        <f ca="1">IF($M$2="Alimentation",_xll.PALO.SETDATA(G66,FALSE,"localhost/Bati_fin_dev","Reporting","décembre","2011",$A$4,+L66,"NA",+$G$3),_xll.PALO.DATAC("localhost/Bati_fin_dev","Reporting","décembre","2011",$A$4,+L66,"NA",+$G$3))</f>
        <v>#VALUE!</v>
      </c>
    </row>
    <row r="67" spans="1:13" ht="12.75">
      <c r="A67" s="590" t="s">
        <v>107</v>
      </c>
      <c r="B67" s="591"/>
      <c r="C67" s="805">
        <f>IF(ISNA(VLOOKUP("CLE615520000",Balance!C:G,5,FALSE))=TRUE,0,VLOOKUP("CLE615520000",Balance!C:G,5,FALSE))</f>
        <v>1426.97</v>
      </c>
      <c r="D67" s="619">
        <f>+[2]PSA!$H67</f>
        <v>3500</v>
      </c>
      <c r="E67" s="805">
        <f>IF(ISNA(VLOOKUP("CLE615520000",Balanceanp!C:G,5,FALSE))=TRUE,0,VLOOKUP("CLE615520000",Balanceanp!C:G,5,FALSE))</f>
        <v>7638.39</v>
      </c>
      <c r="F67" s="593">
        <f>+C67+C67/9*(12-Clients!$I$14)</f>
        <v>1902.6266666666666</v>
      </c>
      <c r="G67" s="1012">
        <v>3500</v>
      </c>
      <c r="H67" s="1012"/>
      <c r="I67" s="1013">
        <f t="shared" si="2"/>
        <v>-0.75091260505595214</v>
      </c>
      <c r="J67" s="1014">
        <f t="shared" si="2"/>
        <v>0.83956214916921879</v>
      </c>
      <c r="L67" t="s">
        <v>865</v>
      </c>
      <c r="M67" s="2" t="e">
        <f ca="1">IF($M$2="Alimentation",_xll.PALO.SETDATA(G67,FALSE,"localhost/Bati_fin_dev","Reporting","décembre","2011",$A$4,+L67,"NA",+$G$3),_xll.PALO.DATAC("localhost/Bati_fin_dev","Reporting","décembre","2011",$A$4,+L67,"NA",+$G$3))</f>
        <v>#VALUE!</v>
      </c>
    </row>
    <row r="68" spans="1:13" ht="12.75">
      <c r="A68" s="590" t="s">
        <v>125</v>
      </c>
      <c r="B68" s="591"/>
      <c r="C68" s="805">
        <f>IF(ISNA(VLOOKUP("CLE606130000",Balance!C:G,5,FALSE))=TRUE,0,VLOOKUP("CLE606130000",Balance!C:G,5,FALSE))</f>
        <v>3553.26</v>
      </c>
      <c r="D68" s="619">
        <f>+[2]PSA!$H68</f>
        <v>6543.2114750000001</v>
      </c>
      <c r="E68" s="805">
        <f>IF(ISNA(VLOOKUP("CLE606130000",Balanceanp!C:G,5,FALSE))=TRUE,0,VLOOKUP("CLE606130000",Balanceanp!C:G,5,FALSE))</f>
        <v>5646.83</v>
      </c>
      <c r="F68" s="593">
        <f>+C68+C68/9*(12-Clients!$I$14)</f>
        <v>4737.68</v>
      </c>
      <c r="G68" s="593">
        <f>+F68*1.03</f>
        <v>4879.8104000000003</v>
      </c>
      <c r="H68" s="593"/>
      <c r="I68" s="1013">
        <f t="shared" si="2"/>
        <v>-0.16100183642858021</v>
      </c>
      <c r="J68" s="1014">
        <f t="shared" si="2"/>
        <v>0.03</v>
      </c>
      <c r="L68" t="s">
        <v>863</v>
      </c>
      <c r="M68" s="2" t="e">
        <f ca="1">IF($M$2="Alimentation",_xll.PALO.SETDATA(G68,FALSE,"localhost/Bati_fin_dev","Reporting","décembre","2011",$A$4,+L68,"NA",+$G$3),_xll.PALO.DATAC("localhost/Bati_fin_dev","Reporting","décembre","2011",$A$4,+L68,"NA",+$G$3))</f>
        <v>#VALUE!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626"/>
      <c r="C70" s="1028">
        <f>SUM(C64:C69)</f>
        <v>15443.23</v>
      </c>
      <c r="D70" s="1029">
        <f>SUM(D64:D69)</f>
        <v>24934.911475000001</v>
      </c>
      <c r="E70" s="805">
        <f>SUM(E64:E69)</f>
        <v>30196.36</v>
      </c>
      <c r="F70" s="629">
        <f>SUM(F64:F69)</f>
        <v>20590.973333333335</v>
      </c>
      <c r="G70" s="1032">
        <f>SUM(G64:G69)</f>
        <v>23271.510399999999</v>
      </c>
      <c r="H70" s="813"/>
      <c r="I70" s="1013">
        <f>+IF((E70)=0,,(F70-E70)/E70)</f>
        <v>-0.31809750137654558</v>
      </c>
      <c r="J70" s="1014">
        <f>+IF((F70)=0,,(G70-F70)/F70)</f>
        <v>0.13018020193962002</v>
      </c>
      <c r="K70" s="2" t="s">
        <v>709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90" t="s">
        <v>1</v>
      </c>
      <c r="B72" s="591"/>
      <c r="C72" s="805">
        <f>IF(ISNA(VLOOKUP("CLE602220000",Balance!C:G,5,FALSE))=TRUE,0,VLOOKUP("CLE602220000",Balance!C:G,5,FALSE))</f>
        <v>1018.47</v>
      </c>
      <c r="D72" s="619">
        <f>+[2]PSA!$H72</f>
        <v>510.76769558083339</v>
      </c>
      <c r="E72" s="805">
        <f>IF(ISNA(VLOOKUP("CLE602220000",Balanceanp!C:G,5,FALSE))=TRUE,0,VLOOKUP("CLE602220000",Balanceanp!C:G,5,FALSE))</f>
        <v>892.23</v>
      </c>
      <c r="F72" s="593">
        <f>+C72+C72/9*(12-Clients!$I$14)</f>
        <v>1357.96</v>
      </c>
      <c r="G72" s="1030">
        <f>+F72*1.03</f>
        <v>1398.6988000000001</v>
      </c>
      <c r="H72" s="1030"/>
      <c r="I72" s="1013">
        <f t="shared" ref="I72:J87" si="3">+IF((E72)=0,,(F72-E72)/E72)</f>
        <v>0.52198424173139213</v>
      </c>
      <c r="J72" s="1014">
        <f t="shared" si="3"/>
        <v>3.0000000000000061E-2</v>
      </c>
      <c r="L72" t="s">
        <v>783</v>
      </c>
      <c r="M72" s="2" t="e">
        <f ca="1">IF($M$2="Alimentation",_xll.PALO.SETDATA(G72,FALSE,"localhost/Bati_fin_dev","Reporting","décembre","2011",$A$4,+L72,"NA",+$G$3),_xll.PALO.DATAC("localhost/Bati_fin_dev","Reporting","décembre","2011",$A$4,+L72,"NA",+$G$3))</f>
        <v>#VALUE!</v>
      </c>
    </row>
    <row r="73" spans="1:13" ht="12.75">
      <c r="A73" s="590" t="s">
        <v>123</v>
      </c>
      <c r="B73" s="591"/>
      <c r="C73" s="805">
        <f>IF(ISNA(VLOOKUP("CLE606100000",Balance!C:G,5,FALSE))=TRUE,0,VLOOKUP("CLE606100000",Balance!C:G,5,FALSE))</f>
        <v>12011.33</v>
      </c>
      <c r="D73" s="619">
        <f>+[2]PSA!$H73</f>
        <v>9027.7815155183343</v>
      </c>
      <c r="E73" s="805">
        <f>IF(ISNA(VLOOKUP("CLE606100000",Balanceanp!C:G,5,FALSE))=TRUE,0,VLOOKUP("CLE606100000",Balanceanp!C:G,5,FALSE))</f>
        <v>10339.76</v>
      </c>
      <c r="F73" s="593">
        <f>+C73+C73/9*(12-Clients!$I$14)</f>
        <v>16015.106666666667</v>
      </c>
      <c r="G73" s="1030">
        <f t="shared" ref="G73:G101" si="4">+F73*1.03</f>
        <v>16495.559866666666</v>
      </c>
      <c r="H73" s="1030"/>
      <c r="I73" s="1013">
        <f t="shared" si="3"/>
        <v>0.54888572526506096</v>
      </c>
      <c r="J73" s="1014">
        <f t="shared" si="3"/>
        <v>2.9999999999999995E-2</v>
      </c>
      <c r="L73" t="s">
        <v>764</v>
      </c>
      <c r="M73" s="2" t="e">
        <f ca="1">IF($M$2="Alimentation",_xll.PALO.SETDATA(G73,FALSE,"localhost/Bati_fin_dev","Reporting","décembre","2011",$A$4,+L73,"NA",+$G$3),_xll.PALO.DATAC("localhost/Bati_fin_dev","Reporting","décembre","2011",$A$4,+L73,"NA",+$G$3))</f>
        <v>#VALUE!</v>
      </c>
    </row>
    <row r="74" spans="1:13" ht="12.75">
      <c r="A74" s="590" t="s">
        <v>124</v>
      </c>
      <c r="B74" s="591"/>
      <c r="C74" s="805">
        <f>IF(ISNA(VLOOKUP("CLE606110000",Balance!C:G,5,FALSE))=TRUE,0,VLOOKUP("CLE606110000",Balance!C:G,5,FALSE))</f>
        <v>2200.6799999999998</v>
      </c>
      <c r="D74" s="619">
        <f>+[2]PSA!$H74</f>
        <v>1418.4583715858332</v>
      </c>
      <c r="E74" s="805">
        <f>IF(ISNA(VLOOKUP("CLE606110000",Balanceanp!C:G,5,FALSE))=TRUE,0,VLOOKUP("CLE606110000",Balanceanp!C:G,5,FALSE))</f>
        <v>2477.17</v>
      </c>
      <c r="F74" s="593">
        <f>+C74+C74/9*(12-Clients!$I$14)</f>
        <v>2934.24</v>
      </c>
      <c r="G74" s="1030">
        <f t="shared" si="4"/>
        <v>3022.2671999999998</v>
      </c>
      <c r="H74" s="1030"/>
      <c r="I74" s="1013">
        <f t="shared" si="3"/>
        <v>0.18451297246454612</v>
      </c>
      <c r="J74" s="1014">
        <f t="shared" si="3"/>
        <v>0.03</v>
      </c>
      <c r="L74" t="s">
        <v>760</v>
      </c>
      <c r="M74" s="2" t="e">
        <f ca="1">IF($M$2="Alimentation",_xll.PALO.SETDATA(G74,FALSE,"localhost/Bati_fin_dev","Reporting","décembre","2011",$A$4,+L74,"NA",+$G$3),_xll.PALO.DATAC("localhost/Bati_fin_dev","Reporting","décembre","2011",$A$4,+L74,"NA",+$G$3))</f>
        <v>#VALUE!</v>
      </c>
    </row>
    <row r="75" spans="1:13" ht="12.75">
      <c r="A75" s="5" t="s">
        <v>360</v>
      </c>
      <c r="B75" s="92"/>
      <c r="C75" s="160">
        <f>IF(ISNA(VLOOKUP("CLE606140000",Balance!C:G,5,FALSE))=TRUE,0,VLOOKUP("CLE606140000",Balance!C:G,5,FALSE))</f>
        <v>0</v>
      </c>
      <c r="D75" s="117">
        <f>+[2]PSA!$H75</f>
        <v>0</v>
      </c>
      <c r="E75" s="160">
        <f>IF(ISNA(VLOOKUP("CLE606140000",Balanceanp!C:G,5,FALSE))=TRUE,0,VLOOKUP("CLE606140000",Balanceanp!C:G,5,FALSE))</f>
        <v>0</v>
      </c>
      <c r="F75" s="368">
        <f>+C75+C75/9*(12-Clients!$I$14)</f>
        <v>0</v>
      </c>
      <c r="G75" s="396">
        <f t="shared" si="4"/>
        <v>0</v>
      </c>
      <c r="H75" s="409"/>
      <c r="I75" s="149">
        <f t="shared" si="3"/>
        <v>0</v>
      </c>
      <c r="J75" s="271">
        <f t="shared" si="3"/>
        <v>0</v>
      </c>
      <c r="L75" t="s">
        <v>761</v>
      </c>
      <c r="M75" s="2" t="e">
        <f ca="1">IF($M$2="Alimentation",_xll.PALO.SETDATA(G75,FALSE,"localhost/Bati_fin_dev","Reporting","décembre","2011",$A$4,+L75,"NA",+$G$3),_xll.PALO.DATAC("localhost/Bati_fin_dev","Reporting","décembre","2011",$A$4,+L75,"NA",+$G$3))</f>
        <v>#VALUE!</v>
      </c>
    </row>
    <row r="76" spans="1:13" ht="12.75">
      <c r="A76" s="590" t="s">
        <v>126</v>
      </c>
      <c r="B76" s="591"/>
      <c r="C76" s="805">
        <f>IF(ISNA(VLOOKUP("CLE606310000",Balance!C:G,5,FALSE))=TRUE,0,VLOOKUP("CLE606310000",Balance!C:G,5,FALSE))</f>
        <v>241.28</v>
      </c>
      <c r="D76" s="619">
        <f>+[2]PSA!$H76</f>
        <v>699.71545616333344</v>
      </c>
      <c r="E76" s="805">
        <f>IF(ISNA(VLOOKUP("CLE606310000",Balanceanp!C:G,5,FALSE))=TRUE,0,VLOOKUP("CLE606310000",Balanceanp!C:G,5,FALSE))</f>
        <v>501.98</v>
      </c>
      <c r="F76" s="593">
        <f>+C76+C76/9*(12-Clients!$I$14)</f>
        <v>321.70666666666665</v>
      </c>
      <c r="G76" s="1030">
        <f t="shared" si="4"/>
        <v>331.35786666666667</v>
      </c>
      <c r="H76" s="1030"/>
      <c r="I76" s="1013">
        <f t="shared" si="3"/>
        <v>-0.35912453351395146</v>
      </c>
      <c r="J76" s="1014">
        <f t="shared" si="3"/>
        <v>3.0000000000000054E-2</v>
      </c>
      <c r="L76" t="s">
        <v>781</v>
      </c>
      <c r="M76" s="2" t="e">
        <f ca="1">IF($M$2="Alimentation",_xll.PALO.SETDATA(G76,FALSE,"localhost/Bati_fin_dev","Reporting","décembre","2011",$A$4,+L76,"NA",+$G$3),_xll.PALO.DATAC("localhost/Bati_fin_dev","Reporting","décembre","2011",$A$4,+L76,"NA",+$G$3))</f>
        <v>#VALUE!</v>
      </c>
    </row>
    <row r="77" spans="1:13" ht="12.75">
      <c r="A77" s="590" t="s">
        <v>127</v>
      </c>
      <c r="B77" s="591"/>
      <c r="C77" s="805">
        <f>IF(ISNA(VLOOKUP("CLE606410000",Balance!C:G,5,FALSE))=TRUE,0,VLOOKUP("CLE606410000",Balance!C:G,5,FALSE))</f>
        <v>3116.78</v>
      </c>
      <c r="D77" s="619">
        <f>+[2]PSA!$H77</f>
        <v>5516.4680689166662</v>
      </c>
      <c r="E77" s="805">
        <f>IF(ISNA(VLOOKUP("CLE606410000",Balanceanp!C:G,5,FALSE))=TRUE,0,VLOOKUP("CLE606410000",Balanceanp!C:G,5,FALSE))</f>
        <v>5006.66</v>
      </c>
      <c r="F77" s="593">
        <f>+C77+C77/9*(12-Clients!$I$14)</f>
        <v>4155.7066666666669</v>
      </c>
      <c r="G77" s="1030">
        <f t="shared" si="4"/>
        <v>4280.3778666666667</v>
      </c>
      <c r="H77" s="1030"/>
      <c r="I77" s="1013">
        <f t="shared" si="3"/>
        <v>-0.16996427425336111</v>
      </c>
      <c r="J77" s="1014">
        <f t="shared" si="3"/>
        <v>2.9999999999999943E-2</v>
      </c>
      <c r="L77" t="s">
        <v>769</v>
      </c>
      <c r="M77" s="2" t="e">
        <f ca="1">IF($M$2="Alimentation",_xll.PALO.SETDATA(G77,FALSE,"localhost/Bati_fin_dev","Reporting","décembre","2011",$A$4,+L77,"NA",+$G$3),_xll.PALO.DATAC("localhost/Bati_fin_dev","Reporting","décembre","2011",$A$4,+L77,"NA",+$G$3))</f>
        <v>#VALUE!</v>
      </c>
    </row>
    <row r="78" spans="1:13" ht="12.75">
      <c r="A78" s="590" t="s">
        <v>101</v>
      </c>
      <c r="B78" s="591"/>
      <c r="C78" s="805">
        <f>IF(ISNA(VLOOKUP("CLE611000000",Balance!C:G,5,FALSE))=TRUE,0,VLOOKUP("CLE611000000",Balance!C:G,5,FALSE))</f>
        <v>25.23</v>
      </c>
      <c r="D78" s="619">
        <f>+[2]PSA!$H78</f>
        <v>1373.6665427108333</v>
      </c>
      <c r="E78" s="805">
        <f>IF(ISNA(VLOOKUP("CLE611000000",Balanceanp!C:G,5,FALSE))=TRUE,0,VLOOKUP("CLE611000000",Balanceanp!C:G,5,FALSE))</f>
        <v>569.30999999999995</v>
      </c>
      <c r="F78" s="593">
        <f>+C78+C78/9*(12-Clients!$I$14)</f>
        <v>33.64</v>
      </c>
      <c r="G78" s="593">
        <f t="shared" si="4"/>
        <v>34.6492</v>
      </c>
      <c r="H78" s="593"/>
      <c r="I78" s="1013">
        <f t="shared" si="3"/>
        <v>-0.94091092726282699</v>
      </c>
      <c r="J78" s="1014">
        <f t="shared" si="3"/>
        <v>2.9999999999999995E-2</v>
      </c>
      <c r="L78" t="s">
        <v>782</v>
      </c>
      <c r="M78" s="2" t="e">
        <f ca="1">IF($M$2="Alimentation",_xll.PALO.SETDATA(G78,FALSE,"localhost/Bati_fin_dev","Reporting","décembre","2011",$A$4,+L78,"NA",+$G$3),_xll.PALO.DATAC("localhost/Bati_fin_dev","Reporting","décembre","2011",$A$4,+L78,"NA",+$G$3))</f>
        <v>#VALUE!</v>
      </c>
    </row>
    <row r="79" spans="1:13" ht="12.75">
      <c r="A79" s="590" t="s">
        <v>102</v>
      </c>
      <c r="B79" s="591"/>
      <c r="C79" s="805">
        <f>IF(ISNA(VLOOKUP("CLE613200000",Balance!C:G,5,FALSE))=TRUE,0,VLOOKUP("CLE613200000",Balance!C:G,5,FALSE))</f>
        <v>55497.95</v>
      </c>
      <c r="D79" s="619">
        <f>+[2]PSA!$H79</f>
        <v>82521.919999999998</v>
      </c>
      <c r="E79" s="805">
        <f>IF(ISNA(VLOOKUP("CLE613200000",Balanceanp!C:G,5,FALSE))=TRUE,0,VLOOKUP("CLE613200000",Balanceanp!C:G,5,FALSE))</f>
        <v>70363.820000000007</v>
      </c>
      <c r="F79" s="631">
        <f>6876.82*12-(799.19*10)</f>
        <v>74529.94</v>
      </c>
      <c r="G79" s="631">
        <f>6876.82*12*1.05-(880*12)</f>
        <v>76087.932000000001</v>
      </c>
      <c r="H79" s="1149">
        <f>G79/G21</f>
        <v>3.2364374315710313E-2</v>
      </c>
      <c r="I79" s="1013">
        <f t="shared" si="3"/>
        <v>5.920826924973651E-2</v>
      </c>
      <c r="J79" s="1014">
        <f t="shared" si="3"/>
        <v>2.0904243314834259E-2</v>
      </c>
      <c r="L79" t="s">
        <v>780</v>
      </c>
      <c r="M79" s="2" t="e">
        <f ca="1">IF($M$2="Alimentation",_xll.PALO.SETDATA(G79,FALSE,"localhost/Bati_fin_dev","Reporting","décembre","2011",$A$4,+L79,"NA",+$G$3),_xll.PALO.DATAC("localhost/Bati_fin_dev","Reporting","décembre","2011",$A$4,+L79,"NA",+$G$3))</f>
        <v>#VALUE!</v>
      </c>
    </row>
    <row r="80" spans="1:13" ht="12.75">
      <c r="A80" s="590" t="s">
        <v>325</v>
      </c>
      <c r="B80" s="591"/>
      <c r="C80" s="805">
        <f>IF(ISNA(VLOOKUP("CLE614000000",Balance!C:G,5,FALSE))=TRUE,0,VLOOKUP("CLE614000000",Balance!C:G,5,FALSE))</f>
        <v>2492.8000000000002</v>
      </c>
      <c r="D80" s="619">
        <f>+[2]PSA!$H80</f>
        <v>3632.3289900000004</v>
      </c>
      <c r="E80" s="805">
        <f>IF(ISNA(VLOOKUP("CLE614000000",Balanceanp!C:G,5,FALSE))=TRUE,0,VLOOKUP("CLE614000000",Balanceanp!C:G,5,FALSE))</f>
        <v>2035.55</v>
      </c>
      <c r="F80" s="593">
        <f>+C80+C80/9*(12-Clients!$I$14)</f>
        <v>3323.7333333333336</v>
      </c>
      <c r="G80" s="1030">
        <f t="shared" si="4"/>
        <v>3423.4453333333336</v>
      </c>
      <c r="H80" s="1030"/>
      <c r="I80" s="1013">
        <f t="shared" si="3"/>
        <v>0.6328428843965187</v>
      </c>
      <c r="J80" s="1014">
        <f t="shared" si="3"/>
        <v>2.9999999999999995E-2</v>
      </c>
      <c r="L80" t="s">
        <v>759</v>
      </c>
      <c r="M80" s="2" t="e">
        <f ca="1">IF($M$2="Alimentation",_xll.PALO.SETDATA(G80,FALSE,"localhost/Bati_fin_dev","Reporting","décembre","2011",$A$4,+L80,"NA",+$G$3),_xll.PALO.DATAC("localhost/Bati_fin_dev","Reporting","décembre","2011",$A$4,+L80,"NA",+$G$3))</f>
        <v>#VALUE!</v>
      </c>
    </row>
    <row r="81" spans="1:13" ht="12.75">
      <c r="A81" s="590" t="s">
        <v>103</v>
      </c>
      <c r="B81" s="591"/>
      <c r="C81" s="805">
        <f>IF(ISNA(VLOOKUP("CLE613510000",Balance!C:G,5,FALSE))=TRUE,0,VLOOKUP("CLE613510000",Balance!C:G,5,FALSE))</f>
        <v>557.62</v>
      </c>
      <c r="D81" s="619">
        <f>+[2]PSA!$H81</f>
        <v>0</v>
      </c>
      <c r="E81" s="805">
        <f>IF(ISNA(VLOOKUP("CLE613510000",Balanceanp!C:G,5,FALSE))=TRUE,0,VLOOKUP("CLE613510000",Balanceanp!C:G,5,FALSE))</f>
        <v>0</v>
      </c>
      <c r="F81" s="593">
        <f>+C81+C81/9*(12-Clients!$I$14)</f>
        <v>743.49333333333334</v>
      </c>
      <c r="G81" s="1030">
        <f t="shared" si="4"/>
        <v>765.79813333333334</v>
      </c>
      <c r="H81" s="1030"/>
      <c r="I81" s="1013">
        <f t="shared" si="3"/>
        <v>0</v>
      </c>
      <c r="J81" s="1014">
        <f t="shared" si="3"/>
        <v>0.03</v>
      </c>
      <c r="L81" t="s">
        <v>777</v>
      </c>
      <c r="M81" s="2" t="e">
        <f ca="1">IF($M$2="Alimentation",_xll.PALO.SETDATA(G81,FALSE,"localhost/Bati_fin_dev","Reporting","décembre","2011",$A$4,+L81,"NA",+$G$3),_xll.PALO.DATAC("localhost/Bati_fin_dev","Reporting","décembre","2011",$A$4,+L81,"NA",+$G$3))</f>
        <v>#VALUE!</v>
      </c>
    </row>
    <row r="82" spans="1:13" ht="12.75">
      <c r="A82" s="590" t="s">
        <v>105</v>
      </c>
      <c r="B82" s="591"/>
      <c r="C82" s="805">
        <f>IF(ISNA(VLOOKUP("CLE613530000",Balance!C:G,5,FALSE))=TRUE,0,VLOOKUP("CLE613530000",Balance!C:G,5,FALSE))</f>
        <v>427.40999999999997</v>
      </c>
      <c r="D82" s="619">
        <f>+[2]PSA!$H82</f>
        <v>878.76509999999996</v>
      </c>
      <c r="E82" s="805">
        <f>IF(ISNA(VLOOKUP("CLE613530000",Balanceanp!C:G,5,FALSE))=TRUE,0,VLOOKUP("CLE613530000",Balanceanp!C:G,5,FALSE))</f>
        <v>610.23</v>
      </c>
      <c r="F82" s="593">
        <f>+C82+C82/9*(12-Clients!$I$14)</f>
        <v>569.87999999999988</v>
      </c>
      <c r="G82" s="1030">
        <f t="shared" si="4"/>
        <v>586.9763999999999</v>
      </c>
      <c r="H82" s="1030"/>
      <c r="I82" s="1013">
        <f t="shared" si="3"/>
        <v>-6.6122609507890687E-2</v>
      </c>
      <c r="J82" s="1014">
        <f t="shared" si="3"/>
        <v>3.0000000000000037E-2</v>
      </c>
      <c r="L82" t="s">
        <v>778</v>
      </c>
      <c r="M82" s="2" t="e">
        <f ca="1">IF($M$2="Alimentation",_xll.PALO.SETDATA(G82,FALSE,"localhost/Bati_fin_dev","Reporting","décembre","2011",$A$4,+L82,"NA",+$G$3),_xll.PALO.DATAC("localhost/Bati_fin_dev","Reporting","décembre","2011",$A$4,+L82,"NA",+$G$3))</f>
        <v>#VALUE!</v>
      </c>
    </row>
    <row r="83" spans="1:13" ht="12.75">
      <c r="A83" s="590" t="s">
        <v>287</v>
      </c>
      <c r="B83" s="591"/>
      <c r="C83" s="805">
        <f>IF(ISNA(VLOOKUP("CLE613540000",Balance!C:G,5,FALSE))=TRUE,0,VLOOKUP("CLE613540000",Balance!C:G,5,FALSE))</f>
        <v>2851.52</v>
      </c>
      <c r="D83" s="619">
        <f>+[2]PSA!$H83</f>
        <v>8849.0772980291677</v>
      </c>
      <c r="E83" s="805">
        <f>IF(ISNA(VLOOKUP("CLE613540000",Balanceanp!C:G,5,FALSE))=TRUE,0,VLOOKUP("CLE613540000",Balanceanp!C:G,5,FALSE))</f>
        <v>1570.34</v>
      </c>
      <c r="F83" s="593">
        <f>+C83+C83/9*(12-Clients!$I$14)</f>
        <v>3802.0266666666666</v>
      </c>
      <c r="G83" s="1030">
        <f>+F83*1.03+7200</f>
        <v>11116.087466666668</v>
      </c>
      <c r="H83" s="1030"/>
      <c r="I83" s="1013">
        <f t="shared" si="3"/>
        <v>1.4211487108948804</v>
      </c>
      <c r="J83" s="1014">
        <f t="shared" si="3"/>
        <v>1.9237268544495569</v>
      </c>
      <c r="L83" t="s">
        <v>779</v>
      </c>
      <c r="M83" s="2" t="e">
        <f ca="1">IF($M$2="Alimentation",_xll.PALO.SETDATA(G83,FALSE,"localhost/Bati_fin_dev","Reporting","décembre","2011",$A$4,+L83,"NA",+$G$3),_xll.PALO.DATAC("localhost/Bati_fin_dev","Reporting","décembre","2011",$A$4,+L83,"NA",+$G$3))</f>
        <v>#VALUE!</v>
      </c>
    </row>
    <row r="84" spans="1:13" ht="12.75">
      <c r="A84" s="590" t="s">
        <v>108</v>
      </c>
      <c r="B84" s="591"/>
      <c r="C84" s="805">
        <f>IF(ISNA(VLOOKUP("CLE615200000",Balance!C:G,5,FALSE))=TRUE,0,VLOOKUP("CLE615200000",Balance!C:G,5,FALSE))</f>
        <v>5039.99</v>
      </c>
      <c r="D84" s="619">
        <f>+[2]PSA!$H84</f>
        <v>11400.029700000001</v>
      </c>
      <c r="E84" s="805">
        <f>IF(ISNA(VLOOKUP("CLE615200000",Balanceanp!C:G,5,FALSE))=TRUE,0,VLOOKUP("CLE615200000",Balanceanp!C:G,5,FALSE))</f>
        <v>11266.79</v>
      </c>
      <c r="F84" s="593">
        <f>+C84+C84/9*(12-Clients!$I$14)</f>
        <v>6719.9866666666658</v>
      </c>
      <c r="G84" s="1030">
        <f t="shared" si="4"/>
        <v>6921.5862666666662</v>
      </c>
      <c r="H84" s="1030"/>
      <c r="I84" s="1013">
        <f t="shared" si="3"/>
        <v>-0.40355800838866568</v>
      </c>
      <c r="J84" s="1014">
        <f t="shared" si="3"/>
        <v>3.0000000000000072E-2</v>
      </c>
      <c r="L84" t="s">
        <v>766</v>
      </c>
      <c r="M84" s="2" t="e">
        <f ca="1">IF($M$2="Alimentation",_xll.PALO.SETDATA(G84,FALSE,"localhost/Bati_fin_dev","Reporting","décembre","2011",$A$4,+L84,"NA",+$G$3),_xll.PALO.DATAC("localhost/Bati_fin_dev","Reporting","décembre","2011",$A$4,+L84,"NA",+$G$3))</f>
        <v>#VALUE!</v>
      </c>
    </row>
    <row r="85" spans="1:13" ht="12.75">
      <c r="A85" s="590" t="s">
        <v>109</v>
      </c>
      <c r="B85" s="591"/>
      <c r="C85" s="805">
        <f>IF(ISNA(VLOOKUP("CLE615500000",Balance!C:G,5,FALSE))=TRUE,0,VLOOKUP("CLE615500000",Balance!C:G,5,FALSE))</f>
        <v>1556.5</v>
      </c>
      <c r="D85" s="619">
        <f>+[2]PSA!$H85</f>
        <v>1157.2976999999998</v>
      </c>
      <c r="E85" s="805">
        <f>IF(ISNA(VLOOKUP("CLE615500000",Balanceanp!C:G,5,FALSE))=TRUE,0,VLOOKUP("CLE615500000",Balanceanp!C:G,5,FALSE))</f>
        <v>978.45</v>
      </c>
      <c r="F85" s="593">
        <f>+C85+C85/9*(12-Clients!$I$14)</f>
        <v>2075.3333333333335</v>
      </c>
      <c r="G85" s="1030">
        <f t="shared" si="4"/>
        <v>2137.5933333333337</v>
      </c>
      <c r="H85" s="1030"/>
      <c r="I85" s="1013">
        <f t="shared" si="3"/>
        <v>1.1210417837736557</v>
      </c>
      <c r="J85" s="1014">
        <f t="shared" si="3"/>
        <v>3.0000000000000103E-2</v>
      </c>
      <c r="L85" t="s">
        <v>767</v>
      </c>
      <c r="M85" s="2" t="e">
        <f ca="1">IF($M$2="Alimentation",_xll.PALO.SETDATA(G85,FALSE,"localhost/Bati_fin_dev","Reporting","décembre","2011",$A$4,+L85,"NA",+$G$3),_xll.PALO.DATAC("localhost/Bati_fin_dev","Reporting","décembre","2011",$A$4,+L85,"NA",+$G$3))</f>
        <v>#VALUE!</v>
      </c>
    </row>
    <row r="86" spans="1:13" ht="12.75">
      <c r="A86" s="590" t="s">
        <v>106</v>
      </c>
      <c r="B86" s="591"/>
      <c r="C86" s="805">
        <f>IF(ISNA(VLOOKUP("CLE615510000",Balance!C:G,5,FALSE))=TRUE,0,VLOOKUP("CLE615510000",Balance!C:G,5,FALSE))</f>
        <v>3963.94</v>
      </c>
      <c r="D86" s="619">
        <f>+[2]PSA!$H86</f>
        <v>3822.1850076725004</v>
      </c>
      <c r="E86" s="805">
        <f>IF(ISNA(VLOOKUP("CLE615510000",Balanceanp!C:G,5,FALSE))=TRUE,0,VLOOKUP("CLE615510000",Balanceanp!C:G,5,FALSE))</f>
        <v>4001.1</v>
      </c>
      <c r="F86" s="593">
        <f>+C86+C86/9*(12-Clients!$I$14)</f>
        <v>5285.253333333334</v>
      </c>
      <c r="G86" s="1030">
        <f t="shared" si="4"/>
        <v>5443.8109333333341</v>
      </c>
      <c r="H86" s="1030"/>
      <c r="I86" s="1013">
        <f t="shared" si="3"/>
        <v>0.32095007206351606</v>
      </c>
      <c r="J86" s="1014">
        <f t="shared" si="3"/>
        <v>3.0000000000000013E-2</v>
      </c>
      <c r="L86" t="s">
        <v>768</v>
      </c>
      <c r="M86" s="2" t="e">
        <f ca="1">IF($M$2="Alimentation",_xll.PALO.SETDATA(G86,FALSE,"localhost/Bati_fin_dev","Reporting","décembre","2011",$A$4,+L86,"NA",+$G$3),_xll.PALO.DATAC("localhost/Bati_fin_dev","Reporting","décembre","2011",$A$4,+L86,"NA",+$G$3))</f>
        <v>#VALUE!</v>
      </c>
    </row>
    <row r="87" spans="1:13" ht="12.75">
      <c r="A87" s="590" t="s">
        <v>363</v>
      </c>
      <c r="B87" s="591"/>
      <c r="C87" s="805">
        <f>IF(ISNA(VLOOKUP("CLE615530000",Balance!C:G,5,FALSE))=TRUE,0,VLOOKUP("CLE615530000",Balance!C:G,5,FALSE))</f>
        <v>0</v>
      </c>
      <c r="D87" s="619">
        <f>+[2]PSA!$H87</f>
        <v>772.4429194600001</v>
      </c>
      <c r="E87" s="805">
        <f>IF(ISNA(VLOOKUP("CLE615530000",Balanceanp!C:G,5,FALSE))=TRUE,0,VLOOKUP("CLE615530000",Balanceanp!C:G,5,FALSE))</f>
        <v>446.26</v>
      </c>
      <c r="F87" s="593">
        <f>+C87+C87/9*(12-Clients!$I$14)</f>
        <v>0</v>
      </c>
      <c r="G87" s="1030">
        <f t="shared" si="4"/>
        <v>0</v>
      </c>
      <c r="H87" s="1030"/>
      <c r="I87" s="1013">
        <f t="shared" si="3"/>
        <v>-1</v>
      </c>
      <c r="J87" s="1014">
        <f t="shared" si="3"/>
        <v>0</v>
      </c>
      <c r="L87" t="s">
        <v>765</v>
      </c>
      <c r="M87" s="2" t="e">
        <f ca="1">IF($M$2="Alimentation",_xll.PALO.SETDATA(G87,FALSE,"localhost/Bati_fin_dev","Reporting","décembre","2011",$A$4,+L87,"NA",+$G$3),_xll.PALO.DATAC("localhost/Bati_fin_dev","Reporting","décembre","2011",$A$4,+L87,"NA",+$G$3))</f>
        <v>#VALUE!</v>
      </c>
    </row>
    <row r="88" spans="1:13" ht="12.75">
      <c r="A88" s="590" t="s">
        <v>111</v>
      </c>
      <c r="B88" s="591"/>
      <c r="C88" s="805">
        <f>IF(ISNA(VLOOKUP("CLE616130000",Balance!C:G,5,FALSE))=TRUE,0,VLOOKUP("CLE616130000",Balance!C:G,5,FALSE))</f>
        <v>2999.97</v>
      </c>
      <c r="D88" s="619">
        <f>+[2]PSA!$H88</f>
        <v>4000</v>
      </c>
      <c r="E88" s="805">
        <f>IF(ISNA(VLOOKUP("CLE616130000",Balanceanp!C:G,5,FALSE))=TRUE,0,VLOOKUP("CLE616130000",Balanceanp!C:G,5,FALSE))</f>
        <v>3664.31</v>
      </c>
      <c r="F88" s="593">
        <f>+C88+C88/9*(12-Clients!$I$14)</f>
        <v>3999.96</v>
      </c>
      <c r="G88" s="638">
        <v>4000</v>
      </c>
      <c r="H88" s="638"/>
      <c r="I88" s="1013">
        <f t="shared" ref="I88:I101" si="5">+IF((E88)=0,,(F88-E88)/E88)</f>
        <v>9.159978276947095E-2</v>
      </c>
      <c r="J88" s="1014">
        <f t="shared" ref="J88:J101" si="6">+IF((F88)=0,,(G88-F88)/F88)</f>
        <v>1.0000100000990914E-5</v>
      </c>
      <c r="L88" t="s">
        <v>758</v>
      </c>
      <c r="M88" s="2" t="e">
        <f ca="1">IF($M$2="Alimentation",_xll.PALO.SETDATA(G88,FALSE,"localhost/Bati_fin_dev","Reporting","décembre","2011",$A$4,+L88,"NA",+$G$3),_xll.PALO.DATAC("localhost/Bati_fin_dev","Reporting","décembre","2011",$A$4,+L88,"NA",+$G$3))</f>
        <v>#VALUE!</v>
      </c>
    </row>
    <row r="89" spans="1:13" ht="12.75">
      <c r="A89" s="590" t="s">
        <v>315</v>
      </c>
      <c r="B89" s="591"/>
      <c r="C89" s="805"/>
      <c r="D89" s="619">
        <f>+[2]PSA!$H89</f>
        <v>1307.2518542250002</v>
      </c>
      <c r="E89" s="805"/>
      <c r="F89" s="593">
        <f>+C89+C89/9*(12-Clients!$I$14)</f>
        <v>0</v>
      </c>
      <c r="G89" s="1030">
        <f t="shared" si="4"/>
        <v>0</v>
      </c>
      <c r="H89" s="1030"/>
      <c r="I89" s="1013">
        <f t="shared" si="5"/>
        <v>0</v>
      </c>
      <c r="J89" s="1014">
        <f t="shared" si="6"/>
        <v>0</v>
      </c>
      <c r="L89" t="s">
        <v>757</v>
      </c>
      <c r="M89" s="2" t="e">
        <f ca="1">IF($M$2="Alimentation",_xll.PALO.SETDATA(G89,FALSE,"localhost/Bati_fin_dev","Reporting","décembre","2011",$A$4,+L89,"NA",+$G$3),_xll.PALO.DATAC("localhost/Bati_fin_dev","Reporting","décembre","2011",$A$4,+L89,"NA",+$G$3))</f>
        <v>#VALUE!</v>
      </c>
    </row>
    <row r="90" spans="1:13" ht="12.75">
      <c r="A90" s="590" t="s">
        <v>112</v>
      </c>
      <c r="B90" s="591"/>
      <c r="C90" s="805">
        <f>IF(ISNA(VLOOKUP("CLE618100000",Balance!C:G,5,FALSE))=TRUE,0,VLOOKUP("CLE618100000",Balance!C:G,5,FALSE))</f>
        <v>296</v>
      </c>
      <c r="D90" s="619">
        <f>+[2]PSA!$H90</f>
        <v>648.16342124999994</v>
      </c>
      <c r="E90" s="805">
        <f>IF(ISNA(VLOOKUP("CLE618100000",Balanceanp!C:G,5,FALSE))=TRUE,0,VLOOKUP("CLE618100000",Balanceanp!C:G,5,FALSE))</f>
        <v>522.77</v>
      </c>
      <c r="F90" s="593">
        <f>+C90+C90/9*(12-Clients!$I$14)</f>
        <v>394.66666666666663</v>
      </c>
      <c r="G90" s="1030">
        <f t="shared" si="4"/>
        <v>406.50666666666666</v>
      </c>
      <c r="H90" s="1030"/>
      <c r="I90" s="1013">
        <f t="shared" si="5"/>
        <v>-0.24504721643042515</v>
      </c>
      <c r="J90" s="1014">
        <f t="shared" si="6"/>
        <v>3.0000000000000082E-2</v>
      </c>
      <c r="L90" t="s">
        <v>763</v>
      </c>
      <c r="M90" s="2" t="e">
        <f ca="1">IF($M$2="Alimentation",_xll.PALO.SETDATA(G90,FALSE,"localhost/Bati_fin_dev","Reporting","décembre","2011",$A$4,+L90,"NA",+$G$3),_xll.PALO.DATAC("localhost/Bati_fin_dev","Reporting","décembre","2011",$A$4,+L90,"NA",+$G$3))</f>
        <v>#VALUE!</v>
      </c>
    </row>
    <row r="91" spans="1:13" ht="12.75">
      <c r="A91" s="590" t="s">
        <v>113</v>
      </c>
      <c r="B91" s="591"/>
      <c r="C91" s="805">
        <f>IF(ISNA(VLOOKUP("CLE618500000",Balance!C:G,5,FALSE))=TRUE,0,VLOOKUP("CLE618500000",Balance!C:G,5,FALSE))</f>
        <v>1865.93</v>
      </c>
      <c r="D91" s="619">
        <f>+[2]PSA!$H91</f>
        <v>1040.8666647141667</v>
      </c>
      <c r="E91" s="805">
        <f>IF(ISNA(VLOOKUP("CLE618500000",Balanceanp!C:G,5,FALSE))=TRUE,0,VLOOKUP("CLE618500000",Balanceanp!C:G,5,FALSE))</f>
        <v>1265.22</v>
      </c>
      <c r="F91" s="593">
        <f>+C91+C91/9*(12-Clients!$I$14)</f>
        <v>2487.9066666666668</v>
      </c>
      <c r="G91" s="1030">
        <f t="shared" si="4"/>
        <v>2562.5438666666669</v>
      </c>
      <c r="H91" s="1030"/>
      <c r="I91" s="1013">
        <f t="shared" si="5"/>
        <v>0.96638265808844837</v>
      </c>
      <c r="J91" s="1014">
        <f t="shared" si="6"/>
        <v>3.0000000000000047E-2</v>
      </c>
      <c r="L91" t="s">
        <v>775</v>
      </c>
      <c r="M91" s="2" t="e">
        <f ca="1">IF($M$2="Alimentation",_xll.PALO.SETDATA(G91,FALSE,"localhost/Bati_fin_dev","Reporting","décembre","2011",$A$4,+L91,"NA",+$G$3),_xll.PALO.DATAC("localhost/Bati_fin_dev","Reporting","décembre","2011",$A$4,+L91,"NA",+$G$3))</f>
        <v>#VALUE!</v>
      </c>
    </row>
    <row r="92" spans="1:13" ht="12.75">
      <c r="A92" s="5" t="s">
        <v>309</v>
      </c>
      <c r="B92" s="92"/>
      <c r="C92" s="160">
        <f>IF(ISNA(VLOOKUP("CLE622200000",Balance!C:G,5,FALSE))=TRUE,0,VLOOKUP("CLE622200000",Balance!C:G,5,FALSE))</f>
        <v>0</v>
      </c>
      <c r="D92" s="117">
        <f>+[2]PSA!$H92</f>
        <v>0</v>
      </c>
      <c r="E92" s="160">
        <f>IF(ISNA(VLOOKUP("CLE622200000",Balanceanp!C:G,5,FALSE))=TRUE,0,VLOOKUP("CLE622200000",Balanceanp!C:G,5,FALSE))</f>
        <v>0</v>
      </c>
      <c r="F92" s="368">
        <f>+C92+C92/9*(12-Clients!$I$14)</f>
        <v>0</v>
      </c>
      <c r="G92" s="396">
        <f t="shared" si="4"/>
        <v>0</v>
      </c>
      <c r="H92" s="409"/>
      <c r="I92" s="149">
        <f t="shared" si="5"/>
        <v>0</v>
      </c>
      <c r="J92" s="271">
        <f t="shared" si="6"/>
        <v>0</v>
      </c>
      <c r="L92" t="s">
        <v>762</v>
      </c>
      <c r="M92" s="2" t="e">
        <f ca="1">IF($M$2="Alimentation",_xll.PALO.SETDATA(G92,FALSE,"localhost/Bati_fin_dev","Reporting","décembre","2011",$A$4,+L92,"NA",+$G$3),_xll.PALO.DATAC("localhost/Bati_fin_dev","Reporting","décembre","2011",$A$4,+L92,"NA",+$G$3))</f>
        <v>#VALUE!</v>
      </c>
    </row>
    <row r="93" spans="1:13" ht="12.75">
      <c r="A93" s="590" t="s">
        <v>115</v>
      </c>
      <c r="B93" s="591"/>
      <c r="C93" s="805">
        <f>IF(ISNA(VLOOKUP("CLE622600000",Balance!C:G,5,FALSE))=TRUE,0,VLOOKUP("CLE622600000",Balance!C:G,5,FALSE))</f>
        <v>0</v>
      </c>
      <c r="D93" s="619">
        <f>+[2]PSA!$H93</f>
        <v>6.82954375</v>
      </c>
      <c r="E93" s="805">
        <f>IF(ISNA(VLOOKUP("CLE622600000",Balanceanp!C:G,5,FALSE))=TRUE,0,VLOOKUP("CLE622600000",Balanceanp!C:G,5,FALSE))</f>
        <v>0</v>
      </c>
      <c r="F93" s="593">
        <f>+C93+C93/9*(12-Clients!$I$14)</f>
        <v>0</v>
      </c>
      <c r="G93" s="1030">
        <f t="shared" si="4"/>
        <v>0</v>
      </c>
      <c r="H93" s="1030"/>
      <c r="I93" s="1013">
        <f t="shared" si="5"/>
        <v>0</v>
      </c>
      <c r="J93" s="1014">
        <f t="shared" si="6"/>
        <v>0</v>
      </c>
      <c r="L93" t="s">
        <v>776</v>
      </c>
      <c r="M93" s="2" t="e">
        <f ca="1">IF($M$2="Alimentation",_xll.PALO.SETDATA(G93,FALSE,"localhost/Bati_fin_dev","Reporting","décembre","2011",$A$4,+L93,"NA",+$G$3),_xll.PALO.DATAC("localhost/Bati_fin_dev","Reporting","décembre","2011",$A$4,+L93,"NA",+$G$3))</f>
        <v>#VALUE!</v>
      </c>
    </row>
    <row r="94" spans="1:13" ht="12.75">
      <c r="A94" s="590" t="s">
        <v>42</v>
      </c>
      <c r="B94" s="591"/>
      <c r="C94" s="805">
        <f>IF(ISNA(VLOOKUP("CLE622710000",Balance!C:G,5,FALSE))=TRUE,0,VLOOKUP("CLE622710000",Balance!C:G,5,FALSE))</f>
        <v>0</v>
      </c>
      <c r="D94" s="619">
        <f>+[2]PSA!$H94</f>
        <v>324.42373482833335</v>
      </c>
      <c r="E94" s="805">
        <f>IF(ISNA(VLOOKUP("CLE622710000",Balanceanp!C:G,5,FALSE))=TRUE,0,VLOOKUP("CLE622710000",Balanceanp!C:G,5,FALSE))</f>
        <v>314.41000000000003</v>
      </c>
      <c r="F94" s="593">
        <f>+C94+C94/9*(12-Clients!$I$14)</f>
        <v>0</v>
      </c>
      <c r="G94" s="1030">
        <f t="shared" si="4"/>
        <v>0</v>
      </c>
      <c r="H94" s="1030"/>
      <c r="I94" s="1013">
        <f t="shared" si="5"/>
        <v>-1</v>
      </c>
      <c r="J94" s="1014">
        <f t="shared" si="6"/>
        <v>0</v>
      </c>
      <c r="L94" t="s">
        <v>770</v>
      </c>
      <c r="M94" s="2" t="e">
        <f ca="1">IF($M$2="Alimentation",_xll.PALO.SETDATA(G94,FALSE,"localhost/Bati_fin_dev","Reporting","décembre","2011",$A$4,+L94,"NA",+$G$3),_xll.PALO.DATAC("localhost/Bati_fin_dev","Reporting","décembre","2011",$A$4,+L94,"NA",+$G$3))</f>
        <v>#VALUE!</v>
      </c>
    </row>
    <row r="95" spans="1:13" ht="12.75">
      <c r="A95" s="590" t="s">
        <v>117</v>
      </c>
      <c r="B95" s="591">
        <f>+C95/$C$21</f>
        <v>4.9029941846360954E-3</v>
      </c>
      <c r="C95" s="805">
        <f>IF(ISNA(VLOOKUP("CLE624200000",Balance!C:G,5,FALSE))=TRUE,0,VLOOKUP("CLE624200000",Balance!C:G,5,FALSE))</f>
        <v>8467.35</v>
      </c>
      <c r="D95" s="619">
        <f>+[2]PSA!$H95</f>
        <v>10390.091306471151</v>
      </c>
      <c r="E95" s="805">
        <f>IF(ISNA(VLOOKUP("CLE624200000",Balanceanp!C:G,5,FALSE))=TRUE,0,VLOOKUP("CLE624200000",Balanceanp!C:G,5,FALSE))</f>
        <v>10855.87</v>
      </c>
      <c r="F95" s="593">
        <f>+C95+C95/9*(12-Clients!$I$14)</f>
        <v>11289.800000000001</v>
      </c>
      <c r="G95" s="1030">
        <f>B95*G21</f>
        <v>11526.831462207398</v>
      </c>
      <c r="H95" s="1031">
        <f>+G95/$G$21</f>
        <v>4.9029941846360954E-3</v>
      </c>
      <c r="I95" s="1013">
        <f t="shared" si="5"/>
        <v>3.9971923024133514E-2</v>
      </c>
      <c r="J95" s="1014">
        <f t="shared" si="6"/>
        <v>2.099518700131061E-2</v>
      </c>
      <c r="L95" t="s">
        <v>785</v>
      </c>
      <c r="M95" s="2" t="e">
        <f ca="1">IF($M$2="Alimentation",_xll.PALO.SETDATA(G95,FALSE,"localhost/Bati_fin_dev","Reporting","décembre","2011",$A$4,+L95,"NA",+$G$3),_xll.PALO.DATAC("localhost/Bati_fin_dev","Reporting","décembre","2011",$A$4,+L95,"NA",+$G$3))</f>
        <v>#VALUE!</v>
      </c>
    </row>
    <row r="96" spans="1:13" ht="12.75">
      <c r="A96" s="590" t="s">
        <v>118</v>
      </c>
      <c r="B96" s="591"/>
      <c r="C96" s="805">
        <f>IF(ISNA(VLOOKUP("CLE625100000",Balance!C:G,5,FALSE))=TRUE,0,VLOOKUP("CLE625100000",Balance!C:G,5,FALSE))</f>
        <v>15455.880000000001</v>
      </c>
      <c r="D96" s="619">
        <f>+[2]PSA!$H96</f>
        <v>13200</v>
      </c>
      <c r="E96" s="805">
        <f>IF(ISNA(VLOOKUP("CLE625100000",Balanceanp!C:G,5,FALSE))=TRUE,0,VLOOKUP("CLE625100000",Balanceanp!C:G,5,FALSE))</f>
        <v>15681.739999999998</v>
      </c>
      <c r="F96" s="593">
        <f>+C96+C96/9*(12-Clients!$I$14)</f>
        <v>20607.840000000004</v>
      </c>
      <c r="G96" s="1012">
        <v>13200</v>
      </c>
      <c r="H96" s="1012"/>
      <c r="I96" s="1013">
        <f t="shared" si="5"/>
        <v>0.31412968203783548</v>
      </c>
      <c r="J96" s="1014">
        <f t="shared" si="6"/>
        <v>-0.35946707660773775</v>
      </c>
      <c r="L96" t="s">
        <v>772</v>
      </c>
      <c r="M96" s="2" t="e">
        <f ca="1">IF($M$2="Alimentation",_xll.PALO.SETDATA(G96,FALSE,"localhost/Bati_fin_dev","Reporting","décembre","2011",$A$4,+L96,"NA",+$G$3),_xll.PALO.DATAC("localhost/Bati_fin_dev","Reporting","décembre","2011",$A$4,+L96,"NA",+$G$3))</f>
        <v>#VALUE!</v>
      </c>
    </row>
    <row r="97" spans="1:13" ht="12.75">
      <c r="A97" s="590" t="s">
        <v>7</v>
      </c>
      <c r="B97" s="591"/>
      <c r="C97" s="805">
        <f>IF(ISNA(VLOOKUP("CLE625200000",Balance!C:G,5,FALSE))=TRUE,0,VLOOKUP("CLE625200000",Balance!C:G,5,FALSE))</f>
        <v>240</v>
      </c>
      <c r="D97" s="619">
        <f>+[2]PSA!$H97</f>
        <v>731.35149999999999</v>
      </c>
      <c r="E97" s="805">
        <f>IF(ISNA(VLOOKUP("CLE625200000",Balanceanp!C:G,5,FALSE))=TRUE,0,VLOOKUP("CLE625200000",Balanceanp!C:G,5,FALSE))</f>
        <v>816.98</v>
      </c>
      <c r="F97" s="593">
        <f>+C97+C97/9*(12-Clients!$I$14)</f>
        <v>320</v>
      </c>
      <c r="G97" s="1012">
        <f t="shared" si="4"/>
        <v>329.6</v>
      </c>
      <c r="H97" s="1012"/>
      <c r="I97" s="1013">
        <f t="shared" si="5"/>
        <v>-0.60831354500722168</v>
      </c>
      <c r="J97" s="1014">
        <f t="shared" si="6"/>
        <v>3.0000000000000072E-2</v>
      </c>
      <c r="L97" t="s">
        <v>773</v>
      </c>
      <c r="M97" s="2" t="e">
        <f ca="1">IF($M$2="Alimentation",_xll.PALO.SETDATA(G97,FALSE,"localhost/Bati_fin_dev","Reporting","décembre","2011",$A$4,+L97,"NA",+$G$3),_xll.PALO.DATAC("localhost/Bati_fin_dev","Reporting","décembre","2011",$A$4,+L97,"NA",+$G$3))</f>
        <v>#VALUE!</v>
      </c>
    </row>
    <row r="98" spans="1:13" ht="12.75">
      <c r="A98" s="5" t="s">
        <v>307</v>
      </c>
      <c r="B98" s="92"/>
      <c r="C98" s="160">
        <f>IF(ISNA(VLOOKUP("CLE625510000",Balance!C:G,5,FALSE))=TRUE,0,VLOOKUP("CLE625510000",Balance!C:G,5,FALSE))</f>
        <v>0</v>
      </c>
      <c r="D98" s="117">
        <f>+[2]PSA!$H98</f>
        <v>0</v>
      </c>
      <c r="E98" s="160">
        <f>IF(ISNA(VLOOKUP("CLE625510000",Balanceanp!C:G,5,FALSE))=TRUE,0,VLOOKUP("CLE625510000",Balanceanp!C:G,5,FALSE))</f>
        <v>0</v>
      </c>
      <c r="F98" s="368">
        <f>+C98+C98/9*(12-Clients!$I$14)</f>
        <v>0</v>
      </c>
      <c r="G98" s="396">
        <f t="shared" si="4"/>
        <v>0</v>
      </c>
      <c r="H98" s="409"/>
      <c r="I98" s="149">
        <f t="shared" si="5"/>
        <v>0</v>
      </c>
      <c r="J98" s="271">
        <f t="shared" si="6"/>
        <v>0</v>
      </c>
      <c r="L98" t="s">
        <v>771</v>
      </c>
      <c r="M98" s="2" t="e">
        <f ca="1">IF($M$2="Alimentation",_xll.PALO.SETDATA(G98,FALSE,"localhost/Bati_fin_dev","Reporting","décembre","2011",$A$4,+L98,"NA",+$G$3),_xll.PALO.DATAC("localhost/Bati_fin_dev","Reporting","décembre","2011",$A$4,+L98,"NA",+$G$3))</f>
        <v>#VALUE!</v>
      </c>
    </row>
    <row r="99" spans="1:13" ht="12.75">
      <c r="A99" s="590" t="s">
        <v>119</v>
      </c>
      <c r="B99" s="591"/>
      <c r="C99" s="805">
        <f>IF(ISNA(VLOOKUP("CLE626000000",Balance!C:G,5,FALSE))=TRUE,0,VLOOKUP("CLE626000000",Balance!C:G,5,FALSE))+IF(ISNA(VLOOKUP("CLE626300000",Balance!C:G,5,FALSE))=TRUE,0,VLOOKUP("CLE626300000",Balance!C:G,5,FALSE))</f>
        <v>6046.56</v>
      </c>
      <c r="D99" s="619">
        <f>+[2]PSA!$H99</f>
        <v>8459.0536833699989</v>
      </c>
      <c r="E99" s="805">
        <f>IF(ISNA(VLOOKUP("CLE626000000",Balanceanp!C:G,5,FALSE))=TRUE,0,VLOOKUP("CLE626000000",Balanceanp!C:G,5,FALSE))+IF(ISNA(VLOOKUP("CLE626300000",Balanceanp!C:G,5,FALSE))=TRUE,0,VLOOKUP("CLE626300000",Balanceanp!C:G,5,FALSE))</f>
        <v>8735.5499999999993</v>
      </c>
      <c r="F99" s="593">
        <f>+C99+C99/9*(12-Clients!$I$14)</f>
        <v>8062.08</v>
      </c>
      <c r="G99" s="1030">
        <f>+F99</f>
        <v>8062.08</v>
      </c>
      <c r="H99" s="1030"/>
      <c r="I99" s="1013">
        <f t="shared" si="5"/>
        <v>-7.709531740989399E-2</v>
      </c>
      <c r="J99" s="1014">
        <f t="shared" si="6"/>
        <v>0</v>
      </c>
      <c r="L99" t="s">
        <v>784</v>
      </c>
      <c r="M99" s="2" t="e">
        <f ca="1">IF($M$2="Alimentation",_xll.PALO.SETDATA(G99,FALSE,"localhost/Bati_fin_dev","Reporting","décembre","2011",$A$4,+L99,"NA",+$G$3),_xll.PALO.DATAC("localhost/Bati_fin_dev","Reporting","décembre","2011",$A$4,+L99,"NA",+$G$3))</f>
        <v>#VALUE!</v>
      </c>
    </row>
    <row r="100" spans="1:13" ht="12.75">
      <c r="A100" s="590" t="s">
        <v>120</v>
      </c>
      <c r="B100" s="591"/>
      <c r="C100" s="805">
        <f>IF(ISNA(VLOOKUP("CLE626100000",Balance!C:G,5,FALSE))=TRUE,0,VLOOKUP("CLE626100000",Balance!C:G,5,FALSE))</f>
        <v>1389.03</v>
      </c>
      <c r="D100" s="619">
        <f>+[2]PSA!$H100</f>
        <v>2597.19980218</v>
      </c>
      <c r="E100" s="805">
        <f>IF(ISNA(VLOOKUP("CLE626100000",Balanceanp!C:G,5,FALSE))=TRUE,0,VLOOKUP("CLE626100000",Balanceanp!C:G,5,FALSE))</f>
        <v>1076.02</v>
      </c>
      <c r="F100" s="593">
        <f>+C100+C100/9*(12-Clients!$I$14)</f>
        <v>1852.04</v>
      </c>
      <c r="G100" s="1030">
        <f t="shared" si="4"/>
        <v>1907.6012000000001</v>
      </c>
      <c r="H100" s="1030"/>
      <c r="I100" s="1013">
        <f t="shared" si="5"/>
        <v>0.72119477333135074</v>
      </c>
      <c r="J100" s="1014">
        <f t="shared" si="6"/>
        <v>3.0000000000000054E-2</v>
      </c>
      <c r="L100" t="s">
        <v>756</v>
      </c>
      <c r="M100" s="2" t="e">
        <f ca="1">IF($M$2="Alimentation",_xll.PALO.SETDATA(G100,FALSE,"localhost/Bati_fin_dev","Reporting","décembre","2011",$A$4,+L100,"NA",+$G$3),_xll.PALO.DATAC("localhost/Bati_fin_dev","Reporting","décembre","2011",$A$4,+L100,"NA",+$G$3))</f>
        <v>#VALUE!</v>
      </c>
    </row>
    <row r="101" spans="1:13" ht="12.75">
      <c r="A101" s="590" t="s">
        <v>121</v>
      </c>
      <c r="B101" s="591"/>
      <c r="C101" s="805">
        <f>IF(ISNA(VLOOKUP("CLE628400000",Balance!C:G,5,FALSE))=TRUE,0,VLOOKUP("CLE628400000",Balance!C:G,5,FALSE))</f>
        <v>0</v>
      </c>
      <c r="D101" s="619">
        <f>+[2]PSA!$H101</f>
        <v>22.765145833333339</v>
      </c>
      <c r="E101" s="805">
        <f>IF(ISNA(VLOOKUP("CLE628400000",Balanceanp!C:G,5,FALSE))=TRUE,0,VLOOKUP("CLE628400000",Balanceanp!C:G,5,FALSE))</f>
        <v>0</v>
      </c>
      <c r="F101" s="593">
        <f>+C101+C101/9*(12-Clients!$I$14)</f>
        <v>0</v>
      </c>
      <c r="G101" s="1030">
        <f t="shared" si="4"/>
        <v>0</v>
      </c>
      <c r="H101" s="1030"/>
      <c r="I101" s="1013">
        <f t="shared" si="5"/>
        <v>0</v>
      </c>
      <c r="J101" s="1014">
        <f t="shared" si="6"/>
        <v>0</v>
      </c>
      <c r="L101" t="s">
        <v>774</v>
      </c>
      <c r="M101" s="2" t="e">
        <f ca="1">IF($M$2="Alimentation",_xll.PALO.SETDATA(G101,FALSE,"localhost/Bati_fin_dev","Reporting","décembre","2011",$A$4,+L101,"NA",+$G$3),_xll.PALO.DATAC("localhost/Bati_fin_dev","Reporting","décembre","2011",$A$4,+L101,"NA",+$G$3))</f>
        <v>#VALUE!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596">
        <f>+C103/$C$21</f>
        <v>8.2922695832603477E-2</v>
      </c>
      <c r="C103" s="803">
        <f>SUM(C70:C102)</f>
        <v>143205.45000000001</v>
      </c>
      <c r="D103" s="597">
        <f>SUM(D70:D102)</f>
        <v>199243.81249725953</v>
      </c>
      <c r="E103" s="803">
        <f>SUM(E70:E102)</f>
        <v>184188.88</v>
      </c>
      <c r="F103" s="597">
        <f>SUM(F70:F102)</f>
        <v>191473.27333333332</v>
      </c>
      <c r="G103" s="597">
        <f>SUM(G70:G102)</f>
        <v>197312.81426220739</v>
      </c>
      <c r="H103" s="814">
        <f>+G103/$G$21</f>
        <v>8.3927971364345988E-2</v>
      </c>
      <c r="I103" s="596">
        <f>+IF((E103)=0,,(F103-E103)/E103)</f>
        <v>3.9548496811171834E-2</v>
      </c>
      <c r="J103" s="1015">
        <f>+IF((F103)=0,,(G103-F103)/F103)</f>
        <v>3.0497942753128251E-2</v>
      </c>
      <c r="K103" s="136">
        <f>(C103+(C103/3))</f>
        <v>190940.6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90" t="s">
        <v>129</v>
      </c>
      <c r="B105" s="591"/>
      <c r="C105" s="805">
        <f>IF(ISNA(VLOOKUP("CLE623100000",Balance!C:G,5,FALSE))=TRUE,0,VLOOKUP("CLE623100000",Balance!C:G,5,FALSE))</f>
        <v>0</v>
      </c>
      <c r="D105" s="619">
        <f>+[2]PSA!$H105</f>
        <v>86.118300000000005</v>
      </c>
      <c r="E105" s="805">
        <f>IF(ISNA(VLOOKUP("CLE623100000",Balanceanp!C:G,5,FALSE))=TRUE,0,VLOOKUP("CLE623100000",Balanceanp!C:G,5,FALSE))</f>
        <v>83.61</v>
      </c>
      <c r="F105" s="593">
        <f>+C105+C105/9*(12-Clients!$I$14)</f>
        <v>0</v>
      </c>
      <c r="G105" s="1012">
        <f>+F105*1.03</f>
        <v>0</v>
      </c>
      <c r="H105" s="1012"/>
      <c r="I105" s="1013">
        <f t="shared" ref="I105:J114" si="7">+IF((E105)=0,,(F105-E105)/E105)</f>
        <v>-1</v>
      </c>
      <c r="J105" s="1014">
        <f t="shared" si="7"/>
        <v>0</v>
      </c>
      <c r="L105" t="s">
        <v>853</v>
      </c>
      <c r="M105" s="2" t="e">
        <f ca="1">IF($M$2="Alimentation",_xll.PALO.SETDATA(G105,FALSE,"localhost/Bati_fin_dev","Reporting","décembre","2011",$A$4,+L105,"NA",+$G$3),_xll.PALO.DATAC("localhost/Bati_fin_dev","Reporting","décembre","2011",$A$4,+L105,"NA",+$G$3))</f>
        <v>#VALUE!</v>
      </c>
    </row>
    <row r="106" spans="1:13" ht="12.75">
      <c r="A106" s="590" t="s">
        <v>130</v>
      </c>
      <c r="B106" s="591"/>
      <c r="C106" s="805">
        <f>IF(ISNA(VLOOKUP("CLE623200000",Balance!C:G,5,FALSE))=TRUE,0,VLOOKUP("CLE623200000",Balance!C:G,5,FALSE))</f>
        <v>13118.6</v>
      </c>
      <c r="D106" s="619">
        <f>+[2]PSA!$H106</f>
        <v>10000</v>
      </c>
      <c r="E106" s="805">
        <f>IF(ISNA(VLOOKUP("CLE623200000",Balanceanp!C:G,5,FALSE))=TRUE,0,VLOOKUP("CLE623200000",Balanceanp!C:G,5,FALSE))</f>
        <v>12862.55</v>
      </c>
      <c r="F106" s="593">
        <f>+C106+C106/9*(12-Clients!$I$14)</f>
        <v>17491.466666666667</v>
      </c>
      <c r="G106" s="1012">
        <v>10000</v>
      </c>
      <c r="H106" s="1012"/>
      <c r="I106" s="1013">
        <f t="shared" si="7"/>
        <v>0.35987550420924841</v>
      </c>
      <c r="J106" s="1014">
        <f t="shared" si="7"/>
        <v>-0.42829265317945514</v>
      </c>
      <c r="L106" t="s">
        <v>855</v>
      </c>
      <c r="M106" s="2" t="e">
        <f ca="1">IF($M$2="Alimentation",_xll.PALO.SETDATA(G106,FALSE,"localhost/Bati_fin_dev","Reporting","décembre","2011",$A$4,+L106,"NA",+$G$3),_xll.PALO.DATAC("localhost/Bati_fin_dev","Reporting","décembre","2011",$A$4,+L106,"NA",+$G$3))</f>
        <v>#VALUE!</v>
      </c>
    </row>
    <row r="107" spans="1:13" ht="12.75">
      <c r="A107" s="5" t="s">
        <v>131</v>
      </c>
      <c r="B107" s="92"/>
      <c r="C107" s="160">
        <f>IF(ISNA(VLOOKUP("CLE629000000",Balance!C:G,5,FALSE))=TRUE,0,VLOOKUP("CLE629000000",Balance!C:G,5,FALSE))</f>
        <v>0</v>
      </c>
      <c r="D107" s="117">
        <f>+[2]PSA!$H107</f>
        <v>0</v>
      </c>
      <c r="E107" s="160">
        <f>IF(ISNA(VLOOKUP("CLE629000000",Balanceanp!C:G,5,FALSE))=TRUE,0,VLOOKUP("CLE629000000",Balanceanp!C:G,5,FALSE))</f>
        <v>0</v>
      </c>
      <c r="F107" s="368">
        <f>+C107+C107/9*(12-Clients!$I$14)</f>
        <v>0</v>
      </c>
      <c r="G107" s="395">
        <f>+F107*1.03</f>
        <v>0</v>
      </c>
      <c r="H107" s="401"/>
      <c r="I107" s="149">
        <f t="shared" si="7"/>
        <v>0</v>
      </c>
      <c r="J107" s="271">
        <f t="shared" si="7"/>
        <v>0</v>
      </c>
      <c r="L107" t="s">
        <v>852</v>
      </c>
      <c r="M107" s="2" t="e">
        <f ca="1">IF($M$2="Alimentation",_xll.PALO.SETDATA(G107,FALSE,"localhost/Bati_fin_dev","Reporting","décembre","2011",$A$4,+L107,"NA",+$G$3),_xll.PALO.DATAC("localhost/Bati_fin_dev","Reporting","décembre","2011",$A$4,+L107,"NA",+$G$3))</f>
        <v>#VALUE!</v>
      </c>
    </row>
    <row r="108" spans="1:13" ht="12.75">
      <c r="A108" s="590" t="s">
        <v>132</v>
      </c>
      <c r="B108" s="591"/>
      <c r="C108" s="805">
        <f>IF(ISNA(VLOOKUP("CLE623300000",Balance!C:G,5,FALSE))=TRUE,0,VLOOKUP("CLE623300000",Balance!C:G,5,FALSE))</f>
        <v>2230.5699999999997</v>
      </c>
      <c r="D108" s="619">
        <f>+[2]PSA!$H108</f>
        <v>0</v>
      </c>
      <c r="E108" s="805">
        <f>IF(ISNA(VLOOKUP("CLE623300000",Balanceanp!C:G,5,FALSE))=TRUE,0,VLOOKUP("CLE623300000",Balanceanp!C:G,5,FALSE))</f>
        <v>0</v>
      </c>
      <c r="F108" s="593">
        <f>+C108+C108/9*(12-Clients!$I$14)</f>
        <v>2974.0933333333328</v>
      </c>
      <c r="G108" s="1012">
        <f>+F108*1.03</f>
        <v>3063.3161333333328</v>
      </c>
      <c r="H108" s="1012"/>
      <c r="I108" s="1013">
        <f t="shared" si="7"/>
        <v>0</v>
      </c>
      <c r="J108" s="1014">
        <f t="shared" si="7"/>
        <v>3.0000000000000009E-2</v>
      </c>
      <c r="L108" t="s">
        <v>857</v>
      </c>
      <c r="M108" s="2" t="e">
        <f ca="1">IF($M$2="Alimentation",_xll.PALO.SETDATA(G108,FALSE,"localhost/Bati_fin_dev","Reporting","décembre","2011",$A$4,+L108,"NA",+$G$3),_xll.PALO.DATAC("localhost/Bati_fin_dev","Reporting","décembre","2011",$A$4,+L108,"NA",+$G$3))</f>
        <v>#VALUE!</v>
      </c>
    </row>
    <row r="109" spans="1:13" ht="12.75">
      <c r="A109" s="590" t="s">
        <v>133</v>
      </c>
      <c r="B109" s="591"/>
      <c r="C109" s="805">
        <f>IF(ISNA(VLOOKUP("CLE623700000",Balance!C:G,5,FALSE))=TRUE,0,VLOOKUP("CLE623700000",Balance!C:G,5,FALSE))</f>
        <v>3890.02</v>
      </c>
      <c r="D109" s="619">
        <f>+[2]PSA!$H109</f>
        <v>11000</v>
      </c>
      <c r="E109" s="805">
        <f>IF(ISNA(VLOOKUP("CLE623700000",Balanceanp!C:G,5,FALSE))=TRUE,0,VLOOKUP("CLE623700000",Balanceanp!C:G,5,FALSE))</f>
        <v>3066.2</v>
      </c>
      <c r="F109" s="593">
        <f>+C109+C109/9*(12-Clients!$I$14)</f>
        <v>5186.6933333333327</v>
      </c>
      <c r="G109" s="1012">
        <v>11000</v>
      </c>
      <c r="H109" s="1012"/>
      <c r="I109" s="1013">
        <f t="shared" si="7"/>
        <v>0.69157045637379588</v>
      </c>
      <c r="J109" s="1014">
        <f t="shared" si="7"/>
        <v>1.1208117181916806</v>
      </c>
      <c r="L109" t="s">
        <v>859</v>
      </c>
      <c r="M109" s="2" t="e">
        <f ca="1">IF($M$2="Alimentation",_xll.PALO.SETDATA(G109,FALSE,"localhost/Bati_fin_dev","Reporting","décembre","2011",$A$4,+L109,"NA",+$G$3),_xll.PALO.DATAC("localhost/Bati_fin_dev","Reporting","décembre","2011",$A$4,+L109,"NA",+$G$3))</f>
        <v>#VALUE!</v>
      </c>
    </row>
    <row r="110" spans="1:13" ht="12.75">
      <c r="A110" s="590" t="s">
        <v>134</v>
      </c>
      <c r="B110" s="591"/>
      <c r="C110" s="805">
        <f>IF(ISNA(VLOOKUP("CLE623410000",Balance!C:G,5,FALSE))=TRUE,0,VLOOKUP("CLE623410000",Balance!C:G,5,FALSE))+IF(ISNA(VLOOKUP("CLE623420000",Balance!C:G,5,FALSE))=TRUE,0,VLOOKUP("CLE623420000",Balance!C:G,5,FALSE))</f>
        <v>21385.1</v>
      </c>
      <c r="D110" s="619">
        <f>+[2]PSA!$H110</f>
        <v>29000</v>
      </c>
      <c r="E110" s="805">
        <f>IF(ISNA(VLOOKUP("CLE623410000",Balanceanp!C:G,5,FALSE))=TRUE,0,VLOOKUP("CLE623410000",Balanceanp!C:G,5,FALSE))+IF(ISNA(VLOOKUP("CLE623420000",Balanceanp!C:G,5,FALSE))=TRUE,0,VLOOKUP("CLE623420000",Balanceanp!C:G,5,FALSE))</f>
        <v>46753.03</v>
      </c>
      <c r="F110" s="593">
        <f>+C110+C110/9*(12-Clients!$I$14)</f>
        <v>28513.466666666667</v>
      </c>
      <c r="G110" s="1012">
        <v>29000</v>
      </c>
      <c r="H110" s="1012"/>
      <c r="I110" s="1013">
        <f t="shared" si="7"/>
        <v>-0.39012580218508475</v>
      </c>
      <c r="J110" s="1014">
        <f t="shared" si="7"/>
        <v>1.7063282378852549E-2</v>
      </c>
      <c r="L110" t="s">
        <v>854</v>
      </c>
      <c r="M110" s="2" t="e">
        <f ca="1">IF($M$2="Alimentation",_xll.PALO.SETDATA(G110,FALSE,"localhost/Bati_fin_dev","Reporting","décembre","2011",$A$4,+L110,"NA",+$G$3),_xll.PALO.DATAC("localhost/Bati_fin_dev","Reporting","décembre","2011",$A$4,+L110,"NA",+$G$3))</f>
        <v>#VALUE!</v>
      </c>
    </row>
    <row r="111" spans="1:13" ht="12.75">
      <c r="A111" s="590" t="s">
        <v>135</v>
      </c>
      <c r="B111" s="591"/>
      <c r="C111" s="805">
        <f>IF(ISNA(VLOOKUP("CLE623800000",Balance!C:G,5,FALSE))=TRUE,0,VLOOKUP("CLE623800000",Balance!C:G,5,FALSE))+IF(ISNA(VLOOKUP("CLE623820000",Balance!C:G,5,FALSE))=TRUE,0,VLOOKUP("CLE623820000",Balance!C:G,5,FALSE))</f>
        <v>70</v>
      </c>
      <c r="D111" s="619">
        <f>+[2]PSA!$H111</f>
        <v>100</v>
      </c>
      <c r="E111" s="805">
        <f>IF(ISNA(VLOOKUP("CLE623800000",Balanceanp!C:G,5,FALSE))=TRUE,0,VLOOKUP("CLE623800000",Balanceanp!C:G,5,FALSE))</f>
        <v>130</v>
      </c>
      <c r="F111" s="593">
        <f>+C111+C111/9*(12-Clients!$I$14)</f>
        <v>93.333333333333329</v>
      </c>
      <c r="G111" s="1012">
        <v>100</v>
      </c>
      <c r="H111" s="1012"/>
      <c r="I111" s="1013">
        <f t="shared" si="7"/>
        <v>-0.2820512820512821</v>
      </c>
      <c r="J111" s="1014">
        <f t="shared" si="7"/>
        <v>7.142857142857148E-2</v>
      </c>
      <c r="L111" t="s">
        <v>856</v>
      </c>
      <c r="M111" s="2" t="e">
        <f ca="1">IF($M$2="Alimentation",_xll.PALO.SETDATA(G111,FALSE,"localhost/Bati_fin_dev","Reporting","décembre","2011",$A$4,+L111,"NA",+$G$3),_xll.PALO.DATAC("localhost/Bati_fin_dev","Reporting","décembre","2011",$A$4,+L111,"NA",+$G$3))</f>
        <v>#VALUE!</v>
      </c>
    </row>
    <row r="112" spans="1:13" ht="12.75">
      <c r="A112" s="590" t="s">
        <v>136</v>
      </c>
      <c r="B112" s="591"/>
      <c r="C112" s="805">
        <f>IF(ISNA(VLOOKUP("CLE625600000",Balance!C:G,5,FALSE))=TRUE,0,VLOOKUP("CLE625600000",Balance!C:G,5,FALSE))</f>
        <v>2250</v>
      </c>
      <c r="D112" s="619">
        <f>+[2]PSA!$H112</f>
        <v>3000</v>
      </c>
      <c r="E112" s="805">
        <f>IF(ISNA(VLOOKUP("CLE625600000",Balanceanp!C:G,5,FALSE))=TRUE,0,VLOOKUP("CLE625600000",Balanceanp!C:G,5,FALSE))</f>
        <v>25.23</v>
      </c>
      <c r="F112" s="593">
        <f>+C112+C112/9*(12-Clients!$I$14)</f>
        <v>3000</v>
      </c>
      <c r="G112" s="1012">
        <v>3000</v>
      </c>
      <c r="H112" s="1012"/>
      <c r="I112" s="1013">
        <f t="shared" si="7"/>
        <v>117.90606420927467</v>
      </c>
      <c r="J112" s="1014">
        <f t="shared" si="7"/>
        <v>0</v>
      </c>
      <c r="L112" t="s">
        <v>861</v>
      </c>
      <c r="M112" s="2" t="e">
        <f ca="1">IF($M$2="Alimentation",_xll.PALO.SETDATA(G112,FALSE,"localhost/Bati_fin_dev","Reporting","décembre","2011",$A$4,+L112,"NA",+$G$3),_xll.PALO.DATAC("localhost/Bati_fin_dev","Reporting","décembre","2011",$A$4,+L112,"NA",+$G$3))</f>
        <v>#VALUE!</v>
      </c>
    </row>
    <row r="113" spans="1:13" ht="12.75">
      <c r="A113" s="590" t="s">
        <v>137</v>
      </c>
      <c r="B113" s="591"/>
      <c r="C113" s="1033">
        <f>IF(ISNA(VLOOKUP("CLE625700000",Balance!C:G,5,FALSE))=TRUE,0,VLOOKUP("CLE625700000",Balance!C:G,5,FALSE))+IF(ISNA(VLOOKUP("CLE625710000",Balance!C:G,5,FALSE))=TRUE,0,VLOOKUP("CLE625710000",Balance!C:G,5,FALSE))</f>
        <v>21514.87</v>
      </c>
      <c r="D113" s="619">
        <f>+[2]PSA!$H113</f>
        <v>16780.190300000002</v>
      </c>
      <c r="E113" s="805">
        <f>IF(ISNA(VLOOKUP("CLE625700000",Balanceanp!C:G,5,FALSE))=TRUE,0,VLOOKUP("CLE625700000",Balanceanp!C:G,5,FALSE))+IF(ISNA(VLOOKUP("CLE625710000",Balanceanp!C:G,5,FALSE))=TRUE,0,VLOOKUP("CLE625710000",Balanceanp!C:G,5,FALSE))</f>
        <v>16964.370000000003</v>
      </c>
      <c r="F113" s="593">
        <v>13658.56</v>
      </c>
      <c r="G113" s="1012">
        <v>2000</v>
      </c>
      <c r="H113" s="1012"/>
      <c r="I113" s="1013">
        <f t="shared" si="7"/>
        <v>-0.19486783181456208</v>
      </c>
      <c r="J113" s="1014">
        <f t="shared" si="7"/>
        <v>-0.85357167959140645</v>
      </c>
      <c r="L113" t="s">
        <v>860</v>
      </c>
      <c r="M113" s="2" t="e">
        <f ca="1">IF($M$2="Alimentation",_xll.PALO.SETDATA(G113,FALSE,"localhost/Bati_fin_dev","Reporting","décembre","2011",$A$4,+L113,"NA",+$G$3),_xll.PALO.DATAC("localhost/Bati_fin_dev","Reporting","décembre","2011",$A$4,+L113,"NA",+$G$3))</f>
        <v>#VALUE!</v>
      </c>
    </row>
    <row r="114" spans="1:13" ht="12.75">
      <c r="A114" s="590" t="s">
        <v>138</v>
      </c>
      <c r="B114" s="591"/>
      <c r="C114" s="805">
        <f>IF(ISNA(VLOOKUP("CLE623810000",Balance!C:G,5,FALSE))=TRUE,0,VLOOKUP("CLE623810000",Balance!C:G,5,FALSE))</f>
        <v>-3750</v>
      </c>
      <c r="D114" s="619">
        <f>+[2]PSA!$H114</f>
        <v>-5000</v>
      </c>
      <c r="E114" s="805">
        <f>IF(ISNA(VLOOKUP("CLE623810000",Balanceanp!C:G,5,FALSE))=TRUE,0,VLOOKUP("CLE623810000",Balanceanp!C:G,5,FALSE))</f>
        <v>0</v>
      </c>
      <c r="F114" s="593">
        <f>+C114+C114/9*(12-Clients!$I$14)</f>
        <v>-5000</v>
      </c>
      <c r="G114" s="1012">
        <v>-5000</v>
      </c>
      <c r="H114" s="1012"/>
      <c r="I114" s="1013">
        <f t="shared" si="7"/>
        <v>0</v>
      </c>
      <c r="J114" s="1014">
        <f t="shared" si="7"/>
        <v>0</v>
      </c>
      <c r="L114" t="s">
        <v>858</v>
      </c>
      <c r="M114" s="2" t="e">
        <f ca="1">IF($M$2="Alimentation",_xll.PALO.SETDATA(G114,FALSE,"localhost/Bati_fin_dev","Reporting","décembre","2011",$A$4,+L114,"NA",+$G$3),_xll.PALO.DATAC("localhost/Bati_fin_dev","Reporting","décembre","2011",$A$4,+L114,"NA",+$G$3))</f>
        <v>#VALUE!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596">
        <f>+C116/$C$21</f>
        <v>3.5153461051467362E-2</v>
      </c>
      <c r="C116" s="803">
        <f>SUM(C104:C115)</f>
        <v>60709.159999999989</v>
      </c>
      <c r="D116" s="597">
        <f>SUM(D104:D115)</f>
        <v>64966.308600000004</v>
      </c>
      <c r="E116" s="803">
        <f>SUM(E104:E115)</f>
        <v>79884.990000000005</v>
      </c>
      <c r="F116" s="597">
        <f>SUM(F104:F115)</f>
        <v>65917.613333333342</v>
      </c>
      <c r="G116" s="597">
        <f>SUM(G104:G115)</f>
        <v>53163.316133333334</v>
      </c>
      <c r="H116" s="814">
        <f>+G116/$G$21</f>
        <v>2.2613276744118123E-2</v>
      </c>
      <c r="I116" s="596">
        <f>+IF((E116)=0,,(F116-E116)/E116)</f>
        <v>-0.17484356781751695</v>
      </c>
      <c r="J116" s="1015">
        <f>+IF((F116)=0,,(G116-F116)/F116)</f>
        <v>-0.19348845558931047</v>
      </c>
      <c r="K116" s="136">
        <f>(C116+(C116/3))</f>
        <v>80945.546666666647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90" t="s">
        <v>139</v>
      </c>
      <c r="B118" s="591"/>
      <c r="C118" s="805">
        <f>IF(ISNA(VLOOKUP("CLE633300000",Balance!C:G,5,FALSE))=TRUE,0,VLOOKUP("CLE633300000",Balance!C:G,5,FALSE))</f>
        <v>3423.17</v>
      </c>
      <c r="D118" s="619">
        <f>+[2]PSA!$H118</f>
        <v>1678.6349999999998</v>
      </c>
      <c r="E118" s="805">
        <f>IF(ISNA(VLOOKUP("CLE633300000",Balanceanp!C:G,5,FALSE))=TRUE,0,VLOOKUP("CLE633300000",Balanceanp!C:G,5,FALSE))</f>
        <v>2008</v>
      </c>
      <c r="F118" s="593">
        <f>+C118+C118/9*(12-Clients!$I$14)</f>
        <v>4564.2266666666665</v>
      </c>
      <c r="G118" s="1030">
        <f>G131*(0.2+0.5)%</f>
        <v>1677.0459999999998</v>
      </c>
      <c r="H118" s="1030"/>
      <c r="I118" s="1013">
        <f t="shared" ref="I118:J127" si="8">+IF((E118)=0,,(F118-E118)/E118)</f>
        <v>1.2730212483399734</v>
      </c>
      <c r="J118" s="1014">
        <f t="shared" si="8"/>
        <v>-0.63256732794456605</v>
      </c>
      <c r="L118" t="s">
        <v>823</v>
      </c>
      <c r="M118" s="2" t="e">
        <f ca="1">IF($M$2="Alimentation",_xll.PALO.SETDATA(G118,FALSE,"localhost/Bati_fin_dev","Reporting","décembre","2011",$A$4,+L118,"NA",+$G$3),_xll.PALO.DATAC("localhost/Bati_fin_dev","Reporting","décembre","2011",$A$4,+L118,"NA",+$G$3))</f>
        <v>#VALUE!</v>
      </c>
    </row>
    <row r="119" spans="1:13" ht="12.75">
      <c r="A119" s="590" t="s">
        <v>140</v>
      </c>
      <c r="B119" s="591"/>
      <c r="C119" s="805">
        <f>IF(ISNA(VLOOKUP("CLE633400000",Balance!C:G,5,FALSE))=TRUE,0,VLOOKUP("CLE633400000",Balance!C:G,5,FALSE))</f>
        <v>0</v>
      </c>
      <c r="D119" s="619">
        <f>+[2]PSA!$H119</f>
        <v>1079.1225000000002</v>
      </c>
      <c r="E119" s="805">
        <f>IF(ISNA(VLOOKUP("CLE633400000",Balanceanp!C:G,5,FALSE))=TRUE,0,VLOOKUP("CLE633400000",Balanceanp!C:G,5,FALSE))</f>
        <v>1033</v>
      </c>
      <c r="F119" s="593">
        <f>+C119+C119/9*(12-Clients!$I$14)</f>
        <v>0</v>
      </c>
      <c r="G119" s="1030">
        <f>+G131*0.45%</f>
        <v>1078.1010000000001</v>
      </c>
      <c r="H119" s="1030"/>
      <c r="I119" s="1013">
        <f t="shared" si="8"/>
        <v>-1</v>
      </c>
      <c r="J119" s="1014">
        <f t="shared" si="8"/>
        <v>0</v>
      </c>
      <c r="L119" t="s">
        <v>811</v>
      </c>
      <c r="M119" s="2" t="e">
        <f ca="1">IF($M$2="Alimentation",_xll.PALO.SETDATA(G119,FALSE,"localhost/Bati_fin_dev","Reporting","décembre","2011",$A$4,+L119,"NA",+$G$3),_xll.PALO.DATAC("localhost/Bati_fin_dev","Reporting","décembre","2011",$A$4,+L119,"NA",+$G$3))</f>
        <v>#VALUE!</v>
      </c>
    </row>
    <row r="120" spans="1:13" ht="12.75">
      <c r="A120" s="590" t="s">
        <v>141</v>
      </c>
      <c r="B120" s="591"/>
      <c r="C120" s="805">
        <f>IF(ISNA(VLOOKUP("CLE633500000",Balance!C:G,5,FALSE))=TRUE,0,VLOOKUP("CLE633500000",Balance!C:G,5,FALSE))</f>
        <v>0</v>
      </c>
      <c r="D120" s="619">
        <f>+[2]PSA!$H120</f>
        <v>1870.479</v>
      </c>
      <c r="E120" s="805">
        <f>IF(ISNA(VLOOKUP("CLE633500000",Balanceanp!C:G,5,FALSE))=TRUE,0,VLOOKUP("CLE633500000",Balanceanp!C:G,5,FALSE))</f>
        <v>1562</v>
      </c>
      <c r="F120" s="593">
        <f>+C120+C120/9*(12-Clients!$I$14)</f>
        <v>0</v>
      </c>
      <c r="G120" s="1030">
        <f>+G131*(0.6+0.18)%</f>
        <v>1868.7084000000002</v>
      </c>
      <c r="H120" s="1030"/>
      <c r="I120" s="1013">
        <f t="shared" si="8"/>
        <v>-1</v>
      </c>
      <c r="J120" s="1014">
        <f t="shared" si="8"/>
        <v>0</v>
      </c>
      <c r="L120" t="s">
        <v>839</v>
      </c>
      <c r="M120" s="2" t="e">
        <f ca="1">IF($M$2="Alimentation",_xll.PALO.SETDATA(G120,FALSE,"localhost/Bati_fin_dev","Reporting","décembre","2011",$A$4,+L120,"NA",+$G$3),_xll.PALO.DATAC("localhost/Bati_fin_dev","Reporting","décembre","2011",$A$4,+L120,"NA",+$G$3))</f>
        <v>#VALUE!</v>
      </c>
    </row>
    <row r="121" spans="1:13" ht="12.75">
      <c r="A121" s="590" t="s">
        <v>706</v>
      </c>
      <c r="B121" s="591"/>
      <c r="C121" s="805">
        <f>IF(ISNA(VLOOKUP("CLE635110000",Balance!C:G,5,FALSE))=TRUE,0,VLOOKUP("CLE635110000",Balance!C:G,5,FALSE))</f>
        <v>11565.81</v>
      </c>
      <c r="D121" s="619">
        <f>+[2]PSA!$H121</f>
        <v>15421.087500000001</v>
      </c>
      <c r="E121" s="805">
        <f>IF(ISNA(VLOOKUP("CLE635110000",Balanceanp!C:G,5,FALSE))=TRUE,0,VLOOKUP("CLE635110000",Balanceanp!C:G,5,FALSE))</f>
        <v>0</v>
      </c>
      <c r="F121" s="636">
        <v>6627</v>
      </c>
      <c r="G121" s="636">
        <f>+F121*1.05</f>
        <v>6958.35</v>
      </c>
      <c r="H121" s="638"/>
      <c r="I121" s="1013">
        <f t="shared" si="8"/>
        <v>0</v>
      </c>
      <c r="J121" s="1014">
        <f t="shared" si="8"/>
        <v>5.0000000000000058E-2</v>
      </c>
      <c r="L121" t="s">
        <v>817</v>
      </c>
      <c r="M121" s="2" t="e">
        <f ca="1">IF($M$2="Alimentation",_xll.PALO.SETDATA(G121,FALSE,"localhost/Bati_fin_dev","Reporting","décembre","2011",$A$4,+L121,"NA",+$G$3),_xll.PALO.DATAC("localhost/Bati_fin_dev","Reporting","décembre","2011",$A$4,+L121,"NA",+$G$3))</f>
        <v>#VALUE!</v>
      </c>
    </row>
    <row r="122" spans="1:13" ht="12.75">
      <c r="A122" s="590" t="s">
        <v>143</v>
      </c>
      <c r="B122" s="591"/>
      <c r="C122" s="805">
        <f>IF(ISNA(VLOOKUP("CLE635120000",Balance!C:G,5,FALSE))=TRUE,0,VLOOKUP("CLE635120000",Balance!C:G,5,FALSE))</f>
        <v>14712.12</v>
      </c>
      <c r="D122" s="619">
        <f>+[2]PSA!$H122</f>
        <v>19616.100000000002</v>
      </c>
      <c r="E122" s="805">
        <f>IF(ISNA(VLOOKUP("CLE635120000",Balanceanp!C:G,5,FALSE))=TRUE,0,VLOOKUP("CLE635120000",Balanceanp!C:G,5,FALSE))</f>
        <v>18681.64</v>
      </c>
      <c r="F122" s="631">
        <v>19237</v>
      </c>
      <c r="G122" s="631">
        <f>+F122*1.05</f>
        <v>20198.850000000002</v>
      </c>
      <c r="H122" s="638"/>
      <c r="I122" s="1013">
        <f t="shared" si="8"/>
        <v>2.9727582803222876E-2</v>
      </c>
      <c r="J122" s="1014">
        <f t="shared" si="8"/>
        <v>5.0000000000000114E-2</v>
      </c>
      <c r="L122" t="s">
        <v>828</v>
      </c>
      <c r="M122" s="2" t="e">
        <f ca="1">IF($M$2="Alimentation",_xll.PALO.SETDATA(G122,FALSE,"localhost/Bati_fin_dev","Reporting","décembre","2011",$A$4,+L122,"NA",+$G$3),_xll.PALO.DATAC("localhost/Bati_fin_dev","Reporting","décembre","2011",$A$4,+L122,"NA",+$G$3))</f>
        <v>#VALUE!</v>
      </c>
    </row>
    <row r="123" spans="1:13" ht="12.75">
      <c r="A123" s="590" t="s">
        <v>144</v>
      </c>
      <c r="B123" s="591"/>
      <c r="C123" s="805">
        <f>IF(ISNA(VLOOKUP("CLE635130000",Balance!C:G,5,FALSE))=TRUE,0,VLOOKUP("CLE635130000",Balance!C:G,5,FALSE))</f>
        <v>0</v>
      </c>
      <c r="D123" s="619">
        <f>+[2]PSA!$H123</f>
        <v>50</v>
      </c>
      <c r="E123" s="805">
        <f>IF(ISNA(VLOOKUP("CLE635130000",Balanceanp!C:G,5,FALSE))=TRUE,0,VLOOKUP("CLE635130000",Balanceanp!C:G,5,FALSE))</f>
        <v>0</v>
      </c>
      <c r="F123" s="631">
        <v>1368.6</v>
      </c>
      <c r="G123" s="631">
        <f>+F123*1.05</f>
        <v>1437.03</v>
      </c>
      <c r="H123" s="638"/>
      <c r="I123" s="1013">
        <f t="shared" si="8"/>
        <v>0</v>
      </c>
      <c r="J123" s="1014">
        <f t="shared" si="8"/>
        <v>5.0000000000000051E-2</v>
      </c>
      <c r="L123" t="s">
        <v>815</v>
      </c>
      <c r="M123" s="2" t="e">
        <f ca="1">IF($M$2="Alimentation",_xll.PALO.SETDATA(G123,FALSE,"localhost/Bati_fin_dev","Reporting","décembre","2011",$A$4,+L123,"NA",+$G$3),_xll.PALO.DATAC("localhost/Bati_fin_dev","Reporting","décembre","2011",$A$4,+L123,"NA",+$G$3))</f>
        <v>#VALUE!</v>
      </c>
    </row>
    <row r="124" spans="1:13" ht="12.75">
      <c r="A124" s="590" t="s">
        <v>145</v>
      </c>
      <c r="B124" s="591"/>
      <c r="C124" s="805">
        <f>IF(ISNA(VLOOKUP("CLE635140000",Balance!C:G,5,FALSE))=TRUE,0,VLOOKUP("CLE635140000",Balance!C:G,5,FALSE))</f>
        <v>0</v>
      </c>
      <c r="D124" s="619">
        <f>+[2]PSA!$H124</f>
        <v>350</v>
      </c>
      <c r="E124" s="805">
        <f>IF(ISNA(VLOOKUP("CLE635140000",Balanceanp!C:G,5,FALSE))=TRUE,0,VLOOKUP("CLE635140000",Balanceanp!C:G,5,FALSE))</f>
        <v>326</v>
      </c>
      <c r="F124" s="593">
        <f>+C124+C124/9*(12-Clients!$I$14)</f>
        <v>0</v>
      </c>
      <c r="G124" s="638">
        <v>350</v>
      </c>
      <c r="H124" s="638"/>
      <c r="I124" s="1013">
        <f t="shared" si="8"/>
        <v>-1</v>
      </c>
      <c r="J124" s="1014">
        <f t="shared" si="8"/>
        <v>0</v>
      </c>
      <c r="L124" t="s">
        <v>840</v>
      </c>
      <c r="M124" s="2" t="e">
        <f ca="1">IF($M$2="Alimentation",_xll.PALO.SETDATA(G124,FALSE,"localhost/Bati_fin_dev","Reporting","décembre","2011",$A$4,+L124,"NA",+$G$3),_xll.PALO.DATAC("localhost/Bati_fin_dev","Reporting","décembre","2011",$A$4,+L124,"NA",+$G$3))</f>
        <v>#VALUE!</v>
      </c>
    </row>
    <row r="125" spans="1:13" ht="12.75">
      <c r="A125" s="590" t="s">
        <v>286</v>
      </c>
      <c r="B125" s="591"/>
      <c r="C125" s="805">
        <f>IF(ISNA(VLOOKUP("CLE635300000",Balance!C:G,5,FALSE))=TRUE,0,VLOOKUP("CLE635300000",Balance!C:G,5,FALSE))</f>
        <v>0</v>
      </c>
      <c r="D125" s="619">
        <f>+[2]PSA!$H125</f>
        <v>500</v>
      </c>
      <c r="E125" s="805">
        <f>IF(ISNA(VLOOKUP("CLE635300000",Balanceanp!C:G,5,FALSE))=TRUE,0,VLOOKUP("CLE635300000",Balanceanp!C:G,5,FALSE))</f>
        <v>118</v>
      </c>
      <c r="F125" s="593">
        <f>+C125+C125/9*(12-Clients!$I$14)</f>
        <v>0</v>
      </c>
      <c r="G125" s="638">
        <v>500</v>
      </c>
      <c r="H125" s="638"/>
      <c r="I125" s="1013">
        <f t="shared" si="8"/>
        <v>-1</v>
      </c>
      <c r="J125" s="1014">
        <f t="shared" si="8"/>
        <v>0</v>
      </c>
      <c r="L125" t="s">
        <v>814</v>
      </c>
      <c r="M125" s="2" t="e">
        <f ca="1">IF($M$2="Alimentation",_xll.PALO.SETDATA(G125,FALSE,"localhost/Bati_fin_dev","Reporting","décembre","2011",$A$4,+L125,"NA",+$G$3),_xll.PALO.DATAC("localhost/Bati_fin_dev","Reporting","décembre","2011",$A$4,+L125,"NA",+$G$3))</f>
        <v>#VALUE!</v>
      </c>
    </row>
    <row r="126" spans="1:13" ht="12.75">
      <c r="A126" s="590" t="s">
        <v>361</v>
      </c>
      <c r="B126" s="591"/>
      <c r="C126" s="805">
        <f>IF(ISNA(VLOOKUP("CLE635400000",Balance!C:G,5,FALSE))=TRUE,0,VLOOKUP("CLE635400000",Balance!C:G,5,FALSE))</f>
        <v>0</v>
      </c>
      <c r="D126" s="619">
        <f>+[2]PSA!$H126</f>
        <v>0</v>
      </c>
      <c r="E126" s="805">
        <f>IF(ISNA(VLOOKUP("CLE635400000",Balanceanp!C:G,5,FALSE))=TRUE,0,VLOOKUP("CLE635400000",Balanceanp!C:G,5,FALSE))</f>
        <v>375</v>
      </c>
      <c r="F126" s="593">
        <f>+C126+C126/9*(12-Clients!$I$14)</f>
        <v>0</v>
      </c>
      <c r="G126" s="638">
        <v>0</v>
      </c>
      <c r="H126" s="638"/>
      <c r="I126" s="1013">
        <f t="shared" si="8"/>
        <v>-1</v>
      </c>
      <c r="J126" s="1014">
        <f t="shared" si="8"/>
        <v>0</v>
      </c>
      <c r="L126" t="s">
        <v>822</v>
      </c>
      <c r="M126" s="2" t="e">
        <f ca="1">IF($M$2="Alimentation",_xll.PALO.SETDATA(G126,FALSE,"localhost/Bati_fin_dev","Reporting","décembre","2011",$A$4,+L126,"NA",+$G$3),_xll.PALO.DATAC("localhost/Bati_fin_dev","Reporting","décembre","2011",$A$4,+L126,"NA",+$G$3))</f>
        <v>#VALUE!</v>
      </c>
    </row>
    <row r="127" spans="1:13" ht="12.75">
      <c r="A127" s="590" t="s">
        <v>146</v>
      </c>
      <c r="B127" s="591"/>
      <c r="C127" s="805">
        <f>IF(ISNA(VLOOKUP("CLE637100000",Balance!C:G,5,FALSE))=TRUE,0,VLOOKUP("CLE637100000",Balance!C:G,5,FALSE))</f>
        <v>5172.53</v>
      </c>
      <c r="D127" s="619">
        <f>+[2]PSA!$H127</f>
        <v>8682.844000000001</v>
      </c>
      <c r="E127" s="805">
        <f>IF(ISNA(VLOOKUP("CLE637100000",Balanceanp!C:G,5,FALSE))=TRUE,0,VLOOKUP("CLE637100000",Balanceanp!C:G,5,FALSE))</f>
        <v>6568.56</v>
      </c>
      <c r="F127" s="593">
        <f>+C127+C127/9*(12-Clients!$I$14)</f>
        <v>6896.706666666666</v>
      </c>
      <c r="G127" s="631">
        <f>+G51*0.16%+4822*1.03</f>
        <v>8654.2695999999996</v>
      </c>
      <c r="H127" s="1030"/>
      <c r="I127" s="1013">
        <f t="shared" si="8"/>
        <v>4.995716970944402E-2</v>
      </c>
      <c r="J127" s="1014">
        <f t="shared" si="8"/>
        <v>0.25484089990778214</v>
      </c>
      <c r="L127" t="s">
        <v>833</v>
      </c>
      <c r="M127" s="2" t="e">
        <f ca="1">IF($M$2="Alimentation",_xll.PALO.SETDATA(G127,FALSE,"localhost/Bati_fin_dev","Reporting","décembre","2011",$A$4,+L127,"NA",+$G$3),_xll.PALO.DATAC("localhost/Bati_fin_dev","Reporting","décembre","2011",$A$4,+L127,"NA",+$G$3))</f>
        <v>#VALUE!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596">
        <f>+C129/$C$21</f>
        <v>2.0193473174860001E-2</v>
      </c>
      <c r="C129" s="803">
        <f>SUM(C117:C128)</f>
        <v>34873.629999999997</v>
      </c>
      <c r="D129" s="597">
        <f>SUM(D117:D128)</f>
        <v>49248.267999999996</v>
      </c>
      <c r="E129" s="803">
        <f>SUM(E117:E128)</f>
        <v>30672.2</v>
      </c>
      <c r="F129" s="597">
        <f>SUM(F117:F128)</f>
        <v>38693.533333333333</v>
      </c>
      <c r="G129" s="597">
        <f>SUM(G117:G128)</f>
        <v>42722.355000000003</v>
      </c>
      <c r="H129" s="814">
        <f>+G129/$G$21</f>
        <v>1.8172162819048075E-2</v>
      </c>
      <c r="I129" s="596">
        <f>+IF((E129)=0,,(F129-E129)/E129)</f>
        <v>0.26151803044233318</v>
      </c>
      <c r="J129" s="1015">
        <f>+IF((F129)=0,,(G129-F129)/F129)</f>
        <v>0.10412131742944136</v>
      </c>
      <c r="K129" s="136">
        <f>(C129+(C129/3))</f>
        <v>46498.173333333332</v>
      </c>
      <c r="L129" t="s">
        <v>827</v>
      </c>
      <c r="M129" s="2" t="e">
        <f ca="1">IF($M$2="Alimentation",_xll.PALO.SETDATA(G129,FALSE,"localhost/Bati_fin_dev","Reporting","décembre","2011",$A$4,+L129,"NA",+$G$3),_xll.PALO.DATAC("localhost/Bati_fin_dev","Reporting","décembre","2011",$A$4,+L129,"NA",+$G$3))</f>
        <v>#VALUE!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90" t="s">
        <v>148</v>
      </c>
      <c r="B131" s="591"/>
      <c r="C131" s="805">
        <f>IF(ISNA(VLOOKUP("CLE641100000",Balance!C:G,5,FALSE))=TRUE,0,VLOOKUP("CLE641100000",Balance!C:G,5,FALSE))</f>
        <v>177200.86</v>
      </c>
      <c r="D131" s="619">
        <f>+[2]PSA!$H131</f>
        <v>239805</v>
      </c>
      <c r="E131" s="805">
        <f>IF(ISNA(VLOOKUP("CLE641100000",Balanceanp!C:G,5,FALSE))=TRUE,0,VLOOKUP("CLE641100000",Balanceanp!C:G,5,FALSE))+IF(ISNA(VLOOKUP("CLE641112000",Balanceanp!C:G,5,FALSE))=TRUE,0,VLOOKUP("CLE641112000",Balanceanp!C:G,5,FALSE))</f>
        <v>222901.71</v>
      </c>
      <c r="F131" s="593">
        <f>+C131+C131/9*(12-Clients!$I$14)</f>
        <v>236267.8133333333</v>
      </c>
      <c r="G131" s="1012">
        <v>239578</v>
      </c>
      <c r="H131" s="1012"/>
      <c r="I131" s="1013">
        <f t="shared" ref="I131:J146" si="9">+IF((E131)=0,,(F131-E131)/E131)</f>
        <v>5.9964113031404309E-2</v>
      </c>
      <c r="J131" s="1014">
        <f t="shared" si="9"/>
        <v>1.4010315751289406E-2</v>
      </c>
      <c r="L131" t="s">
        <v>837</v>
      </c>
      <c r="M131" s="2" t="e">
        <f ca="1">IF($M$2="Alimentation",_xll.PALO.SETDATA(G131,FALSE,"localhost/Bati_fin_dev","Reporting","décembre","2011",$A$4,+L131,"NA",+$G$3),_xll.PALO.DATAC("localhost/Bati_fin_dev","Reporting","décembre","2011",$A$4,+L131,"NA",+$G$3))</f>
        <v>#VALUE!</v>
      </c>
    </row>
    <row r="132" spans="1:13" ht="12.75">
      <c r="A132" s="5" t="s">
        <v>149</v>
      </c>
      <c r="B132" s="92"/>
      <c r="C132" s="160">
        <f>IF(ISNA(VLOOKUP("CLE641110000",Balance!C:G,5,FALSE))=TRUE,0,VLOOKUP("CLE641110000",Balance!C:G,5,FALSE))</f>
        <v>-1550</v>
      </c>
      <c r="D132" s="117">
        <f>+[2]PSA!$H132</f>
        <v>0</v>
      </c>
      <c r="E132" s="160">
        <f>IF(ISNA(VLOOKUP("CLE641110000",Balanceanp!C:G,5,FALSE))=TRUE,0,VLOOKUP("CLE641110000",Balanceanp!C:G,5,FALSE))</f>
        <v>-2175</v>
      </c>
      <c r="F132" s="368">
        <f>+C132+C132/9*(12-Clients!$I$14)</f>
        <v>-2066.666666666667</v>
      </c>
      <c r="G132" s="395"/>
      <c r="H132" s="401"/>
      <c r="I132" s="149">
        <f t="shared" si="9"/>
        <v>-4.9808429118773805E-2</v>
      </c>
      <c r="J132" s="271">
        <f t="shared" si="9"/>
        <v>-1</v>
      </c>
      <c r="L132" t="s">
        <v>838</v>
      </c>
      <c r="M132" s="2" t="e">
        <f ca="1">IF($M$2="Alimentation",_xll.PALO.SETDATA(G132,FALSE,"localhost/Bati_fin_dev","Reporting","décembre","2011",$A$4,+L132,"NA",+$G$3),_xll.PALO.DATAC("localhost/Bati_fin_dev","Reporting","décembre","2011",$A$4,+L132,"NA",+$G$3))</f>
        <v>#VALUE!</v>
      </c>
    </row>
    <row r="133" spans="1:13" ht="12.75">
      <c r="A133" s="590" t="s">
        <v>150</v>
      </c>
      <c r="B133" s="591"/>
      <c r="C133" s="805">
        <f>IF(ISNA(VLOOKUP("CLE641111000",Balance!C:G,5,FALSE))=TRUE,0,VLOOKUP("CLE641111000",Balance!C:G,5,FALSE))</f>
        <v>275</v>
      </c>
      <c r="D133" s="619">
        <f>+[2]PSA!$H133</f>
        <v>0</v>
      </c>
      <c r="E133" s="805">
        <f>IF(ISNA(VLOOKUP("CLE641111000",Balanceanp!C:G,5,FALSE))=TRUE,0,VLOOKUP("CLE641111000",Balanceanp!C:G,5,FALSE))</f>
        <v>75</v>
      </c>
      <c r="F133" s="593">
        <f>+C133+C133/9*(12-Clients!$I$14)</f>
        <v>366.66666666666669</v>
      </c>
      <c r="G133" s="1012"/>
      <c r="H133" s="1012"/>
      <c r="I133" s="1013">
        <f t="shared" si="9"/>
        <v>3.8888888888888893</v>
      </c>
      <c r="J133" s="1014">
        <f t="shared" si="9"/>
        <v>-1</v>
      </c>
      <c r="L133" t="s">
        <v>826</v>
      </c>
      <c r="M133" s="2" t="e">
        <f ca="1">IF($M$2="Alimentation",_xll.PALO.SETDATA(G133,FALSE,"localhost/Bati_fin_dev","Reporting","décembre","2011",$A$4,+L133,"NA",+$G$3),_xll.PALO.DATAC("localhost/Bati_fin_dev","Reporting","décembre","2011",$A$4,+L133,"NA",+$G$3))</f>
        <v>#VALUE!</v>
      </c>
    </row>
    <row r="134" spans="1:13" ht="12.75">
      <c r="A134" s="5" t="s">
        <v>151</v>
      </c>
      <c r="B134" s="92"/>
      <c r="C134" s="160">
        <f>IF(ISNA(VLOOKUP("CLE641200000",Balance!C:G,5,FALSE))=TRUE,0,VLOOKUP("CLE641200000",Balance!C:G,5,FALSE))</f>
        <v>0</v>
      </c>
      <c r="D134" s="117">
        <f>+[2]PSA!$H134</f>
        <v>0</v>
      </c>
      <c r="E134" s="160">
        <f>IF(ISNA(VLOOKUP("CLE641200000",Balanceanp!C:G,5,FALSE))=TRUE,0,VLOOKUP("CLE641200000",Balanceanp!C:G,5,FALSE))</f>
        <v>1858.4799999999996</v>
      </c>
      <c r="F134" s="368">
        <f>+C134+C134/9*(12-Clients!$I$14)</f>
        <v>0</v>
      </c>
      <c r="G134" s="395"/>
      <c r="H134" s="401"/>
      <c r="I134" s="149">
        <f t="shared" si="9"/>
        <v>-1</v>
      </c>
      <c r="J134" s="271">
        <f t="shared" si="9"/>
        <v>0</v>
      </c>
      <c r="L134" t="s">
        <v>821</v>
      </c>
      <c r="M134" s="2" t="e">
        <f ca="1">IF($M$2="Alimentation",_xll.PALO.SETDATA(G134,FALSE,"localhost/Bati_fin_dev","Reporting","décembre","2011",$A$4,+L134,"NA",+$G$3),_xll.PALO.DATAC("localhost/Bati_fin_dev","Reporting","décembre","2011",$A$4,+L134,"NA",+$G$3))</f>
        <v>#VALUE!</v>
      </c>
    </row>
    <row r="135" spans="1:13" ht="12.75">
      <c r="A135" s="5" t="s">
        <v>114</v>
      </c>
      <c r="B135" s="92"/>
      <c r="C135" s="160">
        <f>IF(ISNA(VLOOKUP("CLE621100000",Balance!C:G,5,FALSE))=TRUE,0,VLOOKUP("CLE621100000",Balance!C:G,5,FALSE))</f>
        <v>653.26</v>
      </c>
      <c r="D135" s="117">
        <f>+[2]PSA!$H135</f>
        <v>8774.7245000000003</v>
      </c>
      <c r="E135" s="160">
        <f>IF(ISNA(VLOOKUP("CLE621100000",Balanceanp!C:G,5,FALSE))=TRUE,0,VLOOKUP("CLE621100000",Balanceanp!C:G,5,FALSE))</f>
        <v>11311.38</v>
      </c>
      <c r="F135" s="368">
        <f>+C135+C135/9*(12-Clients!$I$14)</f>
        <v>871.01333333333332</v>
      </c>
      <c r="G135" s="395"/>
      <c r="H135" s="401"/>
      <c r="I135" s="149">
        <f t="shared" si="9"/>
        <v>-0.92299672247477016</v>
      </c>
      <c r="J135" s="271">
        <f t="shared" si="9"/>
        <v>-1</v>
      </c>
      <c r="L135" t="s">
        <v>835</v>
      </c>
      <c r="M135" s="2" t="e">
        <f ca="1">IF($M$2="Alimentation",_xll.PALO.SETDATA(G135,FALSE,"localhost/Bati_fin_dev","Reporting","décembre","2011",$A$4,+L135,"NA",+$G$3),_xll.PALO.DATAC("localhost/Bati_fin_dev","Reporting","décembre","2011",$A$4,+L135,"NA",+$G$3))</f>
        <v>#VALUE!</v>
      </c>
    </row>
    <row r="136" spans="1:13" ht="12.75">
      <c r="A136" s="5" t="s">
        <v>338</v>
      </c>
      <c r="B136" s="92"/>
      <c r="C136" s="160">
        <f>IF(ISNA(VLOOKUP("CLE621200000",Balance!C:G,5,FALSE))=TRUE,0,VLOOKUP("CLE621200000",Balance!C:G,5,FALSE))</f>
        <v>0</v>
      </c>
      <c r="D136" s="117">
        <f>+[2]PSA!$H136</f>
        <v>0</v>
      </c>
      <c r="E136" s="160">
        <f>IF(ISNA(VLOOKUP("CLE621200000",Balanceanp!C:G,5,FALSE))=TRUE,0,VLOOKUP("CLE621200000",Balanceanp!C:G,5,FALSE))</f>
        <v>0</v>
      </c>
      <c r="F136" s="368">
        <f>+C136+C136/9*(12-Clients!$I$14)</f>
        <v>0</v>
      </c>
      <c r="G136" s="395"/>
      <c r="H136" s="401"/>
      <c r="I136" s="149">
        <f t="shared" si="9"/>
        <v>0</v>
      </c>
      <c r="J136" s="271">
        <f t="shared" si="9"/>
        <v>0</v>
      </c>
      <c r="L136" t="s">
        <v>834</v>
      </c>
      <c r="M136" s="2" t="e">
        <f ca="1">IF($M$2="Alimentation",_xll.PALO.SETDATA(G136,FALSE,"localhost/Bati_fin_dev","Reporting","décembre","2011",$A$4,+L136,"NA",+$G$3),_xll.PALO.DATAC("localhost/Bati_fin_dev","Reporting","décembre","2011",$A$4,+L136,"NA",+$G$3))</f>
        <v>#VALUE!</v>
      </c>
    </row>
    <row r="137" spans="1:13" ht="12.75">
      <c r="A137" s="5" t="s">
        <v>87</v>
      </c>
      <c r="B137" s="92"/>
      <c r="C137" s="160">
        <f>IF(ISNA(VLOOKUP("CLE706100000",Balance!C:G,5,FALSE))=TRUE,0,-VLOOKUP("CLE706100000",Balance!C:G,5,FALSE))</f>
        <v>0</v>
      </c>
      <c r="D137" s="117">
        <f>+[2]PSA!$H137</f>
        <v>0</v>
      </c>
      <c r="E137" s="160">
        <f>IF(ISNA(VLOOKUP("CLE706100000",Balanceanp!C:G,5,FALSE))=TRUE,0,-VLOOKUP("CLE706100000",Balanceanp!C:G,5,FALSE))</f>
        <v>0</v>
      </c>
      <c r="F137" s="368">
        <f>+C137+C137/9*(12-Clients!$I$14)</f>
        <v>0</v>
      </c>
      <c r="G137" s="395"/>
      <c r="H137" s="401"/>
      <c r="I137" s="149">
        <f t="shared" si="9"/>
        <v>0</v>
      </c>
      <c r="J137" s="271">
        <f t="shared" si="9"/>
        <v>0</v>
      </c>
      <c r="L137" t="s">
        <v>836</v>
      </c>
      <c r="M137" s="2" t="e">
        <f ca="1">IF($M$2="Alimentation",_xll.PALO.SETDATA(G137,FALSE,"localhost/Bati_fin_dev","Reporting","décembre","2011",$A$4,+L137,"NA",+$G$3),_xll.PALO.DATAC("localhost/Bati_fin_dev","Reporting","décembre","2011",$A$4,+L137,"NA",+$G$3))</f>
        <v>#VALUE!</v>
      </c>
    </row>
    <row r="138" spans="1:13" ht="12.75">
      <c r="A138" s="5" t="s">
        <v>152</v>
      </c>
      <c r="B138" s="92"/>
      <c r="C138" s="160">
        <f>IF(ISNA(VLOOKUP("CLE641210000",Balance!C:G,5,FALSE))=TRUE,0,VLOOKUP("CLE641210000",Balance!C:G,5,FALSE))</f>
        <v>0</v>
      </c>
      <c r="D138" s="117">
        <f>+[2]PSA!$H138</f>
        <v>0</v>
      </c>
      <c r="E138" s="160">
        <f>IF(ISNA(VLOOKUP("CLE641210000",Balanceanp!C:G,5,FALSE))=TRUE,0,VLOOKUP("CLE641210000",Balanceanp!C:G,5,FALSE))</f>
        <v>508.67000000000007</v>
      </c>
      <c r="F138" s="368">
        <f>+C138+C138/9*(12-Clients!$I$14)</f>
        <v>0</v>
      </c>
      <c r="G138" s="395"/>
      <c r="H138" s="401"/>
      <c r="I138" s="149">
        <f t="shared" si="9"/>
        <v>-1</v>
      </c>
      <c r="J138" s="271">
        <f t="shared" si="9"/>
        <v>0</v>
      </c>
      <c r="L138" t="s">
        <v>819</v>
      </c>
      <c r="M138" s="2" t="e">
        <f ca="1">IF($M$2="Alimentation",_xll.PALO.SETDATA(G138,FALSE,"localhost/Bati_fin_dev","Reporting","décembre","2011",$A$4,+L138,"NA",+$G$3),_xll.PALO.DATAC("localhost/Bati_fin_dev","Reporting","décembre","2011",$A$4,+L138,"NA",+$G$3))</f>
        <v>#VALUE!</v>
      </c>
    </row>
    <row r="139" spans="1:13" ht="12.75">
      <c r="A139" s="5" t="s">
        <v>153</v>
      </c>
      <c r="B139" s="92"/>
      <c r="C139" s="160">
        <f>IF(ISNA(VLOOKUP("CLE641400000",Balance!C:G,5,FALSE))=TRUE,0,VLOOKUP("CLE641400000",Balance!C:G,5,FALSE))</f>
        <v>0</v>
      </c>
      <c r="D139" s="117">
        <f>+[2]PSA!$H139</f>
        <v>0</v>
      </c>
      <c r="E139" s="160">
        <f>IF(ISNA(VLOOKUP("CLE641400000",Balanceanp!C:G,5,FALSE))=TRUE,0,VLOOKUP("CLE641400000",Balanceanp!C:G,5,FALSE))</f>
        <v>0</v>
      </c>
      <c r="F139" s="368">
        <f>+C139+C139/9*(12-Clients!$I$14)</f>
        <v>0</v>
      </c>
      <c r="G139" s="395"/>
      <c r="H139" s="401"/>
      <c r="I139" s="149">
        <f t="shared" si="9"/>
        <v>0</v>
      </c>
      <c r="J139" s="271">
        <f t="shared" si="9"/>
        <v>0</v>
      </c>
      <c r="L139" t="s">
        <v>816</v>
      </c>
      <c r="M139" s="2" t="e">
        <f ca="1">IF($M$2="Alimentation",_xll.PALO.SETDATA(G139,FALSE,"localhost/Bati_fin_dev","Reporting","décembre","2011",$A$4,+L139,"NA",+$G$3),_xll.PALO.DATAC("localhost/Bati_fin_dev","Reporting","décembre","2011",$A$4,+L139,"NA",+$G$3))</f>
        <v>#VALUE!</v>
      </c>
    </row>
    <row r="140" spans="1:13" ht="12.75">
      <c r="A140" s="5" t="s">
        <v>154</v>
      </c>
      <c r="B140" s="92"/>
      <c r="C140" s="160">
        <f>IF(ISNA(VLOOKUP("CLE641600000",Balance!C:G,5,FALSE))=TRUE,0,VLOOKUP("CLE641600000",Balance!C:G,5,FALSE))</f>
        <v>0</v>
      </c>
      <c r="D140" s="117">
        <f>+[2]PSA!$H140</f>
        <v>0</v>
      </c>
      <c r="E140" s="160">
        <f>IF(ISNA(VLOOKUP("CLE641600000",Balanceanp!C:G,5,FALSE))=TRUE,0,VLOOKUP("CLE641600000",Balanceanp!C:G,5,FALSE))</f>
        <v>0</v>
      </c>
      <c r="F140" s="368">
        <f>+C140+C140/9*(12-Clients!$I$14)</f>
        <v>0</v>
      </c>
      <c r="G140" s="395"/>
      <c r="H140" s="401"/>
      <c r="I140" s="149">
        <f t="shared" si="9"/>
        <v>0</v>
      </c>
      <c r="J140" s="271">
        <f t="shared" si="9"/>
        <v>0</v>
      </c>
      <c r="L140" t="s">
        <v>818</v>
      </c>
      <c r="M140" s="2" t="e">
        <f ca="1">IF($M$2="Alimentation",_xll.PALO.SETDATA(G140,FALSE,"localhost/Bati_fin_dev","Reporting","décembre","2011",$A$4,+L140,"NA",+$G$3),_xll.PALO.DATAC("localhost/Bati_fin_dev","Reporting","décembre","2011",$A$4,+L140,"NA",+$G$3))</f>
        <v>#VALUE!</v>
      </c>
    </row>
    <row r="141" spans="1:13" ht="12.75">
      <c r="A141" s="590" t="s">
        <v>155</v>
      </c>
      <c r="B141" s="591"/>
      <c r="C141" s="805">
        <f>IF(ISNA(VLOOKUP("CLE645100000",Balance!C:G,5,FALSE))=TRUE,0,VLOOKUP("CLE645100000",Balance!C:G,5,FALSE))</f>
        <v>39358.54</v>
      </c>
      <c r="D141" s="619">
        <f>+[2]PSA!$H141</f>
        <v>53643.356600821819</v>
      </c>
      <c r="E141" s="805">
        <f>IF(ISNA(VLOOKUP("CLE645100000",Balanceanp!C:G,5,FALSE))=TRUE,0,VLOOKUP("CLE645100000",Balanceanp!C:G,5,FALSE))</f>
        <v>48923.700000000004</v>
      </c>
      <c r="F141" s="593">
        <f>+C141+C141/9*(12-Clients!$I$14)</f>
        <v>52478.05333333333</v>
      </c>
      <c r="G141" s="1030">
        <f t="shared" ref="G141:G146" si="10">+($G$131/$C$131*C141)*1.01</f>
        <v>53745.420304851796</v>
      </c>
      <c r="H141" s="1030"/>
      <c r="I141" s="1013">
        <f t="shared" si="9"/>
        <v>7.2650951038726111E-2</v>
      </c>
      <c r="J141" s="1014">
        <f t="shared" si="9"/>
        <v>2.4150418908802245E-2</v>
      </c>
      <c r="L141" t="s">
        <v>841</v>
      </c>
      <c r="M141" s="2" t="e">
        <f ca="1">IF($M$2="Alimentation",_xll.PALO.SETDATA(G141,FALSE,"localhost/Bati_fin_dev","Reporting","décembre","2011",$A$4,+L141,"NA",+$G$3),_xll.PALO.DATAC("localhost/Bati_fin_dev","Reporting","décembre","2011",$A$4,+L141,"NA",+$G$3))</f>
        <v>#VALUE!</v>
      </c>
    </row>
    <row r="142" spans="1:13" ht="12.75">
      <c r="A142" s="590" t="s">
        <v>156</v>
      </c>
      <c r="B142" s="591"/>
      <c r="C142" s="805">
        <f>IF(ISNA(VLOOKUP("CLE645200000",Balance!C:G,5,FALSE))=TRUE,0,VLOOKUP("CLE645200000",Balance!C:G,5,FALSE))</f>
        <v>5502.75</v>
      </c>
      <c r="D142" s="619">
        <f>+[2]PSA!$H142</f>
        <v>7811.3818250767536</v>
      </c>
      <c r="E142" s="805">
        <f>IF(ISNA(VLOOKUP("CLE645200000",Balanceanp!C:G,5,FALSE))=TRUE,0,VLOOKUP("CLE645200000",Balanceanp!C:G,5,FALSE))</f>
        <v>7156.79</v>
      </c>
      <c r="F142" s="593">
        <f>+C142+C142/9*(12-Clients!$I$14)</f>
        <v>7337</v>
      </c>
      <c r="G142" s="1030">
        <f t="shared" si="10"/>
        <v>7514.1916235338813</v>
      </c>
      <c r="H142" s="1030"/>
      <c r="I142" s="1013">
        <f t="shared" si="9"/>
        <v>2.5180283339318332E-2</v>
      </c>
      <c r="J142" s="1014">
        <f t="shared" si="9"/>
        <v>2.4150418908802138E-2</v>
      </c>
      <c r="L142" t="s">
        <v>831</v>
      </c>
      <c r="M142" s="2" t="e">
        <f ca="1">IF($M$2="Alimentation",_xll.PALO.SETDATA(G142,FALSE,"localhost/Bati_fin_dev","Reporting","décembre","2011",$A$4,+L142,"NA",+$G$3),_xll.PALO.DATAC("localhost/Bati_fin_dev","Reporting","décembre","2011",$A$4,+L142,"NA",+$G$3))</f>
        <v>#VALUE!</v>
      </c>
    </row>
    <row r="143" spans="1:13" ht="12.75">
      <c r="A143" s="590" t="s">
        <v>157</v>
      </c>
      <c r="B143" s="591"/>
      <c r="C143" s="805">
        <f>IF(ISNA(VLOOKUP("CLE645300000",Balance!C:G,5,FALSE))=TRUE,0,VLOOKUP("CLE645300000",Balance!C:G,5,FALSE))</f>
        <v>11887.93</v>
      </c>
      <c r="D143" s="619">
        <f>+[2]PSA!$H143</f>
        <v>17036.72600245558</v>
      </c>
      <c r="E143" s="805">
        <f>IF(ISNA(VLOOKUP("CLE645300000",Balanceanp!C:G,5,FALSE))=TRUE,0,VLOOKUP("CLE645300000",Balanceanp!C:G,5,FALSE))</f>
        <v>15691.5</v>
      </c>
      <c r="F143" s="593">
        <f>+C143+C143/9*(12-Clients!$I$14)</f>
        <v>15850.573333333334</v>
      </c>
      <c r="G143" s="1030">
        <f t="shared" si="10"/>
        <v>16233.371319278023</v>
      </c>
      <c r="H143" s="1030"/>
      <c r="I143" s="1013">
        <f t="shared" si="9"/>
        <v>1.0137547929346062E-2</v>
      </c>
      <c r="J143" s="1014">
        <f t="shared" si="9"/>
        <v>2.4150418908802221E-2</v>
      </c>
      <c r="L143" t="s">
        <v>871</v>
      </c>
      <c r="M143" s="2" t="e">
        <f ca="1">IF($M$2="Alimentation",_xll.PALO.SETDATA(G143,FALSE,"localhost/Bati_fin_dev","Reporting","décembre","2011",$A$4,+L143,"NA",+$G$3),_xll.PALO.DATAC("localhost/Bati_fin_dev","Reporting","décembre","2011",$A$4,+L143,"NA",+$G$3))</f>
        <v>#VALUE!</v>
      </c>
    </row>
    <row r="144" spans="1:13" ht="12.75">
      <c r="A144" s="5" t="s">
        <v>326</v>
      </c>
      <c r="B144" s="92"/>
      <c r="C144" s="160">
        <f>IF(ISNA(VLOOKUP("CLE645310000",Balance!C:G,5,FALSE))=TRUE,0,VLOOKUP("CLE645310000",Balance!C:G,5,FALSE))</f>
        <v>0</v>
      </c>
      <c r="D144" s="117">
        <f>+[2]PSA!$H144</f>
        <v>0</v>
      </c>
      <c r="E144" s="160">
        <f>IF(ISNA(VLOOKUP("CLE645310000",Balanceanp!C:G,5,FALSE))=TRUE,0,VLOOKUP("CLE645310000",Balanceanp!C:G,5,FALSE))</f>
        <v>0</v>
      </c>
      <c r="F144" s="368">
        <f>+C144+C144/9*(12-Clients!$I$14)</f>
        <v>0</v>
      </c>
      <c r="G144" s="396">
        <f t="shared" si="10"/>
        <v>0</v>
      </c>
      <c r="H144" s="409"/>
      <c r="I144" s="149">
        <f t="shared" si="9"/>
        <v>0</v>
      </c>
      <c r="J144" s="271">
        <f t="shared" si="9"/>
        <v>0</v>
      </c>
      <c r="L144" t="s">
        <v>825</v>
      </c>
      <c r="M144" s="2" t="e">
        <f ca="1">IF($M$2="Alimentation",_xll.PALO.SETDATA(G144,FALSE,"localhost/Bati_fin_dev","Reporting","décembre","2011",$A$4,+L144,"NA",+$G$3),_xll.PALO.DATAC("localhost/Bati_fin_dev","Reporting","décembre","2011",$A$4,+L144,"NA",+$G$3))</f>
        <v>#VALUE!</v>
      </c>
    </row>
    <row r="145" spans="1:13" ht="12.75">
      <c r="A145" s="590" t="s">
        <v>158</v>
      </c>
      <c r="B145" s="591"/>
      <c r="C145" s="805">
        <f>IF(ISNA(VLOOKUP("CLE645400000",Balance!C:G,5,FALSE))=TRUE,0,VLOOKUP("CLE645400000",Balance!C:G,5,FALSE))</f>
        <v>7985.54</v>
      </c>
      <c r="D145" s="619">
        <f>+[2]PSA!$H145</f>
        <v>10460.916738791841</v>
      </c>
      <c r="E145" s="805">
        <f>IF(ISNA(VLOOKUP("CLE645400000",Balanceanp!C:G,5,FALSE))=TRUE,0,VLOOKUP("CLE645400000",Balanceanp!C:G,5,FALSE))</f>
        <v>9763.85</v>
      </c>
      <c r="F145" s="593">
        <f>+C145+C145/9*(12-Clients!$I$14)</f>
        <v>10647.386666666667</v>
      </c>
      <c r="G145" s="1030">
        <f t="shared" si="10"/>
        <v>10904.525514950661</v>
      </c>
      <c r="H145" s="1030"/>
      <c r="I145" s="1013">
        <f t="shared" si="9"/>
        <v>9.0490602238529561E-2</v>
      </c>
      <c r="J145" s="1014">
        <f t="shared" si="9"/>
        <v>2.4150418908802082E-2</v>
      </c>
      <c r="L145" t="s">
        <v>812</v>
      </c>
      <c r="M145" s="2" t="e">
        <f ca="1">IF($M$2="Alimentation",_xll.PALO.SETDATA(G145,FALSE,"localhost/Bati_fin_dev","Reporting","décembre","2011",$A$4,+L145,"NA",+$G$3),_xll.PALO.DATAC("localhost/Bati_fin_dev","Reporting","décembre","2011",$A$4,+L145,"NA",+$G$3))</f>
        <v>#VALUE!</v>
      </c>
    </row>
    <row r="146" spans="1:13" ht="12.75">
      <c r="A146" s="5" t="s">
        <v>159</v>
      </c>
      <c r="B146" s="92"/>
      <c r="C146" s="160">
        <f>IF(ISNA(VLOOKUP("CLE645800000",Balance!C:G,5,FALSE))=TRUE,0,VLOOKUP("CLE645800000",Balance!C:G,5,FALSE))</f>
        <v>0</v>
      </c>
      <c r="D146" s="117">
        <f>+[2]PSA!$H146</f>
        <v>0</v>
      </c>
      <c r="E146" s="160">
        <f>IF(ISNA(VLOOKUP("CLE645800000",Balanceanp!C:G,5,FALSE))=TRUE,0,VLOOKUP("CLE645800000",Balanceanp!C:G,5,FALSE))</f>
        <v>0</v>
      </c>
      <c r="F146" s="368">
        <f>+C146+C146/9*(12-Clients!$I$14)</f>
        <v>0</v>
      </c>
      <c r="G146" s="396">
        <f t="shared" si="10"/>
        <v>0</v>
      </c>
      <c r="H146" s="409"/>
      <c r="I146" s="149">
        <f t="shared" si="9"/>
        <v>0</v>
      </c>
      <c r="J146" s="271">
        <f t="shared" si="9"/>
        <v>0</v>
      </c>
      <c r="L146" t="s">
        <v>829</v>
      </c>
      <c r="M146" s="2" t="e">
        <f ca="1">IF($M$2="Alimentation",_xll.PALO.SETDATA(G146,FALSE,"localhost/Bati_fin_dev","Reporting","décembre","2011",$A$4,+L146,"NA",+$G$3),_xll.PALO.DATAC("localhost/Bati_fin_dev","Reporting","décembre","2011",$A$4,+L146,"NA",+$G$3))</f>
        <v>#VALUE!</v>
      </c>
    </row>
    <row r="147" spans="1:13" ht="12.75">
      <c r="A147" s="590" t="s">
        <v>160</v>
      </c>
      <c r="B147" s="591"/>
      <c r="C147" s="805">
        <f>IF(ISNA(VLOOKUP("CLE645900000",Balance!C:G,5,FALSE))=TRUE,0,VLOOKUP("CLE645900000",Balance!C:G,5,FALSE))</f>
        <v>699.71</v>
      </c>
      <c r="D147" s="619">
        <f>+[2]PSA!$H147</f>
        <v>-1311.8698000000002</v>
      </c>
      <c r="E147" s="805">
        <f>IF(ISNA(VLOOKUP("CLE645900000",Balanceanp!C:G,5,FALSE))=TRUE,0,VLOOKUP("CLE645900000",Balanceanp!C:G,5,FALSE))</f>
        <v>-842.74</v>
      </c>
      <c r="F147" s="593">
        <f>+C147+C147/9*(12-Clients!$I$14)</f>
        <v>932.94666666666672</v>
      </c>
      <c r="G147" s="1030">
        <f>+F147*1.03</f>
        <v>960.93506666666678</v>
      </c>
      <c r="H147" s="1030"/>
      <c r="I147" s="1013">
        <f t="shared" ref="I147:J152" si="11">+IF((E147)=0,,(F147-E147)/E147)</f>
        <v>-2.107039735466059</v>
      </c>
      <c r="J147" s="1014">
        <f t="shared" si="11"/>
        <v>3.0000000000000072E-2</v>
      </c>
      <c r="L147" t="s">
        <v>820</v>
      </c>
      <c r="M147" s="2" t="e">
        <f ca="1">IF($M$2="Alimentation",_xll.PALO.SETDATA(G147,FALSE,"localhost/Bati_fin_dev","Reporting","décembre","2011",$A$4,+L147,"NA",+$G$3),_xll.PALO.DATAC("localhost/Bati_fin_dev","Reporting","décembre","2011",$A$4,+L147,"NA",+$G$3))</f>
        <v>#VALUE!</v>
      </c>
    </row>
    <row r="148" spans="1:13" ht="12.75">
      <c r="A148" s="590" t="s">
        <v>161</v>
      </c>
      <c r="B148" s="591"/>
      <c r="C148" s="805">
        <f>IF(ISNA(VLOOKUP("CLE647100000",Balance!C:G,5,FALSE))=TRUE,0,VLOOKUP("CLE647100000",Balance!C:G,5,FALSE))</f>
        <v>24.71</v>
      </c>
      <c r="D148" s="619">
        <f>+[2]PSA!$H148</f>
        <v>0</v>
      </c>
      <c r="E148" s="805">
        <f>IF(ISNA(VLOOKUP("CLE647100000",Balanceanp!C:G,5,FALSE))=TRUE,0,VLOOKUP("CLE647100000",Balanceanp!C:G,5,FALSE))</f>
        <v>39.6</v>
      </c>
      <c r="F148" s="593">
        <f>+C148+C148/9*(12-Clients!$I$14)</f>
        <v>32.946666666666673</v>
      </c>
      <c r="G148" s="1030">
        <f>+F148*1.03</f>
        <v>33.935066666666671</v>
      </c>
      <c r="H148" s="1030"/>
      <c r="I148" s="1013">
        <f t="shared" si="11"/>
        <v>-0.16801346801346789</v>
      </c>
      <c r="J148" s="1014">
        <f t="shared" si="11"/>
        <v>2.9999999999999954E-2</v>
      </c>
      <c r="L148" t="s">
        <v>824</v>
      </c>
      <c r="M148" s="2" t="e">
        <f ca="1">IF($M$2="Alimentation",_xll.PALO.SETDATA(G148,FALSE,"localhost/Bati_fin_dev","Reporting","décembre","2011",$A$4,+L148,"NA",+$G$3),_xll.PALO.DATAC("localhost/Bati_fin_dev","Reporting","décembre","2011",$A$4,+L148,"NA",+$G$3))</f>
        <v>#VALUE!</v>
      </c>
    </row>
    <row r="149" spans="1:13" ht="12.75">
      <c r="A149" s="590" t="s">
        <v>162</v>
      </c>
      <c r="B149" s="591"/>
      <c r="C149" s="805">
        <f>IF(ISNA(VLOOKUP("CLE647400000",Balance!C:G,5,FALSE))=TRUE,0,VLOOKUP("CLE647400000",Balance!C:G,5,FALSE))</f>
        <v>0</v>
      </c>
      <c r="D149" s="619">
        <f>+[2]PSA!$H149</f>
        <v>53.42073541666668</v>
      </c>
      <c r="E149" s="805">
        <f>IF(ISNA(VLOOKUP("CLE647400000",Balanceanp!C:G,5,FALSE))=TRUE,0,VLOOKUP("CLE647400000",Balanceanp!C:G,5,FALSE))</f>
        <v>84.41</v>
      </c>
      <c r="F149" s="593">
        <f>+C149+C149/9*(12-Clients!$I$14)</f>
        <v>0</v>
      </c>
      <c r="G149" s="1030">
        <f>+F149*1.03</f>
        <v>0</v>
      </c>
      <c r="H149" s="1030"/>
      <c r="I149" s="1013">
        <f t="shared" si="11"/>
        <v>-1</v>
      </c>
      <c r="J149" s="1014">
        <f t="shared" si="11"/>
        <v>0</v>
      </c>
      <c r="L149" t="s">
        <v>832</v>
      </c>
      <c r="M149" s="2" t="e">
        <f ca="1">IF($M$2="Alimentation",_xll.PALO.SETDATA(G149,FALSE,"localhost/Bati_fin_dev","Reporting","décembre","2011",$A$4,+L149,"NA",+$G$3),_xll.PALO.DATAC("localhost/Bati_fin_dev","Reporting","décembre","2011",$A$4,+L149,"NA",+$G$3))</f>
        <v>#VALUE!</v>
      </c>
    </row>
    <row r="150" spans="1:13" ht="12.75">
      <c r="A150" s="590" t="s">
        <v>163</v>
      </c>
      <c r="B150" s="591"/>
      <c r="C150" s="805">
        <f>IF(ISNA(VLOOKUP("CLE647500000",Balance!C:G,5,FALSE))=TRUE,0,VLOOKUP("CLE647500000",Balance!C:G,5,FALSE))</f>
        <v>790</v>
      </c>
      <c r="D150" s="619">
        <f>+[2]PSA!$H150</f>
        <v>1065.4508229925</v>
      </c>
      <c r="E150" s="805">
        <f>IF(ISNA(VLOOKUP("CLE647500000",Balanceanp!C:G,5,FALSE))=TRUE,0,VLOOKUP("CLE647500000",Balanceanp!C:G,5,FALSE))</f>
        <v>814</v>
      </c>
      <c r="F150" s="593">
        <f>+C150+C150/9*(12-Clients!$I$14)</f>
        <v>1053.3333333333333</v>
      </c>
      <c r="G150" s="1030">
        <f>+F150*1.03</f>
        <v>1084.9333333333334</v>
      </c>
      <c r="H150" s="1030"/>
      <c r="I150" s="1013">
        <f t="shared" si="11"/>
        <v>0.29402129402129396</v>
      </c>
      <c r="J150" s="1014">
        <f t="shared" si="11"/>
        <v>3.0000000000000131E-2</v>
      </c>
      <c r="L150" t="s">
        <v>830</v>
      </c>
      <c r="M150" s="2" t="e">
        <f ca="1">IF($M$2="Alimentation",_xll.PALO.SETDATA(G150,FALSE,"localhost/Bati_fin_dev","Reporting","décembre","2011",$A$4,+L150,"NA",+$G$3),_xll.PALO.DATAC("localhost/Bati_fin_dev","Reporting","décembre","2011",$A$4,+L150,"NA",+$G$3))</f>
        <v>#VALUE!</v>
      </c>
    </row>
    <row r="151" spans="1:13" ht="12.75">
      <c r="A151" s="5" t="s">
        <v>570</v>
      </c>
      <c r="B151" s="92"/>
      <c r="C151" s="160"/>
      <c r="D151" s="117">
        <f>+[2]PSA!$H151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90" t="s">
        <v>58</v>
      </c>
      <c r="B152" s="591"/>
      <c r="C152" s="805">
        <f>IF(ISNA(VLOOKUP("CLE648000000",Balance!C:G,5,FALSE))=TRUE,0,VLOOKUP("CLE648000000",Balance!C:G,5,FALSE))</f>
        <v>0</v>
      </c>
      <c r="D152" s="619">
        <f>+[2]PSA!$H152</f>
        <v>4708.2870750000002</v>
      </c>
      <c r="E152" s="805">
        <f>IF(ISNA(VLOOKUP("CLE648000000",Balanceanp!C:G,5,FALSE))=TRUE,0,VLOOKUP("CLE648000000",Balanceanp!C:G,5,FALSE))</f>
        <v>6291.8311200000007</v>
      </c>
      <c r="F152" s="593">
        <f>+C152+C152/9*(12-Clients!$I$14)</f>
        <v>0</v>
      </c>
      <c r="G152" s="1030">
        <f>+F152*1.03</f>
        <v>0</v>
      </c>
      <c r="H152" s="1030">
        <f>SUM(G141:G152)</f>
        <v>90477.312229281029</v>
      </c>
      <c r="I152" s="1013">
        <f t="shared" si="11"/>
        <v>-1</v>
      </c>
      <c r="J152" s="1014">
        <f t="shared" si="11"/>
        <v>0</v>
      </c>
      <c r="L152" t="s">
        <v>813</v>
      </c>
      <c r="M152" s="2" t="e">
        <f ca="1">IF($M$2="Alimentation",_xll.PALO.SETDATA(G152,FALSE,"localhost/Bati_fin_dev","Reporting","décembre","2011",$A$4,+L152,"NA",+$G$3),_xll.PALO.DATAC("localhost/Bati_fin_dev","Reporting","décembre","2011",$A$4,+L152,"NA",+$G$3))</f>
        <v>#VALUE!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596">
        <f>+C154/$C$21</f>
        <v>0.14060901495332884</v>
      </c>
      <c r="C154" s="803">
        <f>SUM(C130:C153)</f>
        <v>242828.3</v>
      </c>
      <c r="D154" s="597">
        <f>SUM(D130:D153)</f>
        <v>342047.39450055518</v>
      </c>
      <c r="E154" s="803">
        <f>SUM(E130:E153)</f>
        <v>322403.18111999991</v>
      </c>
      <c r="F154" s="597">
        <f>SUM(F130:F153)</f>
        <v>323771.06666666653</v>
      </c>
      <c r="G154" s="597">
        <f>SUM(G130:G153)</f>
        <v>330055.31222928112</v>
      </c>
      <c r="H154" s="814">
        <f>+G154/$G$21</f>
        <v>0.14039064263012291</v>
      </c>
      <c r="I154" s="596">
        <f>+IF((E154)=0,,(F154-E154)/E154)</f>
        <v>4.2427793110313486E-3</v>
      </c>
      <c r="J154" s="1015">
        <f>+IF((F154)=0,,(G154-F154)/F154)</f>
        <v>1.9409534110978573E-2</v>
      </c>
      <c r="K154" s="136">
        <f>(C154+(C154/3))</f>
        <v>323771.06666666665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90" t="s">
        <v>545</v>
      </c>
      <c r="B156" s="591">
        <v>0.755</v>
      </c>
      <c r="C156" s="805">
        <f>IF(ISNA(VLOOKUP("CLE681740000",Balance!C:G,5,FALSE))=TRUE,0,VLOOKUP("CLE681740000",Balance!C:G,5,FALSE))</f>
        <v>10021.31</v>
      </c>
      <c r="D156" s="619">
        <f>+[2]PSA!$H156</f>
        <v>30264.105248999997</v>
      </c>
      <c r="E156" s="805">
        <f>IF(ISNA(VLOOKUP("CLE681740000",Balanceanp!C:G,5,FALSE))=TRUE,0,VLOOKUP("CLE681740000",Balanceanp!C:G,5,FALSE))</f>
        <v>25496.07</v>
      </c>
      <c r="F156" s="593">
        <f>+C156+C156/9*(12-Clients!$I$14)</f>
        <v>13361.746666666666</v>
      </c>
      <c r="G156" s="636">
        <f>+G21*B156*1.62%</f>
        <v>28754.811918000003</v>
      </c>
      <c r="H156" s="1034"/>
      <c r="I156" s="1013">
        <f t="shared" ref="I156:J166" si="12">+IF((E156)=0,,(F156-E156)/E156)</f>
        <v>-0.47592916607670649</v>
      </c>
      <c r="J156" s="1014">
        <f t="shared" si="12"/>
        <v>1.1520249287268833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90" t="s">
        <v>165</v>
      </c>
      <c r="B157" s="591"/>
      <c r="C157" s="805">
        <f>IF(ISNA(VLOOKUP("CLE781740000",Balance!C:G,5,FALSE))=TRUE,0,VLOOKUP("CLE781740000",Balance!C:G,5,FALSE))</f>
        <v>0</v>
      </c>
      <c r="D157" s="619">
        <f>+[2]PSA!$H157</f>
        <v>0</v>
      </c>
      <c r="E157" s="805">
        <f>IF(ISNA(VLOOKUP("CLE781740000",Balanceanp!C:G,5,FALSE))=TRUE,0,VLOOKUP("CLE781740000",Balanceanp!C:G,5,FALSE))</f>
        <v>-188.25</v>
      </c>
      <c r="F157" s="593">
        <f>+C157+C157/9*(12-Clients!$I$14)</f>
        <v>0</v>
      </c>
      <c r="G157" s="1030">
        <v>0</v>
      </c>
      <c r="H157" s="1030"/>
      <c r="I157" s="1013">
        <f t="shared" si="12"/>
        <v>-1</v>
      </c>
      <c r="J157" s="1014">
        <f t="shared" si="12"/>
        <v>0</v>
      </c>
      <c r="L157" t="s">
        <v>851</v>
      </c>
      <c r="M157" s="2" t="e">
        <f ca="1">IF($M$2="Alimentation",_xll.PALO.SETDATA(G157,FALSE,"localhost/Bati_fin_dev","Reporting","décembre","2011",$A$4,+L157,"NA",+$G$3),_xll.PALO.DATAC("localhost/Bati_fin_dev","Reporting","décembre","2011",$A$4,+L157,"NA",+$G$3))</f>
        <v>#VALUE!</v>
      </c>
    </row>
    <row r="158" spans="1:13" ht="12.75">
      <c r="A158" s="590" t="s">
        <v>166</v>
      </c>
      <c r="B158" s="591"/>
      <c r="C158" s="805">
        <f>IF(ISNA(VLOOKUP("CLE654400000",Balance!C:G,5,FALSE))=TRUE,0,VLOOKUP("CLE654400000",Balance!C:G,5,FALSE))</f>
        <v>6137.32</v>
      </c>
      <c r="D158" s="619">
        <f>+[2]PSA!$H158</f>
        <v>0</v>
      </c>
      <c r="E158" s="805">
        <f>IF(ISNA(VLOOKUP("CLE654400000",Balanceanp!C:G,5,FALSE))=TRUE,0,VLOOKUP("CLE654400000",Balanceanp!C:G,5,FALSE))</f>
        <v>0</v>
      </c>
      <c r="F158" s="593">
        <f>+C158+C158/9*(12-Clients!$I$14)</f>
        <v>8183.0933333333323</v>
      </c>
      <c r="G158" s="1030">
        <v>0</v>
      </c>
      <c r="H158" s="1030"/>
      <c r="I158" s="1013">
        <f t="shared" si="12"/>
        <v>0</v>
      </c>
      <c r="J158" s="1014">
        <f t="shared" si="12"/>
        <v>-1</v>
      </c>
      <c r="L158" t="s">
        <v>844</v>
      </c>
      <c r="M158" s="2" t="e">
        <f ca="1">IF($M$2="Alimentation",_xll.PALO.SETDATA(G158,FALSE,"localhost/Bati_fin_dev","Reporting","décembre","2011",$A$4,+L158,"NA",+$G$3),_xll.PALO.DATAC("localhost/Bati_fin_dev","Reporting","décembre","2011",$A$4,+L158,"NA",+$G$3))</f>
        <v>#VALUE!</v>
      </c>
    </row>
    <row r="159" spans="1:13" ht="12.75">
      <c r="A159" s="590" t="s">
        <v>60</v>
      </c>
      <c r="B159" s="591"/>
      <c r="C159" s="805">
        <f>IF(ISNA(VLOOKUP("CLE791100000",Balance!C:G,5,FALSE))=TRUE,0,VLOOKUP("CLE791100000",Balance!C:G,5,FALSE))</f>
        <v>-2942.28</v>
      </c>
      <c r="D159" s="619">
        <f>+[2]PSA!$H159</f>
        <v>0</v>
      </c>
      <c r="E159" s="805">
        <f>IF(ISNA(VLOOKUP("CLE791100000",Balanceanp!C:G,5,FALSE))=TRUE,0,VLOOKUP("CLE791100000",Balanceanp!C:G,5,FALSE))</f>
        <v>-3672.45</v>
      </c>
      <c r="F159" s="593">
        <f>+C159+C159/9*(12-Clients!$I$14)</f>
        <v>-3923.04</v>
      </c>
      <c r="G159" s="1030">
        <v>0</v>
      </c>
      <c r="H159" s="1030"/>
      <c r="I159" s="1013">
        <f t="shared" si="12"/>
        <v>6.8235101907446027E-2</v>
      </c>
      <c r="J159" s="1014">
        <f t="shared" si="12"/>
        <v>-1</v>
      </c>
      <c r="L159" t="s">
        <v>849</v>
      </c>
      <c r="M159" s="2" t="e">
        <f ca="1">IF($M$2="Alimentation",_xll.PALO.SETDATA(G159,FALSE,"localhost/Bati_fin_dev","Reporting","décembre","2011",$A$4,+L159,"NA",+$G$3),_xll.PALO.DATAC("localhost/Bati_fin_dev","Reporting","décembre","2011",$A$4,+L159,"NA",+$G$3))</f>
        <v>#VALUE!</v>
      </c>
    </row>
    <row r="160" spans="1:13" ht="12.75">
      <c r="A160" s="590" t="s">
        <v>199</v>
      </c>
      <c r="B160" s="591"/>
      <c r="C160" s="805">
        <f>IF(ISNA(VLOOKUP("CLE654100000",Balance!C:G,5,FALSE))=TRUE,0,VLOOKUP("CLE654100000",Balance!C:G,5,FALSE))</f>
        <v>-5.25</v>
      </c>
      <c r="D160" s="619">
        <f>+[2]PSA!$H160</f>
        <v>0</v>
      </c>
      <c r="E160" s="805">
        <f>IF(ISNA(VLOOKUP("CLE654100000",Balanceanp!C:G,5,FALSE))=TRUE,0,VLOOKUP("CLE654100000",Balanceanp!C:G,5,FALSE))</f>
        <v>-34.270000000000003</v>
      </c>
      <c r="F160" s="593">
        <f>+C160+C160/9*(12-Clients!$I$14)</f>
        <v>-7</v>
      </c>
      <c r="G160" s="1030">
        <v>0</v>
      </c>
      <c r="H160" s="1030"/>
      <c r="I160" s="1013">
        <f t="shared" si="12"/>
        <v>-0.79573971403559962</v>
      </c>
      <c r="J160" s="1014">
        <f t="shared" si="12"/>
        <v>-1</v>
      </c>
      <c r="L160" t="s">
        <v>850</v>
      </c>
      <c r="M160" s="2" t="e">
        <f ca="1">IF($M$2="Alimentation",_xll.PALO.SETDATA(G160,FALSE,"localhost/Bati_fin_dev","Reporting","décembre","2011",$A$4,+L160,"NA",+$G$3),_xll.PALO.DATAC("localhost/Bati_fin_dev","Reporting","décembre","2011",$A$4,+L160,"NA",+$G$3))</f>
        <v>#VALUE!</v>
      </c>
    </row>
    <row r="161" spans="1:13" ht="12.75">
      <c r="A161" s="590" t="s">
        <v>41</v>
      </c>
      <c r="B161" s="591"/>
      <c r="C161" s="805">
        <f>IF(ISNA(VLOOKUP("CLE622700000",Balance!C:G,5,FALSE))=TRUE,0,VLOOKUP("CLE622700000",Balance!C:G,5,FALSE))</f>
        <v>981.78</v>
      </c>
      <c r="D161" s="619">
        <f>+[2]PSA!$H161</f>
        <v>378.74222700000007</v>
      </c>
      <c r="E161" s="805">
        <f>IF(ISNA(VLOOKUP("CLE622700000",Balanceanp!C:G,5,FALSE))=TRUE,0,VLOOKUP("CLE622700000",Balanceanp!C:G,5,FALSE))</f>
        <v>737</v>
      </c>
      <c r="F161" s="593">
        <f>+C161+C161/9*(12-Clients!$I$14)</f>
        <v>1309.04</v>
      </c>
      <c r="G161" s="1030">
        <f t="shared" ref="G161:G166" si="13">+F161*1.03</f>
        <v>1348.3112000000001</v>
      </c>
      <c r="H161" s="1030"/>
      <c r="I161" s="1013">
        <f t="shared" si="12"/>
        <v>0.77617367706919937</v>
      </c>
      <c r="J161" s="1014">
        <f t="shared" si="12"/>
        <v>3.0000000000000103E-2</v>
      </c>
      <c r="L161" t="s">
        <v>846</v>
      </c>
      <c r="M161" s="2" t="e">
        <f ca="1">IF($M$2="Alimentation",_xll.PALO.SETDATA(G161,FALSE,"localhost/Bati_fin_dev","Reporting","décembre","2011",$A$4,+L161,"NA",+$G$3),_xll.PALO.DATAC("localhost/Bati_fin_dev","Reporting","décembre","2011",$A$4,+L161,"NA",+$G$3))</f>
        <v>#VALUE!</v>
      </c>
    </row>
    <row r="162" spans="1:13" ht="12.75">
      <c r="A162" s="590" t="s">
        <v>355</v>
      </c>
      <c r="B162" s="591"/>
      <c r="C162" s="805">
        <f>IF(ISNA(VLOOKUP("CLE654200000",Balance!C:G,5,FALSE))=TRUE,0,VLOOKUP("CLE654200000",Balance!C:G,5,FALSE))</f>
        <v>4.7300000000000004</v>
      </c>
      <c r="D162" s="619">
        <f>+[2]PSA!$H162</f>
        <v>3.4165100000000002</v>
      </c>
      <c r="E162" s="805">
        <f>IF(ISNA(VLOOKUP("CLE654200000",Balanceanp!C:G,5,FALSE))=TRUE,0,VLOOKUP("CLE654200000",Balanceanp!C:G,5,FALSE))</f>
        <v>9.56</v>
      </c>
      <c r="F162" s="593">
        <f>+C162+C162/9*(12-Clients!$I$14)</f>
        <v>6.3066666666666666</v>
      </c>
      <c r="G162" s="1030">
        <f t="shared" si="13"/>
        <v>6.4958666666666671</v>
      </c>
      <c r="H162" s="1030"/>
      <c r="I162" s="1013">
        <f t="shared" si="12"/>
        <v>-0.34030683403068346</v>
      </c>
      <c r="J162" s="1014">
        <f t="shared" si="12"/>
        <v>3.0000000000000075E-2</v>
      </c>
      <c r="L162" t="s">
        <v>847</v>
      </c>
      <c r="M162" s="2" t="e">
        <f ca="1">IF($M$2="Alimentation",_xll.PALO.SETDATA(G162,FALSE,"localhost/Bati_fin_dev","Reporting","décembre","2011",$A$4,+L162,"NA",+$G$3),_xll.PALO.DATAC("localhost/Bati_fin_dev","Reporting","décembre","2011",$A$4,+L162,"NA",+$G$3))</f>
        <v>#VALUE!</v>
      </c>
    </row>
    <row r="163" spans="1:13" ht="12.75">
      <c r="A163" s="590" t="s">
        <v>200</v>
      </c>
      <c r="B163" s="591"/>
      <c r="C163" s="805">
        <f>IF(ISNA(VLOOKUP("CLE665000000",Balance!C:G,5,FALSE))=TRUE,0,VLOOKUP("CLE665000000",Balance!C:G,5,FALSE))+IF(ISNA(VLOOKUP("CLE665100000",Balance!C:G,5,FALSE))=TRUE,0,VLOOKUP("CLE665100000",Balance!C:G,5,FALSE))</f>
        <v>1411.23</v>
      </c>
      <c r="D163" s="619">
        <f>+[2]PSA!$H163</f>
        <v>116.57282500000001</v>
      </c>
      <c r="E163" s="805">
        <f>IF(ISNA(VLOOKUP("CLE665000000",Balanceanp!C:G,5,FALSE))=TRUE,0,VLOOKUP("CLE665000000",Balanceanp!C:G,5,FALSE))+IF(ISNA(VLOOKUP("CLE665100000",Balanceanp!C:G,5,FALSE))=TRUE,0,VLOOKUP("CLE665100000",Balanceanp!C:G,5,FALSE))</f>
        <v>76.13</v>
      </c>
      <c r="F163" s="593">
        <f>+C163+C163/9*(12-Clients!$I$14)</f>
        <v>1881.64</v>
      </c>
      <c r="G163" s="1030">
        <f t="shared" si="13"/>
        <v>1938.0892000000001</v>
      </c>
      <c r="H163" s="1030"/>
      <c r="I163" s="1013">
        <f t="shared" si="12"/>
        <v>23.716143438854594</v>
      </c>
      <c r="J163" s="1014">
        <f t="shared" si="12"/>
        <v>3.0000000000000009E-2</v>
      </c>
      <c r="L163" t="s">
        <v>845</v>
      </c>
      <c r="M163" s="2" t="e">
        <f ca="1">IF($M$2="Alimentation",_xll.PALO.SETDATA(G163,FALSE,"localhost/Bati_fin_dev","Reporting","décembre","2011",$A$4,+L163,"NA",+$G$3),_xll.PALO.DATAC("localhost/Bati_fin_dev","Reporting","décembre","2011",$A$4,+L163,"NA",+$G$3))</f>
        <v>#VALUE!</v>
      </c>
    </row>
    <row r="164" spans="1:13" ht="12.75">
      <c r="A164" s="590" t="s">
        <v>271</v>
      </c>
      <c r="B164" s="591"/>
      <c r="C164" s="805">
        <f>IF(ISNA(VLOOKUP("CLE763000000",Balance!C:G,5,FALSE))=TRUE,0,VLOOKUP("CLE763000000",Balance!C:G,5,FALSE))</f>
        <v>-69</v>
      </c>
      <c r="D164" s="619">
        <f>+[2]PSA!$H164</f>
        <v>-97.953000000000003</v>
      </c>
      <c r="E164" s="805">
        <f>IF(ISNA(VLOOKUP("CLE763000000",Balanceanp!C:G,5,FALSE))=TRUE,0,VLOOKUP("CLE763000000",Balanceanp!C:G,5,FALSE))</f>
        <v>-149.1</v>
      </c>
      <c r="F164" s="593">
        <f>+C164+C164/9*(12-Clients!$I$14)</f>
        <v>-92</v>
      </c>
      <c r="G164" s="1030">
        <f t="shared" si="13"/>
        <v>-94.76</v>
      </c>
      <c r="H164" s="1030"/>
      <c r="I164" s="1013">
        <f t="shared" si="12"/>
        <v>-0.38296445338698859</v>
      </c>
      <c r="J164" s="1014">
        <f t="shared" si="12"/>
        <v>3.0000000000000054E-2</v>
      </c>
      <c r="L164" t="s">
        <v>848</v>
      </c>
      <c r="M164" s="2" t="e">
        <f ca="1">IF($M$2="Alimentation",_xll.PALO.SETDATA(G164,FALSE,"localhost/Bati_fin_dev","Reporting","décembre","2011",$A$4,+L164,"NA",+$G$3),_xll.PALO.DATAC("localhost/Bati_fin_dev","Reporting","décembre","2011",$A$4,+L164,"NA",+$G$3))</f>
        <v>#VALUE!</v>
      </c>
    </row>
    <row r="165" spans="1:13" ht="12.75">
      <c r="A165" s="590" t="s">
        <v>242</v>
      </c>
      <c r="B165" s="591"/>
      <c r="C165" s="805">
        <f>IF(ISNA(VLOOKUP("CLE627520000",Balance!C:G,5,FALSE))=TRUE,0,VLOOKUP("CLE627520000",Balance!C:G,5,FALSE))</f>
        <v>235.3</v>
      </c>
      <c r="D165" s="619">
        <f>+[2]PSA!$H165</f>
        <v>233.60400000000001</v>
      </c>
      <c r="E165" s="805">
        <f>IF(ISNA(VLOOKUP("CLE627520000",Balanceanp!C:G,5,FALSE))=TRUE,0,VLOOKUP("CLE627520000",Balanceanp!C:G,5,FALSE))</f>
        <v>341.4</v>
      </c>
      <c r="F165" s="593">
        <f>+C165+C165/9*(12-Clients!$I$14)</f>
        <v>313.73333333333335</v>
      </c>
      <c r="G165" s="1030">
        <f t="shared" si="13"/>
        <v>323.14533333333338</v>
      </c>
      <c r="H165" s="1030"/>
      <c r="I165" s="1013">
        <f t="shared" si="12"/>
        <v>-8.1038859597734714E-2</v>
      </c>
      <c r="J165" s="1014">
        <f t="shared" si="12"/>
        <v>3.000000000000011E-2</v>
      </c>
      <c r="L165" t="s">
        <v>843</v>
      </c>
      <c r="M165" s="2" t="e">
        <f ca="1">IF($M$2="Alimentation",_xll.PALO.SETDATA(G165,FALSE,"localhost/Bati_fin_dev","Reporting","décembre","2011",$A$4,+L165,"NA",+$G$3),_xll.PALO.DATAC("localhost/Bati_fin_dev","Reporting","décembre","2011",$A$4,+L165,"NA",+$G$3))</f>
        <v>#VALUE!</v>
      </c>
    </row>
    <row r="166" spans="1:13" ht="12.75">
      <c r="A166" s="590" t="s">
        <v>201</v>
      </c>
      <c r="B166" s="591"/>
      <c r="C166" s="805">
        <f>IF(ISNA(VLOOKUP("CLE763100000",Balance!C:G,5,FALSE))=TRUE,0,VLOOKUP("CLE763100000",Balance!C:G,5,FALSE))</f>
        <v>0</v>
      </c>
      <c r="D166" s="619">
        <f>+[2]PSA!$H166</f>
        <v>-10.697408333333335</v>
      </c>
      <c r="E166" s="805">
        <f>IF(ISNA(VLOOKUP("CLE763100000",Balanceanp!C:G,5,FALSE))=TRUE,0,VLOOKUP("CLE763100000",Balanceanp!C:G,5,FALSE))</f>
        <v>0</v>
      </c>
      <c r="F166" s="593">
        <f>+C166+C166/9*(12-Clients!$I$14)</f>
        <v>0</v>
      </c>
      <c r="G166" s="1030">
        <f t="shared" si="13"/>
        <v>0</v>
      </c>
      <c r="H166" s="1030"/>
      <c r="I166" s="1013">
        <f t="shared" si="12"/>
        <v>0</v>
      </c>
      <c r="J166" s="1014">
        <f t="shared" si="12"/>
        <v>0</v>
      </c>
      <c r="L166" t="s">
        <v>842</v>
      </c>
      <c r="M166" s="2" t="e">
        <f ca="1">IF($M$2="Alimentation",_xll.PALO.SETDATA(G166,FALSE,"localhost/Bati_fin_dev","Reporting","décembre","2011",$A$4,+L166,"NA",+$G$3),_xll.PALO.DATAC("localhost/Bati_fin_dev","Reporting","décembre","2011",$A$4,+L166,"NA",+$G$3))</f>
        <v>#VALUE!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596">
        <f>+C168/$C$21</f>
        <v>9.1345485520050815E-3</v>
      </c>
      <c r="C168" s="803">
        <f>SUM(C155:C167)</f>
        <v>15775.139999999998</v>
      </c>
      <c r="D168" s="597">
        <f>SUM(D155:D167)</f>
        <v>30887.790402666658</v>
      </c>
      <c r="E168" s="803">
        <f>SUM(E155:E167)</f>
        <v>22616.090000000004</v>
      </c>
      <c r="F168" s="597">
        <f>SUM(F155:F167)</f>
        <v>21033.519999999997</v>
      </c>
      <c r="G168" s="597">
        <f>SUM(G155:G167)</f>
        <v>32276.093518000005</v>
      </c>
      <c r="H168" s="814">
        <f>+G168/$G$21</f>
        <v>1.3728794364728214E-2</v>
      </c>
      <c r="I168" s="596">
        <f>+IF((E168)=0,,(F168-E168)/E168)</f>
        <v>-6.9975402467889303E-2</v>
      </c>
      <c r="J168" s="1015">
        <f>+IF((F168)=0,,(G168-F168)/F168)</f>
        <v>0.53450746798443671</v>
      </c>
      <c r="K168" s="136">
        <f>(C168+(C168/3))</f>
        <v>21033.519999999997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IF(ISNA(VLOOKUP("CLE651100000",Balance!C:G,5,FALSE))=TRUE,0,VLOOKUP("CLE651100000",Balance!C:G,5,FALSE))</f>
        <v>0</v>
      </c>
      <c r="D170" s="117">
        <f>+[2]PSA!$H170</f>
        <v>0</v>
      </c>
      <c r="E170" s="160">
        <f>IF(ISNA(VLOOKUP("CLE651100000",Balanceanp!C:G,5,FALSE))=TRUE,0,VLOOKUP("CLE651100000",Balanceanp!C:G,5,FALSE))</f>
        <v>0</v>
      </c>
      <c r="F170" s="368">
        <f>+C170+C170/9*(12-Clients!$I$14)</f>
        <v>0</v>
      </c>
      <c r="G170" s="396">
        <f t="shared" ref="G170:G183" si="14">+F170*1.03</f>
        <v>0</v>
      </c>
      <c r="H170" s="409"/>
      <c r="I170" s="149">
        <f t="shared" ref="I170:J183" si="15">+IF((E170)=0,,(F170-E170)/E170)</f>
        <v>0</v>
      </c>
      <c r="J170" s="271">
        <f t="shared" si="15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90" t="s">
        <v>168</v>
      </c>
      <c r="B171" s="591"/>
      <c r="C171" s="805">
        <f>IF(ISNA(VLOOKUP("CLE651600000",Balance!C:G,5,FALSE))=TRUE,0,VLOOKUP("CLE651600000",Balance!C:G,5,FALSE))</f>
        <v>0</v>
      </c>
      <c r="D171" s="619">
        <f>+[2]PSA!$H171</f>
        <v>972.04564113166668</v>
      </c>
      <c r="E171" s="805">
        <f>IF(ISNA(VLOOKUP("CLE651600000",Balanceanp!C:G,5,FALSE))=TRUE,0,VLOOKUP("CLE651600000",Balanceanp!C:G,5,FALSE))</f>
        <v>849.37</v>
      </c>
      <c r="F171" s="593">
        <f>+C171+C171/9*(12-Clients!$I$14)</f>
        <v>0</v>
      </c>
      <c r="G171" s="1030">
        <f t="shared" si="14"/>
        <v>0</v>
      </c>
      <c r="H171" s="1030"/>
      <c r="I171" s="1013">
        <f t="shared" si="15"/>
        <v>-1</v>
      </c>
      <c r="J171" s="1014">
        <f t="shared" si="15"/>
        <v>0</v>
      </c>
      <c r="L171" t="s">
        <v>792</v>
      </c>
      <c r="M171" s="2" t="e">
        <f ca="1">IF($M$2="Alimentation",_xll.PALO.SETDATA(G171,FALSE,"localhost/Bati_fin_dev","Reporting","décembre","2011",$A$4,+L171,"NA",+$G$3),_xll.PALO.DATAC("localhost/Bati_fin_dev","Reporting","décembre","2011",$A$4,+L171,"NA",+$G$3))</f>
        <v>#VALUE!</v>
      </c>
    </row>
    <row r="172" spans="1:13" ht="12.75">
      <c r="A172" s="5" t="s">
        <v>169</v>
      </c>
      <c r="B172" s="92"/>
      <c r="C172" s="160">
        <f>IF(ISNA(VLOOKUP("CLE671200000",Balance!C:G,5,FALSE))=TRUE,0,VLOOKUP("CLE671200000",Balance!C:G,5,FALSE))</f>
        <v>0</v>
      </c>
      <c r="D172" s="117">
        <f>+[2]PSA!$H172</f>
        <v>0</v>
      </c>
      <c r="E172" s="160">
        <f>IF(ISNA(VLOOKUP("CLE671200000",Balanceanp!C:G,5,FALSE))=TRUE,0,VLOOKUP("CLE671200000",Balanceanp!C:G,5,FALSE))</f>
        <v>0</v>
      </c>
      <c r="F172" s="368">
        <f>+C172+C172/9*(12-Clients!$I$14)</f>
        <v>0</v>
      </c>
      <c r="G172" s="396">
        <f t="shared" si="14"/>
        <v>0</v>
      </c>
      <c r="H172" s="409"/>
      <c r="I172" s="149">
        <f t="shared" si="15"/>
        <v>0</v>
      </c>
      <c r="J172" s="271">
        <f t="shared" si="15"/>
        <v>0</v>
      </c>
      <c r="L172" t="s">
        <v>794</v>
      </c>
      <c r="M172" s="2" t="e">
        <f ca="1">IF($M$2="Alimentation",_xll.PALO.SETDATA(G172,FALSE,"localhost/Bati_fin_dev","Reporting","décembre","2011",$A$4,+L172,"NA",+$G$3),_xll.PALO.DATAC("localhost/Bati_fin_dev","Reporting","décembre","2011",$A$4,+L172,"NA",+$G$3))</f>
        <v>#VALUE!</v>
      </c>
    </row>
    <row r="173" spans="1:13" ht="12.75">
      <c r="A173" s="590" t="s">
        <v>170</v>
      </c>
      <c r="B173" s="591"/>
      <c r="C173" s="805">
        <f>IF(ISNA(VLOOKUP("CLE671800000",Balance!C:G,5,FALSE))=TRUE,0,VLOOKUP("CLE671800000",Balance!C:G,5,FALSE))</f>
        <v>5806.77</v>
      </c>
      <c r="D173" s="619">
        <f>+[2]PSA!$H173</f>
        <v>1946.8339000000001</v>
      </c>
      <c r="E173" s="805">
        <f>IF(ISNA(VLOOKUP("CLE671800000",Balanceanp!C:G,5,FALSE))=TRUE,0,VLOOKUP("CLE671800000",Balanceanp!C:G,5,FALSE))+IF(ISNA(VLOOKUP("CLE658000000",Balanceanp!C:G,5,FALSE))=TRUE,0,VLOOKUP("CLE658000000",Balanceanp!C:G,5,FALSE))</f>
        <v>1889.22</v>
      </c>
      <c r="F173" s="593">
        <f>+C173+C173/9*(12-Clients!$I$14)</f>
        <v>7742.3600000000006</v>
      </c>
      <c r="G173" s="1030">
        <f t="shared" si="14"/>
        <v>7974.6308000000008</v>
      </c>
      <c r="H173" s="1030"/>
      <c r="I173" s="1013">
        <f t="shared" si="15"/>
        <v>3.0981780840770266</v>
      </c>
      <c r="J173" s="1014">
        <f t="shared" si="15"/>
        <v>3.0000000000000027E-2</v>
      </c>
      <c r="L173" t="s">
        <v>786</v>
      </c>
      <c r="M173" s="2" t="e">
        <f ca="1">IF($M$2="Alimentation",_xll.PALO.SETDATA(G173,FALSE,"localhost/Bati_fin_dev","Reporting","décembre","2011",$A$4,+L173,"NA",+$G$3),_xll.PALO.DATAC("localhost/Bati_fin_dev","Reporting","décembre","2011",$A$4,+L173,"NA",+$G$3))</f>
        <v>#VALUE!</v>
      </c>
    </row>
    <row r="174" spans="1:13" ht="12.75">
      <c r="A174" s="5" t="s">
        <v>341</v>
      </c>
      <c r="B174" s="92"/>
      <c r="C174" s="160">
        <f>IF(ISNA(VLOOKUP("CLE672000000",Balance!C:G,5,FALSE))=TRUE,0,VLOOKUP("CLE672000000",Balance!C:G,5,FALSE))</f>
        <v>0</v>
      </c>
      <c r="D174" s="117">
        <f>+[2]PSA!$H174</f>
        <v>0</v>
      </c>
      <c r="E174" s="160">
        <f>IF(ISNA(VLOOKUP("CLE672000000",Balanceanp!C:G,5,FALSE))=TRUE,0,VLOOKUP("CLE672000000",Balanceanp!C:G,5,FALSE))</f>
        <v>0</v>
      </c>
      <c r="F174" s="368">
        <f>+C174+C174/9*(12-Clients!$I$14)</f>
        <v>0</v>
      </c>
      <c r="G174" s="396">
        <f t="shared" si="14"/>
        <v>0</v>
      </c>
      <c r="H174" s="409"/>
      <c r="I174" s="149">
        <f t="shared" si="15"/>
        <v>0</v>
      </c>
      <c r="J174" s="271">
        <f t="shared" si="15"/>
        <v>0</v>
      </c>
      <c r="L174" t="s">
        <v>787</v>
      </c>
      <c r="M174" s="2" t="e">
        <f ca="1">IF($M$2="Alimentation",_xll.PALO.SETDATA(G174,FALSE,"localhost/Bati_fin_dev","Reporting","décembre","2011",$A$4,+L174,"NA",+$G$3),_xll.PALO.DATAC("localhost/Bati_fin_dev","Reporting","décembre","2011",$A$4,+L174,"NA",+$G$3))</f>
        <v>#VALUE!</v>
      </c>
    </row>
    <row r="175" spans="1:13" ht="12.75">
      <c r="A175" s="5" t="s">
        <v>308</v>
      </c>
      <c r="B175" s="92"/>
      <c r="C175" s="160">
        <f>IF(ISNA(VLOOKUP("CLE691100000",Balance!C:G,5,FALSE))=TRUE,0,VLOOKUP("CLE691100000",Balance!C:G,5,FALSE))</f>
        <v>0</v>
      </c>
      <c r="D175" s="117">
        <f>+[2]PSA!$H175</f>
        <v>0</v>
      </c>
      <c r="E175" s="160">
        <f>IF(ISNA(VLOOKUP("CLE691100000",Balanceanp!C:G,5,FALSE))=TRUE,0,VLOOKUP("CLE691100000",Balanceanp!C:G,5,FALSE))</f>
        <v>0</v>
      </c>
      <c r="F175" s="368">
        <f>+C175+C175/9*(12-Clients!$I$14)</f>
        <v>0</v>
      </c>
      <c r="G175" s="396">
        <f t="shared" si="14"/>
        <v>0</v>
      </c>
      <c r="H175" s="409"/>
      <c r="I175" s="149">
        <f t="shared" si="15"/>
        <v>0</v>
      </c>
      <c r="J175" s="271">
        <f t="shared" si="15"/>
        <v>0</v>
      </c>
      <c r="L175" t="s">
        <v>796</v>
      </c>
      <c r="M175" s="2" t="e">
        <f ca="1">IF($M$2="Alimentation",_xll.PALO.SETDATA(G175,FALSE,"localhost/Bati_fin_dev","Reporting","décembre","2011",$A$4,+L175,"NA",+$G$3),_xll.PALO.DATAC("localhost/Bati_fin_dev","Reporting","décembre","2011",$A$4,+L175,"NA",+$G$3))</f>
        <v>#VALUE!</v>
      </c>
    </row>
    <row r="176" spans="1:13" ht="12.75">
      <c r="A176" s="590" t="s">
        <v>172</v>
      </c>
      <c r="B176" s="591"/>
      <c r="C176" s="805">
        <f>IF(ISNA(VLOOKUP("CLE675100000",Balance!C:G,5,FALSE))=TRUE,0,VLOOKUP("CLE675100000",Balance!C:G,5,FALSE))</f>
        <v>0</v>
      </c>
      <c r="D176" s="619">
        <f>+[2]PSA!$H176</f>
        <v>0</v>
      </c>
      <c r="E176" s="805">
        <f>IF(ISNA(VLOOKUP("CLE675100000",Balanceanp!C:G,5,FALSE))=TRUE,0,VLOOKUP("CLE675100000",Balanceanp!C:G,5,FALSE))</f>
        <v>366.22</v>
      </c>
      <c r="F176" s="593">
        <f>+C176+C176/9*(12-Clients!$I$14)</f>
        <v>0</v>
      </c>
      <c r="G176" s="1030">
        <f t="shared" si="14"/>
        <v>0</v>
      </c>
      <c r="H176" s="1030"/>
      <c r="I176" s="1013">
        <f t="shared" si="15"/>
        <v>-1</v>
      </c>
      <c r="J176" s="1014">
        <f t="shared" si="15"/>
        <v>0</v>
      </c>
      <c r="L176" t="s">
        <v>798</v>
      </c>
      <c r="M176" s="2" t="e">
        <f ca="1">IF($M$2="Alimentation",_xll.PALO.SETDATA(G176,FALSE,"localhost/Bati_fin_dev","Reporting","décembre","2011",$A$4,+L176,"NA",+$G$3),_xll.PALO.DATAC("localhost/Bati_fin_dev","Reporting","décembre","2011",$A$4,+L176,"NA",+$G$3))</f>
        <v>#VALUE!</v>
      </c>
    </row>
    <row r="177" spans="1:13" ht="12.75">
      <c r="A177" s="5" t="s">
        <v>173</v>
      </c>
      <c r="B177" s="92"/>
      <c r="C177" s="160">
        <f>IF(ISNA(VLOOKUP("CLE675200000",Balance!C:G,5,FALSE))=TRUE,0,VLOOKUP("CLE675200000",Balance!C:G,5,FALSE))</f>
        <v>0</v>
      </c>
      <c r="D177" s="117">
        <f>+[2]PSA!$H177</f>
        <v>0</v>
      </c>
      <c r="E177" s="160">
        <f>IF(ISNA(VLOOKUP("CLE675200000",Balanceanp!C:G,5,FALSE))=TRUE,0,VLOOKUP("CLE675200000",Balanceanp!C:G,5,FALSE))</f>
        <v>0</v>
      </c>
      <c r="F177" s="368">
        <f>+C177+C177/9*(12-Clients!$I$14)</f>
        <v>0</v>
      </c>
      <c r="G177" s="396">
        <f t="shared" si="14"/>
        <v>0</v>
      </c>
      <c r="H177" s="409"/>
      <c r="I177" s="149">
        <f t="shared" si="15"/>
        <v>0</v>
      </c>
      <c r="J177" s="271">
        <f t="shared" si="15"/>
        <v>0</v>
      </c>
      <c r="L177" t="s">
        <v>797</v>
      </c>
      <c r="M177" s="2" t="e">
        <f ca="1">IF($M$2="Alimentation",_xll.PALO.SETDATA(G177,FALSE,"localhost/Bati_fin_dev","Reporting","décembre","2011",$A$4,+L177,"NA",+$G$3),_xll.PALO.DATAC("localhost/Bati_fin_dev","Reporting","décembre","2011",$A$4,+L177,"NA",+$G$3))</f>
        <v>#VALUE!</v>
      </c>
    </row>
    <row r="178" spans="1:13" ht="12.75">
      <c r="A178" s="590" t="s">
        <v>174</v>
      </c>
      <c r="B178" s="591"/>
      <c r="C178" s="805">
        <f>IF(ISNA(VLOOKUP("CLE681110000",Balance!C:G,5,FALSE))=TRUE,0,VLOOKUP("CLE681110000",Balance!C:G,5,FALSE))</f>
        <v>0</v>
      </c>
      <c r="D178" s="619">
        <f>+[2]PSA!$H178</f>
        <v>0</v>
      </c>
      <c r="E178" s="805">
        <f>IF(ISNA(VLOOKUP("CLE681110000",Balanceanp!C:G,5,FALSE))=TRUE,0,VLOOKUP("CLE681110000",Balanceanp!C:G,5,FALSE))</f>
        <v>0.89</v>
      </c>
      <c r="F178" s="593">
        <f>+C178+C178/9*(12-Clients!$I$14)</f>
        <v>0</v>
      </c>
      <c r="G178" s="1030">
        <f t="shared" si="14"/>
        <v>0</v>
      </c>
      <c r="H178" s="1030"/>
      <c r="I178" s="1013">
        <f t="shared" si="15"/>
        <v>-1</v>
      </c>
      <c r="J178" s="1014">
        <f t="shared" si="15"/>
        <v>0</v>
      </c>
      <c r="L178" t="s">
        <v>791</v>
      </c>
      <c r="M178" s="2" t="e">
        <f ca="1">IF($M$2="Alimentation",_xll.PALO.SETDATA(G178,FALSE,"localhost/Bati_fin_dev","Reporting","décembre","2011",$A$4,+L178,"NA",+$G$3),_xll.PALO.DATAC("localhost/Bati_fin_dev","Reporting","décembre","2011",$A$4,+L178,"NA",+$G$3))</f>
        <v>#VALUE!</v>
      </c>
    </row>
    <row r="179" spans="1:13" ht="12.75">
      <c r="A179" s="590" t="s">
        <v>175</v>
      </c>
      <c r="B179" s="591"/>
      <c r="C179" s="805">
        <f>IF(ISNA(VLOOKUP("CLE681120000",Balance!C:G,5,FALSE))=TRUE,0,VLOOKUP("CLE681120000",Balance!C:G,5,FALSE))</f>
        <v>6450.03</v>
      </c>
      <c r="D179" s="619">
        <f>+[2]PSA!$H179</f>
        <v>8600</v>
      </c>
      <c r="E179" s="805">
        <f>IF(ISNA(VLOOKUP("CLE681120000",Balanceanp!C:G,5,FALSE))=TRUE,0,VLOOKUP("CLE681120000",Balanceanp!C:G,5,FALSE))</f>
        <v>10149.32</v>
      </c>
      <c r="F179" s="631">
        <v>9234.85</v>
      </c>
      <c r="G179" s="636">
        <f>9675.45+500+G255/10</f>
        <v>10475.450000000001</v>
      </c>
      <c r="H179" s="638"/>
      <c r="I179" s="1013">
        <f t="shared" si="15"/>
        <v>-9.0101602866004757E-2</v>
      </c>
      <c r="J179" s="1014">
        <f t="shared" si="15"/>
        <v>0.13433894432502969</v>
      </c>
      <c r="L179" t="s">
        <v>790</v>
      </c>
      <c r="M179" s="2" t="e">
        <f ca="1">IF($M$2="Alimentation",_xll.PALO.SETDATA(G179,FALSE,"localhost/Bati_fin_dev","Reporting","décembre","2011",$A$4,+L179,"NA",+$G$3),_xll.PALO.DATAC("localhost/Bati_fin_dev","Reporting","décembre","2011",$A$4,+L179,"NA",+$G$3))</f>
        <v>#VALUE!</v>
      </c>
    </row>
    <row r="180" spans="1:13" ht="12.75">
      <c r="A180" s="590" t="s">
        <v>78</v>
      </c>
      <c r="B180" s="591"/>
      <c r="C180" s="805">
        <f>IF(ISNA(VLOOKUP("CLE687250000",Balance!C:G,5,FALSE))=TRUE,0,+VLOOKUP("CLE687250000",Balance!C:G,5,FALSE))</f>
        <v>0</v>
      </c>
      <c r="D180" s="619">
        <f>+[2]PSA!$H180</f>
        <v>0</v>
      </c>
      <c r="E180" s="805">
        <f>IF(ISNA(VLOOKUP("CLE687250000",Balanceanp!C:G,5,FALSE))=TRUE,0,+VLOOKUP("CLE687250000",Balanceanp!C:G,5,FALSE))</f>
        <v>550.17999999999995</v>
      </c>
      <c r="F180" s="593">
        <f>+C180+C180/9*(12-Clients!$I$14)</f>
        <v>0</v>
      </c>
      <c r="G180" s="1030">
        <f t="shared" si="14"/>
        <v>0</v>
      </c>
      <c r="H180" s="1030"/>
      <c r="I180" s="1013">
        <f t="shared" si="15"/>
        <v>-1</v>
      </c>
      <c r="J180" s="1014">
        <f t="shared" si="15"/>
        <v>0</v>
      </c>
      <c r="L180" t="s">
        <v>789</v>
      </c>
      <c r="M180" s="2" t="e">
        <f ca="1">IF($M$2="Alimentation",_xll.PALO.SETDATA(G180,FALSE,"localhost/Bati_fin_dev","Reporting","décembre","2011",$A$4,+L180,"NA",+$G$3),_xll.PALO.DATAC("localhost/Bati_fin_dev","Reporting","décembre","2011",$A$4,+L180,"NA",+$G$3))</f>
        <v>#VALUE!</v>
      </c>
    </row>
    <row r="181" spans="1:13" ht="12.75">
      <c r="A181" s="5" t="s">
        <v>327</v>
      </c>
      <c r="B181" s="92"/>
      <c r="C181" s="160">
        <f>IF(ISNA(VLOOKUP("CLE661880000",Balance!C:G,5,FALSE))=TRUE,0,+VLOOKUP("CLE661880000",Balance!C:G,5,FALSE))</f>
        <v>0</v>
      </c>
      <c r="D181" s="117">
        <f>+[2]PSA!$H181</f>
        <v>0</v>
      </c>
      <c r="E181" s="160">
        <f>IF(ISNA(VLOOKUP("CLE661880000",Balanceanp!C:G,5,FALSE))=TRUE,0,+VLOOKUP("CLE661880000",Balanceanp!C:G,5,FALSE))</f>
        <v>0</v>
      </c>
      <c r="F181" s="368">
        <f>+C181+C181/9*(12-Clients!$I$14)</f>
        <v>0</v>
      </c>
      <c r="G181" s="396">
        <f t="shared" si="14"/>
        <v>0</v>
      </c>
      <c r="H181" s="409"/>
      <c r="I181" s="149">
        <f t="shared" si="15"/>
        <v>0</v>
      </c>
      <c r="J181" s="271">
        <f t="shared" si="15"/>
        <v>0</v>
      </c>
      <c r="L181" t="s">
        <v>793</v>
      </c>
      <c r="M181" s="2" t="e">
        <f ca="1">IF($M$2="Alimentation",_xll.PALO.SETDATA(G181,FALSE,"localhost/Bati_fin_dev","Reporting","décembre","2011",$A$4,+L181,"NA",+$G$3),_xll.PALO.DATAC("localhost/Bati_fin_dev","Reporting","décembre","2011",$A$4,+L181,"NA",+$G$3))</f>
        <v>#VALUE!</v>
      </c>
    </row>
    <row r="182" spans="1:13" ht="12.75">
      <c r="A182" s="5" t="s">
        <v>82</v>
      </c>
      <c r="B182" s="92"/>
      <c r="C182" s="160"/>
      <c r="D182" s="117">
        <f>+[2]PSA!$H182</f>
        <v>0</v>
      </c>
      <c r="E182" s="160">
        <f>IF(ISNA(VLOOKUP("CLE661610000",Balanceanp!C:G,5,FALSE))=TRUE,0,+VLOOKUP("CLE661610000",Balanceanp!C:G,5,FALSE))</f>
        <v>0</v>
      </c>
      <c r="F182" s="368">
        <f>+C182+C182/9*(12-Clients!$I$14)</f>
        <v>0</v>
      </c>
      <c r="G182" s="396">
        <f t="shared" si="14"/>
        <v>0</v>
      </c>
      <c r="H182" s="409"/>
      <c r="I182" s="149">
        <f t="shared" si="15"/>
        <v>0</v>
      </c>
      <c r="J182" s="271">
        <f t="shared" si="15"/>
        <v>0</v>
      </c>
      <c r="L182" t="s">
        <v>788</v>
      </c>
      <c r="M182" s="2" t="e">
        <f ca="1">IF($M$2="Alimentation",_xll.PALO.SETDATA(G182,FALSE,"localhost/Bati_fin_dev","Reporting","décembre","2011",$A$4,+L182,"NA",+$G$3),_xll.PALO.DATAC("localhost/Bati_fin_dev","Reporting","décembre","2011",$A$4,+L182,"NA",+$G$3))</f>
        <v>#VALUE!</v>
      </c>
    </row>
    <row r="183" spans="1:13" ht="12.75">
      <c r="A183" s="5" t="s">
        <v>331</v>
      </c>
      <c r="B183" s="92"/>
      <c r="C183" s="160">
        <f>IF(ISNA(VLOOKUP("CLE681500000",Balance!C:G,5,FALSE))=TRUE,0,VLOOKUP("CLE681500000",Balance!C:G,5,FALSE))</f>
        <v>0</v>
      </c>
      <c r="D183" s="117">
        <f>+[2]PSA!$H183</f>
        <v>0</v>
      </c>
      <c r="E183" s="160">
        <f>IF(ISNA(VLOOKUP("CLE681500000",Balanceanp!C:G,5,FALSE))=TRUE,0,VLOOKUP("CLE681500000",Balanceanp!C:G,5,FALSE))</f>
        <v>0</v>
      </c>
      <c r="F183" s="368">
        <f>+C183+C183/9*(12-Clients!$I$14)</f>
        <v>0</v>
      </c>
      <c r="G183" s="396">
        <f t="shared" si="14"/>
        <v>0</v>
      </c>
      <c r="H183" s="409"/>
      <c r="I183" s="149">
        <f t="shared" si="15"/>
        <v>0</v>
      </c>
      <c r="J183" s="271">
        <f t="shared" si="15"/>
        <v>0</v>
      </c>
      <c r="L183" t="s">
        <v>795</v>
      </c>
      <c r="M183" s="2" t="e">
        <f ca="1">IF($M$2="Alimentation",_xll.PALO.SETDATA(G183,FALSE,"localhost/Bati_fin_dev","Reporting","décembre","2011",$A$4,+L183,"NA",+$G$3),_xll.PALO.DATAC("localhost/Bati_fin_dev","Reporting","décembre","2011",$A$4,+L183,"NA",+$G$3))</f>
        <v>#VALUE!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596"/>
      <c r="C185" s="803">
        <f>SUM(C169:C184)</f>
        <v>12256.8</v>
      </c>
      <c r="D185" s="597">
        <f>SUM(D169:D184)</f>
        <v>11518.879541131668</v>
      </c>
      <c r="E185" s="597">
        <f>SUM(E169:E184)</f>
        <v>13805.2</v>
      </c>
      <c r="F185" s="597">
        <f>SUM(F169:F184)</f>
        <v>16977.21</v>
      </c>
      <c r="G185" s="597">
        <f>SUM(G169:G184)</f>
        <v>18450.080800000003</v>
      </c>
      <c r="H185" s="814"/>
      <c r="I185" s="596">
        <f>+IF((E185)=0,,(F185-E185)/E185)</f>
        <v>0.22976921739634329</v>
      </c>
      <c r="J185" s="1015">
        <f>+IF((F185)=0,,(G185-F185)/F185)</f>
        <v>8.6755762578185958E-2</v>
      </c>
      <c r="K185" s="136">
        <f>(C185+(C185/3))</f>
        <v>16342.4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90" t="s">
        <v>179</v>
      </c>
      <c r="B187" s="591"/>
      <c r="C187" s="805">
        <f>IF(ISNA(VLOOKUP("CLE740000000",Balance!C:G,5,FALSE))=TRUE,0,-VLOOKUP("CLE740000000",Balance!C:G,5,FALSE))</f>
        <v>1200</v>
      </c>
      <c r="D187" s="619">
        <f>+[2]PSA!$H187</f>
        <v>0</v>
      </c>
      <c r="E187" s="805">
        <f>IF(ISNA(VLOOKUP("CLE740000000",Balanceanp!C:G,5,FALSE))=TRUE,0,-VLOOKUP("CLE740000000",Balanceanp!C:G,5,FALSE))</f>
        <v>0</v>
      </c>
      <c r="F187" s="593">
        <f>+C187+C187/9*(12-Clients!$I$14)</f>
        <v>1600</v>
      </c>
      <c r="G187" s="593">
        <v>0</v>
      </c>
      <c r="H187" s="593"/>
      <c r="I187" s="1013">
        <f t="shared" ref="I187:J199" si="16">+IF((E187)=0,,(F187-E187)/E187)</f>
        <v>0</v>
      </c>
      <c r="J187" s="1014">
        <f t="shared" si="16"/>
        <v>-1</v>
      </c>
      <c r="L187" t="s">
        <v>809</v>
      </c>
      <c r="M187" s="2" t="e">
        <f ca="1">IF($M$2="Alimentation",_xll.PALO.SETDATA(G187,FALSE,"localhost/Bati_fin_dev","Reporting","décembre","2011",$A$4,+L187,"NA",+$G$3),_xll.PALO.DATAC("localhost/Bati_fin_dev","Reporting","décembre","2011",$A$4,+L187,"NA",+$G$3))</f>
        <v>#VALUE!</v>
      </c>
    </row>
    <row r="188" spans="1:13" ht="12.75">
      <c r="A188" s="5" t="s">
        <v>167</v>
      </c>
      <c r="B188" s="92"/>
      <c r="C188" s="160">
        <f>IF(ISNA(VLOOKUP("CLE751100000",Balance!C:G,5,FALSE))=TRUE,0,-VLOOKUP("CLE751100000",Balance!C:G,5,FALSE))</f>
        <v>0</v>
      </c>
      <c r="D188" s="117">
        <f>+[2]PSA!$H188</f>
        <v>0</v>
      </c>
      <c r="E188" s="160">
        <f>IF(ISNA(VLOOKUP("CLE751100000",Balanceanp!C:G,5,FALSE))=TRUE,0,-VLOOKUP("CLE751100000",Balanceanp!C:G,5,FALSE))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6"/>
        <v>0</v>
      </c>
      <c r="J188" s="271">
        <f t="shared" si="16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IF(ISNA(VLOOKUP("CLE758100000",Balance!C:G,5,FALSE))=TRUE,0,-VLOOKUP("CLE758100000",Balance!C:G,5,FALSE))</f>
        <v>433.22</v>
      </c>
      <c r="D189" s="117">
        <f>+[2]PSA!$H189</f>
        <v>0</v>
      </c>
      <c r="E189" s="160">
        <f>IF(ISNA(VLOOKUP("CLE758100000",Balanceanp!C:G,5,FALSE))=TRUE,0,-VLOOKUP("CLE758100000",Balanceanp!C:G,5,FALSE))</f>
        <v>1216.27</v>
      </c>
      <c r="F189" s="368">
        <f>+C189+C189/9*(12-Clients!$I$14)</f>
        <v>577.62666666666667</v>
      </c>
      <c r="G189" s="368">
        <v>0</v>
      </c>
      <c r="H189" s="410"/>
      <c r="I189" s="149">
        <f t="shared" si="16"/>
        <v>-0.52508352038061723</v>
      </c>
      <c r="J189" s="271">
        <f t="shared" si="16"/>
        <v>-1</v>
      </c>
      <c r="L189" t="s">
        <v>804</v>
      </c>
      <c r="M189" s="2" t="e">
        <f ca="1">IF($M$2="Alimentation",_xll.PALO.SETDATA(G189,FALSE,"localhost/Bati_fin_dev","Reporting","décembre","2011",$A$4,+L189,"NA",+$G$3),_xll.PALO.DATAC("localhost/Bati_fin_dev","Reporting","décembre","2011",$A$4,+L189,"NA",+$G$3))</f>
        <v>#VALUE!</v>
      </c>
    </row>
    <row r="190" spans="1:13" ht="12.75">
      <c r="A190" s="5" t="s">
        <v>181</v>
      </c>
      <c r="B190" s="92"/>
      <c r="C190" s="160">
        <f>IF(ISNA(VLOOKUP("CLE763800000",Balance!C:G,5,FALSE))=TRUE,0,-VLOOKUP("CLE763800000",Balance!C:G,5,FALSE))</f>
        <v>0</v>
      </c>
      <c r="D190" s="117">
        <f>+[2]PSA!$H190</f>
        <v>0</v>
      </c>
      <c r="E190" s="160">
        <f>IF(ISNA(VLOOKUP("CLE763800000",Balanceanp!C:G,5,FALSE))=TRUE,0,-VLOOKUP("CLE763800000",Balanceanp!C:G,5,FALSE))+IF(ISNA(VLOOKUP("CLE763110000",Balanceanp!C:G,5,FALSE))=TRUE,0,-VLOOKUP("CLE763110000",Balanceanp!C:G,5,FALSE))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6"/>
        <v>0</v>
      </c>
      <c r="J190" s="271">
        <f t="shared" si="16"/>
        <v>0</v>
      </c>
      <c r="L190" t="s">
        <v>808</v>
      </c>
      <c r="M190" s="2" t="e">
        <f ca="1">IF($M$2="Alimentation",_xll.PALO.SETDATA(G190,FALSE,"localhost/Bati_fin_dev","Reporting","décembre","2011",$A$4,+L190,"NA",+$G$3),_xll.PALO.DATAC("localhost/Bati_fin_dev","Reporting","décembre","2011",$A$4,+L190,"NA",+$G$3))</f>
        <v>#VALUE!</v>
      </c>
    </row>
    <row r="191" spans="1:13" ht="12.75">
      <c r="A191" s="5" t="s">
        <v>182</v>
      </c>
      <c r="B191" s="92"/>
      <c r="C191" s="160">
        <f>IF(ISNA(VLOOKUP("CLE765000000",Balance!C:G,5,FALSE))=TRUE,0,-VLOOKUP("CLE765000000",Balance!C:G,5,FALSE))</f>
        <v>0</v>
      </c>
      <c r="D191" s="117">
        <f>+[2]PSA!$H191</f>
        <v>0</v>
      </c>
      <c r="E191" s="160">
        <f>IF(ISNA(VLOOKUP("CLE765000000",Balanceanp!C:G,5,FALSE))=TRUE,0,-VLOOKUP("CLE765000000",Balanceanp!C:G,5,FALSE))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6"/>
        <v>0</v>
      </c>
      <c r="J191" s="271">
        <f t="shared" si="16"/>
        <v>0</v>
      </c>
      <c r="L191" t="s">
        <v>799</v>
      </c>
      <c r="M191" s="2" t="e">
        <f ca="1">IF($M$2="Alimentation",_xll.PALO.SETDATA(G191,FALSE,"localhost/Bati_fin_dev","Reporting","décembre","2011",$A$4,+L191,"NA",+$G$3),_xll.PALO.DATAC("localhost/Bati_fin_dev","Reporting","décembre","2011",$A$4,+L191,"NA",+$G$3))</f>
        <v>#VALUE!</v>
      </c>
    </row>
    <row r="192" spans="1:13" ht="12.75">
      <c r="A192" s="5" t="s">
        <v>183</v>
      </c>
      <c r="B192" s="92"/>
      <c r="C192" s="160">
        <f>IF(ISNA(VLOOKUP("CLE771400000",Balance!C:G,5,FALSE))=TRUE,0,-VLOOKUP("CLE771400000",Balance!C:G,5,FALSE))</f>
        <v>0</v>
      </c>
      <c r="D192" s="117">
        <f>+[2]PSA!$H192</f>
        <v>0</v>
      </c>
      <c r="E192" s="160">
        <f>IF(ISNA(VLOOKUP("CLE771400000",Balanceanp!C:G,5,FALSE))=TRUE,0,-VLOOKUP("CLE771400000",Balanceanp!C:G,5,FALSE))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6"/>
        <v>0</v>
      </c>
      <c r="J192" s="271">
        <f t="shared" si="16"/>
        <v>0</v>
      </c>
      <c r="L192" t="s">
        <v>805</v>
      </c>
      <c r="M192" s="2" t="e">
        <f ca="1">IF($M$2="Alimentation",_xll.PALO.SETDATA(G192,FALSE,"localhost/Bati_fin_dev","Reporting","décembre","2011",$A$4,+L192,"NA",+$G$3),_xll.PALO.DATAC("localhost/Bati_fin_dev","Reporting","décembre","2011",$A$4,+L192,"NA",+$G$3))</f>
        <v>#VALUE!</v>
      </c>
    </row>
    <row r="193" spans="1:13" ht="12.75">
      <c r="A193" s="5" t="s">
        <v>184</v>
      </c>
      <c r="B193" s="92"/>
      <c r="C193" s="160">
        <f>IF(ISNA(VLOOKUP("CLE771800000",Balance!C:G,5,FALSE))=TRUE,0,-VLOOKUP("CLE771800000",Balance!C:G,5,FALSE))</f>
        <v>50.9</v>
      </c>
      <c r="D193" s="117">
        <f>+[2]PSA!$H193</f>
        <v>0</v>
      </c>
      <c r="E193" s="160">
        <f>IF(ISNA(VLOOKUP("CLE771800000",Balanceanp!C:G,5,FALSE))=TRUE,0,-VLOOKUP("CLE771800000",Balanceanp!C:G,5,FALSE))</f>
        <v>2450.4299999999998</v>
      </c>
      <c r="F193" s="368">
        <f>+C193+C193/9*(12-Clients!$I$14)</f>
        <v>67.86666666666666</v>
      </c>
      <c r="G193" s="368">
        <v>0</v>
      </c>
      <c r="H193" s="410"/>
      <c r="I193" s="149">
        <f t="shared" si="16"/>
        <v>-0.97230418062680146</v>
      </c>
      <c r="J193" s="271">
        <f t="shared" si="16"/>
        <v>-1</v>
      </c>
      <c r="L193" t="s">
        <v>803</v>
      </c>
      <c r="M193" s="2" t="e">
        <f ca="1">IF($M$2="Alimentation",_xll.PALO.SETDATA(G193,FALSE,"localhost/Bati_fin_dev","Reporting","décembre","2011",$A$4,+L193,"NA",+$G$3),_xll.PALO.DATAC("localhost/Bati_fin_dev","Reporting","décembre","2011",$A$4,+L193,"NA",+$G$3))</f>
        <v>#VALUE!</v>
      </c>
    </row>
    <row r="194" spans="1:13" ht="12.75">
      <c r="A194" s="5" t="s">
        <v>185</v>
      </c>
      <c r="B194" s="92"/>
      <c r="C194" s="160">
        <f>IF(ISNA(VLOOKUP("CLE758000000",Balance!C:G,5,FALSE))=TRUE,0,-VLOOKUP("CLE758000000",Balance!C:G,5,FALSE))</f>
        <v>0</v>
      </c>
      <c r="D194" s="117">
        <f>+[2]PSA!$H194</f>
        <v>0</v>
      </c>
      <c r="E194" s="160">
        <f>IF(ISNA(VLOOKUP("CLE772000000",Balanceanp!C:G,5,FALSE))=TRUE,0,-VLOOKUP("CLE772000000",Balanceanp!C:G,5,FALSE))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6"/>
        <v>0</v>
      </c>
      <c r="J194" s="271">
        <f t="shared" si="16"/>
        <v>0</v>
      </c>
      <c r="L194" t="s">
        <v>800</v>
      </c>
      <c r="M194" s="2" t="e">
        <f ca="1">IF($M$2="Alimentation",_xll.PALO.SETDATA(G194,FALSE,"localhost/Bati_fin_dev","Reporting","décembre","2011",$A$4,+L194,"NA",+$G$3),_xll.PALO.DATAC("localhost/Bati_fin_dev","Reporting","décembre","2011",$A$4,+L194,"NA",+$G$3))</f>
        <v>#VALUE!</v>
      </c>
    </row>
    <row r="195" spans="1:13" ht="12.75">
      <c r="A195" s="5" t="s">
        <v>186</v>
      </c>
      <c r="B195" s="92"/>
      <c r="C195" s="160">
        <f>IF(ISNA(VLOOKUP("CLE775100000",Balance!C:G,5,FALSE))=TRUE,0,-VLOOKUP("CLE775100000",Balance!C:G,5,FALSE))</f>
        <v>0</v>
      </c>
      <c r="D195" s="117">
        <f>+[2]PSA!$H195</f>
        <v>0</v>
      </c>
      <c r="E195" s="160">
        <f>IF(ISNA(VLOOKUP("CLE775100000",Balanceanp!C:G,5,FALSE))=TRUE,0,-VLOOKUP("CLE775100000",Balanceanp!C:G,5,FALSE))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6"/>
        <v>0</v>
      </c>
      <c r="J195" s="271">
        <f t="shared" si="16"/>
        <v>0</v>
      </c>
      <c r="L195" t="s">
        <v>802</v>
      </c>
      <c r="M195" s="2" t="e">
        <f ca="1">IF($M$2="Alimentation",_xll.PALO.SETDATA(G195,FALSE,"localhost/Bati_fin_dev","Reporting","décembre","2011",$A$4,+L195,"NA",+$G$3),_xll.PALO.DATAC("localhost/Bati_fin_dev","Reporting","décembre","2011",$A$4,+L195,"NA",+$G$3))</f>
        <v>#VALUE!</v>
      </c>
    </row>
    <row r="196" spans="1:13" ht="12.75">
      <c r="A196" s="5" t="s">
        <v>187</v>
      </c>
      <c r="B196" s="92"/>
      <c r="C196" s="160">
        <f>IF(ISNA(VLOOKUP("CLE775200000",Balance!C:G,5,FALSE))=TRUE,0,-VLOOKUP("CLE775200000",Balance!C:G,5,FALSE))</f>
        <v>0</v>
      </c>
      <c r="D196" s="117">
        <f>+[2]PSA!$H196</f>
        <v>0</v>
      </c>
      <c r="E196" s="160">
        <f>IF(ISNA(VLOOKUP("CLE775200000",Balanceanp!C:G,5,FALSE))=TRUE,0,-VLOOKUP("CLE775200000",Balanceanp!C:G,5,FALSE))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6"/>
        <v>0</v>
      </c>
      <c r="J196" s="271">
        <f t="shared" si="16"/>
        <v>0</v>
      </c>
      <c r="L196" t="s">
        <v>801</v>
      </c>
      <c r="M196" s="2" t="e">
        <f ca="1">IF($M$2="Alimentation",_xll.PALO.SETDATA(G196,FALSE,"localhost/Bati_fin_dev","Reporting","décembre","2011",$A$4,+L196,"NA",+$G$3),_xll.PALO.DATAC("localhost/Bati_fin_dev","Reporting","décembre","2011",$A$4,+L196,"NA",+$G$3))</f>
        <v>#VALUE!</v>
      </c>
    </row>
    <row r="197" spans="1:13" ht="12.75">
      <c r="A197" s="5" t="s">
        <v>328</v>
      </c>
      <c r="B197" s="92"/>
      <c r="C197" s="160">
        <f>IF(ISNA(VLOOKUP("CLE791000000",Balance!C:G,5,FALSE))=TRUE,0,-VLOOKUP("CLE791000000",Balance!C:G,5,FALSE))</f>
        <v>0</v>
      </c>
      <c r="D197" s="117">
        <f>+[2]PSA!$H197</f>
        <v>0</v>
      </c>
      <c r="E197" s="160">
        <f>IF(ISNA(VLOOKUP("CLE791000000",Balanceanp!C:G,5,FALSE))=TRUE,0,-VLOOKUP("CLE791000000",Balanceanp!C:G,5,FALSE))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6"/>
        <v>0</v>
      </c>
      <c r="J197" s="271">
        <f t="shared" si="16"/>
        <v>0</v>
      </c>
      <c r="L197" t="s">
        <v>810</v>
      </c>
      <c r="M197" s="2" t="e">
        <f ca="1">IF($M$2="Alimentation",_xll.PALO.SETDATA(G197,FALSE,"localhost/Bati_fin_dev","Reporting","décembre","2011",$A$4,+L197,"NA",+$G$3),_xll.PALO.DATAC("localhost/Bati_fin_dev","Reporting","décembre","2011",$A$4,+L197,"NA",+$G$3))</f>
        <v>#VALUE!</v>
      </c>
    </row>
    <row r="198" spans="1:13" ht="12.75">
      <c r="A198" s="5" t="s">
        <v>344</v>
      </c>
      <c r="B198" s="92"/>
      <c r="C198" s="160">
        <f>IF(ISNA(VLOOKUP("CLE781500000",Balance!C:G,5,FALSE))=TRUE,0,-VLOOKUP("CLE781500000",Balance!C:G,5,FALSE))</f>
        <v>0</v>
      </c>
      <c r="D198" s="117">
        <f>+[2]PSA!$H198</f>
        <v>0</v>
      </c>
      <c r="E198" s="160">
        <f>IF(ISNA(VLOOKUP("CLE781500000",Balanceanp!C:G,5,FALSE))=TRUE,0,-VLOOKUP("CLE781500000",Balanceanp!C:G,5,FALSE))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6"/>
        <v>0</v>
      </c>
      <c r="J198" s="271">
        <f t="shared" si="16"/>
        <v>0</v>
      </c>
      <c r="L198" t="s">
        <v>807</v>
      </c>
      <c r="M198" s="2" t="e">
        <f ca="1">IF($M$2="Alimentation",_xll.PALO.SETDATA(G198,FALSE,"localhost/Bati_fin_dev","Reporting","décembre","2011",$A$4,+L198,"NA",+$G$3),_xll.PALO.DATAC("localhost/Bati_fin_dev","Reporting","décembre","2011",$A$4,+L198,"NA",+$G$3))</f>
        <v>#VALUE!</v>
      </c>
    </row>
    <row r="199" spans="1:13" ht="12.75">
      <c r="A199" s="5" t="s">
        <v>77</v>
      </c>
      <c r="B199" s="92"/>
      <c r="C199" s="160">
        <f>IF(ISNA(VLOOKUP("CLE787250000",Balance!C:G,5,FALSE))=TRUE,0,-VLOOKUP("CLE787250000",Balance!C:G,5,FALSE))</f>
        <v>0</v>
      </c>
      <c r="D199" s="117">
        <f>+[2]PSA!$H199</f>
        <v>0</v>
      </c>
      <c r="E199" s="160">
        <f>IF(ISNA(VLOOKUP("CLE787250000",Balanceanp!C:G,5,FALSE))=TRUE,0,-VLOOKUP("CLE787250000",Balanceanp!C:G,5,FALSE))</f>
        <v>1570.45</v>
      </c>
      <c r="F199" s="368">
        <f>+C199+C199/9*(12-Clients!$I$14)</f>
        <v>0</v>
      </c>
      <c r="G199" s="368">
        <v>0</v>
      </c>
      <c r="H199" s="410"/>
      <c r="I199" s="149">
        <f t="shared" si="16"/>
        <v>-1</v>
      </c>
      <c r="J199" s="271">
        <f t="shared" si="16"/>
        <v>0</v>
      </c>
      <c r="L199" t="s">
        <v>806</v>
      </c>
      <c r="M199" s="2" t="e">
        <f ca="1">IF($M$2="Alimentation",_xll.PALO.SETDATA(G199,FALSE,"localhost/Bati_fin_dev","Reporting","décembre","2011",$A$4,+L199,"NA",+$G$3),_xll.PALO.DATAC("localhost/Bati_fin_dev","Reporting","décembre","2011",$A$4,+L199,"NA",+$G$3))</f>
        <v>#VALUE!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596"/>
      <c r="C201" s="803">
        <f>SUM(C186:C200)</f>
        <v>1684.1200000000001</v>
      </c>
      <c r="D201" s="597">
        <f>SUM(D186:D200)</f>
        <v>0</v>
      </c>
      <c r="E201" s="803">
        <f>SUM(E186:E200)</f>
        <v>5237.1499999999996</v>
      </c>
      <c r="F201" s="597">
        <f>SUM(F186:F200)</f>
        <v>2245.4933333333333</v>
      </c>
      <c r="G201" s="597">
        <f>SUM(G186:G200)</f>
        <v>0</v>
      </c>
      <c r="H201" s="814"/>
      <c r="I201" s="596">
        <f>+IF((E201)=0,,(F201-E201)/E201)</f>
        <v>-0.57123753695553237</v>
      </c>
      <c r="J201" s="1015">
        <f>+IF((F201)=0,,(G201-F201)/F201)</f>
        <v>-1</v>
      </c>
      <c r="K201" s="136">
        <f>(C201+(C201/3))</f>
        <v>2245.4933333333333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363">
        <f>+C203/$C$21</f>
        <v>0.29413527291093383</v>
      </c>
      <c r="C203" s="659">
        <f>+C103+C116+C129+C154+C168+C185-C201</f>
        <v>507964.36</v>
      </c>
      <c r="D203" s="642">
        <f>+D103+D116+D129+D154+D168+D185-D201</f>
        <v>697912.45354161295</v>
      </c>
      <c r="E203" s="659">
        <f>+E103+E116+E129+E154+E168+E185-E201</f>
        <v>648333.39111999981</v>
      </c>
      <c r="F203" s="642">
        <f>+F103+F116+F129+F154+F168+F185-F201</f>
        <v>655620.72333333327</v>
      </c>
      <c r="G203" s="642">
        <f>+G103+G116+G129+G154+G168+G185-G201</f>
        <v>673979.97194282175</v>
      </c>
      <c r="H203" s="815">
        <f>+G203/$G$21</f>
        <v>0.28668068010114162</v>
      </c>
      <c r="I203" s="363">
        <f>+IF((E203)=0,,(F203-E203)/E203)</f>
        <v>1.124010009841472E-2</v>
      </c>
      <c r="J203" s="1035">
        <f>+IF((F203)=0,,(G203-F203)/F203)</f>
        <v>2.8002849751523489E-2</v>
      </c>
      <c r="K203" s="145">
        <f>+K103+K116+K129+K154+K168+K185-K201</f>
        <v>677285.81333333347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366">
        <f>+C205/$C$21</f>
        <v>1.4649225012380454E-2</v>
      </c>
      <c r="C205" s="667">
        <f>+C62-C203</f>
        <v>25298.850199999986</v>
      </c>
      <c r="D205" s="646">
        <f>+D62-D203</f>
        <v>97307.546458387049</v>
      </c>
      <c r="E205" s="667">
        <f>+E53-E203</f>
        <v>125474.51428000047</v>
      </c>
      <c r="F205" s="646">
        <f>+F62-F203</f>
        <v>37839.688809025101</v>
      </c>
      <c r="G205" s="646">
        <f>+G62-G203</f>
        <v>111042.59311978007</v>
      </c>
      <c r="H205" s="622">
        <f>+G205/$G$21</f>
        <v>4.7232510521059777E-2</v>
      </c>
      <c r="I205" s="366">
        <f>+IF((E205)=0,,(F205-E205)/E205)</f>
        <v>-0.69842729397155023</v>
      </c>
      <c r="J205" s="1036">
        <f>+IF((F205)=0,,(G205-F205)/F205)</f>
        <v>1.934553549850955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649">
        <f>+C207/$C$21</f>
        <v>2.635545155616282E-3</v>
      </c>
      <c r="C207" s="112">
        <f>+[2]PSA!$C207</f>
        <v>4551.5214648503297</v>
      </c>
      <c r="D207" s="651">
        <f>+[2]PSA!$H207</f>
        <v>14120.050181804081</v>
      </c>
      <c r="E207" s="651">
        <f>+[1]PSA!$G$207</f>
        <v>3659.6139361584737</v>
      </c>
      <c r="F207" s="651">
        <f>+Repart!K26-IF(ISNA(VLOOKUP("CLE786620000",Balance!C:G,5,FALSE))=TRUE,0,-VLOOKUP("CLE786620000",Balance!C:G,5,FALSE))</f>
        <v>5995.7046153834044</v>
      </c>
      <c r="G207" s="651">
        <f>+Repart!Q26</f>
        <v>8898.9282400370121</v>
      </c>
      <c r="H207" s="816">
        <f>+G207/$G$21</f>
        <v>3.7852026858766915E-3</v>
      </c>
      <c r="I207" s="363">
        <f>+IF((E207)=0,,(F207-E207)/E207)</f>
        <v>0.63834347556265558</v>
      </c>
      <c r="J207" s="1035">
        <f>+IF((F207)=0,,(G207-F207)/F207)</f>
        <v>0.48421725399958793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366">
        <f>+C209/$C$21</f>
        <v>1.2013679856764171E-2</v>
      </c>
      <c r="C209" s="667">
        <f>+C205-C207</f>
        <v>20747.328735149655</v>
      </c>
      <c r="D209" s="646">
        <f>+D205-D207</f>
        <v>83187.49627658297</v>
      </c>
      <c r="E209" s="667">
        <f>+E205-E207</f>
        <v>121814.90034384199</v>
      </c>
      <c r="F209" s="646">
        <f>+F205-F207</f>
        <v>31843.984193641696</v>
      </c>
      <c r="G209" s="646">
        <f>+G205-G207</f>
        <v>102143.66487974305</v>
      </c>
      <c r="H209" s="622">
        <f>+G209/$G$21</f>
        <v>4.344730783518308E-2</v>
      </c>
      <c r="I209" s="366">
        <f>+IF((E209)=0,,(F209-E209)/E209)</f>
        <v>-0.73858711780121344</v>
      </c>
      <c r="J209" s="1036">
        <f>+IF((F209)=0,,(G209-F209)/F209)</f>
        <v>2.2076282998575953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90" t="s">
        <v>191</v>
      </c>
      <c r="B211" s="591">
        <f>+C211/$C$21</f>
        <v>3.7841087280354141E-3</v>
      </c>
      <c r="C211" s="805">
        <f>+[2]PSA!$C211</f>
        <v>6535.0624193548392</v>
      </c>
      <c r="D211" s="619">
        <f>+[2]PSA!$H211</f>
        <v>9026.0372215405096</v>
      </c>
      <c r="E211" s="805">
        <f>+[1]PSA!$G211</f>
        <v>8095.0860719999991</v>
      </c>
      <c r="F211" s="593">
        <f>+Repart!I26</f>
        <v>8997.9607634408567</v>
      </c>
      <c r="G211" s="593">
        <f>+Repart!O26</f>
        <v>9644.6846793104778</v>
      </c>
      <c r="H211" s="593"/>
      <c r="I211" s="1013">
        <f t="shared" ref="I211:J213" si="17">+IF((E211)=0,,(F211-E211)/E211)</f>
        <v>0.11153367405984731</v>
      </c>
      <c r="J211" s="1014">
        <f t="shared" si="17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90" t="s">
        <v>192</v>
      </c>
      <c r="B212" s="591">
        <f>+C212/$C$21</f>
        <v>3.906226391583096E-2</v>
      </c>
      <c r="C212" s="805">
        <f>+[2]PSA!$C212</f>
        <v>67459.566116589252</v>
      </c>
      <c r="D212" s="619">
        <f>+[2]PSA!$H212</f>
        <v>89437.262112970842</v>
      </c>
      <c r="E212" s="805">
        <f>+[1]PSA!$G212</f>
        <v>83924.279907455464</v>
      </c>
      <c r="F212" s="593">
        <f>+Repart!J26</f>
        <v>91684.301980988675</v>
      </c>
      <c r="G212" s="593">
        <f>+Repart!P26</f>
        <v>95879.209464072715</v>
      </c>
      <c r="H212" s="593"/>
      <c r="I212" s="1013">
        <f t="shared" si="17"/>
        <v>9.2464565464133883E-2</v>
      </c>
      <c r="J212" s="1014">
        <f t="shared" si="17"/>
        <v>4.5753824727311342E-2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90" t="s">
        <v>193</v>
      </c>
      <c r="B213" s="591"/>
      <c r="C213" s="805">
        <f>+[2]PSA!$C213</f>
        <v>-10352.25</v>
      </c>
      <c r="D213" s="619">
        <f>+[2]PSA!$H213</f>
        <v>-22046.560000000001</v>
      </c>
      <c r="E213" s="805">
        <f>+[1]PSA!$G213</f>
        <v>-13753.57</v>
      </c>
      <c r="F213" s="593">
        <f>+C213+C213/9*(12-Clients!$I$14)</f>
        <v>-13803</v>
      </c>
      <c r="G213" s="593">
        <f>+G253*-4%</f>
        <v>-17457.422236800005</v>
      </c>
      <c r="H213" s="593"/>
      <c r="I213" s="1013">
        <f t="shared" si="17"/>
        <v>3.5939759640588073E-3</v>
      </c>
      <c r="J213" s="1014">
        <f t="shared" si="17"/>
        <v>0.26475564998913315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367">
        <f>+C215/$C$21</f>
        <v>3.6851932642224888E-2</v>
      </c>
      <c r="C215" s="668">
        <f>SUM(C210:C213)</f>
        <v>63642.378535944095</v>
      </c>
      <c r="D215" s="653">
        <f>SUM(D210:D213)</f>
        <v>76416.739334511352</v>
      </c>
      <c r="E215" s="668">
        <f>SUM(E210:E213)</f>
        <v>78265.795979455463</v>
      </c>
      <c r="F215" s="653">
        <f>SUM(F210:F213)</f>
        <v>86879.262744429536</v>
      </c>
      <c r="G215" s="653">
        <f>SUM(G210:G213)</f>
        <v>88066.471906583189</v>
      </c>
      <c r="H215" s="817">
        <f>+G215/$G$21</f>
        <v>3.7459504898209678E-2</v>
      </c>
      <c r="I215" s="363">
        <f>+IF((E215)=0,,(F215-E215)/E215)</f>
        <v>0.11005403646869039</v>
      </c>
      <c r="J215" s="1035">
        <f>+IF((F215)=0,,(G215-F215)/F215)</f>
        <v>1.3665046463918957E-2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366">
        <f>+C217/$C$21</f>
        <v>-2.4838252785460719E-2</v>
      </c>
      <c r="C217" s="667">
        <f>+C209-C215</f>
        <v>-42895.049800794441</v>
      </c>
      <c r="D217" s="646">
        <f>+D209-D215</f>
        <v>6770.7569420716172</v>
      </c>
      <c r="E217" s="667">
        <f>+E209-E215</f>
        <v>43549.104364386527</v>
      </c>
      <c r="F217" s="646">
        <f>+F209-F215</f>
        <v>-55035.278550787843</v>
      </c>
      <c r="G217" s="646">
        <f>+G209-G215</f>
        <v>14077.192973159865</v>
      </c>
      <c r="H217" s="622">
        <f>+G217/$G$21</f>
        <v>5.9878029369734064E-3</v>
      </c>
      <c r="I217" s="366">
        <f>+IF((E217)=0,,(F217-E217)/E217)</f>
        <v>-2.2637522482734331</v>
      </c>
      <c r="J217" s="1036">
        <f>+IF((F217)=0,,(G217-F217)/F217)</f>
        <v>-1.2557848955042374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-42895.049800794281</v>
      </c>
      <c r="D218" s="117">
        <f>+[2]PSA!$H$217</f>
        <v>6770.7569420716172</v>
      </c>
      <c r="E218" s="17">
        <f>+[1]PSA!$G$217</f>
        <v>43549.104364386527</v>
      </c>
      <c r="F218" s="87"/>
      <c r="G218" s="398"/>
      <c r="H218" s="414"/>
      <c r="I218" s="66"/>
      <c r="J218" s="66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83.843613105210139</v>
      </c>
      <c r="D219" s="2"/>
      <c r="E219" s="2"/>
      <c r="F219" s="58"/>
      <c r="G219" s="58"/>
      <c r="H219" s="58"/>
      <c r="I219" s="66"/>
      <c r="J219" s="66"/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+B220/(C21*1.196)*Clients!K46</f>
        <v>41.814439004558459</v>
      </c>
      <c r="D220" s="2"/>
      <c r="E220" s="2"/>
      <c r="F220" s="58"/>
      <c r="G220" s="58"/>
      <c r="H220" s="58"/>
      <c r="I220" s="66"/>
      <c r="J220" s="66"/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C221" s="17"/>
      <c r="D221" s="2"/>
      <c r="E221" s="2"/>
      <c r="F221" s="58"/>
      <c r="G221" s="58"/>
      <c r="H221" s="58"/>
      <c r="I221" s="66"/>
      <c r="J221" s="66"/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654" t="s">
        <v>67</v>
      </c>
      <c r="B222" s="655"/>
      <c r="C222" s="656">
        <f>+(C215+C207+C203)/C60/Clients!$I$13*12</f>
        <v>2438765.1216964843</v>
      </c>
      <c r="D222" s="656">
        <f>+(D215+D207+D203)/D60</f>
        <v>2302839.5144299567</v>
      </c>
      <c r="E222" s="656">
        <f>+(E215+E207+E203)/E60/Clients!$I$13*12</f>
        <v>2895333.9101279587</v>
      </c>
      <c r="F222" s="656">
        <f>+(F215+F207+F203)/F60</f>
        <v>2376176.7958512576</v>
      </c>
      <c r="G222" s="656">
        <f>+(G215+G207+G203)/G60</f>
        <v>2263426.6211872259</v>
      </c>
      <c r="H222" s="656"/>
      <c r="I222" s="656"/>
      <c r="J222" s="656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654" t="s">
        <v>66</v>
      </c>
      <c r="B223" s="655"/>
      <c r="C223" s="656">
        <f>+(C215+C207+C203)/C60/Clients!$I$13</f>
        <v>203230.42680804036</v>
      </c>
      <c r="D223" s="656">
        <f>+(D215+D207+D203)/D60/12</f>
        <v>191903.29286916307</v>
      </c>
      <c r="E223" s="656">
        <f>+(E215+E207+E203)/E60/Clients!$I$13</f>
        <v>241277.82584399657</v>
      </c>
      <c r="F223" s="656">
        <f>+(F215+F207+F203)/F60/9</f>
        <v>264019.64398347307</v>
      </c>
      <c r="G223" s="656">
        <f>+(G215+G207+G203)/G60/12</f>
        <v>188618.88509893548</v>
      </c>
      <c r="H223" s="656"/>
      <c r="I223" s="656"/>
      <c r="J223" s="656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C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1708468.21</v>
      </c>
      <c r="D225" s="17"/>
      <c r="E225" s="2"/>
      <c r="F225" s="58"/>
      <c r="G225" s="58"/>
      <c r="H225" s="58"/>
      <c r="I225" s="66"/>
      <c r="J225" s="66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1669475.4000000001</v>
      </c>
      <c r="D226" s="17"/>
      <c r="E226" s="2"/>
      <c r="F226" s="58"/>
      <c r="G226" s="58"/>
      <c r="H226" s="58"/>
      <c r="I226" s="66"/>
      <c r="J226" s="66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C227" s="17"/>
      <c r="D227" s="2"/>
      <c r="E227" s="2"/>
      <c r="F227" s="58"/>
      <c r="G227" s="58"/>
      <c r="H227" s="58"/>
      <c r="I227" s="66"/>
      <c r="J227" s="66"/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PSA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585"/>
      <c r="B231" s="589"/>
      <c r="C231" s="584">
        <v>2009</v>
      </c>
      <c r="D231" s="585">
        <v>2009</v>
      </c>
      <c r="E231" s="584">
        <v>2008</v>
      </c>
      <c r="F231" s="585">
        <v>2009</v>
      </c>
      <c r="G231" s="585">
        <v>2010</v>
      </c>
      <c r="H231" s="585"/>
      <c r="I231" s="583" t="s">
        <v>196</v>
      </c>
      <c r="J231" s="583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14" t="s">
        <v>223</v>
      </c>
      <c r="B233" s="363"/>
      <c r="C233" s="659">
        <f t="shared" ref="C233:J233" si="18">+C51</f>
        <v>1692899.0799999998</v>
      </c>
      <c r="D233" s="659">
        <f t="shared" si="18"/>
        <v>2322615</v>
      </c>
      <c r="E233" s="659">
        <f t="shared" si="18"/>
        <v>2300998.2200000002</v>
      </c>
      <c r="F233" s="659">
        <f t="shared" si="18"/>
        <v>2201461.6258487566</v>
      </c>
      <c r="G233" s="659">
        <f t="shared" si="18"/>
        <v>2304756</v>
      </c>
      <c r="H233" s="659"/>
      <c r="I233" s="363">
        <f>+I51</f>
        <v>-4.3258005715121138E-2</v>
      </c>
      <c r="J233" s="363">
        <f t="shared" si="18"/>
        <v>4.6920815215854152E-2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12" t="s">
        <v>295</v>
      </c>
      <c r="B235" s="364"/>
      <c r="C235" s="660">
        <f>+C60</f>
        <v>0.315</v>
      </c>
      <c r="D235" s="660">
        <f>+D60</f>
        <v>0.34238132449846403</v>
      </c>
      <c r="E235" s="660">
        <f>+E60</f>
        <v>0.33629226597141837</v>
      </c>
      <c r="F235" s="660">
        <f>+F60</f>
        <v>0.315</v>
      </c>
      <c r="G235" s="660">
        <f>+G60</f>
        <v>0.34060983681682649</v>
      </c>
      <c r="H235" s="660"/>
      <c r="I235" s="660"/>
      <c r="J235" s="660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12" t="s">
        <v>296</v>
      </c>
      <c r="B236" s="364"/>
      <c r="C236" s="661">
        <f>+C62</f>
        <v>533263.21019999997</v>
      </c>
      <c r="D236" s="661">
        <f>+D62</f>
        <v>795220</v>
      </c>
      <c r="E236" s="661">
        <f>+E62</f>
        <v>773807.90540000028</v>
      </c>
      <c r="F236" s="661">
        <f>+F62</f>
        <v>693460.41214235837</v>
      </c>
      <c r="G236" s="661">
        <f>+G62</f>
        <v>785022.56506260182</v>
      </c>
      <c r="H236" s="661"/>
      <c r="I236" s="366">
        <f>+IF((E236)=0,,(F236-E236)/E236)</f>
        <v>-0.10383390076133729</v>
      </c>
      <c r="J236" s="1036">
        <f>+IF((F236)=0,,(G236-F236)/F236)</f>
        <v>0.13203659692320971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662" t="s">
        <v>122</v>
      </c>
      <c r="B238" s="663"/>
      <c r="C238" s="665">
        <f>+C103</f>
        <v>143205.45000000001</v>
      </c>
      <c r="D238" s="665">
        <f>+D103</f>
        <v>199243.81249725953</v>
      </c>
      <c r="E238" s="665">
        <f>+E103</f>
        <v>184188.88</v>
      </c>
      <c r="F238" s="665">
        <f>+F103</f>
        <v>191473.27333333332</v>
      </c>
      <c r="G238" s="665">
        <f>+G103</f>
        <v>197312.81426220739</v>
      </c>
      <c r="H238" s="665"/>
      <c r="I238" s="663">
        <f t="shared" ref="I238:J243" si="19">+IF((E238)=0,,(F238-E238)/E238)</f>
        <v>3.9548496811171834E-2</v>
      </c>
      <c r="J238" s="663">
        <f t="shared" si="19"/>
        <v>3.0497942753128251E-2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662" t="s">
        <v>133</v>
      </c>
      <c r="B239" s="663"/>
      <c r="C239" s="665">
        <f>+C116</f>
        <v>60709.159999999989</v>
      </c>
      <c r="D239" s="665">
        <f>+D116</f>
        <v>64966.308600000004</v>
      </c>
      <c r="E239" s="665">
        <f>+E116</f>
        <v>79884.990000000005</v>
      </c>
      <c r="F239" s="665">
        <f>+F116</f>
        <v>65917.613333333342</v>
      </c>
      <c r="G239" s="665">
        <f>+G116</f>
        <v>53163.316133333334</v>
      </c>
      <c r="H239" s="665"/>
      <c r="I239" s="663">
        <f t="shared" si="19"/>
        <v>-0.17484356781751695</v>
      </c>
      <c r="J239" s="663">
        <f t="shared" si="19"/>
        <v>-0.19348845558931047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662" t="s">
        <v>147</v>
      </c>
      <c r="B240" s="663"/>
      <c r="C240" s="665">
        <f>+C129</f>
        <v>34873.629999999997</v>
      </c>
      <c r="D240" s="665">
        <f>+D129</f>
        <v>49248.267999999996</v>
      </c>
      <c r="E240" s="665">
        <f>+E129</f>
        <v>30672.2</v>
      </c>
      <c r="F240" s="665">
        <f>+F129</f>
        <v>38693.533333333333</v>
      </c>
      <c r="G240" s="665">
        <f>+G129</f>
        <v>42722.355000000003</v>
      </c>
      <c r="H240" s="665"/>
      <c r="I240" s="663">
        <f t="shared" si="19"/>
        <v>0.26151803044233318</v>
      </c>
      <c r="J240" s="663">
        <f t="shared" si="19"/>
        <v>0.10412131742944136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662" t="s">
        <v>164</v>
      </c>
      <c r="B241" s="663"/>
      <c r="C241" s="665">
        <f>+C154</f>
        <v>242828.3</v>
      </c>
      <c r="D241" s="665">
        <f>+D154</f>
        <v>342047.39450055518</v>
      </c>
      <c r="E241" s="665">
        <f>+E154</f>
        <v>322403.18111999991</v>
      </c>
      <c r="F241" s="665">
        <f>+F154</f>
        <v>323771.06666666653</v>
      </c>
      <c r="G241" s="665">
        <f>+G154</f>
        <v>330055.31222928112</v>
      </c>
      <c r="H241" s="665"/>
      <c r="I241" s="663">
        <f t="shared" si="19"/>
        <v>4.2427793110313486E-3</v>
      </c>
      <c r="J241" s="663">
        <f t="shared" si="19"/>
        <v>1.9409534110978573E-2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662" t="s">
        <v>74</v>
      </c>
      <c r="B242" s="663"/>
      <c r="C242" s="665">
        <f>+C168</f>
        <v>15775.139999999998</v>
      </c>
      <c r="D242" s="665">
        <f>+D168</f>
        <v>30887.790402666658</v>
      </c>
      <c r="E242" s="665">
        <f>+E168</f>
        <v>22616.090000000004</v>
      </c>
      <c r="F242" s="665">
        <f>+F168</f>
        <v>21033.519999999997</v>
      </c>
      <c r="G242" s="665">
        <f>+G168</f>
        <v>32276.093518000005</v>
      </c>
      <c r="H242" s="665"/>
      <c r="I242" s="663">
        <f t="shared" si="19"/>
        <v>-6.9975402467889303E-2</v>
      </c>
      <c r="J242" s="663">
        <f t="shared" si="19"/>
        <v>0.53450746798443671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662" t="s">
        <v>369</v>
      </c>
      <c r="B243" s="663"/>
      <c r="C243" s="665">
        <f>+C185-C201</f>
        <v>10572.679999999998</v>
      </c>
      <c r="D243" s="665">
        <f>+D185-D201</f>
        <v>11518.879541131668</v>
      </c>
      <c r="E243" s="665">
        <f>+E185-E201</f>
        <v>8568.0500000000011</v>
      </c>
      <c r="F243" s="665">
        <f>+F185-F201</f>
        <v>14731.716666666665</v>
      </c>
      <c r="G243" s="665">
        <f>+G185-G201</f>
        <v>18450.080800000003</v>
      </c>
      <c r="H243" s="665"/>
      <c r="I243" s="663">
        <f t="shared" si="19"/>
        <v>0.71937799927249069</v>
      </c>
      <c r="J243" s="663">
        <f t="shared" si="19"/>
        <v>0.25240535217099647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14" t="s">
        <v>189</v>
      </c>
      <c r="B245" s="363"/>
      <c r="C245" s="659">
        <f>+C203</f>
        <v>507964.36</v>
      </c>
      <c r="D245" s="659">
        <f>+D203</f>
        <v>697912.45354161295</v>
      </c>
      <c r="E245" s="659">
        <f>+E203</f>
        <v>648333.39111999981</v>
      </c>
      <c r="F245" s="659">
        <f>+F203</f>
        <v>655620.72333333327</v>
      </c>
      <c r="G245" s="659">
        <f>+G203</f>
        <v>673979.97194282175</v>
      </c>
      <c r="H245" s="659"/>
      <c r="I245" s="363">
        <f>+I63</f>
        <v>0</v>
      </c>
      <c r="J245" s="363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12" t="s">
        <v>228</v>
      </c>
      <c r="B247" s="366"/>
      <c r="C247" s="667">
        <f>+C205</f>
        <v>25298.850199999986</v>
      </c>
      <c r="D247" s="667">
        <f>+D205</f>
        <v>97307.546458387049</v>
      </c>
      <c r="E247" s="667">
        <f>+E205</f>
        <v>125474.51428000047</v>
      </c>
      <c r="F247" s="667">
        <f>+F205</f>
        <v>37839.688809025101</v>
      </c>
      <c r="G247" s="667">
        <f>+G205</f>
        <v>111042.59311978007</v>
      </c>
      <c r="H247" s="667"/>
      <c r="I247" s="366">
        <f>+IF((E247)=0,,(F247-E247)/E247)</f>
        <v>-0.69842729397155023</v>
      </c>
      <c r="J247" s="1036">
        <f>+IF((F247)=0,,(G247-F247)/F247)</f>
        <v>1.934553549850955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0" t="s">
        <v>370</v>
      </c>
      <c r="B249" s="367"/>
      <c r="C249" s="668">
        <f>+C207+C215</f>
        <v>68193.900000794427</v>
      </c>
      <c r="D249" s="668">
        <f>+D207+D215</f>
        <v>90536.789516315432</v>
      </c>
      <c r="E249" s="668">
        <f>+E207+E215</f>
        <v>81925.409915613942</v>
      </c>
      <c r="F249" s="668">
        <f>+F207+F215</f>
        <v>92874.967359812945</v>
      </c>
      <c r="G249" s="668">
        <f>+G207+G215</f>
        <v>96965.400146620203</v>
      </c>
      <c r="H249" s="668"/>
      <c r="I249" s="363">
        <f>+I67</f>
        <v>-0.75091260505595214</v>
      </c>
      <c r="J249" s="363">
        <f>+J67</f>
        <v>0.83956214916921879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12" t="s">
        <v>86</v>
      </c>
      <c r="B251" s="366"/>
      <c r="C251" s="667">
        <f>+C217</f>
        <v>-42895.049800794441</v>
      </c>
      <c r="D251" s="667">
        <f>+D217</f>
        <v>6770.7569420716172</v>
      </c>
      <c r="E251" s="667">
        <f>+E217</f>
        <v>43549.104364386527</v>
      </c>
      <c r="F251" s="667">
        <f>+F217</f>
        <v>-55035.278550787843</v>
      </c>
      <c r="G251" s="667">
        <f>+G217</f>
        <v>14077.192973159865</v>
      </c>
      <c r="H251" s="667"/>
      <c r="I251" s="366">
        <f>+IF((E251)=0,,(F251-E251)/E251)</f>
        <v>-2.2637522482734331</v>
      </c>
      <c r="J251" s="1036">
        <f>+IF((F251)=0,,(G251-F251)/F251)</f>
        <v>-1.2557848955042374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C252" s="17"/>
      <c r="D252" s="2"/>
      <c r="E252" s="2"/>
      <c r="F252" s="2"/>
      <c r="G252" s="2"/>
      <c r="H252" s="5"/>
      <c r="I252" s="24"/>
      <c r="J252" s="66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662" t="s">
        <v>95</v>
      </c>
      <c r="B253" s="663"/>
      <c r="C253" s="665">
        <f>+C28</f>
        <v>258806.16</v>
      </c>
      <c r="D253" s="665">
        <v>489189</v>
      </c>
      <c r="E253" s="665">
        <f>+E28</f>
        <v>335645.9</v>
      </c>
      <c r="F253" s="665"/>
      <c r="G253" s="1037">
        <f>+G28</f>
        <v>436435.55592000007</v>
      </c>
      <c r="H253" s="1037"/>
      <c r="I253" s="663"/>
      <c r="J253" s="663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662" t="s">
        <v>371</v>
      </c>
      <c r="B254" s="663"/>
      <c r="C254" s="665">
        <f>+C222</f>
        <v>2438765.1216964843</v>
      </c>
      <c r="D254" s="665">
        <f>+D222</f>
        <v>2302839.5144299567</v>
      </c>
      <c r="E254" s="665">
        <f>+E222</f>
        <v>2895333.9101279587</v>
      </c>
      <c r="F254" s="665">
        <f>+F222</f>
        <v>2376176.7958512576</v>
      </c>
      <c r="G254" s="665">
        <f>+G222</f>
        <v>2263426.6211872259</v>
      </c>
      <c r="H254" s="665"/>
      <c r="I254" s="663"/>
      <c r="J254" s="663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662" t="s">
        <v>372</v>
      </c>
      <c r="B255" s="663"/>
      <c r="C255" s="665"/>
      <c r="D255" s="665">
        <v>50000</v>
      </c>
      <c r="E255" s="665"/>
      <c r="F255" s="665"/>
      <c r="G255" s="1037">
        <f>1500+1000+500</f>
        <v>3000</v>
      </c>
      <c r="H255" s="1037"/>
      <c r="I255" s="663"/>
      <c r="J255" s="663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C256" s="17"/>
      <c r="D256" s="2"/>
      <c r="E256" s="2"/>
      <c r="F256" s="2"/>
      <c r="G256" s="2"/>
      <c r="H256" s="2"/>
      <c r="I256" s="24"/>
      <c r="J256" s="66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:13">
      <c r="A257" s="590"/>
      <c r="B257" s="591"/>
      <c r="C257" s="805"/>
      <c r="D257" s="1099"/>
      <c r="E257" s="1099"/>
      <c r="F257" s="657"/>
      <c r="G257" s="657"/>
      <c r="H257" s="657"/>
      <c r="I257" s="1081"/>
      <c r="J257" s="1081"/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autoFilter ref="L1:L256"/>
  <phoneticPr fontId="33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86" right="0" top="0" bottom="0" header="0.51181102362204722" footer="0.51181102362204722"/>
  <pageSetup paperSize="9" scale="66" fitToHeight="2" orientation="landscape" horizontalDpi="4294967293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 enableFormatConditionsCalculation="0">
    <tabColor indexed="45"/>
    <pageSetUpPr fitToPage="1"/>
  </sheetPr>
  <dimension ref="A1:L255"/>
  <sheetViews>
    <sheetView topLeftCell="A163" workbookViewId="0">
      <selection activeCell="L1" sqref="L1"/>
    </sheetView>
  </sheetViews>
  <sheetFormatPr baseColWidth="10" defaultRowHeight="12.75"/>
  <cols>
    <col min="1" max="1" width="41.85546875" style="2" customWidth="1"/>
    <col min="2" max="2" width="6.5703125" style="24" customWidth="1"/>
    <col min="3" max="7" width="13.7109375" style="17" customWidth="1"/>
    <col min="8" max="8" width="9.7109375" style="24" customWidth="1"/>
    <col min="9" max="9" width="7.85546875" style="24" customWidth="1"/>
    <col min="10" max="10" width="22.140625" style="2" customWidth="1"/>
    <col min="11" max="11" width="11.42578125" style="2"/>
    <col min="13" max="16384" width="11.42578125" style="2"/>
  </cols>
  <sheetData>
    <row r="1" spans="1:11">
      <c r="A1" s="1" t="s">
        <v>515</v>
      </c>
      <c r="B1" s="22"/>
      <c r="C1" s="45" t="s">
        <v>299</v>
      </c>
    </row>
    <row r="3" spans="1:11" ht="12.75" customHeight="1">
      <c r="A3" s="6"/>
      <c r="B3" s="102" t="s">
        <v>198</v>
      </c>
      <c r="C3" s="155" t="s">
        <v>195</v>
      </c>
      <c r="D3" s="104" t="s">
        <v>196</v>
      </c>
      <c r="E3" s="155" t="s">
        <v>195</v>
      </c>
      <c r="F3" s="130" t="s">
        <v>364</v>
      </c>
      <c r="G3" s="104" t="s">
        <v>196</v>
      </c>
      <c r="H3" s="151" t="s">
        <v>225</v>
      </c>
      <c r="I3" s="183" t="s">
        <v>225</v>
      </c>
      <c r="K3" s="2" t="s">
        <v>549</v>
      </c>
    </row>
    <row r="4" spans="1:11" ht="20.25" customHeight="1">
      <c r="A4" s="7" t="s">
        <v>229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05" t="s">
        <v>197</v>
      </c>
      <c r="H4" s="152"/>
      <c r="I4" s="184"/>
    </row>
    <row r="5" spans="1:11">
      <c r="A5" s="3"/>
      <c r="B5" s="90"/>
      <c r="C5" s="157"/>
      <c r="D5" s="106"/>
      <c r="E5" s="268"/>
      <c r="F5" s="132"/>
      <c r="G5" s="106"/>
      <c r="H5" s="152"/>
      <c r="I5" s="184"/>
    </row>
    <row r="6" spans="1:11">
      <c r="A6" s="4"/>
      <c r="B6" s="91"/>
      <c r="C6" s="158">
        <v>2009</v>
      </c>
      <c r="D6" s="107"/>
      <c r="E6" s="269">
        <v>2009</v>
      </c>
      <c r="F6" s="133">
        <v>2010</v>
      </c>
      <c r="G6" s="159">
        <v>2011</v>
      </c>
      <c r="H6" s="153" t="s">
        <v>367</v>
      </c>
      <c r="I6" s="185" t="s">
        <v>368</v>
      </c>
    </row>
    <row r="7" spans="1:11">
      <c r="A7" s="5"/>
      <c r="B7" s="92"/>
      <c r="C7" s="160"/>
      <c r="D7" s="162"/>
      <c r="E7" s="248"/>
      <c r="F7" s="249"/>
      <c r="G7" s="250"/>
      <c r="H7" s="149"/>
      <c r="I7" s="186"/>
    </row>
    <row r="8" spans="1:11">
      <c r="A8" s="5" t="s">
        <v>221</v>
      </c>
      <c r="B8" s="92"/>
      <c r="C8" s="160">
        <f>-IF(ISNA(VLOOKUP("lil707130000",Balance!C:G,5,FALSE))=TRUE,0,VLOOKUP("lil707130000",Balance!C:G,5,FALSE))</f>
        <v>56396.880000000005</v>
      </c>
      <c r="D8" s="162"/>
      <c r="E8" s="160">
        <f>-IF(ISNA(VLOOKUP("lil707130000",Balanceanp!C:G,5,FALSE))=TRUE,0,VLOOKUP("lil707130000",Balanceanp!C:G,5,FALSE))</f>
        <v>69952.149999999994</v>
      </c>
      <c r="F8" s="368">
        <f>+C8+C8/9*(12-Clients!$I$14)</f>
        <v>75195.840000000011</v>
      </c>
      <c r="G8" s="117"/>
      <c r="H8" s="149">
        <f>+IF((E8)=0,,(F8-E8)/E8)</f>
        <v>7.4961098407983415E-2</v>
      </c>
      <c r="I8" s="271">
        <f>+IF((F8)=0,,(G8-F8)/F8)</f>
        <v>-1</v>
      </c>
    </row>
    <row r="9" spans="1:11">
      <c r="A9" s="5" t="s">
        <v>59</v>
      </c>
      <c r="B9" s="92"/>
      <c r="C9" s="160">
        <f>-IF(ISNA(VLOOKUP("lil707110000",Balance!C:G,5,FALSE))=TRUE,0,VLOOKUP("lil707110000",Balance!C:G,5,FALSE))</f>
        <v>38.020000000000003</v>
      </c>
      <c r="D9" s="162"/>
      <c r="E9" s="160">
        <f>-IF(ISNA(VLOOKUP("lil707110000",Balanceanp!C:G,5,FALSE))=TRUE,0,VLOOKUP("lil707110000",Balanceanp!C:G,5,FALSE))</f>
        <v>4792.93</v>
      </c>
      <c r="F9" s="368">
        <f>+C9+C9/9*(12-Clients!$I$14)</f>
        <v>50.693333333333342</v>
      </c>
      <c r="G9" s="117"/>
      <c r="H9" s="149">
        <f t="shared" ref="H9:H18" si="0">+IF((E9)=0,,(F9-E9)/E9)</f>
        <v>-0.98942331030636088</v>
      </c>
      <c r="I9" s="271">
        <f t="shared" ref="I9:I18" si="1">+IF((F9)=0,,(G9-F9)/F9)</f>
        <v>-1</v>
      </c>
    </row>
    <row r="10" spans="1:11">
      <c r="A10" s="5" t="s">
        <v>85</v>
      </c>
      <c r="B10" s="92"/>
      <c r="C10" s="160">
        <f>IF(ISNA(VLOOKUP("LIL706000000",Balance!C:G,5,FALSE))=TRUE,0,-VLOOKUP("LIL706000000",Balance!C:G,5,FALSE))</f>
        <v>-135</v>
      </c>
      <c r="D10" s="203"/>
      <c r="E10" s="160">
        <f>IF(ISNA(VLOOKUP("LIL706000000",Balanceanp!C:G,5,FALSE))=TRUE,0,-VLOOKUP("LIL706000000",Balanceanp!C:G,5,FALSE))</f>
        <v>1571</v>
      </c>
      <c r="F10" s="368">
        <f>+C10+C10/9*(12-Clients!$I$14)</f>
        <v>-180</v>
      </c>
      <c r="G10" s="117"/>
      <c r="H10" s="149">
        <f t="shared" si="0"/>
        <v>-1.1145767027371101</v>
      </c>
      <c r="I10" s="271">
        <f t="shared" si="1"/>
        <v>-1</v>
      </c>
    </row>
    <row r="11" spans="1:11">
      <c r="A11" s="5" t="s">
        <v>87</v>
      </c>
      <c r="B11" s="92"/>
      <c r="C11" s="160">
        <f>IF(ISNA(VLOOKUP("LIL706100000",Balance!C:G,5,FALSE))=TRUE,0,-VLOOKUP("LIL706100000",Balance!C:G,5,FALSE))+IF(ISNA(VLOOKUP("LIL706010000",Balance!C:G,5,FALSE))=TRUE,0,-VLOOKUP("LIL706010000",Balance!C:G,5,FALSE))</f>
        <v>183224.81</v>
      </c>
      <c r="D11" s="162">
        <f>69092+81000</f>
        <v>150092</v>
      </c>
      <c r="E11" s="160">
        <f>IF(ISNA(VLOOKUP("LIL706100000",Balanceanp!C:G,5,FALSE))=TRUE,0,-VLOOKUP("LIL706100000",Balanceanp!C:G,5,FALSE))</f>
        <v>129374.18</v>
      </c>
      <c r="F11" s="368">
        <f>+C11+C11/9*(12-Clients!$I$14)</f>
        <v>244299.74666666667</v>
      </c>
      <c r="G11" s="426">
        <f>69092+81000</f>
        <v>150092</v>
      </c>
      <c r="H11" s="149">
        <f t="shared" si="0"/>
        <v>0.88831918908909557</v>
      </c>
      <c r="I11" s="271">
        <f t="shared" si="1"/>
        <v>-0.38562359540719404</v>
      </c>
    </row>
    <row r="12" spans="1:11">
      <c r="A12" s="5" t="s">
        <v>274</v>
      </c>
      <c r="B12" s="92"/>
      <c r="C12" s="160">
        <f>IF(ISNA(VLOOKUP("LIL708820000",Balance!C:G,5,FALSE))=TRUE,0,-VLOOKUP("LIL708820000",Balance!C:G,5,FALSE))</f>
        <v>1019.03</v>
      </c>
      <c r="D12" s="162"/>
      <c r="E12" s="160">
        <f>IF(ISNA(VLOOKUP("LIL708820000",Balanceanp!C:G,5,FALSE))=TRUE,0,-VLOOKUP("LIL708820000",Balanceanp!C:G,5,FALSE))</f>
        <v>408</v>
      </c>
      <c r="F12" s="368">
        <f>+C12+C12/9*(12-Clients!$I$14)</f>
        <v>1358.7066666666667</v>
      </c>
      <c r="G12" s="117"/>
      <c r="H12" s="149">
        <f t="shared" si="0"/>
        <v>2.3301633986928105</v>
      </c>
      <c r="I12" s="271">
        <f t="shared" si="1"/>
        <v>-1</v>
      </c>
    </row>
    <row r="13" spans="1:11">
      <c r="A13" s="5" t="s">
        <v>88</v>
      </c>
      <c r="B13" s="92"/>
      <c r="C13" s="160">
        <f>IF(ISNA(VLOOKUP("LIL707500000",Balance!C:G,5,FALSE))=TRUE,0,-VLOOKUP("LIL707500000",Balance!C:G,5,FALSE))</f>
        <v>56.14</v>
      </c>
      <c r="D13" s="203"/>
      <c r="E13" s="160">
        <f>IF(ISNA(VLOOKUP("LIL707500000",Balanceanp!C:G,5,FALSE))=TRUE,0,-VLOOKUP("LIL707500000",Balanceanp!C:G,5,FALSE))</f>
        <v>0</v>
      </c>
      <c r="F13" s="368">
        <f>+C13+C13/9*(12-Clients!$I$14)</f>
        <v>74.853333333333325</v>
      </c>
      <c r="G13" s="117"/>
      <c r="H13" s="149">
        <f t="shared" si="0"/>
        <v>0</v>
      </c>
      <c r="I13" s="271">
        <f t="shared" si="1"/>
        <v>-1</v>
      </c>
    </row>
    <row r="14" spans="1:11">
      <c r="A14" s="5" t="s">
        <v>273</v>
      </c>
      <c r="B14" s="92"/>
      <c r="C14" s="160">
        <f>IF(ISNA(VLOOKUP("LIL707520000",Balance!C:G,5,FALSE))=TRUE,0,-VLOOKUP("LIL707520000",Balance!C:G,5,FALSE))</f>
        <v>0</v>
      </c>
      <c r="D14" s="203"/>
      <c r="E14" s="160">
        <f>IF(ISNA(VLOOKUP("LIL707520000",Balanceanp!C:G,5,FALSE))=TRUE,0,-VLOOKUP("LIL707520000",Balanceanp!C:G,5,FALSE))</f>
        <v>0</v>
      </c>
      <c r="F14" s="368">
        <f>+C14+C14/9*(12-Clients!$I$14)</f>
        <v>0</v>
      </c>
      <c r="G14" s="117"/>
      <c r="H14" s="149">
        <f t="shared" si="0"/>
        <v>0</v>
      </c>
      <c r="I14" s="271">
        <f t="shared" si="1"/>
        <v>0</v>
      </c>
    </row>
    <row r="15" spans="1:11">
      <c r="A15" s="5" t="s">
        <v>89</v>
      </c>
      <c r="B15" s="92"/>
      <c r="C15" s="160">
        <f>IF(ISNA(VLOOKUP("LIL707510000",Balance!C:G,5,FALSE))=TRUE,0,-VLOOKUP("LIL707510000",Balance!C:G,5,FALSE))</f>
        <v>0</v>
      </c>
      <c r="D15" s="203"/>
      <c r="E15" s="160">
        <f>IF(ISNA(VLOOKUP("LIL707510000",Balanceanp!C:G,5,FALSE))=TRUE,0,-VLOOKUP("LIL707510000",Balanceanp!C:G,5,FALSE))</f>
        <v>0</v>
      </c>
      <c r="F15" s="368">
        <f>+C15+C15/9*(12-Clients!$I$14)</f>
        <v>0</v>
      </c>
      <c r="G15" s="117"/>
      <c r="H15" s="149">
        <f t="shared" si="0"/>
        <v>0</v>
      </c>
      <c r="I15" s="271">
        <f t="shared" si="1"/>
        <v>0</v>
      </c>
    </row>
    <row r="16" spans="1:11">
      <c r="A16" s="5" t="s">
        <v>270</v>
      </c>
      <c r="B16" s="92"/>
      <c r="C16" s="160">
        <f>IF(ISNA(VLOOKUP("LIL708500000",Balance!C:G,5,FALSE))=TRUE,0,-VLOOKUP("LIL708500000",Balance!C:G,5,FALSE))</f>
        <v>0</v>
      </c>
      <c r="D16" s="203"/>
      <c r="E16" s="160">
        <f>IF(ISNA(VLOOKUP("LIL708500000",Balanceanp!C:G,5,FALSE))=TRUE,0,-VLOOKUP("LIL708500000",Balanceanp!C:G,5,FALSE))</f>
        <v>3</v>
      </c>
      <c r="F16" s="368">
        <f>+C16+C16/9*(12-Clients!$I$14)</f>
        <v>0</v>
      </c>
      <c r="G16" s="117"/>
      <c r="H16" s="149">
        <f t="shared" si="0"/>
        <v>-1</v>
      </c>
      <c r="I16" s="271">
        <f t="shared" si="1"/>
        <v>0</v>
      </c>
    </row>
    <row r="17" spans="1:11">
      <c r="A17" s="5" t="s">
        <v>91</v>
      </c>
      <c r="B17" s="92"/>
      <c r="C17" s="160">
        <f>IF(ISNA(VLOOKUP("LIL709700000",Balance!C:G,5,FALSE))=TRUE,0,-VLOOKUP("LIL709700000",Balance!C:G,5,FALSE))</f>
        <v>0</v>
      </c>
      <c r="D17" s="203"/>
      <c r="E17" s="160">
        <f>IF(ISNA(VLOOKUP("LIL709700000",Balanceanp!C:G,5,FALSE))=TRUE,0,-VLOOKUP("LIL709700000",Balanceanp!C:G,5,FALSE))</f>
        <v>0</v>
      </c>
      <c r="F17" s="368">
        <f>+C17+C17/9*(12-Clients!$I$14)</f>
        <v>0</v>
      </c>
      <c r="G17" s="117"/>
      <c r="H17" s="149">
        <f t="shared" si="0"/>
        <v>0</v>
      </c>
      <c r="I17" s="271">
        <f t="shared" si="1"/>
        <v>0</v>
      </c>
    </row>
    <row r="18" spans="1:11">
      <c r="A18" s="5" t="s">
        <v>90</v>
      </c>
      <c r="B18" s="92"/>
      <c r="C18" s="160">
        <f>IF(ISNA(VLOOKUP("LIL708300000",Balance!C:G,5,FALSE))=TRUE,0,-VLOOKUP("LIL708300000",Balance!C:G,5,FALSE))</f>
        <v>0</v>
      </c>
      <c r="D18" s="203"/>
      <c r="E18" s="160">
        <f>IF(ISNA(VLOOKUP("LIL708300000",Balanceanp!C:G,5,FALSE))=TRUE,0,-VLOOKUP("LIL708300000",Balanceanp!C:G,5,FALSE))</f>
        <v>0</v>
      </c>
      <c r="F18" s="368">
        <f>+C18+C18/9*(12-Clients!$I$14)</f>
        <v>0</v>
      </c>
      <c r="G18" s="117"/>
      <c r="H18" s="149">
        <f t="shared" si="0"/>
        <v>0</v>
      </c>
      <c r="I18" s="271">
        <f t="shared" si="1"/>
        <v>0</v>
      </c>
    </row>
    <row r="19" spans="1:11">
      <c r="A19" s="5"/>
      <c r="B19" s="92"/>
      <c r="C19" s="160"/>
      <c r="D19" s="162"/>
      <c r="E19" s="160"/>
      <c r="F19" s="113"/>
      <c r="G19" s="162"/>
      <c r="H19" s="143" t="str">
        <f>+IF((F19)=0,"",(C19-F19)/F19)</f>
        <v/>
      </c>
      <c r="I19" s="187" t="str">
        <f>+IF((E19)=0,"",(C19-E19)/E19)</f>
        <v/>
      </c>
    </row>
    <row r="20" spans="1:11" ht="15" customHeight="1">
      <c r="A20" s="13" t="s">
        <v>238</v>
      </c>
      <c r="B20" s="93"/>
      <c r="C20" s="163">
        <f>SUM(C7:C19)</f>
        <v>240599.88</v>
      </c>
      <c r="D20" s="168">
        <f>SUM(D7:D19)</f>
        <v>150092</v>
      </c>
      <c r="E20" s="163">
        <f>SUM(E7:E19)</f>
        <v>206101.25999999998</v>
      </c>
      <c r="F20" s="204">
        <f>SUM(F7:F19)</f>
        <v>320799.84000000003</v>
      </c>
      <c r="G20" s="204">
        <f>SUM(G7:G19)</f>
        <v>150092</v>
      </c>
      <c r="H20" s="272">
        <f>+IF((E20)=0,,(F20-E20)/E20)</f>
        <v>0.55651566613421022</v>
      </c>
      <c r="I20" s="190">
        <f>+IF((F20)=0,,(G20-F20)/F20)</f>
        <v>-0.53213193622540467</v>
      </c>
    </row>
    <row r="21" spans="1:11">
      <c r="A21" s="5"/>
      <c r="B21" s="92"/>
      <c r="C21" s="160"/>
      <c r="D21" s="162"/>
      <c r="E21" s="160"/>
      <c r="F21" s="113"/>
      <c r="G21" s="162"/>
      <c r="H21" s="143" t="str">
        <f>+IF((F21)=0,"",(C21-F21)/F21)</f>
        <v/>
      </c>
      <c r="I21" s="187" t="str">
        <f>+IF((E21)=0,"",(C21-E21)/E21)</f>
        <v/>
      </c>
      <c r="K21" s="33"/>
    </row>
    <row r="22" spans="1:11">
      <c r="A22" s="5" t="s">
        <v>92</v>
      </c>
      <c r="B22" s="92"/>
      <c r="C22" s="160">
        <f>IF(ISNA(VLOOKUP("LIL602650000",Balance!C:G,5,FALSE))=TRUE,0,VLOOKUP("LIL602650000",Balance!C:G,5,FALSE))</f>
        <v>0</v>
      </c>
      <c r="D22" s="162"/>
      <c r="E22" s="160">
        <f>IF(ISNA(VLOOKUP("LIL602650000",Balanceanp!C:G,5,FALSE))=TRUE,0,VLOOKUP("LIL602650000",Balanceanp!C:G,5,FALSE))</f>
        <v>0</v>
      </c>
      <c r="F22" s="368">
        <f>+C22+C22/9*(12-Clients!$I$14)</f>
        <v>0</v>
      </c>
      <c r="G22" s="117"/>
      <c r="H22" s="149">
        <f>+IF((E22)=0,,(F22-E22)/E22)</f>
        <v>0</v>
      </c>
      <c r="I22" s="271">
        <f>+IF((F22)=0,,(G22-F22)/F22)</f>
        <v>0</v>
      </c>
    </row>
    <row r="23" spans="1:11">
      <c r="A23" s="5" t="s">
        <v>93</v>
      </c>
      <c r="B23" s="92"/>
      <c r="C23" s="160">
        <f>IF(ISNA(VLOOKUP("LIL607100000",Balance!C:G,5,FALSE))=TRUE,0,VLOOKUP("LIL607100000",Balance!C:G,5,FALSE))</f>
        <v>58858.11</v>
      </c>
      <c r="D23" s="162"/>
      <c r="E23" s="160">
        <f>IF(ISNA(VLOOKUP("LIL607100000",Balanceanp!C:G,5,FALSE))=TRUE,0,VLOOKUP("LIL607100000",Balanceanp!C:G,5,FALSE))+IF(ISNA(VLOOKUP("LIL607130000",Balanceanp!C:G,5,FALSE))=TRUE,0,VLOOKUP("LIL607130000",Balanceanp!C:G,5,FALSE))</f>
        <v>56860.86</v>
      </c>
      <c r="F23" s="368">
        <f>+C23+C23/9*(12-Clients!$I$14)</f>
        <v>78477.48</v>
      </c>
      <c r="G23" s="117"/>
      <c r="H23" s="149">
        <f t="shared" ref="H23:H30" si="2">+IF((E23)=0,,(F23-E23)/E23)</f>
        <v>0.38016695491415353</v>
      </c>
      <c r="I23" s="271">
        <f t="shared" ref="I23:I30" si="3">+IF((F23)=0,,(G23-F23)/F23)</f>
        <v>-1</v>
      </c>
    </row>
    <row r="24" spans="1:11">
      <c r="A24" s="5" t="s">
        <v>94</v>
      </c>
      <c r="B24" s="92"/>
      <c r="C24" s="160">
        <f>IF(ISNA(VLOOKUP("LIL607110000",Balance!C:G,5,FALSE))=TRUE,0,VLOOKUP("LIL607110000",Balance!C:G,5,FALSE))+IF(ISNA(VLOOKUP("LIL607120000",Balance!C:G,5,FALSE))=TRUE,0,VLOOKUP("LIL607120000",Balance!C:G,5,FALSE))</f>
        <v>7502.369999999999</v>
      </c>
      <c r="D24" s="162"/>
      <c r="E24" s="160">
        <f>IF(ISNA(VLOOKUP("LIL607110000",Balanceanp!C:G,5,FALSE))=TRUE,0,VLOOKUP("LIL607110000",Balanceanp!C:G,5,FALSE))++IF(ISNA(VLOOKUP("LIL607120000",Balanceanp!C:G,5,FALSE))=TRUE,0,VLOOKUP("LIL607120000",Balanceanp!C:G,5,FALSE))</f>
        <v>8831.91</v>
      </c>
      <c r="F24" s="368">
        <f>+C24+C24/9*(12-Clients!$I$14)</f>
        <v>10003.16</v>
      </c>
      <c r="G24" s="117"/>
      <c r="H24" s="149">
        <f t="shared" si="2"/>
        <v>0.13261570826695471</v>
      </c>
      <c r="I24" s="271">
        <f t="shared" si="3"/>
        <v>-1</v>
      </c>
    </row>
    <row r="25" spans="1:11">
      <c r="A25" s="5" t="s">
        <v>95</v>
      </c>
      <c r="B25" s="92"/>
      <c r="C25" s="160">
        <f>IF(ISNA(VLOOKUP("LIL607200000",Balance!C:G,5,FALSE))=TRUE,0,VLOOKUP("LIL607200000",Balance!C:G,5,FALSE))</f>
        <v>0</v>
      </c>
      <c r="D25" s="162"/>
      <c r="E25" s="160">
        <f>IF(ISNA(VLOOKUP("LIL607200000",Balanceanp!C:G,5,FALSE))=TRUE,0,VLOOKUP("LIL607200000",Balanceanp!C:G,5,FALSE))</f>
        <v>0</v>
      </c>
      <c r="F25" s="368">
        <f>+C25+C25/9*(12-Clients!$I$14)</f>
        <v>0</v>
      </c>
      <c r="G25" s="117"/>
      <c r="H25" s="149">
        <f t="shared" si="2"/>
        <v>0</v>
      </c>
      <c r="I25" s="271">
        <f t="shared" si="3"/>
        <v>0</v>
      </c>
      <c r="K25" s="2">
        <v>60720000</v>
      </c>
    </row>
    <row r="26" spans="1:11">
      <c r="A26" s="5" t="s">
        <v>96</v>
      </c>
      <c r="B26" s="92"/>
      <c r="C26" s="160">
        <f>IF(ISNA(VLOOKUP("LIL607400000",Balance!C:G,5,FALSE))=TRUE,0,VLOOKUP("LIL607400000",Balance!C:G,5,FALSE))</f>
        <v>1242.43</v>
      </c>
      <c r="D26" s="162"/>
      <c r="E26" s="160">
        <f>IF(ISNA(VLOOKUP("LIL607400000",Balanceanp!C:G,5,FALSE))=TRUE,0,VLOOKUP("LIL607400000",Balanceanp!C:G,5,FALSE))</f>
        <v>473.76</v>
      </c>
      <c r="F26" s="368">
        <f>+C26+C26/9*(12-Clients!$I$14)</f>
        <v>1656.5733333333333</v>
      </c>
      <c r="G26" s="117"/>
      <c r="H26" s="149">
        <f t="shared" si="2"/>
        <v>2.4966509062253741</v>
      </c>
      <c r="I26" s="271">
        <f t="shared" si="3"/>
        <v>-1</v>
      </c>
    </row>
    <row r="27" spans="1:11">
      <c r="A27" s="5" t="s">
        <v>97</v>
      </c>
      <c r="B27" s="92"/>
      <c r="C27" s="160">
        <f>IF(ISNA(VLOOKUP("LIL608000000",Balance!C:G,5,FALSE))=TRUE,0,VLOOKUP("LIL608000000",Balance!C:G,5,FALSE))</f>
        <v>0</v>
      </c>
      <c r="D27" s="162"/>
      <c r="E27" s="160">
        <f>IF(ISNA(VLOOKUP("LIL608000000",Balanceanp!C:G,5,FALSE))=TRUE,0,VLOOKUP("LIL608000000",Balanceanp!C:G,5,FALSE))</f>
        <v>23.98</v>
      </c>
      <c r="F27" s="368">
        <f>+C27+C27/9*(12-Clients!$I$14)</f>
        <v>0</v>
      </c>
      <c r="G27" s="117"/>
      <c r="H27" s="149">
        <f t="shared" si="2"/>
        <v>-1</v>
      </c>
      <c r="I27" s="271">
        <f t="shared" si="3"/>
        <v>0</v>
      </c>
    </row>
    <row r="28" spans="1:11">
      <c r="A28" s="5" t="s">
        <v>320</v>
      </c>
      <c r="B28" s="92"/>
      <c r="C28" s="160">
        <f>IF(ISNA(VLOOKUP("LIL609110000",Balance!C:G,5,FALSE))=TRUE,0,VLOOKUP("LIL609110000",Balance!C:G,5,FALSE))</f>
        <v>-3144.05</v>
      </c>
      <c r="D28" s="162"/>
      <c r="E28" s="160">
        <f>IF(ISNA(VLOOKUP("LIL609110000",Balanceanp!C:G,5,FALSE))=TRUE,0,VLOOKUP("LIL609110000",Balanceanp!C:G,5,FALSE))</f>
        <v>12195.85</v>
      </c>
      <c r="F28" s="368">
        <f>+C28+C28/9*(12-Clients!$I$14)</f>
        <v>-4192.0666666666666</v>
      </c>
      <c r="G28" s="117"/>
      <c r="H28" s="149">
        <f t="shared" si="2"/>
        <v>-1.3437289460485877</v>
      </c>
      <c r="I28" s="271">
        <f t="shared" si="3"/>
        <v>-1</v>
      </c>
    </row>
    <row r="29" spans="1:11">
      <c r="A29" s="5" t="s">
        <v>319</v>
      </c>
      <c r="B29" s="92"/>
      <c r="C29" s="160">
        <f>IF(ISNA(VLOOKUP("LIL609120000",Balance!C:G,5,FALSE))=TRUE,0,VLOOKUP("LIL609120000",Balance!C:G,5,FALSE))</f>
        <v>0</v>
      </c>
      <c r="D29" s="162"/>
      <c r="E29" s="160">
        <f>IF(ISNA(VLOOKUP("LIL609120000",Balanceanp!C:G,5,FALSE))=TRUE,0,VLOOKUP("LIL609120000",Balanceanp!C:G,5,FALSE))</f>
        <v>0</v>
      </c>
      <c r="F29" s="368">
        <f>+C29+C29/9*(12-Clients!$I$14)</f>
        <v>0</v>
      </c>
      <c r="G29" s="117"/>
      <c r="H29" s="149">
        <f t="shared" si="2"/>
        <v>0</v>
      </c>
      <c r="I29" s="271">
        <f t="shared" si="3"/>
        <v>0</v>
      </c>
    </row>
    <row r="30" spans="1:11">
      <c r="A30" s="5" t="s">
        <v>98</v>
      </c>
      <c r="B30" s="92"/>
      <c r="C30" s="160">
        <f>IF(ISNA(VLOOKUP("LIL608100000",Balance!C:G,5,FALSE))=TRUE,0,VLOOKUP("LIL608100000",Balance!C:G,5,FALSE))</f>
        <v>0</v>
      </c>
      <c r="D30" s="162"/>
      <c r="E30" s="160">
        <f>IF(ISNA(VLOOKUP("LIL608100000",Balanceanp!C:G,5,FALSE))=TRUE,0,VLOOKUP("LIL608100000",Balanceanp!C:G,5,FALSE))</f>
        <v>0</v>
      </c>
      <c r="F30" s="368">
        <f>+C30+C30/9*(12-Clients!$I$14)</f>
        <v>0</v>
      </c>
      <c r="G30" s="117"/>
      <c r="H30" s="149">
        <f t="shared" si="2"/>
        <v>0</v>
      </c>
      <c r="I30" s="271">
        <f t="shared" si="3"/>
        <v>0</v>
      </c>
      <c r="K30" s="43"/>
    </row>
    <row r="31" spans="1:11">
      <c r="A31" s="5"/>
      <c r="B31" s="92"/>
      <c r="C31" s="160"/>
      <c r="D31" s="162"/>
      <c r="E31" s="160"/>
      <c r="F31" s="113"/>
      <c r="G31" s="162"/>
      <c r="H31" s="143" t="str">
        <f>+IF((F31)=0,"",(C31-F31)/F31)</f>
        <v/>
      </c>
      <c r="I31" s="187" t="str">
        <f>+IF((E31)=0,"",(C31-E31)/E31)</f>
        <v/>
      </c>
    </row>
    <row r="32" spans="1:11" ht="15" customHeight="1">
      <c r="A32" s="13" t="s">
        <v>237</v>
      </c>
      <c r="B32" s="93"/>
      <c r="C32" s="163">
        <f>SUM(C21:C31)</f>
        <v>64458.859999999986</v>
      </c>
      <c r="D32" s="168">
        <f>+I32/Clients!$I$14*Clients!$I$13</f>
        <v>-1</v>
      </c>
      <c r="E32" s="163">
        <f>SUM(E21:E31)</f>
        <v>78386.36</v>
      </c>
      <c r="F32" s="204">
        <f>SUM(F21:F31)</f>
        <v>85945.146666666667</v>
      </c>
      <c r="G32" s="168">
        <f>SUM(G21:G31)</f>
        <v>0</v>
      </c>
      <c r="H32" s="272">
        <f>+IF((E32)=0,,(F32-E32)/E32)</f>
        <v>9.642987206787848E-2</v>
      </c>
      <c r="I32" s="190">
        <f>+IF((F32)=0,,(G32-F32)/F32)</f>
        <v>-1</v>
      </c>
      <c r="K32" s="33"/>
    </row>
    <row r="33" spans="1:11">
      <c r="A33" s="5"/>
      <c r="B33" s="92"/>
      <c r="C33" s="160"/>
      <c r="D33" s="162"/>
      <c r="E33" s="160"/>
      <c r="F33" s="113"/>
      <c r="G33" s="162"/>
      <c r="H33" s="149"/>
      <c r="I33" s="186"/>
      <c r="K33" s="33"/>
    </row>
    <row r="34" spans="1:11" ht="13.5" thickBot="1">
      <c r="A34" s="21"/>
      <c r="B34" s="97"/>
      <c r="C34" s="171"/>
      <c r="D34" s="172"/>
      <c r="E34" s="171"/>
      <c r="F34" s="205"/>
      <c r="G34" s="172"/>
      <c r="H34" s="236"/>
      <c r="I34" s="207"/>
    </row>
    <row r="35" spans="1:11" ht="13.5" thickTop="1">
      <c r="A35" s="5"/>
      <c r="B35" s="92"/>
      <c r="C35" s="160"/>
      <c r="D35" s="162"/>
      <c r="E35" s="160"/>
      <c r="F35" s="113"/>
      <c r="G35" s="162"/>
      <c r="H35" s="143" t="str">
        <f>+IF((F35)=0,"",(C35-F35)/F35)</f>
        <v/>
      </c>
      <c r="I35" s="187" t="str">
        <f>+IF((E35)=0,"",(C35-E35)/E35)</f>
        <v/>
      </c>
    </row>
    <row r="36" spans="1:11">
      <c r="A36" s="5" t="s">
        <v>104</v>
      </c>
      <c r="B36" s="92"/>
      <c r="C36" s="160">
        <f>IF(ISNA(VLOOKUP("LIL613520000",Balance!C:G,5,FALSE))=TRUE,0,VLOOKUP("LIL613520000",Balance!C:G,5,FALSE))</f>
        <v>4039.96</v>
      </c>
      <c r="D36" s="162">
        <v>6080</v>
      </c>
      <c r="E36" s="160">
        <f>IF(ISNA(VLOOKUP("LIL613520000",Balanceanp!C:G,5,FALSE))=TRUE,0,VLOOKUP("LIL613520000",Balanceanp!C:G,5,FALSE))</f>
        <v>6019.19</v>
      </c>
      <c r="F36" s="368">
        <f>+C36+C36/9*(12-Clients!$I$14)</f>
        <v>5386.6133333333337</v>
      </c>
      <c r="G36" s="369">
        <f>+F36*1.03</f>
        <v>5548.2117333333335</v>
      </c>
      <c r="H36" s="149">
        <f>+IF((E36)=0,,(F36-E36)/E36)</f>
        <v>-0.10509332097286611</v>
      </c>
      <c r="I36" s="271">
        <f>+IF((F36)=0,,(G36-F36)/F36)</f>
        <v>2.9999999999999971E-2</v>
      </c>
    </row>
    <row r="37" spans="1:11">
      <c r="A37" s="5" t="s">
        <v>110</v>
      </c>
      <c r="B37" s="92"/>
      <c r="C37" s="160">
        <f>IF(ISNA(VLOOKUP("LIL616120000",Balance!C:G,5,FALSE))=TRUE,0,VLOOKUP("LIL616120000",Balance!C:G,5,FALSE))</f>
        <v>53.56</v>
      </c>
      <c r="D37" s="162">
        <v>1000</v>
      </c>
      <c r="E37" s="160">
        <f>IF(ISNA(VLOOKUP("LIL616120000",Balanceanp!C:G,5,FALSE))=TRUE,0,VLOOKUP("LIL616120000",Balanceanp!C:G,5,FALSE))</f>
        <v>2328.67</v>
      </c>
      <c r="F37" s="368">
        <f>+C37+C37/9*(12-Clients!$I$14)</f>
        <v>71.413333333333341</v>
      </c>
      <c r="G37" s="369">
        <v>1000</v>
      </c>
      <c r="H37" s="149">
        <f t="shared" ref="H37:H68" si="4">+IF((E37)=0,,(F37-E37)/E37)</f>
        <v>-0.9693329955153227</v>
      </c>
      <c r="I37" s="271">
        <f t="shared" ref="I37:I68" si="5">+IF((F37)=0,,(G37-F37)/F37)</f>
        <v>13.002987303958177</v>
      </c>
    </row>
    <row r="38" spans="1:11">
      <c r="A38" s="5" t="s">
        <v>107</v>
      </c>
      <c r="B38" s="92"/>
      <c r="C38" s="160">
        <f>IF(ISNA(VLOOKUP("LIL615520000",Balance!C:G,5,FALSE))=TRUE,0,VLOOKUP("LIL615520000",Balance!C:G,5,FALSE))</f>
        <v>4826.6499999999996</v>
      </c>
      <c r="D38" s="162">
        <v>1038</v>
      </c>
      <c r="E38" s="160">
        <f>IF(ISNA(VLOOKUP("LIL615520000",Balanceanp!C:G,5,FALSE))=TRUE,0,VLOOKUP("LIL615520000",Balanceanp!C:G,5,FALSE))</f>
        <v>2495.06</v>
      </c>
      <c r="F38" s="368">
        <f>+C38+C38/9*(12-Clients!$I$14)</f>
        <v>6435.5333333333328</v>
      </c>
      <c r="G38" s="369">
        <f>+F38*1.03</f>
        <v>6628.5993333333327</v>
      </c>
      <c r="H38" s="149">
        <f t="shared" si="4"/>
        <v>1.5793100499921175</v>
      </c>
      <c r="I38" s="271">
        <f t="shared" si="5"/>
        <v>2.9999999999999971E-2</v>
      </c>
    </row>
    <row r="39" spans="1:11">
      <c r="A39" s="5" t="s">
        <v>125</v>
      </c>
      <c r="B39" s="92"/>
      <c r="C39" s="160">
        <f>IF(ISNA(VLOOKUP("LIL606130000",Balance!C:G,5,FALSE))=TRUE,0,VLOOKUP("LIL606130000",Balance!C:G,5,FALSE))</f>
        <v>3968.24</v>
      </c>
      <c r="D39" s="162">
        <v>4830</v>
      </c>
      <c r="E39" s="160">
        <f>IF(ISNA(VLOOKUP("LIL606130000",Balanceanp!C:G,5,FALSE))=TRUE,0,VLOOKUP("LIL606130000",Balanceanp!C:G,5,FALSE))</f>
        <v>6288.79</v>
      </c>
      <c r="F39" s="368">
        <f>+C39+C39/9*(12-Clients!$I$14)</f>
        <v>5290.9866666666667</v>
      </c>
      <c r="G39" s="369">
        <f>+F39*1.03</f>
        <v>5449.7162666666673</v>
      </c>
      <c r="H39" s="149">
        <f t="shared" si="4"/>
        <v>-0.15866380231067237</v>
      </c>
      <c r="I39" s="271">
        <f t="shared" si="5"/>
        <v>3.000000000000011E-2</v>
      </c>
    </row>
    <row r="40" spans="1:11">
      <c r="A40" s="5" t="s">
        <v>123</v>
      </c>
      <c r="B40" s="92"/>
      <c r="C40" s="160">
        <f>IF(ISNA(VLOOKUP("LIL606100000",Balance!C:G,5,FALSE))=TRUE,0,VLOOKUP("LIL606100000",Balance!C:G,5,FALSE))</f>
        <v>0</v>
      </c>
      <c r="D40" s="162">
        <v>538</v>
      </c>
      <c r="E40" s="160">
        <f>IF(ISNA(VLOOKUP("LIL606100000",Balanceanp!C:G,5,FALSE))=TRUE,0,VLOOKUP("LIL606100000",Balanceanp!C:G,5,FALSE))</f>
        <v>222.51</v>
      </c>
      <c r="F40" s="368">
        <f>+C40+C40/9*(12-Clients!$I$14)</f>
        <v>0</v>
      </c>
      <c r="G40" s="369">
        <f>+F40*1.03</f>
        <v>0</v>
      </c>
      <c r="H40" s="149">
        <f t="shared" si="4"/>
        <v>-1</v>
      </c>
      <c r="I40" s="271">
        <f t="shared" si="5"/>
        <v>0</v>
      </c>
    </row>
    <row r="41" spans="1:11">
      <c r="A41" s="5" t="s">
        <v>124</v>
      </c>
      <c r="B41" s="92"/>
      <c r="C41" s="160">
        <f>IF(ISNA(VLOOKUP("LIL606110000",Balance!C:G,5,FALSE))=TRUE,0,VLOOKUP("LIL606110000",Balance!C:G,5,FALSE))</f>
        <v>-1384.93</v>
      </c>
      <c r="D41" s="162">
        <v>0</v>
      </c>
      <c r="E41" s="160">
        <f>IF(ISNA(VLOOKUP("LIL606110000",Balanceanp!C:G,5,FALSE))=TRUE,0,VLOOKUP("LIL606110000",Balanceanp!C:G,5,FALSE))</f>
        <v>1444.06</v>
      </c>
      <c r="F41" s="368">
        <f>+C41+C41/9*(12-Clients!$I$14)</f>
        <v>-1846.5733333333335</v>
      </c>
      <c r="G41" s="369">
        <f>+F41*1.03</f>
        <v>-1901.9705333333336</v>
      </c>
      <c r="H41" s="149">
        <f t="shared" si="4"/>
        <v>-2.2787372639179351</v>
      </c>
      <c r="I41" s="271">
        <f t="shared" si="5"/>
        <v>3.0000000000000058E-2</v>
      </c>
    </row>
    <row r="42" spans="1:11">
      <c r="A42" s="5" t="s">
        <v>126</v>
      </c>
      <c r="B42" s="92"/>
      <c r="C42" s="160">
        <f>IF(ISNA(VLOOKUP("LIL606310000",Balance!C:G,5,FALSE))=TRUE,0,VLOOKUP("LIL606310000",Balance!C:G,5,FALSE))</f>
        <v>0</v>
      </c>
      <c r="D42" s="162">
        <v>0</v>
      </c>
      <c r="E42" s="160">
        <f>IF(ISNA(VLOOKUP("LIL606310000",Balanceanp!C:G,5,FALSE))=TRUE,0,VLOOKUP("LIL606310000",Balanceanp!C:G,5,FALSE))</f>
        <v>0</v>
      </c>
      <c r="F42" s="368">
        <f>+C42+C42/9*(12-Clients!$I$14)</f>
        <v>0</v>
      </c>
      <c r="G42" s="369">
        <f>+F42*1.03</f>
        <v>0</v>
      </c>
      <c r="H42" s="149">
        <f t="shared" si="4"/>
        <v>0</v>
      </c>
      <c r="I42" s="271">
        <f t="shared" si="5"/>
        <v>0</v>
      </c>
    </row>
    <row r="43" spans="1:11">
      <c r="A43" s="5" t="s">
        <v>127</v>
      </c>
      <c r="B43" s="92"/>
      <c r="C43" s="160">
        <f>IF(ISNA(VLOOKUP("LIL606410000",Balance!C:G,5,FALSE))=TRUE,0,VLOOKUP("LIL606410000",Balance!C:G,5,FALSE))</f>
        <v>14086.87</v>
      </c>
      <c r="D43" s="162">
        <v>30000</v>
      </c>
      <c r="E43" s="160">
        <f>IF(ISNA(VLOOKUP("LIL606410000",Balanceanp!C:G,5,FALSE))=TRUE,0,VLOOKUP("LIL606410000",Balanceanp!C:G,5,FALSE))</f>
        <v>36856.619999999995</v>
      </c>
      <c r="F43" s="368">
        <f>+C43+C43/9*(12-Clients!$I$14)</f>
        <v>18782.493333333336</v>
      </c>
      <c r="G43" s="369">
        <v>30000</v>
      </c>
      <c r="H43" s="149">
        <f t="shared" si="4"/>
        <v>-0.49039023835247675</v>
      </c>
      <c r="I43" s="271">
        <f t="shared" si="5"/>
        <v>0.59723203238192712</v>
      </c>
    </row>
    <row r="44" spans="1:11">
      <c r="A44" s="5" t="s">
        <v>101</v>
      </c>
      <c r="B44" s="92"/>
      <c r="C44" s="160">
        <f>IF(ISNA(VLOOKUP("LIL611000000",Balance!C:G,5,FALSE))=TRUE,0,VLOOKUP("LIL611000000",Balance!C:G,5,FALSE))</f>
        <v>15321.21</v>
      </c>
      <c r="D44" s="162">
        <v>18000</v>
      </c>
      <c r="E44" s="160">
        <f>IF(ISNA(VLOOKUP("LIL611000000",Balanceanp!C:G,5,FALSE))=TRUE,0,VLOOKUP("LIL611000000",Balanceanp!C:G,5,FALSE))</f>
        <v>17453.419999999998</v>
      </c>
      <c r="F44" s="368">
        <f>+C44+C44/9*(12-Clients!$I$14)</f>
        <v>20428.28</v>
      </c>
      <c r="G44" s="369">
        <v>18000</v>
      </c>
      <c r="H44" s="149">
        <f t="shared" si="4"/>
        <v>0.17044567769525978</v>
      </c>
      <c r="I44" s="271">
        <f t="shared" si="5"/>
        <v>-0.11886854889398417</v>
      </c>
      <c r="K44" s="33"/>
    </row>
    <row r="45" spans="1:11">
      <c r="A45" s="5" t="s">
        <v>102</v>
      </c>
      <c r="B45" s="92"/>
      <c r="C45" s="160">
        <f>IF(ISNA(VLOOKUP("LIL613200000",Balance!C:G,5,FALSE))=TRUE,0,VLOOKUP("LIL613200000",Balance!C:G,5,FALSE))</f>
        <v>20550.78</v>
      </c>
      <c r="D45" s="162">
        <v>27401.300000000003</v>
      </c>
      <c r="E45" s="160">
        <f>IF(ISNA(VLOOKUP("LIL613200000",Balanceanp!C:G,5,FALSE))=TRUE,0,VLOOKUP("LIL613200000",Balanceanp!C:G,5,FALSE))</f>
        <v>27057.78</v>
      </c>
      <c r="F45" s="425">
        <f>6805.06+7.52+6782.5*3</f>
        <v>27160.080000000002</v>
      </c>
      <c r="G45" s="426">
        <f>6805.06/3*8+6805.06/3*1.05*4</f>
        <v>27673.91066666667</v>
      </c>
      <c r="H45" s="149">
        <f t="shared" si="4"/>
        <v>3.7807979812092092E-3</v>
      </c>
      <c r="I45" s="271">
        <f t="shared" si="5"/>
        <v>1.8918599159747265E-2</v>
      </c>
    </row>
    <row r="46" spans="1:11">
      <c r="A46" s="5" t="s">
        <v>103</v>
      </c>
      <c r="B46" s="92"/>
      <c r="C46" s="160">
        <f>IF(ISNA(VLOOKUP("LIL613510000",Balance!C:G,5,FALSE))=TRUE,0,VLOOKUP("LIL613510000",Balance!C:G,5,FALSE))</f>
        <v>619.21</v>
      </c>
      <c r="D46" s="162">
        <v>1500</v>
      </c>
      <c r="E46" s="160">
        <f>IF(ISNA(VLOOKUP("LIL613510000",Balanceanp!C:G,5,FALSE))=TRUE,0,VLOOKUP("LIL613510000",Balanceanp!C:G,5,FALSE))</f>
        <v>819.99</v>
      </c>
      <c r="F46" s="368">
        <f>+C46+C46/9*(12-Clients!$I$14)</f>
        <v>825.61333333333334</v>
      </c>
      <c r="G46" s="369">
        <v>1500</v>
      </c>
      <c r="H46" s="149">
        <f t="shared" si="4"/>
        <v>6.8578072090310065E-3</v>
      </c>
      <c r="I46" s="271">
        <f t="shared" si="5"/>
        <v>0.81683112352836673</v>
      </c>
      <c r="K46" s="33"/>
    </row>
    <row r="47" spans="1:11">
      <c r="A47" s="5" t="s">
        <v>514</v>
      </c>
      <c r="B47" s="92"/>
      <c r="C47" s="160">
        <f>IF(ISNA(VLOOKUP("LIL612500000",Balance!C:G,5,FALSE))=TRUE,0,VLOOKUP("LIL612500000",Balance!C:G,5,FALSE))</f>
        <v>5472.2000000000007</v>
      </c>
      <c r="D47" s="162">
        <v>6566.64</v>
      </c>
      <c r="E47" s="160">
        <f>IF(ISNA(VLOOKUP("LIL612500000",Balanceanp!C:G,5,FALSE))=TRUE,0,VLOOKUP("LIL612500000",Balanceanp!C:G,5,FALSE))</f>
        <v>2736.1</v>
      </c>
      <c r="F47" s="368">
        <f>+C47+C47/9*(12-Clients!$I$14)</f>
        <v>7296.2666666666682</v>
      </c>
      <c r="G47" s="369">
        <f>547.22*12</f>
        <v>6566.64</v>
      </c>
      <c r="H47" s="149">
        <f t="shared" si="4"/>
        <v>1.6666666666666672</v>
      </c>
      <c r="I47" s="271">
        <f t="shared" si="5"/>
        <v>-0.10000000000000014</v>
      </c>
      <c r="K47" s="33"/>
    </row>
    <row r="48" spans="1:11">
      <c r="A48" s="5" t="s">
        <v>105</v>
      </c>
      <c r="B48" s="92"/>
      <c r="C48" s="160">
        <f>IF(ISNA(VLOOKUP("LIL613530000",Balance!C:G,5,FALSE))=TRUE,0,VLOOKUP("LIL613530000",Balance!C:G,5,FALSE))</f>
        <v>10750.25</v>
      </c>
      <c r="D48" s="162">
        <v>11740.6</v>
      </c>
      <c r="E48" s="160">
        <f>IF(ISNA(VLOOKUP("LIL613530000",Balanceanp!C:G,5,FALSE))=TRUE,0,VLOOKUP("LIL613530000",Balanceanp!C:G,5,FALSE))</f>
        <v>7024.5599999999995</v>
      </c>
      <c r="F48" s="368">
        <f>+C48+C48/9*(12-Clients!$I$14)</f>
        <v>14333.666666666666</v>
      </c>
      <c r="G48" s="369">
        <f>696.85*12+820*4*1.03</f>
        <v>11740.6</v>
      </c>
      <c r="H48" s="149">
        <f t="shared" si="4"/>
        <v>1.0405074007007795</v>
      </c>
      <c r="I48" s="271">
        <f t="shared" si="5"/>
        <v>-0.18090742075765673</v>
      </c>
    </row>
    <row r="49" spans="1:11">
      <c r="A49" s="5" t="s">
        <v>287</v>
      </c>
      <c r="B49" s="92"/>
      <c r="C49" s="160">
        <f>IF(ISNA(VLOOKUP("LIL613540000",Balance!C:G,5,FALSE))=TRUE,0,VLOOKUP("LIL613540000",Balance!C:G,5,FALSE))</f>
        <v>0</v>
      </c>
      <c r="D49" s="162">
        <v>91</v>
      </c>
      <c r="E49" s="160">
        <f>IF(ISNA(VLOOKUP("LIL613540000",Balanceanp!C:G,5,FALSE))=TRUE,0,VLOOKUP("LIL613540000",Balanceanp!C:G,5,FALSE))</f>
        <v>58.1</v>
      </c>
      <c r="F49" s="368">
        <f>+C49+C49/9*(12-Clients!$I$14)</f>
        <v>0</v>
      </c>
      <c r="G49" s="369">
        <f>+F49*1.03</f>
        <v>0</v>
      </c>
      <c r="H49" s="149">
        <f t="shared" si="4"/>
        <v>-1</v>
      </c>
      <c r="I49" s="271">
        <f t="shared" si="5"/>
        <v>0</v>
      </c>
    </row>
    <row r="50" spans="1:11">
      <c r="A50" s="5" t="s">
        <v>108</v>
      </c>
      <c r="B50" s="92"/>
      <c r="C50" s="160">
        <f>IF(ISNA(VLOOKUP("LIL615200000",Balance!C:G,5,FALSE))=TRUE,0,VLOOKUP("LIL615200000",Balance!C:G,5,FALSE))</f>
        <v>547.22</v>
      </c>
      <c r="D50" s="162">
        <v>1000</v>
      </c>
      <c r="E50" s="160">
        <f>IF(ISNA(VLOOKUP("LIL615200000",Balanceanp!C:G,5,FALSE))=TRUE,0,VLOOKUP("LIL615200000",Balanceanp!C:G,5,FALSE))</f>
        <v>0</v>
      </c>
      <c r="F50" s="368">
        <f>+C50+C50/9*(12-Clients!$I$14)</f>
        <v>729.62666666666678</v>
      </c>
      <c r="G50" s="369">
        <v>1000</v>
      </c>
      <c r="H50" s="149">
        <f t="shared" si="4"/>
        <v>0</v>
      </c>
      <c r="I50" s="271">
        <f t="shared" si="5"/>
        <v>0.37056394137641147</v>
      </c>
    </row>
    <row r="51" spans="1:11">
      <c r="A51" s="5" t="s">
        <v>109</v>
      </c>
      <c r="B51" s="92"/>
      <c r="C51" s="160">
        <f>IF(ISNA(VLOOKUP("LIL615500000",Balance!C:G,5,FALSE))=TRUE,0,VLOOKUP("LIL615500000",Balance!C:G,5,FALSE))</f>
        <v>26848.16</v>
      </c>
      <c r="D51" s="162">
        <v>25000</v>
      </c>
      <c r="E51" s="160">
        <f>IF(ISNA(VLOOKUP("LIL615500000",Balanceanp!C:G,5,FALSE))=TRUE,0,VLOOKUP("LIL615500000",Balanceanp!C:G,5,FALSE))</f>
        <v>24184.609999999997</v>
      </c>
      <c r="F51" s="368">
        <f>+C51+C51/9*(12-Clients!$I$14)</f>
        <v>35797.546666666669</v>
      </c>
      <c r="G51" s="369">
        <v>25000</v>
      </c>
      <c r="H51" s="149">
        <f t="shared" si="4"/>
        <v>0.48017878587526008</v>
      </c>
      <c r="I51" s="271">
        <f t="shared" si="5"/>
        <v>-0.30162811902193676</v>
      </c>
      <c r="K51" s="33"/>
    </row>
    <row r="52" spans="1:11">
      <c r="A52" s="5" t="s">
        <v>106</v>
      </c>
      <c r="B52" s="92"/>
      <c r="C52" s="160">
        <f>IF(ISNA(VLOOKUP("LIL615510000",Balance!C:G,5,FALSE))=TRUE,0,VLOOKUP("LIL615510000",Balance!C:G,5,FALSE))</f>
        <v>22985.759999999998</v>
      </c>
      <c r="D52" s="162">
        <v>2500</v>
      </c>
      <c r="E52" s="160">
        <f>IF(ISNA(VLOOKUP("LIL615510000",Balanceanp!C:G,5,FALSE))=TRUE,0,VLOOKUP("LIL615510000",Balanceanp!C:G,5,FALSE))</f>
        <v>6438.52</v>
      </c>
      <c r="F52" s="368">
        <f>+C52+C52/9*(12-Clients!$I$14)</f>
        <v>30647.68</v>
      </c>
      <c r="G52" s="369">
        <v>2500</v>
      </c>
      <c r="H52" s="149">
        <f t="shared" si="4"/>
        <v>3.760050446375875</v>
      </c>
      <c r="I52" s="271">
        <f t="shared" si="5"/>
        <v>-0.91842775701129742</v>
      </c>
    </row>
    <row r="53" spans="1:11">
      <c r="A53" s="5" t="s">
        <v>315</v>
      </c>
      <c r="B53" s="92"/>
      <c r="C53" s="160">
        <f>IF(ISNA(VLOOKUP("LIL616140000",Balance!C:G,5,FALSE))=TRUE,0,VLOOKUP("LIL616140000",Balance!C:G,5,FALSE))</f>
        <v>45749.97</v>
      </c>
      <c r="D53" s="162">
        <v>61000</v>
      </c>
      <c r="E53" s="160">
        <f>IF(ISNA(VLOOKUP("LIL616140000",Balanceanp!C:G,5,FALSE))=TRUE,0,VLOOKUP("LIL616140000",Balanceanp!C:G,5,FALSE))</f>
        <v>51000</v>
      </c>
      <c r="F53" s="368">
        <f>+C53+C53/9*(12-Clients!$I$14)</f>
        <v>60999.96</v>
      </c>
      <c r="G53" s="369">
        <v>61000</v>
      </c>
      <c r="H53" s="149">
        <f t="shared" si="4"/>
        <v>0.19607764705882352</v>
      </c>
      <c r="I53" s="271">
        <f t="shared" si="5"/>
        <v>6.5573813492456577E-7</v>
      </c>
    </row>
    <row r="54" spans="1:11">
      <c r="A54" s="5" t="s">
        <v>111</v>
      </c>
      <c r="B54" s="92"/>
      <c r="C54" s="160">
        <f>IF(ISNA(VLOOKUP("LIL616130000",Balance!C:G,5,FALSE))=TRUE,0,VLOOKUP("LIL616130000",Balance!C:G,5,FALSE))</f>
        <v>5250.06</v>
      </c>
      <c r="D54" s="162">
        <v>7000</v>
      </c>
      <c r="E54" s="160">
        <f>IF(ISNA(VLOOKUP("LIL616130000",Balanceanp!C:G,5,FALSE))=TRUE,0,VLOOKUP("LIL616130000",Balanceanp!C:G,5,FALSE))</f>
        <v>3373.8</v>
      </c>
      <c r="F54" s="570">
        <v>5500</v>
      </c>
      <c r="G54" s="572">
        <v>7000</v>
      </c>
      <c r="H54" s="149">
        <f t="shared" si="4"/>
        <v>0.63020925958859442</v>
      </c>
      <c r="I54" s="271">
        <f t="shared" si="5"/>
        <v>0.27272727272727271</v>
      </c>
    </row>
    <row r="55" spans="1:11">
      <c r="A55" s="5" t="s">
        <v>112</v>
      </c>
      <c r="B55" s="92"/>
      <c r="C55" s="160">
        <f>IF(ISNA(VLOOKUP("LIL618100000",Balance!C:G,5,FALSE))=TRUE,0,VLOOKUP("LIL618100000",Balance!C:G,5,FALSE))</f>
        <v>808.79</v>
      </c>
      <c r="D55" s="162">
        <v>2000</v>
      </c>
      <c r="E55" s="160">
        <f>IF(ISNA(VLOOKUP("LIL618100000",Balanceanp!C:G,5,FALSE))=TRUE,0,VLOOKUP("LIL618100000",Balanceanp!C:G,5,FALSE))</f>
        <v>1975.14</v>
      </c>
      <c r="F55" s="368">
        <f>+C55+C55/9*(12-Clients!$I$14)</f>
        <v>1078.3866666666665</v>
      </c>
      <c r="G55" s="369">
        <v>2000</v>
      </c>
      <c r="H55" s="149">
        <f t="shared" si="4"/>
        <v>-0.45402013696919385</v>
      </c>
      <c r="I55" s="271">
        <f t="shared" si="5"/>
        <v>0.85462233707142787</v>
      </c>
    </row>
    <row r="56" spans="1:11">
      <c r="A56" s="5" t="s">
        <v>113</v>
      </c>
      <c r="B56" s="92"/>
      <c r="C56" s="160">
        <f>IF(ISNA(VLOOKUP("LIL618500000",Balance!C:G,5,FALSE))=TRUE,0,VLOOKUP("LIL618500000",Balance!C:G,5,FALSE))</f>
        <v>3577.0299999999997</v>
      </c>
      <c r="D56" s="162">
        <v>2000</v>
      </c>
      <c r="E56" s="160">
        <f>IF(ISNA(VLOOKUP("LIL618500000",Balanceanp!C:G,5,FALSE))=TRUE,0,VLOOKUP("LIL618500000",Balanceanp!C:G,5,FALSE))</f>
        <v>4574.5499999999993</v>
      </c>
      <c r="F56" s="368">
        <f>+C56+C56/9*(12-Clients!$I$14)</f>
        <v>4769.373333333333</v>
      </c>
      <c r="G56" s="369">
        <v>2000</v>
      </c>
      <c r="H56" s="149">
        <f t="shared" si="4"/>
        <v>4.2588524189993281E-2</v>
      </c>
      <c r="I56" s="271">
        <f t="shared" si="5"/>
        <v>-0.58065769646885823</v>
      </c>
    </row>
    <row r="57" spans="1:11">
      <c r="A57" s="5" t="s">
        <v>114</v>
      </c>
      <c r="B57" s="92"/>
      <c r="C57" s="160">
        <f>IF(ISNA(VLOOKUP("LIL621100000",Balance!C:G,5,FALSE))=TRUE,0,VLOOKUP("LIL621100000",Balance!C:G,5,FALSE))</f>
        <v>1217.06</v>
      </c>
      <c r="D57" s="162">
        <v>6000</v>
      </c>
      <c r="E57" s="160">
        <f>IF(ISNA(VLOOKUP("LIL621100000",Balanceanp!C:G,5,FALSE))=TRUE,0,VLOOKUP("LIL621100000",Balanceanp!C:G,5,FALSE))</f>
        <v>11648.8</v>
      </c>
      <c r="F57" s="368">
        <f>+C57+C57/9*(12-Clients!$I$14)</f>
        <v>1622.7466666666667</v>
      </c>
      <c r="G57" s="369">
        <v>6000</v>
      </c>
      <c r="H57" s="149">
        <f t="shared" si="4"/>
        <v>-0.86069409152301812</v>
      </c>
      <c r="I57" s="271">
        <f t="shared" si="5"/>
        <v>2.6974348018996599</v>
      </c>
    </row>
    <row r="58" spans="1:11">
      <c r="A58" s="5" t="s">
        <v>358</v>
      </c>
      <c r="B58" s="92"/>
      <c r="C58" s="160">
        <f>IF(ISNA(VLOOKUP("LIL621200000",Balance!C:G,5,FALSE))=TRUE,0,VLOOKUP("LIL621200000",Balance!C:G,5,FALSE))</f>
        <v>168674.94</v>
      </c>
      <c r="D58" s="162">
        <v>224900</v>
      </c>
      <c r="E58" s="160">
        <f>IF(ISNA(VLOOKUP("LIL621200000",Balanceanp!C:G,5,FALSE))=TRUE,0,VLOOKUP("LIL621200000",Balanceanp!C:G,5,FALSE))</f>
        <v>249571.02</v>
      </c>
      <c r="F58" s="368">
        <f>+C58+C58/9*(12-Clients!$I$14)</f>
        <v>224899.91999999998</v>
      </c>
      <c r="G58" s="580">
        <f>24356+218200+25200</f>
        <v>267756</v>
      </c>
      <c r="H58" s="149">
        <f t="shared" si="4"/>
        <v>-9.8854025599606904E-2</v>
      </c>
      <c r="I58" s="271">
        <f t="shared" si="5"/>
        <v>0.19055622607602538</v>
      </c>
    </row>
    <row r="59" spans="1:11">
      <c r="A59" s="5" t="s">
        <v>309</v>
      </c>
      <c r="B59" s="92"/>
      <c r="C59" s="160">
        <f>IF(ISNA(VLOOKUP("LIL622200000",Balance!C:G,5,FALSE))=TRUE,0,VLOOKUP("LIL622200000",Balance!C:G,5,FALSE))</f>
        <v>740.78</v>
      </c>
      <c r="D59" s="162">
        <v>0</v>
      </c>
      <c r="E59" s="160">
        <f>IF(ISNA(VLOOKUP("LIL622200000",Balanceanp!C:G,5,FALSE))=TRUE,0,VLOOKUP("LIL622200000",Balanceanp!C:G,5,FALSE))</f>
        <v>13.58</v>
      </c>
      <c r="F59" s="368">
        <f>+C59+C59/9*(12-Clients!$I$14)</f>
        <v>987.70666666666671</v>
      </c>
      <c r="G59" s="369">
        <f>+F59*1.03</f>
        <v>1017.3378666666667</v>
      </c>
      <c r="H59" s="149">
        <f t="shared" si="4"/>
        <v>71.732449680903287</v>
      </c>
      <c r="I59" s="271">
        <f t="shared" si="5"/>
        <v>3.0000000000000034E-2</v>
      </c>
    </row>
    <row r="60" spans="1:11">
      <c r="A60" s="5" t="s">
        <v>115</v>
      </c>
      <c r="B60" s="92"/>
      <c r="C60" s="160">
        <f>IF(ISNA(VLOOKUP("LIL622600000",Balance!C:G,5,FALSE))=TRUE,0,VLOOKUP("LIL622600000",Balance!C:G,5,FALSE))</f>
        <v>33299.29</v>
      </c>
      <c r="D60" s="162">
        <v>34000</v>
      </c>
      <c r="E60" s="160">
        <f>IF(ISNA(VLOOKUP("LIL622600000",Balanceanp!C:G,5,FALSE))=TRUE,0,VLOOKUP("LIL622600000",Balanceanp!C:G,5,FALSE))</f>
        <v>28500</v>
      </c>
      <c r="F60" s="368">
        <f>+C60+C60/9*(12-Clients!$I$14)</f>
        <v>44399.053333333337</v>
      </c>
      <c r="G60" s="369">
        <v>34000</v>
      </c>
      <c r="H60" s="149">
        <f t="shared" si="4"/>
        <v>0.55786152046783644</v>
      </c>
      <c r="I60" s="271">
        <f t="shared" si="5"/>
        <v>-0.23421790674816195</v>
      </c>
      <c r="K60" s="33"/>
    </row>
    <row r="61" spans="1:11">
      <c r="A61" s="5" t="s">
        <v>116</v>
      </c>
      <c r="B61" s="92"/>
      <c r="C61" s="160">
        <f>IF(ISNA(VLOOKUP("LIL622700000",Balance!C:G,5,FALSE))=TRUE,0,VLOOKUP("LIL622700000",Balance!C:G,5,FALSE))</f>
        <v>0</v>
      </c>
      <c r="D61" s="162">
        <v>1500</v>
      </c>
      <c r="E61" s="160">
        <f>IF(ISNA(VLOOKUP("LIL622700000",Balanceanp!C:G,5,FALSE))=TRUE,0,VLOOKUP("LIL622700000",Balanceanp!C:G,5,FALSE))</f>
        <v>1433.98</v>
      </c>
      <c r="F61" s="368">
        <f>+C61+C61/9*(12-Clients!$I$14)</f>
        <v>0</v>
      </c>
      <c r="G61" s="369">
        <v>1500</v>
      </c>
      <c r="H61" s="149">
        <f t="shared" si="4"/>
        <v>-1</v>
      </c>
      <c r="I61" s="271">
        <f t="shared" si="5"/>
        <v>0</v>
      </c>
    </row>
    <row r="62" spans="1:11">
      <c r="A62" s="5" t="s">
        <v>117</v>
      </c>
      <c r="B62" s="92"/>
      <c r="C62" s="160">
        <f>IF(ISNA(VLOOKUP("LIL624200000",Balance!C:G,5,FALSE))=TRUE,0,VLOOKUP("LIL624200000",Balance!C:G,5,FALSE))</f>
        <v>0</v>
      </c>
      <c r="D62" s="162">
        <v>0</v>
      </c>
      <c r="E62" s="160">
        <f>IF(ISNA(VLOOKUP("LIL624200000",Balanceanp!C:G,5,FALSE))=TRUE,0,VLOOKUP("LIL624200000",Balanceanp!C:G,5,FALSE))</f>
        <v>0</v>
      </c>
      <c r="F62" s="368">
        <f>+C62+C62/9*(12-Clients!$I$14)</f>
        <v>0</v>
      </c>
      <c r="G62" s="369">
        <f>+F62*1.03</f>
        <v>0</v>
      </c>
      <c r="H62" s="149">
        <f t="shared" si="4"/>
        <v>0</v>
      </c>
      <c r="I62" s="271">
        <f t="shared" si="5"/>
        <v>0</v>
      </c>
      <c r="K62" s="33"/>
    </row>
    <row r="63" spans="1:11">
      <c r="A63" s="5" t="s">
        <v>118</v>
      </c>
      <c r="B63" s="92"/>
      <c r="C63" s="160">
        <f>IF(ISNA(VLOOKUP("LIL625100000",Balance!C:G,5,FALSE))=TRUE,0,VLOOKUP("LIL625100000",Balance!C:G,5,FALSE))</f>
        <v>25353.45</v>
      </c>
      <c r="D63" s="162">
        <v>40000</v>
      </c>
      <c r="E63" s="160">
        <f>IF(ISNA(VLOOKUP("LIL625100000",Balanceanp!C:G,5,FALSE))=TRUE,0,VLOOKUP("LIL625100000",Balanceanp!C:G,5,FALSE))</f>
        <v>32842.39</v>
      </c>
      <c r="F63" s="368">
        <f>+C63+C63/9*(12-Clients!$I$14)</f>
        <v>33804.600000000006</v>
      </c>
      <c r="G63" s="580">
        <v>20000</v>
      </c>
      <c r="H63" s="149">
        <f t="shared" si="4"/>
        <v>2.9297806889206492E-2</v>
      </c>
      <c r="I63" s="271">
        <f t="shared" si="5"/>
        <v>-0.40836454210373746</v>
      </c>
      <c r="J63" s="2" t="s">
        <v>708</v>
      </c>
    </row>
    <row r="64" spans="1:11">
      <c r="A64" s="5" t="s">
        <v>7</v>
      </c>
      <c r="B64" s="92"/>
      <c r="C64" s="160">
        <f>IF(ISNA(VLOOKUP("LIL625200000",Balance!C:G,5,FALSE))=TRUE,0,VLOOKUP("LIL625200000",Balance!C:G,5,FALSE))</f>
        <v>85.77</v>
      </c>
      <c r="D64" s="162">
        <v>1000</v>
      </c>
      <c r="E64" s="160">
        <f>IF(ISNA(VLOOKUP("LIL625200000",Balanceanp!C:G,5,FALSE))=TRUE,0,VLOOKUP("LIL625200000",Balanceanp!C:G,5,FALSE))</f>
        <v>40.4</v>
      </c>
      <c r="F64" s="368">
        <f>+C64+C64/9*(12-Clients!$I$14)</f>
        <v>114.35999999999999</v>
      </c>
      <c r="G64" s="369">
        <v>1000</v>
      </c>
      <c r="H64" s="149">
        <f t="shared" si="4"/>
        <v>1.8306930693069303</v>
      </c>
      <c r="I64" s="271">
        <f t="shared" si="5"/>
        <v>7.7443161944735932</v>
      </c>
    </row>
    <row r="65" spans="1:9">
      <c r="A65" s="5" t="s">
        <v>307</v>
      </c>
      <c r="B65" s="92"/>
      <c r="C65" s="160">
        <f>IF(ISNA(VLOOKUP("LIL625510000",Balance!C:G,5,FALSE))=TRUE,0,VLOOKUP("LIL625510000",Balance!C:G,5,FALSE))</f>
        <v>0</v>
      </c>
      <c r="D65" s="162">
        <v>0</v>
      </c>
      <c r="E65" s="160">
        <f>IF(ISNA(VLOOKUP("LIL625510000",Balanceanp!C:G,5,FALSE))=TRUE,0,VLOOKUP("LIL625510000",Balanceanp!C:G,5,FALSE))</f>
        <v>0</v>
      </c>
      <c r="F65" s="368">
        <f>+C65+C65/9*(12-Clients!$I$14)</f>
        <v>0</v>
      </c>
      <c r="G65" s="369">
        <f>+F65*1.03</f>
        <v>0</v>
      </c>
      <c r="H65" s="149">
        <f t="shared" si="4"/>
        <v>0</v>
      </c>
      <c r="I65" s="271">
        <f t="shared" si="5"/>
        <v>0</v>
      </c>
    </row>
    <row r="66" spans="1:9">
      <c r="A66" s="5" t="s">
        <v>119</v>
      </c>
      <c r="B66" s="92"/>
      <c r="C66" s="160">
        <f>IF(ISNA(VLOOKUP("LIL626000000",Balance!C:G,5,FALSE))=TRUE,0,VLOOKUP("LIL626000000",Balance!C:G,5,FALSE))</f>
        <v>25718.639999999999</v>
      </c>
      <c r="D66" s="162">
        <v>40000</v>
      </c>
      <c r="E66" s="160">
        <f>IF(ISNA(VLOOKUP("LIL626000000",Balanceanp!C:G,5,FALSE))=TRUE,0,VLOOKUP("LIL626000000",Balanceanp!C:G,5,FALSE))</f>
        <v>39896.04</v>
      </c>
      <c r="F66" s="368">
        <f>+C66+C66/9*(12-Clients!$I$14)</f>
        <v>34291.519999999997</v>
      </c>
      <c r="G66" s="369">
        <f>+F66</f>
        <v>34291.519999999997</v>
      </c>
      <c r="H66" s="149">
        <f t="shared" si="4"/>
        <v>-0.14047810258862795</v>
      </c>
      <c r="I66" s="271">
        <f t="shared" si="5"/>
        <v>0</v>
      </c>
    </row>
    <row r="67" spans="1:9">
      <c r="A67" s="5" t="s">
        <v>120</v>
      </c>
      <c r="B67" s="92"/>
      <c r="C67" s="160">
        <f>IF(ISNA(VLOOKUP("LIL626100000",Balance!C:G,5,FALSE))=TRUE,0,VLOOKUP("LIL626100000",Balance!C:G,5,FALSE))</f>
        <v>32800.080000000002</v>
      </c>
      <c r="D67" s="162">
        <v>50000</v>
      </c>
      <c r="E67" s="160">
        <f>IF(ISNA(VLOOKUP("LIL626100000",Balanceanp!C:G,5,FALSE))=TRUE,0,VLOOKUP("LIL626100000",Balanceanp!C:G,5,FALSE))</f>
        <v>51257.509999999995</v>
      </c>
      <c r="F67" s="368">
        <f>+C67+C67/9*(12-Clients!$I$14)</f>
        <v>43733.440000000002</v>
      </c>
      <c r="G67" s="369">
        <v>50000</v>
      </c>
      <c r="H67" s="149">
        <f t="shared" si="4"/>
        <v>-0.14678961190272397</v>
      </c>
      <c r="I67" s="271">
        <f t="shared" si="5"/>
        <v>0.14328989441489162</v>
      </c>
    </row>
    <row r="68" spans="1:9">
      <c r="A68" s="5" t="s">
        <v>121</v>
      </c>
      <c r="B68" s="92"/>
      <c r="C68" s="160">
        <f>IF(ISNA(VLOOKUP("LIL628400000",Balance!C:G,5,FALSE))=TRUE,0,VLOOKUP("LIL628400000",Balance!C:G,5,FALSE))</f>
        <v>0</v>
      </c>
      <c r="D68" s="162">
        <v>1500</v>
      </c>
      <c r="E68" s="160">
        <f>IF(ISNA(VLOOKUP("LIL628400000",Balanceanp!C:G,5,FALSE))=TRUE,0,VLOOKUP("LIL628400000",Balanceanp!C:G,5,FALSE))</f>
        <v>1140</v>
      </c>
      <c r="F68" s="368">
        <f>+C68+C68/9*(12-Clients!$I$14)</f>
        <v>0</v>
      </c>
      <c r="G68" s="369">
        <v>1500</v>
      </c>
      <c r="H68" s="149">
        <f t="shared" si="4"/>
        <v>-1</v>
      </c>
      <c r="I68" s="271">
        <f t="shared" si="5"/>
        <v>0</v>
      </c>
    </row>
    <row r="69" spans="1:9">
      <c r="A69" s="5"/>
      <c r="B69" s="92"/>
      <c r="C69" s="160"/>
      <c r="D69" s="371"/>
      <c r="E69" s="160"/>
      <c r="F69" s="113"/>
      <c r="G69" s="162"/>
      <c r="H69" s="143" t="str">
        <f>+IF((F69)=0,"",(C69-F69)/F69)</f>
        <v/>
      </c>
      <c r="I69" s="187" t="str">
        <f>+IF((E69)=0,"",(C69-E69)/E69)</f>
        <v/>
      </c>
    </row>
    <row r="70" spans="1:9" ht="15" customHeight="1">
      <c r="A70" s="13" t="s">
        <v>122</v>
      </c>
      <c r="B70" s="93"/>
      <c r="C70" s="163">
        <f>SUM(C35:C69)</f>
        <v>471961.00000000006</v>
      </c>
      <c r="D70" s="168">
        <f>SUM(D35:D69)</f>
        <v>608185.54</v>
      </c>
      <c r="E70" s="163">
        <f>SUM(E35:E69)</f>
        <v>618695.18999999994</v>
      </c>
      <c r="F70" s="204">
        <f>SUM(F35:F69)</f>
        <v>627540.29333333322</v>
      </c>
      <c r="G70" s="204">
        <f>SUM(G35:G69)</f>
        <v>629770.56533333333</v>
      </c>
      <c r="H70" s="272">
        <f>+IF((E70)=0,,(F70-E70)/E70)</f>
        <v>1.4296382897906924E-2</v>
      </c>
      <c r="I70" s="190">
        <f>+IF((F70)=0,,(G70-F70)/F70)</f>
        <v>3.5539901161620721E-3</v>
      </c>
    </row>
    <row r="71" spans="1:9">
      <c r="A71" s="5"/>
      <c r="B71" s="92"/>
      <c r="C71" s="160"/>
      <c r="D71" s="162"/>
      <c r="E71" s="160"/>
      <c r="F71" s="113"/>
      <c r="G71" s="162"/>
      <c r="H71" s="143" t="str">
        <f>+IF((F71)=0,"",(C71-F71)/F71)</f>
        <v/>
      </c>
      <c r="I71" s="187" t="str">
        <f>+IF((E71)=0,"",(C71-E71)/E71)</f>
        <v/>
      </c>
    </row>
    <row r="72" spans="1:9">
      <c r="A72" s="5" t="s">
        <v>129</v>
      </c>
      <c r="B72" s="92"/>
      <c r="C72" s="160">
        <f>IF(ISNA(VLOOKUP("LIL623100000",Balance!C:G,5,FALSE))=TRUE,0,VLOOKUP("LIL623100000",Balance!C:G,5,FALSE))</f>
        <v>0</v>
      </c>
      <c r="D72" s="162">
        <v>1000</v>
      </c>
      <c r="E72" s="160">
        <f>IF(ISNA(VLOOKUP("LIL623100000",Balanceanp!C:G,5,FALSE))=TRUE,0,VLOOKUP("LIL623100000",Balanceanp!C:G,5,FALSE))</f>
        <v>774.3</v>
      </c>
      <c r="F72" s="368">
        <f>+C72+C72/9*(12-Clients!$I$14)</f>
        <v>0</v>
      </c>
      <c r="G72" s="369">
        <v>1000</v>
      </c>
      <c r="H72" s="149">
        <f>+IF((E72)=0,,(F72-E72)/E72)</f>
        <v>-1</v>
      </c>
      <c r="I72" s="271">
        <f>+IF((F72)=0,,(G72-F72)/F72)</f>
        <v>0</v>
      </c>
    </row>
    <row r="73" spans="1:9">
      <c r="A73" s="5" t="s">
        <v>130</v>
      </c>
      <c r="B73" s="92"/>
      <c r="C73" s="160">
        <f>IF(ISNA(VLOOKUP("LIL623200000",Balance!C:G,5,FALSE))=TRUE,0,VLOOKUP("LIL623200000",Balance!C:G,5,FALSE))</f>
        <v>1021.32</v>
      </c>
      <c r="D73" s="162">
        <v>500</v>
      </c>
      <c r="E73" s="160">
        <f>IF(ISNA(VLOOKUP("LIL623200000",Balanceanp!C:G,5,FALSE))=TRUE,0,VLOOKUP("LIL623200000",Balanceanp!C:G,5,FALSE))</f>
        <v>5158.18</v>
      </c>
      <c r="F73" s="368">
        <f>+C73+C73/9*(12-Clients!$I$14)</f>
        <v>1361.76</v>
      </c>
      <c r="G73" s="369">
        <v>500</v>
      </c>
      <c r="H73" s="149">
        <f t="shared" ref="H73:H79" si="6">+IF((E73)=0,,(F73-E73)/E73)</f>
        <v>-0.73599990694392203</v>
      </c>
      <c r="I73" s="271">
        <f t="shared" ref="I73:I79" si="7">+IF((F73)=0,,(G73-F73)/F73)</f>
        <v>-0.63282810480554574</v>
      </c>
    </row>
    <row r="74" spans="1:9">
      <c r="A74" s="5" t="s">
        <v>132</v>
      </c>
      <c r="B74" s="92"/>
      <c r="C74" s="160">
        <f>IF(ISNA(VLOOKUP("LIL623300000",Balance!C:G,5,FALSE))=TRUE,0,VLOOKUP("LIL623300000",Balance!C:G,5,FALSE))</f>
        <v>5550</v>
      </c>
      <c r="D74" s="162">
        <v>0</v>
      </c>
      <c r="E74" s="160">
        <f>IF(ISNA(VLOOKUP("LIL623300000",Balanceanp!C:G,5,FALSE))=TRUE,0,VLOOKUP("LIL623300000",Balanceanp!C:G,5,FALSE))</f>
        <v>820.84</v>
      </c>
      <c r="F74" s="368">
        <f>+C74+C74/9*(12-Clients!$I$14)</f>
        <v>7400</v>
      </c>
      <c r="G74" s="369">
        <v>0</v>
      </c>
      <c r="H74" s="149">
        <f t="shared" si="6"/>
        <v>8.0151552068612641</v>
      </c>
      <c r="I74" s="271">
        <f t="shared" si="7"/>
        <v>-1</v>
      </c>
    </row>
    <row r="75" spans="1:9">
      <c r="A75" s="5" t="s">
        <v>133</v>
      </c>
      <c r="B75" s="92"/>
      <c r="C75" s="160">
        <f>IF(ISNA(VLOOKUP("LIL623700000",Balance!C:G,5,FALSE))=TRUE,0,VLOOKUP("LIL623700000",Balance!C:G,5,FALSE))</f>
        <v>19508.400000000001</v>
      </c>
      <c r="D75" s="162">
        <v>33000</v>
      </c>
      <c r="E75" s="160">
        <f>IF(ISNA(VLOOKUP("LIL623700000",Balanceanp!C:G,5,FALSE))=TRUE,0,VLOOKUP("LIL623700000",Balanceanp!C:G,5,FALSE))</f>
        <v>15500.690000000002</v>
      </c>
      <c r="F75" s="368">
        <f>+C75+C75/9*(12-Clients!$I$14)</f>
        <v>26011.200000000004</v>
      </c>
      <c r="G75" s="369">
        <v>33000</v>
      </c>
      <c r="H75" s="149">
        <f t="shared" si="6"/>
        <v>0.67806723442633843</v>
      </c>
      <c r="I75" s="271">
        <f t="shared" si="7"/>
        <v>0.2686842590883925</v>
      </c>
    </row>
    <row r="76" spans="1:9">
      <c r="A76" s="5" t="s">
        <v>134</v>
      </c>
      <c r="B76" s="92"/>
      <c r="C76" s="160">
        <f>IF(ISNA(VLOOKUP("LIL623410000",Balance!C:G,5,FALSE))=TRUE,0,VLOOKUP("LIL623410000",Balance!C:G,5,FALSE))+IF(ISNA(VLOOKUP("LIL623420000",Balance!C:G,5,FALSE))=TRUE,0,VLOOKUP("LIL623420000",Balance!C:G,5,FALSE))</f>
        <v>47212.08</v>
      </c>
      <c r="D76" s="162">
        <v>12000</v>
      </c>
      <c r="E76" s="160">
        <f>IF(ISNA(VLOOKUP("LIL623410000",Balanceanp!C:G,5,FALSE))=TRUE,0,VLOOKUP("LIL623410000",Balanceanp!C:G,5,FALSE))+IF(ISNA(VLOOKUP("LIL623420000",Balanceanp!C:G,5,FALSE))=TRUE,0,VLOOKUP("LIL623420000",Balanceanp!C:G,5,FALSE))</f>
        <v>10383.940000000002</v>
      </c>
      <c r="F76" s="368">
        <f>+C76+C76/9*(12-Clients!$I$14)</f>
        <v>62949.440000000002</v>
      </c>
      <c r="G76" s="369">
        <v>12000</v>
      </c>
      <c r="H76" s="149">
        <f t="shared" si="6"/>
        <v>5.0621921929441029</v>
      </c>
      <c r="I76" s="271">
        <f t="shared" si="7"/>
        <v>-0.8093708220438498</v>
      </c>
    </row>
    <row r="77" spans="1:9">
      <c r="A77" s="5" t="s">
        <v>135</v>
      </c>
      <c r="B77" s="92"/>
      <c r="C77" s="160">
        <f>IF(ISNA(VLOOKUP("LIL623800000",Balance!C:G,5,FALSE))=TRUE,0,VLOOKUP("LIL623800000",Balance!C:G,5,FALSE))</f>
        <v>0</v>
      </c>
      <c r="D77" s="162">
        <v>1000</v>
      </c>
      <c r="E77" s="160">
        <f>IF(ISNA(VLOOKUP("LIL623800000",Balanceanp!C:G,5,FALSE))=TRUE,0,VLOOKUP("LIL623800000",Balanceanp!C:G,5,FALSE))</f>
        <v>0</v>
      </c>
      <c r="F77" s="368">
        <f>+C77+C77/9*(12-Clients!$I$14)</f>
        <v>0</v>
      </c>
      <c r="G77" s="369">
        <v>1000</v>
      </c>
      <c r="H77" s="149">
        <f t="shared" si="6"/>
        <v>0</v>
      </c>
      <c r="I77" s="271">
        <f t="shared" si="7"/>
        <v>0</v>
      </c>
    </row>
    <row r="78" spans="1:9">
      <c r="A78" s="5" t="s">
        <v>136</v>
      </c>
      <c r="B78" s="92"/>
      <c r="C78" s="160">
        <f>IF(ISNA(VLOOKUP("LIL625600000",Balance!C:G,5,FALSE))=TRUE,0,VLOOKUP("LIL625600000",Balance!C:G,5,FALSE))</f>
        <v>-320</v>
      </c>
      <c r="D78" s="162">
        <v>0</v>
      </c>
      <c r="E78" s="160">
        <f>IF(ISNA(VLOOKUP("LIL625600000",Balanceanp!C:G,5,FALSE))=TRUE,0,VLOOKUP("LIL625600000",Balanceanp!C:G,5,FALSE))</f>
        <v>145.22999999999999</v>
      </c>
      <c r="F78" s="368">
        <f>+C78+C78/9*(12-Clients!$I$14)</f>
        <v>-426.66666666666669</v>
      </c>
      <c r="G78" s="369">
        <v>0</v>
      </c>
      <c r="H78" s="149">
        <f t="shared" si="6"/>
        <v>-3.9378686680896968</v>
      </c>
      <c r="I78" s="271">
        <f t="shared" si="7"/>
        <v>-1</v>
      </c>
    </row>
    <row r="79" spans="1:9">
      <c r="A79" s="5" t="s">
        <v>137</v>
      </c>
      <c r="B79" s="92"/>
      <c r="C79" s="160">
        <f>IF(ISNA(VLOOKUP("LIL625700000",Balance!C:G,5,FALSE))=TRUE,0,VLOOKUP("LIL625700000",Balance!C:G,5,FALSE))+IF(ISNA(VLOOKUP("LIL625710000",Balance!C:G,5,FALSE))=TRUE,0,VLOOKUP("LIL625710000",Balance!C:G,5,FALSE))</f>
        <v>130.24</v>
      </c>
      <c r="D79" s="162">
        <v>1500</v>
      </c>
      <c r="E79" s="160">
        <f>IF(ISNA(VLOOKUP("LIL625700000",Balanceanp!C:G,5,FALSE))=TRUE,0,VLOOKUP("LIL625700000",Balanceanp!C:G,5,FALSE))+IF(ISNA(VLOOKUP("LIL625710000",Balanceanp!C:G,5,FALSE))=TRUE,0,VLOOKUP("LIL625710000",Balanceanp!C:G,5,FALSE))</f>
        <v>1220.07</v>
      </c>
      <c r="F79" s="368">
        <f>+C79+C79/9*(12-Clients!$I$14)</f>
        <v>173.65333333333334</v>
      </c>
      <c r="G79" s="369">
        <v>1500</v>
      </c>
      <c r="H79" s="149">
        <f t="shared" si="6"/>
        <v>-0.85766936869742438</v>
      </c>
      <c r="I79" s="271">
        <f t="shared" si="7"/>
        <v>7.6378992628992624</v>
      </c>
    </row>
    <row r="80" spans="1:9">
      <c r="A80" s="5"/>
      <c r="B80" s="92"/>
      <c r="C80" s="160"/>
      <c r="D80" s="162"/>
      <c r="E80" s="160"/>
      <c r="F80" s="113"/>
      <c r="G80" s="162"/>
      <c r="H80" s="143" t="str">
        <f>+IF((F80)=0,"",(C80-F80)/F80)</f>
        <v/>
      </c>
      <c r="I80" s="187" t="str">
        <f>+IF((E80)=0,"",(C80-E80)/E80)</f>
        <v/>
      </c>
    </row>
    <row r="81" spans="1:10" ht="15" customHeight="1">
      <c r="A81" s="13" t="s">
        <v>133</v>
      </c>
      <c r="B81" s="93"/>
      <c r="C81" s="163">
        <f>SUM(C71:C80)</f>
        <v>73102.040000000008</v>
      </c>
      <c r="D81" s="168">
        <f>SUM(D71:D80)</f>
        <v>49000</v>
      </c>
      <c r="E81" s="163">
        <f>SUM(E71:E80)</f>
        <v>34003.250000000007</v>
      </c>
      <c r="F81" s="204">
        <f>SUM(F71:F80)</f>
        <v>97469.386666666673</v>
      </c>
      <c r="G81" s="204">
        <f>SUM(G71:G80)</f>
        <v>49000</v>
      </c>
      <c r="H81" s="272">
        <f>+IF((E81)=0,,(F81-E81)/E81)</f>
        <v>1.8664726656030424</v>
      </c>
      <c r="I81" s="190">
        <f>+IF((F81)=0,,(G81-F81)/F81)</f>
        <v>-0.49727805133755504</v>
      </c>
    </row>
    <row r="82" spans="1:10">
      <c r="A82" s="5"/>
      <c r="B82" s="92"/>
      <c r="C82" s="160"/>
      <c r="D82" s="162"/>
      <c r="E82" s="160"/>
      <c r="F82" s="113"/>
      <c r="G82" s="162"/>
      <c r="H82" s="143" t="str">
        <f>+IF((F82)=0,"",(C82-F82)/F82)</f>
        <v/>
      </c>
      <c r="I82" s="187" t="str">
        <f>+IF((E82)=0,"",(C82-E82)/E82)</f>
        <v/>
      </c>
    </row>
    <row r="83" spans="1:10">
      <c r="A83" s="5" t="s">
        <v>139</v>
      </c>
      <c r="B83" s="92"/>
      <c r="C83" s="160">
        <f>IF(ISNA(VLOOKUP("LIL633300000",Balance!C:G,5,FALSE))=TRUE,0,VLOOKUP("LIL633300000",Balance!C:G,5,FALSE))+IF(ISNA(VLOOKUP("LIL641113000",Balance!C:G,5,FALSE))=TRUE,0,VLOOKUP("LIL641113000",Balance!C:G,5,FALSE))</f>
        <v>27926.799999999999</v>
      </c>
      <c r="D83" s="162">
        <v>32693</v>
      </c>
      <c r="E83" s="160">
        <f>IF(ISNA(VLOOKUP("LIL633300000",Balanceanp!C:G,5,FALSE))=TRUE,0,VLOOKUP("LIL633300000",Balanceanp!C:G,5,FALSE))+IF(ISNA(VLOOKUP("LIL641113000",Balanceanp!C:G,5,FALSE))=TRUE,0,VLOOKUP("LIL641113000",Balanceanp!C:G,5,FALSE))</f>
        <v>60861.35</v>
      </c>
      <c r="F83" s="368">
        <f>+C83+C83/9*(12-Clients!$I$14)</f>
        <v>37235.73333333333</v>
      </c>
      <c r="G83" s="117">
        <f>+G96*(0.2+0.5)%+(G96+Conso!I131)*0.9%</f>
        <v>34042.904000000002</v>
      </c>
      <c r="H83" s="149">
        <f>+IF((E83)=0,,(F83-E83)/E83)</f>
        <v>-0.38818752240406545</v>
      </c>
      <c r="I83" s="271">
        <f>+IF((F83)=0,,(G83-F83)/F83)</f>
        <v>-8.5746379821533297E-2</v>
      </c>
    </row>
    <row r="84" spans="1:10">
      <c r="A84" s="5" t="s">
        <v>140</v>
      </c>
      <c r="B84" s="92"/>
      <c r="C84" s="160">
        <f>IF(ISNA(VLOOKUP("LIL633400000",Balance!C:G,5,FALSE))=TRUE,0,VLOOKUP("LIL633400000",Balance!C:G,5,FALSE))</f>
        <v>0</v>
      </c>
      <c r="D84" s="162">
        <v>1605.7260000000001</v>
      </c>
      <c r="E84" s="160">
        <f>IF(ISNA(VLOOKUP("LIL633400000",Balanceanp!C:G,5,FALSE))=TRUE,0,VLOOKUP("LIL633400000",Balanceanp!C:G,5,FALSE))</f>
        <v>1586</v>
      </c>
      <c r="F84" s="368">
        <f>+C84+C84/9*(12-Clients!$I$14)</f>
        <v>0</v>
      </c>
      <c r="G84" s="117">
        <f>+G96*0.45%</f>
        <v>1605.7260000000001</v>
      </c>
      <c r="H84" s="149">
        <f t="shared" ref="H84:H92" si="8">+IF((E84)=0,,(F84-E84)/E84)</f>
        <v>-1</v>
      </c>
      <c r="I84" s="271">
        <f t="shared" ref="I84:I92" si="9">+IF((F84)=0,,(G84-F84)/F84)</f>
        <v>0</v>
      </c>
    </row>
    <row r="85" spans="1:10">
      <c r="A85" s="5" t="s">
        <v>141</v>
      </c>
      <c r="B85" s="92"/>
      <c r="C85" s="160">
        <f>IF(ISNA(VLOOKUP("LIL633500000",Balance!C:G,5,FALSE))=TRUE,0,VLOOKUP("LIL633500000",Balance!C:G,5,FALSE))</f>
        <v>0</v>
      </c>
      <c r="D85" s="162">
        <v>2783.2584000000002</v>
      </c>
      <c r="E85" s="160">
        <f>IF(ISNA(VLOOKUP("LIL633500000",Balanceanp!C:G,5,FALSE))=TRUE,0,VLOOKUP("LIL633500000",Balanceanp!C:G,5,FALSE))</f>
        <v>1745</v>
      </c>
      <c r="F85" s="368">
        <f>+C85+C85/9*(12-Clients!$I$14)</f>
        <v>0</v>
      </c>
      <c r="G85" s="117">
        <f>+G96*(0.18+0.6)%</f>
        <v>2783.2584000000002</v>
      </c>
      <c r="H85" s="149">
        <f t="shared" si="8"/>
        <v>-1</v>
      </c>
      <c r="I85" s="271">
        <f t="shared" si="9"/>
        <v>0</v>
      </c>
    </row>
    <row r="86" spans="1:10">
      <c r="A86" s="5" t="s">
        <v>705</v>
      </c>
      <c r="B86" s="92"/>
      <c r="C86" s="160">
        <f>IF(ISNA(VLOOKUP("LIL635110000",Balance!C:G,5,FALSE))=TRUE,0,VLOOKUP("LIL635110000",Balance!C:G,5,FALSE))</f>
        <v>6561.99</v>
      </c>
      <c r="D86" s="162">
        <v>8749</v>
      </c>
      <c r="E86" s="160">
        <f>IF(ISNA(VLOOKUP("LIL635110000",Balanceanp!C:G,5,FALSE))=TRUE,0,VLOOKUP("LIL635110000",Balanceanp!C:G,5,FALSE))</f>
        <v>9131</v>
      </c>
      <c r="F86" s="570">
        <f>120000+627</f>
        <v>120627</v>
      </c>
      <c r="G86" s="572">
        <f>+F86*1.03</f>
        <v>124245.81</v>
      </c>
      <c r="H86" s="149">
        <f t="shared" si="8"/>
        <v>12.210710765524039</v>
      </c>
      <c r="I86" s="271">
        <f t="shared" si="9"/>
        <v>2.9999999999999982E-2</v>
      </c>
    </row>
    <row r="87" spans="1:10">
      <c r="A87" s="5" t="s">
        <v>143</v>
      </c>
      <c r="B87" s="92"/>
      <c r="C87" s="160">
        <f>IF(ISNA(VLOOKUP("LIL635120000",Balance!C:G,5,FALSE))=TRUE,0,VLOOKUP("LIL635120000",Balance!C:G,5,FALSE))</f>
        <v>0</v>
      </c>
      <c r="D87" s="162">
        <v>0</v>
      </c>
      <c r="E87" s="160">
        <f>IF(ISNA(VLOOKUP("LIL635120000",Balanceanp!C:G,5,FALSE))=TRUE,0,VLOOKUP("LIL635120000",Balanceanp!C:G,5,FALSE))</f>
        <v>0</v>
      </c>
      <c r="F87" s="368">
        <f>+C87+C87/9*(12-Clients!$I$14)</f>
        <v>0</v>
      </c>
      <c r="G87" s="117">
        <v>0</v>
      </c>
      <c r="H87" s="149">
        <f t="shared" si="8"/>
        <v>0</v>
      </c>
      <c r="I87" s="271">
        <f t="shared" si="9"/>
        <v>0</v>
      </c>
    </row>
    <row r="88" spans="1:10">
      <c r="A88" s="5" t="s">
        <v>63</v>
      </c>
      <c r="B88" s="92"/>
      <c r="C88" s="160">
        <f>IF(ISNA(VLOOKUP("LIL635130000",Balance!C:G,5,FALSE))=TRUE,0,VLOOKUP("LIL635130000",Balance!C:G,5,FALSE))</f>
        <v>0</v>
      </c>
      <c r="D88" s="162">
        <v>5000</v>
      </c>
      <c r="E88" s="160">
        <f>IF(ISNA(VLOOKUP("LIL635130000",Balanceanp!C:G,5,FALSE))=TRUE,0,VLOOKUP("LIL635130000",Balanceanp!C:G,5,FALSE))</f>
        <v>0</v>
      </c>
      <c r="F88" s="368">
        <f>+C88+C88/9*(12-Clients!$I$14)</f>
        <v>0</v>
      </c>
      <c r="G88" s="117">
        <v>5000</v>
      </c>
      <c r="H88" s="149">
        <f t="shared" si="8"/>
        <v>0</v>
      </c>
      <c r="I88" s="271">
        <f t="shared" si="9"/>
        <v>0</v>
      </c>
      <c r="J88" s="2" t="s">
        <v>547</v>
      </c>
    </row>
    <row r="89" spans="1:10">
      <c r="A89" s="5" t="s">
        <v>145</v>
      </c>
      <c r="B89" s="92"/>
      <c r="C89" s="160">
        <f>IF(ISNA(VLOOKUP("LIL635140000",Balance!C:G,5,FALSE))=TRUE,0,VLOOKUP("LIL635140000",Balance!C:G,5,FALSE))</f>
        <v>0</v>
      </c>
      <c r="D89" s="162">
        <v>2000</v>
      </c>
      <c r="E89" s="160">
        <f>IF(ISNA(VLOOKUP("LIL635140000",Balanceanp!C:G,5,FALSE))=TRUE,0,VLOOKUP("LIL635140000",Balanceanp!C:G,5,FALSE))</f>
        <v>0</v>
      </c>
      <c r="F89" s="368">
        <f>+C89+C89/9*(12-Clients!$I$14)</f>
        <v>0</v>
      </c>
      <c r="G89" s="117">
        <v>2000</v>
      </c>
      <c r="H89" s="149">
        <f t="shared" si="8"/>
        <v>0</v>
      </c>
      <c r="I89" s="271">
        <f t="shared" si="9"/>
        <v>0</v>
      </c>
    </row>
    <row r="90" spans="1:10">
      <c r="A90" s="5" t="s">
        <v>356</v>
      </c>
      <c r="B90" s="92"/>
      <c r="C90" s="160">
        <f>IF(ISNA(VLOOKUP("LIL635400000",Balance!C:G,5,FALSE))=TRUE,0,VLOOKUP("LIL635400000",Balance!C:G,5,FALSE))</f>
        <v>6447</v>
      </c>
      <c r="D90" s="162">
        <v>2000</v>
      </c>
      <c r="E90" s="160">
        <f>IF(ISNA(VLOOKUP("LIL635400000",Balanceanp!C:G,5,FALSE))=TRUE,0,VLOOKUP("LIL635400000",Balanceanp!C:G,5,FALSE))</f>
        <v>10685</v>
      </c>
      <c r="F90" s="368">
        <f>+C90+C90/9*(12-Clients!$I$14)</f>
        <v>8596</v>
      </c>
      <c r="G90" s="117">
        <v>2000</v>
      </c>
      <c r="H90" s="149">
        <f t="shared" si="8"/>
        <v>-0.19550772110435188</v>
      </c>
      <c r="I90" s="271">
        <f t="shared" si="9"/>
        <v>-0.76733364355514189</v>
      </c>
    </row>
    <row r="91" spans="1:10">
      <c r="A91" s="5" t="s">
        <v>83</v>
      </c>
      <c r="B91" s="92"/>
      <c r="C91" s="160">
        <f>IF(ISNA(VLOOKUP("LIL635810000",Balance!C:G,5,FALSE))=TRUE,0,VLOOKUP("LIL635810000",Balance!C:G,5,FALSE))</f>
        <v>15375</v>
      </c>
      <c r="D91" s="162">
        <v>20500</v>
      </c>
      <c r="E91" s="160">
        <f>IF(ISNA(VLOOKUP("LIL635810000",Balanceanp!C:G,5,FALSE))=TRUE,0,VLOOKUP("LIL635810000",Balanceanp!C:G,5,FALSE))</f>
        <v>20500</v>
      </c>
      <c r="F91" s="570">
        <f>+C91+C91/9*(12-Clients!$I$14)</f>
        <v>20500</v>
      </c>
      <c r="G91" s="572">
        <v>20500</v>
      </c>
      <c r="H91" s="149">
        <f t="shared" si="8"/>
        <v>0</v>
      </c>
      <c r="I91" s="271">
        <f t="shared" si="9"/>
        <v>0</v>
      </c>
    </row>
    <row r="92" spans="1:10">
      <c r="A92" s="5" t="s">
        <v>417</v>
      </c>
      <c r="B92" s="92"/>
      <c r="C92" s="160">
        <f>IF(ISNA(VLOOKUP("LIL637100000",Balance!C:G,5,FALSE))=TRUE,0,VLOOKUP("LIL637100000",Balance!C:G,5,FALSE))+IF(ISNA(VLOOKUP("LIL637110000",Balance!C:G,5,FALSE))=TRUE,0,VLOOKUP("LIL637110000",Balance!C:G,5,FALSE))</f>
        <v>15262.1</v>
      </c>
      <c r="D92" s="162">
        <v>20240.147199999999</v>
      </c>
      <c r="E92" s="160">
        <f>IF(ISNA(VLOOKUP("LIL637100000",Balanceanp!C:G,5,FALSE))=TRUE,0,VLOOKUP("LIL637100000",Balanceanp!C:G,5,FALSE))++IF(ISNA(VLOOKUP("LIL637110000",Balanceanp!C:G,5,FALSE))=TRUE,0,VLOOKUP("LIL637110000",Balanceanp!C:G,5,FALSE))</f>
        <v>15422.369999999999</v>
      </c>
      <c r="F92" s="368">
        <f>+C92+C92/9*(12-Clients!$I$14)</f>
        <v>20349.466666666667</v>
      </c>
      <c r="G92" s="117">
        <f>0.16%*G20+20000</f>
        <v>20240.147199999999</v>
      </c>
      <c r="H92" s="149">
        <f t="shared" si="8"/>
        <v>0.31947727013854993</v>
      </c>
      <c r="I92" s="271">
        <f t="shared" si="9"/>
        <v>-5.3721047562262595E-3</v>
      </c>
      <c r="J92" s="2" t="s">
        <v>727</v>
      </c>
    </row>
    <row r="93" spans="1:10">
      <c r="A93" s="5"/>
      <c r="B93" s="92"/>
      <c r="C93" s="160"/>
      <c r="D93" s="162"/>
      <c r="E93" s="160"/>
      <c r="F93" s="113"/>
      <c r="G93" s="162"/>
      <c r="H93" s="143" t="str">
        <f>+IF((F93)=0,"",(C93-F93)/F93)</f>
        <v/>
      </c>
      <c r="I93" s="187" t="str">
        <f>+IF((E93)=0,"",(C93-E93)/E93)</f>
        <v/>
      </c>
    </row>
    <row r="94" spans="1:10" ht="15" customHeight="1">
      <c r="A94" s="13" t="s">
        <v>147</v>
      </c>
      <c r="B94" s="93"/>
      <c r="C94" s="163">
        <f>SUM(C82:C93)</f>
        <v>71572.89</v>
      </c>
      <c r="D94" s="168">
        <f>SUM(D82:D93)</f>
        <v>95571.131599999993</v>
      </c>
      <c r="E94" s="163">
        <f>SUM(E82:E93)</f>
        <v>119930.72</v>
      </c>
      <c r="F94" s="204">
        <f>SUM(F82:F93)</f>
        <v>207308.2</v>
      </c>
      <c r="G94" s="204">
        <f>SUM(G82:G93)</f>
        <v>212417.8456</v>
      </c>
      <c r="H94" s="272">
        <f>+IF((E94)=0,,(F94-E94)/E94)</f>
        <v>0.72856629227273884</v>
      </c>
      <c r="I94" s="190">
        <f>+IF((F94)=0,,(G94-F94)/F94)</f>
        <v>2.4647580751750237E-2</v>
      </c>
    </row>
    <row r="95" spans="1:10">
      <c r="A95" s="5"/>
      <c r="B95" s="92"/>
      <c r="C95" s="160"/>
      <c r="D95" s="162"/>
      <c r="E95" s="160"/>
      <c r="F95" s="113"/>
      <c r="G95" s="162"/>
      <c r="H95" s="143" t="str">
        <f>+IF((F95)=0,"",(C95-F95)/F95)</f>
        <v/>
      </c>
      <c r="I95" s="187" t="str">
        <f>+IF((E95)=0,"",(C95-E95)/E95)</f>
        <v/>
      </c>
    </row>
    <row r="96" spans="1:10">
      <c r="A96" s="5" t="s">
        <v>148</v>
      </c>
      <c r="B96" s="92"/>
      <c r="C96" s="160">
        <f>IF(ISNA(VLOOKUP("LIL641100000",Balance!C:G,5,FALSE))=TRUE,0,VLOOKUP("LIL641100000",Balance!C:G,5,FALSE))+IF(ISNA(VLOOKUP("LIL641100110",Balance!C:G,5,FALSE))=TRUE,0,VLOOKUP("LIL641100110",Balance!C:G,5,FALSE))</f>
        <v>265682.64</v>
      </c>
      <c r="D96" s="162">
        <v>356828</v>
      </c>
      <c r="E96" s="160">
        <f>IF(ISNA(VLOOKUP("LIL641100000",Balanceanp!C:G,5,FALSE))=TRUE,0,VLOOKUP("LIL641100000",Balanceanp!C:G,5,FALSE))+IF(ISNA(VLOOKUP("LIL641100110",Balanceanp!C:G,5,FALSE))=TRUE,0,VLOOKUP("LIL641100110",Balanceanp!C:G,5,FALSE))</f>
        <v>354401.1</v>
      </c>
      <c r="F96" s="368">
        <f>+C96+C96/9*(12-Clients!$I$14)</f>
        <v>354243.52</v>
      </c>
      <c r="G96" s="369">
        <v>356828</v>
      </c>
      <c r="H96" s="149">
        <f>+IF((E96)=0,,(F96-E96)/E96)</f>
        <v>-4.4463744610261677E-4</v>
      </c>
      <c r="I96" s="271">
        <f>+IF((F96)=0,,(G96-F96)/F96)</f>
        <v>7.2957721287321819E-3</v>
      </c>
    </row>
    <row r="97" spans="1:11">
      <c r="A97" s="5" t="s">
        <v>149</v>
      </c>
      <c r="B97" s="92"/>
      <c r="C97" s="160">
        <f>IF(ISNA(VLOOKUP("LIL641110000",Balance!C:G,5,FALSE))=TRUE,0,VLOOKUP("LIL641110000",Balance!C:G,5,FALSE))</f>
        <v>6675</v>
      </c>
      <c r="D97" s="162">
        <v>15000</v>
      </c>
      <c r="E97" s="160">
        <f>IF(ISNA(VLOOKUP("LIL641110000",Balanceanp!C:G,5,FALSE))=TRUE,0,VLOOKUP("LIL641110000",Balanceanp!C:G,5,FALSE))</f>
        <v>2975</v>
      </c>
      <c r="F97" s="368">
        <f>+C97+C97/9*(12-Clients!$I$14)</f>
        <v>8900</v>
      </c>
      <c r="G97" s="369">
        <v>15000</v>
      </c>
      <c r="H97" s="149">
        <f t="shared" ref="H97:H118" si="10">+IF((E97)=0,,(F97-E97)/E97)</f>
        <v>1.9915966386554622</v>
      </c>
      <c r="I97" s="271">
        <f t="shared" ref="I97:I118" si="11">+IF((F97)=0,,(G97-F97)/F97)</f>
        <v>0.6853932584269663</v>
      </c>
    </row>
    <row r="98" spans="1:11">
      <c r="A98" s="5" t="s">
        <v>8</v>
      </c>
      <c r="B98" s="92"/>
      <c r="C98" s="160">
        <f>IF(ISNA(VLOOKUP("LIL641111100",Balance!C:G,5,FALSE))=TRUE,0,VLOOKUP("LIL641111100",Balance!C:G,5,FALSE))</f>
        <v>0</v>
      </c>
      <c r="D98" s="162">
        <v>0</v>
      </c>
      <c r="E98" s="160">
        <f>IF(ISNA(VLOOKUP("LIL641111100",Balanceanp!C:G,5,FALSE))=TRUE,0,VLOOKUP("LIL641111100",Balanceanp!C:G,5,FALSE))</f>
        <v>0</v>
      </c>
      <c r="F98" s="368">
        <f>+C98+C98/9*(12-Clients!$I$14)</f>
        <v>0</v>
      </c>
      <c r="G98" s="369">
        <f>+F98*1.03</f>
        <v>0</v>
      </c>
      <c r="H98" s="149">
        <f t="shared" si="10"/>
        <v>0</v>
      </c>
      <c r="I98" s="271">
        <f t="shared" si="11"/>
        <v>0</v>
      </c>
    </row>
    <row r="99" spans="1:11">
      <c r="A99" s="5" t="s">
        <v>150</v>
      </c>
      <c r="B99" s="92"/>
      <c r="C99" s="160">
        <f>IF(ISNA(VLOOKUP("LIL641111000",Balance!C:G,5,FALSE))=TRUE,0,VLOOKUP("LIL641111000",Balance!C:G,5,FALSE))</f>
        <v>3391.59</v>
      </c>
      <c r="D99" s="162">
        <v>0</v>
      </c>
      <c r="E99" s="160">
        <f>IF(ISNA(VLOOKUP("LIL641111000",Balanceanp!C:G,5,FALSE))=TRUE,0,VLOOKUP("LIL641111000",Balanceanp!C:G,5,FALSE))</f>
        <v>4236</v>
      </c>
      <c r="F99" s="368">
        <f>+C99+C99/9*(12-Clients!$I$14)</f>
        <v>4522.1200000000008</v>
      </c>
      <c r="G99" s="369">
        <v>0</v>
      </c>
      <c r="H99" s="149">
        <f t="shared" si="10"/>
        <v>6.7544853635505386E-2</v>
      </c>
      <c r="I99" s="271">
        <f t="shared" si="11"/>
        <v>-1</v>
      </c>
    </row>
    <row r="100" spans="1:11">
      <c r="A100" s="5" t="s">
        <v>151</v>
      </c>
      <c r="B100" s="92"/>
      <c r="C100" s="160">
        <f>IF(ISNA(VLOOKUP("LIL641200000",Balance!C:G,5,FALSE))=TRUE,0,VLOOKUP("LIL641200000",Balance!C:G,5,FALSE))</f>
        <v>0</v>
      </c>
      <c r="D100" s="162">
        <v>0</v>
      </c>
      <c r="E100" s="160">
        <f>IF(ISNA(VLOOKUP("LIL641200000",Balanceanp!C:G,5,FALSE))=TRUE,0,VLOOKUP("LIL641200000",Balanceanp!C:G,5,FALSE))</f>
        <v>-3946.5399999999972</v>
      </c>
      <c r="F100" s="368">
        <f>+C100+C100/9*(12-Clients!$I$14)</f>
        <v>0</v>
      </c>
      <c r="G100" s="369">
        <f>+F100*1.03</f>
        <v>0</v>
      </c>
      <c r="H100" s="149">
        <f t="shared" si="10"/>
        <v>-1</v>
      </c>
      <c r="I100" s="271">
        <f t="shared" si="11"/>
        <v>0</v>
      </c>
    </row>
    <row r="101" spans="1:11">
      <c r="A101" s="5" t="s">
        <v>152</v>
      </c>
      <c r="B101" s="92"/>
      <c r="C101" s="160">
        <f>IF(ISNA(VLOOKUP("LIL641210000",Balance!C:G,5,FALSE))=TRUE,0,VLOOKUP("LIL641210000",Balance!C:G,5,FALSE))</f>
        <v>0</v>
      </c>
      <c r="D101" s="162">
        <v>0</v>
      </c>
      <c r="E101" s="160">
        <f>IF(ISNA(VLOOKUP("LIL641210000",Balanceanp!C:G,5,FALSE))=TRUE,0,VLOOKUP("LIL641210000",Balanceanp!C:G,5,FALSE))</f>
        <v>-2034.7399999999998</v>
      </c>
      <c r="F101" s="368">
        <f>+C101+C101/9*(12-Clients!$I$14)</f>
        <v>0</v>
      </c>
      <c r="G101" s="369">
        <f>+F101*1.03</f>
        <v>0</v>
      </c>
      <c r="H101" s="149">
        <f t="shared" si="10"/>
        <v>-1</v>
      </c>
      <c r="I101" s="271">
        <f t="shared" si="11"/>
        <v>0</v>
      </c>
    </row>
    <row r="102" spans="1:11">
      <c r="A102" s="5" t="s">
        <v>153</v>
      </c>
      <c r="B102" s="92"/>
      <c r="C102" s="160">
        <f>IF(ISNA(VLOOKUP("LIL641400000",Balance!C:G,5,FALSE))=TRUE,0,VLOOKUP("LIL641400000",Balance!C:G,5,FALSE))</f>
        <v>0</v>
      </c>
      <c r="D102" s="162">
        <v>0</v>
      </c>
      <c r="E102" s="160">
        <f>IF(ISNA(VLOOKUP("LIL641400000",Balanceanp!C:G,5,FALSE))=TRUE,0,VLOOKUP("LIL641400000",Balanceanp!C:G,5,FALSE))</f>
        <v>0</v>
      </c>
      <c r="F102" s="368">
        <f>+C102+C102/9*(12-Clients!$I$14)</f>
        <v>0</v>
      </c>
      <c r="G102" s="369">
        <f>+F102*1.03</f>
        <v>0</v>
      </c>
      <c r="H102" s="149">
        <f t="shared" si="10"/>
        <v>0</v>
      </c>
      <c r="I102" s="271">
        <f t="shared" si="11"/>
        <v>0</v>
      </c>
    </row>
    <row r="103" spans="1:11">
      <c r="A103" s="5" t="s">
        <v>440</v>
      </c>
      <c r="B103" s="92"/>
      <c r="C103" s="160">
        <f>IF(ISNA(VLOOKUP("LIL641420000",Balance!C:G,5,FALSE))=TRUE,0,VLOOKUP("LIL641420000",Balance!C:G,5,FALSE))</f>
        <v>546</v>
      </c>
      <c r="D103" s="162">
        <v>0</v>
      </c>
      <c r="E103" s="160">
        <f>IF(ISNA(VLOOKUP("LIL641420000",Balanceanp!C:G,5,FALSE))=TRUE,0,VLOOKUP("LIL641420000",Balanceanp!C:G,5,FALSE))</f>
        <v>571.79999999999995</v>
      </c>
      <c r="F103" s="368">
        <f>+C103+C103/9*(12-Clients!$I$14)</f>
        <v>728</v>
      </c>
      <c r="G103" s="369">
        <v>0</v>
      </c>
      <c r="H103" s="149">
        <f t="shared" si="10"/>
        <v>0.27317243791535512</v>
      </c>
      <c r="I103" s="271">
        <f t="shared" si="11"/>
        <v>-1</v>
      </c>
      <c r="K103" s="33"/>
    </row>
    <row r="104" spans="1:11">
      <c r="A104" s="5" t="s">
        <v>154</v>
      </c>
      <c r="B104" s="92"/>
      <c r="C104" s="160">
        <f>IF(ISNA(VLOOKUP("LIL641600000",Balance!C:G,5,FALSE))=TRUE,0,VLOOKUP("LIL641600000",Balance!C:G,5,FALSE))</f>
        <v>0</v>
      </c>
      <c r="D104" s="162">
        <v>0</v>
      </c>
      <c r="E104" s="160">
        <f>IF(ISNA(VLOOKUP("LIL641600000",Balanceanp!C:G,5,FALSE))=TRUE,0,VLOOKUP("LIL641600000",Balanceanp!C:G,5,FALSE))</f>
        <v>2000</v>
      </c>
      <c r="F104" s="368">
        <f>+C104+C104/9*(12-Clients!$I$14)</f>
        <v>0</v>
      </c>
      <c r="G104" s="369">
        <v>0</v>
      </c>
      <c r="H104" s="149">
        <f t="shared" si="10"/>
        <v>-1</v>
      </c>
      <c r="I104" s="271">
        <f t="shared" si="11"/>
        <v>0</v>
      </c>
    </row>
    <row r="105" spans="1:11">
      <c r="A105" s="5" t="s">
        <v>155</v>
      </c>
      <c r="B105" s="92"/>
      <c r="C105" s="160">
        <f>IF(ISNA(VLOOKUP("LIL645100000",Balance!C:G,5,FALSE))=TRUE,0,VLOOKUP("LIL645100000",Balance!C:G,5,FALSE))</f>
        <v>67022.5</v>
      </c>
      <c r="D105" s="162">
        <v>91686</v>
      </c>
      <c r="E105" s="160">
        <f>IF(ISNA(VLOOKUP("LIL645100000",Balanceanp!C:G,5,FALSE))=TRUE,0,VLOOKUP("LIL645100000",Balanceanp!C:G,5,FALSE))</f>
        <v>88833.53</v>
      </c>
      <c r="F105" s="368">
        <f>+C105+C105/9*(12-Clients!$I$14)</f>
        <v>89363.333333333328</v>
      </c>
      <c r="G105" s="369">
        <f>+(($G$96+$G$97)/($C$96+$C$97))*C105*1.01</f>
        <v>92415.437845988083</v>
      </c>
      <c r="H105" s="149">
        <f t="shared" si="10"/>
        <v>5.9640018057745721E-3</v>
      </c>
      <c r="I105" s="271">
        <f t="shared" si="11"/>
        <v>3.4153879435876992E-2</v>
      </c>
    </row>
    <row r="106" spans="1:11">
      <c r="A106" s="5" t="s">
        <v>156</v>
      </c>
      <c r="B106" s="92"/>
      <c r="C106" s="160">
        <f>IF(ISNA(VLOOKUP("LIL645200000",Balance!C:G,5,FALSE))=TRUE,0,VLOOKUP("LIL645200000",Balance!C:G,5,FALSE))</f>
        <v>8437.1299999999992</v>
      </c>
      <c r="D106" s="162">
        <v>12782</v>
      </c>
      <c r="E106" s="160">
        <f>IF(ISNA(VLOOKUP("LIL645200000",Balanceanp!C:G,5,FALSE))=TRUE,0,VLOOKUP("LIL645200000",Balanceanp!C:G,5,FALSE))</f>
        <v>11873.41</v>
      </c>
      <c r="F106" s="368">
        <f>+C106+C106/9*(12-Clients!$I$14)</f>
        <v>11249.506666666666</v>
      </c>
      <c r="G106" s="369">
        <f>+(($G$96+$G$97)/($C$96+$C$97))*C106*1.01</f>
        <v>11633.720961073093</v>
      </c>
      <c r="H106" s="149">
        <f t="shared" si="10"/>
        <v>-5.2546263738330747E-2</v>
      </c>
      <c r="I106" s="271">
        <f t="shared" si="11"/>
        <v>3.4153879435876937E-2</v>
      </c>
    </row>
    <row r="107" spans="1:11">
      <c r="A107" s="5" t="s">
        <v>157</v>
      </c>
      <c r="B107" s="92"/>
      <c r="C107" s="160">
        <f>IF(ISNA(VLOOKUP("LIL645300000",Balance!C:G,5,FALSE))=TRUE,0,VLOOKUP("LIL645300000",Balance!C:G,5,FALSE))</f>
        <v>17969.830000000002</v>
      </c>
      <c r="D107" s="162">
        <v>24590</v>
      </c>
      <c r="E107" s="160">
        <f>IF(ISNA(VLOOKUP("LIL645300000",Balanceanp!C:G,5,FALSE))=TRUE,0,VLOOKUP("LIL645300000",Balanceanp!C:G,5,FALSE))</f>
        <v>23555.8</v>
      </c>
      <c r="F107" s="368">
        <f>+C107+C107/9*(12-Clients!$I$14)</f>
        <v>23959.773333333334</v>
      </c>
      <c r="G107" s="369">
        <f>+(($G$96+$G$97)/($C$96+$C$97))*C107*1.01</f>
        <v>24778.092543070939</v>
      </c>
      <c r="H107" s="149">
        <f t="shared" si="10"/>
        <v>1.7149633352861512E-2</v>
      </c>
      <c r="I107" s="271">
        <f t="shared" si="11"/>
        <v>3.4153879435876895E-2</v>
      </c>
    </row>
    <row r="108" spans="1:11">
      <c r="A108" s="5" t="s">
        <v>326</v>
      </c>
      <c r="B108" s="92"/>
      <c r="C108" s="160">
        <f>IF(ISNA(VLOOKUP("LIL645310000",Balance!C:G,5,FALSE))=TRUE,0,VLOOKUP("LIL645310000",Balance!C:G,5,FALSE))</f>
        <v>1.1299999999999999</v>
      </c>
      <c r="D108" s="162">
        <v>0</v>
      </c>
      <c r="E108" s="160">
        <f>IF(ISNA(VLOOKUP("LIL645310000",Balanceanp!C:G,5,FALSE))=TRUE,0,VLOOKUP("LIL645310000",Balanceanp!C:G,5,FALSE))</f>
        <v>-0.64</v>
      </c>
      <c r="F108" s="368">
        <f>+C108+C108/9*(12-Clients!$I$14)</f>
        <v>1.5066666666666664</v>
      </c>
      <c r="G108" s="369">
        <f>+(($G$96+$G$97)/($C$96+$C$97))*C108</f>
        <v>1.5426981963861925</v>
      </c>
      <c r="H108" s="149">
        <f t="shared" si="10"/>
        <v>-3.3541666666666665</v>
      </c>
      <c r="I108" s="271">
        <f t="shared" si="11"/>
        <v>2.3914732114729761E-2</v>
      </c>
    </row>
    <row r="109" spans="1:11">
      <c r="A109" s="5" t="s">
        <v>158</v>
      </c>
      <c r="B109" s="92"/>
      <c r="C109" s="160">
        <f>IF(ISNA(VLOOKUP("LIL645400000",Balance!C:G,5,FALSE))=TRUE,0,VLOOKUP("LIL645400000",Balance!C:G,5,FALSE))</f>
        <v>11687.42</v>
      </c>
      <c r="D109" s="162">
        <v>15503</v>
      </c>
      <c r="E109" s="160">
        <f>IF(ISNA(VLOOKUP("LIL645400000",Balanceanp!C:G,5,FALSE))=TRUE,0,VLOOKUP("LIL645400000",Balanceanp!C:G,5,FALSE))</f>
        <v>14990.33</v>
      </c>
      <c r="F109" s="368">
        <f>+C109+C109/9*(12-Clients!$I$14)</f>
        <v>15583.226666666667</v>
      </c>
      <c r="G109" s="369">
        <f>+(($G$96+$G$97)/($C$96+$C$97))*C109*1.01</f>
        <v>16115.454311461943</v>
      </c>
      <c r="H109" s="149">
        <f t="shared" si="10"/>
        <v>3.9551942263223519E-2</v>
      </c>
      <c r="I109" s="271">
        <f t="shared" si="11"/>
        <v>3.4153879435876909E-2</v>
      </c>
    </row>
    <row r="110" spans="1:11">
      <c r="A110" s="5" t="s">
        <v>159</v>
      </c>
      <c r="B110" s="92"/>
      <c r="C110" s="160">
        <f>IF(ISNA(VLOOKUP("LIL645800000",Balance!C:G,5,FALSE))=TRUE,0,VLOOKUP("LIL645800000",Balance!C:G,5,FALSE))</f>
        <v>0.96</v>
      </c>
      <c r="D110" s="162">
        <v>0</v>
      </c>
      <c r="E110" s="160">
        <f>IF(ISNA(VLOOKUP("LIL645800000",Balanceanp!C:G,5,FALSE))=TRUE,0,VLOOKUP("LIL645800000",Balanceanp!C:G,5,FALSE))</f>
        <v>0.37</v>
      </c>
      <c r="F110" s="368">
        <f>+C110+C110/9*(12-Clients!$I$14)</f>
        <v>1.2799999999999998</v>
      </c>
      <c r="G110" s="369">
        <v>0</v>
      </c>
      <c r="H110" s="149">
        <f t="shared" si="10"/>
        <v>2.4594594594594588</v>
      </c>
      <c r="I110" s="271">
        <f t="shared" si="11"/>
        <v>-1</v>
      </c>
      <c r="J110" s="17"/>
    </row>
    <row r="111" spans="1:11">
      <c r="A111" s="5" t="s">
        <v>160</v>
      </c>
      <c r="B111" s="92"/>
      <c r="C111" s="160">
        <f>IF(ISNA(VLOOKUP("LIL645900000",Balance!C:G,5,FALSE))=TRUE,0,VLOOKUP("LIL645900000",Balance!C:G,5,FALSE))</f>
        <v>4854.18</v>
      </c>
      <c r="D111" s="162">
        <v>0</v>
      </c>
      <c r="E111" s="160">
        <f>IF(ISNA(VLOOKUP("LIL645900000",Balanceanp!C:G,5,FALSE))=TRUE,0,VLOOKUP("LIL645900000",Balanceanp!C:G,5,FALSE))</f>
        <v>1475.01</v>
      </c>
      <c r="F111" s="368">
        <f>+C111+C111/9*(12-Clients!$I$14)</f>
        <v>6472.24</v>
      </c>
      <c r="G111" s="369">
        <v>0</v>
      </c>
      <c r="H111" s="149">
        <f t="shared" si="10"/>
        <v>3.3879295733588246</v>
      </c>
      <c r="I111" s="271">
        <f t="shared" si="11"/>
        <v>-1</v>
      </c>
    </row>
    <row r="112" spans="1:11">
      <c r="A112" s="5" t="s">
        <v>161</v>
      </c>
      <c r="B112" s="92"/>
      <c r="C112" s="160">
        <f>IF(ISNA(VLOOKUP("LIL647100000",Balance!C:G,5,FALSE))=TRUE,0,VLOOKUP("LIL647100000",Balance!C:G,5,FALSE))</f>
        <v>0</v>
      </c>
      <c r="D112" s="162">
        <v>1000</v>
      </c>
      <c r="E112" s="160">
        <f>IF(ISNA(VLOOKUP("LIL647100000",Balanceanp!C:G,5,FALSE))=TRUE,0,VLOOKUP("LIL647100000",Balanceanp!C:G,5,FALSE))</f>
        <v>1108.25</v>
      </c>
      <c r="F112" s="368">
        <f>+C112+C112/9*(12-Clients!$I$14)</f>
        <v>0</v>
      </c>
      <c r="G112" s="369">
        <v>1000</v>
      </c>
      <c r="H112" s="149">
        <f t="shared" si="10"/>
        <v>-1</v>
      </c>
      <c r="I112" s="271">
        <f t="shared" si="11"/>
        <v>0</v>
      </c>
    </row>
    <row r="113" spans="1:11">
      <c r="A113" s="5" t="s">
        <v>239</v>
      </c>
      <c r="B113" s="92"/>
      <c r="C113" s="160">
        <f>IF(ISNA(VLOOKUP("LIL647200000",Balance!C:G,5,FALSE))=TRUE,0,VLOOKUP("LIL647200000",Balance!C:G,5,FALSE))</f>
        <v>20175.64</v>
      </c>
      <c r="D113" s="162">
        <v>26751</v>
      </c>
      <c r="E113" s="160">
        <f>IF(ISNA(VLOOKUP("LIL647200000",Balanceanp!C:G,5,FALSE))=TRUE,0,VLOOKUP("LIL647200000",Balanceanp!C:G,5,FALSE))</f>
        <v>25847.759999999998</v>
      </c>
      <c r="F113" s="368">
        <f>+C113+C113/9*(12-Clients!$I$14)</f>
        <v>26900.853333333333</v>
      </c>
      <c r="G113" s="369">
        <f>+(G96+Conso!I131)*0.2%+(G96+Conso!I131-15000)*0.6%</f>
        <v>27950.096000000001</v>
      </c>
      <c r="H113" s="149">
        <f t="shared" si="10"/>
        <v>4.0742150706031557E-2</v>
      </c>
      <c r="I113" s="271">
        <f t="shared" si="11"/>
        <v>3.9004066289842682E-2</v>
      </c>
    </row>
    <row r="114" spans="1:11">
      <c r="A114" s="5" t="s">
        <v>162</v>
      </c>
      <c r="B114" s="92"/>
      <c r="C114" s="160">
        <f>IF(ISNA(VLOOKUP("LIL647300000",Balance!C:G,5,FALSE))=TRUE,0,VLOOKUP("LIL647300000",Balance!C:G,5,FALSE))</f>
        <v>0</v>
      </c>
      <c r="D114" s="162">
        <v>100</v>
      </c>
      <c r="E114" s="160">
        <f>IF(ISNA(VLOOKUP("LIL647300000",Balanceanp!C:G,5,FALSE))=TRUE,0,VLOOKUP("LIL647300000",Balanceanp!C:G,5,FALSE))</f>
        <v>0</v>
      </c>
      <c r="F114" s="368">
        <f>+C114+C114/9*(12-Clients!$I$14)</f>
        <v>0</v>
      </c>
      <c r="G114" s="369">
        <v>100</v>
      </c>
      <c r="H114" s="149">
        <f t="shared" si="10"/>
        <v>0</v>
      </c>
      <c r="I114" s="271">
        <f t="shared" si="11"/>
        <v>0</v>
      </c>
    </row>
    <row r="115" spans="1:11">
      <c r="A115" s="5" t="s">
        <v>266</v>
      </c>
      <c r="B115" s="92"/>
      <c r="C115" s="160">
        <f>IF(ISNA(VLOOKUP("LIL647400000",Balance!C:G,5,FALSE))=TRUE,0,VLOOKUP("LIL647400000",Balance!C:G,5,FALSE))</f>
        <v>251.61</v>
      </c>
      <c r="D115" s="162">
        <v>2000</v>
      </c>
      <c r="E115" s="160">
        <f>IF(ISNA(VLOOKUP("LIL647400000",Balanceanp!C:G,5,FALSE))=TRUE,0,VLOOKUP("LIL647400000",Balanceanp!C:G,5,FALSE))</f>
        <v>143.94999999999999</v>
      </c>
      <c r="F115" s="368">
        <f>+C115+C115/9*(12-Clients!$I$14)</f>
        <v>335.48</v>
      </c>
      <c r="G115" s="369">
        <v>2000</v>
      </c>
      <c r="H115" s="149">
        <f t="shared" si="10"/>
        <v>1.3305314345258774</v>
      </c>
      <c r="I115" s="271">
        <f t="shared" si="11"/>
        <v>4.9616072493144152</v>
      </c>
    </row>
    <row r="116" spans="1:11">
      <c r="A116" s="5" t="s">
        <v>163</v>
      </c>
      <c r="B116" s="92"/>
      <c r="C116" s="160">
        <f>IF(ISNA(VLOOKUP("LIL647500000",Balance!C:G,5,FALSE))=TRUE,0,VLOOKUP("LIL647500000",Balance!C:G,5,FALSE))</f>
        <v>652.55999999999995</v>
      </c>
      <c r="D116" s="162">
        <v>1000</v>
      </c>
      <c r="E116" s="160">
        <f>IF(ISNA(VLOOKUP("LIL647500000",Balanceanp!C:G,5,FALSE))=TRUE,0,VLOOKUP("LIL647500000",Balanceanp!C:G,5,FALSE))</f>
        <v>1382.13</v>
      </c>
      <c r="F116" s="368">
        <f>+C116+C116/9*(12-Clients!$I$14)</f>
        <v>870.07999999999993</v>
      </c>
      <c r="G116" s="369">
        <v>1000</v>
      </c>
      <c r="H116" s="149">
        <f t="shared" si="10"/>
        <v>-0.3704788985117175</v>
      </c>
      <c r="I116" s="271">
        <f t="shared" si="11"/>
        <v>0.14931960279514536</v>
      </c>
      <c r="K116" s="33"/>
    </row>
    <row r="117" spans="1:11">
      <c r="A117" s="5" t="s">
        <v>30</v>
      </c>
      <c r="B117" s="92"/>
      <c r="C117" s="160">
        <f>IF(ISNA(VLOOKUP("LIL647410000",Balance!C:G,5,FALSE))=TRUE,0,VLOOKUP("LIL647410000",Balance!C:G,5,FALSE))</f>
        <v>850.15999999999985</v>
      </c>
      <c r="D117" s="162">
        <v>1500</v>
      </c>
      <c r="E117" s="160">
        <f>IF(ISNA(VLOOKUP("LIL647410000",Balanceanp!C:G,5,FALSE))=TRUE,0,VLOOKUP("LIL647410000",Balanceanp!C:G,5,FALSE))</f>
        <v>915.50999999999976</v>
      </c>
      <c r="F117" s="368">
        <f>+C117+C117/9*(12-Clients!$I$14)</f>
        <v>1133.5466666666666</v>
      </c>
      <c r="G117" s="369">
        <v>1500</v>
      </c>
      <c r="H117" s="149">
        <f t="shared" si="10"/>
        <v>0.23815869478942547</v>
      </c>
      <c r="I117" s="271">
        <f t="shared" si="11"/>
        <v>0.32328032370377346</v>
      </c>
    </row>
    <row r="118" spans="1:11">
      <c r="A118" s="5" t="s">
        <v>11</v>
      </c>
      <c r="B118" s="92"/>
      <c r="C118" s="160">
        <f>IF(ISNA(VLOOKUP("LIL648000000",Balance!C:G,5,FALSE))=TRUE,0,VLOOKUP("LIL648000000",Balance!C:G,5,FALSE))</f>
        <v>82500</v>
      </c>
      <c r="D118" s="162">
        <v>110000</v>
      </c>
      <c r="E118" s="160">
        <f>IF(ISNA(VLOOKUP("LIL648000000",Balanceanp!C:G,5,FALSE))=TRUE,0,VLOOKUP("LIL648000000",Balanceanp!C:G,5,FALSE))</f>
        <v>9771.8207999999995</v>
      </c>
      <c r="F118" s="368">
        <f>+C118+C118/9*(12-Clients!$I$14)</f>
        <v>110000</v>
      </c>
      <c r="G118" s="369">
        <v>110000</v>
      </c>
      <c r="H118" s="149">
        <f t="shared" si="10"/>
        <v>10.256858087287069</v>
      </c>
      <c r="I118" s="271">
        <f t="shared" si="11"/>
        <v>0</v>
      </c>
    </row>
    <row r="119" spans="1:11">
      <c r="A119" s="5"/>
      <c r="B119" s="92"/>
      <c r="C119" s="160"/>
      <c r="D119" s="162"/>
      <c r="E119" s="160"/>
      <c r="F119" s="113"/>
      <c r="G119" s="162"/>
      <c r="H119" s="143" t="str">
        <f>+IF((F119)=0,"",(C119-F119)/F119)</f>
        <v/>
      </c>
      <c r="I119" s="187" t="str">
        <f>+IF((E119)=0,"",(C119-E119)/E119)</f>
        <v/>
      </c>
    </row>
    <row r="120" spans="1:11" ht="15" customHeight="1">
      <c r="A120" s="13" t="s">
        <v>164</v>
      </c>
      <c r="B120" s="93"/>
      <c r="C120" s="163">
        <f>SUM(C95:C119)</f>
        <v>490698.35000000003</v>
      </c>
      <c r="D120" s="168">
        <f>SUM(D95:D119)</f>
        <v>658740</v>
      </c>
      <c r="E120" s="163">
        <f>SUM(E95:E119)</f>
        <v>538099.8507999999</v>
      </c>
      <c r="F120" s="204">
        <f>SUM(F95:F119)</f>
        <v>654264.46666666656</v>
      </c>
      <c r="G120" s="204">
        <f>SUM(G95:G119)</f>
        <v>660322.34435979044</v>
      </c>
      <c r="H120" s="272">
        <f>+IF((E120)=0,,(F120-E120)/E120)</f>
        <v>0.21587929395253175</v>
      </c>
      <c r="I120" s="190">
        <f>+IF((F120)=0,,(G120-F120)/F120)</f>
        <v>9.2590657169377335E-3</v>
      </c>
    </row>
    <row r="121" spans="1:11">
      <c r="A121" s="5"/>
      <c r="B121" s="92"/>
      <c r="C121" s="160"/>
      <c r="D121" s="162"/>
      <c r="E121" s="160"/>
      <c r="F121" s="113"/>
      <c r="G121" s="162"/>
      <c r="H121" s="143" t="str">
        <f>+IF((F121)=0,"",(C121-F121)/F121)</f>
        <v/>
      </c>
      <c r="I121" s="187" t="str">
        <f>+IF((E121)=0,"",(C121-E121)/E121)</f>
        <v/>
      </c>
    </row>
    <row r="122" spans="1:11">
      <c r="A122" s="5" t="s">
        <v>227</v>
      </c>
      <c r="B122" s="92"/>
      <c r="C122" s="160">
        <f>IF(ISNA(VLOOKUP("LIL681740000",Balance!C:G,5,FALSE))=TRUE,0,VLOOKUP("LIL681740000",Balance!C:G,5,FALSE))</f>
        <v>0</v>
      </c>
      <c r="D122" s="162">
        <v>0</v>
      </c>
      <c r="E122" s="160">
        <f>IF(ISNA(VLOOKUP("LIL681740000",Balanceanp!C:G,5,FALSE))=TRUE,0,VLOOKUP("LIL681740000",Balanceanp!C:G,5,FALSE))</f>
        <v>0</v>
      </c>
      <c r="F122" s="368">
        <f>+C122+C122/9*(12-Clients!$I$14)</f>
        <v>0</v>
      </c>
      <c r="G122" s="369">
        <v>0</v>
      </c>
      <c r="H122" s="149">
        <f>+IF((E122)=0,,(F122-E122)/E122)</f>
        <v>0</v>
      </c>
      <c r="I122" s="271">
        <f>+IF((F122)=0,,(G122-F122)/F122)</f>
        <v>0</v>
      </c>
    </row>
    <row r="123" spans="1:11">
      <c r="A123" s="5" t="s">
        <v>165</v>
      </c>
      <c r="B123" s="92"/>
      <c r="C123" s="160">
        <f>IF(ISNA(VLOOKUP("LIL781740000",Balance!C:G,5,FALSE))=TRUE,0,VLOOKUP("LIL781740000",Balance!C:G,5,FALSE))</f>
        <v>0</v>
      </c>
      <c r="D123" s="162">
        <v>0</v>
      </c>
      <c r="E123" s="160">
        <f>IF(ISNA(VLOOKUP("LIL781740000",Balanceanp!C:G,5,FALSE))=TRUE,0,VLOOKUP("LIL781740000",Balanceanp!C:G,5,FALSE))</f>
        <v>0</v>
      </c>
      <c r="F123" s="368">
        <f>+C123+C123/9*(12-Clients!$I$14)</f>
        <v>0</v>
      </c>
      <c r="G123" s="369">
        <v>0</v>
      </c>
      <c r="H123" s="149">
        <f t="shared" ref="H123:H129" si="12">+IF((E123)=0,,(F123-E123)/E123)</f>
        <v>0</v>
      </c>
      <c r="I123" s="271">
        <f t="shared" ref="I123:I129" si="13">+IF((F123)=0,,(G123-F123)/F123)</f>
        <v>0</v>
      </c>
    </row>
    <row r="124" spans="1:11">
      <c r="A124" s="5" t="s">
        <v>166</v>
      </c>
      <c r="B124" s="92"/>
      <c r="C124" s="160">
        <f>IF(ISNA(VLOOKUP("LIL671400000",Balance!C:G,5,FALSE))=TRUE,0,VLOOKUP("LIL671400000",Balance!C:G,5,FALSE))</f>
        <v>0</v>
      </c>
      <c r="D124" s="162">
        <v>0</v>
      </c>
      <c r="E124" s="160">
        <f>IF(ISNA(VLOOKUP("LIL671400000",Balanceanp!C:G,5,FALSE))=TRUE,0,VLOOKUP("LIL671400000",Balanceanp!C:G,5,FALSE))</f>
        <v>0</v>
      </c>
      <c r="F124" s="368">
        <f>+C124+C124/9*(12-Clients!$I$14)</f>
        <v>0</v>
      </c>
      <c r="G124" s="369">
        <v>0</v>
      </c>
      <c r="H124" s="149">
        <f t="shared" si="12"/>
        <v>0</v>
      </c>
      <c r="I124" s="271">
        <f t="shared" si="13"/>
        <v>0</v>
      </c>
    </row>
    <row r="125" spans="1:11">
      <c r="A125" s="5" t="s">
        <v>199</v>
      </c>
      <c r="B125" s="92"/>
      <c r="C125" s="160">
        <f>IF(ISNA(VLOOKUP("LIL654100000",Balance!C:G,5,FALSE))=TRUE,0,VLOOKUP("LIL654100000",Balance!C:G,5,FALSE))</f>
        <v>7.5400000000000009</v>
      </c>
      <c r="D125" s="162">
        <v>0</v>
      </c>
      <c r="E125" s="160">
        <f>IF(ISNA(VLOOKUP("LIL654100000",Balanceanp!C:G,5,FALSE))=TRUE,0,VLOOKUP("LIL654100000",Balanceanp!C:G,5,FALSE))</f>
        <v>-18.82</v>
      </c>
      <c r="F125" s="368">
        <f>+C125+C125/9*(12-Clients!$I$14)</f>
        <v>10.053333333333335</v>
      </c>
      <c r="G125" s="369">
        <v>0</v>
      </c>
      <c r="H125" s="149">
        <f t="shared" si="12"/>
        <v>-1.5341834927382219</v>
      </c>
      <c r="I125" s="271">
        <f t="shared" si="13"/>
        <v>-1</v>
      </c>
    </row>
    <row r="126" spans="1:11">
      <c r="A126" s="5" t="s">
        <v>355</v>
      </c>
      <c r="B126" s="92"/>
      <c r="C126" s="160">
        <f>IF(ISNA(VLOOKUP("LIL654200000",Balance!C:G,5,FALSE))=TRUE,0,VLOOKUP("LIL654200000",Balance!C:G,5,FALSE))</f>
        <v>4.17</v>
      </c>
      <c r="D126" s="162">
        <v>0</v>
      </c>
      <c r="E126" s="160">
        <f>IF(ISNA(VLOOKUP("LIL654200000",Balanceanp!C:G,5,FALSE))=TRUE,0,VLOOKUP("LIL654200000",Balanceanp!C:G,5,FALSE))</f>
        <v>-43.010000000000005</v>
      </c>
      <c r="F126" s="368">
        <f>+C126+C126/9*(12-Clients!$I$14)</f>
        <v>5.56</v>
      </c>
      <c r="G126" s="369">
        <v>0</v>
      </c>
      <c r="H126" s="149">
        <f t="shared" si="12"/>
        <v>-1.1292722622645897</v>
      </c>
      <c r="I126" s="271">
        <f t="shared" si="13"/>
        <v>-1</v>
      </c>
    </row>
    <row r="127" spans="1:11">
      <c r="A127" s="5" t="s">
        <v>200</v>
      </c>
      <c r="B127" s="92"/>
      <c r="C127" s="160">
        <f>IF(ISNA(VLOOKUP("LIL665000000",Balance!C:G,5,FALSE))=TRUE,0,VLOOKUP("LIL665000000",Balance!C:G,5,FALSE))</f>
        <v>453.25</v>
      </c>
      <c r="D127" s="162">
        <v>0</v>
      </c>
      <c r="E127" s="160">
        <f>IF(ISNA(VLOOKUP("LIL665000000",Balanceanp!C:G,5,FALSE))=TRUE,0,VLOOKUP("LIL665000000",Balanceanp!C:G,5,FALSE))</f>
        <v>-1053.53</v>
      </c>
      <c r="F127" s="368">
        <f>+C127+C127/9*(12-Clients!$I$14)</f>
        <v>604.33333333333337</v>
      </c>
      <c r="G127" s="369">
        <v>0</v>
      </c>
      <c r="H127" s="149">
        <f t="shared" si="12"/>
        <v>-1.573627075957337</v>
      </c>
      <c r="I127" s="271">
        <f t="shared" si="13"/>
        <v>-1</v>
      </c>
    </row>
    <row r="128" spans="1:11">
      <c r="A128" s="5" t="s">
        <v>345</v>
      </c>
      <c r="B128" s="92"/>
      <c r="C128" s="160">
        <f>IF(ISNA(VLOOKUP("LIL661810000",Balance!C:G,5,FALSE))=TRUE,0,VLOOKUP("LIL661810000",Balance!C:G,5,FALSE))</f>
        <v>0</v>
      </c>
      <c r="D128" s="162">
        <v>0</v>
      </c>
      <c r="E128" s="160">
        <f>IF(ISNA(VLOOKUP("LIL661810000",Balanceanp!C:G,5,FALSE))=TRUE,0,VLOOKUP("LIL661810000",Balanceanp!C:G,5,FALSE))</f>
        <v>-1662.79</v>
      </c>
      <c r="F128" s="368">
        <f>+C128+C128/9*(12-Clients!$I$14)</f>
        <v>0</v>
      </c>
      <c r="G128" s="369">
        <v>0</v>
      </c>
      <c r="H128" s="149">
        <f t="shared" si="12"/>
        <v>-1</v>
      </c>
      <c r="I128" s="271">
        <f t="shared" si="13"/>
        <v>0</v>
      </c>
    </row>
    <row r="129" spans="1:11">
      <c r="A129" s="5" t="s">
        <v>201</v>
      </c>
      <c r="B129" s="92"/>
      <c r="C129" s="160">
        <f>IF(ISNA(VLOOKUP("LIL763100000",Balance!C:G,5,FALSE))=TRUE,0,VLOOKUP("LIL763100000",Balance!C:G,5,FALSE))</f>
        <v>0</v>
      </c>
      <c r="D129" s="162">
        <v>0</v>
      </c>
      <c r="E129" s="160">
        <f>IF(ISNA(VLOOKUP("LIL763100000",Balanceanp!C:G,5,FALSE))=TRUE,0,VLOOKUP("LIL763100000",Balanceanp!C:G,5,FALSE))</f>
        <v>1662.79</v>
      </c>
      <c r="F129" s="368">
        <f>+C129+C129/9*(12-Clients!$I$14)</f>
        <v>0</v>
      </c>
      <c r="G129" s="369">
        <v>0</v>
      </c>
      <c r="H129" s="149">
        <f t="shared" si="12"/>
        <v>-1</v>
      </c>
      <c r="I129" s="271">
        <f t="shared" si="13"/>
        <v>0</v>
      </c>
      <c r="K129" s="33"/>
    </row>
    <row r="130" spans="1:11">
      <c r="A130" s="5"/>
      <c r="B130" s="92"/>
      <c r="C130" s="160"/>
      <c r="D130" s="162"/>
      <c r="E130" s="160"/>
      <c r="F130" s="113"/>
      <c r="G130" s="162"/>
      <c r="H130" s="143" t="str">
        <f>+IF((F130)=0,"",(C130-F130)/F130)</f>
        <v/>
      </c>
      <c r="I130" s="187" t="str">
        <f>+IF((E130)=0,"",(C130-E130)/E130)</f>
        <v/>
      </c>
    </row>
    <row r="131" spans="1:11" ht="15" customHeight="1">
      <c r="A131" s="13" t="s">
        <v>220</v>
      </c>
      <c r="B131" s="93"/>
      <c r="C131" s="163">
        <f>SUM(C121:C130)</f>
        <v>464.96</v>
      </c>
      <c r="D131" s="168">
        <f>SUM(D121:D130)</f>
        <v>0</v>
      </c>
      <c r="E131" s="163">
        <f>SUM(E121:E130)</f>
        <v>-1115.3599999999997</v>
      </c>
      <c r="F131" s="204">
        <f>SUM(F121:F130)</f>
        <v>619.94666666666672</v>
      </c>
      <c r="G131" s="168">
        <f>SUM(G122:G129)</f>
        <v>0</v>
      </c>
      <c r="H131" s="272">
        <f>+IF((E131)=0,,(F131-E131)/E131)</f>
        <v>-1.5558265193898535</v>
      </c>
      <c r="I131" s="190">
        <f>+IF((F131)=0,,(G131-F131)/F131)</f>
        <v>-1</v>
      </c>
    </row>
    <row r="132" spans="1:11">
      <c r="A132" s="5"/>
      <c r="B132" s="92"/>
      <c r="C132" s="160"/>
      <c r="D132" s="162"/>
      <c r="E132" s="160"/>
      <c r="F132" s="113"/>
      <c r="G132" s="162"/>
      <c r="H132" s="143" t="str">
        <f>+IF((F132)=0,"",(C132-F132)/F132)</f>
        <v/>
      </c>
      <c r="I132" s="187" t="str">
        <f>+IF((E132)=0,"",(C132-E132)/E132)</f>
        <v/>
      </c>
    </row>
    <row r="133" spans="1:11">
      <c r="A133" s="5" t="s">
        <v>167</v>
      </c>
      <c r="B133" s="92"/>
      <c r="C133" s="160">
        <f>IF(ISNA(VLOOKUP("LIL651100000",Balance!C:G,5,FALSE))=TRUE,0,VLOOKUP("LIL651100000",Balance!C:G,5,FALSE))</f>
        <v>0</v>
      </c>
      <c r="D133" s="162">
        <v>0</v>
      </c>
      <c r="E133" s="160">
        <f>IF(ISNA(VLOOKUP("LIL651100000",Balanceanp!C:G,5,FALSE))=TRUE,0,VLOOKUP("LIL651100000",Balanceanp!C:G,5,FALSE))</f>
        <v>0</v>
      </c>
      <c r="F133" s="368">
        <f>+C133+C133/9*(12-Clients!$I$14)</f>
        <v>0</v>
      </c>
      <c r="G133" s="117">
        <v>0</v>
      </c>
      <c r="H133" s="149">
        <f>+IF((E133)=0,,(F133-E133)/E133)</f>
        <v>0</v>
      </c>
      <c r="I133" s="271">
        <f>+IF((F133)=0,,(G133-F133)/F133)</f>
        <v>0</v>
      </c>
    </row>
    <row r="134" spans="1:11">
      <c r="A134" s="5" t="s">
        <v>168</v>
      </c>
      <c r="B134" s="92"/>
      <c r="C134" s="160">
        <f>IF(ISNA(VLOOKUP("LIL651600000",Balance!C:G,5,FALSE))=TRUE,0,VLOOKUP("LIL651600000",Balance!C:G,5,FALSE))</f>
        <v>0</v>
      </c>
      <c r="D134" s="162">
        <v>0</v>
      </c>
      <c r="E134" s="160">
        <f>IF(ISNA(VLOOKUP("LIL651600000",Balanceanp!C:G,5,FALSE))=TRUE,0,VLOOKUP("LIL651600000",Balanceanp!C:G,5,FALSE))</f>
        <v>0</v>
      </c>
      <c r="F134" s="368">
        <f>+C134+C134/9*(12-Clients!$I$14)</f>
        <v>0</v>
      </c>
      <c r="G134" s="117">
        <v>0</v>
      </c>
      <c r="H134" s="149">
        <f t="shared" ref="H134:H150" si="14">+IF((E134)=0,,(F134-E134)/E134)</f>
        <v>0</v>
      </c>
      <c r="I134" s="271">
        <f t="shared" ref="I134:I150" si="15">+IF((F134)=0,,(G134-F134)/F134)</f>
        <v>0</v>
      </c>
    </row>
    <row r="135" spans="1:11">
      <c r="A135" s="5" t="s">
        <v>169</v>
      </c>
      <c r="B135" s="92"/>
      <c r="C135" s="160">
        <f>IF(ISNA(VLOOKUP("LIL671200000",Balance!C:G,5,FALSE))=TRUE,0,VLOOKUP("LIL671200000",Balance!C:G,5,FALSE))</f>
        <v>0</v>
      </c>
      <c r="D135" s="162">
        <v>0</v>
      </c>
      <c r="E135" s="160">
        <f>IF(ISNA(VLOOKUP("LIL671200000",Balanceanp!C:G,5,FALSE))=TRUE,0,VLOOKUP("LIL671200000",Balanceanp!C:G,5,FALSE))</f>
        <v>3507.13</v>
      </c>
      <c r="F135" s="368">
        <f>+C135+C135/9*(12-Clients!$I$14)</f>
        <v>0</v>
      </c>
      <c r="G135" s="117">
        <v>0</v>
      </c>
      <c r="H135" s="149">
        <f t="shared" si="14"/>
        <v>-1</v>
      </c>
      <c r="I135" s="271">
        <f t="shared" si="15"/>
        <v>0</v>
      </c>
    </row>
    <row r="136" spans="1:11">
      <c r="A136" s="5" t="s">
        <v>170</v>
      </c>
      <c r="B136" s="92"/>
      <c r="C136" s="160">
        <f>IF(ISNA(VLOOKUP("LIL658000000",Balance!C:G,5,FALSE))=TRUE,0,VLOOKUP("LIL658000000",Balance!C:G,5,FALSE))+IF(ISNA(VLOOKUP("LIL671800000",Balance!C:G,5,FALSE))=TRUE,0,VLOOKUP("LIL671800000",Balance!C:G,5,FALSE))</f>
        <v>0</v>
      </c>
      <c r="D136" s="162">
        <v>15000</v>
      </c>
      <c r="E136" s="160">
        <f>IF(ISNA(VLOOKUP("LIL658000000",Balanceanp!C:G,5,FALSE))=TRUE,0,VLOOKUP("LIL658000000",Balanceanp!C:G,5,FALSE))+IF(ISNA(VLOOKUP("LIL671800000",Balanceanp!C:G,5,FALSE))=TRUE,0,VLOOKUP("LIL671800000",Balanceanp!C:G,5,FALSE))+IF(ISNA(VLOOKUP("LIL681730000",Balanceanp!C:G,5,FALSE))=TRUE,0,VLOOKUP("LIL681730000",Balanceanp!C:G,5,FALSE))</f>
        <v>51166.89</v>
      </c>
      <c r="F136" s="368">
        <f>+C136+C136/9*(12-Clients!$I$14)</f>
        <v>0</v>
      </c>
      <c r="G136" s="117">
        <v>15000</v>
      </c>
      <c r="H136" s="149">
        <f t="shared" si="14"/>
        <v>-1</v>
      </c>
      <c r="I136" s="271">
        <f t="shared" si="15"/>
        <v>0</v>
      </c>
    </row>
    <row r="137" spans="1:11">
      <c r="A137" s="5" t="s">
        <v>171</v>
      </c>
      <c r="B137" s="92"/>
      <c r="C137" s="160">
        <f>IF(ISNA(VLOOKUP("LIL672000000",Balance!C:G,5,FALSE))=TRUE,0,VLOOKUP("LIL672000000",Balance!C:G,5,FALSE))</f>
        <v>0</v>
      </c>
      <c r="D137" s="162">
        <v>0</v>
      </c>
      <c r="E137" s="160">
        <f>IF(ISNA(VLOOKUP("LIL672000000",Balanceanp!C:G,5,FALSE))=TRUE,0,VLOOKUP("LIL672000000",Balanceanp!C:G,5,FALSE))</f>
        <v>0</v>
      </c>
      <c r="F137" s="368">
        <f>+C137+C137/9*(12-Clients!$I$14)</f>
        <v>0</v>
      </c>
      <c r="G137" s="117">
        <v>0</v>
      </c>
      <c r="H137" s="149">
        <f t="shared" si="14"/>
        <v>0</v>
      </c>
      <c r="I137" s="271">
        <f t="shared" si="15"/>
        <v>0</v>
      </c>
    </row>
    <row r="138" spans="1:11">
      <c r="A138" s="5" t="s">
        <v>308</v>
      </c>
      <c r="B138" s="92"/>
      <c r="C138" s="160">
        <f>IF(ISNA(VLOOKUP("LIL691100000",Balance!C:G,5,FALSE))=TRUE,0,VLOOKUP("LIL691100000",Balance!C:G,5,FALSE))</f>
        <v>0</v>
      </c>
      <c r="D138" s="162">
        <v>0</v>
      </c>
      <c r="E138" s="160">
        <f>IF(ISNA(VLOOKUP("LIL691100000",Balanceanp!C:G,5,FALSE))=TRUE,0,VLOOKUP("LIL691100000",Balanceanp!C:G,5,FALSE))</f>
        <v>0</v>
      </c>
      <c r="F138" s="368">
        <f>+C138+C138/9*(12-Clients!$I$14)</f>
        <v>0</v>
      </c>
      <c r="G138" s="117">
        <v>0</v>
      </c>
      <c r="H138" s="149">
        <f t="shared" si="14"/>
        <v>0</v>
      </c>
      <c r="I138" s="271">
        <f t="shared" si="15"/>
        <v>0</v>
      </c>
    </row>
    <row r="139" spans="1:11">
      <c r="A139" s="5" t="s">
        <v>172</v>
      </c>
      <c r="B139" s="92"/>
      <c r="C139" s="160">
        <f>IF(ISNA(VLOOKUP("LIL675100000",Balance!C:G,5,FALSE))=TRUE,0,VLOOKUP("LIL675100000",Balance!C:G,5,FALSE))</f>
        <v>0</v>
      </c>
      <c r="D139" s="162">
        <v>0</v>
      </c>
      <c r="E139" s="160">
        <f>IF(ISNA(VLOOKUP("LIL675100000",Balanceanp!C:G,5,FALSE))=TRUE,0,VLOOKUP("LIL675100000",Balanceanp!C:G,5,FALSE))</f>
        <v>-1289.81</v>
      </c>
      <c r="F139" s="368">
        <f>+C139+C139/9*(12-Clients!$I$14)</f>
        <v>0</v>
      </c>
      <c r="G139" s="117">
        <v>0</v>
      </c>
      <c r="H139" s="149">
        <f t="shared" si="14"/>
        <v>-1</v>
      </c>
      <c r="I139" s="271">
        <f t="shared" si="15"/>
        <v>0</v>
      </c>
    </row>
    <row r="140" spans="1:11">
      <c r="A140" s="5" t="s">
        <v>173</v>
      </c>
      <c r="B140" s="92"/>
      <c r="C140" s="160">
        <f>IF(ISNA(VLOOKUP("LIL675200000",Balance!C:G,5,FALSE))=TRUE,0,VLOOKUP("LIL675200000",Balance!C:G,5,FALSE))</f>
        <v>0</v>
      </c>
      <c r="D140" s="162">
        <v>0</v>
      </c>
      <c r="E140" s="160">
        <f>IF(ISNA(VLOOKUP("LIL675200000",Balanceanp!C:G,5,FALSE))=TRUE,0,VLOOKUP("LIL675200000",Balanceanp!C:G,5,FALSE))</f>
        <v>235.62</v>
      </c>
      <c r="F140" s="368">
        <f>+C140+C140/9*(12-Clients!$I$14)</f>
        <v>0</v>
      </c>
      <c r="G140" s="117">
        <v>0</v>
      </c>
      <c r="H140" s="149">
        <f t="shared" si="14"/>
        <v>-1</v>
      </c>
      <c r="I140" s="271">
        <f t="shared" si="15"/>
        <v>0</v>
      </c>
    </row>
    <row r="141" spans="1:11">
      <c r="A141" s="5" t="s">
        <v>73</v>
      </c>
      <c r="B141" s="92"/>
      <c r="C141" s="160">
        <f>IF(ISNA(VLOOKUP("LIL675600000",Balance!C:G,5,FALSE))=TRUE,0,VLOOKUP("LIL675600000",Balance!C:G,5,FALSE))</f>
        <v>0</v>
      </c>
      <c r="D141" s="162">
        <v>0</v>
      </c>
      <c r="E141" s="160">
        <f>IF(ISNA(VLOOKUP("LIL675600000",Balanceanp!C:G,5,FALSE))=TRUE,0,VLOOKUP("LIL675600000",Balanceanp!C:G,5,FALSE))</f>
        <v>1500</v>
      </c>
      <c r="F141" s="368">
        <f>+C141+C141/9*(12-Clients!$I$14)</f>
        <v>0</v>
      </c>
      <c r="G141" s="117">
        <v>0</v>
      </c>
      <c r="H141" s="149">
        <f t="shared" si="14"/>
        <v>-1</v>
      </c>
      <c r="I141" s="271">
        <f t="shared" si="15"/>
        <v>0</v>
      </c>
    </row>
    <row r="142" spans="1:11">
      <c r="A142" s="5" t="s">
        <v>174</v>
      </c>
      <c r="B142" s="92"/>
      <c r="C142" s="160">
        <f>IF(ISNA(VLOOKUP("LIL681110000",Balance!C:G,5,FALSE))=TRUE,0,VLOOKUP("LIL681110000",Balance!C:G,5,FALSE))</f>
        <v>0</v>
      </c>
      <c r="D142" s="162">
        <v>0</v>
      </c>
      <c r="E142" s="160">
        <f>IF(ISNA(VLOOKUP("LIL681110000",Balanceanp!C:G,5,FALSE))=TRUE,0,VLOOKUP("LIL681110000",Balanceanp!C:G,5,FALSE))</f>
        <v>11609.78</v>
      </c>
      <c r="F142" s="368">
        <f>+C142+C142/9*(12-Clients!$I$14)</f>
        <v>0</v>
      </c>
      <c r="G142" s="117">
        <v>0</v>
      </c>
      <c r="H142" s="149">
        <f t="shared" si="14"/>
        <v>-1</v>
      </c>
      <c r="I142" s="271">
        <f t="shared" si="15"/>
        <v>0</v>
      </c>
    </row>
    <row r="143" spans="1:11">
      <c r="A143" s="5" t="s">
        <v>175</v>
      </c>
      <c r="B143" s="92"/>
      <c r="C143" s="160">
        <f>IF(ISNA(VLOOKUP("LIL681120000",Balance!C:G,5,FALSE))=TRUE,0,VLOOKUP("LIL681120000",Balance!C:G,5,FALSE))</f>
        <v>13125.06</v>
      </c>
      <c r="D143" s="162">
        <v>17500</v>
      </c>
      <c r="E143" s="160">
        <f>IF(ISNA(VLOOKUP("LIL681120000",Balanceanp!C:G,5,FALSE))=TRUE,0,VLOOKUP("LIL681120000",Balanceanp!C:G,5,FALSE))</f>
        <v>13526.11</v>
      </c>
      <c r="F143" s="425">
        <v>16462.37</v>
      </c>
      <c r="G143" s="572">
        <f>8507.37+10000</f>
        <v>18507.370000000003</v>
      </c>
      <c r="H143" s="149">
        <f t="shared" si="14"/>
        <v>0.21708089021899113</v>
      </c>
      <c r="I143" s="271">
        <f t="shared" si="15"/>
        <v>0.12422269697498013</v>
      </c>
    </row>
    <row r="144" spans="1:11">
      <c r="A144" s="5" t="s">
        <v>78</v>
      </c>
      <c r="B144" s="92"/>
      <c r="C144" s="160">
        <f>IF(ISNA(VLOOKUP("LIL687250000",Balance!C:G,5,FALSE))=TRUE,0,VLOOKUP("LIL687250000",Balance!C:G,5,FALSE))</f>
        <v>0</v>
      </c>
      <c r="D144" s="162">
        <v>0</v>
      </c>
      <c r="E144" s="160">
        <f>IF(ISNA(VLOOKUP("LIL687250000",Balanceanp!C:G,5,FALSE))=TRUE,0,VLOOKUP("LIL687250000",Balanceanp!C:G,5,FALSE))</f>
        <v>7079.23</v>
      </c>
      <c r="F144" s="368">
        <f>+C144+C144/9*(12-Clients!$I$14)</f>
        <v>0</v>
      </c>
      <c r="G144" s="117">
        <v>0</v>
      </c>
      <c r="H144" s="149">
        <f t="shared" si="14"/>
        <v>-1</v>
      </c>
      <c r="I144" s="271">
        <f t="shared" si="15"/>
        <v>0</v>
      </c>
    </row>
    <row r="145" spans="1:11">
      <c r="A145" s="5" t="s">
        <v>243</v>
      </c>
      <c r="B145" s="92"/>
      <c r="C145" s="160">
        <f>IF(ISNA(VLOOKUP("LIL653000000",Balance!C:G,5,FALSE))=TRUE,0,VLOOKUP("LIL653000000",Balance!C:G,5,FALSE))</f>
        <v>0</v>
      </c>
      <c r="D145" s="162">
        <v>0</v>
      </c>
      <c r="E145" s="160">
        <f>IF(ISNA(VLOOKUP("LIL653000000",Balanceanp!C:G,5,FALSE))=TRUE,0,VLOOKUP("LIL653000000",Balanceanp!C:G,5,FALSE))</f>
        <v>0</v>
      </c>
      <c r="F145" s="368">
        <f>+C145+C145/9*(12-Clients!$I$14)</f>
        <v>0</v>
      </c>
      <c r="G145" s="117">
        <v>0</v>
      </c>
      <c r="H145" s="149">
        <f t="shared" si="14"/>
        <v>0</v>
      </c>
      <c r="I145" s="271">
        <f t="shared" si="15"/>
        <v>0</v>
      </c>
    </row>
    <row r="146" spans="1:11">
      <c r="A146" s="5" t="s">
        <v>265</v>
      </c>
      <c r="B146" s="92"/>
      <c r="C146" s="160">
        <f>IF(ISNA(VLOOKUP("LIL622710000",Balance!C:G,5,FALSE))=TRUE,0,VLOOKUP("LIL622710000",Balance!C:G,5,FALSE))</f>
        <v>1588.35</v>
      </c>
      <c r="D146" s="162">
        <v>0</v>
      </c>
      <c r="E146" s="160">
        <f>IF(ISNA(VLOOKUP("LIL622710000",Balanceanp!C:G,5,FALSE))=TRUE,0,VLOOKUP("LIL622710000",Balanceanp!C:G,5,FALSE))</f>
        <v>1287</v>
      </c>
      <c r="F146" s="368">
        <f>+C146+C146/9*(12-Clients!$I$14)</f>
        <v>2117.7999999999997</v>
      </c>
      <c r="G146" s="117">
        <v>0</v>
      </c>
      <c r="H146" s="149">
        <f t="shared" si="14"/>
        <v>0.64553224553224531</v>
      </c>
      <c r="I146" s="271">
        <f t="shared" si="15"/>
        <v>-1</v>
      </c>
    </row>
    <row r="147" spans="1:11">
      <c r="A147" s="5" t="s">
        <v>2</v>
      </c>
      <c r="B147" s="92"/>
      <c r="C147" s="160">
        <f>IF(ISNA(VLOOKUP("LIL681500000",Balance!C:G,5,FALSE))=TRUE,0,VLOOKUP("LIL681500000",Balance!C:G,5,FALSE))</f>
        <v>0</v>
      </c>
      <c r="D147" s="162">
        <v>0</v>
      </c>
      <c r="E147" s="160">
        <f>IF(ISNA(VLOOKUP("LIL681500000",Balanceanp!C:G,5,FALSE))=TRUE,0,VLOOKUP("LIL681500000",Balanceanp!C:G,5,FALSE))</f>
        <v>0</v>
      </c>
      <c r="F147" s="368">
        <f>+C147+C147/9*(12-Clients!$I$14)</f>
        <v>0</v>
      </c>
      <c r="G147" s="117">
        <v>0</v>
      </c>
      <c r="H147" s="149">
        <f t="shared" si="14"/>
        <v>0</v>
      </c>
      <c r="I147" s="271">
        <f t="shared" si="15"/>
        <v>0</v>
      </c>
    </row>
    <row r="148" spans="1:11">
      <c r="A148" s="5" t="s">
        <v>244</v>
      </c>
      <c r="B148" s="92"/>
      <c r="C148" s="160">
        <f>IF(ISNA(VLOOKUP("LIL695100000",Balance!C:G,5,FALSE))=TRUE,0,VLOOKUP("LIL695100000",Balance!C:G,5,FALSE))</f>
        <v>0</v>
      </c>
      <c r="D148" s="162">
        <v>0</v>
      </c>
      <c r="E148" s="160">
        <f>IF(ISNA(VLOOKUP("LIL695100000",Balanceanp!C:G,5,FALSE))=TRUE,0,VLOOKUP("LIL695100000",Balanceanp!C:G,5,FALSE))</f>
        <v>0</v>
      </c>
      <c r="F148" s="368">
        <f>+C148+C148/9*(12-Clients!$I$14)</f>
        <v>0</v>
      </c>
      <c r="G148" s="117">
        <v>0</v>
      </c>
      <c r="H148" s="149">
        <f t="shared" si="14"/>
        <v>0</v>
      </c>
      <c r="I148" s="271">
        <f t="shared" si="15"/>
        <v>0</v>
      </c>
    </row>
    <row r="149" spans="1:11">
      <c r="A149" s="5" t="s">
        <v>333</v>
      </c>
      <c r="B149" s="92"/>
      <c r="C149" s="160">
        <f>IF(ISNA(VLOOKUP("LIL678000000",Balance!C:G,5,FALSE))=TRUE,0,VLOOKUP("LIL678000000",Balance!C:G,5,FALSE))</f>
        <v>0</v>
      </c>
      <c r="D149" s="162">
        <v>0</v>
      </c>
      <c r="E149" s="160">
        <f>IF(ISNA(VLOOKUP("LIL678000000",Balanceanp!C:G,5,FALSE))=TRUE,0,VLOOKUP("LIL678000000",Balanceanp!C:G,5,FALSE))</f>
        <v>0</v>
      </c>
      <c r="F149" s="368">
        <f>+C149+C149/9*(12-Clients!$I$14)</f>
        <v>0</v>
      </c>
      <c r="G149" s="117">
        <v>0</v>
      </c>
      <c r="H149" s="149">
        <f t="shared" si="14"/>
        <v>0</v>
      </c>
      <c r="I149" s="271">
        <f t="shared" si="15"/>
        <v>0</v>
      </c>
    </row>
    <row r="150" spans="1:11">
      <c r="A150" s="5" t="s">
        <v>335</v>
      </c>
      <c r="B150" s="92"/>
      <c r="C150" s="160">
        <f>IF(ISNA(VLOOKUP("LIL691200000",Balance!C:G,5,FALSE))=TRUE,0,VLOOKUP("LIL691200000",Balance!C:G,5,FALSE))</f>
        <v>88268.42</v>
      </c>
      <c r="D150" s="162">
        <v>60000</v>
      </c>
      <c r="E150" s="160">
        <f>IF(ISNA(VLOOKUP("LIL691200000",Balanceanp!C:G,5,FALSE))=TRUE,0,VLOOKUP("LIL691200000",Balanceanp!C:G,5,FALSE))</f>
        <v>80000</v>
      </c>
      <c r="F150" s="368">
        <v>60000</v>
      </c>
      <c r="G150" s="117">
        <v>60000</v>
      </c>
      <c r="H150" s="149">
        <f t="shared" si="14"/>
        <v>-0.25</v>
      </c>
      <c r="I150" s="271">
        <f t="shared" si="15"/>
        <v>0</v>
      </c>
    </row>
    <row r="151" spans="1:11">
      <c r="A151" s="5"/>
      <c r="B151" s="92"/>
      <c r="C151" s="160"/>
      <c r="D151" s="162"/>
      <c r="E151" s="160"/>
      <c r="F151" s="113"/>
      <c r="G151" s="162"/>
      <c r="H151" s="143" t="str">
        <f>+IF((F151)=0,"",(C151-F151)/F151)</f>
        <v/>
      </c>
      <c r="I151" s="187" t="str">
        <f>+IF((E151)=0,"",(C151-E151)/E151)</f>
        <v/>
      </c>
    </row>
    <row r="152" spans="1:11" ht="15" customHeight="1">
      <c r="A152" s="13" t="s">
        <v>178</v>
      </c>
      <c r="B152" s="93"/>
      <c r="C152" s="163">
        <f>SUM(C132:C150)</f>
        <v>102981.83</v>
      </c>
      <c r="D152" s="168">
        <f>SUM(D132:D150)</f>
        <v>92500</v>
      </c>
      <c r="E152" s="163">
        <f>SUM(E132:E150)</f>
        <v>168621.95</v>
      </c>
      <c r="F152" s="204">
        <f>SUM(F132:F150)</f>
        <v>78580.17</v>
      </c>
      <c r="G152" s="168">
        <f>SUM(G133:G150)</f>
        <v>93507.37</v>
      </c>
      <c r="H152" s="272">
        <f>+IF((E152)=0,,(F152-E152)/E152)</f>
        <v>-0.53398611509355698</v>
      </c>
      <c r="I152" s="190">
        <f>+IF((F152)=0,,(G152-F152)/F152)</f>
        <v>0.189961411384068</v>
      </c>
    </row>
    <row r="153" spans="1:11">
      <c r="A153" s="5"/>
      <c r="B153" s="92"/>
      <c r="C153" s="160"/>
      <c r="D153" s="162"/>
      <c r="E153" s="160"/>
      <c r="F153" s="113"/>
      <c r="G153" s="162"/>
      <c r="H153" s="143" t="str">
        <f>+IF((F153)=0,"",(C153-F153)/F153)</f>
        <v/>
      </c>
      <c r="I153" s="187" t="str">
        <f>+IF((E153)=0,"",(C153-E153)/E153)</f>
        <v/>
      </c>
      <c r="K153" s="27"/>
    </row>
    <row r="154" spans="1:11">
      <c r="A154" s="5" t="s">
        <v>179</v>
      </c>
      <c r="B154" s="92"/>
      <c r="C154" s="160">
        <f>IF(ISNA(VLOOKUP("LIL740000000",Balance!C:G,5,FALSE))=TRUE,0,-VLOOKUP("LIL740000000",Balance!C:G,5,FALSE))</f>
        <v>1815</v>
      </c>
      <c r="D154" s="162"/>
      <c r="E154" s="160">
        <f>IF(ISNA(VLOOKUP("LIL740000000",Balanceanp!C:G,5,FALSE))=TRUE,0,-VLOOKUP("LIL740000000",Balanceanp!C:G,5,FALSE))</f>
        <v>3915</v>
      </c>
      <c r="F154" s="368">
        <f>+C154+C154/9*(12-Clients!$I$14)</f>
        <v>2420</v>
      </c>
      <c r="G154" s="162"/>
      <c r="H154" s="149">
        <f>+IF((E154)=0,,(F154-E154)/E154)</f>
        <v>-0.38186462324393361</v>
      </c>
      <c r="I154" s="271">
        <f>+IF((F154)=0,,(G154-F154)/F154)</f>
        <v>-1</v>
      </c>
    </row>
    <row r="155" spans="1:11">
      <c r="A155" s="5" t="s">
        <v>167</v>
      </c>
      <c r="B155" s="92"/>
      <c r="C155" s="160">
        <f>IF(ISNA(VLOOKUP("LIL751100000",Balance!C:G,5,FALSE))=TRUE,0,-VLOOKUP("LIL751100000",Balance!C:G,5,FALSE))</f>
        <v>0</v>
      </c>
      <c r="D155" s="162"/>
      <c r="E155" s="160">
        <f>IF(ISNA(VLOOKUP("LIL751100000",Balanceanp!C:G,5,FALSE))=TRUE,0,-VLOOKUP("LIL751100000",Balanceanp!C:G,5,FALSE))</f>
        <v>0</v>
      </c>
      <c r="F155" s="368">
        <f>+C155+C155/9*(12-Clients!$I$14)</f>
        <v>0</v>
      </c>
      <c r="G155" s="162"/>
      <c r="H155" s="149">
        <f t="shared" ref="H155:H166" si="16">+IF((E155)=0,,(F155-E155)/E155)</f>
        <v>0</v>
      </c>
      <c r="I155" s="271">
        <f t="shared" ref="I155:I166" si="17">+IF((F155)=0,,(G155-F155)/F155)</f>
        <v>0</v>
      </c>
    </row>
    <row r="156" spans="1:11">
      <c r="A156" s="5" t="s">
        <v>180</v>
      </c>
      <c r="B156" s="92"/>
      <c r="C156" s="160">
        <f>IF(ISNA(VLOOKUP("LIL758100000",Balance!C:G,5,FALSE))=TRUE,0,-VLOOKUP("LIL758100000",Balance!C:G,5,FALSE))</f>
        <v>1822.24</v>
      </c>
      <c r="D156" s="162"/>
      <c r="E156" s="160">
        <f>IF(ISNA(VLOOKUP("LIL758100000",Balanceanp!C:G,5,FALSE))=TRUE,0,-VLOOKUP("LIL758100000",Balanceanp!C:G,5,FALSE))</f>
        <v>1304.6099999999999</v>
      </c>
      <c r="F156" s="368">
        <f>+C156+C156/9*(12-Clients!$I$14)</f>
        <v>2429.6533333333332</v>
      </c>
      <c r="G156" s="162"/>
      <c r="H156" s="149">
        <f t="shared" si="16"/>
        <v>0.86235988788475737</v>
      </c>
      <c r="I156" s="271">
        <f t="shared" si="17"/>
        <v>-1</v>
      </c>
    </row>
    <row r="157" spans="1:11">
      <c r="A157" s="5" t="s">
        <v>76</v>
      </c>
      <c r="B157" s="92"/>
      <c r="C157" s="160"/>
      <c r="D157" s="162"/>
      <c r="E157" s="160"/>
      <c r="F157" s="368">
        <f>+C157+C157/9*(12-Clients!$I$14)</f>
        <v>0</v>
      </c>
      <c r="G157" s="162"/>
      <c r="H157" s="149">
        <f t="shared" si="16"/>
        <v>0</v>
      </c>
      <c r="I157" s="271">
        <f t="shared" si="17"/>
        <v>0</v>
      </c>
    </row>
    <row r="158" spans="1:11">
      <c r="A158" s="5" t="s">
        <v>183</v>
      </c>
      <c r="B158" s="92"/>
      <c r="C158" s="160">
        <f>IF(ISNA(VLOOKUP("LIL771400000",Balance!C:G,5,FALSE))=TRUE,0,-VLOOKUP("LIL771400000",Balance!C:G,5,FALSE))</f>
        <v>0</v>
      </c>
      <c r="D158" s="162"/>
      <c r="E158" s="160">
        <f>IF(ISNA(VLOOKUP("LIL771400000",Balanceanp!C:G,5,FALSE))=TRUE,0,-VLOOKUP("LIL771400000",Balanceanp!C:G,5,FALSE))</f>
        <v>0</v>
      </c>
      <c r="F158" s="368">
        <f>+C158+C158/9*(12-Clients!$I$14)</f>
        <v>0</v>
      </c>
      <c r="G158" s="162"/>
      <c r="H158" s="149">
        <f t="shared" si="16"/>
        <v>0</v>
      </c>
      <c r="I158" s="271">
        <f t="shared" si="17"/>
        <v>0</v>
      </c>
    </row>
    <row r="159" spans="1:11">
      <c r="A159" s="5" t="s">
        <v>184</v>
      </c>
      <c r="B159" s="92"/>
      <c r="C159" s="160">
        <f>IF(ISNA(VLOOKUP("LIL771800000",Balance!C:G,5,FALSE))=TRUE,0,-VLOOKUP("LIL771800000",Balance!C:G,5,FALSE))+IF(ISNA(VLOOKUP("LIL758000000",Balance!C:G,5,FALSE))=TRUE,0,-VLOOKUP("LIL758000000",Balance!C:G,5,FALSE))</f>
        <v>2.89</v>
      </c>
      <c r="D159" s="162"/>
      <c r="E159" s="160">
        <f>IF(ISNA(VLOOKUP("LIL771800000",Balanceanp!C:G,5,FALSE))=TRUE,0,-VLOOKUP("LIL771800000",Balanceanp!C:G,5,FALSE))+IF(ISNA(VLOOKUP("LIL758000000",Balanceanp!C:G,5,FALSE))=TRUE,0,-VLOOKUP("LIL758000000",Balanceanp!C:G,5,FALSE))++IF(ISNA(VLOOKUP("LIL781730000",Balanceanp!C:G,5,FALSE))=TRUE,0,-VLOOKUP("LIL781730000",Balanceanp!C:G,5,FALSE))</f>
        <v>4418.6299999999992</v>
      </c>
      <c r="F159" s="368">
        <f>+C159+C159/9*(12-Clients!$I$14)</f>
        <v>3.8533333333333335</v>
      </c>
      <c r="G159" s="162"/>
      <c r="H159" s="149">
        <f t="shared" si="16"/>
        <v>-0.99912793482746154</v>
      </c>
      <c r="I159" s="271">
        <f t="shared" si="17"/>
        <v>-1</v>
      </c>
    </row>
    <row r="160" spans="1:11">
      <c r="A160" s="5" t="s">
        <v>185</v>
      </c>
      <c r="B160" s="92"/>
      <c r="C160" s="160">
        <f>IF(ISNA(VLOOKUP("LIL772000000",Balance!C:G,5,FALSE))=TRUE,0,-VLOOKUP("LIL772000000",Balance!C:G,5,FALSE))</f>
        <v>0</v>
      </c>
      <c r="D160" s="162"/>
      <c r="E160" s="160">
        <f>IF(ISNA(VLOOKUP("LIL772000000",Balanceanp!C:G,5,FALSE))=TRUE,0,-VLOOKUP("LIL772000000",Balanceanp!C:G,5,FALSE))</f>
        <v>0</v>
      </c>
      <c r="F160" s="368">
        <f>+C160+C160/9*(12-Clients!$I$14)</f>
        <v>0</v>
      </c>
      <c r="G160" s="162"/>
      <c r="H160" s="149">
        <f t="shared" si="16"/>
        <v>0</v>
      </c>
      <c r="I160" s="271">
        <f t="shared" si="17"/>
        <v>0</v>
      </c>
    </row>
    <row r="161" spans="1:11">
      <c r="A161" s="5" t="s">
        <v>186</v>
      </c>
      <c r="B161" s="92"/>
      <c r="C161" s="160">
        <f>IF(ISNA(VLOOKUP("LIL775100000",Balance!C:G,5,FALSE))=TRUE,0,-VLOOKUP("LIL775100000",Balance!C:G,5,FALSE))</f>
        <v>0</v>
      </c>
      <c r="D161" s="162"/>
      <c r="E161" s="160">
        <f>IF(ISNA(VLOOKUP("LIL775100000",Balanceanp!C:G,5,FALSE))=TRUE,0,-VLOOKUP("LIL775100000",Balanceanp!C:G,5,FALSE))</f>
        <v>0</v>
      </c>
      <c r="F161" s="368">
        <f>+C161+C161/9*(12-Clients!$I$14)</f>
        <v>0</v>
      </c>
      <c r="G161" s="162"/>
      <c r="H161" s="149">
        <f t="shared" si="16"/>
        <v>0</v>
      </c>
      <c r="I161" s="271">
        <f t="shared" si="17"/>
        <v>0</v>
      </c>
    </row>
    <row r="162" spans="1:11">
      <c r="A162" s="5" t="s">
        <v>187</v>
      </c>
      <c r="B162" s="92"/>
      <c r="C162" s="160">
        <f>IF(ISNA(VLOOKUP("LIL775200000",Balance!C:G,5,FALSE))=TRUE,0,-VLOOKUP("LIL775200000",Balance!C:G,5,FALSE))</f>
        <v>0</v>
      </c>
      <c r="D162" s="162"/>
      <c r="E162" s="160">
        <f>IF(ISNA(VLOOKUP("LIL775200000",Balanceanp!C:G,5,FALSE))=TRUE,0,-VLOOKUP("LIL775200000",Balanceanp!C:G,5,FALSE))</f>
        <v>0</v>
      </c>
      <c r="F162" s="368">
        <f>+C162+C162/9*(12-Clients!$I$14)</f>
        <v>0</v>
      </c>
      <c r="G162" s="162"/>
      <c r="H162" s="149">
        <f t="shared" si="16"/>
        <v>0</v>
      </c>
      <c r="I162" s="271">
        <f t="shared" si="17"/>
        <v>0</v>
      </c>
    </row>
    <row r="163" spans="1:11">
      <c r="A163" s="5" t="s">
        <v>72</v>
      </c>
      <c r="B163" s="92"/>
      <c r="C163" s="160">
        <f>IF(ISNA(VLOOKUP("LIL775600000",Balance!C:G,5,FALSE))=TRUE,0,-VLOOKUP("LIL775600000",Balance!C:G,5,FALSE))</f>
        <v>0</v>
      </c>
      <c r="D163" s="162"/>
      <c r="E163" s="160">
        <f>IF(ISNA(VLOOKUP("LIL775600000",Balanceanp!C:G,5,FALSE))=TRUE,0,-VLOOKUP("LIL775600000",Balanceanp!C:G,5,FALSE))</f>
        <v>7984.2</v>
      </c>
      <c r="F163" s="368">
        <f>+C163+C163/9*(12-Clients!$I$14)</f>
        <v>0</v>
      </c>
      <c r="G163" s="162"/>
      <c r="H163" s="149">
        <f t="shared" si="16"/>
        <v>-1</v>
      </c>
      <c r="I163" s="271">
        <f t="shared" si="17"/>
        <v>0</v>
      </c>
    </row>
    <row r="164" spans="1:11">
      <c r="A164" s="5" t="s">
        <v>329</v>
      </c>
      <c r="B164" s="92"/>
      <c r="C164" s="160">
        <f>IF(ISNA(VLOOKUP("LIL791000000",Balance!C:G,5,FALSE))=TRUE,0,-VLOOKUP("LIL791000000",Balance!C:G,5,FALSE))+IF(ISNA(VLOOKUP("LIL791200000",Balance!C:G,5,FALSE))=TRUE,0,-VLOOKUP("LIL791200000",Balance!C:G,5,FALSE))+IF(ISNA(VLOOKUP("LIL791600000",Balance!C:G,5,FALSE))=TRUE,0,-VLOOKUP("LIL791600000",Balance!C:G,5,FALSE))+IF(ISNA(VLOOKUP("LIL791610000",Balance!C:G,5,FALSE))=TRUE,0,-VLOOKUP("LIL791610000",Balance!C:G,5,FALSE))</f>
        <v>39975.300000000003</v>
      </c>
      <c r="D164" s="162"/>
      <c r="E164" s="160">
        <f>IF(ISNA(VLOOKUP("LIL791000000",Balanceanp!C:G,5,FALSE))=TRUE,0,-VLOOKUP("LIL791000000",Balanceanp!C:G,5,FALSE))+IF(ISNA(VLOOKUP("LIL791600000",Balanceanp!C:G,5,FALSE))=TRUE,0,-VLOOKUP("LIL791600000",Balanceanp!C:G,5,FALSE))+IF(ISNA(VLOOKUP("LIL791200000",Balanceanp!C:G,5,FALSE))=TRUE,0,-VLOOKUP("LIL791200000",Balanceanp!C:G,5,FALSE))+IF(ISNA(VLOOKUP("LIL791610000",Balanceanp!C:G,5,FALSE))=TRUE,0,-VLOOKUP("LIL791610000",Balanceanp!C:G,5,FALSE))</f>
        <v>92432.010000000009</v>
      </c>
      <c r="F164" s="368">
        <f>+C164+C164/9*(12-Clients!$I$14)</f>
        <v>53300.400000000009</v>
      </c>
      <c r="G164" s="162"/>
      <c r="H164" s="149">
        <f t="shared" si="16"/>
        <v>-0.42335561024800822</v>
      </c>
      <c r="I164" s="271">
        <f t="shared" si="17"/>
        <v>-1</v>
      </c>
    </row>
    <row r="165" spans="1:11">
      <c r="A165" s="5" t="s">
        <v>9</v>
      </c>
      <c r="B165" s="92"/>
      <c r="C165" s="160">
        <f>IF(ISNA(VLOOKUP("LIL781500000",Balance!C:G,5,FALSE))=TRUE,0,-VLOOKUP("LIL781500000",Balance!C:G,5,FALSE))+IF(ISNA(VLOOKUP("LIL781610000",Balance!C:G,5,FALSE))=TRUE,0,-VLOOKUP("LIL781610000",Balance!C:G,5,FALSE))</f>
        <v>0</v>
      </c>
      <c r="D165" s="162"/>
      <c r="E165" s="160">
        <f>IF(ISNA(VLOOKUP("LIL781500000",Balanceanp!C:G,5,FALSE))=TRUE,0,-VLOOKUP("LIL781500000",Balanceanp!C:G,5,FALSE))++IF(ISNA(VLOOKUP("LIL781610000",Balanceanp!C:G,5,FALSE))=TRUE,0,-VLOOKUP("LIL781610000",Balanceanp!C:G,5,FALSE))</f>
        <v>14625.51</v>
      </c>
      <c r="F165" s="368">
        <f>+C165+C165/9*(12-Clients!$I$14)</f>
        <v>0</v>
      </c>
      <c r="G165" s="162"/>
      <c r="H165" s="149">
        <f t="shared" si="16"/>
        <v>-1</v>
      </c>
      <c r="I165" s="271">
        <f t="shared" si="17"/>
        <v>0</v>
      </c>
    </row>
    <row r="166" spans="1:11">
      <c r="A166" s="5" t="s">
        <v>79</v>
      </c>
      <c r="B166" s="92"/>
      <c r="C166" s="160">
        <f>IF(ISNA(VLOOKUP("LIL787250000",Balance!C:G,5,FALSE))=TRUE,0,-VLOOKUP("LIL787250000",Balance!C:G,5,FALSE))</f>
        <v>0</v>
      </c>
      <c r="D166" s="162"/>
      <c r="E166" s="160">
        <f>IF(ISNA(VLOOKUP("LIL787250000",Balanceanp!C:G,5,FALSE))=TRUE,0,-VLOOKUP("LIL787250000",Balanceanp!C:G,5,FALSE))</f>
        <v>11577.83</v>
      </c>
      <c r="F166" s="368">
        <f>+C166+C166/9*(12-Clients!$I$14)</f>
        <v>0</v>
      </c>
      <c r="G166" s="162"/>
      <c r="H166" s="149">
        <f t="shared" si="16"/>
        <v>-1</v>
      </c>
      <c r="I166" s="271">
        <f t="shared" si="17"/>
        <v>0</v>
      </c>
    </row>
    <row r="167" spans="1:11">
      <c r="A167" s="5"/>
      <c r="B167" s="92"/>
      <c r="C167" s="160"/>
      <c r="D167" s="162"/>
      <c r="E167" s="160"/>
      <c r="F167" s="113"/>
      <c r="G167" s="162"/>
      <c r="H167" s="143" t="str">
        <f>+IF((F167)=0,"",(C167-F167)/F167)</f>
        <v/>
      </c>
      <c r="I167" s="187" t="str">
        <f>+IF((E167)=0,"",(C167-E167)/E167)</f>
        <v/>
      </c>
      <c r="K167" s="33"/>
    </row>
    <row r="168" spans="1:11" ht="15" customHeight="1">
      <c r="A168" s="13" t="s">
        <v>188</v>
      </c>
      <c r="B168" s="93"/>
      <c r="C168" s="163">
        <f>SUM(C153:C167)</f>
        <v>43615.43</v>
      </c>
      <c r="D168" s="168">
        <f>SUM(D153:D167)</f>
        <v>0</v>
      </c>
      <c r="E168" s="163">
        <f>SUM(E153:E167)</f>
        <v>136257.79</v>
      </c>
      <c r="F168" s="204">
        <f>SUM(F153:F167)</f>
        <v>58153.906666666677</v>
      </c>
      <c r="G168" s="168">
        <f>SUM(G153:G167)</f>
        <v>0</v>
      </c>
      <c r="H168" s="272">
        <f>+IF((E168)=0,,(F168-E168)/E168)</f>
        <v>-0.57320673800252686</v>
      </c>
      <c r="I168" s="190">
        <f>+IF((F168)=0,,(G168-F168)/F168)</f>
        <v>-1</v>
      </c>
    </row>
    <row r="169" spans="1:11">
      <c r="A169" s="5"/>
      <c r="B169" s="92"/>
      <c r="C169" s="160"/>
      <c r="D169" s="162"/>
      <c r="E169" s="160"/>
      <c r="F169" s="113"/>
      <c r="G169" s="162"/>
      <c r="H169" s="149"/>
      <c r="I169" s="186"/>
    </row>
    <row r="170" spans="1:11" ht="15" customHeight="1">
      <c r="A170" s="14" t="s">
        <v>189</v>
      </c>
      <c r="B170" s="99"/>
      <c r="C170" s="175">
        <f>+C70+C81+C94+C120+C131+C152-C168</f>
        <v>1167165.6400000001</v>
      </c>
      <c r="D170" s="176">
        <f>+D70+D81+D94+D120+D131+D152-D168</f>
        <v>1503996.6716</v>
      </c>
      <c r="E170" s="175">
        <f>+E70+E81+E94+E120+E131+E152-E168</f>
        <v>1341977.8107999996</v>
      </c>
      <c r="F170" s="206">
        <f>+F70+F81+F94+F120+F131+F152-F168</f>
        <v>1607628.5566666664</v>
      </c>
      <c r="G170" s="176">
        <f>+G70+G81+G94+G120+G131+G152-G168</f>
        <v>1645018.125293124</v>
      </c>
      <c r="H170" s="281">
        <f>+IF((E170)=0,,(F170-E170)/E170)</f>
        <v>0.19795464852604613</v>
      </c>
      <c r="I170" s="192">
        <f>+IF((F170)=0,,(G170-F170)/F170)</f>
        <v>2.3257591731253458E-2</v>
      </c>
    </row>
    <row r="171" spans="1:11">
      <c r="A171" s="5"/>
      <c r="B171" s="92"/>
      <c r="C171" s="160"/>
      <c r="D171" s="162"/>
      <c r="E171" s="160"/>
      <c r="F171" s="113"/>
      <c r="G171" s="162"/>
      <c r="H171" s="149"/>
      <c r="I171" s="186"/>
    </row>
    <row r="172" spans="1:11" ht="15" customHeight="1">
      <c r="A172" s="14" t="s">
        <v>245</v>
      </c>
      <c r="B172" s="99"/>
      <c r="C172" s="175">
        <f>-C20+C32+C170</f>
        <v>991024.62000000011</v>
      </c>
      <c r="D172" s="176">
        <f>-D20+D32+D170</f>
        <v>1353903.6716</v>
      </c>
      <c r="E172" s="175">
        <f>-E20+E32+E170</f>
        <v>1214262.9107999997</v>
      </c>
      <c r="F172" s="206">
        <f>-F20+F32+F170</f>
        <v>1372773.8633333331</v>
      </c>
      <c r="G172" s="176">
        <f>-G20+G32+G170</f>
        <v>1494926.125293124</v>
      </c>
      <c r="H172" s="281">
        <f>+IF((E172)=0,,(F172-E172)/E172)</f>
        <v>0.130540882969818</v>
      </c>
      <c r="I172" s="192">
        <f>+IF((F172)=0,,(G172-F172)/F172)</f>
        <v>8.8982071426668974E-2</v>
      </c>
    </row>
    <row r="173" spans="1:11">
      <c r="A173" s="5"/>
      <c r="B173" s="92"/>
      <c r="C173" s="160"/>
      <c r="D173" s="162"/>
      <c r="E173" s="160"/>
      <c r="F173" s="113"/>
      <c r="G173" s="162"/>
      <c r="H173" s="149"/>
      <c r="I173" s="186"/>
    </row>
    <row r="174" spans="1:11">
      <c r="A174" s="5" t="s">
        <v>191</v>
      </c>
      <c r="B174" s="92"/>
      <c r="C174" s="160">
        <f>+C172*20%</f>
        <v>198204.92400000003</v>
      </c>
      <c r="D174" s="162">
        <v>272334.48521458812</v>
      </c>
      <c r="E174" s="160">
        <f>+E172*20%</f>
        <v>242852.58215999996</v>
      </c>
      <c r="F174" s="160">
        <f>+F172*20%</f>
        <v>274554.7726666666</v>
      </c>
      <c r="G174" s="162">
        <f>+G172*20%</f>
        <v>298985.22505862481</v>
      </c>
      <c r="H174" s="149">
        <f>+IF((E174)=0,,(F174-E174)/E174)</f>
        <v>0.13054088296981789</v>
      </c>
      <c r="I174" s="271">
        <f>+IF((F174)=0,,(G174-F174)/F174)</f>
        <v>8.8982071426669057E-2</v>
      </c>
    </row>
    <row r="175" spans="1:11">
      <c r="A175" s="5" t="s">
        <v>192</v>
      </c>
      <c r="B175" s="92"/>
      <c r="C175" s="160">
        <f>+C172-C174</f>
        <v>792819.69600000011</v>
      </c>
      <c r="D175" s="162">
        <v>1089337.9408583525</v>
      </c>
      <c r="E175" s="160">
        <f>+E172-E174</f>
        <v>971410.32863999973</v>
      </c>
      <c r="F175" s="162">
        <f>+F172-F174</f>
        <v>1098219.0906666664</v>
      </c>
      <c r="G175" s="162">
        <f>+G172-G174</f>
        <v>1195940.9002344992</v>
      </c>
      <c r="H175" s="149">
        <f>+IF((E175)=0,,(F175-E175)/E175)</f>
        <v>0.13054088296981803</v>
      </c>
      <c r="I175" s="271">
        <f>+IF((F175)=0,,(G175-F175)/F175)</f>
        <v>8.8982071426669057E-2</v>
      </c>
    </row>
    <row r="176" spans="1:11" ht="13.5" thickBot="1">
      <c r="A176" s="21"/>
      <c r="B176" s="97"/>
      <c r="C176" s="171"/>
      <c r="D176" s="172"/>
      <c r="E176" s="171"/>
      <c r="F176" s="205"/>
      <c r="G176" s="172"/>
      <c r="H176" s="236"/>
      <c r="I176" s="207"/>
    </row>
    <row r="177" spans="1:11" ht="13.5" thickTop="1">
      <c r="A177" s="5"/>
      <c r="B177" s="92"/>
      <c r="C177" s="160"/>
      <c r="D177" s="162"/>
      <c r="E177" s="160"/>
      <c r="F177" s="113"/>
      <c r="G177" s="162"/>
      <c r="H177" s="149"/>
      <c r="I177" s="186"/>
    </row>
    <row r="178" spans="1:11">
      <c r="A178" s="5" t="s">
        <v>10</v>
      </c>
      <c r="B178" s="92"/>
      <c r="C178" s="160">
        <f>IF(ISNA(VLOOKUP("LIL627510000",Balance!C:G,5,FALSE))=TRUE,0,VLOOKUP("LIL627510000",Balance!C:G,5,FALSE))</f>
        <v>9892.2900000000009</v>
      </c>
      <c r="D178" s="162">
        <v>25000</v>
      </c>
      <c r="E178" s="160">
        <f>IF(ISNA(VLOOKUP("LIL627510000",Balanceanp!C:G,5,FALSE))=TRUE,0,VLOOKUP("LIL627510000",Balanceanp!C:G,5,FALSE))</f>
        <v>18762.18</v>
      </c>
      <c r="F178" s="368">
        <f>+C178+C178/9*(12-Clients!$I$14)</f>
        <v>13189.720000000001</v>
      </c>
      <c r="G178" s="369">
        <v>25000</v>
      </c>
      <c r="H178" s="149">
        <f>+IF((E178)=0,,(F178-E178)/E178)</f>
        <v>-0.29700493226266877</v>
      </c>
      <c r="I178" s="271">
        <f>+IF((F178)=0,,(G178-F178)/F178)</f>
        <v>0.89541552057208174</v>
      </c>
    </row>
    <row r="179" spans="1:11">
      <c r="A179" s="5" t="s">
        <v>242</v>
      </c>
      <c r="B179" s="92"/>
      <c r="C179" s="160">
        <f>IF(ISNA(VLOOKUP("LIL627520000",Balance!C:G,5,FALSE))=TRUE,0,VLOOKUP("LIL627520000",Balance!C:G,5,FALSE))</f>
        <v>54</v>
      </c>
      <c r="D179" s="162">
        <v>0</v>
      </c>
      <c r="E179" s="160">
        <f>IF(ISNA(VLOOKUP("LIL627520000",Balanceanp!C:G,5,FALSE))=TRUE,0,VLOOKUP("LIL627520000",Balanceanp!C:G,5,FALSE))</f>
        <v>111.4</v>
      </c>
      <c r="F179" s="368">
        <f>+C179+C179/9*(12-Clients!$I$14)</f>
        <v>72</v>
      </c>
      <c r="G179" s="369">
        <v>0</v>
      </c>
      <c r="H179" s="149">
        <f t="shared" ref="H179:H198" si="18">+IF((E179)=0,,(F179-E179)/E179)</f>
        <v>-0.35368043087971279</v>
      </c>
      <c r="I179" s="271">
        <f t="shared" ref="I179:I198" si="19">+IF((F179)=0,,(G179-F179)/F179)</f>
        <v>-1</v>
      </c>
    </row>
    <row r="180" spans="1:11">
      <c r="A180" s="5" t="s">
        <v>246</v>
      </c>
      <c r="B180" s="92"/>
      <c r="C180" s="160">
        <f>IF(ISNA(VLOOKUP("LIL661160000",Balance!C:G,5,FALSE))=TRUE,0,VLOOKUP("LIL661160000",Balance!C:G,5,FALSE))</f>
        <v>20200.55</v>
      </c>
      <c r="D180" s="162">
        <v>60000</v>
      </c>
      <c r="E180" s="160">
        <f>IF(ISNA(VLOOKUP("LIL661160000",Balanceanp!C:G,5,FALSE))=TRUE,0,VLOOKUP("LIL661160000",Balanceanp!C:G,5,FALSE))</f>
        <v>35441.589999999997</v>
      </c>
      <c r="F180" s="368">
        <f>+C180+C180/9*(12-Clients!$I$14)</f>
        <v>26934.066666666666</v>
      </c>
      <c r="G180" s="369">
        <v>30000</v>
      </c>
      <c r="H180" s="149">
        <f t="shared" si="18"/>
        <v>-0.24004350068192007</v>
      </c>
      <c r="I180" s="271">
        <f t="shared" si="19"/>
        <v>0.11383105905532279</v>
      </c>
    </row>
    <row r="181" spans="1:11">
      <c r="A181" s="5" t="s">
        <v>64</v>
      </c>
      <c r="B181" s="92"/>
      <c r="C181" s="160">
        <f>IF(ISNA(VLOOKUP("LIL661611000",Balance!C:G,5,FALSE))=TRUE,0,VLOOKUP("LIL661611000",Balance!C:G,5,FALSE))</f>
        <v>0</v>
      </c>
      <c r="D181" s="162">
        <v>0</v>
      </c>
      <c r="E181" s="160">
        <f>IF(ISNA(VLOOKUP("LIL661611000",Balanceanp!C:G,5,FALSE))=TRUE,0,VLOOKUP("LIL661611000",Balanceanp!C:G,5,FALSE))</f>
        <v>0</v>
      </c>
      <c r="F181" s="368">
        <f>+C181+C181/9*(12-Clients!$I$14)</f>
        <v>0</v>
      </c>
      <c r="G181" s="369">
        <v>0</v>
      </c>
      <c r="H181" s="149">
        <f t="shared" si="18"/>
        <v>0</v>
      </c>
      <c r="I181" s="271">
        <f t="shared" si="19"/>
        <v>0</v>
      </c>
    </row>
    <row r="182" spans="1:11">
      <c r="A182" s="5" t="s">
        <v>247</v>
      </c>
      <c r="B182" s="92"/>
      <c r="C182" s="160">
        <f>IF(ISNA(VLOOKUP("LIL661170000",Balance!C:G,5,FALSE))=TRUE,0,VLOOKUP("LIL661170000",Balance!C:G,5,FALSE))</f>
        <v>0</v>
      </c>
      <c r="D182" s="162">
        <v>0</v>
      </c>
      <c r="E182" s="160">
        <f>IF(ISNA(VLOOKUP("LIL661170000",Balanceanp!C:G,5,FALSE))=TRUE,0,VLOOKUP("LIL661170000",Balanceanp!C:G,5,FALSE))</f>
        <v>0</v>
      </c>
      <c r="F182" s="368">
        <f>+C182+C182/9*(12-Clients!$I$14)</f>
        <v>0</v>
      </c>
      <c r="G182" s="369">
        <v>0</v>
      </c>
      <c r="H182" s="149">
        <f t="shared" si="18"/>
        <v>0</v>
      </c>
      <c r="I182" s="271">
        <f t="shared" si="19"/>
        <v>0</v>
      </c>
    </row>
    <row r="183" spans="1:11">
      <c r="A183" s="5" t="s">
        <v>248</v>
      </c>
      <c r="B183" s="92"/>
      <c r="C183" s="160">
        <f>IF(ISNA(VLOOKUP("LIL661500000",Balance!C:G,5,FALSE))=TRUE,0,VLOOKUP("LIL661500000",Balance!C:G,5,FALSE))</f>
        <v>0</v>
      </c>
      <c r="D183" s="162">
        <v>0</v>
      </c>
      <c r="E183" s="160">
        <f>IF(ISNA(VLOOKUP("LIL661500000",Balanceanp!C:G,5,FALSE))=TRUE,0,VLOOKUP("LIL661500000",Balanceanp!C:G,5,FALSE))</f>
        <v>1688.9</v>
      </c>
      <c r="F183" s="368">
        <f>+C183+C183/9*(12-Clients!$I$14)</f>
        <v>0</v>
      </c>
      <c r="G183" s="369">
        <v>0</v>
      </c>
      <c r="H183" s="149">
        <f t="shared" si="18"/>
        <v>-1</v>
      </c>
      <c r="I183" s="271">
        <f t="shared" si="19"/>
        <v>0</v>
      </c>
    </row>
    <row r="184" spans="1:11">
      <c r="A184" s="5" t="s">
        <v>249</v>
      </c>
      <c r="B184" s="92"/>
      <c r="C184" s="160">
        <f>IF(ISNA(VLOOKUP("LIL661510000",Balance!C:G,5,FALSE))=TRUE,0,VLOOKUP("LIL661510000",Balance!C:G,5,FALSE))</f>
        <v>3843.98</v>
      </c>
      <c r="D184" s="162">
        <v>15000</v>
      </c>
      <c r="E184" s="160">
        <f>IF(ISNA(VLOOKUP("LIL661510000",Balanceanp!C:G,5,FALSE))=TRUE,0,VLOOKUP("LIL661510000",Balanceanp!C:G,5,FALSE))</f>
        <v>8510.3799999999992</v>
      </c>
      <c r="F184" s="368">
        <f>+C184+C184/9*(12-Clients!$I$14)</f>
        <v>5125.3066666666664</v>
      </c>
      <c r="G184" s="369">
        <v>15000</v>
      </c>
      <c r="H184" s="149">
        <f t="shared" si="18"/>
        <v>-0.39775818862769147</v>
      </c>
      <c r="I184" s="271">
        <f t="shared" si="19"/>
        <v>1.9266541449227104</v>
      </c>
      <c r="K184" s="33"/>
    </row>
    <row r="185" spans="1:11">
      <c r="A185" s="5" t="s">
        <v>250</v>
      </c>
      <c r="B185" s="92"/>
      <c r="C185" s="160">
        <f>IF(ISNA(VLOOKUP("LIL661600000",Balance!C:G,5,FALSE))=TRUE,0,VLOOKUP("LIL661600000",Balance!C:G,5,FALSE))</f>
        <v>15444.2</v>
      </c>
      <c r="D185" s="162">
        <v>20000</v>
      </c>
      <c r="E185" s="160">
        <f>IF(ISNA(VLOOKUP("LIL661600000",Balanceanp!C:G,5,FALSE))=TRUE,0,VLOOKUP("LIL661600000",Balanceanp!C:G,5,FALSE))</f>
        <v>18699.060000000001</v>
      </c>
      <c r="F185" s="368">
        <f>+C185+C185/9*(12-Clients!$I$14)</f>
        <v>20592.26666666667</v>
      </c>
      <c r="G185" s="369">
        <v>20000</v>
      </c>
      <c r="H185" s="149">
        <f t="shared" si="18"/>
        <v>0.10124608759299497</v>
      </c>
      <c r="I185" s="271">
        <f t="shared" si="19"/>
        <v>-2.8761606298804889E-2</v>
      </c>
    </row>
    <row r="186" spans="1:11">
      <c r="A186" s="5" t="s">
        <v>61</v>
      </c>
      <c r="B186" s="92"/>
      <c r="C186" s="160">
        <f>IF(ISNA(VLOOKUP("LIL661620000",Balance!C:G,5,FALSE))=TRUE,0,VLOOKUP("LIL661620000",Balance!C:G,5,FALSE))</f>
        <v>4555.6400000000003</v>
      </c>
      <c r="D186" s="162">
        <v>50000</v>
      </c>
      <c r="E186" s="160">
        <f>IF(ISNA(VLOOKUP("LIL661620000",Balanceanp!C:G,5,FALSE))=TRUE,0,VLOOKUP("LIL661620000",Balanceanp!C:G,5,FALSE))</f>
        <v>12285.2</v>
      </c>
      <c r="F186" s="368">
        <f>+C186+C186/9*(12-Clients!$I$14)</f>
        <v>6074.1866666666674</v>
      </c>
      <c r="G186" s="369">
        <v>20000</v>
      </c>
      <c r="H186" s="149">
        <f t="shared" si="18"/>
        <v>-0.50556876024267683</v>
      </c>
      <c r="I186" s="271">
        <f t="shared" si="19"/>
        <v>2.2926218928624733</v>
      </c>
    </row>
    <row r="187" spans="1:11">
      <c r="A187" s="5" t="s">
        <v>327</v>
      </c>
      <c r="B187" s="92"/>
      <c r="C187" s="160">
        <f>IF(ISNA(VLOOKUP("LIL661880000",Balance!C:G,5,FALSE))=TRUE,0,VLOOKUP("LIL661880000",Balance!C:G,5,FALSE))</f>
        <v>629.46</v>
      </c>
      <c r="D187" s="162">
        <v>1000</v>
      </c>
      <c r="E187" s="160">
        <f>IF(ISNA(VLOOKUP("LIL661880000",Balanceanp!C:G,5,FALSE))=TRUE,0,VLOOKUP("LIL661880000",Balanceanp!C:G,5,FALSE))</f>
        <v>1047.8400000000001</v>
      </c>
      <c r="F187" s="368">
        <f>+C187+C187/9*(12-Clients!$I$14)</f>
        <v>839.28</v>
      </c>
      <c r="G187" s="369">
        <v>1000</v>
      </c>
      <c r="H187" s="149">
        <f t="shared" si="18"/>
        <v>-0.19903802107191951</v>
      </c>
      <c r="I187" s="271">
        <f t="shared" si="19"/>
        <v>0.19149747402535511</v>
      </c>
    </row>
    <row r="188" spans="1:11">
      <c r="A188" s="5" t="s">
        <v>240</v>
      </c>
      <c r="B188" s="92"/>
      <c r="C188" s="160">
        <f>-IF(ISNA(VLOOKUP("LIL761100000",Balance!C:G,5,FALSE))=TRUE,0,-VLOOKUP("LIL761100000",Balance!C:G,5,FALSE))</f>
        <v>0</v>
      </c>
      <c r="D188" s="162">
        <v>0</v>
      </c>
      <c r="E188" s="160">
        <f>-IF(ISNA(VLOOKUP("LIL761100000",Balanceanp!C:G,5,FALSE))=TRUE,0,-VLOOKUP("LIL761100000",Balanceanp!C:G,5,FALSE))</f>
        <v>-31800</v>
      </c>
      <c r="F188" s="368">
        <f>+C188+C188/9*(12-Clients!$I$14)</f>
        <v>0</v>
      </c>
      <c r="G188" s="372">
        <v>0</v>
      </c>
      <c r="H188" s="149">
        <f t="shared" si="18"/>
        <v>-1</v>
      </c>
      <c r="I188" s="271">
        <f t="shared" si="19"/>
        <v>0</v>
      </c>
    </row>
    <row r="189" spans="1:11">
      <c r="A189" s="5" t="s">
        <v>241</v>
      </c>
      <c r="B189" s="92"/>
      <c r="C189" s="160">
        <f>-IF(ISNA(VLOOKUP("LIL761700000",Balance!C:G,5,FALSE))=TRUE,0,-VLOOKUP("LIL761700000",Balance!C:G,5,FALSE))</f>
        <v>0</v>
      </c>
      <c r="D189" s="162">
        <v>0</v>
      </c>
      <c r="E189" s="160">
        <f>-IF(ISNA(VLOOKUP("LIL761700000",Balanceanp!C:G,5,FALSE))=TRUE,0,-VLOOKUP("LIL761700000",Balanceanp!C:G,5,FALSE))</f>
        <v>-410.47</v>
      </c>
      <c r="F189" s="368">
        <f>+C189+C189/9*(12-Clients!$I$14)</f>
        <v>0</v>
      </c>
      <c r="G189" s="372">
        <v>0</v>
      </c>
      <c r="H189" s="149">
        <f t="shared" si="18"/>
        <v>-1</v>
      </c>
      <c r="I189" s="271">
        <f t="shared" si="19"/>
        <v>0</v>
      </c>
    </row>
    <row r="190" spans="1:11">
      <c r="A190" s="5" t="s">
        <v>359</v>
      </c>
      <c r="B190" s="92"/>
      <c r="C190" s="160">
        <f>-IF(ISNA(VLOOKUP("LIL762100000",Balance!C:G,5,FALSE))=TRUE,0,-VLOOKUP("LIL762100000",Balance!C:G,5,FALSE))</f>
        <v>0</v>
      </c>
      <c r="D190" s="162">
        <v>0</v>
      </c>
      <c r="E190" s="160">
        <f>-IF(ISNA(VLOOKUP("LIL762100000",Balanceanp!C:G,5,FALSE))=TRUE,0,-VLOOKUP("LIL762100000",Balanceanp!C:G,5,FALSE))</f>
        <v>0</v>
      </c>
      <c r="F190" s="368">
        <f>+C190+C190/9*(12-Clients!$I$14)</f>
        <v>0</v>
      </c>
      <c r="G190" s="372">
        <v>0</v>
      </c>
      <c r="H190" s="149">
        <f t="shared" si="18"/>
        <v>0</v>
      </c>
      <c r="I190" s="271">
        <f t="shared" si="19"/>
        <v>0</v>
      </c>
    </row>
    <row r="191" spans="1:11">
      <c r="A191" s="5" t="s">
        <v>47</v>
      </c>
      <c r="B191" s="92"/>
      <c r="C191" s="160">
        <f>-IF(ISNA(VLOOKUP("LIL762400000",Balance!C:G,5,FALSE))=TRUE,0,-VLOOKUP("LIL762400000",Balance!C:G,5,FALSE))</f>
        <v>0</v>
      </c>
      <c r="D191" s="162">
        <v>0</v>
      </c>
      <c r="E191" s="160">
        <f>-IF(ISNA(VLOOKUP("LIL762400000",Balanceanp!C:G,5,FALSE))=TRUE,0,-VLOOKUP("LIL762400000",Balanceanp!C:G,5,FALSE))</f>
        <v>0</v>
      </c>
      <c r="F191" s="368">
        <f>+C191+C191/9*(12-Clients!$I$14)</f>
        <v>0</v>
      </c>
      <c r="G191" s="372">
        <v>0</v>
      </c>
      <c r="H191" s="149">
        <f t="shared" si="18"/>
        <v>0</v>
      </c>
      <c r="I191" s="271">
        <f t="shared" si="19"/>
        <v>0</v>
      </c>
    </row>
    <row r="192" spans="1:11">
      <c r="A192" s="5" t="s">
        <v>181</v>
      </c>
      <c r="B192" s="92"/>
      <c r="C192" s="160">
        <f>-IF(ISNA(VLOOKUP("LIL763800000",Balance!C:G,5,FALSE))=TRUE,0,-VLOOKUP("LIL763800000",Balance!C:G,5,FALSE))</f>
        <v>0</v>
      </c>
      <c r="D192" s="162">
        <v>0</v>
      </c>
      <c r="E192" s="160">
        <f>-IF(ISNA(VLOOKUP("LIL763800000",Balanceanp!C:G,5,FALSE))=TRUE,0,-VLOOKUP("LIL763800000",Balanceanp!C:G,5,FALSE))</f>
        <v>0</v>
      </c>
      <c r="F192" s="368">
        <f>+C192+C192/9*(12-Clients!$I$14)</f>
        <v>0</v>
      </c>
      <c r="G192" s="372">
        <v>0</v>
      </c>
      <c r="H192" s="149">
        <f t="shared" si="18"/>
        <v>0</v>
      </c>
      <c r="I192" s="271">
        <f t="shared" si="19"/>
        <v>0</v>
      </c>
    </row>
    <row r="193" spans="1:11">
      <c r="A193" s="5" t="s">
        <v>0</v>
      </c>
      <c r="B193" s="92"/>
      <c r="C193" s="160">
        <f>-IF(ISNA(VLOOKUP("LIL786620000",Balance!C:G,5,FALSE))=TRUE,0,-VLOOKUP("LIL786620000",Balance!C:G,5,FALSE))</f>
        <v>0</v>
      </c>
      <c r="D193" s="162">
        <v>0</v>
      </c>
      <c r="E193" s="160">
        <f>-IF(ISNA(VLOOKUP("LIL786620000",Balanceanp!C:G,5,FALSE))=TRUE,0,-VLOOKUP("LIL786620000",Balanceanp!C:G,5,FALSE))</f>
        <v>0</v>
      </c>
      <c r="F193" s="368">
        <f>+C193+C193/9*(12-Clients!$I$14)</f>
        <v>0</v>
      </c>
      <c r="G193" s="372">
        <v>0</v>
      </c>
      <c r="H193" s="149">
        <f t="shared" si="18"/>
        <v>0</v>
      </c>
      <c r="I193" s="271">
        <f t="shared" si="19"/>
        <v>0</v>
      </c>
    </row>
    <row r="194" spans="1:11">
      <c r="A194" s="5" t="s">
        <v>182</v>
      </c>
      <c r="B194" s="92"/>
      <c r="C194" s="160">
        <f>-IF(ISNA(VLOOKUP("LIL765000000",Balance!C:G,5,FALSE))=TRUE,0,-VLOOKUP("LIL765000000",Balance!C:G,5,FALSE))</f>
        <v>0</v>
      </c>
      <c r="D194" s="162">
        <v>0</v>
      </c>
      <c r="E194" s="160">
        <f>-IF(ISNA(VLOOKUP("LIL765000000",Balanceanp!C:G,5,FALSE))=TRUE,0,-VLOOKUP("LIL765000000",Balanceanp!C:G,5,FALSE))</f>
        <v>-830.83999999999992</v>
      </c>
      <c r="F194" s="368">
        <f>+C194+C194/9*(12-Clients!$I$14)</f>
        <v>0</v>
      </c>
      <c r="G194" s="372">
        <v>0</v>
      </c>
      <c r="H194" s="149">
        <f t="shared" si="18"/>
        <v>-1</v>
      </c>
      <c r="I194" s="271">
        <f t="shared" si="19"/>
        <v>0</v>
      </c>
    </row>
    <row r="195" spans="1:11">
      <c r="A195" s="5" t="s">
        <v>312</v>
      </c>
      <c r="B195" s="92"/>
      <c r="C195" s="160">
        <f>-IF(ISNA(VLOOKUP("LIL796000000",Balance!C:G,5,FALSE))=TRUE,0,-VLOOKUP("LIL796000000",Balance!C:G,5,FALSE))</f>
        <v>0</v>
      </c>
      <c r="D195" s="162">
        <v>0</v>
      </c>
      <c r="E195" s="160">
        <f>-IF(ISNA(VLOOKUP("LIL796000000",Balanceanp!C:G,5,FALSE))=TRUE,0,-VLOOKUP("LIL796000000",Balanceanp!C:G,5,FALSE))</f>
        <v>0</v>
      </c>
      <c r="F195" s="368">
        <f>+C195+C195/9*(12-Clients!$I$14)</f>
        <v>0</v>
      </c>
      <c r="G195" s="372">
        <v>0</v>
      </c>
      <c r="H195" s="149">
        <f t="shared" si="18"/>
        <v>0</v>
      </c>
      <c r="I195" s="271">
        <f t="shared" si="19"/>
        <v>0</v>
      </c>
    </row>
    <row r="196" spans="1:11">
      <c r="A196" s="5" t="s">
        <v>70</v>
      </c>
      <c r="B196" s="92"/>
      <c r="C196" s="160">
        <f>-IF(ISNA(VLOOKUP("LIL764000000",Balance!C:G,5,FALSE))=TRUE,0,-VLOOKUP("LIL764000000",Balance!C:G,5,FALSE))</f>
        <v>0</v>
      </c>
      <c r="D196" s="162">
        <v>0</v>
      </c>
      <c r="E196" s="160">
        <f>-IF(ISNA(VLOOKUP("LIL764000000",Balanceanp!C:G,5,FALSE))=TRUE,0,-VLOOKUP("LIL764000000",Balanceanp!C:G,5,FALSE))</f>
        <v>0</v>
      </c>
      <c r="F196" s="368">
        <f>+C196+C196/9*(12-Clients!$I$14)</f>
        <v>0</v>
      </c>
      <c r="G196" s="372">
        <v>0</v>
      </c>
      <c r="H196" s="149">
        <f t="shared" si="18"/>
        <v>0</v>
      </c>
      <c r="I196" s="271">
        <f t="shared" si="19"/>
        <v>0</v>
      </c>
    </row>
    <row r="197" spans="1:11">
      <c r="A197" s="5" t="s">
        <v>313</v>
      </c>
      <c r="B197" s="92"/>
      <c r="C197" s="160">
        <f>-IF(ISNA(VLOOKUP("LIL767000000",Balance!C:G,5,FALSE))=TRUE,0,-VLOOKUP("LIL767000000",Balance!C:G,5,FALSE))</f>
        <v>0</v>
      </c>
      <c r="D197" s="162">
        <v>0</v>
      </c>
      <c r="E197" s="160">
        <f>-IF(ISNA(VLOOKUP("LIL767000000",Balanceanp!C:G,5,FALSE))=TRUE,0,-VLOOKUP("LIL767000000",Balanceanp!C:G,5,FALSE))</f>
        <v>0</v>
      </c>
      <c r="F197" s="368">
        <f>+C197+C197/9*(12-Clients!$I$14)</f>
        <v>0</v>
      </c>
      <c r="G197" s="372">
        <v>0</v>
      </c>
      <c r="H197" s="149">
        <f t="shared" si="18"/>
        <v>0</v>
      </c>
      <c r="I197" s="271">
        <f t="shared" si="19"/>
        <v>0</v>
      </c>
    </row>
    <row r="198" spans="1:11">
      <c r="A198" s="5" t="s">
        <v>415</v>
      </c>
      <c r="B198" s="92"/>
      <c r="C198" s="160">
        <f>-IF(ISNA(VLOOKUP("LIL768000000",Balance!C:G,5,FALSE))=TRUE,0,-VLOOKUP("LIL768000000",Balance!C:G,5,FALSE))</f>
        <v>0</v>
      </c>
      <c r="D198" s="162">
        <v>0</v>
      </c>
      <c r="E198" s="160">
        <f>-IF(ISNA(VLOOKUP("LIL768000000",Balanceanp!C:G,5,FALSE))=TRUE,0,-VLOOKUP("LIL768000000",Balanceanp!C:G,5,FALSE))</f>
        <v>-210.83</v>
      </c>
      <c r="F198" s="368">
        <f>+C198+C198/9*(12-Clients!$I$14)</f>
        <v>0</v>
      </c>
      <c r="G198" s="372">
        <v>0</v>
      </c>
      <c r="H198" s="149">
        <f t="shared" si="18"/>
        <v>-1</v>
      </c>
      <c r="I198" s="271">
        <f t="shared" si="19"/>
        <v>0</v>
      </c>
    </row>
    <row r="199" spans="1:11">
      <c r="A199" s="5"/>
      <c r="B199" s="92"/>
      <c r="C199" s="160"/>
      <c r="D199" s="162"/>
      <c r="E199" s="160"/>
      <c r="F199" s="113"/>
      <c r="G199" s="162"/>
      <c r="H199" s="149"/>
      <c r="I199" s="186"/>
      <c r="J199" s="17"/>
    </row>
    <row r="200" spans="1:11" ht="15" customHeight="1">
      <c r="A200" s="14" t="s">
        <v>251</v>
      </c>
      <c r="B200" s="99"/>
      <c r="C200" s="175">
        <f>SUM(C177:C199)</f>
        <v>54620.12</v>
      </c>
      <c r="D200" s="176">
        <f>SUM(D177:D199)</f>
        <v>171000</v>
      </c>
      <c r="E200" s="175">
        <f>SUM(E177:E199)</f>
        <v>63294.409999999989</v>
      </c>
      <c r="F200" s="206">
        <f>SUM(F177:F199)</f>
        <v>72826.82666666666</v>
      </c>
      <c r="G200" s="176">
        <f>SUM(G177:G199)</f>
        <v>111000</v>
      </c>
      <c r="H200" s="281">
        <f>+IF((F200)=0,,(C200-F200)/F200)</f>
        <v>-0.24999999999999989</v>
      </c>
      <c r="I200" s="192">
        <f>+IF((E200)=0,,(C200-E200)/E200)</f>
        <v>-0.13704669970065267</v>
      </c>
      <c r="K200" s="33"/>
    </row>
    <row r="201" spans="1:11">
      <c r="A201" s="5"/>
      <c r="B201" s="23"/>
      <c r="C201" s="18">
        <f>+C203-C204+C172</f>
        <v>-54620.120000000112</v>
      </c>
      <c r="D201" s="249"/>
      <c r="E201" s="248"/>
      <c r="F201" s="113"/>
      <c r="G201" s="162"/>
      <c r="H201" s="253"/>
      <c r="I201" s="253"/>
    </row>
    <row r="202" spans="1:11">
      <c r="D202" s="113"/>
      <c r="E202" s="113"/>
      <c r="H202" s="149"/>
      <c r="I202" s="149"/>
      <c r="K202" s="33"/>
    </row>
    <row r="203" spans="1:11">
      <c r="A203" s="2" t="s">
        <v>215</v>
      </c>
      <c r="C203" s="17">
        <f>+C20-C123-C129+C168-C188-C189-C190-C191-C192-C193-C194-C195-C198</f>
        <v>284215.31</v>
      </c>
      <c r="E203" s="257">
        <v>0</v>
      </c>
      <c r="F203" s="17">
        <f>+F20-F123-F129+F168</f>
        <v>378953.7466666667</v>
      </c>
    </row>
    <row r="204" spans="1:11">
      <c r="A204" s="2" t="s">
        <v>216</v>
      </c>
      <c r="C204" s="17">
        <f>+C32+C70+C81+C94+C120+C122+C124+C125+C126+C127+C152+C200+C128-C188-C189-C190-C191-C192-C193-C194-C195-C198</f>
        <v>1329860.0500000003</v>
      </c>
      <c r="E204" s="257">
        <v>84910.17</v>
      </c>
      <c r="F204" s="17">
        <f>+F32+F70+F81+F94+F120+F122+F124+F125+F127+F152+F200</f>
        <v>1824548.8766666662</v>
      </c>
      <c r="K204" s="33"/>
    </row>
    <row r="206" spans="1:11">
      <c r="B206" s="24" t="s">
        <v>316</v>
      </c>
      <c r="C206" s="17">
        <f>+C204-C203</f>
        <v>1045644.7400000002</v>
      </c>
      <c r="F206" s="17">
        <f>+F204-F203</f>
        <v>1445595.1299999994</v>
      </c>
    </row>
    <row r="207" spans="1:11">
      <c r="B207" s="24" t="s">
        <v>321</v>
      </c>
      <c r="C207" s="17">
        <f>+C206-F206</f>
        <v>-399950.3899999992</v>
      </c>
    </row>
    <row r="208" spans="1:11">
      <c r="K208" s="33"/>
    </row>
    <row r="214" spans="11:11">
      <c r="K214" s="33"/>
    </row>
    <row r="216" spans="11:11">
      <c r="K216" s="33"/>
    </row>
    <row r="232" spans="11:11">
      <c r="K232" s="58"/>
    </row>
    <row r="234" spans="11:11">
      <c r="K234" s="33"/>
    </row>
    <row r="235" spans="11:11">
      <c r="K235" s="33"/>
    </row>
    <row r="236" spans="11:11">
      <c r="K236" s="25"/>
    </row>
    <row r="237" spans="11:11">
      <c r="K237" s="298"/>
    </row>
    <row r="238" spans="11:11">
      <c r="K238" s="298"/>
    </row>
    <row r="239" spans="11:11">
      <c r="K239" s="298"/>
    </row>
    <row r="240" spans="11:11">
      <c r="K240" s="298"/>
    </row>
    <row r="241" spans="11:12">
      <c r="K241" s="298"/>
    </row>
    <row r="242" spans="11:12">
      <c r="K242" s="298"/>
    </row>
    <row r="243" spans="11:12">
      <c r="K243" s="25"/>
    </row>
    <row r="244" spans="11:12">
      <c r="K244" s="58"/>
    </row>
    <row r="246" spans="11:12">
      <c r="K246" s="33"/>
    </row>
    <row r="248" spans="11:12">
      <c r="K248" s="33"/>
    </row>
    <row r="250" spans="11:12">
      <c r="K250" s="33"/>
    </row>
    <row r="252" spans="11:12">
      <c r="K252" s="298"/>
    </row>
    <row r="253" spans="11:12">
      <c r="K253" s="298"/>
      <c r="L253">
        <v>1</v>
      </c>
    </row>
    <row r="254" spans="11:12">
      <c r="K254" s="298"/>
      <c r="L254">
        <v>1</v>
      </c>
    </row>
    <row r="255" spans="11:12">
      <c r="L255">
        <v>1</v>
      </c>
    </row>
  </sheetData>
  <phoneticPr fontId="0" type="noConversion"/>
  <hyperlinks>
    <hyperlink ref="C1" location="Sommaire!A1" display="Retour au sommaire"/>
  </hyperlinks>
  <pageMargins left="0" right="0" top="0" bottom="0" header="0.51181102362204722" footer="0.51181102362204722"/>
  <pageSetup paperSize="9" scale="63" fitToHeight="2" orientation="portrait" horizontalDpi="4294967293" verticalDpi="36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</sheetPr>
  <dimension ref="A1:Q48"/>
  <sheetViews>
    <sheetView topLeftCell="A13" zoomScale="85" workbookViewId="0">
      <selection activeCell="L1" sqref="L1"/>
    </sheetView>
  </sheetViews>
  <sheetFormatPr baseColWidth="10" defaultRowHeight="12.75"/>
  <cols>
    <col min="4" max="4" width="12.85546875" customWidth="1"/>
    <col min="5" max="5" width="13.28515625" customWidth="1"/>
    <col min="10" max="10" width="11.7109375" bestFit="1" customWidth="1"/>
    <col min="16" max="16" width="11.7109375" bestFit="1" customWidth="1"/>
  </cols>
  <sheetData>
    <row r="1" spans="1:17">
      <c r="A1" t="s">
        <v>515</v>
      </c>
    </row>
    <row r="2" spans="1:17">
      <c r="A2" s="69" t="s">
        <v>31</v>
      </c>
      <c r="B2" s="70"/>
      <c r="C2" s="71"/>
      <c r="G2" s="353" t="s">
        <v>699</v>
      </c>
      <c r="M2" s="353" t="s">
        <v>700</v>
      </c>
    </row>
    <row r="3" spans="1:17">
      <c r="A3" s="72"/>
      <c r="G3" s="72"/>
    </row>
    <row r="4" spans="1:17">
      <c r="A4" s="73"/>
      <c r="B4" s="74" t="s">
        <v>32</v>
      </c>
      <c r="C4" s="75" t="s">
        <v>33</v>
      </c>
      <c r="D4" s="75" t="s">
        <v>34</v>
      </c>
      <c r="E4" s="75" t="s">
        <v>35</v>
      </c>
      <c r="G4" s="73"/>
      <c r="H4" s="74" t="s">
        <v>32</v>
      </c>
      <c r="I4" s="75" t="s">
        <v>33</v>
      </c>
      <c r="J4" s="75" t="s">
        <v>34</v>
      </c>
      <c r="K4" s="75" t="s">
        <v>35</v>
      </c>
      <c r="M4" s="73"/>
      <c r="N4" s="74" t="s">
        <v>32</v>
      </c>
      <c r="O4" s="75" t="s">
        <v>33</v>
      </c>
      <c r="P4" s="75" t="s">
        <v>34</v>
      </c>
      <c r="Q4" s="75" t="s">
        <v>35</v>
      </c>
    </row>
    <row r="5" spans="1:17">
      <c r="A5" s="76" t="s">
        <v>260</v>
      </c>
      <c r="B5" s="76"/>
      <c r="C5" s="77">
        <f>+[2]Repart!C5</f>
        <v>6535.0624193548392</v>
      </c>
      <c r="D5" s="77">
        <f>+[2]Repart!D5</f>
        <v>24517.25717768617</v>
      </c>
      <c r="E5" s="77">
        <f>+[2]Repart!E5</f>
        <v>1665.9372533450533</v>
      </c>
      <c r="G5" s="76" t="s">
        <v>260</v>
      </c>
      <c r="H5" s="76"/>
      <c r="I5" s="77">
        <f>+(I$46-$C46)/H$45+C5</f>
        <v>8997.9607634408567</v>
      </c>
      <c r="J5" s="77">
        <f>+(J$46-D$46)/(Conso!$G$21-Chalette!$C$8-[2]Conso!$F$21)*(Vannes!$F$21-[2]Vannes!$C$21)+D5</f>
        <v>32261.13373209483</v>
      </c>
      <c r="K5" s="77">
        <f>+(K$46-E$46)/(Conso!$G$21-Chalette!$C$8-[2]Conso!$F$21)*(Vannes!$F$21-[2]Vannes!$C$21)+E5</f>
        <v>2127.5966126993258</v>
      </c>
      <c r="M5" s="76" t="s">
        <v>260</v>
      </c>
      <c r="N5" s="76"/>
      <c r="O5" s="77">
        <f>+O$46/N$45</f>
        <v>9644.6846793104778</v>
      </c>
      <c r="P5" s="77">
        <f>+P$46/(Conso!$I$21)*Vannes!$G$21</f>
        <v>36602.465226814231</v>
      </c>
      <c r="Q5" s="77">
        <f>+Q$46/(Conso!$I$21)*Vannes!$G$21</f>
        <v>3397.2194105743301</v>
      </c>
    </row>
    <row r="6" spans="1:17">
      <c r="A6" s="76" t="s">
        <v>261</v>
      </c>
      <c r="B6" s="76"/>
      <c r="C6" s="77">
        <f>+[2]Repart!C6</f>
        <v>6535.0624193548392</v>
      </c>
      <c r="D6" s="77">
        <f>+[2]Repart!D6</f>
        <v>13482.350974416393</v>
      </c>
      <c r="E6" s="77">
        <f>+[2]Repart!E6</f>
        <v>923.57881558878978</v>
      </c>
      <c r="G6" s="76" t="s">
        <v>261</v>
      </c>
      <c r="H6" s="76"/>
      <c r="I6" s="77">
        <f>+(I$46-$C$46)/H$45+C6</f>
        <v>8997.9607634408567</v>
      </c>
      <c r="J6" s="77">
        <f>+(J$46-D$46)/(Conso!$G$21-Chalette!$C$8-[2]Conso!$F$21)*(Rennes!$F$21-[2]Rennes!$C$21)+D6</f>
        <v>18790.272680534043</v>
      </c>
      <c r="K6" s="77">
        <f>+(K$46-E$46)/(Conso!$G$21-[2]Conso!$F$21)*(Rennes!$F$21-[2]Rennes!$C$21)+E6</f>
        <v>1230.3466915453473</v>
      </c>
      <c r="M6" s="76" t="s">
        <v>261</v>
      </c>
      <c r="N6" s="76"/>
      <c r="O6" s="77">
        <f>+O$46/N$45</f>
        <v>9644.6846793104778</v>
      </c>
      <c r="P6" s="77">
        <f>+P$46/(Conso!$I$21)*Rennes!$G$21</f>
        <v>20966.381474211918</v>
      </c>
      <c r="Q6" s="77">
        <f>+Q$46/(Conso!$I$21)*Rennes!$G$21</f>
        <v>1945.9727008092068</v>
      </c>
    </row>
    <row r="7" spans="1:17">
      <c r="A7" s="78" t="s">
        <v>217</v>
      </c>
      <c r="B7" s="78">
        <v>2</v>
      </c>
      <c r="C7" s="79">
        <f>SUM(C5:C6)</f>
        <v>13070.124838709678</v>
      </c>
      <c r="D7" s="79">
        <f>SUM(D5:D6)</f>
        <v>37999.608152102563</v>
      </c>
      <c r="E7" s="79">
        <f>SUM(E5:E6)</f>
        <v>2589.5160689338431</v>
      </c>
      <c r="G7" s="78" t="s">
        <v>217</v>
      </c>
      <c r="H7" s="78">
        <v>2</v>
      </c>
      <c r="I7" s="79">
        <f>SUM(I5:I6)</f>
        <v>17995.921526881713</v>
      </c>
      <c r="J7" s="79">
        <f>SUM(J5:J6)</f>
        <v>51051.406412628872</v>
      </c>
      <c r="K7" s="79">
        <f>SUM(K5:K6)</f>
        <v>3357.9433042446731</v>
      </c>
      <c r="M7" s="78" t="s">
        <v>217</v>
      </c>
      <c r="N7" s="78">
        <v>2</v>
      </c>
      <c r="O7" s="79">
        <f>SUM(O5:O6)</f>
        <v>19289.369358620956</v>
      </c>
      <c r="P7" s="79">
        <f>SUM(P5:P6)</f>
        <v>57568.846701026152</v>
      </c>
      <c r="Q7" s="79">
        <f>SUM(Q5:Q6)</f>
        <v>5343.1921113835369</v>
      </c>
    </row>
    <row r="8" spans="1:17">
      <c r="A8" s="80"/>
      <c r="B8" s="80"/>
      <c r="C8" s="81"/>
      <c r="D8" s="81">
        <f>+[2]Repart!D8</f>
        <v>38561.919623228525</v>
      </c>
      <c r="E8" s="81">
        <f>+[2]Repart!E8</f>
        <v>2656.6654283158682</v>
      </c>
      <c r="G8" s="80"/>
      <c r="H8" s="80"/>
      <c r="I8" s="81"/>
      <c r="J8" s="81">
        <f>+(J$46-D$46)/(Conso!$G$21-Chalette!$C$8-[2]Conso!$F$21)*(Bretagne!$E$21-[2]Bretagne!$D$21)+D8</f>
        <v>51613.717883754842</v>
      </c>
      <c r="K8" s="81">
        <f>+(K$46-E$46)/(Conso!$G$21-Chalette!$C$8-[2]Conso!$F$21)*(Bretagne!$E$21-[2]Bretagne!$D$21)+E8</f>
        <v>3434.7621323426674</v>
      </c>
      <c r="M8" s="80"/>
      <c r="N8" s="80"/>
      <c r="O8" s="81"/>
      <c r="P8" s="81">
        <f>+P$46/(Conso!$I$21)*(Conso!$B$21)</f>
        <v>57568.846701026145</v>
      </c>
      <c r="Q8" s="81">
        <f>+Q$46/(Conso!$I$21)*(Bretagne!$F$21)</f>
        <v>5343.1921113835369</v>
      </c>
    </row>
    <row r="9" spans="1:17">
      <c r="A9" s="76" t="s">
        <v>36</v>
      </c>
      <c r="B9" s="76"/>
      <c r="C9" s="77">
        <f>+[2]Repart!C9</f>
        <v>6535.0624193548392</v>
      </c>
      <c r="D9" s="77">
        <f>+[2]Repart!D9</f>
        <v>32502.895588045074</v>
      </c>
      <c r="E9" s="77">
        <f>+[2]Repart!E9</f>
        <v>2210.7356291053725</v>
      </c>
      <c r="G9" s="76" t="s">
        <v>36</v>
      </c>
      <c r="H9" s="76"/>
      <c r="I9" s="77">
        <f>+(I$46-$C$46)/H$45+C9</f>
        <v>8997.9607634408567</v>
      </c>
      <c r="J9" s="77">
        <f>+(J$46-D$46)/(Conso!$G$21-Chalette!$C$8-[2]Conso!$F$21)*(Orléans!$F$21-[2]Orléans!$C$21)+D9</f>
        <v>44833.811266307035</v>
      </c>
      <c r="K9" s="77">
        <f>+(K$46-E$46)/(Conso!$G$21-Chalette!$C$8-[2]Conso!$F$21)*(Orléans!$F$21-[2]Orléans!$C$21)+E9</f>
        <v>2945.8561585044467</v>
      </c>
      <c r="M9" s="76" t="s">
        <v>36</v>
      </c>
      <c r="N9" s="76"/>
      <c r="O9" s="77">
        <f t="shared" ref="O9:O18" si="0">+O$46/N$45</f>
        <v>9644.6846793104778</v>
      </c>
      <c r="P9" s="77">
        <f>+P$46/(Conso!$I$21)*Orléans!$G$21</f>
        <v>44862.999301121999</v>
      </c>
      <c r="Q9" s="77">
        <f>+Q$46/(Conso!$I$21)*Orléans!$G$21</f>
        <v>4163.9122145986539</v>
      </c>
    </row>
    <row r="10" spans="1:17">
      <c r="A10" s="76" t="s">
        <v>258</v>
      </c>
      <c r="B10" s="76"/>
      <c r="C10" s="77">
        <f>+[2]Repart!C10</f>
        <v>6535.0624193548392</v>
      </c>
      <c r="D10" s="77">
        <f>+[2]Repart!D10</f>
        <v>36229.747700913809</v>
      </c>
      <c r="E10" s="77">
        <f>+[2]Repart!E10</f>
        <v>2469.4147394256784</v>
      </c>
      <c r="G10" s="76" t="s">
        <v>258</v>
      </c>
      <c r="H10" s="76"/>
      <c r="I10" s="77">
        <f t="shared" ref="I10:I18" si="1">+(I$46-$C$46)/H$45+C10</f>
        <v>8997.9607634408567</v>
      </c>
      <c r="J10" s="77">
        <f>+(J$46-D$46)/(Conso!$G$21-Chalette!$C$8-[2]Conso!$F$21)*(Angers!$F$21-[2]Angers!$C$21)+D10</f>
        <v>51621.303799607304</v>
      </c>
      <c r="K10" s="77">
        <f>+(K$46-E$46)/(Conso!$G$21-Chalette!$C$8-[2]Conso!$F$21)*(Angers!$F$21-[2]Angers!$C$21)+E10</f>
        <v>3386.9985720273057</v>
      </c>
      <c r="M10" s="76" t="s">
        <v>258</v>
      </c>
      <c r="N10" s="76"/>
      <c r="O10" s="77">
        <f t="shared" si="0"/>
        <v>9644.6846793104778</v>
      </c>
      <c r="P10" s="77">
        <f>+P$46/(Conso!$I$21)*Angers!$G$21</f>
        <v>51747.525379047911</v>
      </c>
      <c r="Q10" s="77">
        <f>+Q$46/(Conso!$I$21)*Angers!$G$21</f>
        <v>4802.892280001498</v>
      </c>
    </row>
    <row r="11" spans="1:17">
      <c r="A11" s="76" t="s">
        <v>263</v>
      </c>
      <c r="B11" s="76"/>
      <c r="C11" s="77">
        <f>+[2]Repart!C11</f>
        <v>6535.0624193548392</v>
      </c>
      <c r="D11" s="77">
        <f>+[2]Repart!D11</f>
        <v>26530.129054093795</v>
      </c>
      <c r="E11" s="77">
        <f>+[2]Repart!E11</f>
        <v>1813.8211350975703</v>
      </c>
      <c r="G11" s="76" t="s">
        <v>263</v>
      </c>
      <c r="H11" s="76"/>
      <c r="I11" s="77">
        <f t="shared" si="1"/>
        <v>8997.9607634408567</v>
      </c>
      <c r="J11" s="77">
        <f>+(J$46-D$46)/(Conso!$G$21-Chalette!$C$8-[2]Conso!$F$21)*(Thouars!$F$21-[2]Thouars!$C$21)+D11</f>
        <v>36650.17500883196</v>
      </c>
      <c r="K11" s="77">
        <f>+(K$46-E$46)/(Conso!$G$21-Chalette!$C$8-[2]Conso!$F$21)*(Thouars!$F$21-[2]Thouars!$C$21)+E11</f>
        <v>2417.138336666389</v>
      </c>
      <c r="M11" s="76" t="s">
        <v>263</v>
      </c>
      <c r="N11" s="76"/>
      <c r="O11" s="77">
        <f t="shared" si="0"/>
        <v>9644.6846793104778</v>
      </c>
      <c r="P11" s="77">
        <f>+P$46/(Conso!$I$21)*Thouars!$G$21</f>
        <v>36353.690811345077</v>
      </c>
      <c r="Q11" s="77">
        <f>+Q$46/(Conso!$I$21)*Thouars!$G$21</f>
        <v>3374.1296741904825</v>
      </c>
    </row>
    <row r="12" spans="1:17">
      <c r="A12" s="76" t="s">
        <v>264</v>
      </c>
      <c r="B12" s="76"/>
      <c r="C12" s="77">
        <f>+[2]Repart!C12</f>
        <v>6535.0624193548392</v>
      </c>
      <c r="D12" s="77">
        <f>+[2]Repart!D12</f>
        <v>13911.022786637252</v>
      </c>
      <c r="E12" s="77">
        <f>+[2]Repart!E12</f>
        <v>924.04993772933267</v>
      </c>
      <c r="G12" s="76" t="s">
        <v>264</v>
      </c>
      <c r="H12" s="76"/>
      <c r="I12" s="77">
        <f t="shared" si="1"/>
        <v>8997.9607634408567</v>
      </c>
      <c r="J12" s="77">
        <f>+(J$46-D$46)/(Conso!$G$21-Chalette!$C$8-[2]Conso!$F$21)*(Château!$F$21-[2]Château!$C$21)+D12</f>
        <v>18328.580038593864</v>
      </c>
      <c r="K12" s="77">
        <f>+(K$46-E$46)/(Conso!$G$21-Chalette!$C$8-[2]Conso!$F$21)*(Château!$F$21-[2]Château!$C$21)+E12</f>
        <v>1187.4072674233419</v>
      </c>
      <c r="M12" s="76" t="s">
        <v>264</v>
      </c>
      <c r="N12" s="76"/>
      <c r="O12" s="77">
        <f t="shared" si="0"/>
        <v>9644.6846793104778</v>
      </c>
      <c r="P12" s="77">
        <f>+P$46/(Conso!$I$21)*Château!$G$21</f>
        <v>20207.823420486297</v>
      </c>
      <c r="Q12" s="77">
        <f>+Q$46/(Conso!$I$21)*Château!$G$21</f>
        <v>1875.5679308519004</v>
      </c>
    </row>
    <row r="13" spans="1:17">
      <c r="A13" s="76" t="s">
        <v>37</v>
      </c>
      <c r="B13" s="76"/>
      <c r="C13" s="77">
        <f>+[2]Repart!C13</f>
        <v>6535.0624193548392</v>
      </c>
      <c r="D13" s="77">
        <f>+[2]Repart!D13</f>
        <v>26528.407736303139</v>
      </c>
      <c r="E13" s="77">
        <f>+[2]Repart!E13</f>
        <v>1858.4659530398571</v>
      </c>
      <c r="G13" s="76" t="s">
        <v>37</v>
      </c>
      <c r="H13" s="76"/>
      <c r="I13" s="77">
        <f t="shared" si="1"/>
        <v>8997.9607634408567</v>
      </c>
      <c r="J13" s="77">
        <f>+(J$46-D$46)/(Conso!$G$21-Chalette!$C$8-[2]Conso!$F$21)*(Chartres!$F$21-[2]Chartres!$C$21)+D13</f>
        <v>40147.470719948615</v>
      </c>
      <c r="K13" s="77">
        <f>+(K$46-E$46)/(Conso!$G$21-Chalette!$C$8-[2]Conso!$F$21)*(Chartres!$F$21-[2]Chartres!$C$21)+E13</f>
        <v>2670.3807411773046</v>
      </c>
      <c r="M13" s="76" t="s">
        <v>37</v>
      </c>
      <c r="N13" s="76"/>
      <c r="O13" s="77">
        <f t="shared" si="0"/>
        <v>9644.6846793104778</v>
      </c>
      <c r="P13" s="77">
        <f>+P$46/(Conso!$I$21)*Chartres!$G$21</f>
        <v>47738.179020888463</v>
      </c>
      <c r="Q13" s="77">
        <f>+Q$46/(Conso!$I$21)*Chartres!$G$21</f>
        <v>4430.7690039529607</v>
      </c>
    </row>
    <row r="14" spans="1:17">
      <c r="A14" s="76" t="s">
        <v>281</v>
      </c>
      <c r="B14" s="76"/>
      <c r="C14" s="77">
        <f>+[2]Repart!C14</f>
        <v>6535.0624193548392</v>
      </c>
      <c r="D14" s="77">
        <f>+[2]Repart!D14</f>
        <v>42185.339662793966</v>
      </c>
      <c r="E14" s="77">
        <f>+[2]Repart!E14</f>
        <v>2897.2359798867355</v>
      </c>
      <c r="G14" s="76" t="s">
        <v>281</v>
      </c>
      <c r="H14" s="76"/>
      <c r="I14" s="77">
        <f t="shared" si="1"/>
        <v>8997.9607634408567</v>
      </c>
      <c r="J14" s="77">
        <f>+(J$46-D$46)/(Conso!$G$21-Chalette!$C$8-[2]Conso!$F$21)*(Bosc!$F$21-[2]Bosc!$C$21)+D14</f>
        <v>57529.8847389726</v>
      </c>
      <c r="K14" s="77">
        <f>+(K$46-E$46)/(Conso!$G$21-Chalette!$C$8-[2]Conso!$F$21)*(Bosc!$F$21-[2]Bosc!$C$21)+E14</f>
        <v>3812.0172008526647</v>
      </c>
      <c r="M14" s="76" t="s">
        <v>281</v>
      </c>
      <c r="N14" s="76"/>
      <c r="O14" s="77">
        <f t="shared" si="0"/>
        <v>9644.6846793104778</v>
      </c>
      <c r="P14" s="77">
        <f>+P$46/(Conso!$I$21)*Bosc!$G$21</f>
        <v>61280.071587533217</v>
      </c>
      <c r="Q14" s="77">
        <f>+Q$46/(Conso!$I$21)*Bosc!$G$21</f>
        <v>5687.6455557983163</v>
      </c>
    </row>
    <row r="15" spans="1:17">
      <c r="A15" s="76" t="s">
        <v>80</v>
      </c>
      <c r="B15" s="76"/>
      <c r="C15" s="77">
        <f>+[2]Repart!C15</f>
        <v>6535.0624193548392</v>
      </c>
      <c r="D15" s="77">
        <f>+[2]Repart!D15</f>
        <v>20836.360480643394</v>
      </c>
      <c r="E15" s="77">
        <f>+[2]Repart!E15</f>
        <v>1421.2355305835511</v>
      </c>
      <c r="G15" s="76" t="s">
        <v>80</v>
      </c>
      <c r="H15" s="76"/>
      <c r="I15" s="77">
        <f t="shared" si="1"/>
        <v>8997.9607634408567</v>
      </c>
      <c r="J15" s="77">
        <f>+(J$46-D$46)/(Conso!$G$21-Chalette!$C$8-[2]Conso!$F$21)*(Cham!$F$21-[2]Cham!$C$21)+D15</f>
        <v>29164.142943539868</v>
      </c>
      <c r="K15" s="77">
        <f>+(K$46-E$46)/(Conso!$G$21-Chalette!$C$8-[2]Conso!$F$21)*(Cham!$F$21-[2]Cham!$C$21)+E15</f>
        <v>1917.7050558465496</v>
      </c>
      <c r="M15" s="76" t="s">
        <v>80</v>
      </c>
      <c r="N15" s="76"/>
      <c r="O15" s="77">
        <f t="shared" si="0"/>
        <v>9644.6846793104778</v>
      </c>
      <c r="P15" s="77">
        <f>+P$46/(Conso!$I$21)*Cham!$G$21</f>
        <v>33238.708868142763</v>
      </c>
      <c r="Q15" s="77">
        <f>+Q$46/(Conso!$I$21)*Cham!$G$21</f>
        <v>3085.0158930432208</v>
      </c>
    </row>
    <row r="16" spans="1:17">
      <c r="A16" s="76" t="s">
        <v>374</v>
      </c>
      <c r="B16" s="76"/>
      <c r="C16" s="77">
        <f>+[2]Repart!C16</f>
        <v>6535.0624193548392</v>
      </c>
      <c r="D16" s="77">
        <f>+[2]Repart!D16</f>
        <v>23193.689241694614</v>
      </c>
      <c r="E16" s="77">
        <f>+[2]Repart!E16</f>
        <v>1592.2422055254967</v>
      </c>
      <c r="G16" s="76" t="s">
        <v>374</v>
      </c>
      <c r="H16" s="76"/>
      <c r="I16" s="77">
        <f t="shared" si="1"/>
        <v>8997.9607634408567</v>
      </c>
      <c r="J16" s="77">
        <f>+(J$46-D$46)/(Conso!$G$21-Chalette!$C$8-[2]Conso!$F$21)*(Mans!$F$21-[2]Mans!$C$21)+D16</f>
        <v>33647.659432415981</v>
      </c>
      <c r="K16" s="77">
        <f>+(K$46-E$46)/(Conso!$G$21-Chalette!$C$8-[2]Conso!$F$21)*(Mans!$F$21-[2]Mans!$C$21)+E16</f>
        <v>2215.4666522284215</v>
      </c>
      <c r="M16" s="76" t="s">
        <v>374</v>
      </c>
      <c r="N16" s="76"/>
      <c r="O16" s="77">
        <f t="shared" si="0"/>
        <v>9644.6846793104778</v>
      </c>
      <c r="P16" s="77">
        <f>+P$46/(Conso!$I$21)*Mans!$G$21</f>
        <v>37104.09232685859</v>
      </c>
      <c r="Q16" s="77">
        <f>+Q$46/(Conso!$I$21)*Mans!$G$21</f>
        <v>3443.7774036106134</v>
      </c>
    </row>
    <row r="17" spans="1:17">
      <c r="A17" s="76" t="s">
        <v>420</v>
      </c>
      <c r="B17" s="76"/>
      <c r="C17" s="77">
        <f>+[2]Repart!C17</f>
        <v>6535.0624193548392</v>
      </c>
      <c r="D17" s="77">
        <f>+[2]Repart!D17</f>
        <v>7264.5506639280829</v>
      </c>
      <c r="E17" s="77">
        <f>+[2]Repart!E17</f>
        <v>498.43410811279978</v>
      </c>
      <c r="G17" s="76" t="s">
        <v>420</v>
      </c>
      <c r="H17" s="76"/>
      <c r="I17" s="77">
        <f t="shared" si="1"/>
        <v>8997.9607634408567</v>
      </c>
      <c r="J17" s="77">
        <f>+(J$46-D$46)/(Conso!$G$21-Chalette!$C$8-[2]Conso!$F$21)*(Saumur!$F$21-[2]Saumur!$C$21)+D17</f>
        <v>10007.319097181457</v>
      </c>
      <c r="K17" s="77">
        <f>+(K$46-E$46)/(Conso!$G$21-Chalette!$C$8-[2]Conso!$F$21)*(Saumur!$F$21-[2]Saumur!$C$21)+E17</f>
        <v>661.94713790561082</v>
      </c>
      <c r="M17" s="76" t="s">
        <v>420</v>
      </c>
      <c r="N17" s="76"/>
      <c r="O17" s="77">
        <f t="shared" si="0"/>
        <v>9644.6846793104778</v>
      </c>
      <c r="P17" s="77">
        <f>+P$46/(Conso!$I$21)*Saumur!$G$21</f>
        <v>11598.434206846863</v>
      </c>
      <c r="Q17" s="77">
        <f>+Q$46/(Conso!$I$21)*Saumur!$G$21</f>
        <v>1076.4965030525875</v>
      </c>
    </row>
    <row r="18" spans="1:17">
      <c r="A18" s="76" t="s">
        <v>701</v>
      </c>
      <c r="B18" s="76"/>
      <c r="C18" s="77"/>
      <c r="D18" s="77"/>
      <c r="E18" s="77"/>
      <c r="G18" s="76" t="s">
        <v>701</v>
      </c>
      <c r="H18" s="76"/>
      <c r="I18" s="77">
        <f t="shared" si="1"/>
        <v>2462.8983440860184</v>
      </c>
      <c r="J18" s="77">
        <f>+(J$46-D$46)/(Conso!$G$21-Chalette!$C$8-[2]Conso!$F$21)*(Chalette!$F$21-Chalette!$C$8)+D18</f>
        <v>4770.9289746713166</v>
      </c>
      <c r="K18" s="77">
        <f>+(K$46-E$46)/(Conso!$G$21-Chalette!$C$8-[2]Conso!$F$21)*(Chalette!$F$21-Chalette!$C$8)+E18</f>
        <v>284.42395723851865</v>
      </c>
      <c r="M18" s="76" t="s">
        <v>701</v>
      </c>
      <c r="N18" s="76"/>
      <c r="O18" s="77">
        <f t="shared" si="0"/>
        <v>9644.6846793104778</v>
      </c>
      <c r="P18" s="77">
        <f>+P$46/(Conso!$I$21)*Chalette!$G$21</f>
        <v>19971.283812335296</v>
      </c>
      <c r="Q18" s="77">
        <f>+Q$46/(Conso!$I$21)*Chalette!$G$21</f>
        <v>1853.6137552738155</v>
      </c>
    </row>
    <row r="19" spans="1:17">
      <c r="A19" s="78" t="s">
        <v>231</v>
      </c>
      <c r="B19" s="78">
        <v>9</v>
      </c>
      <c r="C19" s="79">
        <f>SUM(C9:C17)</f>
        <v>58815.561774193557</v>
      </c>
      <c r="D19" s="79">
        <f>SUM(D9:D17)</f>
        <v>229182.14291505312</v>
      </c>
      <c r="E19" s="79">
        <f>SUM(E9:E17)</f>
        <v>15685.635218506395</v>
      </c>
      <c r="G19" s="78" t="s">
        <v>231</v>
      </c>
      <c r="H19" s="78">
        <v>10</v>
      </c>
      <c r="I19" s="79">
        <f>SUM(I9:I18)</f>
        <v>83444.545215053746</v>
      </c>
      <c r="J19" s="79">
        <f>SUM(J9:J18)</f>
        <v>326701.27602006996</v>
      </c>
      <c r="K19" s="79">
        <f>SUM(K9:K18)</f>
        <v>21499.341079870555</v>
      </c>
      <c r="M19" s="78" t="s">
        <v>231</v>
      </c>
      <c r="N19" s="78">
        <v>10</v>
      </c>
      <c r="O19" s="79">
        <f>SUM(O9:O18)</f>
        <v>96446.846793104778</v>
      </c>
      <c r="P19" s="79">
        <f>SUM(P9:P18)</f>
        <v>364102.80873460649</v>
      </c>
      <c r="Q19" s="79">
        <f>SUM(Q9:Q18)</f>
        <v>33793.820214374056</v>
      </c>
    </row>
    <row r="20" spans="1:17">
      <c r="A20" s="80"/>
      <c r="B20" s="80"/>
      <c r="C20" s="81"/>
      <c r="D20" s="81">
        <f>+[2]Repart!D19</f>
        <v>231432.02472280976</v>
      </c>
      <c r="E20" s="81">
        <f>+[2]Repart!E19</f>
        <v>15944.161107474347</v>
      </c>
      <c r="G20" s="80"/>
      <c r="H20" s="80"/>
      <c r="I20" s="81"/>
      <c r="J20" s="81">
        <f>+(J$46-D$46)/(Conso!$G$21-Chalette!$C$8-[2]Conso!$F$21)*(Centre!$M$21-[2]Centre!$K$21)+D20</f>
        <v>338577.49136551225</v>
      </c>
      <c r="K20" s="81">
        <f>+(K$46-E$46)/(Conso!$G$21-Chalette!$C$8-[2]Conso!$F$21)*(Centre!$M$21-[2]Centre!$K$21)+E20</f>
        <v>22331.750984513892</v>
      </c>
      <c r="M20" s="80"/>
      <c r="N20" s="80"/>
      <c r="O20" s="81"/>
      <c r="P20" s="81">
        <f>+P$46/(Conso!$I$21)*(Conso!$C$21)</f>
        <v>364102.80873460649</v>
      </c>
      <c r="Q20" s="81">
        <f>+Q$46/(Conso!$I$21)*Centre!$N$21</f>
        <v>33793.820214374049</v>
      </c>
    </row>
    <row r="21" spans="1:17">
      <c r="A21" s="76" t="s">
        <v>278</v>
      </c>
      <c r="B21" s="76"/>
      <c r="C21" s="77">
        <f>+[2]Repart!C20</f>
        <v>6535.0624193548392</v>
      </c>
      <c r="D21" s="77">
        <f>+[2]Repart!D20</f>
        <v>40976.581553792057</v>
      </c>
      <c r="E21" s="77">
        <f>+[2]Repart!E20</f>
        <v>2830.2121787978367</v>
      </c>
      <c r="G21" s="76" t="s">
        <v>278</v>
      </c>
      <c r="H21" s="76"/>
      <c r="I21" s="77">
        <f t="shared" ref="I21:I27" si="2">+(I$46-$C$46)/H$45+C21</f>
        <v>8997.9607634408567</v>
      </c>
      <c r="J21" s="77">
        <f>+(J$46-D$46)/(Conso!$G$21-Chalette!$C$8-[2]Conso!$F$21)*(Roanne!$F$21-[2]Roanne!$C$21)+D21</f>
        <v>56000.495670527664</v>
      </c>
      <c r="K21" s="77">
        <f>+(K$46-E$46)/(Conso!$G$21-Chalette!$C$8-[2]Conso!$F$21)*(Roanne!$F$21-[2]Roanne!$C$21)+E21</f>
        <v>3725.878647315737</v>
      </c>
      <c r="M21" s="76" t="s">
        <v>278</v>
      </c>
      <c r="N21" s="76"/>
      <c r="O21" s="77">
        <f t="shared" ref="O21:O26" si="3">+O$46/N$45</f>
        <v>9644.6846793104778</v>
      </c>
      <c r="P21" s="77">
        <f>+P$46/(Conso!$I$21)*Roanne!$G$21</f>
        <v>57924.349419000675</v>
      </c>
      <c r="Q21" s="77">
        <f>+Q$46/(Conso!$I$21)*Roanne!$G$21</f>
        <v>5376.1877231963244</v>
      </c>
    </row>
    <row r="22" spans="1:17">
      <c r="A22" s="76" t="s">
        <v>279</v>
      </c>
      <c r="B22" s="76"/>
      <c r="C22" s="77">
        <f>+[2]Repart!C21</f>
        <v>6535.0624193548392</v>
      </c>
      <c r="D22" s="77">
        <f>+[2]Repart!D21</f>
        <v>23572.052894372602</v>
      </c>
      <c r="E22" s="77">
        <f>+[2]Repart!E21</f>
        <v>1638.1906112377364</v>
      </c>
      <c r="G22" s="76" t="s">
        <v>279</v>
      </c>
      <c r="H22" s="76"/>
      <c r="I22" s="77">
        <f t="shared" si="2"/>
        <v>8997.9607634408567</v>
      </c>
      <c r="J22" s="77">
        <f>+(J$46-D$46)/(Conso!$G$21-Chalette!$C$8-[2]Conso!$F$21)*(Montpe!$F$21-[2]Montpe!$C$21)+D22</f>
        <v>31432.730785056141</v>
      </c>
      <c r="K22" s="77">
        <f>+(K$46-E$46)/(Conso!$G$21-Chalette!$C$8-[2]Conso!$F$21)*(Montpe!$F$21-[2]Montpe!$C$21)+E22</f>
        <v>2106.8132053101144</v>
      </c>
      <c r="M22" s="76" t="s">
        <v>279</v>
      </c>
      <c r="N22" s="76"/>
      <c r="O22" s="77">
        <f t="shared" si="3"/>
        <v>9644.6846793104778</v>
      </c>
      <c r="P22" s="77">
        <f>+P$46/(Conso!$I$21)*Montpe!$G$21</f>
        <v>35371.358131770394</v>
      </c>
      <c r="Q22" s="77">
        <f>+Q$46/(Conso!$I$21)*Montpe!$G$21</f>
        <v>3282.9554970957706</v>
      </c>
    </row>
    <row r="23" spans="1:17">
      <c r="A23" s="76" t="s">
        <v>280</v>
      </c>
      <c r="B23" s="76"/>
      <c r="C23" s="77">
        <f>+[2]Repart!C22</f>
        <v>6535.0624193548392</v>
      </c>
      <c r="D23" s="77">
        <f>+[2]Repart!D22</f>
        <v>60757.985474285641</v>
      </c>
      <c r="E23" s="77">
        <f>+[2]Repart!E22</f>
        <v>4222.391526954877</v>
      </c>
      <c r="G23" s="76" t="s">
        <v>280</v>
      </c>
      <c r="H23" s="76"/>
      <c r="I23" s="77">
        <f t="shared" si="2"/>
        <v>8997.9607634408567</v>
      </c>
      <c r="J23" s="77">
        <f>+(J$46-D$46)/(Conso!$G$21-Chalette!$C$8-[2]Conso!$F$21)*(Grenoble!$F$21-[2]Grenoble!$C$21)+D23</f>
        <v>83925.369894953386</v>
      </c>
      <c r="K23" s="77">
        <f>+(K$46-E$46)/(Conso!$G$21-Chalette!$C$8-[2]Conso!$F$21)*(Grenoble!$F$21-[2]Grenoble!$C$21)+E23</f>
        <v>5603.539557196993</v>
      </c>
      <c r="M23" s="76" t="s">
        <v>280</v>
      </c>
      <c r="N23" s="76"/>
      <c r="O23" s="77">
        <f t="shared" si="3"/>
        <v>9644.6846793104778</v>
      </c>
      <c r="P23" s="77">
        <f>+P$46/(Conso!$I$21)*Grenoble!$G$21</f>
        <v>84070.051092516165</v>
      </c>
      <c r="Q23" s="77">
        <f>+Q$46/(Conso!$I$21)*Grenoble!$G$21</f>
        <v>7802.8735947064988</v>
      </c>
    </row>
    <row r="24" spans="1:17">
      <c r="A24" s="76" t="s">
        <v>49</v>
      </c>
      <c r="B24" s="76"/>
      <c r="C24" s="77">
        <f>+[2]Repart!C23</f>
        <v>6535.0624193548392</v>
      </c>
      <c r="D24" s="77">
        <f>+[2]Repart!D23</f>
        <v>7389.0543249248603</v>
      </c>
      <c r="E24" s="77">
        <f>+[2]Repart!E23</f>
        <v>530.0007196845188</v>
      </c>
      <c r="G24" s="76" t="s">
        <v>49</v>
      </c>
      <c r="H24" s="76"/>
      <c r="I24" s="77">
        <f t="shared" si="2"/>
        <v>8997.9607634408567</v>
      </c>
      <c r="J24" s="77">
        <f>+(J$46-D$46)/(Conso!$G$21-Chalette!$C$8-[2]Conso!$F$21)*(STMarcelin!$F$21-[2]STMarcelin!$C$21)+D24</f>
        <v>10231.142210488044</v>
      </c>
      <c r="K24" s="77">
        <f>+(K$46-E$46)/(Conso!$G$21-Chalette!$C$8-[2]Conso!$F$21)*(STMarcelin!$F$21-[2]STMarcelin!$C$21)+E24</f>
        <v>699.43478326481443</v>
      </c>
      <c r="M24" s="76" t="s">
        <v>49</v>
      </c>
      <c r="N24" s="76"/>
      <c r="O24" s="77">
        <f t="shared" si="3"/>
        <v>9644.6846793104778</v>
      </c>
      <c r="P24" s="77">
        <f>+P$46/(Conso!$I$21)*STMarcelin!$G$21</f>
        <v>13403.027503583691</v>
      </c>
      <c r="Q24" s="77">
        <f>+Q$46/(Conso!$I$21)*STMarcelin!$G$21</f>
        <v>1243.9879366999451</v>
      </c>
    </row>
    <row r="25" spans="1:17">
      <c r="A25" s="76" t="s">
        <v>375</v>
      </c>
      <c r="B25" s="76"/>
      <c r="C25" s="77">
        <f>+[2]Repart!C24</f>
        <v>6535.0624193548392</v>
      </c>
      <c r="D25" s="77">
        <f>+[2]Repart!D24</f>
        <v>24861.189347202031</v>
      </c>
      <c r="E25" s="77">
        <f>+[2]Repart!E24</f>
        <v>1775.7977182137129</v>
      </c>
      <c r="G25" s="76" t="s">
        <v>375</v>
      </c>
      <c r="H25" s="76"/>
      <c r="I25" s="77">
        <f t="shared" si="2"/>
        <v>8997.9607634408567</v>
      </c>
      <c r="J25" s="77">
        <f>+(J$46-D$46)/(Conso!$G$21-Chalette!$C$8-[2]Conso!$F$21)*(Nancy!$F$21-[2]Nancy!$C$21)+D25</f>
        <v>35280.079923257348</v>
      </c>
      <c r="K25" s="77">
        <f>+(K$46-E$46)/(Conso!$G$21-Chalette!$C$8-[2]Conso!$F$21)*(Nancy!$F$21-[2]Nancy!$C$21)+E25</f>
        <v>2396.9308567301832</v>
      </c>
      <c r="M25" s="76" t="s">
        <v>375</v>
      </c>
      <c r="N25" s="76"/>
      <c r="O25" s="77">
        <f t="shared" si="3"/>
        <v>9644.6846793104778</v>
      </c>
      <c r="P25" s="77">
        <f>+P$46/(Conso!$I$21)*Nancy!$G$21</f>
        <v>37251.113928131759</v>
      </c>
      <c r="Q25" s="77">
        <f>+Q$46/(Conso!$I$21)*Nancy!$G$21</f>
        <v>3457.423059293199</v>
      </c>
    </row>
    <row r="26" spans="1:17">
      <c r="A26" s="76" t="s">
        <v>425</v>
      </c>
      <c r="B26" s="76"/>
      <c r="C26" s="77">
        <f>+[2]Repart!C25</f>
        <v>6535.0624193548392</v>
      </c>
      <c r="D26" s="77">
        <f>+[2]Repart!D25</f>
        <v>67459.566116589252</v>
      </c>
      <c r="E26" s="77">
        <f>+[2]Repart!E25</f>
        <v>4551.5214648503297</v>
      </c>
      <c r="G26" s="76" t="s">
        <v>425</v>
      </c>
      <c r="H26" s="76"/>
      <c r="I26" s="77">
        <f t="shared" si="2"/>
        <v>8997.9607634408567</v>
      </c>
      <c r="J26" s="77">
        <f>+(J$46-D$46)/(Conso!$G$21-Chalette!$C$8-[2]Conso!$F$21)*(PSA!$F$21-[2]PSA!$C$21)+D26</f>
        <v>91684.301980988675</v>
      </c>
      <c r="K26" s="77">
        <f>+(K$46-E$46)/(Conso!$G$21-Chalette!$C$8-[2]Conso!$F$21)*(PSA!$F$21-[2]PSA!$C$21)+E26</f>
        <v>5995.7046153834044</v>
      </c>
      <c r="M26" s="76" t="s">
        <v>425</v>
      </c>
      <c r="N26" s="76"/>
      <c r="O26" s="77">
        <f t="shared" si="3"/>
        <v>9644.6846793104778</v>
      </c>
      <c r="P26" s="77">
        <f>+P$46/(Conso!$I$21)*PSA!$G$21</f>
        <v>95879.209464072715</v>
      </c>
      <c r="Q26" s="77">
        <f>+Q$46/(Conso!$I$21)*PSA!$G$21</f>
        <v>8898.9282400370121</v>
      </c>
    </row>
    <row r="27" spans="1:17">
      <c r="A27" s="76" t="s">
        <v>702</v>
      </c>
      <c r="B27" s="76"/>
      <c r="C27" s="77">
        <f>+[2]Repart!C26</f>
        <v>4244.5351526881732</v>
      </c>
      <c r="D27" s="77">
        <f>+[2]Repart!D26</f>
        <v>8982.2115988429123</v>
      </c>
      <c r="E27" s="77">
        <f>+[2]Repart!E26</f>
        <v>711.34421204830301</v>
      </c>
      <c r="G27" s="76" t="s">
        <v>702</v>
      </c>
      <c r="H27" s="76"/>
      <c r="I27" s="77">
        <f t="shared" si="2"/>
        <v>6707.4334967741916</v>
      </c>
      <c r="J27" s="77">
        <f>+(J$46-D$46)/(Conso!$G$21-Chalette!$C$8-[2]Conso!$F$21)*(Dijon!$F$21-[2]Dijon!$C$21)+D27</f>
        <v>14892.784853046182</v>
      </c>
      <c r="K27" s="77">
        <f>+(K$46-E$46)/(Conso!$G$21-Chalette!$C$8-[2]Conso!$F$21)*(Dijon!$F$21-[2]Dijon!$C$21)+E27</f>
        <v>1063.7092636836524</v>
      </c>
      <c r="M27" s="76" t="s">
        <v>702</v>
      </c>
      <c r="N27" s="76"/>
      <c r="O27" s="77">
        <f>+O$46/N$45</f>
        <v>9644.6846793104778</v>
      </c>
      <c r="P27" s="77">
        <f>+P$46/(Conso!$I$21)*Dijon!$G$21</f>
        <v>26554.221889868688</v>
      </c>
      <c r="Q27" s="77">
        <f>+Q$46/(Conso!$I$21)*Dijon!$G$21</f>
        <v>2464.6022468146016</v>
      </c>
    </row>
    <row r="28" spans="1:17">
      <c r="A28" s="78" t="s">
        <v>234</v>
      </c>
      <c r="B28" s="78">
        <v>7</v>
      </c>
      <c r="C28" s="79">
        <f>SUM(C21:C27)</f>
        <v>43454.909668817207</v>
      </c>
      <c r="D28" s="79">
        <f>SUM(D21:D27)</f>
        <v>233998.64131000932</v>
      </c>
      <c r="E28" s="79">
        <f>SUM(E21:E27)</f>
        <v>16259.458431787314</v>
      </c>
      <c r="G28" s="78" t="s">
        <v>234</v>
      </c>
      <c r="H28" s="78">
        <v>7</v>
      </c>
      <c r="I28" s="79">
        <f>SUM(I21:I27)</f>
        <v>60695.198077419336</v>
      </c>
      <c r="J28" s="79">
        <f>SUM(J21:J27)</f>
        <v>323446.90531831747</v>
      </c>
      <c r="K28" s="79">
        <f>SUM(K21:K27)</f>
        <v>21592.010928884902</v>
      </c>
      <c r="M28" s="78" t="s">
        <v>234</v>
      </c>
      <c r="N28" s="78">
        <v>7</v>
      </c>
      <c r="O28" s="79">
        <f>SUM(O21:O27)</f>
        <v>67512.792755173345</v>
      </c>
      <c r="P28" s="79">
        <f>SUM(P21:P27)</f>
        <v>350453.33142894408</v>
      </c>
      <c r="Q28" s="79">
        <f>SUM(Q21:Q27)</f>
        <v>32526.95829784335</v>
      </c>
    </row>
    <row r="29" spans="1:17">
      <c r="A29" s="80"/>
      <c r="B29" s="80"/>
      <c r="C29" s="81"/>
      <c r="D29" s="81">
        <f>+[2]Repart!D28</f>
        <v>237923.83499045653</v>
      </c>
      <c r="E29" s="81">
        <f>+[2]Repart!E28</f>
        <v>16391.404607635948</v>
      </c>
      <c r="G29" s="80"/>
      <c r="H29" s="80"/>
      <c r="I29" s="81"/>
      <c r="J29" s="81">
        <f>+(J$46-D$46)/(Conso!$G$21-Chalette!$C$8-[2]Conso!$F$21)*(Sud!$J$21-[2]Sud!$I$21)+D29</f>
        <v>327372.09899876459</v>
      </c>
      <c r="K29" s="81">
        <f>+(K$46-E$46)/(Conso!$G$21-Chalette!$C$8-[2]Conso!$F$21)*(Sud!$J$21-[2]Sud!$I$21)+E29</f>
        <v>21723.95710473353</v>
      </c>
      <c r="M29" s="80"/>
      <c r="N29" s="80"/>
      <c r="O29" s="81"/>
      <c r="P29" s="81">
        <f>+P$46/(Conso!$I$21)*(Conso!$E$21)</f>
        <v>350453.33142894408</v>
      </c>
      <c r="Q29" s="81">
        <f>+Q$46/(Conso!$I$21)*(Sud!$K$21)</f>
        <v>32526.95829784335</v>
      </c>
    </row>
    <row r="30" spans="1:17">
      <c r="A30" s="76" t="s">
        <v>262</v>
      </c>
      <c r="B30" s="76"/>
      <c r="C30" s="77">
        <f>+[2]Repart!C29</f>
        <v>6535.0624193548392</v>
      </c>
      <c r="D30" s="77">
        <f>+[2]Repart!D29</f>
        <v>67574.13611382716</v>
      </c>
      <c r="E30" s="77">
        <f>+[2]Repart!E29</f>
        <v>4708.6672246374455</v>
      </c>
      <c r="G30" s="76" t="s">
        <v>262</v>
      </c>
      <c r="H30" s="76"/>
      <c r="I30" s="77">
        <f t="shared" ref="I30:I42" si="4">+(I$46-$C$46)/H$45+C30</f>
        <v>8997.9607634408567</v>
      </c>
      <c r="J30" s="77">
        <f>+(J$46-D$46)/(Conso!$G$21-Chalette!$C$8-[2]Conso!$F$21)*(Boulogne!$F$21-[2]Boulogne!$C$21)+D30</f>
        <v>91707.688719444253</v>
      </c>
      <c r="K30" s="77">
        <f>+(K$46-E$46)/(Conso!$G$21-Chalette!$C$8-[2]Conso!$F$21)*(Boulogne!$F$21-[2]Boulogne!$C$21)+E30</f>
        <v>6147.4143891320646</v>
      </c>
      <c r="M30" s="76" t="s">
        <v>262</v>
      </c>
      <c r="N30" s="76"/>
      <c r="O30" s="77">
        <f t="shared" ref="O30:O42" si="5">+O$46/N$45</f>
        <v>9644.6846793104778</v>
      </c>
      <c r="P30" s="77">
        <f>+P$46/(Conso!$I$21)*Boulogne!$G$21</f>
        <v>92034.054220122911</v>
      </c>
      <c r="Q30" s="77">
        <f>+Q$46/(Conso!$I$21)*Boulogne!$G$21</f>
        <v>8542.0441900018141</v>
      </c>
    </row>
    <row r="31" spans="1:17">
      <c r="A31" s="76" t="s">
        <v>294</v>
      </c>
      <c r="B31" s="76"/>
      <c r="C31" s="77">
        <f>+[2]Repart!C30</f>
        <v>6535.0624193548392</v>
      </c>
      <c r="D31" s="77">
        <f>+[2]Repart!D30</f>
        <v>20398.931668795893</v>
      </c>
      <c r="E31" s="77">
        <f>+[2]Repart!E30</f>
        <v>1428.4702230106307</v>
      </c>
      <c r="G31" s="76" t="s">
        <v>294</v>
      </c>
      <c r="H31" s="76"/>
      <c r="I31" s="77">
        <f t="shared" si="4"/>
        <v>8997.9607634408567</v>
      </c>
      <c r="J31" s="77">
        <f>+(J$46-D$46)/(Conso!$G$21-Chalette!$C$8-[2]Conso!$F$21)*(Compiègne!$F$21-[2]Compiègne!$C$21)+D31</f>
        <v>28578.500308514806</v>
      </c>
      <c r="K31" s="77">
        <f>+(K$46-E$46)/(Conso!$G$21-Chalette!$C$8-[2]Conso!$F$21)*(Compiègne!$F$21-[2]Compiègne!$C$21)+E31</f>
        <v>1916.103825054186</v>
      </c>
      <c r="M31" s="76" t="s">
        <v>294</v>
      </c>
      <c r="N31" s="76"/>
      <c r="O31" s="77">
        <f t="shared" si="5"/>
        <v>9644.6846793104778</v>
      </c>
      <c r="P31" s="77">
        <f>+P$46/(Conso!$I$21)*Compiègne!$G$21</f>
        <v>33089.150991312548</v>
      </c>
      <c r="Q31" s="77">
        <f>+Q$46/(Conso!$I$21)*Compiègne!$G$21</f>
        <v>3071.134835605601</v>
      </c>
    </row>
    <row r="32" spans="1:17">
      <c r="A32" s="76" t="s">
        <v>276</v>
      </c>
      <c r="B32" s="76"/>
      <c r="C32" s="77">
        <f>+[2]Repart!C31</f>
        <v>6535.0624193548392</v>
      </c>
      <c r="D32" s="77">
        <f>+[2]Repart!D31</f>
        <v>12398.099362688667</v>
      </c>
      <c r="E32" s="77">
        <f>+[2]Repart!E31</f>
        <v>849.62358553429681</v>
      </c>
      <c r="G32" s="76" t="s">
        <v>276</v>
      </c>
      <c r="H32" s="76"/>
      <c r="I32" s="77">
        <f t="shared" si="4"/>
        <v>8997.9607634408567</v>
      </c>
      <c r="J32" s="77">
        <f>+(J$46-D$46)/(Conso!$G$21-Chalette!$C$8-[2]Conso!$F$21)*(Amiens!$F$21-[2]Amiens!$C$21)+D32</f>
        <v>17574.071092746814</v>
      </c>
      <c r="K32" s="77">
        <f>+(K$46-E$46)/(Conso!$G$21-Chalette!$C$8-[2]Conso!$F$21)*(Amiens!$F$21-[2]Amiens!$C$21)+E32</f>
        <v>1158.1945933681038</v>
      </c>
      <c r="M32" s="76" t="s">
        <v>276</v>
      </c>
      <c r="N32" s="76"/>
      <c r="O32" s="77">
        <f t="shared" si="5"/>
        <v>9644.6846793104778</v>
      </c>
      <c r="P32" s="77">
        <f>+P$46/(Conso!$I$21)*Amiens!$G$21</f>
        <v>21090.52121257714</v>
      </c>
      <c r="Q32" s="77">
        <f>+Q$46/(Conso!$I$21)*Amiens!$G$21</f>
        <v>1957.4946003912328</v>
      </c>
    </row>
    <row r="33" spans="1:17">
      <c r="A33" s="76" t="s">
        <v>277</v>
      </c>
      <c r="B33" s="76"/>
      <c r="C33" s="77">
        <f>+[2]Repart!C32</f>
        <v>6535.0624193548392</v>
      </c>
      <c r="D33" s="77">
        <f>+[2]Repart!D32</f>
        <v>17545.745570879993</v>
      </c>
      <c r="E33" s="77">
        <f>+[2]Repart!E32</f>
        <v>1207.0538154574701</v>
      </c>
      <c r="G33" s="76" t="s">
        <v>277</v>
      </c>
      <c r="H33" s="76"/>
      <c r="I33" s="77">
        <f t="shared" si="4"/>
        <v>8997.9607634408567</v>
      </c>
      <c r="J33" s="77">
        <f>+(J$46-D$46)/(Conso!$G$21-Chalette!$C$8-[2]Conso!$F$21)*(Cambrai!$F$21-[2]Cambrai!$C$21)+D33</f>
        <v>23495.512849328781</v>
      </c>
      <c r="K33" s="77">
        <f>+(K$46-E$46)/(Conso!$G$21-Chalette!$C$8-[2]Conso!$F$21)*(Cambrai!$F$21-[2]Cambrai!$C$21)+E33</f>
        <v>1561.7554601410907</v>
      </c>
      <c r="M33" s="76" t="s">
        <v>277</v>
      </c>
      <c r="N33" s="76"/>
      <c r="O33" s="77">
        <f t="shared" si="5"/>
        <v>9644.6846793104778</v>
      </c>
      <c r="P33" s="77">
        <f>+P$46/(Conso!$I$21)*Cambrai!$G$21</f>
        <v>27341.487083745262</v>
      </c>
      <c r="Q33" s="77">
        <f>+Q$46/(Conso!$I$21)*Cambrai!$G$21</f>
        <v>2537.6714398685103</v>
      </c>
    </row>
    <row r="34" spans="1:17">
      <c r="A34" s="76" t="s">
        <v>311</v>
      </c>
      <c r="B34" s="76"/>
      <c r="C34" s="77">
        <f>+[2]Repart!C33</f>
        <v>6535.0624193548392</v>
      </c>
      <c r="D34" s="77">
        <f>+[2]Repart!D33</f>
        <v>20477.750787342215</v>
      </c>
      <c r="E34" s="77">
        <f>+[2]Repart!E33</f>
        <v>1419.8385381446035</v>
      </c>
      <c r="G34" s="76" t="s">
        <v>311</v>
      </c>
      <c r="H34" s="76"/>
      <c r="I34" s="77">
        <f t="shared" si="4"/>
        <v>8997.9607634408567</v>
      </c>
      <c r="J34" s="77">
        <f>+(J$46-D$46)/(Conso!$G$21-Chalette!$C$8-[2]Conso!$F$21)*(Caudry!$F$21-[2]Caudry!$C$21)+D34</f>
        <v>28208.975452023227</v>
      </c>
      <c r="K34" s="77">
        <f>+(K$46-E$46)/(Conso!$G$21-Chalette!$C$8-[2]Conso!$F$21)*(Caudry!$F$21-[2]Caudry!$C$21)+E34</f>
        <v>1880.7436417633603</v>
      </c>
      <c r="M34" s="76" t="s">
        <v>311</v>
      </c>
      <c r="N34" s="76"/>
      <c r="O34" s="77">
        <f t="shared" si="5"/>
        <v>9644.6846793104778</v>
      </c>
      <c r="P34" s="77">
        <f>+P$46/(Conso!$I$21)*Caudry!$G$21</f>
        <v>30209.329793476485</v>
      </c>
      <c r="Q34" s="77">
        <f>+Q$46/(Conso!$I$21)*Caudry!$G$21</f>
        <v>2803.8472523336141</v>
      </c>
    </row>
    <row r="35" spans="1:17">
      <c r="A35" s="76" t="s">
        <v>357</v>
      </c>
      <c r="B35" s="76"/>
      <c r="C35" s="77">
        <f>+[2]Repart!C34</f>
        <v>6535.0624193548392</v>
      </c>
      <c r="D35" s="77">
        <f>+[2]Repart!D34</f>
        <v>35427.198641621944</v>
      </c>
      <c r="E35" s="77">
        <f>+[2]Repart!E34</f>
        <v>2445.1092771262779</v>
      </c>
      <c r="G35" s="76" t="s">
        <v>357</v>
      </c>
      <c r="H35" s="76"/>
      <c r="I35" s="77">
        <f t="shared" si="4"/>
        <v>8997.9607634408567</v>
      </c>
      <c r="J35" s="77">
        <f>+(J$46-D$46)/(Conso!$G$21-Chalette!$C$8-[2]Conso!$F$21)*(Eu!$F$21-[2]Eu!$C$21)+D35</f>
        <v>51148.66306383154</v>
      </c>
      <c r="K35" s="77">
        <f>+(K$46-E$46)/(Conso!$G$21-Chalette!$C$8-[2]Conso!$F$21)*(Eu!$F$21-[2]Eu!$C$21)+E35</f>
        <v>3382.3609420093194</v>
      </c>
      <c r="M35" s="76" t="s">
        <v>357</v>
      </c>
      <c r="N35" s="76"/>
      <c r="O35" s="77">
        <f t="shared" si="5"/>
        <v>9644.6846793104778</v>
      </c>
      <c r="P35" s="77">
        <f>+P$46/(Conso!$I$21)*Eu!$G$21</f>
        <v>51878.478600043236</v>
      </c>
      <c r="Q35" s="77">
        <f>+Q$46/(Conso!$I$21)*Eu!$G$21</f>
        <v>4815.0465658258481</v>
      </c>
    </row>
    <row r="36" spans="1:17">
      <c r="A36" s="76" t="s">
        <v>5</v>
      </c>
      <c r="B36" s="76"/>
      <c r="C36" s="77">
        <f>+[2]Repart!C35</f>
        <v>6535.0624193548392</v>
      </c>
      <c r="D36" s="77">
        <f>+[2]Repart!D35</f>
        <v>33097.03840546713</v>
      </c>
      <c r="E36" s="77">
        <f>+[2]Repart!E35</f>
        <v>2256.1633529491019</v>
      </c>
      <c r="G36" s="76" t="s">
        <v>5</v>
      </c>
      <c r="H36" s="76"/>
      <c r="I36" s="77">
        <f t="shared" si="4"/>
        <v>8997.9607634408567</v>
      </c>
      <c r="J36" s="77">
        <f>+(J$46-D$46)/(Conso!$G$21-Chalette!$C$8-[2]Conso!$F$21)*(Calais!$F$21-[2]Calais!$C$21)+D36</f>
        <v>44733.067714041172</v>
      </c>
      <c r="K36" s="77">
        <f>+(K$46-E$46)/(Conso!$G$21-Chalette!$C$8-[2]Conso!$F$21)*(Calais!$F$21-[2]Calais!$C$21)+E36</f>
        <v>2949.8574993215116</v>
      </c>
      <c r="M36" s="76" t="s">
        <v>5</v>
      </c>
      <c r="N36" s="76"/>
      <c r="O36" s="77">
        <f t="shared" si="5"/>
        <v>9644.6846793104778</v>
      </c>
      <c r="P36" s="77">
        <f>+P$46/(Conso!$I$21)*Calais!$G$21</f>
        <v>43001.391802282567</v>
      </c>
      <c r="Q36" s="77">
        <f>+Q$46/(Conso!$I$21)*Calais!$G$21</f>
        <v>3991.1290675964406</v>
      </c>
    </row>
    <row r="37" spans="1:17">
      <c r="A37" s="76" t="s">
        <v>15</v>
      </c>
      <c r="B37" s="76"/>
      <c r="C37" s="77">
        <f>+[2]Repart!C36</f>
        <v>4443.5786860215057</v>
      </c>
      <c r="D37" s="77">
        <f>+[2]Repart!D36</f>
        <v>7893.030066292391</v>
      </c>
      <c r="E37" s="77">
        <f>+[2]Repart!E36</f>
        <v>455.97232677477592</v>
      </c>
      <c r="G37" s="76" t="s">
        <v>15</v>
      </c>
      <c r="H37" s="76"/>
      <c r="I37" s="77">
        <f>+C37</f>
        <v>4443.5786860215057</v>
      </c>
      <c r="J37" s="77">
        <f>+(J$46-D$46)/(Conso!$G$21-Chalette!$C$8-[2]Conso!$F$21)*(Tourcoing!$F$21-[2]Tourcoing!$C$21)+D37</f>
        <v>7893.030066292391</v>
      </c>
      <c r="K37" s="77">
        <f>+(K$46-E$46)/(Conso!$G$21-Chalette!$C$8-[2]Conso!$F$21)*(Tourcoing!$F$21-[2]Tourcoing!$C$21)+E37</f>
        <v>455.97232677477592</v>
      </c>
      <c r="M37" s="76"/>
      <c r="N37" s="76"/>
      <c r="O37" s="77"/>
      <c r="P37" s="77"/>
      <c r="Q37" s="77"/>
    </row>
    <row r="38" spans="1:17">
      <c r="A38" s="76" t="s">
        <v>16</v>
      </c>
      <c r="B38" s="76"/>
      <c r="C38" s="77">
        <f>+[2]Repart!C37</f>
        <v>6535.0624193548392</v>
      </c>
      <c r="D38" s="77">
        <f>+[2]Repart!D37</f>
        <v>27959.090403653063</v>
      </c>
      <c r="E38" s="77">
        <f>+[2]Repart!E37</f>
        <v>1948.1086577392059</v>
      </c>
      <c r="G38" s="76" t="s">
        <v>16</v>
      </c>
      <c r="H38" s="76"/>
      <c r="I38" s="77">
        <f t="shared" si="4"/>
        <v>8997.9607634408567</v>
      </c>
      <c r="J38" s="77">
        <f>+(J$46-D$46)/(Conso!$G$21-Chalette!$C$8-[2]Conso!$F$21)*(Madeleine!$F$21-[2]Madeleine!$C$21)+D38</f>
        <v>37253.718392567942</v>
      </c>
      <c r="K38" s="77">
        <f>+(K$46-E$46)/(Conso!$G$21-Chalette!$C$8-[2]Conso!$F$21)*(Madeleine!$F$21-[2]Madeleine!$C$21)+E38</f>
        <v>2502.2176976561523</v>
      </c>
      <c r="M38" s="76" t="s">
        <v>16</v>
      </c>
      <c r="N38" s="76"/>
      <c r="O38" s="77">
        <f t="shared" si="5"/>
        <v>9644.6846793104778</v>
      </c>
      <c r="P38" s="77">
        <f>+P$46/(Conso!$I$21)*Madeleine!$G$21</f>
        <v>41560.987936716156</v>
      </c>
      <c r="Q38" s="77">
        <f>+Q$46/(Conso!$I$21)*Madeleine!$G$21</f>
        <v>3857.4394939339618</v>
      </c>
    </row>
    <row r="39" spans="1:17">
      <c r="A39" s="76" t="s">
        <v>18</v>
      </c>
      <c r="B39" s="76"/>
      <c r="C39" s="77">
        <f>+[2]Repart!C38</f>
        <v>6535.0624193548392</v>
      </c>
      <c r="D39" s="77">
        <f>+[2]Repart!D38</f>
        <v>12102.303273468693</v>
      </c>
      <c r="E39" s="77">
        <f>+[2]Repart!E38</f>
        <v>808.16185367567641</v>
      </c>
      <c r="G39" s="76" t="s">
        <v>18</v>
      </c>
      <c r="H39" s="76"/>
      <c r="I39" s="77">
        <f t="shared" si="4"/>
        <v>8997.9607634408567</v>
      </c>
      <c r="J39" s="77">
        <f>+(J$46-D$46)/(Conso!$G$21-Chalette!$C$8-[2]Conso!$F$21)*(Lens!$F$21-[2]Lens!$C$21)+D39</f>
        <v>16126.321248822482</v>
      </c>
      <c r="K39" s="77">
        <f>+(K$46-E$46)/(Conso!$G$21-Chalette!$C$8-[2]Conso!$F$21)*(Lens!$F$21-[2]Lens!$C$21)+E39</f>
        <v>1048.057924781599</v>
      </c>
      <c r="M39" s="76" t="s">
        <v>18</v>
      </c>
      <c r="N39" s="76"/>
      <c r="O39" s="77">
        <f t="shared" si="5"/>
        <v>9644.6846793104778</v>
      </c>
      <c r="P39" s="77">
        <f>+P$46/(Conso!$I$21)*Lens!$G$21</f>
        <v>23705.428571218377</v>
      </c>
      <c r="Q39" s="77">
        <f>+Q$46/(Conso!$I$21)*Lens!$G$21</f>
        <v>2200.1944835980571</v>
      </c>
    </row>
    <row r="40" spans="1:17">
      <c r="A40" s="76" t="s">
        <v>38</v>
      </c>
      <c r="B40" s="76"/>
      <c r="C40" s="77">
        <f>+[2]Repart!C39</f>
        <v>6535.0624193548392</v>
      </c>
      <c r="D40" s="77">
        <f>+[2]Repart!D39</f>
        <v>6835.4342032309523</v>
      </c>
      <c r="E40" s="77">
        <f>+[2]Repart!E39</f>
        <v>480.78060566563448</v>
      </c>
      <c r="G40" s="76" t="s">
        <v>38</v>
      </c>
      <c r="H40" s="76"/>
      <c r="I40" s="77">
        <f t="shared" si="4"/>
        <v>8997.9607634408567</v>
      </c>
      <c r="J40" s="77">
        <f>+(J$46-D$46)/(Conso!$G$21-Chalette!$C$8-[2]Conso!$F$21)*(Bois!$F$21-[2]Bois!$C$21)+D40</f>
        <v>9160.5734139625456</v>
      </c>
      <c r="K40" s="77">
        <f>+(K$46-E$46)/(Conso!$G$21-Chalette!$C$8-[2]Conso!$F$21)*(Bois!$F$21-[2]Bois!$C$21)+E40</f>
        <v>619.39622936443129</v>
      </c>
      <c r="M40" s="76" t="s">
        <v>38</v>
      </c>
      <c r="N40" s="76"/>
      <c r="O40" s="77">
        <f t="shared" si="5"/>
        <v>9644.6846793104778</v>
      </c>
      <c r="P40" s="77">
        <f>+P$46/(Conso!$I$21)*Bois!$G$21</f>
        <v>10442.856655647107</v>
      </c>
      <c r="Q40" s="77">
        <f>+Q$46/(Conso!$I$21)*Bois!$G$21</f>
        <v>969.24278494827138</v>
      </c>
    </row>
    <row r="41" spans="1:17">
      <c r="A41" s="76" t="s">
        <v>39</v>
      </c>
      <c r="B41" s="76"/>
      <c r="C41" s="77">
        <f>+[2]Repart!C40</f>
        <v>6535.0624193548392</v>
      </c>
      <c r="D41" s="77">
        <f>+[2]Repart!D40</f>
        <v>10427.280501016743</v>
      </c>
      <c r="E41" s="77">
        <f>+[2]Repart!E40</f>
        <v>721.60978307697951</v>
      </c>
      <c r="G41" s="76" t="s">
        <v>39</v>
      </c>
      <c r="H41" s="76"/>
      <c r="I41" s="77">
        <f t="shared" si="4"/>
        <v>8997.9607634408567</v>
      </c>
      <c r="J41" s="77">
        <f>+(J$46-D$46)/(Conso!$G$21-Chalette!$C$8-[2]Conso!$F$21)*(Béthune!$F$21-[2]Béthune!$C$21)+D41</f>
        <v>14607.743603578003</v>
      </c>
      <c r="K41" s="77">
        <f>+(K$46-E$46)/(Conso!$G$21-Chalette!$C$8-[2]Conso!$F$21)*(Béthune!$F$21-[2]Béthune!$C$21)+E41</f>
        <v>970.83249526418081</v>
      </c>
      <c r="M41" s="76" t="s">
        <v>39</v>
      </c>
      <c r="N41" s="76"/>
      <c r="O41" s="77">
        <f t="shared" si="5"/>
        <v>9644.6846793104778</v>
      </c>
      <c r="P41" s="77">
        <f>+P$46/(Conso!$I$21)*Béthune!$G$21</f>
        <v>16327.309583387019</v>
      </c>
      <c r="Q41" s="77">
        <f>+Q$46/(Conso!$I$21)*Béthune!$G$21</f>
        <v>1515.4021100880475</v>
      </c>
    </row>
    <row r="42" spans="1:17">
      <c r="A42" s="76" t="s">
        <v>421</v>
      </c>
      <c r="B42" s="76"/>
      <c r="C42" s="77">
        <f>+[2]Repart!C41</f>
        <v>6535.0624193548392</v>
      </c>
      <c r="D42" s="77">
        <f>+[2]Repart!D41</f>
        <v>19526.935801421059</v>
      </c>
      <c r="E42" s="77">
        <f>+[2]Repart!E41</f>
        <v>1358.1210126542326</v>
      </c>
      <c r="G42" s="76" t="s">
        <v>421</v>
      </c>
      <c r="H42" s="76"/>
      <c r="I42" s="77">
        <f t="shared" si="4"/>
        <v>8997.9607634408567</v>
      </c>
      <c r="J42" s="77">
        <f>+(J$46-D$46)/(Conso!$G$21-Chalette!$C$8-[2]Conso!$F$21)*(StOmer!$F$21-[2]StOmer!$C$21)+D42</f>
        <v>26555.308167367177</v>
      </c>
      <c r="K42" s="77">
        <f>+(K$46-E$46)/(Conso!$G$21-Chalette!$C$8-[2]Conso!$F$21)*(StOmer!$F$21-[2]StOmer!$C$21)+E42</f>
        <v>1777.1248359936831</v>
      </c>
      <c r="M42" s="76" t="s">
        <v>421</v>
      </c>
      <c r="N42" s="76"/>
      <c r="O42" s="77">
        <f t="shared" si="5"/>
        <v>9644.6846793104778</v>
      </c>
      <c r="P42" s="77">
        <f>+P$46/(Conso!$I$21)*StOmer!$G$21</f>
        <v>33134.916919393749</v>
      </c>
      <c r="Q42" s="77">
        <f>+Q$46/(Conso!$I$21)*StOmer!$G$21</f>
        <v>3075.3825522076645</v>
      </c>
    </row>
    <row r="43" spans="1:17">
      <c r="A43" s="78" t="s">
        <v>233</v>
      </c>
      <c r="B43" s="78">
        <v>12</v>
      </c>
      <c r="C43" s="79">
        <f>SUM(C30:C42)</f>
        <v>82864.327718279586</v>
      </c>
      <c r="D43" s="79">
        <f>SUM(D30:D42)</f>
        <v>291662.9747997059</v>
      </c>
      <c r="E43" s="79">
        <f>SUM(E30:E42)</f>
        <v>20087.680256446329</v>
      </c>
      <c r="G43" s="78" t="s">
        <v>233</v>
      </c>
      <c r="H43" s="78">
        <v>12</v>
      </c>
      <c r="I43" s="79">
        <f>SUM(I30:I42)</f>
        <v>112419.10784731181</v>
      </c>
      <c r="J43" s="79">
        <f>SUM(J30:J42)</f>
        <v>397043.17409252119</v>
      </c>
      <c r="K43" s="79">
        <f>SUM(K30:K42)</f>
        <v>26370.031860624462</v>
      </c>
      <c r="M43" s="78" t="s">
        <v>233</v>
      </c>
      <c r="N43" s="78">
        <v>12</v>
      </c>
      <c r="O43" s="79">
        <f>SUM(O30:O42)</f>
        <v>115736.21615172573</v>
      </c>
      <c r="P43" s="79">
        <f>SUM(P30:P42)</f>
        <v>423815.91336992261</v>
      </c>
      <c r="Q43" s="79">
        <f>SUM(Q30:Q42)</f>
        <v>39336.029376399063</v>
      </c>
    </row>
    <row r="44" spans="1:17">
      <c r="A44" s="80"/>
      <c r="B44" s="80"/>
      <c r="C44" s="81"/>
      <c r="D44" s="81">
        <f>+[2]Repart!D43</f>
        <v>294696.65635986777</v>
      </c>
      <c r="E44" s="81">
        <f>+[2]Repart!E43</f>
        <v>20302.682709808385</v>
      </c>
      <c r="G44" s="80"/>
      <c r="H44" s="80"/>
      <c r="I44" s="81"/>
      <c r="J44" s="81">
        <f>+(J$46-D$46)/(Conso!$G$21-Chalette!$C$8-[2]Conso!$F$21)*(Nord!$P$21-[2]Nord!$O$21)+D44</f>
        <v>400076.85565268277</v>
      </c>
      <c r="K44" s="81">
        <f>+(K$46-E$46)/(Conso!$G$21-Chalette!$C$8-[2]Conso!$F$21)*(Nord!$P$21-[2]Nord!$O$21)+E44</f>
        <v>26585.034313986496</v>
      </c>
      <c r="M44" s="80"/>
      <c r="N44" s="80"/>
      <c r="O44" s="81"/>
      <c r="P44" s="81">
        <f>+P$46/(Conso!$I$21)*Conso!$D$21</f>
        <v>423815.91336992255</v>
      </c>
      <c r="Q44" s="81">
        <f>+Q$46/(Conso!$I$21)*Nord!$Q$21</f>
        <v>39336.029376399063</v>
      </c>
    </row>
    <row r="45" spans="1:17">
      <c r="A45" s="82" t="s">
        <v>219</v>
      </c>
      <c r="B45" s="82">
        <v>30</v>
      </c>
      <c r="C45" s="83">
        <f>+C43+C28+C19+C7</f>
        <v>198204.92400000003</v>
      </c>
      <c r="D45" s="83">
        <f>+D43+D28+D19+D7</f>
        <v>792843.36717687093</v>
      </c>
      <c r="E45" s="83">
        <f>+E43+E28+E19+E7</f>
        <v>54622.289975673884</v>
      </c>
      <c r="G45" s="82" t="s">
        <v>219</v>
      </c>
      <c r="H45" s="82">
        <f>+H7+H19+H28+H43</f>
        <v>31</v>
      </c>
      <c r="I45" s="83">
        <f>+I7+I19+I28+I43</f>
        <v>274554.7726666666</v>
      </c>
      <c r="J45" s="83">
        <f>+J7+J19+J28+J43</f>
        <v>1098242.7618435374</v>
      </c>
      <c r="K45" s="83">
        <f>+K7+K19+K28+K43</f>
        <v>72819.327173624595</v>
      </c>
      <c r="M45" s="82" t="s">
        <v>219</v>
      </c>
      <c r="N45" s="82">
        <f>+N7+N19+N28+N43</f>
        <v>31</v>
      </c>
      <c r="O45" s="83">
        <f>+O7+O19+O28+O43</f>
        <v>298985.22505862481</v>
      </c>
      <c r="P45" s="83">
        <f>+P7+P19+P28+P43</f>
        <v>1195940.9002344992</v>
      </c>
      <c r="Q45" s="83">
        <f>+Q7+Q19+Q28+Q43</f>
        <v>111000</v>
      </c>
    </row>
    <row r="46" spans="1:17">
      <c r="A46" s="84"/>
      <c r="B46" s="84"/>
      <c r="C46" s="85">
        <f>+[2]Repart!C45</f>
        <v>198204.92400000003</v>
      </c>
      <c r="D46" s="85">
        <f>+[2]Repart!D45</f>
        <v>792819.69600000011</v>
      </c>
      <c r="E46" s="85">
        <f>+[2]Repart!E45</f>
        <v>54620.12</v>
      </c>
      <c r="G46" s="84"/>
      <c r="H46" s="84"/>
      <c r="I46" s="85">
        <f>Lille!$F$174</f>
        <v>274554.7726666666</v>
      </c>
      <c r="J46" s="85">
        <f>+Lille!$F$175</f>
        <v>1098219.0906666664</v>
      </c>
      <c r="K46" s="85">
        <f>+Lille!$F$200</f>
        <v>72826.82666666666</v>
      </c>
      <c r="M46" s="84"/>
      <c r="N46" s="84"/>
      <c r="O46" s="85">
        <f>Lille!$G$174</f>
        <v>298985.22505862481</v>
      </c>
      <c r="P46" s="85">
        <f>+Lille!$G$175</f>
        <v>1195940.9002344992</v>
      </c>
      <c r="Q46" s="85">
        <f>+Lille!$G$200</f>
        <v>111000</v>
      </c>
    </row>
    <row r="47" spans="1:17">
      <c r="A47" t="s">
        <v>703</v>
      </c>
      <c r="D47" s="19">
        <f>+D45-D46</f>
        <v>23.671176870819181</v>
      </c>
      <c r="E47" s="19">
        <f>+E45-E46</f>
        <v>2.1699756738817086</v>
      </c>
      <c r="J47" s="19">
        <f>+J45-J46</f>
        <v>23.671176871052012</v>
      </c>
      <c r="K47" s="19">
        <f>+K45-K46</f>
        <v>-7.4994930420652963</v>
      </c>
    </row>
    <row r="48" spans="1:17">
      <c r="C48" s="19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M255"/>
  <sheetViews>
    <sheetView topLeftCell="A226" workbookViewId="0">
      <selection activeCell="L1" sqref="L1"/>
    </sheetView>
  </sheetViews>
  <sheetFormatPr baseColWidth="10" defaultRowHeight="12.75"/>
  <cols>
    <col min="1" max="1" width="72.85546875" bestFit="1" customWidth="1"/>
    <col min="2" max="2" width="12.28515625" style="26" customWidth="1"/>
    <col min="3" max="4" width="14.28515625" style="26" customWidth="1"/>
    <col min="5" max="5" width="12.28515625" style="26" customWidth="1"/>
    <col min="6" max="6" width="12.28515625" style="26" bestFit="1" customWidth="1"/>
    <col min="7" max="7" width="14.28515625" style="26" hidden="1" customWidth="1"/>
    <col min="8" max="8" width="12.28515625" style="26" customWidth="1"/>
    <col min="9" max="9" width="9.7109375" style="66" customWidth="1"/>
    <col min="10" max="10" width="9.140625" style="66" customWidth="1"/>
    <col min="11" max="11" width="12.7109375" style="28" customWidth="1"/>
    <col min="12" max="12" width="14.7109375" bestFit="1" customWidth="1"/>
  </cols>
  <sheetData>
    <row r="1" spans="1:11">
      <c r="A1" s="1" t="s">
        <v>515</v>
      </c>
      <c r="E1" s="45" t="s">
        <v>299</v>
      </c>
      <c r="K1" s="45"/>
    </row>
    <row r="3" spans="1:11" s="2" customFormat="1" ht="12.75" customHeight="1">
      <c r="A3" s="6"/>
      <c r="B3" s="155"/>
      <c r="C3" s="211"/>
      <c r="D3" s="211"/>
      <c r="E3" s="267" t="s">
        <v>55</v>
      </c>
      <c r="F3" s="130" t="s">
        <v>364</v>
      </c>
      <c r="G3" s="130" t="s">
        <v>543</v>
      </c>
      <c r="H3" s="104" t="s">
        <v>196</v>
      </c>
      <c r="I3" s="151" t="s">
        <v>225</v>
      </c>
      <c r="J3" s="183" t="s">
        <v>225</v>
      </c>
      <c r="K3" s="8" t="s">
        <v>196</v>
      </c>
    </row>
    <row r="4" spans="1:11" s="2" customFormat="1" ht="20.25" customHeight="1">
      <c r="A4" s="7" t="s">
        <v>541</v>
      </c>
      <c r="B4" s="212" t="s">
        <v>202</v>
      </c>
      <c r="C4" s="331" t="s">
        <v>203</v>
      </c>
      <c r="D4" s="331" t="s">
        <v>542</v>
      </c>
      <c r="E4" s="260" t="s">
        <v>366</v>
      </c>
      <c r="F4" s="131" t="s">
        <v>366</v>
      </c>
      <c r="G4" s="131" t="s">
        <v>432</v>
      </c>
      <c r="H4" s="105" t="s">
        <v>197</v>
      </c>
      <c r="I4" s="152" t="s">
        <v>55</v>
      </c>
      <c r="J4" s="131" t="s">
        <v>432</v>
      </c>
      <c r="K4" s="9" t="s">
        <v>197</v>
      </c>
    </row>
    <row r="5" spans="1:11" s="2" customFormat="1" ht="20.25" customHeight="1">
      <c r="A5" s="7"/>
      <c r="B5" s="212"/>
      <c r="C5" s="331"/>
      <c r="D5" s="331"/>
      <c r="E5" s="157">
        <f>E216</f>
        <v>79872.320121133307</v>
      </c>
      <c r="F5" s="157">
        <f>F216</f>
        <v>-1821.1829251738418</v>
      </c>
      <c r="G5" s="157">
        <f>G216</f>
        <v>73103.369938025819</v>
      </c>
      <c r="H5" s="157">
        <f>H216</f>
        <v>73103.369938025819</v>
      </c>
      <c r="I5" s="152"/>
      <c r="J5" s="132" t="s">
        <v>433</v>
      </c>
      <c r="K5" s="10"/>
    </row>
    <row r="6" spans="1:11" s="2" customFormat="1" ht="18">
      <c r="A6" s="68"/>
      <c r="B6" s="158"/>
      <c r="C6" s="216"/>
      <c r="D6" s="216"/>
      <c r="E6" s="269">
        <v>2009</v>
      </c>
      <c r="F6" s="133">
        <v>2010</v>
      </c>
      <c r="G6" s="133">
        <v>2009</v>
      </c>
      <c r="H6" s="159">
        <v>2011</v>
      </c>
      <c r="I6" s="153" t="s">
        <v>544</v>
      </c>
      <c r="J6" s="185" t="s">
        <v>368</v>
      </c>
      <c r="K6" s="4">
        <v>2010</v>
      </c>
    </row>
    <row r="7" spans="1:11" s="2" customFormat="1" ht="18">
      <c r="A7" s="67"/>
      <c r="B7" s="160"/>
      <c r="C7" s="113"/>
      <c r="D7" s="113"/>
      <c r="E7" s="160"/>
      <c r="F7" s="25"/>
      <c r="G7" s="25"/>
      <c r="H7" s="154"/>
      <c r="I7" s="149"/>
      <c r="J7" s="186"/>
      <c r="K7" s="5"/>
    </row>
    <row r="8" spans="1:11" s="2" customFormat="1" ht="11.25">
      <c r="A8" s="5" t="s">
        <v>221</v>
      </c>
      <c r="B8" s="160">
        <f>+Vannes!G8</f>
        <v>897500</v>
      </c>
      <c r="C8" s="113">
        <f>+Rennes!$G8</f>
        <v>514100</v>
      </c>
      <c r="D8" s="113">
        <f>+Mans!$G8</f>
        <v>909800</v>
      </c>
      <c r="E8" s="160">
        <f>+Vannes!E8+Rennes!E8+Mans!E8</f>
        <v>1935127.08</v>
      </c>
      <c r="F8" s="368">
        <f>+Vannes!F8+Rennes!F8+Mans!F8</f>
        <v>2085000</v>
      </c>
      <c r="G8" s="373">
        <f>+Vannes!G8+Rennes!G8+Mans!G8</f>
        <v>2321400</v>
      </c>
      <c r="H8" s="161">
        <f>SUM(B8:D8)</f>
        <v>2321400</v>
      </c>
      <c r="I8" s="149">
        <f>+IF((E8)=0,,(F8-E8)/E8)</f>
        <v>7.7448619033329807E-2</v>
      </c>
      <c r="J8" s="271">
        <f>+IF((F8)=0,,(H8-F8)/F8)</f>
        <v>0.11338129496402878</v>
      </c>
      <c r="K8" s="18">
        <f>+Vannes!G8+Rennes!G8+Mans!G8</f>
        <v>2321400</v>
      </c>
    </row>
    <row r="9" spans="1:11" s="2" customFormat="1" ht="11.25">
      <c r="A9" s="5" t="s">
        <v>422</v>
      </c>
      <c r="B9" s="160">
        <f>+Vannes!G9</f>
        <v>0</v>
      </c>
      <c r="C9" s="113">
        <f>+Rennes!$G9</f>
        <v>0</v>
      </c>
      <c r="D9" s="113">
        <f>+Mans!$G9</f>
        <v>0</v>
      </c>
      <c r="E9" s="160">
        <f>+Vannes!E9+Rennes!E9+Mans!E9</f>
        <v>256637.77</v>
      </c>
      <c r="F9" s="368">
        <f>+Vannes!F9+Rennes!F9+Mans!F9</f>
        <v>0</v>
      </c>
      <c r="G9" s="373">
        <f>+Vannes!G9+Rennes!G9+Mans!G9</f>
        <v>0</v>
      </c>
      <c r="H9" s="161">
        <f t="shared" ref="H9:H19" si="0">SUM(B9:D9)</f>
        <v>0</v>
      </c>
      <c r="I9" s="149">
        <f t="shared" ref="I9:I19" si="1">+IF((E9)=0,,(F9-E9)/E9)</f>
        <v>-1</v>
      </c>
      <c r="J9" s="271">
        <f t="shared" ref="J9:J19" si="2">+IF((F9)=0,,(H9-F9)/F9)</f>
        <v>0</v>
      </c>
      <c r="K9" s="18">
        <f>+Vannes!G9+Rennes!G9+Mans!G9</f>
        <v>0</v>
      </c>
    </row>
    <row r="10" spans="1:11" s="2" customFormat="1" ht="11.25">
      <c r="A10" s="5" t="s">
        <v>84</v>
      </c>
      <c r="B10" s="160">
        <f>+Vannes!G10</f>
        <v>0</v>
      </c>
      <c r="C10" s="113">
        <f>+Rennes!$G10</f>
        <v>0</v>
      </c>
      <c r="D10" s="113">
        <f>+Mans!$G10</f>
        <v>0</v>
      </c>
      <c r="E10" s="160">
        <f>+Vannes!E10+Rennes!E10+Mans!E10</f>
        <v>0</v>
      </c>
      <c r="F10" s="368">
        <f>+Vannes!F10+Rennes!F10+Mans!F10</f>
        <v>0</v>
      </c>
      <c r="G10" s="373">
        <f>+Vannes!G10+Rennes!G10+Mans!G10</f>
        <v>0</v>
      </c>
      <c r="H10" s="161">
        <f t="shared" si="0"/>
        <v>0</v>
      </c>
      <c r="I10" s="149">
        <f t="shared" si="1"/>
        <v>0</v>
      </c>
      <c r="J10" s="271">
        <f t="shared" si="2"/>
        <v>0</v>
      </c>
      <c r="K10" s="18">
        <f>+Vannes!G10+Rennes!G10+Mans!G10</f>
        <v>0</v>
      </c>
    </row>
    <row r="11" spans="1:11" s="2" customFormat="1" ht="11.25">
      <c r="A11" s="5" t="s">
        <v>267</v>
      </c>
      <c r="B11" s="160">
        <f>+Vannes!G11</f>
        <v>0</v>
      </c>
      <c r="C11" s="113">
        <f>+Rennes!$G11</f>
        <v>0</v>
      </c>
      <c r="D11" s="113">
        <f>+Mans!$G11</f>
        <v>0</v>
      </c>
      <c r="E11" s="160">
        <f>+Vannes!E11+Rennes!E11+Mans!E11</f>
        <v>0</v>
      </c>
      <c r="F11" s="368">
        <f>+Vannes!F11+Rennes!F11+Mans!F11</f>
        <v>0</v>
      </c>
      <c r="G11" s="373">
        <f>+Vannes!G11+Rennes!G11+Mans!G11</f>
        <v>0</v>
      </c>
      <c r="H11" s="161">
        <f t="shared" si="0"/>
        <v>0</v>
      </c>
      <c r="I11" s="149">
        <f t="shared" si="1"/>
        <v>0</v>
      </c>
      <c r="J11" s="271">
        <f t="shared" si="2"/>
        <v>0</v>
      </c>
      <c r="K11" s="18">
        <f>+Vannes!G11+Rennes!G11+Mans!G11</f>
        <v>0</v>
      </c>
    </row>
    <row r="12" spans="1:11" s="2" customFormat="1" ht="11.25">
      <c r="A12" s="5" t="s">
        <v>46</v>
      </c>
      <c r="B12" s="160">
        <f>+Vannes!G12</f>
        <v>0</v>
      </c>
      <c r="C12" s="113">
        <f>+Rennes!$G12</f>
        <v>0</v>
      </c>
      <c r="D12" s="113">
        <f>+Mans!$G12</f>
        <v>0</v>
      </c>
      <c r="E12" s="160">
        <f>+Vannes!E12+Rennes!E12+Mans!E12</f>
        <v>0</v>
      </c>
      <c r="F12" s="368">
        <f>+Vannes!F12+Rennes!F12+Mans!F12</f>
        <v>0</v>
      </c>
      <c r="G12" s="373">
        <f>+Vannes!G12+Rennes!G12+Mans!G12</f>
        <v>0</v>
      </c>
      <c r="H12" s="161">
        <f t="shared" si="0"/>
        <v>0</v>
      </c>
      <c r="I12" s="149">
        <f t="shared" si="1"/>
        <v>0</v>
      </c>
      <c r="J12" s="271">
        <f t="shared" si="2"/>
        <v>0</v>
      </c>
      <c r="K12" s="18">
        <f>+Vannes!G12+Rennes!G12+Mans!G12</f>
        <v>0</v>
      </c>
    </row>
    <row r="13" spans="1:11" s="2" customFormat="1" ht="11.25">
      <c r="A13" s="5" t="s">
        <v>268</v>
      </c>
      <c r="B13" s="160">
        <f>+Vannes!G13</f>
        <v>0</v>
      </c>
      <c r="C13" s="113">
        <f>+Rennes!$G13</f>
        <v>0</v>
      </c>
      <c r="D13" s="113">
        <f>+Mans!$G13</f>
        <v>0</v>
      </c>
      <c r="E13" s="160">
        <f>+Vannes!E13+Rennes!E13+Mans!E13</f>
        <v>0</v>
      </c>
      <c r="F13" s="368">
        <f>+Vannes!F13+Rennes!F13+Mans!F13</f>
        <v>0</v>
      </c>
      <c r="G13" s="373">
        <f>+Vannes!G13+Rennes!G13+Mans!G13</f>
        <v>0</v>
      </c>
      <c r="H13" s="161">
        <f t="shared" si="0"/>
        <v>0</v>
      </c>
      <c r="I13" s="149">
        <f t="shared" si="1"/>
        <v>0</v>
      </c>
      <c r="J13" s="271">
        <f t="shared" si="2"/>
        <v>0</v>
      </c>
      <c r="K13" s="18">
        <f>+Vannes!G13+Rennes!G13+Mans!G13</f>
        <v>0</v>
      </c>
    </row>
    <row r="14" spans="1:11" s="2" customFormat="1" ht="11.25">
      <c r="A14" s="5" t="s">
        <v>269</v>
      </c>
      <c r="B14" s="160">
        <f>+Vannes!G14</f>
        <v>0</v>
      </c>
      <c r="C14" s="113">
        <f>+Rennes!$G14</f>
        <v>0</v>
      </c>
      <c r="D14" s="113">
        <f>+Mans!$G14</f>
        <v>0</v>
      </c>
      <c r="E14" s="160">
        <f>+Vannes!E14+Rennes!E14+Mans!E14</f>
        <v>633.92000000000007</v>
      </c>
      <c r="F14" s="368">
        <f>+Vannes!F14+Rennes!F14+Mans!F14</f>
        <v>508.87</v>
      </c>
      <c r="G14" s="373">
        <f>+Vannes!G14+Rennes!G14+Mans!G14</f>
        <v>0</v>
      </c>
      <c r="H14" s="161">
        <f t="shared" si="0"/>
        <v>0</v>
      </c>
      <c r="I14" s="149">
        <f t="shared" si="1"/>
        <v>-0.19726463907117625</v>
      </c>
      <c r="J14" s="271">
        <f t="shared" si="2"/>
        <v>-1</v>
      </c>
      <c r="K14" s="18">
        <f>+Vannes!G14+Rennes!G14+Mans!G14</f>
        <v>0</v>
      </c>
    </row>
    <row r="15" spans="1:11" s="2" customFormat="1" ht="11.25">
      <c r="A15" s="5" t="s">
        <v>270</v>
      </c>
      <c r="B15" s="160">
        <f>+Vannes!G15</f>
        <v>0</v>
      </c>
      <c r="C15" s="113">
        <f>+Rennes!$G15</f>
        <v>0</v>
      </c>
      <c r="D15" s="113">
        <f>+Mans!$G15</f>
        <v>0</v>
      </c>
      <c r="E15" s="160">
        <f>+Vannes!E15+Rennes!E15+Mans!E15</f>
        <v>5676</v>
      </c>
      <c r="F15" s="368">
        <f>+Vannes!F15+Rennes!F15+Mans!F15</f>
        <v>4047</v>
      </c>
      <c r="G15" s="373">
        <f>+Vannes!G15+Rennes!G15+Mans!G15</f>
        <v>0</v>
      </c>
      <c r="H15" s="161">
        <f t="shared" si="0"/>
        <v>0</v>
      </c>
      <c r="I15" s="149">
        <f t="shared" si="1"/>
        <v>-0.28699788583509511</v>
      </c>
      <c r="J15" s="271">
        <f t="shared" si="2"/>
        <v>-1</v>
      </c>
      <c r="K15" s="18">
        <f>+Vannes!G15+Rennes!G15+Mans!G15</f>
        <v>0</v>
      </c>
    </row>
    <row r="16" spans="1:11" s="2" customFormat="1" ht="11.25">
      <c r="A16" s="5" t="s">
        <v>85</v>
      </c>
      <c r="B16" s="160">
        <f>+Vannes!G16</f>
        <v>0</v>
      </c>
      <c r="C16" s="113">
        <f>+Rennes!$G16</f>
        <v>0</v>
      </c>
      <c r="D16" s="113">
        <f>+Mans!$G16</f>
        <v>0</v>
      </c>
      <c r="E16" s="160">
        <f>+Vannes!E16+Rennes!E16+Mans!E16</f>
        <v>0</v>
      </c>
      <c r="F16" s="368">
        <f>+Vannes!F16+Rennes!F16+Mans!F16</f>
        <v>0</v>
      </c>
      <c r="G16" s="373">
        <f>+Vannes!G16+Rennes!G16+Mans!G16</f>
        <v>0</v>
      </c>
      <c r="H16" s="161">
        <f t="shared" si="0"/>
        <v>0</v>
      </c>
      <c r="I16" s="149">
        <f t="shared" si="1"/>
        <v>0</v>
      </c>
      <c r="J16" s="271">
        <f t="shared" si="2"/>
        <v>0</v>
      </c>
      <c r="K16" s="18">
        <f>+Vannes!G16+Rennes!G16+Mans!G16</f>
        <v>0</v>
      </c>
    </row>
    <row r="17" spans="1:11" s="2" customFormat="1" ht="11.25">
      <c r="A17" s="5" t="s">
        <v>88</v>
      </c>
      <c r="B17" s="160">
        <f>+Vannes!G17</f>
        <v>0</v>
      </c>
      <c r="C17" s="113">
        <f>+Rennes!$G17</f>
        <v>0</v>
      </c>
      <c r="D17" s="113">
        <f>+Mans!$G17</f>
        <v>0</v>
      </c>
      <c r="E17" s="160">
        <f>+Vannes!E17+Rennes!E17+Mans!E17</f>
        <v>0</v>
      </c>
      <c r="F17" s="368">
        <f>+Vannes!F17+Rennes!F17+Mans!F17</f>
        <v>0</v>
      </c>
      <c r="G17" s="373">
        <f>+Vannes!G17+Rennes!G17+Mans!G17</f>
        <v>0</v>
      </c>
      <c r="H17" s="161">
        <f t="shared" si="0"/>
        <v>0</v>
      </c>
      <c r="I17" s="149">
        <f t="shared" si="1"/>
        <v>0</v>
      </c>
      <c r="J17" s="271">
        <f t="shared" si="2"/>
        <v>0</v>
      </c>
      <c r="K17" s="18">
        <f>+Vannes!G17+Rennes!G17+Mans!G17</f>
        <v>0</v>
      </c>
    </row>
    <row r="18" spans="1:11" s="2" customFormat="1" ht="11.25">
      <c r="A18" s="5" t="s">
        <v>89</v>
      </c>
      <c r="B18" s="160">
        <f>+Vannes!G18</f>
        <v>0</v>
      </c>
      <c r="C18" s="113">
        <f>+Rennes!$G18</f>
        <v>0</v>
      </c>
      <c r="D18" s="113">
        <f>+Mans!$G18</f>
        <v>0</v>
      </c>
      <c r="E18" s="160">
        <f>+Vannes!E18+Rennes!E18+Mans!E18</f>
        <v>0</v>
      </c>
      <c r="F18" s="368">
        <f>+Vannes!F18+Rennes!F18+Mans!F18</f>
        <v>0</v>
      </c>
      <c r="G18" s="373">
        <f>+Vannes!G18+Rennes!G18+Mans!G18</f>
        <v>0</v>
      </c>
      <c r="H18" s="161">
        <f t="shared" si="0"/>
        <v>0</v>
      </c>
      <c r="I18" s="149">
        <f t="shared" si="1"/>
        <v>0</v>
      </c>
      <c r="J18" s="271">
        <f t="shared" si="2"/>
        <v>0</v>
      </c>
      <c r="K18" s="18">
        <f>+Vannes!G18+Rennes!G18+Mans!G18</f>
        <v>0</v>
      </c>
    </row>
    <row r="19" spans="1:11" s="2" customFormat="1" ht="11.25">
      <c r="A19" s="5" t="s">
        <v>90</v>
      </c>
      <c r="B19" s="160">
        <f>+Vannes!G19</f>
        <v>0</v>
      </c>
      <c r="C19" s="113">
        <f>+Rennes!$G19</f>
        <v>0</v>
      </c>
      <c r="D19" s="113">
        <f>+Mans!$G19</f>
        <v>0</v>
      </c>
      <c r="E19" s="160">
        <f>+Vannes!E19+Rennes!E19+Mans!E19</f>
        <v>0</v>
      </c>
      <c r="F19" s="368">
        <f>+Vannes!F19+Rennes!F19+Mans!F19</f>
        <v>0</v>
      </c>
      <c r="G19" s="373">
        <f>+Vannes!G19+Rennes!G19+Mans!G19</f>
        <v>0</v>
      </c>
      <c r="H19" s="161">
        <f t="shared" si="0"/>
        <v>0</v>
      </c>
      <c r="I19" s="149">
        <f t="shared" si="1"/>
        <v>0</v>
      </c>
      <c r="J19" s="271">
        <f t="shared" si="2"/>
        <v>0</v>
      </c>
      <c r="K19" s="18">
        <f>+Vannes!G19+Rennes!G19+Mans!G19</f>
        <v>0</v>
      </c>
    </row>
    <row r="20" spans="1:11" s="2" customFormat="1" ht="11.25">
      <c r="A20" s="5"/>
      <c r="B20" s="160"/>
      <c r="C20" s="113"/>
      <c r="D20" s="113"/>
      <c r="E20" s="160"/>
      <c r="F20" s="113"/>
      <c r="G20" s="113"/>
      <c r="H20" s="162"/>
      <c r="I20" s="149"/>
      <c r="J20" s="254"/>
      <c r="K20" s="18"/>
    </row>
    <row r="21" spans="1:11" s="57" customFormat="1" ht="15" customHeight="1">
      <c r="A21" s="13" t="s">
        <v>222</v>
      </c>
      <c r="B21" s="163">
        <f t="shared" ref="B21:H21" si="3">SUM(B7:B20)</f>
        <v>897500</v>
      </c>
      <c r="C21" s="204">
        <f t="shared" si="3"/>
        <v>514100</v>
      </c>
      <c r="D21" s="204">
        <f t="shared" si="3"/>
        <v>909800</v>
      </c>
      <c r="E21" s="163">
        <f>SUM(B21:D21)</f>
        <v>2321400</v>
      </c>
      <c r="F21" s="204">
        <f t="shared" si="3"/>
        <v>2089555.87</v>
      </c>
      <c r="G21" s="204">
        <f t="shared" si="3"/>
        <v>2321400</v>
      </c>
      <c r="H21" s="168">
        <f t="shared" si="3"/>
        <v>2321400</v>
      </c>
      <c r="I21" s="272">
        <f>+IF((E21)=0,,(F21-E21)/E21)</f>
        <v>-9.9872546739036741E-2</v>
      </c>
      <c r="J21" s="188">
        <f>+IF((F21)=0,,(H21-F21)/F21)</f>
        <v>0.11095378368609971</v>
      </c>
      <c r="K21" s="305">
        <f>SUM(K7:K20)</f>
        <v>2321400</v>
      </c>
    </row>
    <row r="22" spans="1:11" s="57" customFormat="1" ht="15" customHeight="1">
      <c r="A22" s="5"/>
      <c r="B22" s="160"/>
      <c r="C22" s="113"/>
      <c r="D22" s="113"/>
      <c r="E22" s="160"/>
      <c r="F22" s="113"/>
      <c r="G22" s="113"/>
      <c r="H22" s="162"/>
      <c r="I22" s="149"/>
      <c r="J22" s="271"/>
      <c r="K22" s="18"/>
    </row>
    <row r="23" spans="1:11" s="2" customFormat="1" ht="11.25">
      <c r="A23" s="5" t="s">
        <v>92</v>
      </c>
      <c r="B23" s="160">
        <f>+Vannes!G23</f>
        <v>0</v>
      </c>
      <c r="C23" s="113">
        <f>+Rennes!$G23</f>
        <v>0</v>
      </c>
      <c r="D23" s="113">
        <f>+Mans!$G23</f>
        <v>0</v>
      </c>
      <c r="E23" s="160">
        <f>+Vannes!E23+Rennes!E23+Mans!E23</f>
        <v>0</v>
      </c>
      <c r="F23" s="368">
        <f>+Vannes!F23+Rennes!F23+Mans!F23</f>
        <v>0</v>
      </c>
      <c r="G23" s="373">
        <f>+Vannes!G23+Rennes!G23+Mans!G23</f>
        <v>0</v>
      </c>
      <c r="H23" s="161">
        <f>SUM(B23:D23)</f>
        <v>0</v>
      </c>
      <c r="I23" s="149"/>
      <c r="J23" s="271"/>
      <c r="K23" s="18"/>
    </row>
    <row r="24" spans="1:11" s="2" customFormat="1" ht="11.25">
      <c r="A24" s="5" t="s">
        <v>93</v>
      </c>
      <c r="B24" s="160">
        <f>+Vannes!G24</f>
        <v>0</v>
      </c>
      <c r="C24" s="113">
        <f>+Rennes!$G24</f>
        <v>0</v>
      </c>
      <c r="D24" s="113">
        <f>+Mans!$G24</f>
        <v>0</v>
      </c>
      <c r="E24" s="160">
        <f>+Vannes!E24+Rennes!E24+Mans!E24</f>
        <v>671499.92999999993</v>
      </c>
      <c r="F24" s="368">
        <f>+Vannes!F24+Rennes!F24+Mans!F24</f>
        <v>0</v>
      </c>
      <c r="G24" s="373">
        <f>+Vannes!G24+Rennes!G24+Mans!G24</f>
        <v>0</v>
      </c>
      <c r="H24" s="161">
        <f t="shared" ref="H24:H29" si="4">SUM(B24:D24)</f>
        <v>0</v>
      </c>
      <c r="I24" s="149"/>
      <c r="J24" s="271"/>
      <c r="K24" s="18"/>
    </row>
    <row r="25" spans="1:11" s="2" customFormat="1" ht="11.25">
      <c r="A25" s="5" t="s">
        <v>94</v>
      </c>
      <c r="B25" s="160">
        <f>+Vannes!G25</f>
        <v>0</v>
      </c>
      <c r="C25" s="113">
        <f>+Rennes!$G25</f>
        <v>0</v>
      </c>
      <c r="D25" s="113">
        <f>+Mans!$G25</f>
        <v>0</v>
      </c>
      <c r="E25" s="160">
        <f>+Vannes!E25+Rennes!E25+Mans!E25</f>
        <v>62847.06</v>
      </c>
      <c r="F25" s="368">
        <f>+Vannes!F25+Rennes!F25+Mans!F25</f>
        <v>0</v>
      </c>
      <c r="G25" s="373">
        <f>+Vannes!G25+Rennes!G25+Mans!G25</f>
        <v>0</v>
      </c>
      <c r="H25" s="161">
        <f t="shared" si="4"/>
        <v>0</v>
      </c>
      <c r="I25" s="149"/>
      <c r="J25" s="271"/>
      <c r="K25" s="18"/>
    </row>
    <row r="26" spans="1:11" s="57" customFormat="1" ht="15" customHeight="1">
      <c r="A26" s="5" t="s">
        <v>288</v>
      </c>
      <c r="B26" s="160">
        <f>+Vannes!G26</f>
        <v>0</v>
      </c>
      <c r="C26" s="113">
        <f>+Rennes!$G26</f>
        <v>0</v>
      </c>
      <c r="D26" s="113">
        <f>+Mans!$G26</f>
        <v>0</v>
      </c>
      <c r="E26" s="160">
        <f>+Vannes!E26+Rennes!E26+Mans!E26</f>
        <v>132367</v>
      </c>
      <c r="F26" s="368">
        <f>+Vannes!F26+Rennes!F26+Mans!F26</f>
        <v>0</v>
      </c>
      <c r="G26" s="373">
        <f>+Vannes!G26+Rennes!G26+Mans!G26</f>
        <v>0</v>
      </c>
      <c r="H26" s="161">
        <f t="shared" si="4"/>
        <v>0</v>
      </c>
      <c r="I26" s="149"/>
      <c r="J26" s="271"/>
      <c r="K26" s="18"/>
    </row>
    <row r="27" spans="1:11" s="57" customFormat="1" ht="15" customHeight="1">
      <c r="A27" s="5" t="s">
        <v>289</v>
      </c>
      <c r="B27" s="160">
        <f>+Vannes!G27</f>
        <v>0</v>
      </c>
      <c r="C27" s="113">
        <f>+Rennes!$G27</f>
        <v>0</v>
      </c>
      <c r="D27" s="113">
        <f>+Mans!$G27</f>
        <v>0</v>
      </c>
      <c r="E27" s="160">
        <f>+Vannes!E27+Rennes!E27+Mans!E27</f>
        <v>-155849</v>
      </c>
      <c r="F27" s="368">
        <f>+Vannes!F27+Rennes!F27+Mans!F27</f>
        <v>0</v>
      </c>
      <c r="G27" s="373">
        <f>+Vannes!G27+Rennes!G27+Mans!G27</f>
        <v>0</v>
      </c>
      <c r="H27" s="161">
        <f t="shared" si="4"/>
        <v>0</v>
      </c>
      <c r="I27" s="149"/>
      <c r="J27" s="271"/>
      <c r="K27" s="18"/>
    </row>
    <row r="28" spans="1:11" s="2" customFormat="1" ht="11.25">
      <c r="A28" s="5" t="s">
        <v>95</v>
      </c>
      <c r="B28" s="160">
        <f>+Vannes!G28</f>
        <v>255000</v>
      </c>
      <c r="C28" s="113">
        <f>+Rennes!$G28</f>
        <v>135000</v>
      </c>
      <c r="D28" s="113">
        <f>+Mans!$G28</f>
        <v>140000</v>
      </c>
      <c r="E28" s="160">
        <f>+Vannes!E28+Rennes!E28+Mans!E28</f>
        <v>508353.77</v>
      </c>
      <c r="F28" s="368">
        <f>+Vannes!F28+Rennes!F28+Mans!F28</f>
        <v>0</v>
      </c>
      <c r="G28" s="373">
        <f>+Vannes!G28+Rennes!G28+Mans!G28</f>
        <v>530000</v>
      </c>
      <c r="H28" s="161">
        <f t="shared" si="4"/>
        <v>530000</v>
      </c>
      <c r="I28" s="149"/>
      <c r="J28" s="271"/>
      <c r="K28" s="18"/>
    </row>
    <row r="29" spans="1:11" s="2" customFormat="1" ht="11.25">
      <c r="A29" s="5" t="s">
        <v>293</v>
      </c>
      <c r="B29" s="160">
        <f>+Vannes!G29</f>
        <v>0</v>
      </c>
      <c r="C29" s="113">
        <f>+Rennes!$G29</f>
        <v>0</v>
      </c>
      <c r="D29" s="113">
        <f>+Mans!$G29</f>
        <v>0</v>
      </c>
      <c r="E29" s="160">
        <f>+Vannes!E29+Rennes!E29+Mans!E29</f>
        <v>0</v>
      </c>
      <c r="F29" s="368">
        <f>+Vannes!F29+Rennes!F29+Mans!F29</f>
        <v>0</v>
      </c>
      <c r="G29" s="373">
        <f>+Vannes!G29+Rennes!G29+Mans!G29</f>
        <v>0</v>
      </c>
      <c r="H29" s="161">
        <f t="shared" si="4"/>
        <v>0</v>
      </c>
      <c r="I29" s="149"/>
      <c r="J29" s="271"/>
      <c r="K29" s="18"/>
    </row>
    <row r="30" spans="1:11" s="2" customFormat="1" ht="11.25">
      <c r="A30" s="42" t="s">
        <v>292</v>
      </c>
      <c r="B30" s="164">
        <f t="shared" ref="B30:H30" si="5">SUM(B23:B29)</f>
        <v>255000</v>
      </c>
      <c r="C30" s="220">
        <f t="shared" si="5"/>
        <v>135000</v>
      </c>
      <c r="D30" s="220">
        <f t="shared" si="5"/>
        <v>140000</v>
      </c>
      <c r="E30" s="164">
        <f>SUM(B30:D30)</f>
        <v>530000</v>
      </c>
      <c r="F30" s="220"/>
      <c r="G30" s="220">
        <f>SUM(G23:G29)</f>
        <v>530000</v>
      </c>
      <c r="H30" s="165">
        <f t="shared" si="5"/>
        <v>530000</v>
      </c>
      <c r="I30" s="273"/>
      <c r="J30" s="342"/>
      <c r="K30" s="306"/>
    </row>
    <row r="31" spans="1:11" s="2" customFormat="1" ht="15" customHeight="1">
      <c r="A31" s="5"/>
      <c r="B31" s="160"/>
      <c r="C31" s="113"/>
      <c r="D31" s="113"/>
      <c r="E31" s="160"/>
      <c r="F31" s="113"/>
      <c r="G31" s="113"/>
      <c r="H31" s="162"/>
      <c r="I31" s="149"/>
      <c r="J31" s="254"/>
      <c r="K31" s="18"/>
    </row>
    <row r="32" spans="1:11" s="2" customFormat="1" ht="15" customHeight="1">
      <c r="A32" s="56" t="s">
        <v>336</v>
      </c>
      <c r="B32" s="166"/>
      <c r="C32" s="221"/>
      <c r="D32" s="221"/>
      <c r="E32" s="166">
        <f>+Vannes!E32+Rennes!E32+Mans!E32</f>
        <v>953404.03769999975</v>
      </c>
      <c r="F32" s="221">
        <f>+Vannes!F32+Rennes!F32+Mans!F32</f>
        <v>0</v>
      </c>
      <c r="G32" s="221">
        <f>+Vannes!G32+Rennes!G32+Mans!G32</f>
        <v>0</v>
      </c>
      <c r="H32" s="167">
        <f>SUM(B32:D32)</f>
        <v>0</v>
      </c>
      <c r="I32" s="273"/>
      <c r="J32" s="274"/>
      <c r="K32" s="307"/>
    </row>
    <row r="33" spans="1:11" s="2" customFormat="1" ht="11.25">
      <c r="A33" s="56" t="s">
        <v>337</v>
      </c>
      <c r="B33" s="196">
        <f>+B32/B21</f>
        <v>0</v>
      </c>
      <c r="C33" s="222">
        <f>+C32/C21</f>
        <v>0</v>
      </c>
      <c r="D33" s="222">
        <f>+D32/D21</f>
        <v>0</v>
      </c>
      <c r="E33" s="196">
        <f>+E32/E21</f>
        <v>0.41070217872835346</v>
      </c>
      <c r="F33" s="222"/>
      <c r="G33" s="222">
        <f>+G32/G21</f>
        <v>0</v>
      </c>
      <c r="H33" s="189">
        <f>+H32/H21</f>
        <v>0</v>
      </c>
      <c r="I33" s="273"/>
      <c r="J33" s="274"/>
      <c r="K33" s="308"/>
    </row>
    <row r="34" spans="1:11" s="2" customFormat="1" ht="11.25">
      <c r="A34" s="5"/>
      <c r="B34" s="160"/>
      <c r="C34" s="113"/>
      <c r="D34" s="113"/>
      <c r="E34" s="160"/>
      <c r="F34" s="113"/>
      <c r="G34" s="113"/>
      <c r="H34" s="162"/>
      <c r="I34" s="149"/>
      <c r="J34" s="271"/>
      <c r="K34" s="18"/>
    </row>
    <row r="35" spans="1:11" s="33" customFormat="1" ht="15" customHeight="1">
      <c r="A35" s="5" t="s">
        <v>96</v>
      </c>
      <c r="B35" s="160">
        <f>+Vannes!G35</f>
        <v>0</v>
      </c>
      <c r="C35" s="113">
        <f>+Rennes!$G35</f>
        <v>0</v>
      </c>
      <c r="D35" s="113">
        <f>+Mans!$G35</f>
        <v>0</v>
      </c>
      <c r="E35" s="160">
        <f>+Vannes!E35+Rennes!E35+Mans!E35</f>
        <v>12354.119999999999</v>
      </c>
      <c r="F35" s="368">
        <f>+Vannes!F35+Rennes!F35+Mans!F35</f>
        <v>0</v>
      </c>
      <c r="G35" s="373">
        <f>+Vannes!G35+Rennes!G35+Mans!G35</f>
        <v>0</v>
      </c>
      <c r="H35" s="161">
        <f>SUM(B35:D35)</f>
        <v>0</v>
      </c>
      <c r="I35" s="149"/>
      <c r="J35" s="271"/>
      <c r="K35" s="18"/>
    </row>
    <row r="36" spans="1:11" s="2" customFormat="1" ht="11.25">
      <c r="A36" s="5" t="s">
        <v>97</v>
      </c>
      <c r="B36" s="160">
        <f>+Vannes!G36</f>
        <v>0</v>
      </c>
      <c r="C36" s="113">
        <f>+Rennes!$G36</f>
        <v>0</v>
      </c>
      <c r="D36" s="113">
        <f>+Mans!$G36</f>
        <v>0</v>
      </c>
      <c r="E36" s="160">
        <f>+Vannes!E36+Rennes!E36+Mans!E36</f>
        <v>12580.77</v>
      </c>
      <c r="F36" s="368">
        <f>+Vannes!F36+Rennes!F36+Mans!F36</f>
        <v>0</v>
      </c>
      <c r="G36" s="373">
        <f>+Vannes!G36+Rennes!G36+Mans!G36</f>
        <v>0</v>
      </c>
      <c r="H36" s="161">
        <f t="shared" ref="H36:H42" si="6">SUM(B36:D36)</f>
        <v>0</v>
      </c>
      <c r="I36" s="149"/>
      <c r="J36" s="271"/>
      <c r="K36" s="18"/>
    </row>
    <row r="37" spans="1:11" s="33" customFormat="1" ht="15.75" customHeight="1">
      <c r="A37" s="5" t="s">
        <v>98</v>
      </c>
      <c r="B37" s="160">
        <f>+Vannes!G37</f>
        <v>0</v>
      </c>
      <c r="C37" s="113">
        <f>+Rennes!$G37</f>
        <v>0</v>
      </c>
      <c r="D37" s="113">
        <f>+Mans!$G37</f>
        <v>0</v>
      </c>
      <c r="E37" s="160">
        <f>+Vannes!E37+Rennes!E37+Mans!E37</f>
        <v>0</v>
      </c>
      <c r="F37" s="368">
        <f>+Vannes!F37+Rennes!F37+Mans!F37</f>
        <v>0</v>
      </c>
      <c r="G37" s="373">
        <f>+Vannes!G37+Rennes!G37+Mans!G37</f>
        <v>0</v>
      </c>
      <c r="H37" s="161">
        <f t="shared" si="6"/>
        <v>0</v>
      </c>
      <c r="I37" s="149"/>
      <c r="J37" s="271"/>
      <c r="K37" s="18"/>
    </row>
    <row r="38" spans="1:11" s="2" customFormat="1" ht="11.25">
      <c r="A38" s="5" t="s">
        <v>99</v>
      </c>
      <c r="B38" s="160">
        <f>+Vannes!G38</f>
        <v>0</v>
      </c>
      <c r="C38" s="113">
        <f>+Rennes!$G38</f>
        <v>0</v>
      </c>
      <c r="D38" s="113">
        <f>+Mans!$G38</f>
        <v>0</v>
      </c>
      <c r="E38" s="160">
        <f>+Vannes!E38+Rennes!E38+Mans!E38</f>
        <v>25451.972300000009</v>
      </c>
      <c r="F38" s="368">
        <f>+Vannes!F38+Rennes!F38+Mans!F38</f>
        <v>0</v>
      </c>
      <c r="G38" s="373">
        <f>+Vannes!G38+Rennes!G38+Mans!G38</f>
        <v>0</v>
      </c>
      <c r="H38" s="161">
        <f t="shared" si="6"/>
        <v>0</v>
      </c>
      <c r="I38" s="149"/>
      <c r="J38" s="271"/>
      <c r="K38" s="18"/>
    </row>
    <row r="39" spans="1:11" s="2" customFormat="1" ht="11.25">
      <c r="A39" s="5" t="s">
        <v>177</v>
      </c>
      <c r="B39" s="160">
        <f>+Vannes!G39</f>
        <v>0</v>
      </c>
      <c r="C39" s="113">
        <f>+Rennes!$G39</f>
        <v>0</v>
      </c>
      <c r="D39" s="113">
        <f>+Mans!$G39</f>
        <v>0</v>
      </c>
      <c r="E39" s="160">
        <f>+Vannes!E39+Rennes!E39+Mans!E39</f>
        <v>15176.36</v>
      </c>
      <c r="F39" s="368">
        <f>+Vannes!F39+Rennes!F39+Mans!F39</f>
        <v>0</v>
      </c>
      <c r="G39" s="373">
        <f>+Vannes!G39+Rennes!G39+Mans!G39</f>
        <v>0</v>
      </c>
      <c r="H39" s="161">
        <f t="shared" si="6"/>
        <v>0</v>
      </c>
      <c r="I39" s="149"/>
      <c r="J39" s="271"/>
      <c r="K39" s="18"/>
    </row>
    <row r="40" spans="1:11" s="2" customFormat="1" ht="11.25">
      <c r="A40" s="5" t="s">
        <v>176</v>
      </c>
      <c r="B40" s="160">
        <f>+Vannes!G40</f>
        <v>0</v>
      </c>
      <c r="C40" s="113">
        <f>+Rennes!$G40</f>
        <v>0</v>
      </c>
      <c r="D40" s="113">
        <f>+Mans!$G40</f>
        <v>0</v>
      </c>
      <c r="E40" s="160">
        <f>+Vannes!E40+Rennes!E40+Mans!E40</f>
        <v>-14793.09</v>
      </c>
      <c r="F40" s="368">
        <f>+Vannes!F40+Rennes!F40+Mans!F40</f>
        <v>0</v>
      </c>
      <c r="G40" s="373">
        <f>+Vannes!G40+Rennes!G40+Mans!G40</f>
        <v>0</v>
      </c>
      <c r="H40" s="161">
        <f t="shared" si="6"/>
        <v>0</v>
      </c>
      <c r="I40" s="149"/>
      <c r="J40" s="271"/>
      <c r="K40" s="18"/>
    </row>
    <row r="41" spans="1:11" s="2" customFormat="1" ht="11.25">
      <c r="A41" s="5" t="s">
        <v>317</v>
      </c>
      <c r="B41" s="160">
        <f>+Vannes!G41</f>
        <v>0</v>
      </c>
      <c r="C41" s="113">
        <f>+Rennes!$G41</f>
        <v>0</v>
      </c>
      <c r="D41" s="113">
        <f>+Mans!$G41</f>
        <v>0</v>
      </c>
      <c r="E41" s="160">
        <f>+Vannes!E41+Rennes!E41+Mans!E41</f>
        <v>-18123.11</v>
      </c>
      <c r="F41" s="368">
        <f>+Vannes!F41+Rennes!F41+Mans!F41</f>
        <v>0</v>
      </c>
      <c r="G41" s="373">
        <f>+Vannes!G41+Rennes!G41+Mans!G41</f>
        <v>0</v>
      </c>
      <c r="H41" s="161">
        <f t="shared" si="6"/>
        <v>0</v>
      </c>
      <c r="I41" s="149"/>
      <c r="J41" s="271"/>
      <c r="K41" s="18"/>
    </row>
    <row r="42" spans="1:11" s="2" customFormat="1" ht="11.25">
      <c r="A42" s="5" t="s">
        <v>318</v>
      </c>
      <c r="B42" s="160">
        <f>+Vannes!G42</f>
        <v>0</v>
      </c>
      <c r="C42" s="113">
        <f>+Rennes!$G42</f>
        <v>0</v>
      </c>
      <c r="D42" s="113">
        <f>+Mans!$G42</f>
        <v>0</v>
      </c>
      <c r="E42" s="160">
        <f>+Vannes!E42+Rennes!E42+Mans!E42</f>
        <v>-34651.549999999996</v>
      </c>
      <c r="F42" s="368">
        <f>+Vannes!F42+Rennes!F42+Mans!F42</f>
        <v>0</v>
      </c>
      <c r="G42" s="373">
        <f>+Vannes!G42+Rennes!G42+Mans!G42</f>
        <v>0</v>
      </c>
      <c r="H42" s="161">
        <f t="shared" si="6"/>
        <v>0</v>
      </c>
      <c r="I42" s="149"/>
      <c r="J42" s="271"/>
      <c r="K42" s="18"/>
    </row>
    <row r="43" spans="1:11" s="2" customFormat="1" ht="11.25">
      <c r="A43" s="5"/>
      <c r="B43" s="160"/>
      <c r="C43" s="113"/>
      <c r="D43" s="113"/>
      <c r="E43" s="160"/>
      <c r="F43" s="113"/>
      <c r="G43" s="113"/>
      <c r="H43" s="162"/>
      <c r="I43" s="149"/>
      <c r="J43" s="254"/>
      <c r="K43" s="18"/>
    </row>
    <row r="44" spans="1:11" s="2" customFormat="1" ht="11.25">
      <c r="A44" s="13" t="s">
        <v>291</v>
      </c>
      <c r="B44" s="163">
        <f t="shared" ref="B44:H44" si="7">+B30+SUM(B34:B43)</f>
        <v>255000</v>
      </c>
      <c r="C44" s="204">
        <f t="shared" si="7"/>
        <v>135000</v>
      </c>
      <c r="D44" s="204">
        <f t="shared" si="7"/>
        <v>140000</v>
      </c>
      <c r="E44" s="163">
        <f>SUM(E35:E42)+E30</f>
        <v>527995.47230000002</v>
      </c>
      <c r="F44" s="204"/>
      <c r="G44" s="204">
        <f t="shared" si="7"/>
        <v>530000</v>
      </c>
      <c r="H44" s="168">
        <f t="shared" si="7"/>
        <v>530000</v>
      </c>
      <c r="I44" s="272"/>
      <c r="J44" s="188"/>
      <c r="K44" s="305"/>
    </row>
    <row r="45" spans="1:11" s="2" customFormat="1" ht="11.25">
      <c r="A45" s="5"/>
      <c r="B45" s="160"/>
      <c r="C45" s="113"/>
      <c r="D45" s="113"/>
      <c r="E45" s="160"/>
      <c r="F45" s="113"/>
      <c r="G45" s="113"/>
      <c r="H45" s="162"/>
      <c r="I45" s="149"/>
      <c r="J45" s="254"/>
      <c r="K45" s="18"/>
    </row>
    <row r="46" spans="1:11" s="2" customFormat="1" ht="11.25">
      <c r="A46" s="56" t="s">
        <v>339</v>
      </c>
      <c r="B46" s="166"/>
      <c r="C46" s="221"/>
      <c r="D46" s="221"/>
      <c r="E46" s="166">
        <f>+Vannes!E46+Rennes!E46+Mans!E46</f>
        <v>980860.53769999975</v>
      </c>
      <c r="F46" s="221">
        <f>+Vannes!F46+Rennes!F46+Mans!F46</f>
        <v>0</v>
      </c>
      <c r="G46" s="221">
        <f>+Vannes!G46+Rennes!G46+Mans!G46</f>
        <v>0</v>
      </c>
      <c r="H46" s="167">
        <f>SUM(B46:D46)</f>
        <v>0</v>
      </c>
      <c r="I46" s="273"/>
      <c r="J46" s="274"/>
      <c r="K46" s="307"/>
    </row>
    <row r="47" spans="1:11" s="2" customFormat="1" ht="11.25">
      <c r="A47" s="56" t="s">
        <v>340</v>
      </c>
      <c r="B47" s="196">
        <f>+B46/B21</f>
        <v>0</v>
      </c>
      <c r="C47" s="222">
        <f>+C46/C21</f>
        <v>0</v>
      </c>
      <c r="D47" s="222">
        <f>+D46/D21</f>
        <v>0</v>
      </c>
      <c r="E47" s="196">
        <f>+E46/E21</f>
        <v>0.42252973968294982</v>
      </c>
      <c r="F47" s="222"/>
      <c r="G47" s="222">
        <f>+G46/G21</f>
        <v>0</v>
      </c>
      <c r="H47" s="189">
        <f>+H46/H21</f>
        <v>0</v>
      </c>
      <c r="I47" s="273"/>
      <c r="J47" s="274"/>
      <c r="K47" s="308"/>
    </row>
    <row r="48" spans="1:11" s="2" customFormat="1" ht="15" customHeight="1">
      <c r="A48" s="5"/>
      <c r="B48" s="160"/>
      <c r="C48" s="113"/>
      <c r="D48" s="113"/>
      <c r="E48" s="160"/>
      <c r="F48" s="113"/>
      <c r="G48" s="113"/>
      <c r="H48" s="162"/>
      <c r="I48" s="149"/>
      <c r="J48" s="271"/>
      <c r="K48" s="18"/>
    </row>
    <row r="49" spans="1:11" s="2" customFormat="1" ht="11.25">
      <c r="A49" s="5" t="s">
        <v>91</v>
      </c>
      <c r="B49" s="160">
        <f>+Vannes!G49</f>
        <v>11669.9</v>
      </c>
      <c r="C49" s="113">
        <f>+Rennes!$G49</f>
        <v>14174.86</v>
      </c>
      <c r="D49" s="113">
        <f>+Mans!$G49</f>
        <v>8500</v>
      </c>
      <c r="E49" s="160">
        <f>+Vannes!E49+Rennes!E49+Mans!E49</f>
        <v>25543.480000000003</v>
      </c>
      <c r="F49" s="368">
        <f>+Vannes!F49+Rennes!F49+Mans!F49</f>
        <v>33332</v>
      </c>
      <c r="G49" s="373">
        <f>+Vannes!G49+Rennes!G49+Mans!G49</f>
        <v>34344.76</v>
      </c>
      <c r="H49" s="161">
        <f>SUM(B49:D49)</f>
        <v>34344.76</v>
      </c>
      <c r="I49" s="149">
        <f>+IF((E49)=0,,(F49-E49)/E49)</f>
        <v>0.30491225158044227</v>
      </c>
      <c r="J49" s="271">
        <f>+IF((F49)=0,,(H49-F49)/F49)</f>
        <v>3.0384015360614487E-2</v>
      </c>
      <c r="K49" s="18">
        <f>+Vannes!G49+Rennes!G49+Mans!G49</f>
        <v>34344.76</v>
      </c>
    </row>
    <row r="50" spans="1:11" s="2" customFormat="1" ht="15" customHeight="1">
      <c r="A50" s="5"/>
      <c r="B50" s="160"/>
      <c r="C50" s="113"/>
      <c r="D50" s="113"/>
      <c r="E50" s="160"/>
      <c r="F50" s="113"/>
      <c r="G50" s="113"/>
      <c r="H50" s="162"/>
      <c r="I50" s="149"/>
      <c r="J50" s="271"/>
      <c r="K50" s="18"/>
    </row>
    <row r="51" spans="1:11" s="2" customFormat="1" ht="11.25">
      <c r="A51" s="13" t="s">
        <v>223</v>
      </c>
      <c r="B51" s="163">
        <f t="shared" ref="B51:H51" si="8">+B21-B49</f>
        <v>885830.1</v>
      </c>
      <c r="C51" s="204">
        <f t="shared" si="8"/>
        <v>499925.14</v>
      </c>
      <c r="D51" s="204">
        <f>+D21-D49</f>
        <v>901300</v>
      </c>
      <c r="E51" s="163">
        <f t="shared" si="8"/>
        <v>2295856.52</v>
      </c>
      <c r="F51" s="204">
        <f t="shared" si="8"/>
        <v>2056223.87</v>
      </c>
      <c r="G51" s="204">
        <f>+G21-G49</f>
        <v>2287055.2400000002</v>
      </c>
      <c r="H51" s="168">
        <f t="shared" si="8"/>
        <v>2287055.2400000002</v>
      </c>
      <c r="I51" s="272"/>
      <c r="J51" s="188"/>
      <c r="K51" s="305">
        <f>+K21-K49</f>
        <v>2287055.2400000002</v>
      </c>
    </row>
    <row r="52" spans="1:11" s="2" customFormat="1" ht="15" customHeight="1">
      <c r="A52" s="5"/>
      <c r="B52" s="160"/>
      <c r="C52" s="113"/>
      <c r="D52" s="113"/>
      <c r="E52" s="160"/>
      <c r="F52" s="113"/>
      <c r="G52" s="113"/>
      <c r="H52" s="162"/>
      <c r="I52" s="149"/>
      <c r="J52" s="254"/>
      <c r="K52" s="18"/>
    </row>
    <row r="53" spans="1:11" s="2" customFormat="1" ht="11.25">
      <c r="A53" s="16" t="s">
        <v>3</v>
      </c>
      <c r="B53" s="169"/>
      <c r="C53" s="223"/>
      <c r="D53" s="223"/>
      <c r="E53" s="169">
        <f>+E51-E44</f>
        <v>1767861.0477</v>
      </c>
      <c r="F53" s="223"/>
      <c r="G53" s="223"/>
      <c r="H53" s="170"/>
      <c r="I53" s="224"/>
      <c r="J53" s="123"/>
      <c r="K53" s="309"/>
    </row>
    <row r="54" spans="1:11" s="2" customFormat="1" ht="15" customHeight="1">
      <c r="A54" s="16" t="s">
        <v>4</v>
      </c>
      <c r="B54" s="197"/>
      <c r="C54" s="224"/>
      <c r="D54" s="224"/>
      <c r="E54" s="197">
        <f>+E53/E51</f>
        <v>0.77002244360636263</v>
      </c>
      <c r="F54" s="224"/>
      <c r="G54" s="224"/>
      <c r="H54" s="191"/>
      <c r="I54" s="224"/>
      <c r="J54" s="123"/>
      <c r="K54" s="15"/>
    </row>
    <row r="55" spans="1:11" s="2" customFormat="1" ht="11.25">
      <c r="A55" s="5"/>
      <c r="B55" s="160"/>
      <c r="C55" s="113"/>
      <c r="D55" s="113"/>
      <c r="E55" s="160"/>
      <c r="F55" s="113"/>
      <c r="G55" s="113"/>
      <c r="H55" s="162"/>
      <c r="I55" s="149"/>
      <c r="J55" s="271"/>
      <c r="K55" s="18"/>
    </row>
    <row r="56" spans="1:11" s="2" customFormat="1" ht="11.25">
      <c r="A56" s="5" t="s">
        <v>290</v>
      </c>
      <c r="B56" s="160">
        <f>+Vannes!G56</f>
        <v>0</v>
      </c>
      <c r="C56" s="113">
        <f>+Rennes!$G56</f>
        <v>0</v>
      </c>
      <c r="D56" s="113">
        <f>+Mans!$G56</f>
        <v>0</v>
      </c>
      <c r="E56" s="160">
        <f>+Vannes!E56+Rennes!E56+Mans!E56</f>
        <v>315985.96990000003</v>
      </c>
      <c r="F56" s="368">
        <f>+Vannes!F56+Rennes!F56+Mans!F56</f>
        <v>0</v>
      </c>
      <c r="G56" s="373">
        <f>+Vannes!G56+Rennes!G56+Mans!G56</f>
        <v>0</v>
      </c>
      <c r="H56" s="161">
        <f>SUM(B56:D56)</f>
        <v>0</v>
      </c>
      <c r="I56" s="149"/>
      <c r="J56" s="271"/>
      <c r="K56" s="18"/>
    </row>
    <row r="57" spans="1:11" s="2" customFormat="1" ht="11.25">
      <c r="A57" s="5" t="s">
        <v>100</v>
      </c>
      <c r="B57" s="160">
        <f>+Vannes!G57</f>
        <v>0</v>
      </c>
      <c r="C57" s="113">
        <f>+Rennes!$G57</f>
        <v>0</v>
      </c>
      <c r="D57" s="113">
        <f>+Mans!$G57</f>
        <v>0</v>
      </c>
      <c r="E57" s="160">
        <f>+Vannes!E57+Rennes!E57+Mans!E57</f>
        <v>290533.9976</v>
      </c>
      <c r="F57" s="368">
        <f>+Vannes!F57+Rennes!F57+Mans!F57</f>
        <v>0</v>
      </c>
      <c r="G57" s="373">
        <f>+Vannes!G57+Rennes!G57+Mans!G57</f>
        <v>0</v>
      </c>
      <c r="H57" s="161">
        <f>SUM(B57:D57)</f>
        <v>0</v>
      </c>
      <c r="I57" s="149"/>
      <c r="J57" s="271"/>
      <c r="K57" s="18"/>
    </row>
    <row r="58" spans="1:11" s="2" customFormat="1" ht="12" thickBot="1">
      <c r="A58" s="21"/>
      <c r="B58" s="171"/>
      <c r="C58" s="205"/>
      <c r="D58" s="205"/>
      <c r="E58" s="171"/>
      <c r="F58" s="205"/>
      <c r="G58" s="205"/>
      <c r="H58" s="172"/>
      <c r="I58" s="236"/>
      <c r="J58" s="275"/>
      <c r="K58" s="310"/>
    </row>
    <row r="59" spans="1:11" s="2" customFormat="1" ht="12" thickTop="1">
      <c r="A59" s="5"/>
      <c r="B59" s="160"/>
      <c r="C59" s="113"/>
      <c r="D59" s="113"/>
      <c r="E59" s="160"/>
      <c r="F59" s="113"/>
      <c r="G59" s="113"/>
      <c r="H59" s="162"/>
      <c r="I59" s="149"/>
      <c r="J59" s="254"/>
      <c r="K59" s="18"/>
    </row>
    <row r="60" spans="1:11" s="2" customFormat="1" ht="15" customHeight="1">
      <c r="A60" s="16" t="s">
        <v>295</v>
      </c>
      <c r="B60" s="197">
        <f>+Vannes!$G60</f>
        <v>0.45</v>
      </c>
      <c r="C60" s="224">
        <f>+Rennes!$G60</f>
        <v>0.43</v>
      </c>
      <c r="D60" s="224">
        <f>+Mans!$G60</f>
        <v>0.42</v>
      </c>
      <c r="E60" s="197">
        <f>+E62/E51</f>
        <v>0.40923767291868912</v>
      </c>
      <c r="F60" s="224">
        <f>+F62/F51</f>
        <v>0.42714042051267498</v>
      </c>
      <c r="G60" s="224">
        <f>+G62/G51</f>
        <v>0.43380559325711776</v>
      </c>
      <c r="H60" s="191">
        <f>+H62/H51</f>
        <v>0.43380559325711776</v>
      </c>
      <c r="I60" s="224"/>
      <c r="J60" s="123"/>
      <c r="K60" s="15">
        <f>+K62/K51</f>
        <v>0.43380559325711776</v>
      </c>
    </row>
    <row r="61" spans="1:11" s="2" customFormat="1" ht="11.25">
      <c r="A61" s="5" t="s">
        <v>75</v>
      </c>
      <c r="B61" s="92"/>
      <c r="C61" s="149"/>
      <c r="D61" s="149"/>
      <c r="E61" s="92"/>
      <c r="F61" s="113"/>
      <c r="G61" s="113"/>
      <c r="H61" s="162"/>
      <c r="I61" s="149"/>
      <c r="J61" s="254"/>
      <c r="K61" s="18"/>
    </row>
    <row r="62" spans="1:11" s="2" customFormat="1" ht="15" customHeight="1">
      <c r="A62" s="16" t="s">
        <v>296</v>
      </c>
      <c r="B62" s="169">
        <f>+B51*B60</f>
        <v>398623.54499999998</v>
      </c>
      <c r="C62" s="223">
        <f>+C51*C60</f>
        <v>214967.81020000001</v>
      </c>
      <c r="D62" s="223">
        <f>+D51*D60</f>
        <v>378546</v>
      </c>
      <c r="E62" s="169">
        <f>+Vannes!E62+Rennes!E62+Mans!E62</f>
        <v>939550.97959999985</v>
      </c>
      <c r="F62" s="223">
        <f>+Vannes!F62+Rennes!F62+Mans!F62</f>
        <v>878296.32849999995</v>
      </c>
      <c r="G62" s="223">
        <f>+Vannes!G62+Rennes!G62+Mans!G62</f>
        <v>992137.35519999999</v>
      </c>
      <c r="H62" s="170">
        <f>SUM(B62:D62)</f>
        <v>992137.35519999999</v>
      </c>
      <c r="I62" s="224">
        <f>+IF((E62)=0,,(F62-E62)/E62)</f>
        <v>-6.5195665195387456E-2</v>
      </c>
      <c r="J62" s="123">
        <f>+IF((F62)=0,,(H62-F62)/F62)</f>
        <v>0.12961573788475658</v>
      </c>
      <c r="K62" s="223">
        <f>+Vannes!G62+Rennes!G62+Mans!G62</f>
        <v>992137.35519999999</v>
      </c>
    </row>
    <row r="63" spans="1:11" s="2" customFormat="1" ht="11.25">
      <c r="A63" s="5"/>
      <c r="B63" s="160"/>
      <c r="C63" s="113"/>
      <c r="D63" s="113"/>
      <c r="E63" s="160"/>
      <c r="F63" s="113"/>
      <c r="G63" s="113"/>
      <c r="H63" s="162"/>
      <c r="I63" s="149"/>
      <c r="J63" s="271"/>
      <c r="K63" s="18"/>
    </row>
    <row r="64" spans="1:11" s="2" customFormat="1" ht="11.25">
      <c r="A64" s="5" t="s">
        <v>104</v>
      </c>
      <c r="B64" s="160">
        <f>+Vannes!G64</f>
        <v>3988.3110666666666</v>
      </c>
      <c r="C64" s="113">
        <f>+Rennes!$G64</f>
        <v>3816</v>
      </c>
      <c r="D64" s="113">
        <f>+Mans!$G64</f>
        <v>3859.6139999999996</v>
      </c>
      <c r="E64" s="160">
        <f>+Vannes!E64+Rennes!E64+Mans!E64</f>
        <v>10639.3</v>
      </c>
      <c r="F64" s="368">
        <f>+Vannes!F64+Rennes!F64+Mans!F64</f>
        <v>10990.546666666667</v>
      </c>
      <c r="G64" s="373">
        <f>+Vannes!G64+Rennes!G64+Mans!G64</f>
        <v>11663.925066666667</v>
      </c>
      <c r="H64" s="161">
        <f>SUM(B64:D64)</f>
        <v>11663.925066666667</v>
      </c>
      <c r="I64" s="149">
        <f>+IF((E64)=0,,(F64-E64)/E64)</f>
        <v>3.3014076740637811E-2</v>
      </c>
      <c r="J64" s="271">
        <f>+IF((F64)=0,,(H64-F64)/F64)</f>
        <v>6.12688722793285E-2</v>
      </c>
      <c r="K64" s="18">
        <f>+Vannes!G64+Rennes!G64+Mans!G64</f>
        <v>11663.925066666667</v>
      </c>
    </row>
    <row r="65" spans="1:11" s="2" customFormat="1" ht="11.25">
      <c r="A65" s="5" t="s">
        <v>314</v>
      </c>
      <c r="B65" s="160">
        <f>+Vannes!G65</f>
        <v>0</v>
      </c>
      <c r="C65" s="113">
        <f>+Rennes!$G65</f>
        <v>0</v>
      </c>
      <c r="D65" s="113">
        <f>+Mans!$G65</f>
        <v>0</v>
      </c>
      <c r="E65" s="160">
        <f>+Vannes!E65+Rennes!E65+Mans!E65</f>
        <v>0</v>
      </c>
      <c r="F65" s="368">
        <f>+Vannes!F65+Rennes!F65+Mans!F65</f>
        <v>0</v>
      </c>
      <c r="G65" s="373">
        <f>+Vannes!G65+Rennes!G65+Mans!G65</f>
        <v>0</v>
      </c>
      <c r="H65" s="161">
        <f>SUM(B65:D65)</f>
        <v>0</v>
      </c>
      <c r="I65" s="149">
        <f>+IF((E65)=0,,(F65-E65)/E65)</f>
        <v>0</v>
      </c>
      <c r="J65" s="271">
        <f>+IF((F65)=0,,(H65-F65)/F65)</f>
        <v>0</v>
      </c>
      <c r="K65" s="18">
        <f>+Vannes!G65+Rennes!G65+Mans!G65</f>
        <v>0</v>
      </c>
    </row>
    <row r="66" spans="1:11" s="2" customFormat="1" ht="15" customHeight="1">
      <c r="A66" s="5" t="s">
        <v>110</v>
      </c>
      <c r="B66" s="160">
        <f>+Vannes!G66</f>
        <v>766.5</v>
      </c>
      <c r="C66" s="113">
        <f>+Rennes!$G66</f>
        <v>910.72800000000007</v>
      </c>
      <c r="D66" s="113">
        <f>+Mans!$G66</f>
        <v>2086.5460000000003</v>
      </c>
      <c r="E66" s="160">
        <f>+Vannes!E66+Rennes!E66+Mans!E66</f>
        <v>3264.05</v>
      </c>
      <c r="F66" s="368">
        <f>+Vannes!F66+Rennes!F66+Mans!F66</f>
        <v>3584.5466666666671</v>
      </c>
      <c r="G66" s="373">
        <f>+Vannes!G66+Rennes!G66+Mans!G66</f>
        <v>3763.7740000000003</v>
      </c>
      <c r="H66" s="161">
        <f>SUM(B66:D66)</f>
        <v>3763.7740000000003</v>
      </c>
      <c r="I66" s="149">
        <f>+IF((E66)=0,,(F66-E66)/E66)</f>
        <v>9.8189876584815455E-2</v>
      </c>
      <c r="J66" s="271">
        <f>+IF((F66)=0,,(H66-F66)/F66)</f>
        <v>4.9999999999999975E-2</v>
      </c>
      <c r="K66" s="18">
        <f>+Vannes!G66+Rennes!G66+Mans!G66</f>
        <v>3763.7740000000003</v>
      </c>
    </row>
    <row r="67" spans="1:11" s="2" customFormat="1" ht="11.25">
      <c r="A67" s="5" t="s">
        <v>107</v>
      </c>
      <c r="B67" s="160">
        <f>+Vannes!G67</f>
        <v>648.00733333333335</v>
      </c>
      <c r="C67" s="113">
        <f>+Rennes!$G67</f>
        <v>1500</v>
      </c>
      <c r="D67" s="113">
        <f>+Mans!$G67</f>
        <v>3000</v>
      </c>
      <c r="E67" s="160">
        <f>+Vannes!E67+Rennes!E67+Mans!E67</f>
        <v>6835.63</v>
      </c>
      <c r="F67" s="368">
        <f>+Vannes!F67+Rennes!F67+Mans!F67</f>
        <v>6148.36</v>
      </c>
      <c r="G67" s="373">
        <f>+Vannes!G67+Rennes!G67+Mans!G67</f>
        <v>5148.007333333333</v>
      </c>
      <c r="H67" s="161">
        <f>SUM(B67:D67)</f>
        <v>5148.007333333333</v>
      </c>
      <c r="I67" s="149">
        <f>+IF((E67)=0,,(F67-E67)/E67)</f>
        <v>-0.10054230553730972</v>
      </c>
      <c r="J67" s="271">
        <f>+IF((F67)=0,,(H67-F67)/F67)</f>
        <v>-0.16270235748503126</v>
      </c>
      <c r="K67" s="18">
        <f>+Vannes!G67+Rennes!G67+Mans!G67</f>
        <v>5148.007333333333</v>
      </c>
    </row>
    <row r="68" spans="1:11" s="2" customFormat="1" ht="18.75" customHeight="1">
      <c r="A68" s="5" t="s">
        <v>125</v>
      </c>
      <c r="B68" s="160">
        <f>+Vannes!G68</f>
        <v>1286.2914666666668</v>
      </c>
      <c r="C68" s="113">
        <f>+Rennes!$G68</f>
        <v>917.18066666666675</v>
      </c>
      <c r="D68" s="113">
        <f>+Mans!$G68</f>
        <v>6500</v>
      </c>
      <c r="E68" s="160">
        <f>+Vannes!E68+Rennes!E68+Mans!E68</f>
        <v>11987.47</v>
      </c>
      <c r="F68" s="368">
        <f>+Vannes!F68+Rennes!F68+Mans!F68</f>
        <v>8595.4266666666681</v>
      </c>
      <c r="G68" s="373">
        <f>+Vannes!G68+Rennes!G68+Mans!G68</f>
        <v>8703.4721333333327</v>
      </c>
      <c r="H68" s="161">
        <f>SUM(B68:D68)</f>
        <v>8703.4721333333327</v>
      </c>
      <c r="I68" s="149">
        <f>+IF((E68)=0,,(F68-E68)/E68)</f>
        <v>-0.2829657411725186</v>
      </c>
      <c r="J68" s="271">
        <f>+IF((F68)=0,,(H68-F68)/F68)</f>
        <v>1.2570110927206014E-2</v>
      </c>
      <c r="K68" s="18">
        <f>+Vannes!G68+Rennes!G68+Mans!G68</f>
        <v>8703.4721333333327</v>
      </c>
    </row>
    <row r="69" spans="1:11" s="2" customFormat="1" ht="11.25">
      <c r="A69" s="5"/>
      <c r="B69" s="160"/>
      <c r="C69" s="113"/>
      <c r="D69" s="113"/>
      <c r="E69" s="160"/>
      <c r="F69" s="270"/>
      <c r="G69" s="270"/>
      <c r="H69" s="161"/>
      <c r="I69" s="149"/>
      <c r="J69" s="271"/>
      <c r="K69" s="18"/>
    </row>
    <row r="70" spans="1:11" s="2" customFormat="1" ht="11.25">
      <c r="A70" s="11" t="s">
        <v>128</v>
      </c>
      <c r="B70" s="173">
        <f>SUM(B64:B69)</f>
        <v>6689.1098666666667</v>
      </c>
      <c r="C70" s="227">
        <f>SUM(C64:C69)</f>
        <v>7143.9086666666672</v>
      </c>
      <c r="D70" s="227">
        <f>SUM(D64:D69)</f>
        <v>15446.16</v>
      </c>
      <c r="E70" s="173">
        <f>+Vannes!E70+Rennes!E70+Mans!E70</f>
        <v>32726.450000000004</v>
      </c>
      <c r="F70" s="343">
        <f>+Vannes!F70+Rennes!F70+Mans!F70</f>
        <v>29318.880000000001</v>
      </c>
      <c r="G70" s="343">
        <f>+Vannes!G70+Rennes!G70+Mans!G70</f>
        <v>29279.178533333332</v>
      </c>
      <c r="H70" s="277">
        <f>SUM(B70:D70)</f>
        <v>29279.178533333332</v>
      </c>
      <c r="I70" s="278">
        <f>+IF((E70)=0,,(F70-E70)/E70)</f>
        <v>-0.10412281197624561</v>
      </c>
      <c r="J70" s="279">
        <f>+IF((F70)=0,,(H70-F70)/F70)</f>
        <v>-1.3541263058707955E-3</v>
      </c>
      <c r="K70" s="311">
        <f>SUM(K64:K69)</f>
        <v>29279.178533333336</v>
      </c>
    </row>
    <row r="71" spans="1:11" s="2" customFormat="1" ht="11.25">
      <c r="A71" s="5"/>
      <c r="B71" s="160"/>
      <c r="C71" s="113"/>
      <c r="D71" s="113"/>
      <c r="E71" s="160"/>
      <c r="F71" s="270"/>
      <c r="G71" s="270"/>
      <c r="H71" s="161"/>
      <c r="I71" s="149"/>
      <c r="J71" s="271"/>
      <c r="K71" s="18"/>
    </row>
    <row r="72" spans="1:11" s="2" customFormat="1" ht="11.25">
      <c r="A72" s="5" t="s">
        <v>1</v>
      </c>
      <c r="B72" s="160">
        <f>+Vannes!G72</f>
        <v>0</v>
      </c>
      <c r="C72" s="113">
        <f>+Rennes!$G72</f>
        <v>0</v>
      </c>
      <c r="D72" s="113">
        <f>+Mans!$G72</f>
        <v>0</v>
      </c>
      <c r="E72" s="160">
        <f>+Vannes!E72+Rennes!E72+Mans!E72</f>
        <v>0</v>
      </c>
      <c r="F72" s="368">
        <f>+Vannes!F72+Rennes!F72+Mans!F72</f>
        <v>0</v>
      </c>
      <c r="G72" s="373">
        <f>+Vannes!G72+Rennes!G72+Mans!G72</f>
        <v>0</v>
      </c>
      <c r="H72" s="161">
        <f>SUM(B72:D72)</f>
        <v>0</v>
      </c>
      <c r="I72" s="149">
        <f>+IF((E72)=0,,(F72-E72)/E72)</f>
        <v>0</v>
      </c>
      <c r="J72" s="271">
        <f>+IF((F72)=0,,(H72-F72)/F72)</f>
        <v>0</v>
      </c>
      <c r="K72" s="18">
        <f>+Vannes!G72+Rennes!G72+Mans!G72</f>
        <v>0</v>
      </c>
    </row>
    <row r="73" spans="1:11" s="2" customFormat="1" ht="11.25">
      <c r="A73" s="5" t="s">
        <v>123</v>
      </c>
      <c r="B73" s="160">
        <f>+Vannes!G73</f>
        <v>3117.8512000000005</v>
      </c>
      <c r="C73" s="113">
        <f>+Rennes!$G73</f>
        <v>939.81320000000005</v>
      </c>
      <c r="D73" s="113">
        <f>+Mans!$G73</f>
        <v>3914</v>
      </c>
      <c r="E73" s="160">
        <f>+Vannes!E73+Rennes!E73+Mans!E73</f>
        <v>7617.67</v>
      </c>
      <c r="F73" s="368">
        <f>+Vannes!F73+Rennes!F73+Mans!F73</f>
        <v>7739.4800000000005</v>
      </c>
      <c r="G73" s="373">
        <f>+Vannes!G73+Rennes!G73+Mans!G73</f>
        <v>7971.6644000000006</v>
      </c>
      <c r="H73" s="161">
        <f t="shared" ref="H73:H101" si="9">SUM(B73:D73)</f>
        <v>7971.6644000000006</v>
      </c>
      <c r="I73" s="149">
        <f t="shared" ref="I73:I101" si="10">+IF((E73)=0,,(F73-E73)/E73)</f>
        <v>1.5990453773923049E-2</v>
      </c>
      <c r="J73" s="271">
        <f t="shared" ref="J73:J101" si="11">+IF((F73)=0,,(H73-F73)/F73)</f>
        <v>3.0000000000000009E-2</v>
      </c>
      <c r="K73" s="18">
        <f>+Vannes!G73+Rennes!G73+Mans!G73</f>
        <v>7971.6644000000006</v>
      </c>
    </row>
    <row r="74" spans="1:11" s="2" customFormat="1" ht="11.25">
      <c r="A74" s="5" t="s">
        <v>124</v>
      </c>
      <c r="B74" s="160">
        <f>+Vannes!G74</f>
        <v>0</v>
      </c>
      <c r="C74" s="113">
        <f>+Rennes!$G74</f>
        <v>0</v>
      </c>
      <c r="D74" s="113">
        <f>+Mans!$G74</f>
        <v>0</v>
      </c>
      <c r="E74" s="160">
        <f>+Vannes!E74+Rennes!E74+Mans!E74</f>
        <v>24.18</v>
      </c>
      <c r="F74" s="368">
        <f>+Vannes!F74+Rennes!F74+Mans!F74</f>
        <v>0</v>
      </c>
      <c r="G74" s="373">
        <f>+Vannes!G74+Rennes!G74+Mans!G74</f>
        <v>0</v>
      </c>
      <c r="H74" s="161">
        <f t="shared" si="9"/>
        <v>0</v>
      </c>
      <c r="I74" s="149">
        <f t="shared" si="10"/>
        <v>-1</v>
      </c>
      <c r="J74" s="271">
        <f t="shared" si="11"/>
        <v>0</v>
      </c>
      <c r="K74" s="18">
        <f>+Vannes!G74+Rennes!G74+Mans!G74</f>
        <v>0</v>
      </c>
    </row>
    <row r="75" spans="1:11" s="2" customFormat="1" ht="11.25">
      <c r="A75" s="5" t="s">
        <v>360</v>
      </c>
      <c r="B75" s="160">
        <f>+Vannes!G75</f>
        <v>0</v>
      </c>
      <c r="C75" s="113">
        <f>+Rennes!$G75</f>
        <v>0</v>
      </c>
      <c r="D75" s="113">
        <f>+Mans!$G75</f>
        <v>0</v>
      </c>
      <c r="E75" s="160">
        <f>+Vannes!E75+Rennes!E75+Mans!E75</f>
        <v>0</v>
      </c>
      <c r="F75" s="368">
        <f>+Vannes!F75+Rennes!F75+Mans!F75</f>
        <v>0</v>
      </c>
      <c r="G75" s="373">
        <f>+Vannes!G75+Rennes!G75+Mans!G75</f>
        <v>0</v>
      </c>
      <c r="H75" s="161">
        <f t="shared" si="9"/>
        <v>0</v>
      </c>
      <c r="I75" s="149">
        <f t="shared" si="10"/>
        <v>0</v>
      </c>
      <c r="J75" s="271">
        <f t="shared" si="11"/>
        <v>0</v>
      </c>
      <c r="K75" s="18">
        <f>+Vannes!G75+Rennes!G75+Mans!G75</f>
        <v>0</v>
      </c>
    </row>
    <row r="76" spans="1:11" s="2" customFormat="1" ht="11.25">
      <c r="A76" s="5" t="s">
        <v>126</v>
      </c>
      <c r="B76" s="160">
        <f>+Vannes!G76</f>
        <v>541.35426666666672</v>
      </c>
      <c r="C76" s="113">
        <f>+Rennes!$G76</f>
        <v>0</v>
      </c>
      <c r="D76" s="113">
        <f>+Mans!$G76</f>
        <v>84.405066666666656</v>
      </c>
      <c r="E76" s="160">
        <f>+Vannes!E76+Rennes!E76+Mans!E76</f>
        <v>0</v>
      </c>
      <c r="F76" s="368">
        <f>+Vannes!F76+Rennes!F76+Mans!F76</f>
        <v>607.5333333333333</v>
      </c>
      <c r="G76" s="373">
        <f>+Vannes!G76+Rennes!G76+Mans!G76</f>
        <v>625.75933333333342</v>
      </c>
      <c r="H76" s="161">
        <f t="shared" si="9"/>
        <v>625.75933333333342</v>
      </c>
      <c r="I76" s="149">
        <f t="shared" si="10"/>
        <v>0</v>
      </c>
      <c r="J76" s="271">
        <f t="shared" si="11"/>
        <v>3.0000000000000186E-2</v>
      </c>
      <c r="K76" s="18">
        <f>+Vannes!G76+Rennes!G76+Mans!G76</f>
        <v>625.75933333333342</v>
      </c>
    </row>
    <row r="77" spans="1:11" s="2" customFormat="1" ht="11.25">
      <c r="A77" s="5" t="s">
        <v>127</v>
      </c>
      <c r="B77" s="160">
        <f>+Vannes!G77</f>
        <v>2385.6310666666668</v>
      </c>
      <c r="C77" s="113">
        <f>+Rennes!$G77</f>
        <v>1400</v>
      </c>
      <c r="D77" s="113">
        <f>+Mans!$G77</f>
        <v>1064.1135999999999</v>
      </c>
      <c r="E77" s="160">
        <f>+Vannes!E77+Rennes!E77+Mans!E77</f>
        <v>5441.0700000000006</v>
      </c>
      <c r="F77" s="368">
        <f>+Vannes!F77+Rennes!F77+Mans!F77</f>
        <v>4072.8533333333335</v>
      </c>
      <c r="G77" s="373">
        <f>+Vannes!G77+Rennes!G77+Mans!G77</f>
        <v>4849.7446666666665</v>
      </c>
      <c r="H77" s="161">
        <f t="shared" si="9"/>
        <v>4849.7446666666665</v>
      </c>
      <c r="I77" s="149">
        <f t="shared" si="10"/>
        <v>-0.25146095651529332</v>
      </c>
      <c r="J77" s="271">
        <f t="shared" si="11"/>
        <v>0.19074866432705645</v>
      </c>
      <c r="K77" s="18">
        <f>+Vannes!G77+Rennes!G77+Mans!G77</f>
        <v>4849.7446666666665</v>
      </c>
    </row>
    <row r="78" spans="1:11" s="2" customFormat="1" ht="11.25">
      <c r="A78" s="5" t="s">
        <v>101</v>
      </c>
      <c r="B78" s="160">
        <f>+Vannes!G78</f>
        <v>0</v>
      </c>
      <c r="C78" s="113">
        <f>+Rennes!$G78</f>
        <v>0</v>
      </c>
      <c r="D78" s="113">
        <f>+Mans!$G78</f>
        <v>0</v>
      </c>
      <c r="E78" s="160">
        <f>+Vannes!E78+Rennes!E78+Mans!E78</f>
        <v>15</v>
      </c>
      <c r="F78" s="368">
        <f>+Vannes!F78+Rennes!F78+Mans!F78</f>
        <v>0</v>
      </c>
      <c r="G78" s="373">
        <f>+Vannes!G78+Rennes!G78+Mans!G78</f>
        <v>0</v>
      </c>
      <c r="H78" s="161">
        <f t="shared" si="9"/>
        <v>0</v>
      </c>
      <c r="I78" s="149">
        <f t="shared" si="10"/>
        <v>-1</v>
      </c>
      <c r="J78" s="271">
        <f t="shared" si="11"/>
        <v>0</v>
      </c>
      <c r="K78" s="18">
        <f>+Vannes!G78+Rennes!G78+Mans!G78</f>
        <v>0</v>
      </c>
    </row>
    <row r="79" spans="1:11" s="2" customFormat="1" ht="11.25">
      <c r="A79" s="5" t="s">
        <v>102</v>
      </c>
      <c r="B79" s="160">
        <f>+Vannes!G79</f>
        <v>27271.852309746329</v>
      </c>
      <c r="C79" s="113">
        <f>+Rennes!$G79</f>
        <v>25551.162</v>
      </c>
      <c r="D79" s="113">
        <f>+Mans!$G79</f>
        <v>31714.292630173568</v>
      </c>
      <c r="E79" s="160">
        <f>+Vannes!E79+Rennes!E79+Mans!E79</f>
        <v>83498.11</v>
      </c>
      <c r="F79" s="368">
        <f>+Vannes!F79+Rennes!F79+Mans!F79</f>
        <v>83184.450000000012</v>
      </c>
      <c r="G79" s="373">
        <f>+Vannes!G79+Rennes!G79+Mans!G79</f>
        <v>84537.306939919901</v>
      </c>
      <c r="H79" s="161">
        <f t="shared" si="9"/>
        <v>84537.306939919901</v>
      </c>
      <c r="I79" s="149">
        <f t="shared" si="10"/>
        <v>-3.7564922128176187E-3</v>
      </c>
      <c r="J79" s="271">
        <f t="shared" si="11"/>
        <v>1.6263339361141289E-2</v>
      </c>
      <c r="K79" s="18">
        <f>+Vannes!G79+Rennes!G79+Mans!G79</f>
        <v>84537.306939919901</v>
      </c>
    </row>
    <row r="80" spans="1:11" s="2" customFormat="1" ht="11.25">
      <c r="A80" s="5" t="s">
        <v>325</v>
      </c>
      <c r="B80" s="160">
        <f>+Vannes!G80</f>
        <v>0</v>
      </c>
      <c r="C80" s="113">
        <f>+Rennes!$G80</f>
        <v>4427.036133333334</v>
      </c>
      <c r="D80" s="113">
        <f>+Mans!$G80</f>
        <v>0</v>
      </c>
      <c r="E80" s="160">
        <f>+Vannes!E80+Rennes!E80+Mans!E80</f>
        <v>4341.95</v>
      </c>
      <c r="F80" s="368">
        <f>+Vannes!F80+Rennes!F80+Mans!F80</f>
        <v>4298.0933333333342</v>
      </c>
      <c r="G80" s="373">
        <f>+Vannes!G80+Rennes!G80+Mans!G80</f>
        <v>4427.036133333334</v>
      </c>
      <c r="H80" s="161">
        <f t="shared" si="9"/>
        <v>4427.036133333334</v>
      </c>
      <c r="I80" s="149">
        <f t="shared" si="10"/>
        <v>-1.0100684408310934E-2</v>
      </c>
      <c r="J80" s="271">
        <f t="shared" si="11"/>
        <v>2.999999999999995E-2</v>
      </c>
      <c r="K80" s="18">
        <f>+Vannes!G80+Rennes!G80+Mans!G80</f>
        <v>4427.036133333334</v>
      </c>
    </row>
    <row r="81" spans="1:11" s="2" customFormat="1" ht="11.25">
      <c r="A81" s="5" t="s">
        <v>103</v>
      </c>
      <c r="B81" s="160">
        <f>+Vannes!G81</f>
        <v>0</v>
      </c>
      <c r="C81" s="113">
        <f>+Rennes!$G81</f>
        <v>0</v>
      </c>
      <c r="D81" s="113">
        <f>+Mans!$G81</f>
        <v>0</v>
      </c>
      <c r="E81" s="160">
        <f>+Vannes!E81+Rennes!E81+Mans!E81</f>
        <v>0</v>
      </c>
      <c r="F81" s="368">
        <f>+Vannes!F81+Rennes!F81+Mans!F81</f>
        <v>0</v>
      </c>
      <c r="G81" s="373">
        <f>+Vannes!G81+Rennes!G81+Mans!G81</f>
        <v>0</v>
      </c>
      <c r="H81" s="161">
        <f t="shared" si="9"/>
        <v>0</v>
      </c>
      <c r="I81" s="149">
        <f t="shared" si="10"/>
        <v>0</v>
      </c>
      <c r="J81" s="271">
        <f t="shared" si="11"/>
        <v>0</v>
      </c>
      <c r="K81" s="18">
        <f>+Vannes!G81+Rennes!G81+Mans!G81</f>
        <v>0</v>
      </c>
    </row>
    <row r="82" spans="1:11" s="2" customFormat="1" ht="11.25">
      <c r="A82" s="5" t="s">
        <v>105</v>
      </c>
      <c r="B82" s="160">
        <f>+Vannes!G82</f>
        <v>185.4</v>
      </c>
      <c r="C82" s="113">
        <f>+Rennes!$G82</f>
        <v>185.4</v>
      </c>
      <c r="D82" s="113">
        <f>+Mans!$G82</f>
        <v>185.4</v>
      </c>
      <c r="E82" s="160">
        <f>+Vannes!E82+Rennes!E82+Mans!E82</f>
        <v>540</v>
      </c>
      <c r="F82" s="368">
        <f>+Vannes!F82+Rennes!F82+Mans!F82</f>
        <v>540</v>
      </c>
      <c r="G82" s="373">
        <f>+Vannes!G82+Rennes!G82+Mans!G82</f>
        <v>556.20000000000005</v>
      </c>
      <c r="H82" s="161">
        <f t="shared" si="9"/>
        <v>556.20000000000005</v>
      </c>
      <c r="I82" s="149">
        <f t="shared" si="10"/>
        <v>0</v>
      </c>
      <c r="J82" s="271">
        <f t="shared" si="11"/>
        <v>3.0000000000000086E-2</v>
      </c>
      <c r="K82" s="18">
        <f>+Vannes!G82+Rennes!G82+Mans!G82</f>
        <v>556.20000000000005</v>
      </c>
    </row>
    <row r="83" spans="1:11" s="2" customFormat="1" ht="11.25">
      <c r="A83" s="5" t="s">
        <v>287</v>
      </c>
      <c r="B83" s="160">
        <f>+Vannes!G83</f>
        <v>383.16</v>
      </c>
      <c r="C83" s="113">
        <f>+Rennes!$G83</f>
        <v>0</v>
      </c>
      <c r="D83" s="113">
        <f>+Mans!$G83</f>
        <v>0</v>
      </c>
      <c r="E83" s="160">
        <f>+Vannes!E83+Rennes!E83+Mans!E83</f>
        <v>462</v>
      </c>
      <c r="F83" s="368">
        <f>+Vannes!F83+Rennes!F83+Mans!F83</f>
        <v>372</v>
      </c>
      <c r="G83" s="373">
        <f>+Vannes!G83+Rennes!G83+Mans!G83</f>
        <v>383.16</v>
      </c>
      <c r="H83" s="161">
        <f t="shared" si="9"/>
        <v>383.16</v>
      </c>
      <c r="I83" s="149">
        <f t="shared" si="10"/>
        <v>-0.19480519480519481</v>
      </c>
      <c r="J83" s="271">
        <f t="shared" si="11"/>
        <v>3.0000000000000068E-2</v>
      </c>
      <c r="K83" s="18">
        <f>+Vannes!G83+Rennes!G83+Mans!G83</f>
        <v>383.16</v>
      </c>
    </row>
    <row r="84" spans="1:11" s="2" customFormat="1" ht="11.25">
      <c r="A84" s="5" t="s">
        <v>108</v>
      </c>
      <c r="B84" s="160">
        <f>+Vannes!G84</f>
        <v>141.65933333333336</v>
      </c>
      <c r="C84" s="113">
        <f>+Rennes!$G84</f>
        <v>1500</v>
      </c>
      <c r="D84" s="113">
        <f>+Mans!$G84</f>
        <v>1840.4864000000002</v>
      </c>
      <c r="E84" s="160">
        <f>+Vannes!E84+Rennes!E84+Mans!E84</f>
        <v>3216.26</v>
      </c>
      <c r="F84" s="368">
        <f>+Vannes!F84+Rennes!F84+Mans!F84</f>
        <v>2082.8666666666668</v>
      </c>
      <c r="G84" s="373">
        <f>+Vannes!G84+Rennes!G84+Mans!G84</f>
        <v>3482.1457333333337</v>
      </c>
      <c r="H84" s="161">
        <f t="shared" si="9"/>
        <v>3482.1457333333337</v>
      </c>
      <c r="I84" s="149">
        <f t="shared" si="10"/>
        <v>-0.35239481053563249</v>
      </c>
      <c r="J84" s="271">
        <f t="shared" si="11"/>
        <v>0.67180443619370744</v>
      </c>
      <c r="K84" s="18">
        <f>+Vannes!G84+Rennes!G84+Mans!G84</f>
        <v>3482.1457333333337</v>
      </c>
    </row>
    <row r="85" spans="1:11" s="2" customFormat="1" ht="11.25">
      <c r="A85" s="5" t="s">
        <v>109</v>
      </c>
      <c r="B85" s="160">
        <f>+Vannes!G85</f>
        <v>75.162533333333329</v>
      </c>
      <c r="C85" s="113">
        <f>+Rennes!$G85</f>
        <v>0</v>
      </c>
      <c r="D85" s="113">
        <f>+Mans!$G85</f>
        <v>1282.6933333333334</v>
      </c>
      <c r="E85" s="160">
        <f>+Vannes!E85+Rennes!E85+Mans!E85</f>
        <v>2063.1800000000003</v>
      </c>
      <c r="F85" s="368">
        <f>+Vannes!F85+Rennes!F85+Mans!F85</f>
        <v>1318.3066666666666</v>
      </c>
      <c r="G85" s="373">
        <f>+Vannes!G85+Rennes!G85+Mans!G85</f>
        <v>1357.8558666666668</v>
      </c>
      <c r="H85" s="161">
        <f t="shared" si="9"/>
        <v>1357.8558666666668</v>
      </c>
      <c r="I85" s="149">
        <f t="shared" si="10"/>
        <v>-0.36103167602115838</v>
      </c>
      <c r="J85" s="271">
        <f t="shared" si="11"/>
        <v>3.000000000000012E-2</v>
      </c>
      <c r="K85" s="18">
        <f>+Vannes!G85+Rennes!G85+Mans!G85</f>
        <v>1357.8558666666668</v>
      </c>
    </row>
    <row r="86" spans="1:11" s="2" customFormat="1" ht="11.25">
      <c r="A86" s="5" t="s">
        <v>106</v>
      </c>
      <c r="B86" s="160">
        <f>+Vannes!G86</f>
        <v>1763.1402666666665</v>
      </c>
      <c r="C86" s="113">
        <f>+Rennes!$G86</f>
        <v>612.34186666666665</v>
      </c>
      <c r="D86" s="113">
        <f>+Mans!$G86</f>
        <v>179.11013333333332</v>
      </c>
      <c r="E86" s="160">
        <f>+Vannes!E86+Rennes!E86+Mans!E86</f>
        <v>1098.06</v>
      </c>
      <c r="F86" s="368">
        <f>+Vannes!F86+Rennes!F86+Mans!F86</f>
        <v>2480.1866666666665</v>
      </c>
      <c r="G86" s="373">
        <f>+Vannes!G86+Rennes!G86+Mans!G86</f>
        <v>2554.5922666666661</v>
      </c>
      <c r="H86" s="161">
        <f t="shared" si="9"/>
        <v>2554.5922666666661</v>
      </c>
      <c r="I86" s="149">
        <f t="shared" si="10"/>
        <v>1.2586986746322302</v>
      </c>
      <c r="J86" s="271">
        <f t="shared" si="11"/>
        <v>2.9999999999999839E-2</v>
      </c>
      <c r="K86" s="18">
        <f>+Vannes!G86+Rennes!G86+Mans!G86</f>
        <v>2554.5922666666661</v>
      </c>
    </row>
    <row r="87" spans="1:11" s="2" customFormat="1" ht="11.25">
      <c r="A87" s="5" t="s">
        <v>363</v>
      </c>
      <c r="B87" s="160">
        <f>+Vannes!G87</f>
        <v>0</v>
      </c>
      <c r="C87" s="113">
        <f>+Rennes!$G87</f>
        <v>0</v>
      </c>
      <c r="D87" s="113">
        <f>+Mans!$G87</f>
        <v>0</v>
      </c>
      <c r="E87" s="160">
        <f>+Vannes!E87+Rennes!E87+Mans!E87</f>
        <v>0</v>
      </c>
      <c r="F87" s="368">
        <f>+Vannes!F87+Rennes!F87+Mans!F87</f>
        <v>0</v>
      </c>
      <c r="G87" s="373">
        <f>+Vannes!G87+Rennes!G87+Mans!G87</f>
        <v>0</v>
      </c>
      <c r="H87" s="161">
        <f t="shared" si="9"/>
        <v>0</v>
      </c>
      <c r="I87" s="149">
        <f t="shared" si="10"/>
        <v>0</v>
      </c>
      <c r="J87" s="271">
        <f t="shared" si="11"/>
        <v>0</v>
      </c>
      <c r="K87" s="18">
        <f>+Vannes!G87+Rennes!G87+Mans!G87</f>
        <v>0</v>
      </c>
    </row>
    <row r="88" spans="1:11" s="2" customFormat="1" ht="11.25">
      <c r="A88" s="5" t="s">
        <v>111</v>
      </c>
      <c r="B88" s="160">
        <f>+Vannes!G88</f>
        <v>2822.5102500000003</v>
      </c>
      <c r="C88" s="113">
        <f>+Rennes!$G88</f>
        <v>2487.4384500000001</v>
      </c>
      <c r="D88" s="113">
        <f>+Mans!$G88</f>
        <v>2441.6280000000002</v>
      </c>
      <c r="E88" s="160">
        <f>+Vannes!E88+Rennes!E88+Mans!E88</f>
        <v>6950.19</v>
      </c>
      <c r="F88" s="368">
        <f>+Vannes!F88+Rennes!F88+Mans!F88</f>
        <v>7862.2800000000007</v>
      </c>
      <c r="G88" s="373">
        <f>+Vannes!G88+Rennes!G88+Mans!G88</f>
        <v>7751.5767000000014</v>
      </c>
      <c r="H88" s="161">
        <f t="shared" si="9"/>
        <v>7751.5767000000014</v>
      </c>
      <c r="I88" s="149">
        <f t="shared" si="10"/>
        <v>0.13123238357512546</v>
      </c>
      <c r="J88" s="271">
        <f t="shared" si="11"/>
        <v>-1.4080304949709145E-2</v>
      </c>
      <c r="K88" s="18">
        <f>+Vannes!G88+Rennes!G88+Mans!G88</f>
        <v>7751.5767000000014</v>
      </c>
    </row>
    <row r="89" spans="1:11" s="2" customFormat="1" ht="11.25">
      <c r="A89" s="5" t="s">
        <v>315</v>
      </c>
      <c r="B89" s="160">
        <f>+Vannes!G89</f>
        <v>0</v>
      </c>
      <c r="C89" s="113">
        <f>+Rennes!$G89</f>
        <v>0</v>
      </c>
      <c r="D89" s="113">
        <f>+Mans!$G89</f>
        <v>0</v>
      </c>
      <c r="E89" s="160">
        <f>+Vannes!E89+Rennes!E89+Mans!E89</f>
        <v>0</v>
      </c>
      <c r="F89" s="368">
        <f>+Vannes!F89+Rennes!F89+Mans!F89</f>
        <v>0</v>
      </c>
      <c r="G89" s="373">
        <f>+Vannes!G89+Rennes!G89+Mans!G89</f>
        <v>0</v>
      </c>
      <c r="H89" s="161">
        <f t="shared" si="9"/>
        <v>0</v>
      </c>
      <c r="I89" s="149">
        <f t="shared" si="10"/>
        <v>0</v>
      </c>
      <c r="J89" s="271">
        <f t="shared" si="11"/>
        <v>0</v>
      </c>
      <c r="K89" s="18">
        <f>+Vannes!G89+Rennes!G89+Mans!G89</f>
        <v>0</v>
      </c>
    </row>
    <row r="90" spans="1:11" s="2" customFormat="1" ht="11.25">
      <c r="A90" s="5" t="s">
        <v>112</v>
      </c>
      <c r="B90" s="160">
        <f>+Vannes!G90</f>
        <v>238.94626666666667</v>
      </c>
      <c r="C90" s="113">
        <f>+Rennes!$G90</f>
        <v>0</v>
      </c>
      <c r="D90" s="113">
        <f>+Mans!$G90</f>
        <v>0</v>
      </c>
      <c r="E90" s="160">
        <f>+Vannes!E90+Rennes!E90+Mans!E90</f>
        <v>1916.48</v>
      </c>
      <c r="F90" s="368">
        <f>+Vannes!F90+Rennes!F90+Mans!F90</f>
        <v>231.98666666666668</v>
      </c>
      <c r="G90" s="373">
        <f>+Vannes!G90+Rennes!G90+Mans!G90</f>
        <v>238.94626666666667</v>
      </c>
      <c r="H90" s="161">
        <f t="shared" si="9"/>
        <v>238.94626666666667</v>
      </c>
      <c r="I90" s="149">
        <f t="shared" si="10"/>
        <v>-0.87895168920799238</v>
      </c>
      <c r="J90" s="271">
        <f t="shared" si="11"/>
        <v>2.9999999999999975E-2</v>
      </c>
      <c r="K90" s="18">
        <f>+Vannes!G90+Rennes!G90+Mans!G90</f>
        <v>238.94626666666667</v>
      </c>
    </row>
    <row r="91" spans="1:11" s="2" customFormat="1" ht="11.25">
      <c r="A91" s="5" t="s">
        <v>113</v>
      </c>
      <c r="B91" s="160">
        <f>+Vannes!G91</f>
        <v>1923.5730666666666</v>
      </c>
      <c r="C91" s="113">
        <f>+Rennes!$G91</f>
        <v>600</v>
      </c>
      <c r="D91" s="113">
        <f>+Mans!$G91</f>
        <v>1300</v>
      </c>
      <c r="E91" s="160">
        <f>+Vannes!E91+Rennes!E91+Mans!E91</f>
        <v>1974.8000000000002</v>
      </c>
      <c r="F91" s="368">
        <f>+Vannes!F91+Rennes!F91+Mans!F91</f>
        <v>4090.6000000000004</v>
      </c>
      <c r="G91" s="373">
        <f>+Vannes!G91+Rennes!G91+Mans!G91</f>
        <v>3823.5730666666668</v>
      </c>
      <c r="H91" s="161">
        <f t="shared" si="9"/>
        <v>3823.5730666666668</v>
      </c>
      <c r="I91" s="149">
        <f t="shared" si="10"/>
        <v>1.071399635406117</v>
      </c>
      <c r="J91" s="271">
        <f t="shared" si="11"/>
        <v>-6.5278182499714843E-2</v>
      </c>
      <c r="K91" s="18">
        <f>+Vannes!G91+Rennes!G91+Mans!G91</f>
        <v>3823.5730666666668</v>
      </c>
    </row>
    <row r="92" spans="1:11" s="2" customFormat="1" ht="11.25">
      <c r="A92" s="5" t="s">
        <v>309</v>
      </c>
      <c r="B92" s="160">
        <f>+Vannes!G92</f>
        <v>0</v>
      </c>
      <c r="C92" s="113">
        <f>+Rennes!$G92</f>
        <v>0</v>
      </c>
      <c r="D92" s="113">
        <f>+Mans!$G92</f>
        <v>0</v>
      </c>
      <c r="E92" s="160">
        <f>+Vannes!E92+Rennes!E92+Mans!E92</f>
        <v>0</v>
      </c>
      <c r="F92" s="368">
        <f>+Vannes!F92+Rennes!F92+Mans!F92</f>
        <v>0</v>
      </c>
      <c r="G92" s="373">
        <f>+Vannes!G92+Rennes!G92+Mans!G92</f>
        <v>0</v>
      </c>
      <c r="H92" s="161">
        <f t="shared" si="9"/>
        <v>0</v>
      </c>
      <c r="I92" s="149">
        <f t="shared" si="10"/>
        <v>0</v>
      </c>
      <c r="J92" s="271">
        <f t="shared" si="11"/>
        <v>0</v>
      </c>
      <c r="K92" s="18">
        <f>+Vannes!G92+Rennes!G92+Mans!G92</f>
        <v>0</v>
      </c>
    </row>
    <row r="93" spans="1:11" s="2" customFormat="1" ht="11.25">
      <c r="A93" s="5" t="s">
        <v>115</v>
      </c>
      <c r="B93" s="160">
        <f>+Vannes!G93</f>
        <v>755.33333333333337</v>
      </c>
      <c r="C93" s="113">
        <f>+Rennes!$G93</f>
        <v>643.07706666666661</v>
      </c>
      <c r="D93" s="113">
        <f>+Mans!$G93</f>
        <v>0</v>
      </c>
      <c r="E93" s="160">
        <f>+Vannes!E93+Rennes!E93+Mans!E93</f>
        <v>678.85</v>
      </c>
      <c r="F93" s="368">
        <f>+Vannes!F93+Rennes!F93+Mans!F93</f>
        <v>1357.6799999999998</v>
      </c>
      <c r="G93" s="373">
        <f>+Vannes!G93+Rennes!G93+Mans!G93</f>
        <v>1398.4104</v>
      </c>
      <c r="H93" s="161">
        <f t="shared" si="9"/>
        <v>1398.4104</v>
      </c>
      <c r="I93" s="149">
        <f t="shared" si="10"/>
        <v>0.99997053841054695</v>
      </c>
      <c r="J93" s="271">
        <f t="shared" si="11"/>
        <v>3.000000000000011E-2</v>
      </c>
      <c r="K93" s="18">
        <f>+Vannes!G93+Rennes!G93+Mans!G93</f>
        <v>1398.4104</v>
      </c>
    </row>
    <row r="94" spans="1:11" s="2" customFormat="1" ht="11.25">
      <c r="A94" s="5" t="s">
        <v>42</v>
      </c>
      <c r="B94" s="160">
        <f>+Vannes!G94</f>
        <v>0</v>
      </c>
      <c r="C94" s="113">
        <f>+Rennes!$G94</f>
        <v>0</v>
      </c>
      <c r="D94" s="113">
        <f>+Mans!$G94</f>
        <v>0</v>
      </c>
      <c r="E94" s="160">
        <f>+Vannes!E94+Rennes!E94+Mans!E94</f>
        <v>0</v>
      </c>
      <c r="F94" s="368">
        <f>+Vannes!F94+Rennes!F94+Mans!F94</f>
        <v>0</v>
      </c>
      <c r="G94" s="373">
        <f>+Vannes!G94+Rennes!G94+Mans!G94</f>
        <v>0</v>
      </c>
      <c r="H94" s="161">
        <f t="shared" si="9"/>
        <v>0</v>
      </c>
      <c r="I94" s="149">
        <f t="shared" si="10"/>
        <v>0</v>
      </c>
      <c r="J94" s="271">
        <f t="shared" si="11"/>
        <v>0</v>
      </c>
      <c r="K94" s="18">
        <f>+Vannes!G94+Rennes!G94+Mans!G94</f>
        <v>0</v>
      </c>
    </row>
    <row r="95" spans="1:11" s="2" customFormat="1" ht="11.25">
      <c r="A95" s="5" t="s">
        <v>117</v>
      </c>
      <c r="B95" s="160">
        <f>+Vannes!G95</f>
        <v>23535.815866666668</v>
      </c>
      <c r="C95" s="113">
        <f>+Rennes!$G95</f>
        <v>10697.264133333334</v>
      </c>
      <c r="D95" s="113">
        <f>+Mans!$G95</f>
        <v>12754.764666666666</v>
      </c>
      <c r="E95" s="160">
        <f>+Vannes!E95+Rennes!E95+Mans!E95</f>
        <v>44708.92</v>
      </c>
      <c r="F95" s="368">
        <f>+Vannes!F95+Rennes!F95+Mans!F95</f>
        <v>45619.266666666663</v>
      </c>
      <c r="G95" s="373">
        <f>+Vannes!G95+Rennes!G95+Mans!G95</f>
        <v>46987.844666666671</v>
      </c>
      <c r="H95" s="161">
        <f t="shared" si="9"/>
        <v>46987.844666666671</v>
      </c>
      <c r="I95" s="149">
        <f t="shared" si="10"/>
        <v>2.036163402441089E-2</v>
      </c>
      <c r="J95" s="271">
        <f t="shared" si="11"/>
        <v>3.000000000000019E-2</v>
      </c>
      <c r="K95" s="18">
        <f>+Vannes!G95+Rennes!G95+Mans!G95</f>
        <v>46987.844666666671</v>
      </c>
    </row>
    <row r="96" spans="1:11" s="2" customFormat="1" ht="11.25">
      <c r="A96" s="5" t="s">
        <v>118</v>
      </c>
      <c r="B96" s="160">
        <f>+Vannes!G96</f>
        <v>18000</v>
      </c>
      <c r="C96" s="113">
        <f>+Rennes!$G96</f>
        <v>8000</v>
      </c>
      <c r="D96" s="113">
        <f>+Mans!$G96</f>
        <v>13000</v>
      </c>
      <c r="E96" s="160">
        <f>+Vannes!E96+Rennes!E96+Mans!E96</f>
        <v>42786.02</v>
      </c>
      <c r="F96" s="368">
        <f>+Vannes!F96+Rennes!F96+Mans!F96</f>
        <v>39303.4</v>
      </c>
      <c r="G96" s="373">
        <f>+Vannes!G96+Rennes!G96+Mans!G96</f>
        <v>39000</v>
      </c>
      <c r="H96" s="161">
        <f t="shared" si="9"/>
        <v>39000</v>
      </c>
      <c r="I96" s="149">
        <f t="shared" si="10"/>
        <v>-8.1396213062116918E-2</v>
      </c>
      <c r="J96" s="271">
        <f t="shared" si="11"/>
        <v>-7.7194339421017381E-3</v>
      </c>
      <c r="K96" s="18">
        <f>+Vannes!G96+Rennes!G96+Mans!G96</f>
        <v>39000</v>
      </c>
    </row>
    <row r="97" spans="1:11" s="2" customFormat="1" ht="11.25">
      <c r="A97" s="5" t="s">
        <v>7</v>
      </c>
      <c r="B97" s="160">
        <f>+Vannes!G97</f>
        <v>500</v>
      </c>
      <c r="C97" s="113">
        <f>+Rennes!$G97</f>
        <v>200</v>
      </c>
      <c r="D97" s="113">
        <f>+Mans!$G97</f>
        <v>0</v>
      </c>
      <c r="E97" s="160">
        <f>+Vannes!E97+Rennes!E97+Mans!E97</f>
        <v>830.1</v>
      </c>
      <c r="F97" s="368">
        <f>+Vannes!F97+Rennes!F97+Mans!F97</f>
        <v>937.95999999999992</v>
      </c>
      <c r="G97" s="373">
        <f>+Vannes!G97+Rennes!G97+Mans!G97</f>
        <v>700</v>
      </c>
      <c r="H97" s="161">
        <f t="shared" si="9"/>
        <v>700</v>
      </c>
      <c r="I97" s="149">
        <f t="shared" si="10"/>
        <v>0.12993615227081062</v>
      </c>
      <c r="J97" s="271">
        <f t="shared" si="11"/>
        <v>-0.25369951810311736</v>
      </c>
      <c r="K97" s="18">
        <f>+Vannes!G97+Rennes!G97+Mans!G97</f>
        <v>700</v>
      </c>
    </row>
    <row r="98" spans="1:11" s="2" customFormat="1" ht="11.25">
      <c r="A98" s="5" t="s">
        <v>307</v>
      </c>
      <c r="B98" s="160">
        <f>+Vannes!G98</f>
        <v>0</v>
      </c>
      <c r="C98" s="113">
        <f>+Rennes!$G98</f>
        <v>1000</v>
      </c>
      <c r="D98" s="113">
        <f>+Mans!$G98</f>
        <v>0</v>
      </c>
      <c r="E98" s="160">
        <f>+Vannes!E98+Rennes!E98+Mans!E98</f>
        <v>0</v>
      </c>
      <c r="F98" s="368">
        <f>+Vannes!F98+Rennes!F98+Mans!F98</f>
        <v>0</v>
      </c>
      <c r="G98" s="373">
        <f>+Vannes!G98+Rennes!G98+Mans!G98</f>
        <v>1000</v>
      </c>
      <c r="H98" s="161">
        <f t="shared" si="9"/>
        <v>1000</v>
      </c>
      <c r="I98" s="149">
        <f t="shared" si="10"/>
        <v>0</v>
      </c>
      <c r="J98" s="271">
        <f t="shared" si="11"/>
        <v>0</v>
      </c>
      <c r="K98" s="18">
        <f>+Vannes!G98+Rennes!G98+Mans!G98</f>
        <v>1000</v>
      </c>
    </row>
    <row r="99" spans="1:11" s="2" customFormat="1" ht="11.25">
      <c r="A99" s="5" t="s">
        <v>119</v>
      </c>
      <c r="B99" s="160">
        <f>+Vannes!G99</f>
        <v>3392.0266666666666</v>
      </c>
      <c r="C99" s="113">
        <f>+Rennes!$G99</f>
        <v>3368.0266666666666</v>
      </c>
      <c r="D99" s="113">
        <f>+Mans!$G99</f>
        <v>5208.6133333333337</v>
      </c>
      <c r="E99" s="160">
        <f>+Vannes!E99+Rennes!E99+Mans!E99</f>
        <v>13199.98</v>
      </c>
      <c r="F99" s="368">
        <f>+Vannes!F99+Rennes!F99+Mans!F99</f>
        <v>11968.666666666668</v>
      </c>
      <c r="G99" s="373">
        <f>+Vannes!G99+Rennes!G99+Mans!G99</f>
        <v>11968.666666666668</v>
      </c>
      <c r="H99" s="161">
        <f t="shared" si="9"/>
        <v>11968.666666666668</v>
      </c>
      <c r="I99" s="149">
        <f t="shared" si="10"/>
        <v>-9.3281454466850086E-2</v>
      </c>
      <c r="J99" s="271">
        <f t="shared" si="11"/>
        <v>0</v>
      </c>
      <c r="K99" s="18">
        <f>+Vannes!G99+Rennes!G99+Mans!G99</f>
        <v>11968.666666666668</v>
      </c>
    </row>
    <row r="100" spans="1:11" s="2" customFormat="1" ht="11.25">
      <c r="A100" s="5" t="s">
        <v>120</v>
      </c>
      <c r="B100" s="160">
        <f>+Vannes!G100</f>
        <v>759.57693333333339</v>
      </c>
      <c r="C100" s="113">
        <f>+Rennes!$G100</f>
        <v>307.0361333333334</v>
      </c>
      <c r="D100" s="113">
        <f>+Mans!$G100</f>
        <v>1042.0166666666669</v>
      </c>
      <c r="E100" s="160">
        <f>+Vannes!E100+Rennes!E100+Mans!E100</f>
        <v>1730.8600000000006</v>
      </c>
      <c r="F100" s="368">
        <f>+Vannes!F100+Rennes!F100+Mans!F100</f>
        <v>2047.2133333333334</v>
      </c>
      <c r="G100" s="373">
        <f>+Vannes!G100+Rennes!G100+Mans!G100</f>
        <v>2108.6297333333337</v>
      </c>
      <c r="H100" s="161">
        <f t="shared" si="9"/>
        <v>2108.6297333333337</v>
      </c>
      <c r="I100" s="149">
        <f t="shared" si="10"/>
        <v>0.18277234053206654</v>
      </c>
      <c r="J100" s="271">
        <f t="shared" si="11"/>
        <v>3.0000000000000145E-2</v>
      </c>
      <c r="K100" s="18">
        <f>+Vannes!G100+Rennes!G100+Mans!G100</f>
        <v>2108.6297333333337</v>
      </c>
    </row>
    <row r="101" spans="1:11" s="2" customFormat="1" ht="11.25">
      <c r="A101" s="5" t="s">
        <v>121</v>
      </c>
      <c r="B101" s="160">
        <f>+Vannes!G101</f>
        <v>0</v>
      </c>
      <c r="C101" s="113">
        <f>+Rennes!$G101</f>
        <v>0</v>
      </c>
      <c r="D101" s="113">
        <f>+Mans!$G101</f>
        <v>0</v>
      </c>
      <c r="E101" s="160">
        <f>+Vannes!E101+Rennes!E101+Mans!E101</f>
        <v>0</v>
      </c>
      <c r="F101" s="368">
        <f>+Vannes!F101+Rennes!F101+Mans!F101</f>
        <v>0</v>
      </c>
      <c r="G101" s="373">
        <f>+Vannes!G101+Rennes!G101+Mans!G101</f>
        <v>0</v>
      </c>
      <c r="H101" s="161">
        <f t="shared" si="9"/>
        <v>0</v>
      </c>
      <c r="I101" s="149">
        <f t="shared" si="10"/>
        <v>0</v>
      </c>
      <c r="J101" s="271">
        <f t="shared" si="11"/>
        <v>0</v>
      </c>
      <c r="K101" s="18">
        <f>+Vannes!G101+Rennes!G101+Mans!G101</f>
        <v>0</v>
      </c>
    </row>
    <row r="102" spans="1:11" s="2" customFormat="1" ht="11.25">
      <c r="A102" s="5"/>
      <c r="B102" s="160"/>
      <c r="C102" s="113"/>
      <c r="D102" s="113"/>
      <c r="E102" s="160"/>
      <c r="F102" s="113"/>
      <c r="G102" s="113"/>
      <c r="H102" s="162"/>
      <c r="I102" s="149"/>
      <c r="J102" s="254"/>
      <c r="K102" s="18"/>
    </row>
    <row r="103" spans="1:11" s="2" customFormat="1" ht="11.25">
      <c r="A103" s="13" t="s">
        <v>122</v>
      </c>
      <c r="B103" s="163">
        <f>SUM(B70:B102)</f>
        <v>94482.103226413019</v>
      </c>
      <c r="C103" s="204">
        <f>SUM(C70:C102)</f>
        <v>69062.504316666673</v>
      </c>
      <c r="D103" s="204">
        <f>SUM(D70:D102)</f>
        <v>91457.683830173555</v>
      </c>
      <c r="E103" s="163">
        <f>+Vannes!E103+Rennes!E103+Mans!E103</f>
        <v>255820.13000000006</v>
      </c>
      <c r="F103" s="204">
        <f>+Vannes!F103+Rennes!F103+Mans!F103</f>
        <v>249433.70333333337</v>
      </c>
      <c r="G103" s="204">
        <f>+Vannes!G103+Rennes!G103+Mans!G103</f>
        <v>255002.29137325328</v>
      </c>
      <c r="H103" s="168">
        <f>SUM(B103:D103)</f>
        <v>255002.29137325328</v>
      </c>
      <c r="I103" s="272">
        <f>+IF((E103)=0,,(F103-E103)/E103)</f>
        <v>-2.4964519667262673E-2</v>
      </c>
      <c r="J103" s="188">
        <f>+IF((F103)=0,,(H103-F103)/F103)</f>
        <v>2.232492227595349E-2</v>
      </c>
      <c r="K103" s="305">
        <f>SUM(K72:K102)+K70</f>
        <v>255002.29137325319</v>
      </c>
    </row>
    <row r="104" spans="1:11" s="2" customFormat="1" ht="11.25">
      <c r="A104" s="5"/>
      <c r="B104" s="160"/>
      <c r="C104" s="113"/>
      <c r="D104" s="113"/>
      <c r="E104" s="160"/>
      <c r="F104" s="113"/>
      <c r="G104" s="113"/>
      <c r="H104" s="162"/>
      <c r="I104" s="149"/>
      <c r="J104" s="254"/>
      <c r="K104" s="18"/>
    </row>
    <row r="105" spans="1:11" s="2" customFormat="1" ht="11.25">
      <c r="A105" s="5" t="s">
        <v>129</v>
      </c>
      <c r="B105" s="160">
        <f>+Vannes!G105</f>
        <v>1000</v>
      </c>
      <c r="C105" s="113">
        <f>+Rennes!$G105</f>
        <v>1000</v>
      </c>
      <c r="D105" s="113">
        <f>+Mans!$G105</f>
        <v>1000</v>
      </c>
      <c r="E105" s="160">
        <f>+Vannes!E105+Rennes!E105+Mans!E105</f>
        <v>2322.8999999999996</v>
      </c>
      <c r="F105" s="368">
        <f>+Vannes!F105+Rennes!F105+Mans!F105</f>
        <v>0</v>
      </c>
      <c r="G105" s="373">
        <f>+Vannes!G105+Rennes!G105+Mans!G105</f>
        <v>3000</v>
      </c>
      <c r="H105" s="161">
        <f>SUM(B105:D105)</f>
        <v>3000</v>
      </c>
      <c r="I105" s="149">
        <f>+IF((E105)=0,,(F105-E105)/E105)</f>
        <v>-1</v>
      </c>
      <c r="J105" s="271">
        <f>+IF((F105)=0,,(H105-F105)/F105)</f>
        <v>0</v>
      </c>
      <c r="K105" s="18">
        <f>+Vannes!G105+Rennes!G105+Mans!G105</f>
        <v>3000</v>
      </c>
    </row>
    <row r="106" spans="1:11" s="2" customFormat="1" ht="11.25">
      <c r="A106" s="5" t="s">
        <v>130</v>
      </c>
      <c r="B106" s="160">
        <f>+Vannes!G106</f>
        <v>5500</v>
      </c>
      <c r="C106" s="113">
        <f>+Rennes!$G106</f>
        <v>3000</v>
      </c>
      <c r="D106" s="113">
        <f>+Mans!$G106</f>
        <v>4000</v>
      </c>
      <c r="E106" s="160">
        <f>+Vannes!E106+Rennes!E106+Mans!E106</f>
        <v>16089.779999999999</v>
      </c>
      <c r="F106" s="368">
        <f>+Vannes!F106+Rennes!F106+Mans!F106</f>
        <v>14827.066666666666</v>
      </c>
      <c r="G106" s="373">
        <f>+Vannes!G106+Rennes!G106+Mans!G106</f>
        <v>12500</v>
      </c>
      <c r="H106" s="161">
        <f t="shared" ref="H106:H114" si="12">SUM(B106:D106)</f>
        <v>12500</v>
      </c>
      <c r="I106" s="149">
        <f t="shared" ref="I106:I114" si="13">+IF((E106)=0,,(F106-E106)/E106)</f>
        <v>-7.8479216827907733E-2</v>
      </c>
      <c r="J106" s="271">
        <f t="shared" ref="J106:J114" si="14">+IF((F106)=0,,(H106-F106)/F106)</f>
        <v>-0.15694720466174469</v>
      </c>
      <c r="K106" s="18">
        <f>+Vannes!G106+Rennes!G106+Mans!G106</f>
        <v>12500</v>
      </c>
    </row>
    <row r="107" spans="1:11" s="2" customFormat="1" ht="11.25">
      <c r="A107" s="5" t="s">
        <v>131</v>
      </c>
      <c r="B107" s="160">
        <f>+Vannes!G107</f>
        <v>0</v>
      </c>
      <c r="C107" s="113">
        <f>+Rennes!$G107</f>
        <v>0</v>
      </c>
      <c r="D107" s="113">
        <f>+Mans!$G107</f>
        <v>0</v>
      </c>
      <c r="E107" s="160">
        <f>+Vannes!E107+Rennes!E107+Mans!E107</f>
        <v>0</v>
      </c>
      <c r="F107" s="368">
        <f>+Vannes!F107+Rennes!F107+Mans!F107</f>
        <v>0</v>
      </c>
      <c r="G107" s="373">
        <f>+Vannes!G107+Rennes!G107+Mans!G107</f>
        <v>0</v>
      </c>
      <c r="H107" s="161">
        <f t="shared" si="12"/>
        <v>0</v>
      </c>
      <c r="I107" s="149">
        <f t="shared" si="13"/>
        <v>0</v>
      </c>
      <c r="J107" s="271">
        <f t="shared" si="14"/>
        <v>0</v>
      </c>
      <c r="K107" s="18">
        <f>+Vannes!G107+Rennes!G107+Mans!G107</f>
        <v>0</v>
      </c>
    </row>
    <row r="108" spans="1:11" s="2" customFormat="1" ht="11.25">
      <c r="A108" s="5" t="s">
        <v>132</v>
      </c>
      <c r="B108" s="160">
        <f>+Vannes!G108</f>
        <v>500</v>
      </c>
      <c r="C108" s="113">
        <f>+Rennes!$G108</f>
        <v>0</v>
      </c>
      <c r="D108" s="113">
        <f>+Mans!$G108</f>
        <v>150</v>
      </c>
      <c r="E108" s="160">
        <f>+Vannes!E108+Rennes!E108+Mans!E108</f>
        <v>0</v>
      </c>
      <c r="F108" s="368">
        <f>+Vannes!F108+Rennes!F108+Mans!F108</f>
        <v>3107.333333333333</v>
      </c>
      <c r="G108" s="373">
        <f>+Vannes!G108+Rennes!G108+Mans!G108</f>
        <v>650</v>
      </c>
      <c r="H108" s="161">
        <f t="shared" si="12"/>
        <v>650</v>
      </c>
      <c r="I108" s="149">
        <f t="shared" si="13"/>
        <v>0</v>
      </c>
      <c r="J108" s="271">
        <f t="shared" si="14"/>
        <v>-0.79081742115425868</v>
      </c>
      <c r="K108" s="18">
        <f>+Vannes!G108+Rennes!G108+Mans!G108</f>
        <v>650</v>
      </c>
    </row>
    <row r="109" spans="1:11" s="2" customFormat="1" ht="11.25">
      <c r="A109" s="5" t="s">
        <v>133</v>
      </c>
      <c r="B109" s="160">
        <f>+Vannes!G109</f>
        <v>4300</v>
      </c>
      <c r="C109" s="113">
        <f>+Rennes!$G109</f>
        <v>3800</v>
      </c>
      <c r="D109" s="113">
        <f>+Mans!$G109</f>
        <v>2800</v>
      </c>
      <c r="E109" s="160">
        <f>+Vannes!E109+Rennes!E109+Mans!E109</f>
        <v>3739.8700000000003</v>
      </c>
      <c r="F109" s="368">
        <f>+Vannes!F109+Rennes!F109+Mans!F109</f>
        <v>10294.52</v>
      </c>
      <c r="G109" s="373">
        <f>+Vannes!G109+Rennes!G109+Mans!G109</f>
        <v>10900</v>
      </c>
      <c r="H109" s="161">
        <f t="shared" si="12"/>
        <v>10900</v>
      </c>
      <c r="I109" s="149">
        <f t="shared" si="13"/>
        <v>1.7526411345848918</v>
      </c>
      <c r="J109" s="271">
        <f t="shared" si="14"/>
        <v>5.8815758286933195E-2</v>
      </c>
      <c r="K109" s="18">
        <f>+Vannes!G109+Rennes!G109+Mans!G109</f>
        <v>10900</v>
      </c>
    </row>
    <row r="110" spans="1:11" s="2" customFormat="1" ht="11.25">
      <c r="A110" s="5" t="s">
        <v>134</v>
      </c>
      <c r="B110" s="160">
        <f>+Vannes!G110</f>
        <v>15000</v>
      </c>
      <c r="C110" s="113">
        <f>+Rennes!$G110</f>
        <v>7000</v>
      </c>
      <c r="D110" s="113">
        <f>+Mans!$G110</f>
        <v>3000</v>
      </c>
      <c r="E110" s="160">
        <f>+Vannes!E110+Rennes!E110+Mans!E110</f>
        <v>19292.46</v>
      </c>
      <c r="F110" s="368">
        <f>+Vannes!F110+Rennes!F110+Mans!F110</f>
        <v>24848.173333333332</v>
      </c>
      <c r="G110" s="373">
        <f>+Vannes!G110+Rennes!G110+Mans!G110</f>
        <v>25000</v>
      </c>
      <c r="H110" s="161">
        <f t="shared" si="12"/>
        <v>25000</v>
      </c>
      <c r="I110" s="149">
        <f t="shared" si="13"/>
        <v>0.28797329803111338</v>
      </c>
      <c r="J110" s="271">
        <f t="shared" si="14"/>
        <v>6.1101741616956312E-3</v>
      </c>
      <c r="K110" s="18">
        <f>+Vannes!G110+Rennes!G110+Mans!G110</f>
        <v>25000</v>
      </c>
    </row>
    <row r="111" spans="1:11" s="2" customFormat="1" ht="11.25">
      <c r="A111" s="5" t="s">
        <v>135</v>
      </c>
      <c r="B111" s="160">
        <f>+Vannes!G111</f>
        <v>50</v>
      </c>
      <c r="C111" s="113">
        <f>+Rennes!$G111</f>
        <v>20</v>
      </c>
      <c r="D111" s="113">
        <f>+Mans!$G111</f>
        <v>50</v>
      </c>
      <c r="E111" s="160">
        <f>+Vannes!E111+Rennes!E111+Mans!E111</f>
        <v>75</v>
      </c>
      <c r="F111" s="368">
        <f>+Vannes!F111+Rennes!F111+Mans!F111</f>
        <v>0</v>
      </c>
      <c r="G111" s="373">
        <f>+Vannes!G111+Rennes!G111+Mans!G111</f>
        <v>120</v>
      </c>
      <c r="H111" s="161">
        <f t="shared" si="12"/>
        <v>120</v>
      </c>
      <c r="I111" s="149">
        <f t="shared" si="13"/>
        <v>-1</v>
      </c>
      <c r="J111" s="271">
        <f t="shared" si="14"/>
        <v>0</v>
      </c>
      <c r="K111" s="18">
        <f>+Vannes!G111+Rennes!G111+Mans!G111</f>
        <v>120</v>
      </c>
    </row>
    <row r="112" spans="1:11" s="2" customFormat="1" ht="11.25">
      <c r="A112" s="5" t="s">
        <v>136</v>
      </c>
      <c r="B112" s="160">
        <f>+Vannes!G112</f>
        <v>1500</v>
      </c>
      <c r="C112" s="113">
        <f>+Rennes!$G112</f>
        <v>500</v>
      </c>
      <c r="D112" s="113">
        <f>+Mans!$G112</f>
        <v>1000</v>
      </c>
      <c r="E112" s="160">
        <f>+Vannes!E112+Rennes!E112+Mans!E112</f>
        <v>3345.69</v>
      </c>
      <c r="F112" s="368">
        <f>+Vannes!F112+Rennes!F112+Mans!F112</f>
        <v>25369.826666666664</v>
      </c>
      <c r="G112" s="373">
        <f>+Vannes!G112+Rennes!G112+Mans!G112</f>
        <v>3000</v>
      </c>
      <c r="H112" s="161">
        <f t="shared" si="12"/>
        <v>3000</v>
      </c>
      <c r="I112" s="149">
        <f t="shared" si="13"/>
        <v>6.5828384179845312</v>
      </c>
      <c r="J112" s="271">
        <f t="shared" si="14"/>
        <v>-0.88174929062713348</v>
      </c>
      <c r="K112" s="18">
        <f>+Vannes!G112+Rennes!G112+Mans!G112</f>
        <v>3000</v>
      </c>
    </row>
    <row r="113" spans="1:11" s="2" customFormat="1" ht="11.25">
      <c r="A113" s="5" t="s">
        <v>137</v>
      </c>
      <c r="B113" s="160">
        <f>+Vannes!G113</f>
        <v>10000</v>
      </c>
      <c r="C113" s="113">
        <f>+Rennes!$G113</f>
        <v>2800.0034999999998</v>
      </c>
      <c r="D113" s="113">
        <f>+Mans!$G113</f>
        <v>4600</v>
      </c>
      <c r="E113" s="160">
        <f>+Vannes!E113+Rennes!E113+Mans!E113</f>
        <v>22215.670000000002</v>
      </c>
      <c r="F113" s="368">
        <f>+Vannes!F113+Rennes!F113+Mans!F113</f>
        <v>17470.03</v>
      </c>
      <c r="G113" s="373">
        <f>+Vannes!G113+Rennes!G113+Mans!G113</f>
        <v>17400.003499999999</v>
      </c>
      <c r="H113" s="161">
        <f t="shared" si="12"/>
        <v>17400.003499999999</v>
      </c>
      <c r="I113" s="149">
        <f t="shared" si="13"/>
        <v>-0.21361678490903055</v>
      </c>
      <c r="J113" s="271">
        <f t="shared" si="14"/>
        <v>-4.0083789209291541E-3</v>
      </c>
      <c r="K113" s="18">
        <f>+Vannes!G113+Rennes!G113+Mans!G113</f>
        <v>17400.003499999999</v>
      </c>
    </row>
    <row r="114" spans="1:11" s="2" customFormat="1" ht="11.25">
      <c r="A114" s="5" t="s">
        <v>138</v>
      </c>
      <c r="B114" s="160">
        <f>+Vannes!G114</f>
        <v>0</v>
      </c>
      <c r="C114" s="113">
        <f>+Rennes!$G114</f>
        <v>-687.01</v>
      </c>
      <c r="D114" s="113">
        <f>+Mans!$G114</f>
        <v>0</v>
      </c>
      <c r="E114" s="160">
        <f>+Vannes!E114+Rennes!E114+Mans!E114</f>
        <v>0</v>
      </c>
      <c r="F114" s="368">
        <f>+Vannes!F114+Rennes!F114+Mans!F114</f>
        <v>-667</v>
      </c>
      <c r="G114" s="373">
        <f>+Vannes!G114+Rennes!G114+Mans!G114</f>
        <v>-687.01</v>
      </c>
      <c r="H114" s="161">
        <f t="shared" si="12"/>
        <v>-687.01</v>
      </c>
      <c r="I114" s="149">
        <f t="shared" si="13"/>
        <v>0</v>
      </c>
      <c r="J114" s="271">
        <f t="shared" si="14"/>
        <v>2.9999999999999985E-2</v>
      </c>
      <c r="K114" s="18">
        <f>+Vannes!G114+Rennes!G114+Mans!G114</f>
        <v>-687.01</v>
      </c>
    </row>
    <row r="115" spans="1:11" s="2" customFormat="1" ht="11.25">
      <c r="A115" s="5"/>
      <c r="B115" s="160"/>
      <c r="C115" s="113"/>
      <c r="D115" s="113"/>
      <c r="E115" s="160"/>
      <c r="F115" s="113"/>
      <c r="G115" s="113"/>
      <c r="H115" s="162"/>
      <c r="I115" s="149"/>
      <c r="J115" s="254"/>
      <c r="K115" s="18"/>
    </row>
    <row r="116" spans="1:11" s="2" customFormat="1" ht="11.25">
      <c r="A116" s="13" t="s">
        <v>133</v>
      </c>
      <c r="B116" s="163">
        <f>SUM(B104:B115)</f>
        <v>37850</v>
      </c>
      <c r="C116" s="204">
        <f>SUM(C104:C115)</f>
        <v>17432.9935</v>
      </c>
      <c r="D116" s="204">
        <f>SUM(D104:D115)</f>
        <v>16600</v>
      </c>
      <c r="E116" s="163">
        <f>+Vannes!E116+Rennes!E116+Mans!E116</f>
        <v>67081.37</v>
      </c>
      <c r="F116" s="204">
        <f>+Vannes!F116+Rennes!F116+Mans!F116</f>
        <v>95249.950000000012</v>
      </c>
      <c r="G116" s="204">
        <f>+Vannes!G116+Rennes!G116+Mans!G116</f>
        <v>71882.993499999997</v>
      </c>
      <c r="H116" s="168">
        <f>SUM(B116:D116)</f>
        <v>71882.993499999997</v>
      </c>
      <c r="I116" s="272">
        <f>+IF((E116)=0,,(F116-E116)/E116)</f>
        <v>0.41991658786932973</v>
      </c>
      <c r="J116" s="188">
        <f>+IF((F116)=0,,(H116-F116)/F116)</f>
        <v>-0.24532250673097478</v>
      </c>
      <c r="K116" s="305">
        <f>SUM(K105:K115)</f>
        <v>71882.993499999997</v>
      </c>
    </row>
    <row r="117" spans="1:11" s="2" customFormat="1" ht="11.25">
      <c r="A117" s="5"/>
      <c r="B117" s="160"/>
      <c r="C117" s="113"/>
      <c r="D117" s="113"/>
      <c r="E117" s="160"/>
      <c r="F117" s="113"/>
      <c r="G117" s="113"/>
      <c r="H117" s="162"/>
      <c r="I117" s="149"/>
      <c r="J117" s="254"/>
      <c r="K117" s="18"/>
    </row>
    <row r="118" spans="1:11" s="2" customFormat="1" ht="11.25">
      <c r="A118" s="5" t="s">
        <v>139</v>
      </c>
      <c r="B118" s="160">
        <f>+Vannes!G118</f>
        <v>776.99999999999989</v>
      </c>
      <c r="C118" s="113">
        <f>+Rennes!$G118</f>
        <v>412.99999999999994</v>
      </c>
      <c r="D118" s="113">
        <f>+Mans!$G118</f>
        <v>797.99999999999989</v>
      </c>
      <c r="E118" s="160">
        <f>+Vannes!E118+Rennes!E118+Mans!E118</f>
        <v>2176</v>
      </c>
      <c r="F118" s="368">
        <f>+Vannes!F118+Rennes!F118+Mans!F118</f>
        <v>5592.6133333333328</v>
      </c>
      <c r="G118" s="373">
        <f>+Vannes!G118+Rennes!G118+Mans!G118</f>
        <v>1987.9999999999995</v>
      </c>
      <c r="H118" s="161">
        <f>SUM(B118:D118)</f>
        <v>1987.9999999999995</v>
      </c>
      <c r="I118" s="149">
        <f>+IF((E118)=0,,(F118-E118)/E118)</f>
        <v>1.5701348039215683</v>
      </c>
      <c r="J118" s="271">
        <f>+IF((F118)=0,,(H118-F118)/F118)</f>
        <v>-0.6445311196196889</v>
      </c>
      <c r="K118" s="18">
        <f>+Vannes!G118+Rennes!G118+Mans!G118</f>
        <v>1987.9999999999995</v>
      </c>
    </row>
    <row r="119" spans="1:11" s="2" customFormat="1" ht="11.25">
      <c r="A119" s="5" t="s">
        <v>140</v>
      </c>
      <c r="B119" s="160">
        <f>+Vannes!G119</f>
        <v>499.50000000000006</v>
      </c>
      <c r="C119" s="113">
        <f>+Rennes!$G119</f>
        <v>265.50000000000006</v>
      </c>
      <c r="D119" s="113">
        <f>+Mans!$G119</f>
        <v>513.00000000000011</v>
      </c>
      <c r="E119" s="160">
        <f>+Vannes!E119+Rennes!E119+Mans!E119</f>
        <v>1199</v>
      </c>
      <c r="F119" s="368">
        <f>+Vannes!F119+Rennes!F119+Mans!F119</f>
        <v>0</v>
      </c>
      <c r="G119" s="373">
        <f>+Vannes!G119+Rennes!G119+Mans!G119</f>
        <v>1278.0000000000002</v>
      </c>
      <c r="H119" s="161">
        <f t="shared" ref="H119:H127" si="15">SUM(B119:D119)</f>
        <v>1278.0000000000002</v>
      </c>
      <c r="I119" s="149">
        <f t="shared" ref="I119:I127" si="16">+IF((E119)=0,,(F119-E119)/E119)</f>
        <v>-1</v>
      </c>
      <c r="J119" s="271">
        <f t="shared" ref="J119:J127" si="17">+IF((F119)=0,,(H119-F119)/F119)</f>
        <v>0</v>
      </c>
      <c r="K119" s="18">
        <f>+Vannes!G119+Rennes!G119+Mans!G119</f>
        <v>1278.0000000000002</v>
      </c>
    </row>
    <row r="120" spans="1:11" s="2" customFormat="1" ht="11.25">
      <c r="A120" s="5" t="s">
        <v>141</v>
      </c>
      <c r="B120" s="160">
        <f>+Vannes!G120</f>
        <v>865.80000000000007</v>
      </c>
      <c r="C120" s="113">
        <f>+Rennes!$G120</f>
        <v>460.20000000000005</v>
      </c>
      <c r="D120" s="113">
        <f>+Mans!$G120</f>
        <v>889.2</v>
      </c>
      <c r="E120" s="160">
        <f>+Vannes!E120+Rennes!E120+Mans!E120</f>
        <v>1811</v>
      </c>
      <c r="F120" s="368">
        <f>+Vannes!F120+Rennes!F120+Mans!F120</f>
        <v>0</v>
      </c>
      <c r="G120" s="373">
        <f>+Vannes!G120+Rennes!G120+Mans!G120</f>
        <v>2215.1999999999998</v>
      </c>
      <c r="H120" s="161">
        <f t="shared" si="15"/>
        <v>2215.1999999999998</v>
      </c>
      <c r="I120" s="149">
        <f t="shared" si="16"/>
        <v>-1</v>
      </c>
      <c r="J120" s="271">
        <f t="shared" si="17"/>
        <v>0</v>
      </c>
      <c r="K120" s="18">
        <f>+Vannes!G120+Rennes!G120+Mans!G120</f>
        <v>2215.1999999999998</v>
      </c>
    </row>
    <row r="121" spans="1:11" s="2" customFormat="1" ht="11.25">
      <c r="A121" s="5" t="s">
        <v>142</v>
      </c>
      <c r="B121" s="160">
        <f>+Vannes!G121</f>
        <v>2439.15</v>
      </c>
      <c r="C121" s="113">
        <f>+Rennes!$G121</f>
        <v>3979.5</v>
      </c>
      <c r="D121" s="113">
        <f>+Mans!$G121</f>
        <v>1021.6500000000001</v>
      </c>
      <c r="E121" s="160">
        <f>+Vannes!E121+Rennes!E121+Mans!E121</f>
        <v>12063</v>
      </c>
      <c r="F121" s="368">
        <f>+Vannes!F121+Rennes!F121+Mans!F121</f>
        <v>7086</v>
      </c>
      <c r="G121" s="373">
        <f>+Vannes!G121+Rennes!G121+Mans!G121</f>
        <v>7440.2999999999993</v>
      </c>
      <c r="H121" s="161">
        <f t="shared" si="15"/>
        <v>7440.2999999999993</v>
      </c>
      <c r="I121" s="149">
        <f t="shared" si="16"/>
        <v>-0.41258393434469037</v>
      </c>
      <c r="J121" s="271">
        <f t="shared" si="17"/>
        <v>4.9999999999999899E-2</v>
      </c>
      <c r="K121" s="18">
        <f>+Vannes!G121+Rennes!G121+Mans!G121</f>
        <v>7440.2999999999993</v>
      </c>
    </row>
    <row r="122" spans="1:11" s="2" customFormat="1" ht="11.25">
      <c r="A122" s="5" t="s">
        <v>143</v>
      </c>
      <c r="B122" s="160">
        <f>+Vannes!G122</f>
        <v>4122.3</v>
      </c>
      <c r="C122" s="113">
        <f>+Rennes!$G122</f>
        <v>5893.5660000000007</v>
      </c>
      <c r="D122" s="113">
        <f>+Mans!$G122</f>
        <v>1713.9990000000003</v>
      </c>
      <c r="E122" s="160">
        <f>+Vannes!E122+Rennes!E122+Mans!E122</f>
        <v>10788.529999999999</v>
      </c>
      <c r="F122" s="368">
        <f>+Vannes!F122+Rennes!F122+Mans!F122</f>
        <v>11171.3</v>
      </c>
      <c r="G122" s="373">
        <f>+Vannes!G122+Rennes!G122+Mans!G122</f>
        <v>11729.865000000002</v>
      </c>
      <c r="H122" s="161">
        <f t="shared" si="15"/>
        <v>11729.865000000002</v>
      </c>
      <c r="I122" s="149">
        <f t="shared" si="16"/>
        <v>3.5479347047280813E-2</v>
      </c>
      <c r="J122" s="271">
        <f t="shared" si="17"/>
        <v>5.0000000000000211E-2</v>
      </c>
      <c r="K122" s="18">
        <f>+Vannes!G122+Rennes!G122+Mans!G122</f>
        <v>11729.865000000002</v>
      </c>
    </row>
    <row r="123" spans="1:11" s="2" customFormat="1" ht="11.25">
      <c r="A123" s="5" t="s">
        <v>144</v>
      </c>
      <c r="B123" s="160">
        <f>+Vannes!G123</f>
        <v>50</v>
      </c>
      <c r="C123" s="113">
        <f>+Rennes!$G123</f>
        <v>200</v>
      </c>
      <c r="D123" s="113">
        <f>+Mans!$G123</f>
        <v>2512.125</v>
      </c>
      <c r="E123" s="160">
        <f>+Vannes!E123+Rennes!E123+Mans!E123</f>
        <v>0</v>
      </c>
      <c r="F123" s="368">
        <f>+Vannes!F123+Rennes!F123+Mans!F123</f>
        <v>2392.5</v>
      </c>
      <c r="G123" s="373">
        <f>+Vannes!G123+Rennes!G123+Mans!G123</f>
        <v>2762.125</v>
      </c>
      <c r="H123" s="161">
        <f t="shared" si="15"/>
        <v>2762.125</v>
      </c>
      <c r="I123" s="149">
        <f t="shared" si="16"/>
        <v>0</v>
      </c>
      <c r="J123" s="271">
        <f t="shared" si="17"/>
        <v>0.1544932079414838</v>
      </c>
      <c r="K123" s="18">
        <f>+Vannes!G123+Rennes!G123+Mans!G123</f>
        <v>2762.125</v>
      </c>
    </row>
    <row r="124" spans="1:11" s="2" customFormat="1" ht="11.25">
      <c r="A124" s="5" t="s">
        <v>145</v>
      </c>
      <c r="B124" s="160">
        <f>+Vannes!G124</f>
        <v>0</v>
      </c>
      <c r="C124" s="113">
        <f>+Rennes!$G124</f>
        <v>0</v>
      </c>
      <c r="D124" s="113">
        <f>+Mans!$G124</f>
        <v>0</v>
      </c>
      <c r="E124" s="160">
        <f>+Vannes!E124+Rennes!E124+Mans!E124</f>
        <v>0</v>
      </c>
      <c r="F124" s="368">
        <f>+Vannes!F124+Rennes!F124+Mans!F124</f>
        <v>0</v>
      </c>
      <c r="G124" s="373">
        <f>+Vannes!G124+Rennes!G124+Mans!G124</f>
        <v>0</v>
      </c>
      <c r="H124" s="161">
        <f t="shared" si="15"/>
        <v>0</v>
      </c>
      <c r="I124" s="149">
        <f t="shared" si="16"/>
        <v>0</v>
      </c>
      <c r="J124" s="271">
        <f t="shared" si="17"/>
        <v>0</v>
      </c>
      <c r="K124" s="18">
        <f>+Vannes!G124+Rennes!G124+Mans!G124</f>
        <v>0</v>
      </c>
    </row>
    <row r="125" spans="1:11" s="2" customFormat="1" ht="11.25">
      <c r="A125" s="5" t="s">
        <v>286</v>
      </c>
      <c r="B125" s="160">
        <f>+Vannes!G125</f>
        <v>0</v>
      </c>
      <c r="C125" s="113">
        <f>+Rennes!$G125</f>
        <v>0</v>
      </c>
      <c r="D125" s="113">
        <f>+Mans!$G125</f>
        <v>0</v>
      </c>
      <c r="E125" s="160">
        <f>+Vannes!E125+Rennes!E125+Mans!E125</f>
        <v>0</v>
      </c>
      <c r="F125" s="368">
        <f>+Vannes!F125+Rennes!F125+Mans!F125</f>
        <v>0</v>
      </c>
      <c r="G125" s="373">
        <f>+Vannes!G125+Rennes!G125+Mans!G125</f>
        <v>0</v>
      </c>
      <c r="H125" s="161">
        <f t="shared" si="15"/>
        <v>0</v>
      </c>
      <c r="I125" s="149">
        <f t="shared" si="16"/>
        <v>0</v>
      </c>
      <c r="J125" s="271">
        <f t="shared" si="17"/>
        <v>0</v>
      </c>
      <c r="K125" s="18">
        <f>+Vannes!G125+Rennes!G125+Mans!G125</f>
        <v>0</v>
      </c>
    </row>
    <row r="126" spans="1:11" s="2" customFormat="1" ht="11.25">
      <c r="A126" s="5" t="s">
        <v>361</v>
      </c>
      <c r="B126" s="160">
        <f>+Vannes!G126</f>
        <v>0</v>
      </c>
      <c r="C126" s="113">
        <f>+Rennes!$G126</f>
        <v>0</v>
      </c>
      <c r="D126" s="113">
        <f>+Mans!$G126</f>
        <v>0</v>
      </c>
      <c r="E126" s="160">
        <f>+Vannes!E126+Rennes!E126+Mans!E126</f>
        <v>0</v>
      </c>
      <c r="F126" s="368">
        <f>+Vannes!F126+Rennes!F126+Mans!F126</f>
        <v>0</v>
      </c>
      <c r="G126" s="373">
        <f>+Vannes!G126+Rennes!G126+Mans!G126</f>
        <v>0</v>
      </c>
      <c r="H126" s="161">
        <f t="shared" si="15"/>
        <v>0</v>
      </c>
      <c r="I126" s="149">
        <f t="shared" si="16"/>
        <v>0</v>
      </c>
      <c r="J126" s="271">
        <f t="shared" si="17"/>
        <v>0</v>
      </c>
      <c r="K126" s="18">
        <f>+Vannes!G126+Rennes!G126+Mans!G126</f>
        <v>0</v>
      </c>
    </row>
    <row r="127" spans="1:11" s="2" customFormat="1" ht="11.25">
      <c r="A127" s="5" t="s">
        <v>146</v>
      </c>
      <c r="B127" s="160">
        <f>+Vannes!G127</f>
        <v>1417.32816</v>
      </c>
      <c r="C127" s="113">
        <f>+Rennes!$G127</f>
        <v>799.88022400000011</v>
      </c>
      <c r="D127" s="113">
        <f>+Mans!$G127</f>
        <v>1442.0800000000002</v>
      </c>
      <c r="E127" s="160">
        <f>+Vannes!E127+Rennes!E127+Mans!E127</f>
        <v>3526.55</v>
      </c>
      <c r="F127" s="368">
        <f>+Vannes!F127+Rennes!F127+Mans!F127</f>
        <v>3628.6133333333337</v>
      </c>
      <c r="G127" s="373">
        <f>+Vannes!G127+Rennes!G127+Mans!G127</f>
        <v>3659.2883840000004</v>
      </c>
      <c r="H127" s="161">
        <f t="shared" si="15"/>
        <v>3659.2883840000004</v>
      </c>
      <c r="I127" s="149">
        <f t="shared" si="16"/>
        <v>2.8941411105282356E-2</v>
      </c>
      <c r="J127" s="271">
        <f t="shared" si="17"/>
        <v>8.4536564932058671E-3</v>
      </c>
      <c r="K127" s="18">
        <f>+Vannes!G127+Rennes!G127+Mans!G127</f>
        <v>3659.2883840000004</v>
      </c>
    </row>
    <row r="128" spans="1:11" s="2" customFormat="1" ht="11.25">
      <c r="A128" s="5"/>
      <c r="B128" s="160"/>
      <c r="C128" s="113"/>
      <c r="D128" s="113"/>
      <c r="E128" s="160"/>
      <c r="F128" s="113"/>
      <c r="G128" s="113"/>
      <c r="H128" s="162"/>
      <c r="I128" s="149"/>
      <c r="J128" s="254"/>
      <c r="K128" s="18"/>
    </row>
    <row r="129" spans="1:11" s="2" customFormat="1" ht="11.25">
      <c r="A129" s="13" t="s">
        <v>147</v>
      </c>
      <c r="B129" s="163">
        <f>SUM(B117:B128)</f>
        <v>10171.078160000001</v>
      </c>
      <c r="C129" s="204">
        <f>SUM(C117:C128)</f>
        <v>12011.646224</v>
      </c>
      <c r="D129" s="204">
        <f>SUM(D117:D128)</f>
        <v>8890.0540000000001</v>
      </c>
      <c r="E129" s="163">
        <f>+Vannes!E129+Rennes!E129+Mans!E129</f>
        <v>31564.080000000002</v>
      </c>
      <c r="F129" s="204">
        <f>+Vannes!F129+Rennes!F129+Mans!F129</f>
        <v>29871.026666666665</v>
      </c>
      <c r="G129" s="204">
        <f>+Vannes!G129+Rennes!G129+Mans!G129</f>
        <v>31072.778384000001</v>
      </c>
      <c r="H129" s="168">
        <f>SUM(B129:D129)</f>
        <v>31072.778384000001</v>
      </c>
      <c r="I129" s="272">
        <f>+IF((E129)=0,,(F129-E129)/E129)</f>
        <v>-5.3638608612490424E-2</v>
      </c>
      <c r="J129" s="188">
        <f>+IF((F129)=0,,(H129-F129)/F129)</f>
        <v>4.0231349619943978E-2</v>
      </c>
      <c r="K129" s="305">
        <f>SUM(K117:K128)</f>
        <v>31072.778384000001</v>
      </c>
    </row>
    <row r="130" spans="1:11" s="2" customFormat="1" ht="11.25">
      <c r="A130" s="5"/>
      <c r="B130" s="160"/>
      <c r="C130" s="113"/>
      <c r="D130" s="113"/>
      <c r="E130" s="160"/>
      <c r="F130" s="113"/>
      <c r="G130" s="113"/>
      <c r="H130" s="162"/>
      <c r="I130" s="149"/>
      <c r="J130" s="254"/>
      <c r="K130" s="18"/>
    </row>
    <row r="131" spans="1:11" s="2" customFormat="1" ht="11.25">
      <c r="A131" s="5" t="s">
        <v>148</v>
      </c>
      <c r="B131" s="160">
        <f>+Vannes!G131</f>
        <v>111000</v>
      </c>
      <c r="C131" s="113">
        <f>+Rennes!$G131</f>
        <v>59000</v>
      </c>
      <c r="D131" s="113">
        <f>+Mans!$G131</f>
        <v>114000</v>
      </c>
      <c r="E131" s="160">
        <f>+Vannes!E131+Rennes!E131+Mans!E131</f>
        <v>277275.11</v>
      </c>
      <c r="F131" s="368">
        <f>+Vannes!F131+Rennes!F131+Mans!F131</f>
        <v>272688.2666666666</v>
      </c>
      <c r="G131" s="373">
        <f>+Vannes!G131+Rennes!G131+Mans!G131</f>
        <v>284000</v>
      </c>
      <c r="H131" s="161">
        <f>SUM(B131:D131)</f>
        <v>284000</v>
      </c>
      <c r="I131" s="149">
        <f>+IF((E131)=0,,(F131-E131)/E131)</f>
        <v>-1.6542571503563308E-2</v>
      </c>
      <c r="J131" s="271">
        <f>+IF((F131)=0,,(H131-F131)/F131)</f>
        <v>4.1482288444632004E-2</v>
      </c>
      <c r="K131" s="18">
        <f>+Vannes!G131+Rennes!G131+Mans!G131</f>
        <v>284000</v>
      </c>
    </row>
    <row r="132" spans="1:11" s="2" customFormat="1" ht="11.25">
      <c r="A132" s="5" t="s">
        <v>149</v>
      </c>
      <c r="B132" s="160">
        <f>+Vannes!G132</f>
        <v>0</v>
      </c>
      <c r="C132" s="113">
        <f>+Rennes!$G132</f>
        <v>0</v>
      </c>
      <c r="D132" s="113">
        <f>+Mans!$G132</f>
        <v>0</v>
      </c>
      <c r="E132" s="160">
        <f>+Vannes!E132+Rennes!E132+Mans!E132</f>
        <v>2083.11</v>
      </c>
      <c r="F132" s="368">
        <f>+Vannes!F132+Rennes!F132+Mans!F132</f>
        <v>-3164.4133333333334</v>
      </c>
      <c r="G132" s="373">
        <f>+Vannes!G132+Rennes!G132+Mans!G132</f>
        <v>0</v>
      </c>
      <c r="H132" s="161">
        <f t="shared" ref="H132:H151" si="18">SUM(B132:D132)</f>
        <v>0</v>
      </c>
      <c r="I132" s="149">
        <f t="shared" ref="I132:I151" si="19">+IF((E132)=0,,(F132-E132)/E132)</f>
        <v>-2.5190812455095184</v>
      </c>
      <c r="J132" s="271">
        <f t="shared" ref="J132:J151" si="20">+IF((F132)=0,,(H132-F132)/F132)</f>
        <v>-1</v>
      </c>
      <c r="K132" s="18">
        <f>+Vannes!G132+Rennes!G132+Mans!G132</f>
        <v>0</v>
      </c>
    </row>
    <row r="133" spans="1:11" s="2" customFormat="1" ht="11.25">
      <c r="A133" s="5" t="s">
        <v>150</v>
      </c>
      <c r="B133" s="160">
        <f>+Vannes!G133</f>
        <v>0</v>
      </c>
      <c r="C133" s="113">
        <f>+Rennes!$G133</f>
        <v>0</v>
      </c>
      <c r="D133" s="113">
        <f>+Mans!$G133</f>
        <v>0</v>
      </c>
      <c r="E133" s="160">
        <f>+Vannes!E133+Rennes!E133+Mans!E133</f>
        <v>0</v>
      </c>
      <c r="F133" s="368">
        <f>+Vannes!F133+Rennes!F133+Mans!F133</f>
        <v>0</v>
      </c>
      <c r="G133" s="373">
        <f>+Vannes!G133+Rennes!G133+Mans!G133</f>
        <v>0</v>
      </c>
      <c r="H133" s="161">
        <f t="shared" si="18"/>
        <v>0</v>
      </c>
      <c r="I133" s="149">
        <f t="shared" si="19"/>
        <v>0</v>
      </c>
      <c r="J133" s="271">
        <f t="shared" si="20"/>
        <v>0</v>
      </c>
      <c r="K133" s="18">
        <f>+Vannes!G133+Rennes!G133+Mans!G133</f>
        <v>0</v>
      </c>
    </row>
    <row r="134" spans="1:11" s="2" customFormat="1" ht="11.25">
      <c r="A134" s="5" t="s">
        <v>151</v>
      </c>
      <c r="B134" s="160">
        <f>+Vannes!G134</f>
        <v>0</v>
      </c>
      <c r="C134" s="113">
        <f>+Rennes!$G134</f>
        <v>0</v>
      </c>
      <c r="D134" s="113">
        <f>+Mans!$G134</f>
        <v>0</v>
      </c>
      <c r="E134" s="160">
        <f>+Vannes!E134+Rennes!E134+Mans!E134</f>
        <v>1786.5499999999988</v>
      </c>
      <c r="F134" s="368">
        <f>+Vannes!F134+Rennes!F134+Mans!F134</f>
        <v>0</v>
      </c>
      <c r="G134" s="373">
        <f>+Vannes!G134+Rennes!G134+Mans!G134</f>
        <v>0</v>
      </c>
      <c r="H134" s="161">
        <f t="shared" si="18"/>
        <v>0</v>
      </c>
      <c r="I134" s="149">
        <f t="shared" si="19"/>
        <v>-1</v>
      </c>
      <c r="J134" s="271">
        <f t="shared" si="20"/>
        <v>0</v>
      </c>
      <c r="K134" s="18">
        <f>+Vannes!G134+Rennes!G134+Mans!G134</f>
        <v>0</v>
      </c>
    </row>
    <row r="135" spans="1:11" s="2" customFormat="1" ht="11.25">
      <c r="A135" s="5" t="s">
        <v>114</v>
      </c>
      <c r="B135" s="160">
        <f>+Vannes!G135</f>
        <v>0</v>
      </c>
      <c r="C135" s="113">
        <f>+Rennes!$G135</f>
        <v>0</v>
      </c>
      <c r="D135" s="113">
        <f>+Mans!$G135</f>
        <v>0</v>
      </c>
      <c r="E135" s="160">
        <f>+Vannes!E135+Rennes!E135+Mans!E135</f>
        <v>0</v>
      </c>
      <c r="F135" s="368">
        <f>+Vannes!F135+Rennes!F135+Mans!F135</f>
        <v>0</v>
      </c>
      <c r="G135" s="373">
        <f>+Vannes!G135+Rennes!G135+Mans!G135</f>
        <v>0</v>
      </c>
      <c r="H135" s="161">
        <f t="shared" si="18"/>
        <v>0</v>
      </c>
      <c r="I135" s="149">
        <f t="shared" si="19"/>
        <v>0</v>
      </c>
      <c r="J135" s="271">
        <f t="shared" si="20"/>
        <v>0</v>
      </c>
      <c r="K135" s="18">
        <f>+Vannes!G135+Rennes!G135+Mans!G135</f>
        <v>0</v>
      </c>
    </row>
    <row r="136" spans="1:11" s="2" customFormat="1" ht="11.25">
      <c r="A136" s="5" t="s">
        <v>338</v>
      </c>
      <c r="B136" s="160">
        <f>+Vannes!G136</f>
        <v>0</v>
      </c>
      <c r="C136" s="113">
        <f>+Rennes!$G136</f>
        <v>0</v>
      </c>
      <c r="D136" s="113">
        <f>+Mans!$G136</f>
        <v>0</v>
      </c>
      <c r="E136" s="160">
        <f>+Vannes!E136+Rennes!E136+Mans!E136</f>
        <v>0</v>
      </c>
      <c r="F136" s="368">
        <f>+Vannes!F136+Rennes!F136+Mans!F136</f>
        <v>0</v>
      </c>
      <c r="G136" s="373">
        <f>+Vannes!G136+Rennes!G136+Mans!G136</f>
        <v>0</v>
      </c>
      <c r="H136" s="161">
        <f t="shared" si="18"/>
        <v>0</v>
      </c>
      <c r="I136" s="149">
        <f t="shared" si="19"/>
        <v>0</v>
      </c>
      <c r="J136" s="271">
        <f t="shared" si="20"/>
        <v>0</v>
      </c>
      <c r="K136" s="18">
        <f>+Vannes!G136+Rennes!G136+Mans!G136</f>
        <v>0</v>
      </c>
    </row>
    <row r="137" spans="1:11" s="2" customFormat="1" ht="11.25">
      <c r="A137" s="5" t="s">
        <v>87</v>
      </c>
      <c r="B137" s="160">
        <f>+Vannes!G137</f>
        <v>0</v>
      </c>
      <c r="C137" s="113">
        <f>+Rennes!$G137</f>
        <v>0</v>
      </c>
      <c r="D137" s="113">
        <f>+Mans!$G137</f>
        <v>0</v>
      </c>
      <c r="E137" s="160">
        <f>+Vannes!E137+Rennes!E137+Mans!E137</f>
        <v>-12657.67</v>
      </c>
      <c r="F137" s="368">
        <f>+Vannes!F137+Rennes!F137+Mans!F137</f>
        <v>0</v>
      </c>
      <c r="G137" s="373">
        <f>+Vannes!G137+Rennes!G137+Mans!G137</f>
        <v>0</v>
      </c>
      <c r="H137" s="161">
        <f t="shared" si="18"/>
        <v>0</v>
      </c>
      <c r="I137" s="149">
        <f t="shared" si="19"/>
        <v>-1</v>
      </c>
      <c r="J137" s="271">
        <f t="shared" si="20"/>
        <v>0</v>
      </c>
      <c r="K137" s="18">
        <f>+Vannes!G137+Rennes!G137+Mans!G137</f>
        <v>0</v>
      </c>
    </row>
    <row r="138" spans="1:11" s="2" customFormat="1" ht="11.25">
      <c r="A138" s="5" t="s">
        <v>152</v>
      </c>
      <c r="B138" s="160">
        <f>+Vannes!G138</f>
        <v>0</v>
      </c>
      <c r="C138" s="113">
        <f>+Rennes!$G138</f>
        <v>0</v>
      </c>
      <c r="D138" s="113">
        <f>+Mans!$G138</f>
        <v>0</v>
      </c>
      <c r="E138" s="160">
        <f>+Vannes!E138+Rennes!E138+Mans!E138</f>
        <v>785.90999999999963</v>
      </c>
      <c r="F138" s="368">
        <f>+Vannes!F138+Rennes!F138+Mans!F138</f>
        <v>0</v>
      </c>
      <c r="G138" s="373">
        <f>+Vannes!G138+Rennes!G138+Mans!G138</f>
        <v>0</v>
      </c>
      <c r="H138" s="161">
        <f t="shared" si="18"/>
        <v>0</v>
      </c>
      <c r="I138" s="149">
        <f t="shared" si="19"/>
        <v>-1</v>
      </c>
      <c r="J138" s="271">
        <f t="shared" si="20"/>
        <v>0</v>
      </c>
      <c r="K138" s="18">
        <f>+Vannes!G138+Rennes!G138+Mans!G138</f>
        <v>0</v>
      </c>
    </row>
    <row r="139" spans="1:11" s="2" customFormat="1" ht="11.25">
      <c r="A139" s="5" t="s">
        <v>153</v>
      </c>
      <c r="B139" s="160">
        <f>+Vannes!G139</f>
        <v>0</v>
      </c>
      <c r="C139" s="113">
        <f>+Rennes!$G139</f>
        <v>0</v>
      </c>
      <c r="D139" s="113">
        <f>+Mans!$G139</f>
        <v>0</v>
      </c>
      <c r="E139" s="160">
        <f>+Vannes!E139+Rennes!E139+Mans!E139</f>
        <v>0</v>
      </c>
      <c r="F139" s="368">
        <f>+Vannes!F139+Rennes!F139+Mans!F139</f>
        <v>0</v>
      </c>
      <c r="G139" s="373">
        <f>+Vannes!G139+Rennes!G139+Mans!G139</f>
        <v>0</v>
      </c>
      <c r="H139" s="161">
        <f t="shared" si="18"/>
        <v>0</v>
      </c>
      <c r="I139" s="149">
        <f t="shared" si="19"/>
        <v>0</v>
      </c>
      <c r="J139" s="271">
        <f t="shared" si="20"/>
        <v>0</v>
      </c>
      <c r="K139" s="18">
        <f>+Vannes!G139+Rennes!G139+Mans!G139</f>
        <v>0</v>
      </c>
    </row>
    <row r="140" spans="1:11" s="2" customFormat="1" ht="11.25">
      <c r="A140" s="5" t="s">
        <v>154</v>
      </c>
      <c r="B140" s="160">
        <f>+Vannes!G140</f>
        <v>0</v>
      </c>
      <c r="C140" s="113">
        <f>+Rennes!$G140</f>
        <v>0</v>
      </c>
      <c r="D140" s="113">
        <f>+Mans!$G140</f>
        <v>0</v>
      </c>
      <c r="E140" s="160">
        <f>+Vannes!E140+Rennes!E140+Mans!E140</f>
        <v>0</v>
      </c>
      <c r="F140" s="368">
        <f>+Vannes!F140+Rennes!F140+Mans!F140</f>
        <v>0</v>
      </c>
      <c r="G140" s="373">
        <f>+Vannes!G140+Rennes!G140+Mans!G140</f>
        <v>0</v>
      </c>
      <c r="H140" s="161">
        <f t="shared" si="18"/>
        <v>0</v>
      </c>
      <c r="I140" s="149">
        <f t="shared" si="19"/>
        <v>0</v>
      </c>
      <c r="J140" s="271">
        <f t="shared" si="20"/>
        <v>0</v>
      </c>
      <c r="K140" s="18">
        <f>+Vannes!G140+Rennes!G140+Mans!G140</f>
        <v>0</v>
      </c>
    </row>
    <row r="141" spans="1:11" s="2" customFormat="1" ht="11.25">
      <c r="A141" s="5" t="s">
        <v>155</v>
      </c>
      <c r="B141" s="160">
        <f>+Vannes!G141</f>
        <v>25271.005383550913</v>
      </c>
      <c r="C141" s="113">
        <f>+Rennes!$G141</f>
        <v>16346.886824691055</v>
      </c>
      <c r="D141" s="113">
        <f>+Mans!$G141</f>
        <v>29008.434626710299</v>
      </c>
      <c r="E141" s="160">
        <f>+Vannes!E141+Rennes!E141+Mans!E141</f>
        <v>69725.05</v>
      </c>
      <c r="F141" s="368">
        <f>+Vannes!F141+Rennes!F141+Mans!F141</f>
        <v>67061.373333333337</v>
      </c>
      <c r="G141" s="373">
        <f>+Vannes!G141+Rennes!G141+Mans!G141</f>
        <v>70626.32683495227</v>
      </c>
      <c r="H141" s="161">
        <f t="shared" si="18"/>
        <v>70626.32683495227</v>
      </c>
      <c r="I141" s="149">
        <f t="shared" si="19"/>
        <v>-3.8202578078705807E-2</v>
      </c>
      <c r="J141" s="271">
        <f t="shared" si="20"/>
        <v>5.3159565997837194E-2</v>
      </c>
      <c r="K141" s="18">
        <f>+Vannes!G141+Rennes!G141+Mans!G141</f>
        <v>70626.32683495227</v>
      </c>
    </row>
    <row r="142" spans="1:11" s="2" customFormat="1" ht="11.25">
      <c r="A142" s="5" t="s">
        <v>156</v>
      </c>
      <c r="B142" s="160">
        <f>+Vannes!G142</f>
        <v>3691.7956516758977</v>
      </c>
      <c r="C142" s="113">
        <f>+Rennes!$G142</f>
        <v>1704.1961571248964</v>
      </c>
      <c r="D142" s="113">
        <f>+Mans!$G142</f>
        <v>2560.9387160048768</v>
      </c>
      <c r="E142" s="160">
        <f>+Vannes!E142+Rennes!E142+Mans!E142</f>
        <v>8063.17</v>
      </c>
      <c r="F142" s="368">
        <f>+Vannes!F142+Rennes!F142+Mans!F142</f>
        <v>7561.4533333333347</v>
      </c>
      <c r="G142" s="373">
        <f>+Vannes!G142+Rennes!G142+Mans!G142</f>
        <v>7956.9305248056717</v>
      </c>
      <c r="H142" s="161">
        <f t="shared" si="18"/>
        <v>7956.9305248056717</v>
      </c>
      <c r="I142" s="149">
        <f t="shared" si="19"/>
        <v>-6.2223252972052598E-2</v>
      </c>
      <c r="J142" s="271">
        <f t="shared" si="20"/>
        <v>5.230174333404207E-2</v>
      </c>
      <c r="K142" s="18">
        <f>+Vannes!G142+Rennes!G142+Mans!G142</f>
        <v>7956.9305248056717</v>
      </c>
    </row>
    <row r="143" spans="1:11" s="2" customFormat="1" ht="11.25">
      <c r="A143" s="5" t="s">
        <v>157</v>
      </c>
      <c r="B143" s="160">
        <f>+Vannes!G143</f>
        <v>8988.1108200395647</v>
      </c>
      <c r="C143" s="113">
        <f>+Rennes!$G143</f>
        <v>3937.9285222777589</v>
      </c>
      <c r="D143" s="113">
        <f>+Mans!$G143</f>
        <v>6161.0163065741972</v>
      </c>
      <c r="E143" s="160">
        <f>+Vannes!E143+Rennes!E143+Mans!E143</f>
        <v>18274.349999999999</v>
      </c>
      <c r="F143" s="368">
        <f>+Vannes!F143+Rennes!F143+Mans!F143</f>
        <v>18145.653333333335</v>
      </c>
      <c r="G143" s="373">
        <f>+Vannes!G143+Rennes!G143+Mans!G143</f>
        <v>19087.055648891521</v>
      </c>
      <c r="H143" s="161">
        <f t="shared" si="18"/>
        <v>19087.055648891521</v>
      </c>
      <c r="I143" s="149">
        <f t="shared" si="19"/>
        <v>-7.042475746971197E-3</v>
      </c>
      <c r="J143" s="271">
        <f t="shared" si="20"/>
        <v>5.1880320772404551E-2</v>
      </c>
      <c r="K143" s="18">
        <f>+Vannes!G143+Rennes!G143+Mans!G143</f>
        <v>19087.055648891521</v>
      </c>
    </row>
    <row r="144" spans="1:11" s="2" customFormat="1" ht="11.25">
      <c r="A144" s="5" t="s">
        <v>326</v>
      </c>
      <c r="B144" s="160">
        <f>+Vannes!G144</f>
        <v>360.46401317561396</v>
      </c>
      <c r="C144" s="113">
        <f>+Rennes!$G144</f>
        <v>0</v>
      </c>
      <c r="D144" s="113">
        <f>+Mans!$G144</f>
        <v>0</v>
      </c>
      <c r="E144" s="160">
        <f>+Vannes!E144+Rennes!E144+Mans!E144</f>
        <v>978.36</v>
      </c>
      <c r="F144" s="368">
        <f>+Vannes!F144+Rennes!F144+Mans!F144</f>
        <v>346.2</v>
      </c>
      <c r="G144" s="373">
        <f>+Vannes!G144+Rennes!G144+Mans!G144</f>
        <v>360.46401317561396</v>
      </c>
      <c r="H144" s="161">
        <f t="shared" si="18"/>
        <v>360.46401317561396</v>
      </c>
      <c r="I144" s="149">
        <f t="shared" si="19"/>
        <v>-0.64614252422421203</v>
      </c>
      <c r="J144" s="271">
        <f t="shared" si="20"/>
        <v>4.1201655619913256E-2</v>
      </c>
      <c r="K144" s="18">
        <f>+Vannes!G144+Rennes!G144+Mans!G144</f>
        <v>360.46401317561396</v>
      </c>
    </row>
    <row r="145" spans="1:11" s="2" customFormat="1" ht="11.25">
      <c r="A145" s="5" t="s">
        <v>158</v>
      </c>
      <c r="B145" s="160">
        <f>+Vannes!G145</f>
        <v>5420.6624114221677</v>
      </c>
      <c r="C145" s="113">
        <f>+Rennes!$G145</f>
        <v>2164.3389138634202</v>
      </c>
      <c r="D145" s="113">
        <f>+Mans!$G145</f>
        <v>4469.0670986491104</v>
      </c>
      <c r="E145" s="160">
        <f>+Vannes!E145+Rennes!E145+Mans!E145</f>
        <v>11321.16</v>
      </c>
      <c r="F145" s="368">
        <f>+Vannes!F145+Rennes!F145+Mans!F145</f>
        <v>11475.533333333333</v>
      </c>
      <c r="G145" s="373">
        <f>+Vannes!G145+Rennes!G145+Mans!G145</f>
        <v>12054.068423934699</v>
      </c>
      <c r="H145" s="161">
        <f t="shared" si="18"/>
        <v>12054.068423934699</v>
      </c>
      <c r="I145" s="149">
        <f t="shared" si="19"/>
        <v>1.3635822948649519E-2</v>
      </c>
      <c r="J145" s="271">
        <f t="shared" si="20"/>
        <v>5.0414658194654696E-2</v>
      </c>
      <c r="K145" s="18">
        <f>+Vannes!G145+Rennes!G145+Mans!G145</f>
        <v>12054.068423934699</v>
      </c>
    </row>
    <row r="146" spans="1:11" s="2" customFormat="1" ht="11.25">
      <c r="A146" s="5" t="s">
        <v>159</v>
      </c>
      <c r="B146" s="160">
        <f>+Vannes!G146</f>
        <v>0</v>
      </c>
      <c r="C146" s="113">
        <f>+Rennes!$G146</f>
        <v>0</v>
      </c>
      <c r="D146" s="113">
        <f>+Mans!$G146</f>
        <v>607.95970948417539</v>
      </c>
      <c r="E146" s="160">
        <f>+Vannes!E146+Rennes!E146+Mans!E146</f>
        <v>1012.89</v>
      </c>
      <c r="F146" s="368">
        <f>+Vannes!F146+Rennes!F146+Mans!F146</f>
        <v>584.32000000000005</v>
      </c>
      <c r="G146" s="373">
        <f>+Vannes!G146+Rennes!G146+Mans!G146</f>
        <v>607.95970948417539</v>
      </c>
      <c r="H146" s="161">
        <f t="shared" si="18"/>
        <v>607.95970948417539</v>
      </c>
      <c r="I146" s="149">
        <f t="shared" si="19"/>
        <v>-0.4231160343176455</v>
      </c>
      <c r="J146" s="271">
        <f t="shared" si="20"/>
        <v>4.0456786494002153E-2</v>
      </c>
      <c r="K146" s="18">
        <f>+Vannes!G146+Rennes!G146+Mans!G146</f>
        <v>607.95970948417539</v>
      </c>
    </row>
    <row r="147" spans="1:11" s="2" customFormat="1" ht="11.25">
      <c r="A147" s="5" t="s">
        <v>160</v>
      </c>
      <c r="B147" s="160">
        <f>+Vannes!G147</f>
        <v>-827.09</v>
      </c>
      <c r="C147" s="113">
        <f>+Rennes!$G147</f>
        <v>-314.36973333333339</v>
      </c>
      <c r="D147" s="113">
        <f>+Mans!$G147</f>
        <v>-164.03093333333334</v>
      </c>
      <c r="E147" s="160">
        <f>+Vannes!E147+Rennes!E147+Mans!E147</f>
        <v>839.75</v>
      </c>
      <c r="F147" s="368">
        <f>+Vannes!F147+Rennes!F147+Mans!F147</f>
        <v>-1267.4666666666667</v>
      </c>
      <c r="G147" s="373">
        <f>+Vannes!G147+Rennes!G147+Mans!G147</f>
        <v>-1305.4906666666666</v>
      </c>
      <c r="H147" s="161">
        <f t="shared" si="18"/>
        <v>-1305.4906666666666</v>
      </c>
      <c r="I147" s="149">
        <f t="shared" si="19"/>
        <v>-2.5093380966557506</v>
      </c>
      <c r="J147" s="271">
        <f t="shared" si="20"/>
        <v>2.9999999999999909E-2</v>
      </c>
      <c r="K147" s="18">
        <f>+Vannes!G147+Rennes!G147+Mans!G147</f>
        <v>-1305.4906666666666</v>
      </c>
    </row>
    <row r="148" spans="1:11" s="2" customFormat="1" ht="11.25">
      <c r="A148" s="5" t="s">
        <v>161</v>
      </c>
      <c r="B148" s="160">
        <f>+Vannes!G148</f>
        <v>0</v>
      </c>
      <c r="C148" s="113">
        <f>+Rennes!$G148</f>
        <v>0</v>
      </c>
      <c r="D148" s="113">
        <f>+Mans!$G148</f>
        <v>0</v>
      </c>
      <c r="E148" s="160">
        <f>+Vannes!E148+Rennes!E148+Mans!E148</f>
        <v>118.80000000000001</v>
      </c>
      <c r="F148" s="368">
        <f>+Vannes!F148+Rennes!F148+Mans!F148</f>
        <v>0</v>
      </c>
      <c r="G148" s="373">
        <f>+Vannes!G148+Rennes!G148+Mans!G148</f>
        <v>0</v>
      </c>
      <c r="H148" s="161">
        <f t="shared" si="18"/>
        <v>0</v>
      </c>
      <c r="I148" s="149">
        <f t="shared" si="19"/>
        <v>-1</v>
      </c>
      <c r="J148" s="271">
        <f t="shared" si="20"/>
        <v>0</v>
      </c>
      <c r="K148" s="18">
        <f>+Vannes!G148+Rennes!G148+Mans!G148</f>
        <v>0</v>
      </c>
    </row>
    <row r="149" spans="1:11" s="2" customFormat="1" ht="11.25">
      <c r="A149" s="5" t="s">
        <v>162</v>
      </c>
      <c r="B149" s="160">
        <f>+Vannes!G149</f>
        <v>68.666666666666657</v>
      </c>
      <c r="C149" s="113">
        <f>+Rennes!$G149</f>
        <v>52.55746666666667</v>
      </c>
      <c r="D149" s="113">
        <f>+Mans!$G149</f>
        <v>0</v>
      </c>
      <c r="E149" s="160">
        <f>+Vannes!E149+Rennes!E149+Mans!E149</f>
        <v>481.26</v>
      </c>
      <c r="F149" s="368">
        <f>+Vannes!F149+Rennes!F149+Mans!F149</f>
        <v>117.69333333333333</v>
      </c>
      <c r="G149" s="373">
        <f>+Vannes!G149+Rennes!G149+Mans!G149</f>
        <v>121.22413333333333</v>
      </c>
      <c r="H149" s="161">
        <f t="shared" si="18"/>
        <v>121.22413333333333</v>
      </c>
      <c r="I149" s="149">
        <f t="shared" si="19"/>
        <v>-0.75544750585269227</v>
      </c>
      <c r="J149" s="271">
        <f t="shared" si="20"/>
        <v>2.9999999999999995E-2</v>
      </c>
      <c r="K149" s="18">
        <f>+Vannes!G149+Rennes!G149+Mans!G149</f>
        <v>121.22413333333333</v>
      </c>
    </row>
    <row r="150" spans="1:11" s="2" customFormat="1" ht="11.25">
      <c r="A150" s="5" t="s">
        <v>163</v>
      </c>
      <c r="B150" s="160">
        <f>+Vannes!G150</f>
        <v>549.33333333333326</v>
      </c>
      <c r="C150" s="113">
        <f>+Rennes!$G150</f>
        <v>72.237333333333339</v>
      </c>
      <c r="D150" s="113">
        <f>+Mans!$G150</f>
        <v>472.42666666666662</v>
      </c>
      <c r="E150" s="160">
        <f>+Vannes!E150+Rennes!E150+Mans!E150</f>
        <v>1031.1599999999999</v>
      </c>
      <c r="F150" s="368">
        <f>+Vannes!F150+Rennes!F150+Mans!F150</f>
        <v>1062.1333333333332</v>
      </c>
      <c r="G150" s="373">
        <f>+Vannes!G150+Rennes!G150+Mans!G150</f>
        <v>1093.9973333333332</v>
      </c>
      <c r="H150" s="161">
        <f t="shared" si="18"/>
        <v>1093.9973333333332</v>
      </c>
      <c r="I150" s="149">
        <f t="shared" si="19"/>
        <v>3.0037368917853059E-2</v>
      </c>
      <c r="J150" s="271">
        <f t="shared" si="20"/>
        <v>3.0000000000000034E-2</v>
      </c>
      <c r="K150" s="18">
        <f>+Vannes!G150+Rennes!G150+Mans!G150</f>
        <v>1093.9973333333332</v>
      </c>
    </row>
    <row r="151" spans="1:11" s="2" customFormat="1" ht="11.25">
      <c r="A151" s="5" t="s">
        <v>58</v>
      </c>
      <c r="B151" s="160">
        <f>+Vannes!G152</f>
        <v>0</v>
      </c>
      <c r="C151" s="113">
        <f>+Rennes!$G152</f>
        <v>0</v>
      </c>
      <c r="D151" s="113">
        <f>+Mans!$G152</f>
        <v>0</v>
      </c>
      <c r="E151" s="160">
        <f>+Vannes!E152+Rennes!E152+Mans!E152</f>
        <v>18136.782800000001</v>
      </c>
      <c r="F151" s="368">
        <f>+Vannes!F152+Rennes!F152+Mans!F152</f>
        <v>0</v>
      </c>
      <c r="G151" s="373">
        <f>+Vannes!G152+Rennes!G152+Mans!G152</f>
        <v>0</v>
      </c>
      <c r="H151" s="161">
        <f t="shared" si="18"/>
        <v>0</v>
      </c>
      <c r="I151" s="149">
        <f t="shared" si="19"/>
        <v>-1</v>
      </c>
      <c r="J151" s="271">
        <f t="shared" si="20"/>
        <v>0</v>
      </c>
      <c r="K151" s="18">
        <f>+Vannes!G152+Rennes!G152+Mans!G152</f>
        <v>0</v>
      </c>
    </row>
    <row r="152" spans="1:11" s="2" customFormat="1" ht="11.25">
      <c r="A152" s="5"/>
      <c r="B152" s="160"/>
      <c r="C152" s="113"/>
      <c r="D152" s="113"/>
      <c r="E152" s="160"/>
      <c r="F152" s="113"/>
      <c r="G152" s="113"/>
      <c r="H152" s="162"/>
      <c r="I152" s="149"/>
      <c r="J152" s="254"/>
      <c r="K152" s="18"/>
    </row>
    <row r="153" spans="1:11" s="2" customFormat="1" ht="11.25">
      <c r="A153" s="13" t="s">
        <v>164</v>
      </c>
      <c r="B153" s="163">
        <f>SUM(B130:B152)</f>
        <v>154522.94827986415</v>
      </c>
      <c r="C153" s="204">
        <f>SUM(C130:C152)</f>
        <v>82963.775484623795</v>
      </c>
      <c r="D153" s="204">
        <f>SUM(D130:D152)</f>
        <v>157115.812190756</v>
      </c>
      <c r="E153" s="163">
        <f>+Vannes!E154+Rennes!E154+Mans!E154</f>
        <v>399255.74280000001</v>
      </c>
      <c r="F153" s="204">
        <f>+Vannes!F154+Rennes!F154+Mans!F154</f>
        <v>374610.7466666667</v>
      </c>
      <c r="G153" s="204">
        <f>+Vannes!G154+Rennes!G154+Mans!G154</f>
        <v>394602.53595524398</v>
      </c>
      <c r="H153" s="168">
        <f>SUM(B153:D153)</f>
        <v>394602.53595524398</v>
      </c>
      <c r="I153" s="272">
        <f>+IF((E153)=0,,(F153-E153)/E153)</f>
        <v>-6.1727342881774838E-2</v>
      </c>
      <c r="J153" s="188">
        <f>+IF((F153)=0,,(H153-F153)/F153)</f>
        <v>5.3366833350262148E-2</v>
      </c>
      <c r="K153" s="305">
        <f>SUM(K130:K152)</f>
        <v>394602.53595524403</v>
      </c>
    </row>
    <row r="154" spans="1:11" s="2" customFormat="1" ht="11.25">
      <c r="A154" s="5"/>
      <c r="B154" s="160"/>
      <c r="C154" s="113"/>
      <c r="D154" s="113"/>
      <c r="E154" s="160"/>
      <c r="F154" s="113"/>
      <c r="G154" s="113"/>
      <c r="H154" s="162"/>
      <c r="I154" s="149"/>
      <c r="J154" s="254"/>
      <c r="K154" s="18"/>
    </row>
    <row r="155" spans="1:11" s="2" customFormat="1" ht="11.25">
      <c r="A155" s="5" t="s">
        <v>227</v>
      </c>
      <c r="B155" s="160">
        <f>+Vannes!G156</f>
        <v>13025.938050000002</v>
      </c>
      <c r="C155" s="113">
        <f>+Rennes!$G156</f>
        <v>7657.1493480000008</v>
      </c>
      <c r="D155" s="113">
        <f>+Mans!$G156</f>
        <v>13676.095404000002</v>
      </c>
      <c r="E155" s="160">
        <f>+Vannes!E156+Rennes!E156+Mans!E156</f>
        <v>9003.06</v>
      </c>
      <c r="F155" s="368">
        <f>+Vannes!F156+Rennes!F156+Mans!F156</f>
        <v>10212.426666666666</v>
      </c>
      <c r="G155" s="373">
        <f>+Vannes!G156+Rennes!G156+Mans!G156</f>
        <v>34359.182802000003</v>
      </c>
      <c r="H155" s="161">
        <f>SUM(B155:D155)</f>
        <v>34359.182802000003</v>
      </c>
      <c r="I155" s="149">
        <f>+IF((E155)=0,,(F155-E155)/E155)</f>
        <v>0.13432840241725222</v>
      </c>
      <c r="J155" s="271">
        <f>+IF((F155)=0,,(H155-F155)/F155)</f>
        <v>2.3644484238156918</v>
      </c>
      <c r="K155" s="18">
        <f>+Vannes!G156+Rennes!G156+Mans!G156</f>
        <v>34359.182802000003</v>
      </c>
    </row>
    <row r="156" spans="1:11" s="2" customFormat="1" ht="11.25">
      <c r="A156" s="5" t="s">
        <v>165</v>
      </c>
      <c r="B156" s="160">
        <f>+Vannes!G157</f>
        <v>0</v>
      </c>
      <c r="C156" s="113">
        <f>+Rennes!$G157</f>
        <v>0</v>
      </c>
      <c r="D156" s="113">
        <f>+Mans!$G157</f>
        <v>0</v>
      </c>
      <c r="E156" s="160">
        <f>+Vannes!E157+Rennes!E157+Mans!E157</f>
        <v>-5274.4100000000008</v>
      </c>
      <c r="F156" s="368">
        <f>+Vannes!F157+Rennes!F157+Mans!F157</f>
        <v>0</v>
      </c>
      <c r="G156" s="373">
        <f>+Vannes!G157+Rennes!G157+Mans!G157</f>
        <v>0</v>
      </c>
      <c r="H156" s="161">
        <f t="shared" ref="H156:H165" si="21">SUM(B156:D156)</f>
        <v>0</v>
      </c>
      <c r="I156" s="149">
        <f t="shared" ref="I156:I165" si="22">+IF((E156)=0,,(F156-E156)/E156)</f>
        <v>-1</v>
      </c>
      <c r="J156" s="271">
        <f t="shared" ref="J156:J165" si="23">+IF((F156)=0,,(H156-F156)/F156)</f>
        <v>0</v>
      </c>
      <c r="K156" s="18">
        <f>+Vannes!G157+Rennes!G157+Mans!G157</f>
        <v>0</v>
      </c>
    </row>
    <row r="157" spans="1:11" s="2" customFormat="1" ht="11.25">
      <c r="A157" s="5" t="s">
        <v>166</v>
      </c>
      <c r="B157" s="160">
        <f>+Vannes!G158</f>
        <v>0</v>
      </c>
      <c r="C157" s="113">
        <f>+Rennes!$G158</f>
        <v>0</v>
      </c>
      <c r="D157" s="113">
        <f>+Mans!$G158</f>
        <v>0</v>
      </c>
      <c r="E157" s="160">
        <f>+Vannes!E158+Rennes!E158+Mans!E158</f>
        <v>4117.63</v>
      </c>
      <c r="F157" s="368">
        <f>+Vannes!F158+Rennes!F158+Mans!F158</f>
        <v>12539.653333333332</v>
      </c>
      <c r="G157" s="373">
        <f>+Vannes!G158+Rennes!G158+Mans!G158</f>
        <v>0</v>
      </c>
      <c r="H157" s="161">
        <f t="shared" si="21"/>
        <v>0</v>
      </c>
      <c r="I157" s="149">
        <f t="shared" si="22"/>
        <v>2.0453569974313695</v>
      </c>
      <c r="J157" s="271">
        <f t="shared" si="23"/>
        <v>-1</v>
      </c>
      <c r="K157" s="18">
        <f>+Vannes!G158+Rennes!G158+Mans!G158</f>
        <v>0</v>
      </c>
    </row>
    <row r="158" spans="1:11" s="2" customFormat="1" ht="11.25">
      <c r="A158" s="5" t="s">
        <v>60</v>
      </c>
      <c r="B158" s="160">
        <f>+Vannes!G159</f>
        <v>0</v>
      </c>
      <c r="C158" s="113">
        <f>+Rennes!$G159</f>
        <v>0</v>
      </c>
      <c r="D158" s="113">
        <f>+Mans!$G159</f>
        <v>0</v>
      </c>
      <c r="E158" s="160">
        <f>+Vannes!E159+Rennes!E159+Mans!E159</f>
        <v>-1697.85</v>
      </c>
      <c r="F158" s="368">
        <f>+Vannes!F159+Rennes!F159+Mans!F159</f>
        <v>-4700.0533333333333</v>
      </c>
      <c r="G158" s="373">
        <f>+Vannes!G159+Rennes!G159+Mans!G159</f>
        <v>0</v>
      </c>
      <c r="H158" s="161">
        <f t="shared" si="21"/>
        <v>0</v>
      </c>
      <c r="I158" s="149">
        <f t="shared" si="22"/>
        <v>1.7682382621158133</v>
      </c>
      <c r="J158" s="271">
        <f t="shared" si="23"/>
        <v>-1</v>
      </c>
      <c r="K158" s="18">
        <f>+Vannes!G159+Rennes!G159+Mans!G159</f>
        <v>0</v>
      </c>
    </row>
    <row r="159" spans="1:11" s="2" customFormat="1" ht="11.25">
      <c r="A159" s="5" t="s">
        <v>199</v>
      </c>
      <c r="B159" s="160">
        <f>+Vannes!G160</f>
        <v>0</v>
      </c>
      <c r="C159" s="113">
        <f>+Rennes!$G160</f>
        <v>0</v>
      </c>
      <c r="D159" s="113">
        <f>+Mans!$G160</f>
        <v>0</v>
      </c>
      <c r="E159" s="160">
        <f>+Vannes!E160+Rennes!E160+Mans!E160</f>
        <v>-13.639999999999999</v>
      </c>
      <c r="F159" s="368">
        <f>+Vannes!F160+Rennes!F160+Mans!F160</f>
        <v>-7.8799999999997805</v>
      </c>
      <c r="G159" s="373">
        <f>+Vannes!G160+Rennes!G160+Mans!G160</f>
        <v>0</v>
      </c>
      <c r="H159" s="161">
        <f t="shared" si="21"/>
        <v>0</v>
      </c>
      <c r="I159" s="149">
        <f t="shared" si="22"/>
        <v>-0.42228739002934157</v>
      </c>
      <c r="J159" s="271">
        <f t="shared" si="23"/>
        <v>-1</v>
      </c>
      <c r="K159" s="18">
        <f>+Vannes!G160+Rennes!G160+Mans!G160</f>
        <v>0</v>
      </c>
    </row>
    <row r="160" spans="1:11" s="2" customFormat="1" ht="11.25">
      <c r="A160" s="5" t="s">
        <v>41</v>
      </c>
      <c r="B160" s="160">
        <f>+Vannes!G161</f>
        <v>0</v>
      </c>
      <c r="C160" s="113">
        <f>+Rennes!$G161</f>
        <v>514.21720000000005</v>
      </c>
      <c r="D160" s="113">
        <f>+Mans!$G161</f>
        <v>-36.283466666666669</v>
      </c>
      <c r="E160" s="160">
        <f>+Vannes!E161+Rennes!E161+Mans!E161</f>
        <v>474.21000000000004</v>
      </c>
      <c r="F160" s="368">
        <f>+Vannes!F161+Rennes!F161+Mans!F161</f>
        <v>464.01333333333332</v>
      </c>
      <c r="G160" s="373">
        <f>+Vannes!G161+Rennes!G161+Mans!G161</f>
        <v>477.93373333333341</v>
      </c>
      <c r="H160" s="161">
        <f t="shared" si="21"/>
        <v>477.93373333333341</v>
      </c>
      <c r="I160" s="149">
        <f t="shared" si="22"/>
        <v>-2.1502428600549787E-2</v>
      </c>
      <c r="J160" s="271">
        <f t="shared" si="23"/>
        <v>3.0000000000000186E-2</v>
      </c>
      <c r="K160" s="18">
        <f>+Vannes!G161+Rennes!G161+Mans!G161</f>
        <v>477.93373333333341</v>
      </c>
    </row>
    <row r="161" spans="1:11" s="2" customFormat="1" ht="11.25">
      <c r="A161" s="5" t="s">
        <v>355</v>
      </c>
      <c r="B161" s="160">
        <f>+Vannes!G162</f>
        <v>0</v>
      </c>
      <c r="C161" s="113">
        <f>+Rennes!$G162</f>
        <v>14.804533333333332</v>
      </c>
      <c r="D161" s="113">
        <f>+Mans!$G162</f>
        <v>0</v>
      </c>
      <c r="E161" s="160">
        <f>+Vannes!E162+Rennes!E162+Mans!E162</f>
        <v>68.210000000000008</v>
      </c>
      <c r="F161" s="368">
        <f>+Vannes!F162+Rennes!F162+Mans!F162</f>
        <v>14.373333333333331</v>
      </c>
      <c r="G161" s="373">
        <f>+Vannes!G162+Rennes!G162+Mans!G162</f>
        <v>14.804533333333332</v>
      </c>
      <c r="H161" s="161">
        <f t="shared" si="21"/>
        <v>14.804533333333332</v>
      </c>
      <c r="I161" s="149">
        <f t="shared" si="22"/>
        <v>-0.78927820945120464</v>
      </c>
      <c r="J161" s="271">
        <f t="shared" si="23"/>
        <v>3.0000000000000037E-2</v>
      </c>
      <c r="K161" s="18">
        <f>+Vannes!G162+Rennes!G162+Mans!G162</f>
        <v>14.804533333333332</v>
      </c>
    </row>
    <row r="162" spans="1:11" s="2" customFormat="1" ht="11.25">
      <c r="A162" s="5" t="s">
        <v>200</v>
      </c>
      <c r="B162" s="160">
        <f>+Vannes!G163</f>
        <v>17.317733333333333</v>
      </c>
      <c r="C162" s="113">
        <f>+Rennes!$G163</f>
        <v>142.35973333333331</v>
      </c>
      <c r="D162" s="113">
        <f>+Mans!$G163</f>
        <v>0</v>
      </c>
      <c r="E162" s="160">
        <f>+Vannes!E163+Rennes!E163+Mans!E163</f>
        <v>260.27</v>
      </c>
      <c r="F162" s="368">
        <f>+Vannes!F163+Rennes!F163+Mans!F163</f>
        <v>155.02666666666664</v>
      </c>
      <c r="G162" s="373">
        <f>+Vannes!G163+Rennes!G163+Mans!G163</f>
        <v>159.67746666666665</v>
      </c>
      <c r="H162" s="161">
        <f t="shared" si="21"/>
        <v>159.67746666666665</v>
      </c>
      <c r="I162" s="149">
        <f t="shared" si="22"/>
        <v>-0.40436213675542071</v>
      </c>
      <c r="J162" s="271">
        <f t="shared" si="23"/>
        <v>3.000000000000003E-2</v>
      </c>
      <c r="K162" s="18">
        <f>+Vannes!G163+Rennes!G163+Mans!G163</f>
        <v>159.67746666666665</v>
      </c>
    </row>
    <row r="163" spans="1:11" s="2" customFormat="1" ht="11.25">
      <c r="A163" s="5" t="s">
        <v>271</v>
      </c>
      <c r="B163" s="160">
        <f>+Vannes!G164</f>
        <v>0</v>
      </c>
      <c r="C163" s="113">
        <f>+Rennes!$G164</f>
        <v>0</v>
      </c>
      <c r="D163" s="113">
        <f>+Mans!$G164</f>
        <v>0</v>
      </c>
      <c r="E163" s="160">
        <f>+Vannes!E164+Rennes!E164+Mans!E164</f>
        <v>-87.199999999999989</v>
      </c>
      <c r="F163" s="368">
        <f>+Vannes!F164+Rennes!F164+Mans!F164</f>
        <v>0</v>
      </c>
      <c r="G163" s="373">
        <f>+Vannes!G164+Rennes!G164+Mans!G164</f>
        <v>0</v>
      </c>
      <c r="H163" s="161">
        <f t="shared" si="21"/>
        <v>0</v>
      </c>
      <c r="I163" s="149">
        <f t="shared" si="22"/>
        <v>-1</v>
      </c>
      <c r="J163" s="271">
        <f t="shared" si="23"/>
        <v>0</v>
      </c>
      <c r="K163" s="18">
        <f>+Vannes!G164+Rennes!G164+Mans!G164</f>
        <v>0</v>
      </c>
    </row>
    <row r="164" spans="1:11" s="2" customFormat="1" ht="11.25">
      <c r="A164" s="5" t="s">
        <v>242</v>
      </c>
      <c r="B164" s="160">
        <f>+Vannes!G165</f>
        <v>111.24000000000001</v>
      </c>
      <c r="C164" s="113">
        <f>+Rennes!$G165</f>
        <v>98.88</v>
      </c>
      <c r="D164" s="113">
        <f>+Mans!$G165</f>
        <v>166.58533333333335</v>
      </c>
      <c r="E164" s="160">
        <f>+Vannes!E165+Rennes!E165+Mans!E165</f>
        <v>721</v>
      </c>
      <c r="F164" s="368">
        <f>+Vannes!F165+Rennes!F165+Mans!F165</f>
        <v>365.73333333333335</v>
      </c>
      <c r="G164" s="373">
        <f>+Vannes!G165+Rennes!G165+Mans!G165</f>
        <v>376.70533333333333</v>
      </c>
      <c r="H164" s="161">
        <f t="shared" si="21"/>
        <v>376.70533333333333</v>
      </c>
      <c r="I164" s="149">
        <f t="shared" si="22"/>
        <v>-0.49274156264447522</v>
      </c>
      <c r="J164" s="271">
        <f t="shared" si="23"/>
        <v>2.9999999999999943E-2</v>
      </c>
      <c r="K164" s="18">
        <f>+Vannes!G165+Rennes!G165+Mans!G165</f>
        <v>376.70533333333333</v>
      </c>
    </row>
    <row r="165" spans="1:11" s="2" customFormat="1" ht="11.25">
      <c r="A165" s="5" t="s">
        <v>201</v>
      </c>
      <c r="B165" s="160">
        <f>+Vannes!G166</f>
        <v>0</v>
      </c>
      <c r="C165" s="113">
        <f>+Rennes!$G166</f>
        <v>0</v>
      </c>
      <c r="D165" s="113">
        <f>+Mans!$G166</f>
        <v>0</v>
      </c>
      <c r="E165" s="160">
        <f>+Vannes!E166+Rennes!E166+Mans!E166</f>
        <v>0</v>
      </c>
      <c r="F165" s="368">
        <f>+Vannes!F166+Rennes!F166+Mans!F166</f>
        <v>0</v>
      </c>
      <c r="G165" s="373">
        <f>+Vannes!G166+Rennes!G166+Mans!G166</f>
        <v>0</v>
      </c>
      <c r="H165" s="161">
        <f t="shared" si="21"/>
        <v>0</v>
      </c>
      <c r="I165" s="149">
        <f t="shared" si="22"/>
        <v>0</v>
      </c>
      <c r="J165" s="271">
        <f t="shared" si="23"/>
        <v>0</v>
      </c>
      <c r="K165" s="18">
        <f>+Vannes!G166+Rennes!G166+Mans!G166</f>
        <v>0</v>
      </c>
    </row>
    <row r="166" spans="1:11" s="2" customFormat="1" ht="11.25">
      <c r="A166" s="5"/>
      <c r="B166" s="160"/>
      <c r="C166" s="113"/>
      <c r="D166" s="113"/>
      <c r="E166" s="160"/>
      <c r="F166" s="113"/>
      <c r="G166" s="113"/>
      <c r="H166" s="162"/>
      <c r="I166" s="149"/>
      <c r="J166" s="254"/>
      <c r="K166" s="18"/>
    </row>
    <row r="167" spans="1:11" s="2" customFormat="1" ht="11.25">
      <c r="A167" s="13" t="s">
        <v>74</v>
      </c>
      <c r="B167" s="163">
        <f>SUM(B154:B166)</f>
        <v>13154.495783333336</v>
      </c>
      <c r="C167" s="204">
        <f>SUM(C154:C166)</f>
        <v>8427.4108146666658</v>
      </c>
      <c r="D167" s="204">
        <f>SUM(D154:D166)</f>
        <v>13806.397270666668</v>
      </c>
      <c r="E167" s="163">
        <f>+Vannes!E168+Rennes!E168+Mans!E168</f>
        <v>7571.2799999999988</v>
      </c>
      <c r="F167" s="204">
        <f>+Vannes!F168+Rennes!F168+Mans!F168</f>
        <v>19043.293333333331</v>
      </c>
      <c r="G167" s="204">
        <f>+Vannes!G168+Rennes!G168+Mans!G168</f>
        <v>35388.30386866667</v>
      </c>
      <c r="H167" s="168">
        <f>SUM(B167:D167)</f>
        <v>35388.30386866667</v>
      </c>
      <c r="I167" s="272">
        <f>+IF((E167)=0,,(F167-E167)/E167)</f>
        <v>1.5152013045790584</v>
      </c>
      <c r="J167" s="188">
        <f>+IF((F167)=0,,(H167-F167)/F167)</f>
        <v>0.8583079748460879</v>
      </c>
      <c r="K167" s="305">
        <f>SUM(K154:K166)</f>
        <v>35388.30386866667</v>
      </c>
    </row>
    <row r="168" spans="1:11" s="2" customFormat="1" ht="11.25">
      <c r="A168" s="5"/>
      <c r="B168" s="160"/>
      <c r="C168" s="113"/>
      <c r="D168" s="113"/>
      <c r="E168" s="160"/>
      <c r="F168" s="113"/>
      <c r="G168" s="113"/>
      <c r="H168" s="162"/>
      <c r="I168" s="149"/>
      <c r="J168" s="271"/>
      <c r="K168" s="18"/>
    </row>
    <row r="169" spans="1:11" s="2" customFormat="1" ht="11.25">
      <c r="A169" s="5" t="s">
        <v>167</v>
      </c>
      <c r="B169" s="160">
        <f>+Vannes!G170</f>
        <v>0</v>
      </c>
      <c r="C169" s="113">
        <f>+Rennes!$G170</f>
        <v>0</v>
      </c>
      <c r="D169" s="113">
        <f>+Mans!$G170</f>
        <v>0</v>
      </c>
      <c r="E169" s="160">
        <f>+Vannes!E170+Rennes!E170+Mans!E170</f>
        <v>0</v>
      </c>
      <c r="F169" s="368">
        <f>+Vannes!F170+Rennes!F170+Mans!F170</f>
        <v>0</v>
      </c>
      <c r="G169" s="373">
        <f>+Vannes!G170+Rennes!G170+Mans!G170</f>
        <v>0</v>
      </c>
      <c r="H169" s="161">
        <f>SUM(B169:D169)</f>
        <v>0</v>
      </c>
      <c r="I169" s="149">
        <f>+IF((E169)=0,,(F169-E169)/E169)</f>
        <v>0</v>
      </c>
      <c r="J169" s="271">
        <f>+IF((F169)=0,,(H169-F169)/F169)</f>
        <v>0</v>
      </c>
      <c r="K169" s="18">
        <f>+Vannes!G170+Rennes!G170+Mans!G170</f>
        <v>0</v>
      </c>
    </row>
    <row r="170" spans="1:11" s="2" customFormat="1" ht="11.25">
      <c r="A170" s="5" t="s">
        <v>168</v>
      </c>
      <c r="B170" s="160">
        <f>+Vannes!G171</f>
        <v>200.13586666666666</v>
      </c>
      <c r="C170" s="113">
        <f>+Rennes!$G171</f>
        <v>0</v>
      </c>
      <c r="D170" s="113">
        <f>+Mans!$G171</f>
        <v>0</v>
      </c>
      <c r="E170" s="160">
        <f>+Vannes!E171+Rennes!E171+Mans!E171</f>
        <v>113.17</v>
      </c>
      <c r="F170" s="368">
        <f>+Vannes!F171+Rennes!F171+Mans!F171</f>
        <v>194.30666666666664</v>
      </c>
      <c r="G170" s="373">
        <f>+Vannes!G171+Rennes!G171+Mans!G171</f>
        <v>200.13586666666666</v>
      </c>
      <c r="H170" s="161">
        <f t="shared" ref="H170:H182" si="24">SUM(B170:D170)</f>
        <v>200.13586666666666</v>
      </c>
      <c r="I170" s="149">
        <f t="shared" ref="I170:I182" si="25">+IF((E170)=0,,(F170-E170)/E170)</f>
        <v>0.71694500898353486</v>
      </c>
      <c r="J170" s="271">
        <f t="shared" ref="J170:J182" si="26">+IF((F170)=0,,(H170-F170)/F170)</f>
        <v>3.0000000000000079E-2</v>
      </c>
      <c r="K170" s="18">
        <f>+Vannes!G171+Rennes!G171+Mans!G171</f>
        <v>200.13586666666666</v>
      </c>
    </row>
    <row r="171" spans="1:11" s="2" customFormat="1" ht="11.25">
      <c r="A171" s="5" t="s">
        <v>169</v>
      </c>
      <c r="B171" s="160">
        <f>+Vannes!G172</f>
        <v>0</v>
      </c>
      <c r="C171" s="113">
        <f>+Rennes!$G172</f>
        <v>0</v>
      </c>
      <c r="D171" s="113">
        <f>+Mans!$G172</f>
        <v>0</v>
      </c>
      <c r="E171" s="160">
        <f>+Vannes!E172+Rennes!E172+Mans!E172</f>
        <v>0</v>
      </c>
      <c r="F171" s="368">
        <f>+Vannes!F172+Rennes!F172+Mans!F172</f>
        <v>0</v>
      </c>
      <c r="G171" s="373">
        <f>+Vannes!G172+Rennes!G172+Mans!G172</f>
        <v>0</v>
      </c>
      <c r="H171" s="161">
        <f t="shared" si="24"/>
        <v>0</v>
      </c>
      <c r="I171" s="149">
        <f t="shared" si="25"/>
        <v>0</v>
      </c>
      <c r="J171" s="271">
        <f t="shared" si="26"/>
        <v>0</v>
      </c>
      <c r="K171" s="18">
        <f>+Vannes!G172+Rennes!G172+Mans!G172</f>
        <v>0</v>
      </c>
    </row>
    <row r="172" spans="1:11" s="2" customFormat="1" ht="11.25">
      <c r="A172" s="5" t="s">
        <v>170</v>
      </c>
      <c r="B172" s="160">
        <f>+Vannes!G173</f>
        <v>1.3733333333333334E-2</v>
      </c>
      <c r="C172" s="113">
        <f>+Rennes!$G173</f>
        <v>10.3</v>
      </c>
      <c r="D172" s="113">
        <f>+Mans!$G173</f>
        <v>0</v>
      </c>
      <c r="E172" s="160">
        <f>+Vannes!E173+Rennes!E173+Mans!E173</f>
        <v>299.13</v>
      </c>
      <c r="F172" s="368">
        <f>+Vannes!F173+Rennes!F173+Mans!F173</f>
        <v>10.013333333333334</v>
      </c>
      <c r="G172" s="373">
        <f>+Vannes!G173+Rennes!G173+Mans!G173</f>
        <v>10.313733333333333</v>
      </c>
      <c r="H172" s="161">
        <f t="shared" si="24"/>
        <v>10.313733333333333</v>
      </c>
      <c r="I172" s="149">
        <f t="shared" si="25"/>
        <v>-0.96652514514313737</v>
      </c>
      <c r="J172" s="271">
        <f t="shared" si="26"/>
        <v>2.9999999999999978E-2</v>
      </c>
      <c r="K172" s="18">
        <f>+Vannes!G173+Rennes!G173+Mans!G173</f>
        <v>10.313733333333333</v>
      </c>
    </row>
    <row r="173" spans="1:11" s="2" customFormat="1" ht="11.25">
      <c r="A173" s="5" t="s">
        <v>171</v>
      </c>
      <c r="B173" s="160">
        <f>+Vannes!G174</f>
        <v>0</v>
      </c>
      <c r="C173" s="113">
        <f>+Rennes!$G174</f>
        <v>0</v>
      </c>
      <c r="D173" s="113">
        <f>+Mans!$G174</f>
        <v>0</v>
      </c>
      <c r="E173" s="160">
        <f>+Vannes!E174+Rennes!E174+Mans!E174</f>
        <v>0</v>
      </c>
      <c r="F173" s="368">
        <f>+Vannes!F174+Rennes!F174+Mans!F174</f>
        <v>0</v>
      </c>
      <c r="G173" s="373">
        <f>+Vannes!G174+Rennes!G174+Mans!G174</f>
        <v>0</v>
      </c>
      <c r="H173" s="161">
        <f t="shared" si="24"/>
        <v>0</v>
      </c>
      <c r="I173" s="149">
        <f t="shared" si="25"/>
        <v>0</v>
      </c>
      <c r="J173" s="271">
        <f t="shared" si="26"/>
        <v>0</v>
      </c>
      <c r="K173" s="18">
        <f>+Vannes!G174+Rennes!G174+Mans!G174</f>
        <v>0</v>
      </c>
    </row>
    <row r="174" spans="1:11" s="2" customFormat="1" ht="11.25">
      <c r="A174" s="5" t="s">
        <v>308</v>
      </c>
      <c r="B174" s="160">
        <f>+Vannes!G175</f>
        <v>0</v>
      </c>
      <c r="C174" s="113">
        <f>+Rennes!$G175</f>
        <v>0</v>
      </c>
      <c r="D174" s="113">
        <f>+Mans!$G175</f>
        <v>0</v>
      </c>
      <c r="E174" s="160">
        <f>+Vannes!E175+Rennes!E175+Mans!E175</f>
        <v>0</v>
      </c>
      <c r="F174" s="368">
        <f>+Vannes!F175+Rennes!F175+Mans!F175</f>
        <v>0</v>
      </c>
      <c r="G174" s="373">
        <f>+Vannes!G175+Rennes!G175+Mans!G175</f>
        <v>0</v>
      </c>
      <c r="H174" s="161">
        <f t="shared" si="24"/>
        <v>0</v>
      </c>
      <c r="I174" s="149">
        <f t="shared" si="25"/>
        <v>0</v>
      </c>
      <c r="J174" s="271">
        <f t="shared" si="26"/>
        <v>0</v>
      </c>
      <c r="K174" s="18">
        <f>+Vannes!G175+Rennes!G175+Mans!G175</f>
        <v>0</v>
      </c>
    </row>
    <row r="175" spans="1:11" s="2" customFormat="1" ht="11.25">
      <c r="A175" s="5" t="s">
        <v>172</v>
      </c>
      <c r="B175" s="160">
        <f>+Vannes!G176</f>
        <v>0</v>
      </c>
      <c r="C175" s="113">
        <f>+Rennes!$G176</f>
        <v>0</v>
      </c>
      <c r="D175" s="113">
        <f>+Mans!$G176</f>
        <v>0</v>
      </c>
      <c r="E175" s="160">
        <f>+Vannes!E176+Rennes!E176+Mans!E176</f>
        <v>0</v>
      </c>
      <c r="F175" s="368">
        <f>+Vannes!F176+Rennes!F176+Mans!F176</f>
        <v>0</v>
      </c>
      <c r="G175" s="373">
        <f>+Vannes!G176+Rennes!G176+Mans!G176</f>
        <v>0</v>
      </c>
      <c r="H175" s="161">
        <f t="shared" si="24"/>
        <v>0</v>
      </c>
      <c r="I175" s="149">
        <f t="shared" si="25"/>
        <v>0</v>
      </c>
      <c r="J175" s="271">
        <f t="shared" si="26"/>
        <v>0</v>
      </c>
      <c r="K175" s="18">
        <f>+Vannes!G176+Rennes!G176+Mans!G176</f>
        <v>0</v>
      </c>
    </row>
    <row r="176" spans="1:11" s="2" customFormat="1" ht="11.25">
      <c r="A176" s="5" t="s">
        <v>173</v>
      </c>
      <c r="B176" s="160">
        <f>+Vannes!G177</f>
        <v>0</v>
      </c>
      <c r="C176" s="113">
        <f>+Rennes!$G177</f>
        <v>0</v>
      </c>
      <c r="D176" s="113">
        <f>+Mans!$G177</f>
        <v>0</v>
      </c>
      <c r="E176" s="160">
        <f>+Vannes!E177+Rennes!E177+Mans!E177</f>
        <v>0</v>
      </c>
      <c r="F176" s="368">
        <f>+Vannes!F177+Rennes!F177+Mans!F177</f>
        <v>0</v>
      </c>
      <c r="G176" s="373">
        <f>+Vannes!G177+Rennes!G177+Mans!G177</f>
        <v>0</v>
      </c>
      <c r="H176" s="161">
        <f t="shared" si="24"/>
        <v>0</v>
      </c>
      <c r="I176" s="149">
        <f t="shared" si="25"/>
        <v>0</v>
      </c>
      <c r="J176" s="271">
        <f t="shared" si="26"/>
        <v>0</v>
      </c>
      <c r="K176" s="18">
        <f>+Vannes!G177+Rennes!G177+Mans!G177</f>
        <v>0</v>
      </c>
    </row>
    <row r="177" spans="1:11" s="2" customFormat="1" ht="11.25">
      <c r="A177" s="5" t="s">
        <v>174</v>
      </c>
      <c r="B177" s="160">
        <f>+Vannes!G178</f>
        <v>0</v>
      </c>
      <c r="C177" s="113">
        <f>+Rennes!$G178</f>
        <v>0</v>
      </c>
      <c r="D177" s="113">
        <f>+Mans!$G178</f>
        <v>0</v>
      </c>
      <c r="E177" s="160">
        <f>+Vannes!E178+Rennes!E178+Mans!E178</f>
        <v>0</v>
      </c>
      <c r="F177" s="368">
        <f>+Vannes!F178+Rennes!F178+Mans!F178</f>
        <v>0</v>
      </c>
      <c r="G177" s="373">
        <f>+Vannes!G178+Rennes!G178+Mans!G178</f>
        <v>0</v>
      </c>
      <c r="H177" s="161">
        <f t="shared" si="24"/>
        <v>0</v>
      </c>
      <c r="I177" s="149">
        <f t="shared" si="25"/>
        <v>0</v>
      </c>
      <c r="J177" s="271">
        <f t="shared" si="26"/>
        <v>0</v>
      </c>
      <c r="K177" s="18">
        <f>+Vannes!G178+Rennes!G178+Mans!G178</f>
        <v>0</v>
      </c>
    </row>
    <row r="178" spans="1:11" s="2" customFormat="1" ht="11.25">
      <c r="A178" s="5" t="s">
        <v>175</v>
      </c>
      <c r="B178" s="160">
        <f>+Vannes!G179</f>
        <v>5011.9399999999996</v>
      </c>
      <c r="C178" s="113">
        <f>+Rennes!$G179</f>
        <v>1777.35</v>
      </c>
      <c r="D178" s="113">
        <f>+Mans!$G179</f>
        <v>12891.38</v>
      </c>
      <c r="E178" s="160">
        <f>+Vannes!E179+Rennes!E179+Mans!E179</f>
        <v>20481.730000000003</v>
      </c>
      <c r="F178" s="368">
        <f>+Vannes!F179+Rennes!F179+Mans!F179</f>
        <v>17327.849999999999</v>
      </c>
      <c r="G178" s="373">
        <f>+Vannes!G179+Rennes!G179+Mans!G179</f>
        <v>19680.669999999998</v>
      </c>
      <c r="H178" s="161">
        <f t="shared" si="24"/>
        <v>19680.669999999998</v>
      </c>
      <c r="I178" s="149">
        <f t="shared" si="25"/>
        <v>-0.15398503934970356</v>
      </c>
      <c r="J178" s="271">
        <f t="shared" si="26"/>
        <v>0.13578256967829244</v>
      </c>
      <c r="K178" s="18">
        <f>+Vannes!G179+Rennes!G179+Mans!G179</f>
        <v>19680.669999999998</v>
      </c>
    </row>
    <row r="179" spans="1:11" s="2" customFormat="1" ht="11.25">
      <c r="A179" s="5" t="s">
        <v>78</v>
      </c>
      <c r="B179" s="160">
        <f>+Vannes!G180</f>
        <v>0</v>
      </c>
      <c r="C179" s="113">
        <f>+Rennes!$G180</f>
        <v>0</v>
      </c>
      <c r="D179" s="113">
        <f>+Mans!$G180</f>
        <v>0</v>
      </c>
      <c r="E179" s="160">
        <f>+Vannes!E180+Rennes!E180+Mans!E180</f>
        <v>936.91000000000008</v>
      </c>
      <c r="F179" s="368">
        <f>+Vannes!F180+Rennes!F180+Mans!F180</f>
        <v>0</v>
      </c>
      <c r="G179" s="373">
        <f>+Vannes!G180+Rennes!G180+Mans!G180</f>
        <v>0</v>
      </c>
      <c r="H179" s="161">
        <f t="shared" si="24"/>
        <v>0</v>
      </c>
      <c r="I179" s="149">
        <f t="shared" si="25"/>
        <v>-1</v>
      </c>
      <c r="J179" s="271">
        <f t="shared" si="26"/>
        <v>0</v>
      </c>
      <c r="K179" s="18">
        <f>+Vannes!G180+Rennes!G180+Mans!G180</f>
        <v>0</v>
      </c>
    </row>
    <row r="180" spans="1:11" s="2" customFormat="1" ht="11.25">
      <c r="A180" s="5" t="s">
        <v>327</v>
      </c>
      <c r="B180" s="160">
        <f>+Vannes!G181</f>
        <v>0</v>
      </c>
      <c r="C180" s="113">
        <f>+Rennes!$G181</f>
        <v>0</v>
      </c>
      <c r="D180" s="113">
        <f>+Mans!$G181</f>
        <v>0</v>
      </c>
      <c r="E180" s="160">
        <f>+Vannes!E181+Rennes!E181+Mans!E181</f>
        <v>0</v>
      </c>
      <c r="F180" s="368">
        <f>+Vannes!F181+Rennes!F181+Mans!F181</f>
        <v>0</v>
      </c>
      <c r="G180" s="373">
        <f>+Vannes!G181+Rennes!G181+Mans!G181</f>
        <v>0</v>
      </c>
      <c r="H180" s="161">
        <f t="shared" si="24"/>
        <v>0</v>
      </c>
      <c r="I180" s="149">
        <f t="shared" si="25"/>
        <v>0</v>
      </c>
      <c r="J180" s="271">
        <f t="shared" si="26"/>
        <v>0</v>
      </c>
      <c r="K180" s="18">
        <f>+Vannes!G181+Rennes!G181+Mans!G181</f>
        <v>0</v>
      </c>
    </row>
    <row r="181" spans="1:11" s="2" customFormat="1" ht="11.25">
      <c r="A181" s="5" t="s">
        <v>82</v>
      </c>
      <c r="B181" s="160">
        <f>+Vannes!G182</f>
        <v>0</v>
      </c>
      <c r="C181" s="113">
        <f>+Rennes!$G182</f>
        <v>0</v>
      </c>
      <c r="D181" s="113">
        <f>+Mans!$G182</f>
        <v>0</v>
      </c>
      <c r="E181" s="160">
        <f>+Vannes!E182+Rennes!E182+Mans!E182</f>
        <v>0</v>
      </c>
      <c r="F181" s="368">
        <f>+Vannes!F182+Rennes!F182+Mans!F182</f>
        <v>0</v>
      </c>
      <c r="G181" s="373">
        <f>+Vannes!G182+Rennes!G182+Mans!G182</f>
        <v>0</v>
      </c>
      <c r="H181" s="161">
        <f t="shared" si="24"/>
        <v>0</v>
      </c>
      <c r="I181" s="149">
        <f t="shared" si="25"/>
        <v>0</v>
      </c>
      <c r="J181" s="271">
        <f t="shared" si="26"/>
        <v>0</v>
      </c>
      <c r="K181" s="18">
        <f>+Vannes!G182+Rennes!G182+Mans!G182</f>
        <v>0</v>
      </c>
    </row>
    <row r="182" spans="1:11" s="2" customFormat="1" ht="11.25">
      <c r="A182" s="5" t="s">
        <v>331</v>
      </c>
      <c r="B182" s="160">
        <f>+Vannes!G183</f>
        <v>0</v>
      </c>
      <c r="C182" s="113">
        <f>+Rennes!$G183</f>
        <v>0</v>
      </c>
      <c r="D182" s="113">
        <f>+Mans!$G183</f>
        <v>0</v>
      </c>
      <c r="E182" s="160">
        <f>+Vannes!E183+Rennes!E183+Mans!E183</f>
        <v>0</v>
      </c>
      <c r="F182" s="368">
        <f>+Vannes!F183+Rennes!F183+Mans!F183</f>
        <v>0</v>
      </c>
      <c r="G182" s="373">
        <f>+Vannes!G183+Rennes!G183+Mans!G183</f>
        <v>0</v>
      </c>
      <c r="H182" s="161">
        <f t="shared" si="24"/>
        <v>0</v>
      </c>
      <c r="I182" s="149">
        <f t="shared" si="25"/>
        <v>0</v>
      </c>
      <c r="J182" s="271">
        <f t="shared" si="26"/>
        <v>0</v>
      </c>
      <c r="K182" s="18">
        <f>+Vannes!G183+Rennes!G183+Mans!G183</f>
        <v>0</v>
      </c>
    </row>
    <row r="183" spans="1:11" s="2" customFormat="1" ht="11.25">
      <c r="A183" s="5"/>
      <c r="B183" s="160"/>
      <c r="C183" s="113"/>
      <c r="D183" s="113"/>
      <c r="E183" s="160"/>
      <c r="F183" s="113"/>
      <c r="G183" s="113"/>
      <c r="H183" s="162"/>
      <c r="I183" s="149"/>
      <c r="J183" s="254"/>
      <c r="K183" s="18"/>
    </row>
    <row r="184" spans="1:11" s="2" customFormat="1" ht="11.25">
      <c r="A184" s="13" t="s">
        <v>178</v>
      </c>
      <c r="B184" s="163">
        <f>SUM(B168:B183)</f>
        <v>5212.0895999999993</v>
      </c>
      <c r="C184" s="204">
        <f>SUM(C168:C183)</f>
        <v>1787.6499999999999</v>
      </c>
      <c r="D184" s="204">
        <f>SUM(D168:D183)</f>
        <v>12891.38</v>
      </c>
      <c r="E184" s="163">
        <f>+Vannes!E185+Rennes!E185+Mans!E185</f>
        <v>21830.940000000002</v>
      </c>
      <c r="F184" s="204">
        <f>+Vannes!F185+Rennes!F185+Mans!F185</f>
        <v>17532.169999999998</v>
      </c>
      <c r="G184" s="204">
        <f>+Vannes!G185+Rennes!G185+Mans!G185</f>
        <v>19891.119599999998</v>
      </c>
      <c r="H184" s="168">
        <f>SUM(B184:D184)</f>
        <v>19891.119599999998</v>
      </c>
      <c r="I184" s="272">
        <f>+IF((E184)=0,,(F184-E184)/E184)</f>
        <v>-0.19691181415000927</v>
      </c>
      <c r="J184" s="188">
        <f>+IF((F184)=0,,(H184-F184)/F184)</f>
        <v>0.13454977906328766</v>
      </c>
      <c r="K184" s="312">
        <f>SUM(K168:K183)</f>
        <v>19891.119599999998</v>
      </c>
    </row>
    <row r="185" spans="1:11" s="2" customFormat="1" ht="11.25">
      <c r="A185" s="5"/>
      <c r="B185" s="160"/>
      <c r="C185" s="113"/>
      <c r="D185" s="113"/>
      <c r="E185" s="160"/>
      <c r="F185" s="113"/>
      <c r="G185" s="113"/>
      <c r="H185" s="162"/>
      <c r="I185" s="149"/>
      <c r="J185" s="271"/>
      <c r="K185" s="18"/>
    </row>
    <row r="186" spans="1:11" s="2" customFormat="1" ht="11.25">
      <c r="A186" s="5" t="s">
        <v>179</v>
      </c>
      <c r="B186" s="160">
        <f>+Vannes!G187</f>
        <v>0</v>
      </c>
      <c r="C186" s="113">
        <f>+Rennes!$G187</f>
        <v>0</v>
      </c>
      <c r="D186" s="113">
        <f>+Mans!$G187</f>
        <v>0</v>
      </c>
      <c r="E186" s="160">
        <f>+Vannes!E187+Rennes!E187+Mans!E187</f>
        <v>0</v>
      </c>
      <c r="F186" s="368">
        <f>+Vannes!F187+Rennes!F187+Mans!F187</f>
        <v>0</v>
      </c>
      <c r="G186" s="373">
        <f>+Vannes!G187+Rennes!G187+Mans!G187</f>
        <v>0</v>
      </c>
      <c r="H186" s="161">
        <f>SUM(B186:D186)</f>
        <v>0</v>
      </c>
      <c r="I186" s="149">
        <f>+IF((E186)=0,,(F186-E186)/E186)</f>
        <v>0</v>
      </c>
      <c r="J186" s="271">
        <f>+IF((F186)=0,,(H186-F186)/F186)</f>
        <v>0</v>
      </c>
      <c r="K186" s="18">
        <f>+Vannes!G187+Rennes!G187+Mans!G187</f>
        <v>0</v>
      </c>
    </row>
    <row r="187" spans="1:11" s="2" customFormat="1" ht="11.25">
      <c r="A187" s="5" t="s">
        <v>167</v>
      </c>
      <c r="B187" s="160">
        <f>+Vannes!G188</f>
        <v>0</v>
      </c>
      <c r="C187" s="113">
        <f>+Rennes!$G188</f>
        <v>0</v>
      </c>
      <c r="D187" s="113">
        <f>+Mans!$G188</f>
        <v>0</v>
      </c>
      <c r="E187" s="160">
        <f>+Vannes!E188+Rennes!E188+Mans!E188</f>
        <v>0</v>
      </c>
      <c r="F187" s="368">
        <f>+Vannes!F188+Rennes!F188+Mans!F188</f>
        <v>0</v>
      </c>
      <c r="G187" s="373">
        <f>+Vannes!G188+Rennes!G188+Mans!G188</f>
        <v>0</v>
      </c>
      <c r="H187" s="161">
        <f t="shared" ref="H187:H198" si="27">SUM(B187:D187)</f>
        <v>0</v>
      </c>
      <c r="I187" s="149">
        <f t="shared" ref="I187:I198" si="28">+IF((E187)=0,,(F187-E187)/E187)</f>
        <v>0</v>
      </c>
      <c r="J187" s="271">
        <f t="shared" ref="J187:J198" si="29">+IF((F187)=0,,(H187-F187)/F187)</f>
        <v>0</v>
      </c>
      <c r="K187" s="18">
        <f>+Vannes!G188+Rennes!G188+Mans!G188</f>
        <v>0</v>
      </c>
    </row>
    <row r="188" spans="1:11" s="2" customFormat="1" ht="11.25">
      <c r="A188" s="5" t="s">
        <v>180</v>
      </c>
      <c r="B188" s="160">
        <f>+Vannes!G189</f>
        <v>0</v>
      </c>
      <c r="C188" s="113">
        <f>+Rennes!$G189</f>
        <v>0</v>
      </c>
      <c r="D188" s="113">
        <f>+Mans!$G189</f>
        <v>0</v>
      </c>
      <c r="E188" s="160">
        <f>+Vannes!E189+Rennes!E189+Mans!E189</f>
        <v>1503.3600000000001</v>
      </c>
      <c r="F188" s="368">
        <f>+Vannes!F189+Rennes!F189+Mans!F189</f>
        <v>950.16</v>
      </c>
      <c r="G188" s="373">
        <f>+Vannes!G189+Rennes!G189+Mans!G189</f>
        <v>0</v>
      </c>
      <c r="H188" s="161">
        <f t="shared" si="27"/>
        <v>0</v>
      </c>
      <c r="I188" s="149">
        <f t="shared" si="28"/>
        <v>-0.36797573435504477</v>
      </c>
      <c r="J188" s="271">
        <f t="shared" si="29"/>
        <v>-1</v>
      </c>
      <c r="K188" s="18">
        <f>+Vannes!G189+Rennes!G189+Mans!G189</f>
        <v>0</v>
      </c>
    </row>
    <row r="189" spans="1:11" s="2" customFormat="1" ht="11.25">
      <c r="A189" s="5" t="s">
        <v>181</v>
      </c>
      <c r="B189" s="160">
        <f>+Vannes!G190</f>
        <v>0</v>
      </c>
      <c r="C189" s="113">
        <f>+Rennes!$G190</f>
        <v>0</v>
      </c>
      <c r="D189" s="113">
        <f>+Mans!$G190</f>
        <v>0</v>
      </c>
      <c r="E189" s="160">
        <f>+Vannes!E190+Rennes!E190+Mans!E190</f>
        <v>0</v>
      </c>
      <c r="F189" s="368">
        <f>+Vannes!F190+Rennes!F190+Mans!F190</f>
        <v>0</v>
      </c>
      <c r="G189" s="373">
        <f>+Vannes!G190+Rennes!G190+Mans!G190</f>
        <v>0</v>
      </c>
      <c r="H189" s="161">
        <f t="shared" si="27"/>
        <v>0</v>
      </c>
      <c r="I189" s="149">
        <f t="shared" si="28"/>
        <v>0</v>
      </c>
      <c r="J189" s="271">
        <f t="shared" si="29"/>
        <v>0</v>
      </c>
      <c r="K189" s="18">
        <f>+Vannes!G190+Rennes!G190+Mans!G190</f>
        <v>0</v>
      </c>
    </row>
    <row r="190" spans="1:11" s="2" customFormat="1" ht="11.25">
      <c r="A190" s="5" t="s">
        <v>182</v>
      </c>
      <c r="B190" s="160">
        <f>+Vannes!G191</f>
        <v>0</v>
      </c>
      <c r="C190" s="113">
        <f>+Rennes!$G191</f>
        <v>0</v>
      </c>
      <c r="D190" s="113">
        <f>+Mans!$G191</f>
        <v>0</v>
      </c>
      <c r="E190" s="160">
        <f>+Vannes!E191+Rennes!E191+Mans!E191</f>
        <v>0</v>
      </c>
      <c r="F190" s="368">
        <f>+Vannes!F191+Rennes!F191+Mans!F191</f>
        <v>0</v>
      </c>
      <c r="G190" s="373">
        <f>+Vannes!G191+Rennes!G191+Mans!G191</f>
        <v>0</v>
      </c>
      <c r="H190" s="161">
        <f t="shared" si="27"/>
        <v>0</v>
      </c>
      <c r="I190" s="149">
        <f t="shared" si="28"/>
        <v>0</v>
      </c>
      <c r="J190" s="271">
        <f t="shared" si="29"/>
        <v>0</v>
      </c>
      <c r="K190" s="18">
        <f>+Vannes!G191+Rennes!G191+Mans!G191</f>
        <v>0</v>
      </c>
    </row>
    <row r="191" spans="1:11" s="2" customFormat="1" ht="11.25">
      <c r="A191" s="5" t="s">
        <v>183</v>
      </c>
      <c r="B191" s="160">
        <f>+Vannes!G192</f>
        <v>0</v>
      </c>
      <c r="C191" s="113">
        <f>+Rennes!$G192</f>
        <v>0</v>
      </c>
      <c r="D191" s="113">
        <f>+Mans!$G192</f>
        <v>0</v>
      </c>
      <c r="E191" s="160">
        <f>+Vannes!E192+Rennes!E192+Mans!E192</f>
        <v>0</v>
      </c>
      <c r="F191" s="368">
        <f>+Vannes!F192+Rennes!F192+Mans!F192</f>
        <v>0</v>
      </c>
      <c r="G191" s="373">
        <f>+Vannes!G192+Rennes!G192+Mans!G192</f>
        <v>0</v>
      </c>
      <c r="H191" s="161">
        <f t="shared" si="27"/>
        <v>0</v>
      </c>
      <c r="I191" s="149">
        <f t="shared" si="28"/>
        <v>0</v>
      </c>
      <c r="J191" s="271">
        <f t="shared" si="29"/>
        <v>0</v>
      </c>
      <c r="K191" s="18">
        <f>+Vannes!G192+Rennes!G192+Mans!G192</f>
        <v>0</v>
      </c>
    </row>
    <row r="192" spans="1:11" s="2" customFormat="1" ht="11.25">
      <c r="A192" s="5" t="s">
        <v>184</v>
      </c>
      <c r="B192" s="160">
        <f>+Vannes!G193</f>
        <v>0</v>
      </c>
      <c r="C192" s="113">
        <f>+Rennes!$G193</f>
        <v>0</v>
      </c>
      <c r="D192" s="113">
        <f>+Mans!$G193</f>
        <v>0</v>
      </c>
      <c r="E192" s="160">
        <f>+Vannes!E193+Rennes!E193+Mans!E193</f>
        <v>742.76</v>
      </c>
      <c r="F192" s="368">
        <f>+Vannes!F193+Rennes!F193+Mans!F193</f>
        <v>2905.4533333333334</v>
      </c>
      <c r="G192" s="373">
        <f>+Vannes!G193+Rennes!G193+Mans!G193</f>
        <v>0</v>
      </c>
      <c r="H192" s="161">
        <f t="shared" si="27"/>
        <v>0</v>
      </c>
      <c r="I192" s="149">
        <f t="shared" si="28"/>
        <v>2.9116987093183986</v>
      </c>
      <c r="J192" s="271">
        <f t="shared" si="29"/>
        <v>-1</v>
      </c>
      <c r="K192" s="18">
        <f>+Vannes!G193+Rennes!G193+Mans!G193</f>
        <v>0</v>
      </c>
    </row>
    <row r="193" spans="1:11" s="2" customFormat="1" ht="11.25">
      <c r="A193" s="5" t="s">
        <v>342</v>
      </c>
      <c r="B193" s="160">
        <f>+Vannes!G194</f>
        <v>0</v>
      </c>
      <c r="C193" s="113">
        <f>+Rennes!$G194</f>
        <v>0</v>
      </c>
      <c r="D193" s="113">
        <f>+Mans!$G194</f>
        <v>0</v>
      </c>
      <c r="E193" s="160">
        <f>+Vannes!E194+Rennes!E194+Mans!E194</f>
        <v>0</v>
      </c>
      <c r="F193" s="368">
        <f>+Vannes!F194+Rennes!F194+Mans!F194</f>
        <v>0</v>
      </c>
      <c r="G193" s="373">
        <f>+Vannes!G194+Rennes!G194+Mans!G194</f>
        <v>0</v>
      </c>
      <c r="H193" s="161">
        <f t="shared" si="27"/>
        <v>0</v>
      </c>
      <c r="I193" s="149">
        <f t="shared" si="28"/>
        <v>0</v>
      </c>
      <c r="J193" s="271">
        <f t="shared" si="29"/>
        <v>0</v>
      </c>
      <c r="K193" s="18">
        <f>+Vannes!G194+Rennes!G194+Mans!G194</f>
        <v>0</v>
      </c>
    </row>
    <row r="194" spans="1:11" s="2" customFormat="1" ht="11.25">
      <c r="A194" s="5" t="s">
        <v>186</v>
      </c>
      <c r="B194" s="160">
        <f>+Vannes!G195</f>
        <v>0</v>
      </c>
      <c r="C194" s="113">
        <f>+Rennes!$G195</f>
        <v>0</v>
      </c>
      <c r="D194" s="113">
        <f>+Mans!$G195</f>
        <v>0</v>
      </c>
      <c r="E194" s="160">
        <f>+Vannes!E195+Rennes!E195+Mans!E195</f>
        <v>0</v>
      </c>
      <c r="F194" s="368">
        <f>+Vannes!F195+Rennes!F195+Mans!F195</f>
        <v>0</v>
      </c>
      <c r="G194" s="373">
        <f>+Vannes!G195+Rennes!G195+Mans!G195</f>
        <v>0</v>
      </c>
      <c r="H194" s="161">
        <f t="shared" si="27"/>
        <v>0</v>
      </c>
      <c r="I194" s="149">
        <f t="shared" si="28"/>
        <v>0</v>
      </c>
      <c r="J194" s="271">
        <f t="shared" si="29"/>
        <v>0</v>
      </c>
      <c r="K194" s="18">
        <f>+Vannes!G195+Rennes!G195+Mans!G195</f>
        <v>0</v>
      </c>
    </row>
    <row r="195" spans="1:11" s="2" customFormat="1" ht="11.25">
      <c r="A195" s="5" t="s">
        <v>187</v>
      </c>
      <c r="B195" s="160">
        <f>+Vannes!G196</f>
        <v>0</v>
      </c>
      <c r="C195" s="113">
        <f>+Rennes!$G196</f>
        <v>0</v>
      </c>
      <c r="D195" s="113">
        <f>+Mans!$G196</f>
        <v>0</v>
      </c>
      <c r="E195" s="160">
        <f>+Vannes!E196+Rennes!E196+Mans!E196</f>
        <v>0</v>
      </c>
      <c r="F195" s="368">
        <f>+Vannes!F196+Rennes!F196+Mans!F196</f>
        <v>0</v>
      </c>
      <c r="G195" s="373">
        <f>+Vannes!G196+Rennes!G196+Mans!G196</f>
        <v>0</v>
      </c>
      <c r="H195" s="161">
        <f t="shared" si="27"/>
        <v>0</v>
      </c>
      <c r="I195" s="149">
        <f t="shared" si="28"/>
        <v>0</v>
      </c>
      <c r="J195" s="271">
        <f t="shared" si="29"/>
        <v>0</v>
      </c>
      <c r="K195" s="18">
        <f>+Vannes!G196+Rennes!G196+Mans!G196</f>
        <v>0</v>
      </c>
    </row>
    <row r="196" spans="1:11" s="2" customFormat="1" ht="11.25">
      <c r="A196" s="5" t="s">
        <v>328</v>
      </c>
      <c r="B196" s="160">
        <f>+Vannes!G197</f>
        <v>0</v>
      </c>
      <c r="C196" s="113">
        <f>+Rennes!$G197</f>
        <v>0</v>
      </c>
      <c r="D196" s="113">
        <f>+Mans!$G197</f>
        <v>0</v>
      </c>
      <c r="E196" s="160">
        <f>+Vannes!E197+Rennes!E197+Mans!E197</f>
        <v>0</v>
      </c>
      <c r="F196" s="368">
        <f>+Vannes!F197+Rennes!F197+Mans!F197</f>
        <v>0</v>
      </c>
      <c r="G196" s="373">
        <f>+Vannes!G197+Rennes!G197+Mans!G197</f>
        <v>0</v>
      </c>
      <c r="H196" s="161">
        <f t="shared" si="27"/>
        <v>0</v>
      </c>
      <c r="I196" s="149">
        <f t="shared" si="28"/>
        <v>0</v>
      </c>
      <c r="J196" s="271">
        <f t="shared" si="29"/>
        <v>0</v>
      </c>
      <c r="K196" s="18">
        <f>+Vannes!G197+Rennes!G197+Mans!G197</f>
        <v>0</v>
      </c>
    </row>
    <row r="197" spans="1:11" s="2" customFormat="1" ht="11.25">
      <c r="A197" s="5" t="s">
        <v>344</v>
      </c>
      <c r="B197" s="160">
        <f>+Vannes!G198</f>
        <v>0</v>
      </c>
      <c r="C197" s="113">
        <f>+Rennes!$G198</f>
        <v>0</v>
      </c>
      <c r="D197" s="113">
        <f>+Mans!$G198</f>
        <v>0</v>
      </c>
      <c r="E197" s="160">
        <f>+Vannes!E198+Rennes!E198+Mans!E198</f>
        <v>0</v>
      </c>
      <c r="F197" s="368">
        <f>+Vannes!F198+Rennes!F198+Mans!F198</f>
        <v>0</v>
      </c>
      <c r="G197" s="373">
        <f>+Vannes!G198+Rennes!G198+Mans!G198</f>
        <v>0</v>
      </c>
      <c r="H197" s="161">
        <f t="shared" si="27"/>
        <v>0</v>
      </c>
      <c r="I197" s="149">
        <f t="shared" si="28"/>
        <v>0</v>
      </c>
      <c r="J197" s="271">
        <f t="shared" si="29"/>
        <v>0</v>
      </c>
      <c r="K197" s="18">
        <f>+Vannes!G198+Rennes!G198+Mans!G198</f>
        <v>0</v>
      </c>
    </row>
    <row r="198" spans="1:11" s="2" customFormat="1" ht="11.25">
      <c r="A198" s="5" t="s">
        <v>77</v>
      </c>
      <c r="B198" s="160">
        <f>+Vannes!G199</f>
        <v>0</v>
      </c>
      <c r="C198" s="113">
        <f>+Rennes!$G199</f>
        <v>0</v>
      </c>
      <c r="D198" s="113">
        <f>+Mans!$G199</f>
        <v>0</v>
      </c>
      <c r="E198" s="160">
        <f>+Vannes!E199+Rennes!E199+Mans!E199</f>
        <v>4534.03</v>
      </c>
      <c r="F198" s="368">
        <f>+Vannes!F199+Rennes!F199+Mans!F199</f>
        <v>0</v>
      </c>
      <c r="G198" s="373">
        <f>+Vannes!G199+Rennes!G199+Mans!G199</f>
        <v>0</v>
      </c>
      <c r="H198" s="161">
        <f t="shared" si="27"/>
        <v>0</v>
      </c>
      <c r="I198" s="149">
        <f t="shared" si="28"/>
        <v>-1</v>
      </c>
      <c r="J198" s="271">
        <f t="shared" si="29"/>
        <v>0</v>
      </c>
      <c r="K198" s="18">
        <f>+Vannes!G199+Rennes!G199+Mans!G199</f>
        <v>0</v>
      </c>
    </row>
    <row r="199" spans="1:11" s="2" customFormat="1" ht="11.25">
      <c r="A199" s="5"/>
      <c r="B199" s="160"/>
      <c r="C199" s="113"/>
      <c r="D199" s="113"/>
      <c r="E199" s="160"/>
      <c r="F199" s="113"/>
      <c r="G199" s="113"/>
      <c r="H199" s="162"/>
      <c r="I199" s="149"/>
      <c r="J199" s="254"/>
      <c r="K199" s="18"/>
    </row>
    <row r="200" spans="1:11" s="2" customFormat="1" ht="11.25">
      <c r="A200" s="13" t="s">
        <v>188</v>
      </c>
      <c r="B200" s="163">
        <f>SUM(B185:B199)</f>
        <v>0</v>
      </c>
      <c r="C200" s="204">
        <f>SUM(C185:C199)</f>
        <v>0</v>
      </c>
      <c r="D200" s="204">
        <f>SUM(D185:D199)</f>
        <v>0</v>
      </c>
      <c r="E200" s="163">
        <f>+Vannes!E201+Rennes!E201+Mans!E201</f>
        <v>6780.1500000000005</v>
      </c>
      <c r="F200" s="204">
        <f>+Vannes!F201+Rennes!F201+Mans!F201</f>
        <v>3855.6133333333332</v>
      </c>
      <c r="G200" s="204">
        <f>+Vannes!G201+Rennes!G201+Mans!G201</f>
        <v>0</v>
      </c>
      <c r="H200" s="168">
        <f>SUM(B200:D200)</f>
        <v>0</v>
      </c>
      <c r="I200" s="272">
        <f>+IF((E200)=0,,(F200-E200)/E200)</f>
        <v>-0.43133804807661585</v>
      </c>
      <c r="J200" s="188">
        <f>+IF((F200)=0,,(H200-F200)/F200)</f>
        <v>-1</v>
      </c>
      <c r="K200" s="305">
        <f>SUM(K185:K199)</f>
        <v>0</v>
      </c>
    </row>
    <row r="201" spans="1:11" s="2" customFormat="1" ht="11.25">
      <c r="A201" s="5"/>
      <c r="B201" s="160"/>
      <c r="C201" s="113"/>
      <c r="D201" s="113"/>
      <c r="E201" s="160"/>
      <c r="F201" s="113"/>
      <c r="G201" s="113"/>
      <c r="H201" s="162"/>
      <c r="I201" s="149"/>
      <c r="J201" s="254"/>
      <c r="K201" s="311"/>
    </row>
    <row r="202" spans="1:11" s="2" customFormat="1" ht="11.25">
      <c r="A202" s="14" t="s">
        <v>189</v>
      </c>
      <c r="B202" s="175">
        <f>+B103+B116+B129+B153+B167+B184-B200</f>
        <v>315392.71504961053</v>
      </c>
      <c r="C202" s="206">
        <f>+C103+C116+C129+C153+C167+C184-C200</f>
        <v>191685.98033995711</v>
      </c>
      <c r="D202" s="206">
        <f>+D103+D116+D129+D153+D167+D184-D200</f>
        <v>300761.32729159622</v>
      </c>
      <c r="E202" s="175">
        <f>+Vannes!E203+Rennes!E203+Mans!E203</f>
        <v>776343.39280000003</v>
      </c>
      <c r="F202" s="206">
        <f>+Vannes!F203+Rennes!F203+Mans!F203</f>
        <v>781885.27666666661</v>
      </c>
      <c r="G202" s="206">
        <f>+Vannes!G203+Rennes!G203+Mans!G203</f>
        <v>807840.02268116386</v>
      </c>
      <c r="H202" s="176">
        <f>SUM(B202:D202)</f>
        <v>807840.02268116386</v>
      </c>
      <c r="I202" s="281">
        <f>+IF((E202)=0,,(F202-E202)/E202)</f>
        <v>7.1384440417260973E-3</v>
      </c>
      <c r="J202" s="282">
        <f>+IF((F202)=0,,(H202-F202)/F202)</f>
        <v>3.319508218027524E-2</v>
      </c>
      <c r="K202" s="313">
        <f>+K103+K116+K129+K153+K167+K184-K200</f>
        <v>807840.02268116386</v>
      </c>
    </row>
    <row r="203" spans="1:11" s="2" customFormat="1" ht="11.25">
      <c r="A203" s="5"/>
      <c r="B203" s="160"/>
      <c r="C203" s="113"/>
      <c r="D203" s="113"/>
      <c r="E203" s="160"/>
      <c r="F203" s="25"/>
      <c r="G203" s="25"/>
      <c r="H203" s="162"/>
      <c r="I203" s="149"/>
      <c r="J203" s="254"/>
      <c r="K203" s="18"/>
    </row>
    <row r="204" spans="1:11" s="2" customFormat="1" ht="11.25">
      <c r="A204" s="12" t="s">
        <v>228</v>
      </c>
      <c r="B204" s="177">
        <f>+B62-B202</f>
        <v>83230.829950389452</v>
      </c>
      <c r="C204" s="228">
        <f>+C62-C202</f>
        <v>23281.829860042897</v>
      </c>
      <c r="D204" s="228">
        <f>+D62-D202</f>
        <v>77784.672708403785</v>
      </c>
      <c r="E204" s="169">
        <f>+Vannes!E205+Rennes!E205+Mans!E205</f>
        <v>178973.66489999977</v>
      </c>
      <c r="F204" s="223">
        <f>+Vannes!F205+Rennes!F205+Mans!F205</f>
        <v>96411.051833333331</v>
      </c>
      <c r="G204" s="223">
        <f>+Vannes!G205+Rennes!G205+Mans!G205</f>
        <v>184297.33251883613</v>
      </c>
      <c r="H204" s="170">
        <f>SUM(B204:D204)</f>
        <v>184297.33251883613</v>
      </c>
      <c r="I204" s="226">
        <f>+IF((E204)=0,,(F204-E204)/E204)</f>
        <v>-0.46131151816552285</v>
      </c>
      <c r="J204" s="283">
        <f>+IF((F204)=0,,(H204-F204)/F204)</f>
        <v>0.91157890111428952</v>
      </c>
      <c r="K204" s="314">
        <f>+K62-K202</f>
        <v>184297.33251883613</v>
      </c>
    </row>
    <row r="205" spans="1:11" s="2" customFormat="1" ht="11.25">
      <c r="A205" s="5"/>
      <c r="B205" s="160"/>
      <c r="C205" s="113"/>
      <c r="D205" s="113"/>
      <c r="E205" s="160"/>
      <c r="F205" s="113"/>
      <c r="G205" s="113"/>
      <c r="H205" s="162"/>
      <c r="I205" s="149"/>
      <c r="J205" s="254"/>
      <c r="K205" s="18"/>
    </row>
    <row r="206" spans="1:11" s="2" customFormat="1" ht="11.25">
      <c r="A206" s="63" t="s">
        <v>251</v>
      </c>
      <c r="B206" s="232">
        <f>+Vannes!$G207</f>
        <v>3397.2194105743301</v>
      </c>
      <c r="C206" s="233">
        <f>+Rennes!$G207</f>
        <v>1945.9727008092068</v>
      </c>
      <c r="D206" s="233">
        <f>+Mans!$G207</f>
        <v>3443.7774036106134</v>
      </c>
      <c r="E206" s="175">
        <f>+Vannes!E207+Rennes!E207+Mans!E207</f>
        <v>15786.364009374542</v>
      </c>
      <c r="F206" s="206">
        <f>+Vannes!F207+Rennes!F207+Mans!F207</f>
        <v>11667.819956473093</v>
      </c>
      <c r="G206" s="206">
        <f>+Vannes!G207+Rennes!G207+Mans!G207</f>
        <v>8786.9695149941508</v>
      </c>
      <c r="H206" s="176">
        <f>SUM(B206:D206)</f>
        <v>8786.9695149941508</v>
      </c>
      <c r="I206" s="285">
        <f>+IF((E206)=0,,(F206-E206)/E206)</f>
        <v>-0.26089250510476641</v>
      </c>
      <c r="J206" s="194">
        <f>+IF((F206)=0,,(H206-F206)/F206)</f>
        <v>-0.24690563037705249</v>
      </c>
      <c r="K206" s="315">
        <f>+Vannes!G207+Rennes!G207+Mans!G207</f>
        <v>8786.9695149941508</v>
      </c>
    </row>
    <row r="207" spans="1:11" s="2" customFormat="1" ht="11.25">
      <c r="A207" s="5"/>
      <c r="B207" s="160"/>
      <c r="C207" s="113"/>
      <c r="D207" s="113"/>
      <c r="E207" s="160"/>
      <c r="F207" s="113"/>
      <c r="G207" s="113"/>
      <c r="H207" s="162"/>
      <c r="I207" s="149"/>
      <c r="J207" s="254"/>
      <c r="K207" s="18"/>
    </row>
    <row r="208" spans="1:11" s="2" customFormat="1" ht="11.25">
      <c r="A208" s="12" t="s">
        <v>190</v>
      </c>
      <c r="B208" s="177">
        <f>+B204-B206</f>
        <v>79833.610539815127</v>
      </c>
      <c r="C208" s="228">
        <f>+C204-C206</f>
        <v>21335.857159233688</v>
      </c>
      <c r="D208" s="228">
        <f>+D204-D206</f>
        <v>74340.895304793172</v>
      </c>
      <c r="E208" s="169">
        <f>+Vannes!E209+Rennes!E209+Mans!E209</f>
        <v>163187.30089062522</v>
      </c>
      <c r="F208" s="223">
        <f>+Vannes!F209+Rennes!F209+Mans!F209</f>
        <v>84743.231876860242</v>
      </c>
      <c r="G208" s="223">
        <f>+Vannes!G209+Rennes!G209+Mans!G209</f>
        <v>175510.36300384198</v>
      </c>
      <c r="H208" s="170">
        <f>SUM(B208:D208)</f>
        <v>175510.36300384198</v>
      </c>
      <c r="I208" s="226">
        <f>+IF((E208)=0,,(F208-E208)/E208)</f>
        <v>-0.48069959234353288</v>
      </c>
      <c r="J208" s="283">
        <f>+IF((F208)=0,,(H208-F208)/F208)</f>
        <v>1.0710841339975654</v>
      </c>
      <c r="K208" s="314">
        <f>+K204-K206</f>
        <v>175510.36300384198</v>
      </c>
    </row>
    <row r="209" spans="1:13" s="2" customFormat="1" ht="11.25">
      <c r="A209" s="5"/>
      <c r="B209" s="160"/>
      <c r="C209" s="113"/>
      <c r="D209" s="113"/>
      <c r="E209" s="160"/>
      <c r="F209" s="113"/>
      <c r="G209" s="113"/>
      <c r="H209" s="162"/>
      <c r="I209" s="149"/>
      <c r="J209" s="254"/>
      <c r="K209" s="18"/>
    </row>
    <row r="210" spans="1:13" s="2" customFormat="1" ht="11.25">
      <c r="A210" s="5" t="s">
        <v>191</v>
      </c>
      <c r="B210" s="160">
        <f>+Vannes!G211</f>
        <v>9644.6846793104778</v>
      </c>
      <c r="C210" s="113">
        <f>+Rennes!$G211</f>
        <v>9644.6846793104778</v>
      </c>
      <c r="D210" s="113">
        <f>+Mans!$G211</f>
        <v>9644.6846793104778</v>
      </c>
      <c r="E210" s="160">
        <f>+Vannes!E211+Rennes!E211+Mans!E211</f>
        <v>24285.258215999998</v>
      </c>
      <c r="F210" s="368">
        <f>+Vannes!F211+Rennes!F211+Mans!F211</f>
        <v>26993.88229032257</v>
      </c>
      <c r="G210" s="373">
        <f>+Vannes!G211+Rennes!G211+Mans!G211</f>
        <v>28934.054037931433</v>
      </c>
      <c r="H210" s="161">
        <f>SUM(B210:D210)</f>
        <v>28934.054037931433</v>
      </c>
      <c r="I210" s="149">
        <f>+IF((E210)=0,,(F210-E210)/E210)</f>
        <v>0.11153367405984727</v>
      </c>
      <c r="J210" s="271">
        <f>+IF((F210)=0,,(H210-F210)/F210)</f>
        <v>7.1874498330476308E-2</v>
      </c>
      <c r="K210" s="18">
        <f>+Vannes!G211+Rennes!G211+Mans!G211</f>
        <v>28934.054037931433</v>
      </c>
    </row>
    <row r="211" spans="1:13">
      <c r="A211" s="5" t="s">
        <v>192</v>
      </c>
      <c r="B211" s="160">
        <f>+Vannes!G212</f>
        <v>36602.465226814231</v>
      </c>
      <c r="C211" s="113">
        <f>+Rennes!$G212</f>
        <v>20966.381474211918</v>
      </c>
      <c r="D211" s="113">
        <f>+Mans!$G212</f>
        <v>37104.09232685859</v>
      </c>
      <c r="E211" s="160">
        <f>+Vannes!E212+Rennes!E212+Mans!E212</f>
        <v>78830.602553491917</v>
      </c>
      <c r="F211" s="368">
        <f>+Vannes!F212+Rennes!F212+Mans!F212</f>
        <v>84699.065845044854</v>
      </c>
      <c r="G211" s="373">
        <f>+Vannes!G212+Rennes!G212+Mans!G212</f>
        <v>94672.939027884742</v>
      </c>
      <c r="H211" s="161">
        <f>SUM(B211:D211)</f>
        <v>94672.939027884742</v>
      </c>
      <c r="I211" s="149">
        <f>+IF((E211)=0,,(F211-E211)/E211)</f>
        <v>7.4443973551651915E-2</v>
      </c>
      <c r="J211" s="271">
        <f>+IF((F211)=0,,(H211-F211)/F211)</f>
        <v>0.11775659015043777</v>
      </c>
      <c r="K211" s="18">
        <f>+Vannes!G212+Rennes!G212+Mans!G212</f>
        <v>94672.939027884742</v>
      </c>
    </row>
    <row r="212" spans="1:13">
      <c r="A212" s="5" t="s">
        <v>193</v>
      </c>
      <c r="B212" s="160">
        <f>+Vannes!G213</f>
        <v>-10200</v>
      </c>
      <c r="C212" s="113">
        <f>+Rennes!$G213</f>
        <v>-5400</v>
      </c>
      <c r="D212" s="113">
        <f>+Mans!$G213</f>
        <v>-5600</v>
      </c>
      <c r="E212" s="160">
        <f>+Vannes!E213+Rennes!E213+Mans!E213</f>
        <v>-19800.88</v>
      </c>
      <c r="F212" s="368">
        <f>+Vannes!F213+Rennes!F213+Mans!F213</f>
        <v>-25128.533333333336</v>
      </c>
      <c r="G212" s="373">
        <f>+Vannes!G213+Rennes!G213+Mans!G213</f>
        <v>-21200</v>
      </c>
      <c r="H212" s="161">
        <f>SUM(B212:D212)</f>
        <v>-21200</v>
      </c>
      <c r="I212" s="149">
        <f>+IF((E212)=0,,(F212-E212)/E212)</f>
        <v>0.26906144238707247</v>
      </c>
      <c r="J212" s="271">
        <f>+IF((F212)=0,,(H212-F212)/F212)</f>
        <v>-0.15633754987689968</v>
      </c>
      <c r="K212" s="18">
        <f>+Vannes!G213+Rennes!G213+Mans!G213</f>
        <v>-21200</v>
      </c>
    </row>
    <row r="213" spans="1:13">
      <c r="A213" s="5"/>
      <c r="B213" s="160"/>
      <c r="C213" s="113"/>
      <c r="D213" s="113"/>
      <c r="E213" s="160"/>
      <c r="F213" s="113"/>
      <c r="G213" s="113"/>
      <c r="H213" s="162"/>
      <c r="I213" s="149"/>
      <c r="J213" s="254"/>
      <c r="K213" s="18"/>
    </row>
    <row r="214" spans="1:13">
      <c r="A214" s="20" t="s">
        <v>194</v>
      </c>
      <c r="B214" s="180">
        <f>SUM(B209:B212)</f>
        <v>36047.149906124709</v>
      </c>
      <c r="C214" s="230">
        <f>SUM(C209:C212)</f>
        <v>25211.066153522395</v>
      </c>
      <c r="D214" s="230">
        <f>SUM(D209:D212)</f>
        <v>41148.777006169068</v>
      </c>
      <c r="E214" s="175">
        <f>+Vannes!E215+Rennes!E215+Mans!E215</f>
        <v>83314.980769491915</v>
      </c>
      <c r="F214" s="206">
        <f>+Vannes!F215+Rennes!F215+Mans!F215</f>
        <v>86564.414802034094</v>
      </c>
      <c r="G214" s="206">
        <f>+Vannes!G215+Rennes!G215+Mans!G215</f>
        <v>102406.99306581618</v>
      </c>
      <c r="H214" s="176">
        <f>SUM(B214:D214)</f>
        <v>102406.99306581618</v>
      </c>
      <c r="I214" s="285">
        <f>+IF((E214)=0,,(F214-E214)/E214)</f>
        <v>3.9001797786311798E-2</v>
      </c>
      <c r="J214" s="194">
        <f>+IF((F214)=0,,(H214-F214)/F214)</f>
        <v>0.18301490629853842</v>
      </c>
      <c r="K214" s="316">
        <f>SUM(K209:K212)</f>
        <v>102406.99306581618</v>
      </c>
    </row>
    <row r="215" spans="1:13">
      <c r="A215" s="5"/>
      <c r="B215" s="160"/>
      <c r="C215" s="113"/>
      <c r="D215" s="113"/>
      <c r="E215" s="160"/>
      <c r="F215" s="113"/>
      <c r="G215" s="113"/>
      <c r="H215" s="162"/>
      <c r="I215" s="149"/>
      <c r="J215" s="254"/>
      <c r="K215" s="18"/>
    </row>
    <row r="216" spans="1:13">
      <c r="A216" s="12" t="s">
        <v>332</v>
      </c>
      <c r="B216" s="177">
        <f>+B208-B214</f>
        <v>43786.460633690418</v>
      </c>
      <c r="C216" s="228">
        <f>+C208-C214</f>
        <v>-3875.2089942887069</v>
      </c>
      <c r="D216" s="228">
        <f>+D208-D214</f>
        <v>33192.118298624104</v>
      </c>
      <c r="E216" s="169">
        <f>+Vannes!E217+Rennes!E217+Mans!E217</f>
        <v>79872.320121133307</v>
      </c>
      <c r="F216" s="223">
        <f>+Vannes!F217+Rennes!F217+Mans!F217</f>
        <v>-1821.1829251738418</v>
      </c>
      <c r="G216" s="223">
        <f>+Vannes!G217+Rennes!G217+Mans!G217</f>
        <v>73103.369938025819</v>
      </c>
      <c r="H216" s="170">
        <f>SUM(B216:D216)</f>
        <v>73103.369938025819</v>
      </c>
      <c r="I216" s="226">
        <f>+IF((E216)=0,,(F216-E216)/E216)</f>
        <v>-1.0228011772089738</v>
      </c>
      <c r="J216" s="283">
        <f>+IF((F216)=0,,(H216-F216)/F216)</f>
        <v>-41.140597041369524</v>
      </c>
      <c r="K216" s="314">
        <f>+K208-K214</f>
        <v>73103.369938025804</v>
      </c>
    </row>
    <row r="217" spans="1:13">
      <c r="A217" s="88" t="s">
        <v>44</v>
      </c>
      <c r="B217" s="160">
        <f>+Vannes!$G217</f>
        <v>43786.460633690418</v>
      </c>
      <c r="C217" s="113">
        <f>+Rennes!$G217</f>
        <v>-3875.2089942887069</v>
      </c>
      <c r="D217" s="113">
        <f>+Mans!$G217</f>
        <v>33192.118298624104</v>
      </c>
      <c r="E217" s="160">
        <f>+Vannes!E218+Rennes!E218+Mans!E218</f>
        <v>79872.320121133307</v>
      </c>
      <c r="F217" s="249">
        <f>+F62-F202-F206-F214</f>
        <v>-1821.1829251738527</v>
      </c>
      <c r="G217" s="113">
        <f>+Vannes!G218+Rennes!G218+Mans!G218</f>
        <v>0</v>
      </c>
      <c r="H217" s="250">
        <f>SUM(B217:D217)</f>
        <v>73103.369938025819</v>
      </c>
      <c r="K217" s="18">
        <f>+Vannes!G218+Rennes!G218+Mans!G218</f>
        <v>0</v>
      </c>
    </row>
    <row r="218" spans="1:13">
      <c r="A218" s="87"/>
      <c r="B218" s="110"/>
      <c r="C218" s="110"/>
      <c r="D218" s="110"/>
      <c r="E218" s="110"/>
      <c r="F218" s="110"/>
      <c r="G218" s="110"/>
      <c r="H218" s="110"/>
      <c r="K218" s="113"/>
    </row>
    <row r="219" spans="1:13" s="2" customFormat="1" ht="11.25">
      <c r="B219" s="17"/>
      <c r="C219" s="17"/>
      <c r="D219" s="17"/>
      <c r="E219" s="17"/>
      <c r="F219" s="17"/>
      <c r="G219" s="17"/>
      <c r="H219" s="17"/>
      <c r="I219" s="66"/>
      <c r="J219" s="66"/>
      <c r="K219" s="113"/>
    </row>
    <row r="220" spans="1:13" s="2" customFormat="1" ht="11.25">
      <c r="B220" s="17"/>
      <c r="C220" s="17"/>
      <c r="D220" s="17"/>
      <c r="E220" s="17"/>
      <c r="F220" s="17"/>
      <c r="G220" s="17"/>
      <c r="H220" s="17"/>
      <c r="I220" s="66"/>
      <c r="J220" s="66"/>
      <c r="K220" s="17"/>
    </row>
    <row r="221" spans="1:13" s="2" customFormat="1" ht="11.25">
      <c r="B221" s="17"/>
      <c r="C221" s="17"/>
      <c r="D221" s="17"/>
      <c r="E221" s="17"/>
      <c r="F221" s="17"/>
      <c r="G221" s="17"/>
      <c r="H221" s="17"/>
      <c r="K221" s="17"/>
    </row>
    <row r="222" spans="1:13" s="2" customFormat="1" ht="11.25">
      <c r="A222" s="264" t="s">
        <v>67</v>
      </c>
      <c r="B222" s="265">
        <f>+(B214+B206+B202)/B60/Clients!$I$13*12</f>
        <v>1051369.1388631393</v>
      </c>
      <c r="C222" s="265">
        <f>+(C214+C206+C202)/C60/Clients!$I$13*12</f>
        <v>678583.00525360845</v>
      </c>
      <c r="D222" s="265">
        <f>+(D214+D206+D202)/D60/Clients!$I$13*12</f>
        <v>1096361.5292107172</v>
      </c>
      <c r="E222" s="265">
        <f>+(E214+E206+E202)/E60</f>
        <v>2139208.5712324129</v>
      </c>
      <c r="F222" s="265">
        <f>+(F214+F206+F202)/F60</f>
        <v>2060487.5332772615</v>
      </c>
      <c r="G222" s="265">
        <f>+(G214+G206+G202)/G60</f>
        <v>2118538.8098886502</v>
      </c>
      <c r="H222" s="265">
        <f>+(H214+H206+H202)/H60/Clients!$I$13*12</f>
        <v>2824718.4131848668</v>
      </c>
      <c r="I222" s="265"/>
      <c r="J222" s="265"/>
      <c r="K222" s="265">
        <f>+(K214+K206+K202)/K60/Clients!$I$13*12</f>
        <v>2824718.4131848668</v>
      </c>
      <c r="L222" s="264"/>
      <c r="M222" s="264"/>
    </row>
    <row r="223" spans="1:13" s="2" customFormat="1" ht="11.25">
      <c r="A223" s="264" t="s">
        <v>66</v>
      </c>
      <c r="B223" s="265">
        <f t="shared" ref="B223:H223" si="30">+B222/12</f>
        <v>87614.094905261605</v>
      </c>
      <c r="C223" s="265">
        <f t="shared" si="30"/>
        <v>56548.583771134035</v>
      </c>
      <c r="D223" s="265">
        <f t="shared" si="30"/>
        <v>91363.460767559765</v>
      </c>
      <c r="E223" s="265">
        <f t="shared" si="30"/>
        <v>178267.3809360344</v>
      </c>
      <c r="F223" s="265">
        <f t="shared" si="30"/>
        <v>171707.29443977179</v>
      </c>
      <c r="G223" s="265">
        <f t="shared" si="30"/>
        <v>176544.90082405417</v>
      </c>
      <c r="H223" s="265">
        <f t="shared" si="30"/>
        <v>235393.20109873891</v>
      </c>
      <c r="I223" s="265"/>
      <c r="J223" s="265"/>
      <c r="K223" s="265">
        <f>+K222/12</f>
        <v>235393.20109873891</v>
      </c>
      <c r="L223" s="264"/>
      <c r="M223" s="264"/>
    </row>
    <row r="224" spans="1:13">
      <c r="K224" s="17"/>
    </row>
    <row r="225" spans="1:11">
      <c r="K225" s="17"/>
    </row>
    <row r="226" spans="1:11">
      <c r="K226" s="17"/>
    </row>
    <row r="227" spans="1:11" s="2" customFormat="1" ht="12.75" customHeight="1">
      <c r="A227" s="6"/>
      <c r="B227" s="155"/>
      <c r="C227" s="211"/>
      <c r="D227" s="211"/>
      <c r="E227" s="267" t="s">
        <v>55</v>
      </c>
      <c r="F227" s="130" t="s">
        <v>364</v>
      </c>
      <c r="G227" s="130" t="s">
        <v>543</v>
      </c>
      <c r="H227" s="104" t="s">
        <v>196</v>
      </c>
      <c r="I227" s="151" t="s">
        <v>225</v>
      </c>
      <c r="J227" s="183" t="s">
        <v>225</v>
      </c>
      <c r="K227" s="8" t="s">
        <v>196</v>
      </c>
    </row>
    <row r="228" spans="1:11" s="2" customFormat="1" ht="20.25" customHeight="1">
      <c r="A228" s="7" t="s">
        <v>541</v>
      </c>
      <c r="B228" s="212" t="s">
        <v>202</v>
      </c>
      <c r="C228" s="331" t="s">
        <v>203</v>
      </c>
      <c r="D228" s="331" t="s">
        <v>542</v>
      </c>
      <c r="E228" s="260" t="s">
        <v>366</v>
      </c>
      <c r="F228" s="131" t="s">
        <v>366</v>
      </c>
      <c r="G228" s="131" t="s">
        <v>432</v>
      </c>
      <c r="H228" s="105" t="s">
        <v>197</v>
      </c>
      <c r="I228" s="152" t="s">
        <v>55</v>
      </c>
      <c r="J228" s="131" t="s">
        <v>432</v>
      </c>
      <c r="K228" s="9" t="s">
        <v>197</v>
      </c>
    </row>
    <row r="229" spans="1:11" s="2" customFormat="1" ht="20.25" customHeight="1">
      <c r="A229" s="7"/>
      <c r="B229" s="212"/>
      <c r="C229" s="331"/>
      <c r="D229" s="331"/>
      <c r="E229" s="157"/>
      <c r="F229" s="157"/>
      <c r="G229" s="157"/>
      <c r="H229" s="157"/>
      <c r="I229" s="152"/>
      <c r="J229" s="132" t="s">
        <v>433</v>
      </c>
      <c r="K229" s="10"/>
    </row>
    <row r="230" spans="1:11" s="2" customFormat="1" ht="18">
      <c r="A230" s="68"/>
      <c r="B230" s="158"/>
      <c r="C230" s="216"/>
      <c r="D230" s="216"/>
      <c r="E230" s="269">
        <v>2009</v>
      </c>
      <c r="F230" s="133">
        <v>2010</v>
      </c>
      <c r="G230" s="133">
        <v>2009</v>
      </c>
      <c r="H230" s="159">
        <v>2011</v>
      </c>
      <c r="I230" s="153" t="s">
        <v>544</v>
      </c>
      <c r="J230" s="185" t="s">
        <v>368</v>
      </c>
      <c r="K230" s="4">
        <v>2010</v>
      </c>
    </row>
    <row r="231" spans="1:11" s="2" customFormat="1" ht="11.25" customHeight="1">
      <c r="B231" s="288"/>
      <c r="C231" s="249"/>
      <c r="D231" s="249"/>
      <c r="E231" s="248"/>
      <c r="F231" s="287"/>
      <c r="G231" s="287"/>
      <c r="H231" s="250"/>
      <c r="I231" s="288"/>
      <c r="J231" s="289"/>
      <c r="K231" s="332"/>
    </row>
    <row r="232" spans="1:11" s="33" customFormat="1" ht="15" customHeight="1">
      <c r="A232" s="245" t="s">
        <v>223</v>
      </c>
      <c r="B232" s="175">
        <f>+B51</f>
        <v>885830.1</v>
      </c>
      <c r="C232" s="206">
        <f>+C51</f>
        <v>499925.14</v>
      </c>
      <c r="D232" s="206">
        <f>+D51</f>
        <v>901300</v>
      </c>
      <c r="E232" s="175">
        <f>+E51</f>
        <v>2295856.52</v>
      </c>
      <c r="F232" s="206">
        <f>+F51</f>
        <v>2056223.87</v>
      </c>
      <c r="G232" s="206">
        <f>+H51</f>
        <v>2287055.2400000002</v>
      </c>
      <c r="H232" s="176">
        <f>+H51</f>
        <v>2287055.2400000002</v>
      </c>
      <c r="I232" s="208">
        <f>+I51</f>
        <v>0</v>
      </c>
      <c r="J232" s="192">
        <f>+J51</f>
        <v>0</v>
      </c>
      <c r="K232" s="176">
        <f>+K51</f>
        <v>2287055.2400000002</v>
      </c>
    </row>
    <row r="233" spans="1:11" s="2" customFormat="1" ht="11.25" customHeight="1">
      <c r="B233" s="160"/>
      <c r="C233" s="113"/>
      <c r="D233" s="113"/>
      <c r="E233" s="160"/>
      <c r="F233" s="113"/>
      <c r="G233" s="113"/>
      <c r="H233" s="162"/>
      <c r="I233" s="92"/>
      <c r="J233" s="186"/>
      <c r="K233" s="162"/>
    </row>
    <row r="234" spans="1:11" s="33" customFormat="1" ht="15" customHeight="1">
      <c r="A234" s="246" t="s">
        <v>295</v>
      </c>
      <c r="B234" s="197">
        <f>+B60</f>
        <v>0.45</v>
      </c>
      <c r="C234" s="224">
        <f>+C60</f>
        <v>0.43</v>
      </c>
      <c r="D234" s="224">
        <f>+D60</f>
        <v>0.42</v>
      </c>
      <c r="E234" s="197">
        <f>+E60</f>
        <v>0.40923767291868912</v>
      </c>
      <c r="F234" s="224">
        <f>+F60</f>
        <v>0.42714042051267498</v>
      </c>
      <c r="G234" s="224">
        <f>+H60</f>
        <v>0.43380559325711776</v>
      </c>
      <c r="H234" s="191">
        <f>+H60</f>
        <v>0.43380559325711776</v>
      </c>
      <c r="I234" s="197"/>
      <c r="J234" s="191"/>
      <c r="K234" s="191"/>
    </row>
    <row r="235" spans="1:11" s="33" customFormat="1" ht="15" customHeight="1">
      <c r="A235" s="246" t="s">
        <v>296</v>
      </c>
      <c r="B235" s="169">
        <f>+B62</f>
        <v>398623.54499999998</v>
      </c>
      <c r="C235" s="223">
        <f>+C62</f>
        <v>214967.81020000001</v>
      </c>
      <c r="D235" s="223">
        <f>+D62</f>
        <v>378546</v>
      </c>
      <c r="E235" s="169">
        <f>+E62</f>
        <v>939550.97959999985</v>
      </c>
      <c r="F235" s="223">
        <f>+F62</f>
        <v>878296.32849999995</v>
      </c>
      <c r="G235" s="223">
        <f>+H62</f>
        <v>992137.35519999999</v>
      </c>
      <c r="H235" s="170">
        <f>+H62</f>
        <v>992137.35519999999</v>
      </c>
      <c r="I235" s="290">
        <f>+I62</f>
        <v>-6.5195665195387456E-2</v>
      </c>
      <c r="J235" s="291">
        <f>+J62</f>
        <v>0.12961573788475658</v>
      </c>
      <c r="K235" s="170">
        <f>+K62</f>
        <v>992137.35519999999</v>
      </c>
    </row>
    <row r="236" spans="1:11" s="25" customFormat="1" ht="11.25" customHeight="1">
      <c r="B236" s="160"/>
      <c r="C236" s="113"/>
      <c r="D236" s="113"/>
      <c r="E236" s="160"/>
      <c r="F236" s="113"/>
      <c r="G236" s="113"/>
      <c r="H236" s="162"/>
      <c r="I236" s="92"/>
      <c r="J236" s="186"/>
      <c r="K236" s="162"/>
    </row>
    <row r="237" spans="1:11" s="298" customFormat="1" ht="15" customHeight="1">
      <c r="A237" s="292" t="s">
        <v>122</v>
      </c>
      <c r="B237" s="293">
        <f>+B103</f>
        <v>94482.103226413019</v>
      </c>
      <c r="C237" s="295">
        <f>+C103</f>
        <v>69062.504316666673</v>
      </c>
      <c r="D237" s="295">
        <f>+D103</f>
        <v>91457.683830173555</v>
      </c>
      <c r="E237" s="293">
        <f>+E103</f>
        <v>255820.13000000006</v>
      </c>
      <c r="F237" s="295">
        <f>+F103</f>
        <v>249433.70333333337</v>
      </c>
      <c r="G237" s="295">
        <f>+H103</f>
        <v>255002.29137325328</v>
      </c>
      <c r="H237" s="294">
        <f>+H103</f>
        <v>255002.29137325328</v>
      </c>
      <c r="I237" s="296">
        <f>+I103</f>
        <v>-2.4964519667262673E-2</v>
      </c>
      <c r="J237" s="297">
        <f>+J103</f>
        <v>2.232492227595349E-2</v>
      </c>
      <c r="K237" s="294">
        <f>+K103</f>
        <v>255002.29137325319</v>
      </c>
    </row>
    <row r="238" spans="1:11" s="298" customFormat="1" ht="15" customHeight="1">
      <c r="A238" s="292" t="s">
        <v>133</v>
      </c>
      <c r="B238" s="293">
        <f>+B116</f>
        <v>37850</v>
      </c>
      <c r="C238" s="295">
        <f>+C116</f>
        <v>17432.9935</v>
      </c>
      <c r="D238" s="295">
        <f>+D116</f>
        <v>16600</v>
      </c>
      <c r="E238" s="293">
        <f>+E116</f>
        <v>67081.37</v>
      </c>
      <c r="F238" s="295">
        <f>+F116</f>
        <v>95249.950000000012</v>
      </c>
      <c r="G238" s="295">
        <f>+H116</f>
        <v>71882.993499999997</v>
      </c>
      <c r="H238" s="294">
        <f>+H116</f>
        <v>71882.993499999997</v>
      </c>
      <c r="I238" s="296">
        <f>+I116</f>
        <v>0.41991658786932973</v>
      </c>
      <c r="J238" s="297">
        <f>+J116</f>
        <v>-0.24532250673097478</v>
      </c>
      <c r="K238" s="294">
        <f>+K116</f>
        <v>71882.993499999997</v>
      </c>
    </row>
    <row r="239" spans="1:11" s="298" customFormat="1" ht="15" customHeight="1">
      <c r="A239" s="292" t="s">
        <v>147</v>
      </c>
      <c r="B239" s="293">
        <f>+B129</f>
        <v>10171.078160000001</v>
      </c>
      <c r="C239" s="295">
        <f>+C129</f>
        <v>12011.646224</v>
      </c>
      <c r="D239" s="295">
        <f>+D129</f>
        <v>8890.0540000000001</v>
      </c>
      <c r="E239" s="293">
        <f>+E129</f>
        <v>31564.080000000002</v>
      </c>
      <c r="F239" s="295">
        <f>+F129</f>
        <v>29871.026666666665</v>
      </c>
      <c r="G239" s="295">
        <f>+H129</f>
        <v>31072.778384000001</v>
      </c>
      <c r="H239" s="294">
        <f>+H129</f>
        <v>31072.778384000001</v>
      </c>
      <c r="I239" s="296">
        <f>+I129</f>
        <v>-5.3638608612490424E-2</v>
      </c>
      <c r="J239" s="297">
        <f>+J129</f>
        <v>4.0231349619943978E-2</v>
      </c>
      <c r="K239" s="294">
        <f>+K129</f>
        <v>31072.778384000001</v>
      </c>
    </row>
    <row r="240" spans="1:11" s="298" customFormat="1" ht="15" customHeight="1">
      <c r="A240" s="292" t="s">
        <v>164</v>
      </c>
      <c r="B240" s="293">
        <f>+B153</f>
        <v>154522.94827986415</v>
      </c>
      <c r="C240" s="295">
        <f>+C153</f>
        <v>82963.775484623795</v>
      </c>
      <c r="D240" s="295">
        <f>+D153</f>
        <v>157115.812190756</v>
      </c>
      <c r="E240" s="293">
        <f>+E153</f>
        <v>399255.74280000001</v>
      </c>
      <c r="F240" s="295">
        <f>+F153</f>
        <v>374610.7466666667</v>
      </c>
      <c r="G240" s="295">
        <f>+H153</f>
        <v>394602.53595524398</v>
      </c>
      <c r="H240" s="294">
        <f>+H153</f>
        <v>394602.53595524398</v>
      </c>
      <c r="I240" s="296">
        <f>+I153</f>
        <v>-6.1727342881774838E-2</v>
      </c>
      <c r="J240" s="297">
        <f>+J153</f>
        <v>5.3366833350262148E-2</v>
      </c>
      <c r="K240" s="294">
        <f>+K153</f>
        <v>394602.53595524403</v>
      </c>
    </row>
    <row r="241" spans="1:11" s="298" customFormat="1" ht="15" customHeight="1">
      <c r="A241" s="292" t="s">
        <v>74</v>
      </c>
      <c r="B241" s="293">
        <f>+B167</f>
        <v>13154.495783333336</v>
      </c>
      <c r="C241" s="295">
        <f>+C167</f>
        <v>8427.4108146666658</v>
      </c>
      <c r="D241" s="295">
        <f>+D167</f>
        <v>13806.397270666668</v>
      </c>
      <c r="E241" s="293">
        <f>+E167</f>
        <v>7571.2799999999988</v>
      </c>
      <c r="F241" s="295">
        <f>+F167</f>
        <v>19043.293333333331</v>
      </c>
      <c r="G241" s="295">
        <f>+H167</f>
        <v>35388.30386866667</v>
      </c>
      <c r="H241" s="294">
        <f>+H167</f>
        <v>35388.30386866667</v>
      </c>
      <c r="I241" s="296">
        <f>+I167</f>
        <v>1.5152013045790584</v>
      </c>
      <c r="J241" s="297">
        <f>+J167</f>
        <v>0.8583079748460879</v>
      </c>
      <c r="K241" s="294">
        <f>+K167</f>
        <v>35388.30386866667</v>
      </c>
    </row>
    <row r="242" spans="1:11" s="298" customFormat="1" ht="15" customHeight="1">
      <c r="A242" s="292" t="s">
        <v>369</v>
      </c>
      <c r="B242" s="293">
        <f>+B184-B200</f>
        <v>5212.0895999999993</v>
      </c>
      <c r="C242" s="295">
        <f>+C184-C200</f>
        <v>1787.6499999999999</v>
      </c>
      <c r="D242" s="295">
        <f>+D184-D200</f>
        <v>12891.38</v>
      </c>
      <c r="E242" s="293">
        <f>+E184-E200</f>
        <v>15050.79</v>
      </c>
      <c r="F242" s="295">
        <f>+F184-F200</f>
        <v>13676.556666666665</v>
      </c>
      <c r="G242" s="295">
        <f>+H184-H200</f>
        <v>19891.119599999998</v>
      </c>
      <c r="H242" s="294">
        <f>+H184-H200</f>
        <v>19891.119599999998</v>
      </c>
      <c r="I242" s="296">
        <f>+I184-I200</f>
        <v>0.23442623392660658</v>
      </c>
      <c r="J242" s="297">
        <f>+J184-J200</f>
        <v>1.1345497790632877</v>
      </c>
      <c r="K242" s="294">
        <f>+K184-K200</f>
        <v>19891.119599999998</v>
      </c>
    </row>
    <row r="243" spans="1:11" s="25" customFormat="1" ht="11.25">
      <c r="B243" s="160"/>
      <c r="C243" s="113"/>
      <c r="D243" s="113"/>
      <c r="E243" s="160"/>
      <c r="F243" s="113"/>
      <c r="G243" s="113"/>
      <c r="H243" s="162"/>
      <c r="I243" s="92"/>
      <c r="J243" s="186"/>
      <c r="K243" s="162"/>
    </row>
    <row r="244" spans="1:11" s="33" customFormat="1" ht="15" customHeight="1">
      <c r="A244" s="245" t="s">
        <v>189</v>
      </c>
      <c r="B244" s="299">
        <f>+B202</f>
        <v>315392.71504961053</v>
      </c>
      <c r="C244" s="301">
        <f>+C202</f>
        <v>191685.98033995711</v>
      </c>
      <c r="D244" s="301">
        <f>+D202</f>
        <v>300761.32729159622</v>
      </c>
      <c r="E244" s="299">
        <f>+E202</f>
        <v>776343.39280000003</v>
      </c>
      <c r="F244" s="301">
        <f>+F202</f>
        <v>781885.27666666661</v>
      </c>
      <c r="G244" s="301">
        <f>+H202</f>
        <v>807840.02268116386</v>
      </c>
      <c r="H244" s="300">
        <f>+H202</f>
        <v>807840.02268116386</v>
      </c>
      <c r="I244" s="302">
        <f>+I202</f>
        <v>7.1384440417260973E-3</v>
      </c>
      <c r="J244" s="303">
        <f>+J202</f>
        <v>3.319508218027524E-2</v>
      </c>
      <c r="K244" s="300">
        <f>+K202</f>
        <v>807840.02268116386</v>
      </c>
    </row>
    <row r="245" spans="1:11" s="2" customFormat="1" ht="11.25">
      <c r="B245" s="160"/>
      <c r="C245" s="113"/>
      <c r="D245" s="113"/>
      <c r="E245" s="160"/>
      <c r="F245" s="113"/>
      <c r="G245" s="113"/>
      <c r="H245" s="162"/>
      <c r="I245" s="92"/>
      <c r="J245" s="186"/>
      <c r="K245" s="162"/>
    </row>
    <row r="246" spans="1:11" s="33" customFormat="1" ht="15" customHeight="1">
      <c r="A246" s="246" t="s">
        <v>228</v>
      </c>
      <c r="B246" s="177">
        <f>+B204</f>
        <v>83230.829950389452</v>
      </c>
      <c r="C246" s="228">
        <f>+C204</f>
        <v>23281.829860042897</v>
      </c>
      <c r="D246" s="228">
        <f>+D204</f>
        <v>77784.672708403785</v>
      </c>
      <c r="E246" s="177">
        <f>+E204</f>
        <v>178973.66489999977</v>
      </c>
      <c r="F246" s="228">
        <f>+F204</f>
        <v>96411.051833333331</v>
      </c>
      <c r="G246" s="228">
        <f>+H204</f>
        <v>184297.33251883613</v>
      </c>
      <c r="H246" s="178">
        <f>+H204</f>
        <v>184297.33251883613</v>
      </c>
      <c r="I246" s="225">
        <f>+I204</f>
        <v>-0.46131151816552285</v>
      </c>
      <c r="J246" s="193">
        <f>+J204</f>
        <v>0.91157890111428952</v>
      </c>
      <c r="K246" s="178">
        <f>+K204</f>
        <v>184297.33251883613</v>
      </c>
    </row>
    <row r="247" spans="1:11" s="2" customFormat="1" ht="11.25">
      <c r="B247" s="160"/>
      <c r="C247" s="113"/>
      <c r="D247" s="113"/>
      <c r="E247" s="160"/>
      <c r="F247" s="113"/>
      <c r="G247" s="113"/>
      <c r="H247" s="162"/>
      <c r="I247" s="92"/>
      <c r="J247" s="186"/>
      <c r="K247" s="162"/>
    </row>
    <row r="248" spans="1:11" s="33" customFormat="1" ht="15" customHeight="1">
      <c r="A248" s="247" t="s">
        <v>370</v>
      </c>
      <c r="B248" s="180">
        <f>+B206+B214</f>
        <v>39444.369316699042</v>
      </c>
      <c r="C248" s="230">
        <f>+C206+C214</f>
        <v>27157.0388543316</v>
      </c>
      <c r="D248" s="230">
        <f>+D206+D214</f>
        <v>44592.554409779681</v>
      </c>
      <c r="E248" s="180">
        <f>+E206+E214</f>
        <v>99101.344778866449</v>
      </c>
      <c r="F248" s="230">
        <f>+F206+F214</f>
        <v>98232.234758507184</v>
      </c>
      <c r="G248" s="230">
        <f>+H206+H214</f>
        <v>111193.96258081033</v>
      </c>
      <c r="H248" s="181">
        <f>+H206+H214</f>
        <v>111193.96258081033</v>
      </c>
      <c r="I248" s="304">
        <f>+I206+I214</f>
        <v>-0.22189070731845462</v>
      </c>
      <c r="J248" s="195">
        <f>+J206+J214</f>
        <v>-6.3890724078514066E-2</v>
      </c>
      <c r="K248" s="181">
        <f>+K206+K214</f>
        <v>111193.96258081033</v>
      </c>
    </row>
    <row r="249" spans="1:11" s="2" customFormat="1" ht="11.25">
      <c r="B249" s="160"/>
      <c r="C249" s="113"/>
      <c r="D249" s="113"/>
      <c r="E249" s="160"/>
      <c r="F249" s="113"/>
      <c r="G249" s="113"/>
      <c r="H249" s="162"/>
      <c r="I249" s="92"/>
      <c r="J249" s="186"/>
      <c r="K249" s="162"/>
    </row>
    <row r="250" spans="1:11" s="33" customFormat="1" ht="20.100000000000001" customHeight="1">
      <c r="A250" s="246" t="s">
        <v>86</v>
      </c>
      <c r="B250" s="177">
        <f>+B216</f>
        <v>43786.460633690418</v>
      </c>
      <c r="C250" s="228">
        <f>+C216</f>
        <v>-3875.2089942887069</v>
      </c>
      <c r="D250" s="228">
        <f>+D216</f>
        <v>33192.118298624104</v>
      </c>
      <c r="E250" s="177">
        <f>+E216</f>
        <v>79872.320121133307</v>
      </c>
      <c r="F250" s="228">
        <f>+F216</f>
        <v>-1821.1829251738418</v>
      </c>
      <c r="G250" s="228">
        <f>+H216</f>
        <v>73103.369938025819</v>
      </c>
      <c r="H250" s="178">
        <f>+H216</f>
        <v>73103.369938025819</v>
      </c>
      <c r="I250" s="225">
        <f>+I216</f>
        <v>-1.0228011772089738</v>
      </c>
      <c r="J250" s="193">
        <f>+J216</f>
        <v>-41.140597041369524</v>
      </c>
      <c r="K250" s="178">
        <f>+K216</f>
        <v>73103.369938025804</v>
      </c>
    </row>
    <row r="251" spans="1:11" s="2" customFormat="1" ht="11.25">
      <c r="B251" s="17"/>
      <c r="C251" s="113"/>
      <c r="D251" s="113"/>
      <c r="F251" s="58"/>
      <c r="G251" s="58"/>
      <c r="I251" s="66"/>
      <c r="J251" s="66"/>
      <c r="K251" s="182"/>
    </row>
    <row r="252" spans="1:11" s="298" customFormat="1" ht="15" customHeight="1">
      <c r="A252" s="292" t="s">
        <v>95</v>
      </c>
      <c r="B252" s="293">
        <f>+Vannes!G253</f>
        <v>255000</v>
      </c>
      <c r="C252" s="295">
        <f>+Rennes!C253</f>
        <v>110595.53</v>
      </c>
      <c r="D252" s="295">
        <f>+Mans!C253</f>
        <v>125291.01</v>
      </c>
      <c r="E252" s="293">
        <f>+E28</f>
        <v>508353.77</v>
      </c>
      <c r="F252" s="295">
        <f>+F28</f>
        <v>0</v>
      </c>
      <c r="G252" s="295">
        <f>+G28</f>
        <v>530000</v>
      </c>
      <c r="H252" s="293">
        <f>+H28</f>
        <v>530000</v>
      </c>
      <c r="I252" s="296"/>
      <c r="J252" s="297"/>
      <c r="K252" s="294"/>
    </row>
    <row r="253" spans="1:11" s="298" customFormat="1" ht="15" customHeight="1">
      <c r="A253" s="292" t="s">
        <v>371</v>
      </c>
      <c r="B253" s="293">
        <f>+Vannes!G254</f>
        <v>788526.85414735461</v>
      </c>
      <c r="C253" s="295">
        <f>+Rennes!C254</f>
        <v>491246.30736453325</v>
      </c>
      <c r="D253" s="295">
        <f>+Mans!C254</f>
        <v>869084.99640182534</v>
      </c>
      <c r="E253" s="293">
        <f>+E222</f>
        <v>2139208.5712324129</v>
      </c>
      <c r="F253" s="295">
        <f>+F222</f>
        <v>2060487.5332772615</v>
      </c>
      <c r="G253" s="295">
        <f>+G222</f>
        <v>2118538.8098886502</v>
      </c>
      <c r="H253" s="293">
        <f>+H222</f>
        <v>2824718.4131848668</v>
      </c>
      <c r="I253" s="296"/>
      <c r="J253" s="297"/>
      <c r="K253" s="294">
        <f>+K222</f>
        <v>2824718.4131848668</v>
      </c>
    </row>
    <row r="254" spans="1:11" s="298" customFormat="1" ht="15" customHeight="1">
      <c r="A254" s="292" t="s">
        <v>372</v>
      </c>
      <c r="B254" s="293">
        <f>+Vannes!G255</f>
        <v>0</v>
      </c>
      <c r="C254" s="295">
        <f>+Rennes!C255</f>
        <v>0</v>
      </c>
      <c r="D254" s="295">
        <f>+Mans!C255</f>
        <v>0</v>
      </c>
      <c r="E254" s="293"/>
      <c r="F254" s="333"/>
      <c r="G254" s="333">
        <f>+Angers!C254+Cham!C254+Thouars!C254</f>
        <v>2599987.1949516642</v>
      </c>
      <c r="H254" s="294">
        <f>SUM(B254:D254)</f>
        <v>0</v>
      </c>
      <c r="I254" s="296"/>
      <c r="J254" s="297"/>
      <c r="K254" s="334"/>
    </row>
    <row r="255" spans="1:11" s="2" customFormat="1" ht="11.25">
      <c r="B255" s="24"/>
      <c r="C255" s="113"/>
      <c r="D255" s="113"/>
      <c r="G255" s="58"/>
      <c r="H255" s="58"/>
      <c r="J255" s="66"/>
      <c r="K255" s="66"/>
    </row>
  </sheetData>
  <phoneticPr fontId="0" type="noConversion"/>
  <pageMargins left="0.70866141732283472" right="0.70866141732283472" top="0.74803149606299213" bottom="0.74803149606299213" header="0.31496062992125984" footer="0.31496062992125984"/>
  <pageSetup paperSize="9" scale="73" orientation="landscape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  <pageSetUpPr fitToPage="1"/>
  </sheetPr>
  <dimension ref="A1:N255"/>
  <sheetViews>
    <sheetView workbookViewId="0">
      <pane xSplit="1" ySplit="6" topLeftCell="B235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72.85546875" bestFit="1" customWidth="1"/>
    <col min="2" max="2" width="12.28515625" style="26" customWidth="1"/>
    <col min="3" max="4" width="14.28515625" style="26" customWidth="1"/>
    <col min="5" max="5" width="14.7109375" style="26" bestFit="1" customWidth="1"/>
    <col min="6" max="6" width="12.28515625" style="26" customWidth="1"/>
    <col min="7" max="7" width="12.28515625" style="26" bestFit="1" customWidth="1"/>
    <col min="8" max="8" width="14.28515625" style="26" hidden="1" customWidth="1"/>
    <col min="9" max="9" width="12.28515625" style="26" customWidth="1"/>
    <col min="10" max="10" width="9.7109375" style="66" customWidth="1"/>
    <col min="11" max="11" width="9.140625" style="66" bestFit="1" customWidth="1"/>
    <col min="12" max="12" width="12.7109375" style="28" customWidth="1"/>
    <col min="13" max="13" width="14.7109375" bestFit="1" customWidth="1"/>
  </cols>
  <sheetData>
    <row r="1" spans="1:12">
      <c r="A1" s="1" t="s">
        <v>515</v>
      </c>
      <c r="F1" s="45" t="s">
        <v>299</v>
      </c>
      <c r="L1" s="45"/>
    </row>
    <row r="2" spans="1:12">
      <c r="E2" s="86"/>
    </row>
    <row r="3" spans="1:12" s="2" customFormat="1" ht="12.75" customHeight="1">
      <c r="A3" s="6"/>
      <c r="B3" s="155"/>
      <c r="C3" s="211"/>
      <c r="D3" s="211"/>
      <c r="E3" s="211"/>
      <c r="F3" s="267" t="s">
        <v>55</v>
      </c>
      <c r="G3" s="130" t="s">
        <v>364</v>
      </c>
      <c r="H3" s="130" t="s">
        <v>543</v>
      </c>
      <c r="I3" s="104" t="s">
        <v>196</v>
      </c>
      <c r="J3" s="151" t="s">
        <v>225</v>
      </c>
      <c r="K3" s="183" t="s">
        <v>225</v>
      </c>
      <c r="L3" s="8" t="s">
        <v>196</v>
      </c>
    </row>
    <row r="4" spans="1:12" s="2" customFormat="1" ht="20.25" customHeight="1">
      <c r="A4" s="7" t="s">
        <v>431</v>
      </c>
      <c r="B4" s="212" t="s">
        <v>205</v>
      </c>
      <c r="C4" s="331" t="s">
        <v>418</v>
      </c>
      <c r="D4" s="331" t="s">
        <v>51</v>
      </c>
      <c r="E4" s="213" t="s">
        <v>206</v>
      </c>
      <c r="F4" s="260" t="s">
        <v>366</v>
      </c>
      <c r="G4" s="131" t="s">
        <v>366</v>
      </c>
      <c r="H4" s="131" t="s">
        <v>432</v>
      </c>
      <c r="I4" s="105" t="s">
        <v>197</v>
      </c>
      <c r="J4" s="152" t="s">
        <v>55</v>
      </c>
      <c r="K4" s="131" t="s">
        <v>432</v>
      </c>
      <c r="L4" s="9" t="s">
        <v>197</v>
      </c>
    </row>
    <row r="5" spans="1:12" s="2" customFormat="1" ht="20.25" customHeight="1">
      <c r="A5" s="7"/>
      <c r="B5" s="212"/>
      <c r="C5" s="331"/>
      <c r="D5" s="331"/>
      <c r="E5" s="213"/>
      <c r="F5" s="157">
        <f>F216</f>
        <v>-27948.783581974727</v>
      </c>
      <c r="G5" s="157">
        <f>G216</f>
        <v>61523.187538421771</v>
      </c>
      <c r="H5" s="157">
        <f>H216</f>
        <v>38607.524768458621</v>
      </c>
      <c r="I5" s="157">
        <f>I216</f>
        <v>58389.608210649196</v>
      </c>
      <c r="J5" s="152"/>
      <c r="K5" s="132" t="s">
        <v>433</v>
      </c>
      <c r="L5" s="10"/>
    </row>
    <row r="6" spans="1:12" s="2" customFormat="1" ht="18">
      <c r="A6" s="68"/>
      <c r="B6" s="158"/>
      <c r="C6" s="216"/>
      <c r="D6" s="216"/>
      <c r="E6" s="216"/>
      <c r="F6" s="269">
        <v>2009</v>
      </c>
      <c r="G6" s="133">
        <v>2010</v>
      </c>
      <c r="H6" s="133">
        <v>2009</v>
      </c>
      <c r="I6" s="159">
        <v>2011</v>
      </c>
      <c r="J6" s="153" t="s">
        <v>544</v>
      </c>
      <c r="K6" s="185" t="s">
        <v>368</v>
      </c>
      <c r="L6" s="4">
        <v>2010</v>
      </c>
    </row>
    <row r="7" spans="1:12" s="2" customFormat="1" ht="18">
      <c r="A7" s="67"/>
      <c r="B7" s="160"/>
      <c r="C7" s="113"/>
      <c r="D7" s="113"/>
      <c r="E7" s="113"/>
      <c r="F7" s="160"/>
      <c r="G7" s="25"/>
      <c r="H7" s="25"/>
      <c r="I7" s="154"/>
      <c r="J7" s="149"/>
      <c r="K7" s="186"/>
      <c r="L7" s="5"/>
    </row>
    <row r="8" spans="1:12" s="2" customFormat="1" ht="11.25">
      <c r="A8" s="5" t="s">
        <v>221</v>
      </c>
      <c r="B8" s="160">
        <f>+Angers!G8</f>
        <v>1268860</v>
      </c>
      <c r="C8" s="113">
        <f>+Saumur!$G8</f>
        <v>284396</v>
      </c>
      <c r="D8" s="113">
        <f>+Cham!$G8</f>
        <v>815020</v>
      </c>
      <c r="E8" s="113">
        <f>+Thouars!$G8</f>
        <v>891400</v>
      </c>
      <c r="F8" s="160">
        <f>+Angers!E8+Thouars!E8+Saumur!E8+Cham!E8</f>
        <v>2410282.2999999998</v>
      </c>
      <c r="G8" s="317">
        <f>+Angers!F8+Thouars!F8+Saumur!F8+Cham!F8</f>
        <v>3114000</v>
      </c>
      <c r="H8" s="161">
        <f t="shared" ref="H8:H19" si="0">SUM(A8:D8)</f>
        <v>2368276</v>
      </c>
      <c r="I8" s="161">
        <f t="shared" ref="I8:I19" si="1">SUM(B8:E8)</f>
        <v>3259676</v>
      </c>
      <c r="J8" s="149">
        <f>+IF((F8)=0,,(G8-F8)/F8)</f>
        <v>0.29196484577760878</v>
      </c>
      <c r="K8" s="271">
        <f>+IF((G8)=0,,(I8-G8)/G8)</f>
        <v>4.6780989081567116E-2</v>
      </c>
      <c r="L8" s="162">
        <f>+Angers!D8+Thouars!D8+Saumur!D8+Cham!D8</f>
        <v>3425000</v>
      </c>
    </row>
    <row r="9" spans="1:12" s="2" customFormat="1" ht="11.25">
      <c r="A9" s="5" t="s">
        <v>422</v>
      </c>
      <c r="B9" s="160">
        <f>+Angers!G9</f>
        <v>0</v>
      </c>
      <c r="C9" s="113">
        <f>+Saumur!$G9</f>
        <v>0</v>
      </c>
      <c r="D9" s="113">
        <f>+Cham!$G9</f>
        <v>0</v>
      </c>
      <c r="E9" s="113">
        <f>+Thouars!$G9</f>
        <v>0</v>
      </c>
      <c r="F9" s="160">
        <f>+Angers!E9+Thouars!E9+Saumur!E9+Cham!E9</f>
        <v>658359.16</v>
      </c>
      <c r="G9" s="317">
        <f>+Angers!F9+Thouars!F9+Saumur!F9+Cham!F9</f>
        <v>0</v>
      </c>
      <c r="H9" s="161">
        <f t="shared" si="0"/>
        <v>0</v>
      </c>
      <c r="I9" s="161">
        <f t="shared" si="1"/>
        <v>0</v>
      </c>
      <c r="J9" s="149">
        <f t="shared" ref="J9:J19" si="2">+IF((F9)=0,,(G9-F9)/F9)</f>
        <v>-1</v>
      </c>
      <c r="K9" s="271">
        <f t="shared" ref="K9:K19" si="3">+IF((G9)=0,,(I9-G9)/G9)</f>
        <v>0</v>
      </c>
      <c r="L9" s="162"/>
    </row>
    <row r="10" spans="1:12" s="2" customFormat="1" ht="11.25">
      <c r="A10" s="5" t="s">
        <v>84</v>
      </c>
      <c r="B10" s="160">
        <f>+Angers!G10</f>
        <v>0</v>
      </c>
      <c r="C10" s="113">
        <f>+Saumur!$G10</f>
        <v>0</v>
      </c>
      <c r="D10" s="113">
        <f>+Cham!$G10</f>
        <v>0</v>
      </c>
      <c r="E10" s="113">
        <f>+Thouars!$G10</f>
        <v>0</v>
      </c>
      <c r="F10" s="160">
        <f>+Angers!E10+Thouars!E10+Saumur!E10+Cham!E10</f>
        <v>0</v>
      </c>
      <c r="G10" s="317">
        <f>+Angers!F10+Thouars!F10+Saumur!F10+Cham!F10</f>
        <v>0</v>
      </c>
      <c r="H10" s="161">
        <f t="shared" si="0"/>
        <v>0</v>
      </c>
      <c r="I10" s="161">
        <f t="shared" si="1"/>
        <v>0</v>
      </c>
      <c r="J10" s="149">
        <f t="shared" si="2"/>
        <v>0</v>
      </c>
      <c r="K10" s="271">
        <f t="shared" si="3"/>
        <v>0</v>
      </c>
      <c r="L10" s="162">
        <f>+Angers!D10+Thouars!D10+Saumur!D10+Cham!D10</f>
        <v>0</v>
      </c>
    </row>
    <row r="11" spans="1:12" s="2" customFormat="1" ht="11.25">
      <c r="A11" s="5" t="s">
        <v>267</v>
      </c>
      <c r="B11" s="160">
        <f>+Angers!G11</f>
        <v>0</v>
      </c>
      <c r="C11" s="113">
        <f>+Saumur!$G11</f>
        <v>0</v>
      </c>
      <c r="D11" s="113">
        <f>+Cham!$G11</f>
        <v>0</v>
      </c>
      <c r="E11" s="113">
        <f>+Thouars!$G11</f>
        <v>0</v>
      </c>
      <c r="F11" s="160">
        <f>+Angers!E11+Thouars!E11+Saumur!E11+Cham!E11</f>
        <v>1254</v>
      </c>
      <c r="G11" s="317">
        <f>+Angers!F11+Thouars!F11+Saumur!F11+Cham!F11</f>
        <v>842.5</v>
      </c>
      <c r="H11" s="161">
        <f t="shared" si="0"/>
        <v>0</v>
      </c>
      <c r="I11" s="161">
        <f t="shared" si="1"/>
        <v>0</v>
      </c>
      <c r="J11" s="149">
        <f t="shared" si="2"/>
        <v>-0.32814992025518341</v>
      </c>
      <c r="K11" s="271">
        <f t="shared" si="3"/>
        <v>-1</v>
      </c>
      <c r="L11" s="162">
        <f>+Angers!D11+Thouars!D11+Saumur!D11+Cham!D11</f>
        <v>0</v>
      </c>
    </row>
    <row r="12" spans="1:12" s="2" customFormat="1" ht="11.25">
      <c r="A12" s="5" t="s">
        <v>46</v>
      </c>
      <c r="B12" s="160">
        <f>+Angers!G12</f>
        <v>0</v>
      </c>
      <c r="C12" s="113">
        <f>+Saumur!$G12</f>
        <v>0</v>
      </c>
      <c r="D12" s="113">
        <f>+Cham!$G12</f>
        <v>0</v>
      </c>
      <c r="E12" s="113">
        <f>+Thouars!$G12</f>
        <v>0</v>
      </c>
      <c r="F12" s="160">
        <f>+Angers!E12+Thouars!E12+Saumur!E12+Cham!E12</f>
        <v>0</v>
      </c>
      <c r="G12" s="317">
        <f>+Angers!F12+Thouars!F12+Saumur!F12+Cham!F12</f>
        <v>0</v>
      </c>
      <c r="H12" s="161">
        <f t="shared" si="0"/>
        <v>0</v>
      </c>
      <c r="I12" s="161">
        <f t="shared" si="1"/>
        <v>0</v>
      </c>
      <c r="J12" s="149">
        <f t="shared" si="2"/>
        <v>0</v>
      </c>
      <c r="K12" s="271">
        <f t="shared" si="3"/>
        <v>0</v>
      </c>
      <c r="L12" s="162">
        <f>+Angers!D12+Thouars!D12+Saumur!D12+Cham!D12</f>
        <v>0</v>
      </c>
    </row>
    <row r="13" spans="1:12" s="2" customFormat="1" ht="11.25">
      <c r="A13" s="5" t="s">
        <v>268</v>
      </c>
      <c r="B13" s="160">
        <f>+Angers!G13</f>
        <v>0</v>
      </c>
      <c r="C13" s="113">
        <f>+Saumur!$G13</f>
        <v>0</v>
      </c>
      <c r="D13" s="113">
        <f>+Cham!$G13</f>
        <v>0</v>
      </c>
      <c r="E13" s="113">
        <f>+Thouars!$G13</f>
        <v>0</v>
      </c>
      <c r="F13" s="160">
        <f>+Angers!E13+Thouars!E13+Saumur!E13+Cham!E13</f>
        <v>0</v>
      </c>
      <c r="G13" s="317">
        <f>+Angers!F13+Thouars!F13+Saumur!F13+Cham!F13</f>
        <v>0</v>
      </c>
      <c r="H13" s="161">
        <f t="shared" si="0"/>
        <v>0</v>
      </c>
      <c r="I13" s="161">
        <f t="shared" si="1"/>
        <v>0</v>
      </c>
      <c r="J13" s="149">
        <f t="shared" si="2"/>
        <v>0</v>
      </c>
      <c r="K13" s="271">
        <f t="shared" si="3"/>
        <v>0</v>
      </c>
      <c r="L13" s="162">
        <f>+Angers!D13+Thouars!D13+Saumur!D13+Cham!D13</f>
        <v>0</v>
      </c>
    </row>
    <row r="14" spans="1:12" s="2" customFormat="1" ht="11.25">
      <c r="A14" s="5" t="s">
        <v>269</v>
      </c>
      <c r="B14" s="160">
        <f>+Angers!G14</f>
        <v>0</v>
      </c>
      <c r="C14" s="113">
        <f>+Saumur!$G14</f>
        <v>0</v>
      </c>
      <c r="D14" s="113">
        <f>+Cham!$G14</f>
        <v>0</v>
      </c>
      <c r="E14" s="113">
        <f>+Thouars!$G14</f>
        <v>0</v>
      </c>
      <c r="F14" s="160">
        <f>+Angers!E14+Thouars!E14+Saumur!E14+Cham!E14</f>
        <v>1470.1100000000001</v>
      </c>
      <c r="G14" s="317">
        <f>+Angers!F14+Thouars!F14+Saumur!F14+Cham!F14</f>
        <v>919.12</v>
      </c>
      <c r="H14" s="161">
        <f t="shared" si="0"/>
        <v>0</v>
      </c>
      <c r="I14" s="161">
        <f t="shared" si="1"/>
        <v>0</v>
      </c>
      <c r="J14" s="149">
        <f t="shared" si="2"/>
        <v>-0.37479508336110906</v>
      </c>
      <c r="K14" s="271">
        <f t="shared" si="3"/>
        <v>-1</v>
      </c>
      <c r="L14" s="162">
        <f>+Angers!D14+Thouars!D14+Saumur!D14+Cham!D14</f>
        <v>0</v>
      </c>
    </row>
    <row r="15" spans="1:12" s="2" customFormat="1" ht="11.25">
      <c r="A15" s="5" t="s">
        <v>270</v>
      </c>
      <c r="B15" s="160">
        <f>+Angers!G15</f>
        <v>0</v>
      </c>
      <c r="C15" s="113">
        <f>+Saumur!$G15</f>
        <v>0</v>
      </c>
      <c r="D15" s="113">
        <f>+Cham!$G15</f>
        <v>0</v>
      </c>
      <c r="E15" s="113">
        <f>+Thouars!$G15</f>
        <v>0</v>
      </c>
      <c r="F15" s="160">
        <f>+Angers!E15+Thouars!E15+Saumur!E15+Cham!E15</f>
        <v>5241</v>
      </c>
      <c r="G15" s="317">
        <f>+Angers!F15+Thouars!F15+Saumur!F15+Cham!F15</f>
        <v>3690</v>
      </c>
      <c r="H15" s="161">
        <f t="shared" si="0"/>
        <v>0</v>
      </c>
      <c r="I15" s="161">
        <f t="shared" si="1"/>
        <v>0</v>
      </c>
      <c r="J15" s="149">
        <f t="shared" si="2"/>
        <v>-0.2959358900973097</v>
      </c>
      <c r="K15" s="271">
        <f t="shared" si="3"/>
        <v>-1</v>
      </c>
      <c r="L15" s="162">
        <f>+Angers!D15+Thouars!D15+Saumur!D15+Cham!D15</f>
        <v>0</v>
      </c>
    </row>
    <row r="16" spans="1:12" s="2" customFormat="1" ht="11.25">
      <c r="A16" s="5" t="s">
        <v>85</v>
      </c>
      <c r="B16" s="160">
        <f>+Angers!G16</f>
        <v>0</v>
      </c>
      <c r="C16" s="113">
        <f>+Saumur!$G16</f>
        <v>0</v>
      </c>
      <c r="D16" s="113">
        <f>+Cham!$G16</f>
        <v>0</v>
      </c>
      <c r="E16" s="113">
        <f>+Thouars!$G16</f>
        <v>0</v>
      </c>
      <c r="F16" s="160">
        <f>+Angers!E16+Thouars!E16+Saumur!E16+Cham!E16</f>
        <v>0</v>
      </c>
      <c r="G16" s="317">
        <f>+Angers!F16+Thouars!F16+Saumur!F16+Cham!F16</f>
        <v>0</v>
      </c>
      <c r="H16" s="161">
        <f t="shared" si="0"/>
        <v>0</v>
      </c>
      <c r="I16" s="161">
        <f t="shared" si="1"/>
        <v>0</v>
      </c>
      <c r="J16" s="149">
        <f t="shared" si="2"/>
        <v>0</v>
      </c>
      <c r="K16" s="271">
        <f t="shared" si="3"/>
        <v>0</v>
      </c>
      <c r="L16" s="162">
        <f>+Angers!D16+Thouars!D16+Saumur!D16+Cham!D16</f>
        <v>0</v>
      </c>
    </row>
    <row r="17" spans="1:12" s="2" customFormat="1" ht="11.25">
      <c r="A17" s="5" t="s">
        <v>88</v>
      </c>
      <c r="B17" s="160">
        <f>+Angers!G17</f>
        <v>0</v>
      </c>
      <c r="C17" s="113">
        <f>+Saumur!$G17</f>
        <v>0</v>
      </c>
      <c r="D17" s="113">
        <f>+Cham!$G17</f>
        <v>0</v>
      </c>
      <c r="E17" s="113">
        <f>+Thouars!$G17</f>
        <v>0</v>
      </c>
      <c r="F17" s="160">
        <f>+Angers!E17+Thouars!E17+Saumur!E17+Cham!E17</f>
        <v>0</v>
      </c>
      <c r="G17" s="317">
        <f>+Angers!F17+Thouars!F17+Saumur!F17+Cham!F17</f>
        <v>0</v>
      </c>
      <c r="H17" s="161">
        <f t="shared" si="0"/>
        <v>0</v>
      </c>
      <c r="I17" s="161">
        <f t="shared" si="1"/>
        <v>0</v>
      </c>
      <c r="J17" s="149">
        <f t="shared" si="2"/>
        <v>0</v>
      </c>
      <c r="K17" s="271">
        <f t="shared" si="3"/>
        <v>0</v>
      </c>
      <c r="L17" s="162">
        <f>+Angers!D17+Thouars!D17+Saumur!D17+Cham!D17</f>
        <v>0</v>
      </c>
    </row>
    <row r="18" spans="1:12" s="2" customFormat="1" ht="11.25">
      <c r="A18" s="5" t="s">
        <v>89</v>
      </c>
      <c r="B18" s="160">
        <f>+Angers!G18</f>
        <v>0</v>
      </c>
      <c r="C18" s="113">
        <f>+Saumur!$G18</f>
        <v>0</v>
      </c>
      <c r="D18" s="113">
        <f>+Cham!$G18</f>
        <v>0</v>
      </c>
      <c r="E18" s="113">
        <f>+Thouars!$G18</f>
        <v>0</v>
      </c>
      <c r="F18" s="160">
        <f>+Angers!E18+Thouars!E18+Saumur!E18+Cham!E18</f>
        <v>0</v>
      </c>
      <c r="G18" s="317">
        <f>+Angers!F18+Thouars!F18+Saumur!F18+Cham!F18</f>
        <v>0</v>
      </c>
      <c r="H18" s="161">
        <f t="shared" si="0"/>
        <v>0</v>
      </c>
      <c r="I18" s="161">
        <f t="shared" si="1"/>
        <v>0</v>
      </c>
      <c r="J18" s="149">
        <f t="shared" si="2"/>
        <v>0</v>
      </c>
      <c r="K18" s="271">
        <f t="shared" si="3"/>
        <v>0</v>
      </c>
      <c r="L18" s="162">
        <f>+Angers!D18+Thouars!D18+Saumur!D18+Cham!D18</f>
        <v>0</v>
      </c>
    </row>
    <row r="19" spans="1:12" s="2" customFormat="1" ht="11.25">
      <c r="A19" s="5" t="s">
        <v>90</v>
      </c>
      <c r="B19" s="160">
        <f>+Angers!G19</f>
        <v>0</v>
      </c>
      <c r="C19" s="113">
        <f>+Saumur!$G19</f>
        <v>0</v>
      </c>
      <c r="D19" s="113">
        <f>+Cham!$G19</f>
        <v>0</v>
      </c>
      <c r="E19" s="113">
        <f>+Thouars!$G19</f>
        <v>0</v>
      </c>
      <c r="F19" s="160">
        <f>+Angers!E19+Thouars!E19+Saumur!E19+Cham!E19</f>
        <v>0</v>
      </c>
      <c r="G19" s="317">
        <f>+Angers!F19+Thouars!F19+Saumur!F19+Cham!F19</f>
        <v>0</v>
      </c>
      <c r="H19" s="161">
        <f t="shared" si="0"/>
        <v>0</v>
      </c>
      <c r="I19" s="161">
        <f t="shared" si="1"/>
        <v>0</v>
      </c>
      <c r="J19" s="149">
        <f t="shared" si="2"/>
        <v>0</v>
      </c>
      <c r="K19" s="271">
        <f t="shared" si="3"/>
        <v>0</v>
      </c>
      <c r="L19" s="162">
        <f>+Angers!D19+Thouars!D19+Saumur!D19+Cham!D19</f>
        <v>0</v>
      </c>
    </row>
    <row r="20" spans="1:12" s="2" customFormat="1" ht="11.25">
      <c r="A20" s="5"/>
      <c r="B20" s="160"/>
      <c r="C20" s="113"/>
      <c r="D20" s="113"/>
      <c r="E20" s="113"/>
      <c r="F20" s="160"/>
      <c r="G20" s="113"/>
      <c r="H20" s="162"/>
      <c r="I20" s="162"/>
      <c r="J20" s="149"/>
      <c r="K20" s="254"/>
      <c r="L20" s="18"/>
    </row>
    <row r="21" spans="1:12" s="57" customFormat="1" ht="15" customHeight="1">
      <c r="A21" s="13" t="s">
        <v>222</v>
      </c>
      <c r="B21" s="163">
        <f t="shared" ref="B21:G21" si="4">SUM(B7:B20)</f>
        <v>1268860</v>
      </c>
      <c r="C21" s="204">
        <f t="shared" si="4"/>
        <v>284396</v>
      </c>
      <c r="D21" s="204">
        <f t="shared" si="4"/>
        <v>815020</v>
      </c>
      <c r="E21" s="204">
        <f t="shared" si="4"/>
        <v>891400</v>
      </c>
      <c r="F21" s="163">
        <f t="shared" si="4"/>
        <v>3076606.57</v>
      </c>
      <c r="G21" s="204">
        <f t="shared" si="4"/>
        <v>3119451.62</v>
      </c>
      <c r="H21" s="168">
        <f>SUM(A21:D21)</f>
        <v>2368276</v>
      </c>
      <c r="I21" s="168">
        <f>SUM(B21:E21)</f>
        <v>3259676</v>
      </c>
      <c r="J21" s="272">
        <f>+IF((F21)=0,,(G21-F21)/F21)</f>
        <v>1.3926073752095083E-2</v>
      </c>
      <c r="K21" s="188">
        <f>+IF((G21)=0,,(I21-G21)/G21)</f>
        <v>4.4951612360636606E-2</v>
      </c>
      <c r="L21" s="305">
        <f>SUM(L7:L20)</f>
        <v>3425000</v>
      </c>
    </row>
    <row r="22" spans="1:12" s="57" customFormat="1" ht="15" customHeight="1">
      <c r="A22" s="5"/>
      <c r="B22" s="160"/>
      <c r="C22" s="113"/>
      <c r="D22" s="113"/>
      <c r="E22" s="113"/>
      <c r="F22" s="160"/>
      <c r="G22" s="113"/>
      <c r="H22" s="162"/>
      <c r="I22" s="162"/>
      <c r="J22" s="149"/>
      <c r="K22" s="271"/>
      <c r="L22" s="18"/>
    </row>
    <row r="23" spans="1:12" s="2" customFormat="1" ht="11.25">
      <c r="A23" s="5" t="s">
        <v>92</v>
      </c>
      <c r="B23" s="160">
        <f>+Angers!G23</f>
        <v>0</v>
      </c>
      <c r="C23" s="113">
        <f>+Saumur!$G23</f>
        <v>0</v>
      </c>
      <c r="D23" s="113">
        <f>+Cham!$G23</f>
        <v>0</v>
      </c>
      <c r="E23" s="113">
        <f>+Thouars!$G23</f>
        <v>0</v>
      </c>
      <c r="F23" s="160">
        <f>+Angers!E23+Thouars!E23+Saumur!E23+Cham!E23</f>
        <v>174.8</v>
      </c>
      <c r="G23" s="317">
        <f>+Angers!F23+Thouars!F23+Saumur!F23+Cham!F23</f>
        <v>0</v>
      </c>
      <c r="H23" s="161">
        <f t="shared" ref="H23:I30" si="5">SUM(A23:D23)</f>
        <v>0</v>
      </c>
      <c r="I23" s="161">
        <f t="shared" si="5"/>
        <v>0</v>
      </c>
      <c r="J23" s="149"/>
      <c r="K23" s="271"/>
      <c r="L23" s="18"/>
    </row>
    <row r="24" spans="1:12" s="2" customFormat="1" ht="11.25">
      <c r="A24" s="5" t="s">
        <v>93</v>
      </c>
      <c r="B24" s="160">
        <f>+Angers!G24</f>
        <v>0</v>
      </c>
      <c r="C24" s="113">
        <f>+Saumur!$G24</f>
        <v>0</v>
      </c>
      <c r="D24" s="113">
        <f>+Cham!$G24</f>
        <v>0</v>
      </c>
      <c r="E24" s="113">
        <f>+Thouars!$G24</f>
        <v>0</v>
      </c>
      <c r="F24" s="160">
        <f>+Angers!E24+Thouars!E24+Saumur!E24+Cham!E24</f>
        <v>1048856.3800000001</v>
      </c>
      <c r="G24" s="270">
        <f>+Angers!F24+Thouars!F24+Saumur!F24+Cham!F24</f>
        <v>0</v>
      </c>
      <c r="H24" s="161">
        <f t="shared" si="5"/>
        <v>0</v>
      </c>
      <c r="I24" s="161">
        <f t="shared" si="5"/>
        <v>0</v>
      </c>
      <c r="J24" s="149"/>
      <c r="K24" s="271"/>
      <c r="L24" s="18"/>
    </row>
    <row r="25" spans="1:12" s="2" customFormat="1" ht="11.25">
      <c r="A25" s="5" t="s">
        <v>94</v>
      </c>
      <c r="B25" s="160">
        <f>+Angers!G25</f>
        <v>0</v>
      </c>
      <c r="C25" s="113">
        <f>+Saumur!$G25</f>
        <v>0</v>
      </c>
      <c r="D25" s="113">
        <f>+Cham!$G25</f>
        <v>0</v>
      </c>
      <c r="E25" s="113">
        <f>+Thouars!$G25</f>
        <v>0</v>
      </c>
      <c r="F25" s="160">
        <f>+Angers!E25+Thouars!E25+Saumur!E25+Cham!E25</f>
        <v>150988.26999999999</v>
      </c>
      <c r="G25" s="270">
        <f>+Angers!F25+Thouars!F25+Saumur!F25+Cham!F25</f>
        <v>0</v>
      </c>
      <c r="H25" s="161">
        <f t="shared" si="5"/>
        <v>0</v>
      </c>
      <c r="I25" s="161">
        <f t="shared" si="5"/>
        <v>0</v>
      </c>
      <c r="J25" s="149"/>
      <c r="K25" s="271"/>
      <c r="L25" s="18"/>
    </row>
    <row r="26" spans="1:12" s="57" customFormat="1" ht="15" customHeight="1">
      <c r="A26" s="5" t="s">
        <v>288</v>
      </c>
      <c r="B26" s="160">
        <f>+Angers!G26</f>
        <v>0</v>
      </c>
      <c r="C26" s="113">
        <f>+Saumur!$G26</f>
        <v>0</v>
      </c>
      <c r="D26" s="113">
        <f>+Cham!$G26</f>
        <v>0</v>
      </c>
      <c r="E26" s="113">
        <f>+Thouars!$G26</f>
        <v>0</v>
      </c>
      <c r="F26" s="160">
        <f>+Angers!E26+Thouars!E26+Saumur!E26+Cham!E26</f>
        <v>296560</v>
      </c>
      <c r="G26" s="270">
        <f>+Angers!F26+Thouars!F26+Saumur!F26+Cham!F26</f>
        <v>0</v>
      </c>
      <c r="H26" s="161">
        <f t="shared" si="5"/>
        <v>0</v>
      </c>
      <c r="I26" s="161">
        <f t="shared" si="5"/>
        <v>0</v>
      </c>
      <c r="J26" s="149"/>
      <c r="K26" s="271"/>
      <c r="L26" s="18"/>
    </row>
    <row r="27" spans="1:12" s="57" customFormat="1" ht="15" customHeight="1">
      <c r="A27" s="5" t="s">
        <v>289</v>
      </c>
      <c r="B27" s="160">
        <f>+Angers!G27</f>
        <v>0</v>
      </c>
      <c r="C27" s="113">
        <f>+Saumur!$G27</f>
        <v>0</v>
      </c>
      <c r="D27" s="113">
        <f>+Cham!$G27</f>
        <v>0</v>
      </c>
      <c r="E27" s="113">
        <f>+Thouars!$G27</f>
        <v>0</v>
      </c>
      <c r="F27" s="160">
        <f>+Angers!E27+Thouars!E27+Saumur!E27+Cham!E27</f>
        <v>-321859</v>
      </c>
      <c r="G27" s="270">
        <f>+Angers!F27+Thouars!F27+Saumur!F27+Cham!F27</f>
        <v>0</v>
      </c>
      <c r="H27" s="161">
        <f t="shared" si="5"/>
        <v>0</v>
      </c>
      <c r="I27" s="161">
        <f t="shared" si="5"/>
        <v>0</v>
      </c>
      <c r="J27" s="149"/>
      <c r="K27" s="271"/>
      <c r="L27" s="18"/>
    </row>
    <row r="28" spans="1:12" s="2" customFormat="1" ht="11.25">
      <c r="A28" s="5" t="s">
        <v>95</v>
      </c>
      <c r="B28" s="160">
        <f>+Angers!G28</f>
        <v>250000</v>
      </c>
      <c r="C28" s="113">
        <f>+Saumur!$G28</f>
        <v>80000</v>
      </c>
      <c r="D28" s="113">
        <f>+Cham!$G28</f>
        <v>180000</v>
      </c>
      <c r="E28" s="113">
        <f>+Thouars!$G28</f>
        <v>210000</v>
      </c>
      <c r="F28" s="160">
        <f>+Angers!E28+Thouars!E28+Saumur!E28+Cham!E28</f>
        <v>707779.03</v>
      </c>
      <c r="G28" s="270">
        <f>+Angers!F28+Thouars!F28+Saumur!F28+Cham!F28</f>
        <v>0</v>
      </c>
      <c r="H28" s="161">
        <f t="shared" si="5"/>
        <v>510000</v>
      </c>
      <c r="I28" s="161">
        <f t="shared" si="5"/>
        <v>720000</v>
      </c>
      <c r="J28" s="149"/>
      <c r="K28" s="271"/>
      <c r="L28" s="18"/>
    </row>
    <row r="29" spans="1:12" s="2" customFormat="1" ht="11.25">
      <c r="A29" s="5" t="s">
        <v>293</v>
      </c>
      <c r="B29" s="160">
        <f>+Angers!G29</f>
        <v>0</v>
      </c>
      <c r="C29" s="113">
        <f>+Saumur!$G29</f>
        <v>0</v>
      </c>
      <c r="D29" s="113">
        <f>+Cham!$G29</f>
        <v>0</v>
      </c>
      <c r="E29" s="113">
        <f>+Thouars!$G29</f>
        <v>0</v>
      </c>
      <c r="F29" s="160"/>
      <c r="G29" s="270"/>
      <c r="H29" s="161">
        <f t="shared" si="5"/>
        <v>0</v>
      </c>
      <c r="I29" s="161">
        <f t="shared" si="5"/>
        <v>0</v>
      </c>
      <c r="J29" s="149"/>
      <c r="K29" s="271"/>
      <c r="L29" s="18"/>
    </row>
    <row r="30" spans="1:12" s="2" customFormat="1" ht="11.25">
      <c r="A30" s="42" t="s">
        <v>292</v>
      </c>
      <c r="B30" s="164">
        <f t="shared" ref="B30:G30" si="6">SUM(B23:B29)</f>
        <v>250000</v>
      </c>
      <c r="C30" s="220">
        <f t="shared" si="6"/>
        <v>80000</v>
      </c>
      <c r="D30" s="220">
        <f t="shared" si="6"/>
        <v>180000</v>
      </c>
      <c r="E30" s="220">
        <f t="shared" si="6"/>
        <v>210000</v>
      </c>
      <c r="F30" s="164">
        <f t="shared" si="6"/>
        <v>1882499.4800000002</v>
      </c>
      <c r="G30" s="220">
        <f t="shared" si="6"/>
        <v>0</v>
      </c>
      <c r="H30" s="165">
        <f t="shared" si="5"/>
        <v>510000</v>
      </c>
      <c r="I30" s="165">
        <f t="shared" si="5"/>
        <v>720000</v>
      </c>
      <c r="J30" s="273"/>
      <c r="K30" s="342"/>
      <c r="L30" s="306"/>
    </row>
    <row r="31" spans="1:12" s="2" customFormat="1" ht="15" customHeight="1">
      <c r="A31" s="5"/>
      <c r="B31" s="160"/>
      <c r="C31" s="113"/>
      <c r="D31" s="113"/>
      <c r="E31" s="113"/>
      <c r="F31" s="160"/>
      <c r="G31" s="113"/>
      <c r="H31" s="162"/>
      <c r="I31" s="162"/>
      <c r="J31" s="149"/>
      <c r="K31" s="254"/>
      <c r="L31" s="18"/>
    </row>
    <row r="32" spans="1:12" s="2" customFormat="1" ht="15" customHeight="1">
      <c r="A32" s="56" t="s">
        <v>336</v>
      </c>
      <c r="B32" s="166">
        <f>+B21-B30-B38</f>
        <v>1018860</v>
      </c>
      <c r="C32" s="221">
        <f>+C21-C30-C38</f>
        <v>204396</v>
      </c>
      <c r="D32" s="221">
        <f>+D21-D30-D38</f>
        <v>635020</v>
      </c>
      <c r="E32" s="221">
        <f>+E21-E30-E38</f>
        <v>681400</v>
      </c>
      <c r="F32" s="166">
        <f>+Angers!E32+Thouars!E32+Saumur!E32+Cham!E32</f>
        <v>1109896.3136000002</v>
      </c>
      <c r="G32" s="221">
        <f>+Angers!F32+Thouars!F32+Saumur!F32+Cham!F32</f>
        <v>0</v>
      </c>
      <c r="H32" s="167">
        <f>SUM(A32:D32)</f>
        <v>1858276</v>
      </c>
      <c r="I32" s="167">
        <f>SUM(B32:E32)</f>
        <v>2539676</v>
      </c>
      <c r="J32" s="273"/>
      <c r="K32" s="274"/>
      <c r="L32" s="307"/>
    </row>
    <row r="33" spans="1:12" s="2" customFormat="1" ht="11.25">
      <c r="A33" s="56" t="s">
        <v>337</v>
      </c>
      <c r="B33" s="196">
        <f t="shared" ref="B33:I33" si="7">+B32/B21</f>
        <v>0.80297274719039136</v>
      </c>
      <c r="C33" s="222">
        <f t="shared" si="7"/>
        <v>0.71870209144995012</v>
      </c>
      <c r="D33" s="222">
        <f t="shared" si="7"/>
        <v>0.77914652401168072</v>
      </c>
      <c r="E33" s="222">
        <f t="shared" si="7"/>
        <v>0.76441552613865826</v>
      </c>
      <c r="F33" s="196">
        <f t="shared" si="7"/>
        <v>0.36075341072940642</v>
      </c>
      <c r="G33" s="222">
        <f t="shared" si="7"/>
        <v>0</v>
      </c>
      <c r="H33" s="189">
        <f t="shared" si="7"/>
        <v>0.78465347788855688</v>
      </c>
      <c r="I33" s="189">
        <f t="shared" si="7"/>
        <v>0.77911915171937329</v>
      </c>
      <c r="J33" s="273"/>
      <c r="K33" s="274"/>
      <c r="L33" s="308"/>
    </row>
    <row r="34" spans="1:12" s="2" customFormat="1" ht="11.25">
      <c r="A34" s="5"/>
      <c r="B34" s="160"/>
      <c r="C34" s="113"/>
      <c r="D34" s="113"/>
      <c r="E34" s="113"/>
      <c r="F34" s="160"/>
      <c r="G34" s="113"/>
      <c r="H34" s="162"/>
      <c r="I34" s="162"/>
      <c r="J34" s="149"/>
      <c r="K34" s="271"/>
      <c r="L34" s="18"/>
    </row>
    <row r="35" spans="1:12" s="33" customFormat="1" ht="15" customHeight="1">
      <c r="A35" s="5" t="s">
        <v>96</v>
      </c>
      <c r="B35" s="160">
        <f>+Angers!G35</f>
        <v>0</v>
      </c>
      <c r="C35" s="113">
        <f>+Saumur!$G35</f>
        <v>0</v>
      </c>
      <c r="D35" s="113">
        <f>+Cham!$G35</f>
        <v>0</v>
      </c>
      <c r="E35" s="113">
        <f>+Thouars!$G35</f>
        <v>0</v>
      </c>
      <c r="F35" s="160">
        <f>+Angers!E35+Thouars!E35+Saumur!E35+Cham!E35</f>
        <v>27243.629999999997</v>
      </c>
      <c r="G35" s="317">
        <f>+Angers!F35+Thouars!F35+Saumur!F35+Cham!F35</f>
        <v>0</v>
      </c>
      <c r="H35" s="161">
        <f t="shared" ref="H35:I42" si="8">SUM(A35:D35)</f>
        <v>0</v>
      </c>
      <c r="I35" s="161">
        <f t="shared" si="8"/>
        <v>0</v>
      </c>
      <c r="J35" s="149"/>
      <c r="K35" s="271"/>
      <c r="L35" s="18"/>
    </row>
    <row r="36" spans="1:12" s="2" customFormat="1" ht="11.25">
      <c r="A36" s="5" t="s">
        <v>97</v>
      </c>
      <c r="B36" s="160">
        <f>+Angers!G36</f>
        <v>0</v>
      </c>
      <c r="C36" s="113">
        <f>+Saumur!$G36</f>
        <v>0</v>
      </c>
      <c r="D36" s="113">
        <f>+Cham!$G36</f>
        <v>0</v>
      </c>
      <c r="E36" s="113">
        <f>+Thouars!$G36</f>
        <v>0</v>
      </c>
      <c r="F36" s="160">
        <f>+Angers!E36+Thouars!E36+Saumur!E36+Cham!E36</f>
        <v>19873.29</v>
      </c>
      <c r="G36" s="270">
        <f>+Angers!F36+Thouars!F36+Saumur!F36+Cham!F36</f>
        <v>0</v>
      </c>
      <c r="H36" s="161">
        <f t="shared" si="8"/>
        <v>0</v>
      </c>
      <c r="I36" s="161">
        <f t="shared" si="8"/>
        <v>0</v>
      </c>
      <c r="J36" s="149"/>
      <c r="K36" s="271"/>
      <c r="L36" s="18"/>
    </row>
    <row r="37" spans="1:12" s="33" customFormat="1" ht="15.75" customHeight="1">
      <c r="A37" s="5" t="s">
        <v>98</v>
      </c>
      <c r="B37" s="160">
        <f>+Angers!G37</f>
        <v>0</v>
      </c>
      <c r="C37" s="113">
        <f>+Saumur!$G37</f>
        <v>0</v>
      </c>
      <c r="D37" s="113">
        <f>+Cham!$G37</f>
        <v>0</v>
      </c>
      <c r="E37" s="113">
        <f>+Thouars!$G37</f>
        <v>0</v>
      </c>
      <c r="F37" s="160">
        <f>+Angers!E37+Thouars!E37+Saumur!E37+Cham!E37</f>
        <v>0</v>
      </c>
      <c r="G37" s="270">
        <f>+Angers!F37+Thouars!F37+Saumur!F37+Cham!F37</f>
        <v>0</v>
      </c>
      <c r="H37" s="161">
        <f t="shared" si="8"/>
        <v>0</v>
      </c>
      <c r="I37" s="161">
        <f t="shared" si="8"/>
        <v>0</v>
      </c>
      <c r="J37" s="149"/>
      <c r="K37" s="271"/>
      <c r="L37" s="18"/>
    </row>
    <row r="38" spans="1:12" s="2" customFormat="1" ht="11.25">
      <c r="A38" s="5" t="s">
        <v>99</v>
      </c>
      <c r="B38" s="160">
        <f>+Angers!G38</f>
        <v>0</v>
      </c>
      <c r="C38" s="113">
        <f>+Saumur!$G38</f>
        <v>0</v>
      </c>
      <c r="D38" s="113">
        <f>+Cham!$G38</f>
        <v>0</v>
      </c>
      <c r="E38" s="113">
        <f>+Thouars!$G38</f>
        <v>0</v>
      </c>
      <c r="F38" s="160">
        <f>+Angers!E38+Thouars!E38+Saumur!E38+Cham!E38</f>
        <v>84210.776399999959</v>
      </c>
      <c r="G38" s="270">
        <f>+Angers!F38+Thouars!F38+Saumur!F38+Cham!F38</f>
        <v>0</v>
      </c>
      <c r="H38" s="161">
        <f t="shared" si="8"/>
        <v>0</v>
      </c>
      <c r="I38" s="161">
        <f t="shared" si="8"/>
        <v>0</v>
      </c>
      <c r="J38" s="149"/>
      <c r="K38" s="271"/>
      <c r="L38" s="18"/>
    </row>
    <row r="39" spans="1:12" s="2" customFormat="1" ht="11.25">
      <c r="A39" s="5" t="s">
        <v>177</v>
      </c>
      <c r="B39" s="160">
        <f>+Angers!G39</f>
        <v>0</v>
      </c>
      <c r="C39" s="113">
        <f>+Saumur!$G39</f>
        <v>0</v>
      </c>
      <c r="D39" s="113">
        <f>+Cham!$G39</f>
        <v>0</v>
      </c>
      <c r="E39" s="113">
        <f>+Thouars!$G39</f>
        <v>0</v>
      </c>
      <c r="F39" s="160">
        <f>+Angers!E39+Thouars!E39+Saumur!E39+Cham!E39</f>
        <v>29725.219999999998</v>
      </c>
      <c r="G39" s="270">
        <f>+Angers!F39+Thouars!F39+Saumur!F39+Cham!F39</f>
        <v>0</v>
      </c>
      <c r="H39" s="161">
        <f t="shared" si="8"/>
        <v>0</v>
      </c>
      <c r="I39" s="161">
        <f t="shared" si="8"/>
        <v>0</v>
      </c>
      <c r="J39" s="149"/>
      <c r="K39" s="271"/>
      <c r="L39" s="18"/>
    </row>
    <row r="40" spans="1:12" s="2" customFormat="1" ht="11.25">
      <c r="A40" s="5" t="s">
        <v>176</v>
      </c>
      <c r="B40" s="160">
        <f>+Angers!G40</f>
        <v>0</v>
      </c>
      <c r="C40" s="113">
        <f>+Saumur!$G40</f>
        <v>0</v>
      </c>
      <c r="D40" s="113">
        <f>+Cham!$G40</f>
        <v>0</v>
      </c>
      <c r="E40" s="113">
        <f>+Thouars!$G40</f>
        <v>0</v>
      </c>
      <c r="F40" s="160">
        <f>+Angers!E40+Thouars!E40+Saumur!E40+Cham!E40</f>
        <v>-30750.449999999997</v>
      </c>
      <c r="G40" s="270">
        <f>+Angers!F40+Thouars!F40+Saumur!F40+Cham!F40</f>
        <v>0</v>
      </c>
      <c r="H40" s="161">
        <f t="shared" si="8"/>
        <v>0</v>
      </c>
      <c r="I40" s="161">
        <f t="shared" si="8"/>
        <v>0</v>
      </c>
      <c r="J40" s="149"/>
      <c r="K40" s="271"/>
      <c r="L40" s="18"/>
    </row>
    <row r="41" spans="1:12" s="2" customFormat="1" ht="11.25">
      <c r="A41" s="5" t="s">
        <v>317</v>
      </c>
      <c r="B41" s="160">
        <f>+Angers!G41</f>
        <v>0</v>
      </c>
      <c r="C41" s="113">
        <f>+Saumur!$G41</f>
        <v>0</v>
      </c>
      <c r="D41" s="113">
        <f>+Cham!$G41</f>
        <v>0</v>
      </c>
      <c r="E41" s="113">
        <f>+Thouars!$G41</f>
        <v>0</v>
      </c>
      <c r="F41" s="160">
        <f>+Angers!E41+Thouars!E41+Saumur!E41+Cham!E41</f>
        <v>-28483.85</v>
      </c>
      <c r="G41" s="270">
        <f>+Angers!F41+Thouars!F41+Saumur!F41+Cham!F41</f>
        <v>0</v>
      </c>
      <c r="H41" s="161">
        <f t="shared" si="8"/>
        <v>0</v>
      </c>
      <c r="I41" s="161">
        <f t="shared" si="8"/>
        <v>0</v>
      </c>
      <c r="J41" s="149"/>
      <c r="K41" s="271"/>
      <c r="L41" s="18"/>
    </row>
    <row r="42" spans="1:12" s="2" customFormat="1" ht="11.25">
      <c r="A42" s="5" t="s">
        <v>318</v>
      </c>
      <c r="B42" s="160">
        <f>+Angers!G42</f>
        <v>0</v>
      </c>
      <c r="C42" s="113">
        <f>+Saumur!$G42</f>
        <v>0</v>
      </c>
      <c r="D42" s="113">
        <f>+Cham!$G42</f>
        <v>0</v>
      </c>
      <c r="E42" s="113">
        <f>+Thouars!$G42</f>
        <v>0</v>
      </c>
      <c r="F42" s="160">
        <f>+Angers!E42+Thouars!E42+Saumur!E42+Cham!E42</f>
        <v>-50120.860000000008</v>
      </c>
      <c r="G42" s="270">
        <f>+Angers!F42+Thouars!F42+Saumur!F42+Cham!F42</f>
        <v>0</v>
      </c>
      <c r="H42" s="161">
        <f t="shared" si="8"/>
        <v>0</v>
      </c>
      <c r="I42" s="161">
        <f t="shared" si="8"/>
        <v>0</v>
      </c>
      <c r="J42" s="149"/>
      <c r="K42" s="271"/>
      <c r="L42" s="18"/>
    </row>
    <row r="43" spans="1:12" s="2" customFormat="1" ht="11.25">
      <c r="A43" s="5"/>
      <c r="B43" s="160"/>
      <c r="C43" s="113"/>
      <c r="D43" s="113"/>
      <c r="E43" s="113"/>
      <c r="F43" s="160"/>
      <c r="G43" s="113"/>
      <c r="H43" s="162"/>
      <c r="I43" s="162"/>
      <c r="J43" s="149"/>
      <c r="K43" s="254"/>
      <c r="L43" s="18"/>
    </row>
    <row r="44" spans="1:12" s="2" customFormat="1" ht="11.25">
      <c r="A44" s="13" t="s">
        <v>291</v>
      </c>
      <c r="B44" s="163">
        <f t="shared" ref="B44:G44" si="9">+B30+SUM(B34:B43)</f>
        <v>250000</v>
      </c>
      <c r="C44" s="204">
        <f t="shared" si="9"/>
        <v>80000</v>
      </c>
      <c r="D44" s="204">
        <f t="shared" si="9"/>
        <v>180000</v>
      </c>
      <c r="E44" s="204">
        <f t="shared" si="9"/>
        <v>210000</v>
      </c>
      <c r="F44" s="163">
        <f t="shared" si="9"/>
        <v>1934197.2364000003</v>
      </c>
      <c r="G44" s="204">
        <f t="shared" si="9"/>
        <v>0</v>
      </c>
      <c r="H44" s="168">
        <f>SUM(H35:H42)+H30</f>
        <v>510000</v>
      </c>
      <c r="I44" s="168">
        <f>SUM(I35:I42)+I30</f>
        <v>720000</v>
      </c>
      <c r="J44" s="272"/>
      <c r="K44" s="188"/>
      <c r="L44" s="305"/>
    </row>
    <row r="45" spans="1:12" s="2" customFormat="1" ht="11.25">
      <c r="A45" s="5"/>
      <c r="B45" s="160"/>
      <c r="C45" s="113"/>
      <c r="D45" s="113"/>
      <c r="E45" s="113"/>
      <c r="F45" s="160"/>
      <c r="G45" s="113"/>
      <c r="H45" s="162"/>
      <c r="I45" s="162"/>
      <c r="J45" s="149"/>
      <c r="K45" s="254"/>
      <c r="L45" s="18"/>
    </row>
    <row r="46" spans="1:12" s="2" customFormat="1" ht="11.25">
      <c r="A46" s="56" t="s">
        <v>339</v>
      </c>
      <c r="B46" s="166">
        <f t="shared" ref="B46:G46" si="10">+B21-B44</f>
        <v>1018860</v>
      </c>
      <c r="C46" s="221">
        <f t="shared" si="10"/>
        <v>204396</v>
      </c>
      <c r="D46" s="221">
        <f t="shared" si="10"/>
        <v>635020</v>
      </c>
      <c r="E46" s="221">
        <f t="shared" si="10"/>
        <v>681400</v>
      </c>
      <c r="F46" s="166">
        <f>+F21-F44</f>
        <v>1142409.3335999995</v>
      </c>
      <c r="G46" s="221">
        <f t="shared" si="10"/>
        <v>3119451.62</v>
      </c>
      <c r="H46" s="167">
        <f>+H21-H44</f>
        <v>1858276</v>
      </c>
      <c r="I46" s="167">
        <f>+I21-I44</f>
        <v>2539676</v>
      </c>
      <c r="J46" s="273"/>
      <c r="K46" s="274"/>
      <c r="L46" s="307"/>
    </row>
    <row r="47" spans="1:12" s="2" customFormat="1" ht="11.25">
      <c r="A47" s="56" t="s">
        <v>340</v>
      </c>
      <c r="B47" s="196">
        <f t="shared" ref="B47:I47" si="11">+B46/B21</f>
        <v>0.80297274719039136</v>
      </c>
      <c r="C47" s="222">
        <f t="shared" si="11"/>
        <v>0.71870209144995012</v>
      </c>
      <c r="D47" s="222">
        <f t="shared" si="11"/>
        <v>0.77914652401168072</v>
      </c>
      <c r="E47" s="222">
        <f t="shared" si="11"/>
        <v>0.76441552613865826</v>
      </c>
      <c r="F47" s="196">
        <f t="shared" si="11"/>
        <v>0.37132122928542</v>
      </c>
      <c r="G47" s="222">
        <f t="shared" si="11"/>
        <v>1</v>
      </c>
      <c r="H47" s="189">
        <f t="shared" si="11"/>
        <v>0.78465347788855688</v>
      </c>
      <c r="I47" s="189">
        <f t="shared" si="11"/>
        <v>0.77911915171937329</v>
      </c>
      <c r="J47" s="273"/>
      <c r="K47" s="274"/>
      <c r="L47" s="308"/>
    </row>
    <row r="48" spans="1:12" s="2" customFormat="1" ht="15" customHeight="1">
      <c r="A48" s="5"/>
      <c r="B48" s="160"/>
      <c r="C48" s="113"/>
      <c r="D48" s="113"/>
      <c r="E48" s="113"/>
      <c r="F48" s="160"/>
      <c r="G48" s="113"/>
      <c r="H48" s="162"/>
      <c r="I48" s="162"/>
      <c r="J48" s="149"/>
      <c r="K48" s="271"/>
      <c r="L48" s="18"/>
    </row>
    <row r="49" spans="1:12" s="2" customFormat="1" ht="11.25">
      <c r="A49" s="5" t="s">
        <v>91</v>
      </c>
      <c r="B49" s="160">
        <f>+Angers!G49</f>
        <v>11000</v>
      </c>
      <c r="C49" s="113">
        <f>+Saumur!$G49</f>
        <v>3000</v>
      </c>
      <c r="D49" s="113">
        <f>+Cham!$G49</f>
        <v>11000</v>
      </c>
      <c r="E49" s="113">
        <f>+Thouars!$G49</f>
        <v>10000</v>
      </c>
      <c r="F49" s="160">
        <f>+Angers!E49+Thouars!E49+Saumur!E49+Cham!E49</f>
        <v>31227.82</v>
      </c>
      <c r="G49" s="317">
        <f>+Angers!F49+Thouars!F49+Saumur!F49+Cham!F49</f>
        <v>31000</v>
      </c>
      <c r="H49" s="161">
        <f>SUM(A49:D49)</f>
        <v>25000</v>
      </c>
      <c r="I49" s="161">
        <f>SUM(B49:E49)</f>
        <v>35000</v>
      </c>
      <c r="J49" s="149">
        <f>+IF((F49)=0,,(G49-F49)/F49)</f>
        <v>-7.2954179958767441E-3</v>
      </c>
      <c r="K49" s="271">
        <f>+IF((G49)=0,,(I49-G49)/G49)</f>
        <v>0.12903225806451613</v>
      </c>
      <c r="L49" s="162">
        <f>+Angers!D49+Thouars!D49+Saumur!D49+Cham!D49</f>
        <v>35000</v>
      </c>
    </row>
    <row r="50" spans="1:12" s="2" customFormat="1" ht="15" customHeight="1">
      <c r="A50" s="5"/>
      <c r="B50" s="160"/>
      <c r="C50" s="113"/>
      <c r="D50" s="113"/>
      <c r="E50" s="113"/>
      <c r="F50" s="160"/>
      <c r="G50" s="113"/>
      <c r="H50" s="162"/>
      <c r="I50" s="162"/>
      <c r="J50" s="149"/>
      <c r="K50" s="271"/>
      <c r="L50" s="18"/>
    </row>
    <row r="51" spans="1:12" s="2" customFormat="1" ht="11.25">
      <c r="A51" s="13" t="s">
        <v>223</v>
      </c>
      <c r="B51" s="163">
        <f t="shared" ref="B51:I51" si="12">+B21-B49</f>
        <v>1257860</v>
      </c>
      <c r="C51" s="204">
        <f t="shared" si="12"/>
        <v>281396</v>
      </c>
      <c r="D51" s="204">
        <f t="shared" si="12"/>
        <v>804020</v>
      </c>
      <c r="E51" s="204">
        <f t="shared" si="12"/>
        <v>881400</v>
      </c>
      <c r="F51" s="163">
        <f t="shared" si="12"/>
        <v>3045378.75</v>
      </c>
      <c r="G51" s="204">
        <f t="shared" si="12"/>
        <v>3088451.62</v>
      </c>
      <c r="H51" s="168">
        <f t="shared" si="12"/>
        <v>2343276</v>
      </c>
      <c r="I51" s="168">
        <f t="shared" si="12"/>
        <v>3224676</v>
      </c>
      <c r="J51" s="272"/>
      <c r="K51" s="188"/>
      <c r="L51" s="305">
        <f>+L21-L49</f>
        <v>3390000</v>
      </c>
    </row>
    <row r="52" spans="1:12" s="2" customFormat="1" ht="15" customHeight="1">
      <c r="A52" s="5"/>
      <c r="B52" s="160"/>
      <c r="C52" s="113"/>
      <c r="D52" s="113"/>
      <c r="E52" s="113"/>
      <c r="F52" s="160"/>
      <c r="G52" s="113"/>
      <c r="H52" s="162"/>
      <c r="I52" s="162"/>
      <c r="J52" s="149"/>
      <c r="K52" s="254"/>
      <c r="L52" s="18"/>
    </row>
    <row r="53" spans="1:12" s="2" customFormat="1" ht="11.25">
      <c r="A53" s="16" t="s">
        <v>3</v>
      </c>
      <c r="B53" s="169">
        <f t="shared" ref="B53:G53" si="13">+B51-B44</f>
        <v>1007860</v>
      </c>
      <c r="C53" s="223">
        <f t="shared" si="13"/>
        <v>201396</v>
      </c>
      <c r="D53" s="223">
        <f t="shared" si="13"/>
        <v>624020</v>
      </c>
      <c r="E53" s="223">
        <f t="shared" si="13"/>
        <v>671400</v>
      </c>
      <c r="F53" s="169">
        <f>+F51-F44</f>
        <v>1111181.5135999997</v>
      </c>
      <c r="G53" s="223">
        <f t="shared" si="13"/>
        <v>3088451.62</v>
      </c>
      <c r="H53" s="170">
        <f>+H51-H44</f>
        <v>1833276</v>
      </c>
      <c r="I53" s="170">
        <f>+I51-I44</f>
        <v>2504676</v>
      </c>
      <c r="J53" s="224"/>
      <c r="K53" s="123"/>
      <c r="L53" s="309"/>
    </row>
    <row r="54" spans="1:12" s="2" customFormat="1" ht="15" customHeight="1">
      <c r="A54" s="16" t="s">
        <v>4</v>
      </c>
      <c r="B54" s="197">
        <f t="shared" ref="B54:I54" si="14">+B53/B51</f>
        <v>0.80124974162466411</v>
      </c>
      <c r="C54" s="224">
        <f t="shared" si="14"/>
        <v>0.71570313721588086</v>
      </c>
      <c r="D54" s="224">
        <f t="shared" si="14"/>
        <v>0.77612497201562147</v>
      </c>
      <c r="E54" s="224">
        <f t="shared" si="14"/>
        <v>0.7617426820966644</v>
      </c>
      <c r="F54" s="197">
        <f t="shared" si="14"/>
        <v>0.36487465265198943</v>
      </c>
      <c r="G54" s="224">
        <f t="shared" si="14"/>
        <v>1</v>
      </c>
      <c r="H54" s="191">
        <f t="shared" si="14"/>
        <v>0.78235598367413828</v>
      </c>
      <c r="I54" s="191">
        <f t="shared" si="14"/>
        <v>0.77672175437160196</v>
      </c>
      <c r="J54" s="224"/>
      <c r="K54" s="123"/>
      <c r="L54" s="15"/>
    </row>
    <row r="55" spans="1:12" s="2" customFormat="1" ht="11.25">
      <c r="A55" s="5"/>
      <c r="B55" s="160"/>
      <c r="C55" s="113"/>
      <c r="D55" s="113"/>
      <c r="E55" s="113"/>
      <c r="F55" s="160"/>
      <c r="G55" s="113"/>
      <c r="H55" s="162"/>
      <c r="I55" s="162"/>
      <c r="J55" s="149"/>
      <c r="K55" s="271"/>
      <c r="L55" s="18"/>
    </row>
    <row r="56" spans="1:12" s="2" customFormat="1" ht="11.25">
      <c r="A56" s="5" t="s">
        <v>290</v>
      </c>
      <c r="B56" s="160">
        <f>+Angers!G56</f>
        <v>0</v>
      </c>
      <c r="C56" s="113">
        <f>+Saumur!$G56</f>
        <v>0</v>
      </c>
      <c r="D56" s="113">
        <f>+Cham!$G56</f>
        <v>0</v>
      </c>
      <c r="E56" s="113">
        <f>+Thouars!$G56</f>
        <v>0</v>
      </c>
      <c r="F56" s="160">
        <f>+Angers!E56+Thouars!E56+Saumur!E56+Cham!E56</f>
        <v>532499.97239999997</v>
      </c>
      <c r="G56" s="317">
        <f>+Angers!F56+Thouars!F56+Saumur!F56+Cham!F56</f>
        <v>0</v>
      </c>
      <c r="H56" s="161">
        <f>SUM(A56:D56)</f>
        <v>0</v>
      </c>
      <c r="I56" s="161">
        <f>SUM(B56:E56)</f>
        <v>0</v>
      </c>
      <c r="J56" s="149"/>
      <c r="K56" s="271"/>
      <c r="L56" s="18"/>
    </row>
    <row r="57" spans="1:12" s="2" customFormat="1" ht="11.25">
      <c r="A57" s="5" t="s">
        <v>100</v>
      </c>
      <c r="B57" s="160">
        <f>+Angers!G57</f>
        <v>0</v>
      </c>
      <c r="C57" s="113">
        <f>+Saumur!$G57</f>
        <v>0</v>
      </c>
      <c r="D57" s="113">
        <f>+Cham!$G57</f>
        <v>0</v>
      </c>
      <c r="E57" s="113">
        <f>+Thouars!$G57</f>
        <v>0</v>
      </c>
      <c r="F57" s="160">
        <f>+Angers!E57+Thouars!E57+Saumur!E57+Cham!E57</f>
        <v>448289.196</v>
      </c>
      <c r="G57" s="317">
        <f>+Angers!F57+Thouars!F57+Saumur!F57+Cham!F57</f>
        <v>0</v>
      </c>
      <c r="H57" s="161">
        <f>SUM(A57:D57)</f>
        <v>0</v>
      </c>
      <c r="I57" s="161">
        <f>SUM(B57:E57)</f>
        <v>0</v>
      </c>
      <c r="J57" s="149"/>
      <c r="K57" s="271"/>
      <c r="L57" s="18"/>
    </row>
    <row r="58" spans="1:12" s="2" customFormat="1" ht="12" thickBot="1">
      <c r="A58" s="21"/>
      <c r="B58" s="171"/>
      <c r="C58" s="205"/>
      <c r="D58" s="205"/>
      <c r="E58" s="205"/>
      <c r="F58" s="171"/>
      <c r="G58" s="205"/>
      <c r="H58" s="172"/>
      <c r="I58" s="172"/>
      <c r="J58" s="236"/>
      <c r="K58" s="275"/>
      <c r="L58" s="310"/>
    </row>
    <row r="59" spans="1:12" s="2" customFormat="1" ht="12" thickTop="1">
      <c r="A59" s="5"/>
      <c r="B59" s="160"/>
      <c r="C59" s="113"/>
      <c r="D59" s="113"/>
      <c r="E59" s="113"/>
      <c r="F59" s="160"/>
      <c r="G59" s="113"/>
      <c r="H59" s="162"/>
      <c r="I59" s="162"/>
      <c r="J59" s="149"/>
      <c r="K59" s="254"/>
      <c r="L59" s="18"/>
    </row>
    <row r="60" spans="1:12" s="2" customFormat="1" ht="15" customHeight="1">
      <c r="A60" s="16" t="s">
        <v>295</v>
      </c>
      <c r="B60" s="197">
        <f>+Angers!$G60</f>
        <v>0.375</v>
      </c>
      <c r="C60" s="224">
        <f>+Saumur!$G60</f>
        <v>0.43</v>
      </c>
      <c r="D60" s="224">
        <f>+Cham!$G60</f>
        <v>0.36499999999999999</v>
      </c>
      <c r="E60" s="224">
        <f>+Thouars!$G60</f>
        <v>0.36</v>
      </c>
      <c r="F60" s="197">
        <f>+F62/F51</f>
        <v>0.3561790951125538</v>
      </c>
      <c r="G60" s="224">
        <f>+G62/G51</f>
        <v>0.36901310524657011</v>
      </c>
      <c r="H60" s="191">
        <f>+H62/H51</f>
        <v>0.37817358262535017</v>
      </c>
      <c r="I60" s="191">
        <f>+I62/I51</f>
        <v>0.37320620118114195</v>
      </c>
      <c r="J60" s="224"/>
      <c r="K60" s="123"/>
      <c r="L60" s="15">
        <f>+L62/L51</f>
        <v>0.37600294985250737</v>
      </c>
    </row>
    <row r="61" spans="1:12" s="2" customFormat="1" ht="11.25">
      <c r="A61" s="5" t="s">
        <v>75</v>
      </c>
      <c r="B61" s="92">
        <f>+Angers!G61</f>
        <v>0</v>
      </c>
      <c r="C61" s="149">
        <f>+Saumur!$G61</f>
        <v>0</v>
      </c>
      <c r="D61" s="149">
        <f>+Cham!$G61</f>
        <v>0</v>
      </c>
      <c r="E61" s="149">
        <f>+Thouars!$G61</f>
        <v>0</v>
      </c>
      <c r="F61" s="92"/>
      <c r="G61" s="113"/>
      <c r="H61" s="162" t="e">
        <f>+(A61*D21+E21*E61+F61*F21+D61*D21)/H21</f>
        <v>#VALUE!</v>
      </c>
      <c r="I61" s="162">
        <f>+(B61*E21+F21*F61+G61*G21+E61*E21)/I21</f>
        <v>0</v>
      </c>
      <c r="J61" s="149"/>
      <c r="K61" s="254"/>
      <c r="L61" s="18"/>
    </row>
    <row r="62" spans="1:12" s="2" customFormat="1" ht="15" customHeight="1">
      <c r="A62" s="16" t="s">
        <v>296</v>
      </c>
      <c r="B62" s="169">
        <f>+B51*B60</f>
        <v>471697.5</v>
      </c>
      <c r="C62" s="223">
        <f>+C51*C60</f>
        <v>121000.28</v>
      </c>
      <c r="D62" s="223">
        <f>+D51*D60</f>
        <v>293467.3</v>
      </c>
      <c r="E62" s="223">
        <f>+E51*E60</f>
        <v>317304</v>
      </c>
      <c r="F62" s="169">
        <f>+Angers!E62+Thouars!E62+Saumur!E62+Cham!E62</f>
        <v>1084700.2474500001</v>
      </c>
      <c r="G62" s="223">
        <f>+Angers!F62+Thouars!F62+Saumur!F62+Cham!F62</f>
        <v>1139679.1226999999</v>
      </c>
      <c r="H62" s="170">
        <f>SUM(A62:D62)</f>
        <v>886165.08000000007</v>
      </c>
      <c r="I62" s="170">
        <f>SUM(B62:E62)</f>
        <v>1203469.08</v>
      </c>
      <c r="J62" s="224">
        <f>+IF((F62)=0,,(G62-F62)/F62)</f>
        <v>5.0685777364989575E-2</v>
      </c>
      <c r="K62" s="123">
        <f>+IF((G62)=0,,(I62-G62)/G62)</f>
        <v>5.5971857367077243E-2</v>
      </c>
      <c r="L62" s="223">
        <f>+Angers!D62+Thouars!D62+Saumur!D62+Cham!D62</f>
        <v>1274650</v>
      </c>
    </row>
    <row r="63" spans="1:12" s="2" customFormat="1" ht="11.25">
      <c r="A63" s="5"/>
      <c r="B63" s="160"/>
      <c r="C63" s="113"/>
      <c r="D63" s="113"/>
      <c r="E63" s="113"/>
      <c r="F63" s="160"/>
      <c r="G63" s="113"/>
      <c r="H63" s="162"/>
      <c r="I63" s="162"/>
      <c r="J63" s="149"/>
      <c r="K63" s="271"/>
      <c r="L63" s="18"/>
    </row>
    <row r="64" spans="1:12" s="2" customFormat="1" ht="11.25">
      <c r="A64" s="5" t="s">
        <v>104</v>
      </c>
      <c r="B64" s="160">
        <f>+Angers!G64</f>
        <v>7150</v>
      </c>
      <c r="C64" s="113">
        <f>+Saumur!$G64</f>
        <v>0</v>
      </c>
      <c r="D64" s="113">
        <f>+Cham!$G64</f>
        <v>4056.5066666666667</v>
      </c>
      <c r="E64" s="113">
        <f>+Thouars!$G64</f>
        <v>3972.96</v>
      </c>
      <c r="F64" s="160">
        <f>+Angers!E64+Thouars!E64+Saumur!E64+Cham!E64</f>
        <v>13143.97</v>
      </c>
      <c r="G64" s="317">
        <f>+Angers!F64+Thouars!F64+Saumur!F64+Cham!F64</f>
        <v>13571.8</v>
      </c>
      <c r="H64" s="161">
        <f t="shared" ref="H64:I68" si="15">SUM(A64:D64)</f>
        <v>11206.506666666666</v>
      </c>
      <c r="I64" s="161">
        <f t="shared" si="15"/>
        <v>15179.466666666667</v>
      </c>
      <c r="J64" s="149">
        <f>+IF((F64)=0,,(G64-F64)/F64)</f>
        <v>3.2549526512918085E-2</v>
      </c>
      <c r="K64" s="271">
        <f>+IF((G64)=0,,(I64-G64)/G64)</f>
        <v>0.11845640715797963</v>
      </c>
      <c r="L64" s="162">
        <f>+Angers!D64+Thouars!D64+Saumur!D64+Cham!D64</f>
        <v>14654.444799999999</v>
      </c>
    </row>
    <row r="65" spans="1:12" s="2" customFormat="1" ht="11.25">
      <c r="A65" s="5" t="s">
        <v>314</v>
      </c>
      <c r="B65" s="160">
        <f>+Angers!G65</f>
        <v>3150</v>
      </c>
      <c r="C65" s="113">
        <f>+Saumur!$G65</f>
        <v>0</v>
      </c>
      <c r="D65" s="113">
        <f>+Cham!$G65</f>
        <v>0</v>
      </c>
      <c r="E65" s="113">
        <f>+Thouars!$G65</f>
        <v>0</v>
      </c>
      <c r="F65" s="160">
        <f>+Angers!E65+Thouars!E65+Saumur!E65+Cham!E65</f>
        <v>3411.85</v>
      </c>
      <c r="G65" s="317">
        <f>+Angers!F65+Thouars!F65+Saumur!F65+Cham!F65</f>
        <v>3149.4</v>
      </c>
      <c r="H65" s="161">
        <f t="shared" si="15"/>
        <v>3150</v>
      </c>
      <c r="I65" s="161">
        <f t="shared" si="15"/>
        <v>3150</v>
      </c>
      <c r="J65" s="149">
        <f>+IF((F65)=0,,(G65-F65)/F65)</f>
        <v>-7.6923076923076872E-2</v>
      </c>
      <c r="K65" s="271">
        <f>+IF((G65)=0,,(I65-G65)/G65)</f>
        <v>1.9051247856731728E-4</v>
      </c>
      <c r="L65" s="162">
        <f>+Angers!D65+Thouars!D65+Saumur!D65+Cham!D65</f>
        <v>3150</v>
      </c>
    </row>
    <row r="66" spans="1:12" s="2" customFormat="1" ht="15" customHeight="1">
      <c r="A66" s="5" t="s">
        <v>110</v>
      </c>
      <c r="B66" s="160">
        <f>+Angers!G66</f>
        <v>2700</v>
      </c>
      <c r="C66" s="113">
        <f>+Saumur!$G66</f>
        <v>0</v>
      </c>
      <c r="D66" s="113">
        <f>+Cham!$G66</f>
        <v>1620.556</v>
      </c>
      <c r="E66" s="113">
        <f>+Thouars!$G66</f>
        <v>1466.3880000000001</v>
      </c>
      <c r="F66" s="160">
        <f>+Angers!E66+Thouars!E66+Saumur!E66+Cham!E66</f>
        <v>4923.08</v>
      </c>
      <c r="G66" s="317">
        <f>+Angers!F66+Thouars!F66+Saumur!F66+Cham!F66</f>
        <v>5544.1866666666665</v>
      </c>
      <c r="H66" s="161">
        <f t="shared" si="15"/>
        <v>4320.5560000000005</v>
      </c>
      <c r="I66" s="161">
        <f t="shared" si="15"/>
        <v>5786.9440000000004</v>
      </c>
      <c r="J66" s="149">
        <f>+IF((F66)=0,,(G66-F66)/F66)</f>
        <v>0.12616221281528364</v>
      </c>
      <c r="K66" s="271">
        <f>+IF((G66)=0,,(I66-G66)/G66)</f>
        <v>4.3785923513878909E-2</v>
      </c>
      <c r="L66" s="162">
        <f>+Angers!D66+Thouars!D66+Saumur!D66+Cham!D66</f>
        <v>5256.1530000000002</v>
      </c>
    </row>
    <row r="67" spans="1:12" s="2" customFormat="1" ht="11.25">
      <c r="A67" s="5" t="s">
        <v>107</v>
      </c>
      <c r="B67" s="160">
        <f>+Angers!G67</f>
        <v>1700</v>
      </c>
      <c r="C67" s="113">
        <f>+Saumur!$G67</f>
        <v>0</v>
      </c>
      <c r="D67" s="113">
        <f>+Cham!$G67</f>
        <v>1500</v>
      </c>
      <c r="E67" s="113">
        <f>+Thouars!$G67</f>
        <v>1500</v>
      </c>
      <c r="F67" s="160">
        <f>+Angers!E67+Thouars!E67+Saumur!E67+Cham!E67</f>
        <v>4468.1900000000005</v>
      </c>
      <c r="G67" s="317">
        <f>+Angers!F67+Thouars!F67+Saumur!F67+Cham!F67</f>
        <v>9810.4266666666663</v>
      </c>
      <c r="H67" s="161">
        <f t="shared" si="15"/>
        <v>3200</v>
      </c>
      <c r="I67" s="161">
        <f t="shared" si="15"/>
        <v>4700</v>
      </c>
      <c r="J67" s="149">
        <f>+IF((F67)=0,,(G67-F67)/F67)</f>
        <v>1.195615375950142</v>
      </c>
      <c r="K67" s="271">
        <f>+IF((G67)=0,,(I67-G67)/G67)</f>
        <v>-0.52091788056788557</v>
      </c>
      <c r="L67" s="162">
        <f>+Angers!D67+Thouars!D67+Saumur!D67+Cham!D67</f>
        <v>5141.4105</v>
      </c>
    </row>
    <row r="68" spans="1:12" s="2" customFormat="1" ht="18.75" customHeight="1">
      <c r="A68" s="5" t="s">
        <v>125</v>
      </c>
      <c r="B68" s="160">
        <f>+Angers!G68</f>
        <v>2674.7589333333335</v>
      </c>
      <c r="C68" s="113">
        <f>+Saumur!$G68</f>
        <v>0</v>
      </c>
      <c r="D68" s="113">
        <f>+Cham!$G68</f>
        <v>3150</v>
      </c>
      <c r="E68" s="113">
        <f>+Thouars!$G68</f>
        <v>2676.297066666667</v>
      </c>
      <c r="F68" s="160">
        <f>+Angers!E68+Thouars!E68+Saumur!E68+Cham!E68</f>
        <v>11097.42</v>
      </c>
      <c r="G68" s="317">
        <f>+Angers!F68+Thouars!F68+Saumur!F68+Cham!F68</f>
        <v>10259.013333333334</v>
      </c>
      <c r="H68" s="161">
        <f t="shared" si="15"/>
        <v>5824.7589333333335</v>
      </c>
      <c r="I68" s="161">
        <f t="shared" si="15"/>
        <v>8501.0560000000005</v>
      </c>
      <c r="J68" s="149">
        <f>+IF((F68)=0,,(G68-F68)/F68)</f>
        <v>-7.5549692330890053E-2</v>
      </c>
      <c r="K68" s="271">
        <f>+IF((G68)=0,,(I68-G68)/G68)</f>
        <v>-0.17135734950469572</v>
      </c>
      <c r="L68" s="162">
        <f>+Angers!D68+Thouars!D68+Saumur!D68+Cham!D68</f>
        <v>11928.3649</v>
      </c>
    </row>
    <row r="69" spans="1:12" s="2" customFormat="1" ht="11.25">
      <c r="A69" s="5"/>
      <c r="B69" s="160"/>
      <c r="C69" s="113"/>
      <c r="D69" s="113"/>
      <c r="E69" s="113"/>
      <c r="F69" s="160"/>
      <c r="G69" s="270"/>
      <c r="H69" s="161"/>
      <c r="I69" s="161"/>
      <c r="J69" s="149"/>
      <c r="K69" s="271"/>
      <c r="L69" s="18"/>
    </row>
    <row r="70" spans="1:12" s="2" customFormat="1" ht="11.25">
      <c r="A70" s="11" t="s">
        <v>128</v>
      </c>
      <c r="B70" s="173">
        <f t="shared" ref="B70:G70" si="16">SUM(B64:B69)</f>
        <v>17374.758933333334</v>
      </c>
      <c r="C70" s="227">
        <f t="shared" si="16"/>
        <v>0</v>
      </c>
      <c r="D70" s="227">
        <f t="shared" si="16"/>
        <v>10327.062666666667</v>
      </c>
      <c r="E70" s="227">
        <f t="shared" si="16"/>
        <v>9615.6450666666678</v>
      </c>
      <c r="F70" s="173">
        <f t="shared" si="16"/>
        <v>37044.51</v>
      </c>
      <c r="G70" s="343">
        <f t="shared" si="16"/>
        <v>42334.826666666668</v>
      </c>
      <c r="H70" s="277">
        <f>SUM(A70:D70)</f>
        <v>27701.821600000003</v>
      </c>
      <c r="I70" s="277">
        <f>SUM(B70:E70)</f>
        <v>37317.466666666674</v>
      </c>
      <c r="J70" s="278">
        <f>+IF((F70)=0,,(G70-F70)/F70)</f>
        <v>0.14280973527971258</v>
      </c>
      <c r="K70" s="279">
        <f>+IF((G70)=0,,(I70-G70)/G70)</f>
        <v>-0.11851613423400481</v>
      </c>
      <c r="L70" s="311">
        <f>SUM(L64:L69)</f>
        <v>40130.373199999995</v>
      </c>
    </row>
    <row r="71" spans="1:12" s="2" customFormat="1" ht="11.25">
      <c r="A71" s="5"/>
      <c r="B71" s="160"/>
      <c r="C71" s="113"/>
      <c r="D71" s="113"/>
      <c r="E71" s="113"/>
      <c r="F71" s="160"/>
      <c r="G71" s="270"/>
      <c r="H71" s="161"/>
      <c r="I71" s="161"/>
      <c r="J71" s="149"/>
      <c r="K71" s="271"/>
      <c r="L71" s="18"/>
    </row>
    <row r="72" spans="1:12" s="2" customFormat="1" ht="11.25">
      <c r="A72" s="5" t="s">
        <v>1</v>
      </c>
      <c r="B72" s="160">
        <f>+Angers!G72</f>
        <v>0</v>
      </c>
      <c r="C72" s="113">
        <f>+Saumur!$G72</f>
        <v>81.081599999999995</v>
      </c>
      <c r="D72" s="113">
        <f>+Cham!$G72</f>
        <v>0</v>
      </c>
      <c r="E72" s="113">
        <f>+Thouars!$G72</f>
        <v>33.83893333333333</v>
      </c>
      <c r="F72" s="160">
        <f>+Angers!E72+Thouars!E72+Saumur!E72+Cham!E72</f>
        <v>269.43</v>
      </c>
      <c r="G72" s="317">
        <f>+Angers!F72+Thouars!F72+Saumur!F72+Cham!F72</f>
        <v>111.57333333333332</v>
      </c>
      <c r="H72" s="161">
        <f t="shared" ref="H72:H101" si="17">SUM(A72:D72)</f>
        <v>81.081599999999995</v>
      </c>
      <c r="I72" s="161">
        <f t="shared" ref="I72:I101" si="18">SUM(B72:E72)</f>
        <v>114.92053333333332</v>
      </c>
      <c r="J72" s="149">
        <f>+IF((F72)=0,,(G72-F72)/F72)</f>
        <v>-0.58589120241497483</v>
      </c>
      <c r="K72" s="271">
        <f>+IF((G72)=0,,(I72-G72)/G72)</f>
        <v>3.0000000000000009E-2</v>
      </c>
      <c r="L72" s="162">
        <f>+Angers!D72+Thouars!D72+Saumur!D72+Cham!D72</f>
        <v>127.02098078667083</v>
      </c>
    </row>
    <row r="73" spans="1:12" s="2" customFormat="1" ht="11.25">
      <c r="A73" s="5" t="s">
        <v>123</v>
      </c>
      <c r="B73" s="160">
        <f>+Angers!G73</f>
        <v>3368.2235999999998</v>
      </c>
      <c r="C73" s="113">
        <f>+Saumur!$G73</f>
        <v>4120</v>
      </c>
      <c r="D73" s="113">
        <f>+Cham!$G73</f>
        <v>4100</v>
      </c>
      <c r="E73" s="113">
        <f>+Thouars!$G73</f>
        <v>1778.8786666666667</v>
      </c>
      <c r="F73" s="160">
        <f>+Angers!E73+Thouars!E73+Saumur!E73+Cham!E73</f>
        <v>10114.030000000001</v>
      </c>
      <c r="G73" s="317">
        <f>+Angers!F73+Thouars!F73+Saumur!F73+Cham!F73</f>
        <v>13697.186666666666</v>
      </c>
      <c r="H73" s="161">
        <f t="shared" si="17"/>
        <v>11588.223599999999</v>
      </c>
      <c r="I73" s="161">
        <f t="shared" si="18"/>
        <v>13367.102266666667</v>
      </c>
      <c r="J73" s="149">
        <f t="shared" ref="J73:J101" si="19">+IF((F73)=0,,(G73-F73)/F73)</f>
        <v>0.35427585904596542</v>
      </c>
      <c r="K73" s="271">
        <f t="shared" ref="K73:K101" si="20">+IF((G73)=0,,(I73-G73)/G73)</f>
        <v>-2.4098700560407034E-2</v>
      </c>
      <c r="L73" s="162">
        <f>+Angers!D73+Thouars!D73+Saumur!D73+Cham!D73</f>
        <v>10061.805779671335</v>
      </c>
    </row>
    <row r="74" spans="1:12" s="2" customFormat="1" ht="11.25">
      <c r="A74" s="5" t="s">
        <v>124</v>
      </c>
      <c r="B74" s="160">
        <f>+Angers!G74</f>
        <v>3363.3482666666664</v>
      </c>
      <c r="C74" s="113">
        <f>+Saumur!$G74</f>
        <v>0</v>
      </c>
      <c r="D74" s="113">
        <f>+Cham!$G74</f>
        <v>4232.2700000000004</v>
      </c>
      <c r="E74" s="113">
        <f>+Thouars!$G74</f>
        <v>3600</v>
      </c>
      <c r="F74" s="160">
        <f>+Angers!E74+Thouars!E74+Saumur!E74+Cham!E74</f>
        <v>13929.66</v>
      </c>
      <c r="G74" s="317">
        <f>+Angers!F74+Thouars!F74+Saumur!F74+Cham!F74</f>
        <v>10874.386666666665</v>
      </c>
      <c r="H74" s="161">
        <f t="shared" si="17"/>
        <v>7595.6182666666664</v>
      </c>
      <c r="I74" s="161">
        <f t="shared" si="18"/>
        <v>11195.618266666666</v>
      </c>
      <c r="J74" s="149">
        <f t="shared" si="19"/>
        <v>-0.21933581532739022</v>
      </c>
      <c r="K74" s="271">
        <f t="shared" si="20"/>
        <v>2.9540203953265197E-2</v>
      </c>
      <c r="L74" s="162">
        <f>+Angers!D74+Thouars!D74+Saumur!D74+Cham!D74</f>
        <v>11987.768970395136</v>
      </c>
    </row>
    <row r="75" spans="1:12" s="2" customFormat="1" ht="11.25">
      <c r="A75" s="5" t="s">
        <v>360</v>
      </c>
      <c r="B75" s="160">
        <f>+Angers!G75</f>
        <v>0</v>
      </c>
      <c r="C75" s="113">
        <f>+Saumur!$G75</f>
        <v>0</v>
      </c>
      <c r="D75" s="113">
        <f>+Cham!$G75</f>
        <v>0</v>
      </c>
      <c r="E75" s="113">
        <f>+Thouars!$G75</f>
        <v>0</v>
      </c>
      <c r="F75" s="160">
        <f>+Angers!E75+Thouars!E75+Saumur!E75+Cham!E75</f>
        <v>0</v>
      </c>
      <c r="G75" s="317">
        <f>+Angers!F75+Thouars!F75+Saumur!F75+Cham!F75</f>
        <v>0</v>
      </c>
      <c r="H75" s="161">
        <f t="shared" si="17"/>
        <v>0</v>
      </c>
      <c r="I75" s="161">
        <f t="shared" si="18"/>
        <v>0</v>
      </c>
      <c r="J75" s="149">
        <f t="shared" si="19"/>
        <v>0</v>
      </c>
      <c r="K75" s="271">
        <f t="shared" si="20"/>
        <v>0</v>
      </c>
      <c r="L75" s="162">
        <f>+Angers!D75+Thouars!D75+Saumur!D75+Cham!D75</f>
        <v>0</v>
      </c>
    </row>
    <row r="76" spans="1:12" s="2" customFormat="1" ht="11.25">
      <c r="A76" s="5" t="s">
        <v>126</v>
      </c>
      <c r="B76" s="160">
        <f>+Angers!G76</f>
        <v>96.284400000000005</v>
      </c>
      <c r="C76" s="113">
        <f>+Saumur!$G76</f>
        <v>0</v>
      </c>
      <c r="D76" s="113">
        <f>+Cham!$G76</f>
        <v>133.88626666666664</v>
      </c>
      <c r="E76" s="113">
        <f>+Thouars!$G76</f>
        <v>20.613733333333336</v>
      </c>
      <c r="F76" s="160">
        <f>+Angers!E76+Thouars!E76+Saumur!E76+Cham!E76</f>
        <v>280.02</v>
      </c>
      <c r="G76" s="317">
        <f>+Angers!F76+Thouars!F76+Saumur!F76+Cham!F76</f>
        <v>243.48</v>
      </c>
      <c r="H76" s="161">
        <f t="shared" si="17"/>
        <v>230.17066666666665</v>
      </c>
      <c r="I76" s="161">
        <f t="shared" si="18"/>
        <v>250.78439999999998</v>
      </c>
      <c r="J76" s="149">
        <f t="shared" si="19"/>
        <v>-0.13049067923719732</v>
      </c>
      <c r="K76" s="271">
        <f t="shared" si="20"/>
        <v>2.9999999999999947E-2</v>
      </c>
      <c r="L76" s="162">
        <f>+Angers!D76+Thouars!D76+Saumur!D76+Cham!D76</f>
        <v>396.31725309443647</v>
      </c>
    </row>
    <row r="77" spans="1:12" s="2" customFormat="1" ht="11.25">
      <c r="A77" s="5" t="s">
        <v>127</v>
      </c>
      <c r="B77" s="160">
        <f>+Angers!G77</f>
        <v>1079.4537333333333</v>
      </c>
      <c r="C77" s="113">
        <f>+Saumur!$G77</f>
        <v>1606.5115999999998</v>
      </c>
      <c r="D77" s="113">
        <f>+Cham!$G77</f>
        <v>489.05773333333326</v>
      </c>
      <c r="E77" s="113">
        <f>+Thouars!$G77</f>
        <v>2576.9638666666669</v>
      </c>
      <c r="F77" s="160">
        <f>+Angers!E77+Thouars!E77+Saumur!E77+Cham!E77</f>
        <v>6478.4</v>
      </c>
      <c r="G77" s="317">
        <f>+Angers!F77+Thouars!F77+Saumur!F77+Cham!F77</f>
        <v>5584.4533333333329</v>
      </c>
      <c r="H77" s="161">
        <f t="shared" si="17"/>
        <v>3175.0230666666662</v>
      </c>
      <c r="I77" s="161">
        <f t="shared" si="18"/>
        <v>5751.9869333333336</v>
      </c>
      <c r="J77" s="149">
        <f t="shared" si="19"/>
        <v>-0.13798880381987325</v>
      </c>
      <c r="K77" s="271">
        <f t="shared" si="20"/>
        <v>3.000000000000012E-2</v>
      </c>
      <c r="L77" s="162">
        <f>+Angers!D77+Thouars!D77+Saumur!D77+Cham!D77</f>
        <v>6673.5895679304977</v>
      </c>
    </row>
    <row r="78" spans="1:12" s="2" customFormat="1" ht="11.25">
      <c r="A78" s="5" t="s">
        <v>101</v>
      </c>
      <c r="B78" s="160">
        <f>+Angers!G78</f>
        <v>0</v>
      </c>
      <c r="C78" s="113">
        <f>+Saumur!$G78</f>
        <v>0</v>
      </c>
      <c r="D78" s="113">
        <f>+Cham!$G78</f>
        <v>2033.7830666666666</v>
      </c>
      <c r="E78" s="113">
        <f>+Thouars!$G78</f>
        <v>0</v>
      </c>
      <c r="F78" s="160">
        <f>+Angers!E78+Thouars!E78+Saumur!E78+Cham!E78</f>
        <v>690</v>
      </c>
      <c r="G78" s="317">
        <f>+Angers!F78+Thouars!F78+Saumur!F78+Cham!F78</f>
        <v>1974.5466666666666</v>
      </c>
      <c r="H78" s="161">
        <f t="shared" si="17"/>
        <v>2033.7830666666666</v>
      </c>
      <c r="I78" s="161">
        <f t="shared" si="18"/>
        <v>2033.7830666666666</v>
      </c>
      <c r="J78" s="149">
        <f t="shared" si="19"/>
        <v>1.8616618357487922</v>
      </c>
      <c r="K78" s="271">
        <f t="shared" si="20"/>
        <v>3.0000000000000002E-2</v>
      </c>
      <c r="L78" s="162">
        <f>+Angers!D78+Thouars!D78+Saumur!D78+Cham!D78</f>
        <v>6688.6161109551731</v>
      </c>
    </row>
    <row r="79" spans="1:12" s="2" customFormat="1" ht="11.25">
      <c r="A79" s="5" t="s">
        <v>102</v>
      </c>
      <c r="B79" s="160">
        <f>+Angers!G79</f>
        <v>23754.680720961282</v>
      </c>
      <c r="C79" s="113">
        <f>+Saumur!$G79</f>
        <v>23502.798000000003</v>
      </c>
      <c r="D79" s="113">
        <f>+Cham!$G79</f>
        <v>24405.67423230975</v>
      </c>
      <c r="E79" s="113">
        <f>+Thouars!$G79</f>
        <v>31738.770250000001</v>
      </c>
      <c r="F79" s="160">
        <f>+Angers!E79+Thouars!E79+Saumur!E79+Cham!E79</f>
        <v>112366.65</v>
      </c>
      <c r="G79" s="317">
        <f>+Angers!F79+Thouars!F79+Saumur!F79+Cham!F79</f>
        <v>105513.98215620828</v>
      </c>
      <c r="H79" s="161">
        <f t="shared" si="17"/>
        <v>71663.152953271026</v>
      </c>
      <c r="I79" s="161">
        <f t="shared" si="18"/>
        <v>103401.92320327103</v>
      </c>
      <c r="J79" s="149">
        <f t="shared" si="19"/>
        <v>-6.098489047944132E-2</v>
      </c>
      <c r="K79" s="271">
        <f t="shared" si="20"/>
        <v>-2.0016863260932112E-2</v>
      </c>
      <c r="L79" s="162">
        <f>+Angers!D79+Thouars!D79+Saumur!D79+Cham!D79</f>
        <v>105406.98759999999</v>
      </c>
    </row>
    <row r="80" spans="1:12" s="2" customFormat="1" ht="11.25">
      <c r="A80" s="5" t="s">
        <v>325</v>
      </c>
      <c r="B80" s="160">
        <f>+Angers!G80</f>
        <v>329.73733333333331</v>
      </c>
      <c r="C80" s="113">
        <f>+Saumur!$G80</f>
        <v>0</v>
      </c>
      <c r="D80" s="113">
        <f>+Cham!$G80</f>
        <v>0</v>
      </c>
      <c r="E80" s="113">
        <f>+Thouars!$G80</f>
        <v>0</v>
      </c>
      <c r="F80" s="160">
        <f>+Angers!E80+Thouars!E80+Saumur!E80+Cham!E80</f>
        <v>0</v>
      </c>
      <c r="G80" s="317">
        <f>+Angers!F80+Thouars!F80+Saumur!F80+Cham!F80</f>
        <v>320.13333333333333</v>
      </c>
      <c r="H80" s="161">
        <f t="shared" si="17"/>
        <v>329.73733333333331</v>
      </c>
      <c r="I80" s="161">
        <f t="shared" si="18"/>
        <v>329.73733333333331</v>
      </c>
      <c r="J80" s="149">
        <f t="shared" si="19"/>
        <v>0</v>
      </c>
      <c r="K80" s="271">
        <f t="shared" si="20"/>
        <v>2.9999999999999954E-2</v>
      </c>
      <c r="L80" s="162">
        <f>+Angers!D80+Thouars!D80+Saumur!D80+Cham!D80</f>
        <v>31.553818250000003</v>
      </c>
    </row>
    <row r="81" spans="1:12" s="2" customFormat="1" ht="11.25">
      <c r="A81" s="5" t="s">
        <v>103</v>
      </c>
      <c r="B81" s="160">
        <f>+Angers!G81</f>
        <v>0</v>
      </c>
      <c r="C81" s="113">
        <f>+Saumur!$G81</f>
        <v>0</v>
      </c>
      <c r="D81" s="113">
        <f>+Cham!$G81</f>
        <v>0</v>
      </c>
      <c r="E81" s="113">
        <f>+Thouars!$G81</f>
        <v>0</v>
      </c>
      <c r="F81" s="160">
        <f>+Angers!E81+Thouars!E81+Saumur!E81+Cham!E81</f>
        <v>0</v>
      </c>
      <c r="G81" s="317">
        <f>+Angers!F81+Thouars!F81+Saumur!F81+Cham!F81</f>
        <v>0</v>
      </c>
      <c r="H81" s="161">
        <f t="shared" si="17"/>
        <v>0</v>
      </c>
      <c r="I81" s="161">
        <f t="shared" si="18"/>
        <v>0</v>
      </c>
      <c r="J81" s="149">
        <f t="shared" si="19"/>
        <v>0</v>
      </c>
      <c r="K81" s="271">
        <f t="shared" si="20"/>
        <v>0</v>
      </c>
      <c r="L81" s="162">
        <f>+Angers!D81+Thouars!D81+Saumur!D81+Cham!D81</f>
        <v>0</v>
      </c>
    </row>
    <row r="82" spans="1:12" s="2" customFormat="1" ht="11.25">
      <c r="A82" s="5" t="s">
        <v>105</v>
      </c>
      <c r="B82" s="160">
        <f>+Angers!G82</f>
        <v>185.4</v>
      </c>
      <c r="C82" s="113">
        <f>+Saumur!$G82</f>
        <v>1280.5234666666668</v>
      </c>
      <c r="D82" s="113">
        <f>+Cham!$G82</f>
        <v>5030.5200000000004</v>
      </c>
      <c r="E82" s="113">
        <f>+Thouars!$G82</f>
        <v>687.58680000000004</v>
      </c>
      <c r="F82" s="160">
        <f>+Angers!E82+Thouars!E82+Saumur!E82+Cham!E82</f>
        <v>5324.17</v>
      </c>
      <c r="G82" s="317">
        <f>+Angers!F82+Thouars!F82+Saumur!F82+Cham!F82</f>
        <v>6974.7866666666669</v>
      </c>
      <c r="H82" s="161">
        <f t="shared" si="17"/>
        <v>6496.4434666666675</v>
      </c>
      <c r="I82" s="161">
        <f t="shared" si="18"/>
        <v>7184.0302666666676</v>
      </c>
      <c r="J82" s="149">
        <f t="shared" si="19"/>
        <v>0.31002328375440052</v>
      </c>
      <c r="K82" s="271">
        <f t="shared" si="20"/>
        <v>3.00000000000001E-2</v>
      </c>
      <c r="L82" s="162">
        <f>+Angers!D82+Thouars!D82+Saumur!D82+Cham!D82</f>
        <v>4563.797901269365</v>
      </c>
    </row>
    <row r="83" spans="1:12" s="2" customFormat="1" ht="11.25">
      <c r="A83" s="5" t="s">
        <v>287</v>
      </c>
      <c r="B83" s="160">
        <f>+Angers!G83</f>
        <v>1381.5184000000002</v>
      </c>
      <c r="C83" s="113">
        <f>+Saumur!$G83</f>
        <v>0</v>
      </c>
      <c r="D83" s="113">
        <f>+Cham!$G83</f>
        <v>1199.0985333333335</v>
      </c>
      <c r="E83" s="113">
        <f>+Thouars!$G83</f>
        <v>0</v>
      </c>
      <c r="F83" s="160">
        <f>+Angers!E83+Thouars!E83+Saumur!E83+Cham!E83</f>
        <v>1585.3600000000001</v>
      </c>
      <c r="G83" s="317">
        <f>+Angers!F83+Thouars!F83+Saumur!F83+Cham!F83</f>
        <v>2505.4533333333338</v>
      </c>
      <c r="H83" s="161">
        <f t="shared" si="17"/>
        <v>2580.6169333333337</v>
      </c>
      <c r="I83" s="161">
        <f t="shared" si="18"/>
        <v>2580.6169333333337</v>
      </c>
      <c r="J83" s="149">
        <f t="shared" si="19"/>
        <v>0.5803687070024055</v>
      </c>
      <c r="K83" s="271">
        <f t="shared" si="20"/>
        <v>2.999999999999994E-2</v>
      </c>
      <c r="L83" s="162">
        <f>+Angers!D83+Thouars!D83+Saumur!D83+Cham!D83</f>
        <v>3278.7167949721688</v>
      </c>
    </row>
    <row r="84" spans="1:12" s="2" customFormat="1" ht="11.25">
      <c r="A84" s="5" t="s">
        <v>108</v>
      </c>
      <c r="B84" s="160">
        <f>+Angers!G84</f>
        <v>2921.6293333333338</v>
      </c>
      <c r="C84" s="113">
        <f>+Saumur!$G84</f>
        <v>1583.1512</v>
      </c>
      <c r="D84" s="113">
        <f>+Cham!$G84</f>
        <v>8032.3932000000004</v>
      </c>
      <c r="E84" s="113">
        <f>+Thouars!$G84</f>
        <v>2625.1953333333336</v>
      </c>
      <c r="F84" s="160">
        <f>+Angers!E84+Thouars!E84+Saumur!E84+Cham!E84</f>
        <v>10734.39</v>
      </c>
      <c r="G84" s="317">
        <f>+Angers!F84+Thouars!F84+Saumur!F84+Cham!F84</f>
        <v>14720.746666666668</v>
      </c>
      <c r="H84" s="161">
        <f t="shared" si="17"/>
        <v>12537.173733333333</v>
      </c>
      <c r="I84" s="161">
        <f t="shared" si="18"/>
        <v>15162.369066666666</v>
      </c>
      <c r="J84" s="149">
        <f t="shared" si="19"/>
        <v>0.37136312977883873</v>
      </c>
      <c r="K84" s="271">
        <f t="shared" si="20"/>
        <v>2.9999999999999888E-2</v>
      </c>
      <c r="L84" s="162">
        <f>+Angers!D84+Thouars!D84+Saumur!D84+Cham!D84</f>
        <v>8670.7176815247658</v>
      </c>
    </row>
    <row r="85" spans="1:12" s="2" customFormat="1" ht="11.25">
      <c r="A85" s="5" t="s">
        <v>109</v>
      </c>
      <c r="B85" s="160">
        <f>+Angers!G85</f>
        <v>3.5569333333333333</v>
      </c>
      <c r="C85" s="113">
        <f>+Saumur!$G85</f>
        <v>1282.6933333333334</v>
      </c>
      <c r="D85" s="113">
        <f>+Cham!$G85</f>
        <v>6132.2629333333325</v>
      </c>
      <c r="E85" s="113">
        <f>+Thouars!$G85</f>
        <v>0</v>
      </c>
      <c r="F85" s="160">
        <f>+Angers!E85+Thouars!E85+Saumur!E85+Cham!E85</f>
        <v>6362.4400000000005</v>
      </c>
      <c r="G85" s="317">
        <f>+Angers!F85+Thouars!F85+Saumur!F85+Cham!F85</f>
        <v>7202.44</v>
      </c>
      <c r="H85" s="161">
        <f t="shared" si="17"/>
        <v>7418.5131999999994</v>
      </c>
      <c r="I85" s="161">
        <f t="shared" si="18"/>
        <v>7418.5131999999994</v>
      </c>
      <c r="J85" s="149">
        <f t="shared" si="19"/>
        <v>0.1320248206662851</v>
      </c>
      <c r="K85" s="271">
        <f t="shared" si="20"/>
        <v>2.9999999999999975E-2</v>
      </c>
      <c r="L85" s="162">
        <f>+Angers!D85+Thouars!D85+Saumur!D85+Cham!D85</f>
        <v>7392.5672559442901</v>
      </c>
    </row>
    <row r="86" spans="1:12" s="2" customFormat="1" ht="11.25">
      <c r="A86" s="5" t="s">
        <v>106</v>
      </c>
      <c r="B86" s="160">
        <f>+Angers!G86</f>
        <v>2519.5310666666664</v>
      </c>
      <c r="C86" s="113">
        <f>+Saumur!$G86</f>
        <v>269.98360000000002</v>
      </c>
      <c r="D86" s="113">
        <f>+Cham!$G86</f>
        <v>1703.8122666666668</v>
      </c>
      <c r="E86" s="113">
        <f>+Thouars!$G86</f>
        <v>311.63679999999994</v>
      </c>
      <c r="F86" s="160">
        <f>+Angers!E86+Thouars!E86+Saumur!E86+Cham!E86</f>
        <v>1420.1799999999998</v>
      </c>
      <c r="G86" s="317">
        <f>+Angers!F86+Thouars!F86+Saumur!F86+Cham!F86</f>
        <v>4665.0133333333333</v>
      </c>
      <c r="H86" s="161">
        <f t="shared" si="17"/>
        <v>4493.3269333333337</v>
      </c>
      <c r="I86" s="161">
        <f t="shared" si="18"/>
        <v>4804.9637333333339</v>
      </c>
      <c r="J86" s="149">
        <f t="shared" si="19"/>
        <v>2.2848042736366754</v>
      </c>
      <c r="K86" s="271">
        <f t="shared" si="20"/>
        <v>3.0000000000000134E-2</v>
      </c>
      <c r="L86" s="162">
        <f>+Angers!D86+Thouars!D86+Saumur!D86+Cham!D86</f>
        <v>2226.3604578046466</v>
      </c>
    </row>
    <row r="87" spans="1:12" s="2" customFormat="1" ht="11.25">
      <c r="A87" s="5" t="s">
        <v>363</v>
      </c>
      <c r="B87" s="160">
        <f>+Angers!G87</f>
        <v>0</v>
      </c>
      <c r="C87" s="113">
        <f>+Saumur!$G87</f>
        <v>0</v>
      </c>
      <c r="D87" s="113">
        <f>+Cham!$G87</f>
        <v>0</v>
      </c>
      <c r="E87" s="113">
        <f>+Thouars!$G87</f>
        <v>0</v>
      </c>
      <c r="F87" s="160">
        <f>+Angers!E87+Thouars!E87+Saumur!E87+Cham!E87</f>
        <v>0</v>
      </c>
      <c r="G87" s="317">
        <f>+Angers!F87+Thouars!F87+Saumur!F87+Cham!F87</f>
        <v>0</v>
      </c>
      <c r="H87" s="161">
        <f t="shared" si="17"/>
        <v>0</v>
      </c>
      <c r="I87" s="161">
        <f t="shared" si="18"/>
        <v>0</v>
      </c>
      <c r="J87" s="149">
        <f t="shared" si="19"/>
        <v>0</v>
      </c>
      <c r="K87" s="271">
        <f t="shared" si="20"/>
        <v>0</v>
      </c>
      <c r="L87" s="162">
        <f>+Angers!D87+Thouars!D87+Saumur!D87+Cham!D87</f>
        <v>0</v>
      </c>
    </row>
    <row r="88" spans="1:12" s="2" customFormat="1" ht="11.25">
      <c r="A88" s="5" t="s">
        <v>111</v>
      </c>
      <c r="B88" s="160">
        <f>+Angers!G88</f>
        <v>3063.6490500000004</v>
      </c>
      <c r="C88" s="113">
        <f>+Saumur!$G88</f>
        <v>2572.038</v>
      </c>
      <c r="D88" s="113">
        <f>+Cham!$G88</f>
        <v>3253.0680000000002</v>
      </c>
      <c r="E88" s="113">
        <f>+Thouars!$G88</f>
        <v>2520.4472999999998</v>
      </c>
      <c r="F88" s="160">
        <f>+Angers!E88+Thouars!E88+Saumur!E88+Cham!E88</f>
        <v>9488.83</v>
      </c>
      <c r="G88" s="317">
        <f>+Angers!F88+Thouars!F88+Saumur!F88+Cham!F88</f>
        <v>11196.84</v>
      </c>
      <c r="H88" s="161">
        <f t="shared" si="17"/>
        <v>8888.7550499999998</v>
      </c>
      <c r="I88" s="161">
        <f t="shared" si="18"/>
        <v>11409.20235</v>
      </c>
      <c r="J88" s="149">
        <f t="shared" si="19"/>
        <v>0.18000217097366064</v>
      </c>
      <c r="K88" s="271">
        <f t="shared" si="20"/>
        <v>1.8966275306247067E-2</v>
      </c>
      <c r="L88" s="162">
        <f>+Angers!D88+Thouars!D88+Saumur!D88+Cham!D88</f>
        <v>11177.235000000001</v>
      </c>
    </row>
    <row r="89" spans="1:12" s="2" customFormat="1" ht="11.25">
      <c r="A89" s="5" t="s">
        <v>315</v>
      </c>
      <c r="B89" s="160">
        <f>+Angers!G89</f>
        <v>0</v>
      </c>
      <c r="C89" s="113">
        <f>+Saumur!$G89</f>
        <v>0</v>
      </c>
      <c r="D89" s="113">
        <f>+Cham!$G89</f>
        <v>0</v>
      </c>
      <c r="E89" s="113">
        <f>+Thouars!$G89</f>
        <v>0</v>
      </c>
      <c r="F89" s="160">
        <f>+Angers!E89+Thouars!E89+Saumur!E89+Cham!E89</f>
        <v>0</v>
      </c>
      <c r="G89" s="317">
        <f>+Angers!F89+Thouars!F89+Saumur!F89+Cham!F89</f>
        <v>0</v>
      </c>
      <c r="H89" s="161">
        <f t="shared" si="17"/>
        <v>0</v>
      </c>
      <c r="I89" s="161">
        <f t="shared" si="18"/>
        <v>0</v>
      </c>
      <c r="J89" s="149">
        <f t="shared" si="19"/>
        <v>0</v>
      </c>
      <c r="K89" s="271">
        <f t="shared" si="20"/>
        <v>0</v>
      </c>
      <c r="L89" s="162">
        <f>+Angers!D89+Thouars!D89+Saumur!D89+Cham!D89</f>
        <v>0</v>
      </c>
    </row>
    <row r="90" spans="1:12" s="2" customFormat="1" ht="11.25">
      <c r="A90" s="5" t="s">
        <v>112</v>
      </c>
      <c r="B90" s="160">
        <f>+Angers!G90</f>
        <v>0</v>
      </c>
      <c r="C90" s="113">
        <f>+Saumur!$G90</f>
        <v>0</v>
      </c>
      <c r="D90" s="113">
        <f>+Cham!$G90</f>
        <v>0</v>
      </c>
      <c r="E90" s="113">
        <f>+Thouars!$G90</f>
        <v>153.34639999999999</v>
      </c>
      <c r="F90" s="160">
        <f>+Angers!E90+Thouars!E90+Saumur!E90+Cham!E90</f>
        <v>524.85</v>
      </c>
      <c r="G90" s="317">
        <f>+Angers!F90+Thouars!F90+Saumur!F90+Cham!F90</f>
        <v>148.88</v>
      </c>
      <c r="H90" s="161">
        <f t="shared" si="17"/>
        <v>0</v>
      </c>
      <c r="I90" s="161">
        <f t="shared" si="18"/>
        <v>153.34639999999999</v>
      </c>
      <c r="J90" s="149">
        <f t="shared" si="19"/>
        <v>-0.71633800133371439</v>
      </c>
      <c r="K90" s="271">
        <f t="shared" si="20"/>
        <v>2.9999999999999954E-2</v>
      </c>
      <c r="L90" s="162">
        <f>+Angers!D90+Thouars!D90+Saumur!D90+Cham!D90</f>
        <v>594.05928774062772</v>
      </c>
    </row>
    <row r="91" spans="1:12" s="2" customFormat="1" ht="11.25">
      <c r="A91" s="5" t="s">
        <v>113</v>
      </c>
      <c r="B91" s="160">
        <f>+Angers!G91</f>
        <v>2194.3806666666669</v>
      </c>
      <c r="C91" s="113">
        <f>+Saumur!$G91</f>
        <v>500</v>
      </c>
      <c r="D91" s="113">
        <f>+Cham!$G91</f>
        <v>901.53840000000002</v>
      </c>
      <c r="E91" s="113">
        <f>+Thouars!$G91</f>
        <v>1501.6301333333333</v>
      </c>
      <c r="F91" s="160">
        <f>+Angers!E91+Thouars!E91+Saumur!E91+Cham!E91</f>
        <v>2582.89</v>
      </c>
      <c r="G91" s="317">
        <f>+Angers!F91+Thouars!F91+Saumur!F91+Cham!F91</f>
        <v>5186.32</v>
      </c>
      <c r="H91" s="161">
        <f t="shared" si="17"/>
        <v>3595.9190666666668</v>
      </c>
      <c r="I91" s="161">
        <f t="shared" si="18"/>
        <v>5097.5492000000004</v>
      </c>
      <c r="J91" s="149">
        <f t="shared" si="19"/>
        <v>1.0079523324647972</v>
      </c>
      <c r="K91" s="271">
        <f t="shared" si="20"/>
        <v>-1.7116336824569124E-2</v>
      </c>
      <c r="L91" s="162">
        <f>+Angers!D91+Thouars!D91+Saumur!D91+Cham!D91</f>
        <v>3508.8863258689585</v>
      </c>
    </row>
    <row r="92" spans="1:12" s="2" customFormat="1" ht="11.25">
      <c r="A92" s="5" t="s">
        <v>309</v>
      </c>
      <c r="B92" s="160">
        <f>+Angers!G92</f>
        <v>0</v>
      </c>
      <c r="C92" s="113">
        <f>+Saumur!$G92</f>
        <v>0</v>
      </c>
      <c r="D92" s="113">
        <f>+Cham!$G92</f>
        <v>0</v>
      </c>
      <c r="E92" s="113">
        <f>+Thouars!$G92</f>
        <v>0</v>
      </c>
      <c r="F92" s="160">
        <f>+Angers!E92+Thouars!E92+Saumur!E92+Cham!E92</f>
        <v>0</v>
      </c>
      <c r="G92" s="317">
        <f>+Angers!F92+Thouars!F92+Saumur!F92+Cham!F92</f>
        <v>0</v>
      </c>
      <c r="H92" s="161">
        <f t="shared" si="17"/>
        <v>0</v>
      </c>
      <c r="I92" s="161">
        <f t="shared" si="18"/>
        <v>0</v>
      </c>
      <c r="J92" s="149">
        <f t="shared" si="19"/>
        <v>0</v>
      </c>
      <c r="K92" s="271">
        <f t="shared" si="20"/>
        <v>0</v>
      </c>
      <c r="L92" s="162">
        <f>+Angers!D92+Thouars!D92+Saumur!D92+Cham!D92</f>
        <v>0</v>
      </c>
    </row>
    <row r="93" spans="1:12" s="2" customFormat="1" ht="11.25">
      <c r="A93" s="5" t="s">
        <v>115</v>
      </c>
      <c r="B93" s="160">
        <f>+Angers!G93</f>
        <v>0</v>
      </c>
      <c r="C93" s="113">
        <f>+Saumur!$G93</f>
        <v>0</v>
      </c>
      <c r="D93" s="113">
        <f>+Cham!$G93</f>
        <v>274.66666666666663</v>
      </c>
      <c r="E93" s="113">
        <f>+Thouars!$G93</f>
        <v>0</v>
      </c>
      <c r="F93" s="160">
        <f>+Angers!E93+Thouars!E93+Saumur!E93+Cham!E93</f>
        <v>350</v>
      </c>
      <c r="G93" s="317">
        <f>+Angers!F93+Thouars!F93+Saumur!F93+Cham!F93</f>
        <v>266.66666666666663</v>
      </c>
      <c r="H93" s="161">
        <f t="shared" si="17"/>
        <v>274.66666666666663</v>
      </c>
      <c r="I93" s="161">
        <f t="shared" si="18"/>
        <v>274.66666666666663</v>
      </c>
      <c r="J93" s="149">
        <f t="shared" si="19"/>
        <v>-0.23809523809523819</v>
      </c>
      <c r="K93" s="271">
        <f t="shared" si="20"/>
        <v>3.0000000000000006E-2</v>
      </c>
      <c r="L93" s="162">
        <f>+Angers!D93+Thouars!D93+Saumur!D93+Cham!D93</f>
        <v>44.487025052083332</v>
      </c>
    </row>
    <row r="94" spans="1:12" s="2" customFormat="1" ht="11.25">
      <c r="A94" s="5" t="s">
        <v>42</v>
      </c>
      <c r="B94" s="160">
        <f>+Angers!G94</f>
        <v>0</v>
      </c>
      <c r="C94" s="113">
        <f>+Saumur!$G94</f>
        <v>0</v>
      </c>
      <c r="D94" s="113">
        <f>+Cham!$G94</f>
        <v>0</v>
      </c>
      <c r="E94" s="113">
        <f>+Thouars!$G94</f>
        <v>0</v>
      </c>
      <c r="F94" s="160">
        <f>+Angers!E94+Thouars!E94+Saumur!E94+Cham!E94</f>
        <v>25</v>
      </c>
      <c r="G94" s="317">
        <f>+Angers!F94+Thouars!F94+Saumur!F94+Cham!F94</f>
        <v>0</v>
      </c>
      <c r="H94" s="161">
        <f t="shared" si="17"/>
        <v>0</v>
      </c>
      <c r="I94" s="161">
        <f t="shared" si="18"/>
        <v>0</v>
      </c>
      <c r="J94" s="149">
        <f t="shared" si="19"/>
        <v>-1</v>
      </c>
      <c r="K94" s="271">
        <f t="shared" si="20"/>
        <v>0</v>
      </c>
      <c r="L94" s="162">
        <f>+Angers!D94+Thouars!D94+Saumur!D94+Cham!D94</f>
        <v>5.5175201001875003</v>
      </c>
    </row>
    <row r="95" spans="1:12" s="2" customFormat="1" ht="11.25">
      <c r="A95" s="5" t="s">
        <v>117</v>
      </c>
      <c r="B95" s="160">
        <f>+Angers!G95</f>
        <v>10784.525733333334</v>
      </c>
      <c r="C95" s="113">
        <f>+Saumur!$G95</f>
        <v>3000</v>
      </c>
      <c r="D95" s="113">
        <f>+Cham!$G95</f>
        <v>4000</v>
      </c>
      <c r="E95" s="113">
        <f>+Thouars!$G95</f>
        <v>15892.776399999999</v>
      </c>
      <c r="F95" s="160">
        <f>+Angers!E95+Thouars!E95+Saumur!E95+Cham!E95</f>
        <v>39556.04</v>
      </c>
      <c r="G95" s="317">
        <f>+Angers!F95+Thouars!F95+Saumur!F95+Cham!F95</f>
        <v>31668.666666666668</v>
      </c>
      <c r="H95" s="161">
        <f t="shared" si="17"/>
        <v>17784.525733333336</v>
      </c>
      <c r="I95" s="161">
        <f t="shared" si="18"/>
        <v>33677.302133333331</v>
      </c>
      <c r="J95" s="149">
        <f t="shared" si="19"/>
        <v>-0.19939744558184624</v>
      </c>
      <c r="K95" s="271">
        <f t="shared" si="20"/>
        <v>6.3426587794454967E-2</v>
      </c>
      <c r="L95" s="162">
        <f>+Angers!D95+Thouars!D95+Saumur!D95+Cham!D95</f>
        <v>45282.961340015623</v>
      </c>
    </row>
    <row r="96" spans="1:12" s="2" customFormat="1" ht="11.25">
      <c r="A96" s="5" t="s">
        <v>118</v>
      </c>
      <c r="B96" s="160">
        <f>+Angers!G96</f>
        <v>10000</v>
      </c>
      <c r="C96" s="113">
        <f>+Saumur!$G96</f>
        <v>3000</v>
      </c>
      <c r="D96" s="113">
        <f>+Cham!$G96</f>
        <v>7000</v>
      </c>
      <c r="E96" s="113">
        <f>+Thouars!$G96</f>
        <v>9000</v>
      </c>
      <c r="F96" s="160">
        <f>+Angers!E96+Thouars!E96+Saumur!E96+Cham!E96</f>
        <v>33919.010000000009</v>
      </c>
      <c r="G96" s="317">
        <f>+Angers!F96+Thouars!F96+Saumur!F96+Cham!F96</f>
        <v>27403.466666666664</v>
      </c>
      <c r="H96" s="161">
        <f t="shared" si="17"/>
        <v>20000</v>
      </c>
      <c r="I96" s="161">
        <f t="shared" si="18"/>
        <v>29000</v>
      </c>
      <c r="J96" s="149">
        <f t="shared" si="19"/>
        <v>-0.19209119998883648</v>
      </c>
      <c r="K96" s="271">
        <f t="shared" si="20"/>
        <v>5.8260268773780571E-2</v>
      </c>
      <c r="L96" s="162">
        <f>+Angers!D96+Thouars!D96+Saumur!D96+Cham!D96</f>
        <v>31500</v>
      </c>
    </row>
    <row r="97" spans="1:12" s="2" customFormat="1" ht="11.25">
      <c r="A97" s="5" t="s">
        <v>7</v>
      </c>
      <c r="B97" s="160">
        <f>+Angers!G97</f>
        <v>0</v>
      </c>
      <c r="C97" s="113">
        <f>+Saumur!$G97</f>
        <v>0</v>
      </c>
      <c r="D97" s="113">
        <f>+Cham!$G97</f>
        <v>250</v>
      </c>
      <c r="E97" s="113">
        <f>+Thouars!$G97</f>
        <v>0</v>
      </c>
      <c r="F97" s="160">
        <f>+Angers!E97+Thouars!E97+Saumur!E97+Cham!E97</f>
        <v>229.12</v>
      </c>
      <c r="G97" s="317">
        <f>+Angers!F97+Thouars!F97+Saumur!F97+Cham!F97</f>
        <v>267.56</v>
      </c>
      <c r="H97" s="161">
        <f t="shared" si="17"/>
        <v>250</v>
      </c>
      <c r="I97" s="161">
        <f t="shared" si="18"/>
        <v>250</v>
      </c>
      <c r="J97" s="149">
        <f t="shared" si="19"/>
        <v>0.16777234636871508</v>
      </c>
      <c r="K97" s="271">
        <f t="shared" si="20"/>
        <v>-6.5630139034235313E-2</v>
      </c>
      <c r="L97" s="162">
        <f>+Angers!D97+Thouars!D97+Saumur!D97+Cham!D97</f>
        <v>230.316372355</v>
      </c>
    </row>
    <row r="98" spans="1:12" s="2" customFormat="1" ht="11.25">
      <c r="A98" s="5" t="s">
        <v>307</v>
      </c>
      <c r="B98" s="160">
        <f>+Angers!G98</f>
        <v>0</v>
      </c>
      <c r="C98" s="113">
        <f>+Saumur!$G98</f>
        <v>0</v>
      </c>
      <c r="D98" s="113">
        <f>+Cham!$G98</f>
        <v>0</v>
      </c>
      <c r="E98" s="113">
        <f>+Thouars!$G98</f>
        <v>0</v>
      </c>
      <c r="F98" s="160">
        <f>+Angers!E98+Thouars!E98+Saumur!E98+Cham!E98</f>
        <v>0</v>
      </c>
      <c r="G98" s="317">
        <f>+Angers!F98+Thouars!F98+Saumur!F98+Cham!F98</f>
        <v>0</v>
      </c>
      <c r="H98" s="161">
        <f t="shared" si="17"/>
        <v>0</v>
      </c>
      <c r="I98" s="161">
        <f t="shared" si="18"/>
        <v>0</v>
      </c>
      <c r="J98" s="149">
        <f t="shared" si="19"/>
        <v>0</v>
      </c>
      <c r="K98" s="271">
        <f t="shared" si="20"/>
        <v>0</v>
      </c>
      <c r="L98" s="162">
        <f>+Angers!D98+Thouars!D98+Saumur!D98+Cham!D98</f>
        <v>0</v>
      </c>
    </row>
    <row r="99" spans="1:12" s="2" customFormat="1" ht="11.25">
      <c r="A99" s="5" t="s">
        <v>119</v>
      </c>
      <c r="B99" s="160">
        <f>+Angers!G99</f>
        <v>5153.68</v>
      </c>
      <c r="C99" s="113">
        <f>+Saumur!$G99</f>
        <v>2943.2666666666664</v>
      </c>
      <c r="D99" s="113">
        <f>+Cham!$G99</f>
        <v>5887</v>
      </c>
      <c r="E99" s="113">
        <f>+Thouars!$G99</f>
        <v>3955.413333333333</v>
      </c>
      <c r="F99" s="160">
        <f>+Angers!E99+Thouars!E99+Saumur!E99+Cham!E99</f>
        <v>19500.689999999999</v>
      </c>
      <c r="G99" s="317">
        <f>+Angers!F99+Thouars!F99+Saumur!F99+Cham!F99</f>
        <v>17939.36</v>
      </c>
      <c r="H99" s="161">
        <f t="shared" si="17"/>
        <v>13983.946666666667</v>
      </c>
      <c r="I99" s="161">
        <f t="shared" si="18"/>
        <v>17939.36</v>
      </c>
      <c r="J99" s="149">
        <f t="shared" si="19"/>
        <v>-8.0065372045809574E-2</v>
      </c>
      <c r="K99" s="271">
        <f t="shared" si="20"/>
        <v>0</v>
      </c>
      <c r="L99" s="162">
        <f>+Angers!D99+Thouars!D99+Saumur!D99+Cham!D99</f>
        <v>18972.696634459822</v>
      </c>
    </row>
    <row r="100" spans="1:12" s="2" customFormat="1" ht="11.25">
      <c r="A100" s="5" t="s">
        <v>120</v>
      </c>
      <c r="B100" s="160">
        <f>+Angers!G100</f>
        <v>1222.3216</v>
      </c>
      <c r="C100" s="113">
        <f>+Saumur!$G100</f>
        <v>597.30386666666664</v>
      </c>
      <c r="D100" s="113">
        <f>+Cham!$G100</f>
        <v>871.28386666666654</v>
      </c>
      <c r="E100" s="113">
        <f>+Thouars!$G100</f>
        <v>1906.5162666666668</v>
      </c>
      <c r="F100" s="160">
        <f>+Angers!E100+Thouars!E100+Saumur!E100+Cham!E100</f>
        <v>3914.1099999999997</v>
      </c>
      <c r="G100" s="317">
        <f>+Angers!F100+Thouars!F100+Saumur!F100+Cham!F100</f>
        <v>4463.5200000000004</v>
      </c>
      <c r="H100" s="161">
        <f t="shared" si="17"/>
        <v>2690.9093333333331</v>
      </c>
      <c r="I100" s="161">
        <f t="shared" si="18"/>
        <v>4597.4255999999996</v>
      </c>
      <c r="J100" s="149">
        <f t="shared" si="19"/>
        <v>0.14036652010290993</v>
      </c>
      <c r="K100" s="271">
        <f t="shared" si="20"/>
        <v>2.9999999999999805E-2</v>
      </c>
      <c r="L100" s="162">
        <f>+Angers!D100+Thouars!D100+Saumur!D100+Cham!D100</f>
        <v>3538.8859463323297</v>
      </c>
    </row>
    <row r="101" spans="1:12" s="2" customFormat="1" ht="11.25">
      <c r="A101" s="5" t="s">
        <v>121</v>
      </c>
      <c r="B101" s="160">
        <f>+Angers!G101</f>
        <v>0</v>
      </c>
      <c r="C101" s="113">
        <f>+Saumur!$G101</f>
        <v>0</v>
      </c>
      <c r="D101" s="113">
        <f>+Cham!$G101</f>
        <v>0</v>
      </c>
      <c r="E101" s="113">
        <f>+Thouars!$G101</f>
        <v>0</v>
      </c>
      <c r="F101" s="160">
        <f>+Angers!E101+Thouars!E101+Saumur!E101+Cham!E101</f>
        <v>0</v>
      </c>
      <c r="G101" s="317">
        <f>+Angers!F101+Thouars!F101+Saumur!F101+Cham!F101</f>
        <v>0</v>
      </c>
      <c r="H101" s="161">
        <f t="shared" si="17"/>
        <v>0</v>
      </c>
      <c r="I101" s="161">
        <f t="shared" si="18"/>
        <v>0</v>
      </c>
      <c r="J101" s="149">
        <f t="shared" si="19"/>
        <v>0</v>
      </c>
      <c r="K101" s="271">
        <f t="shared" si="20"/>
        <v>0</v>
      </c>
      <c r="L101" s="162">
        <f>+Angers!D101+Thouars!D101+Saumur!D101+Cham!D101</f>
        <v>0</v>
      </c>
    </row>
    <row r="102" spans="1:12" s="2" customFormat="1" ht="11.25">
      <c r="A102" s="5"/>
      <c r="B102" s="160"/>
      <c r="C102" s="113"/>
      <c r="D102" s="113"/>
      <c r="E102" s="113"/>
      <c r="F102" s="160"/>
      <c r="G102" s="113"/>
      <c r="H102" s="162"/>
      <c r="I102" s="162"/>
      <c r="J102" s="149"/>
      <c r="K102" s="254"/>
      <c r="L102" s="18"/>
    </row>
    <row r="103" spans="1:12" s="2" customFormat="1" ht="11.25">
      <c r="A103" s="13" t="s">
        <v>122</v>
      </c>
      <c r="B103" s="163">
        <f t="shared" ref="B103:G103" si="21">SUM(B70:B102)</f>
        <v>88796.679770961287</v>
      </c>
      <c r="C103" s="204">
        <f t="shared" si="21"/>
        <v>46339.351333333339</v>
      </c>
      <c r="D103" s="204">
        <f t="shared" si="21"/>
        <v>90257.37783230975</v>
      </c>
      <c r="E103" s="204">
        <f t="shared" si="21"/>
        <v>87919.259283333347</v>
      </c>
      <c r="F103" s="163">
        <f t="shared" si="21"/>
        <v>316689.77999999997</v>
      </c>
      <c r="G103" s="204">
        <f t="shared" si="21"/>
        <v>315264.28882287495</v>
      </c>
      <c r="H103" s="168">
        <f>SUM(A103:D103)</f>
        <v>225393.40893660439</v>
      </c>
      <c r="I103" s="168">
        <f>SUM(B103:E103)</f>
        <v>313312.66821993771</v>
      </c>
      <c r="J103" s="272">
        <f>+IF((F103)=0,,(G103-F103)/F103)</f>
        <v>-4.5012225437935484E-3</v>
      </c>
      <c r="K103" s="188">
        <f>+IF((G103)=0,,(I103-G103)/G103)</f>
        <v>-6.1904271182256238E-3</v>
      </c>
      <c r="L103" s="305">
        <f>SUM(L72:L102)+L70</f>
        <v>322491.238824523</v>
      </c>
    </row>
    <row r="104" spans="1:12" s="2" customFormat="1" ht="11.25">
      <c r="A104" s="5"/>
      <c r="B104" s="160"/>
      <c r="C104" s="113"/>
      <c r="D104" s="113"/>
      <c r="E104" s="113"/>
      <c r="F104" s="160"/>
      <c r="G104" s="113"/>
      <c r="H104" s="162"/>
      <c r="I104" s="162"/>
      <c r="J104" s="149"/>
      <c r="K104" s="254"/>
      <c r="L104" s="18"/>
    </row>
    <row r="105" spans="1:12" s="2" customFormat="1" ht="11.25">
      <c r="A105" s="5" t="s">
        <v>129</v>
      </c>
      <c r="B105" s="160">
        <f>+Angers!G105</f>
        <v>1000</v>
      </c>
      <c r="C105" s="113">
        <f>+Saumur!$G105</f>
        <v>1000</v>
      </c>
      <c r="D105" s="113">
        <f>+Cham!$G105</f>
        <v>1000</v>
      </c>
      <c r="E105" s="113">
        <f>+Thouars!$G105</f>
        <v>1000</v>
      </c>
      <c r="F105" s="160">
        <f>+Angers!E105+Thouars!E105+Saumur!E105+Cham!E105</f>
        <v>2322.8999999999996</v>
      </c>
      <c r="G105" s="317">
        <f>+Angers!F105+Thouars!F105+Saumur!F105+Cham!F105</f>
        <v>0</v>
      </c>
      <c r="H105" s="161">
        <f t="shared" ref="H105:H114" si="22">SUM(A105:D105)</f>
        <v>3000</v>
      </c>
      <c r="I105" s="161">
        <f t="shared" ref="I105:I114" si="23">SUM(B105:E105)</f>
        <v>4000</v>
      </c>
      <c r="J105" s="149">
        <f>+IF((F105)=0,,(G105-F105)/F105)</f>
        <v>-1</v>
      </c>
      <c r="K105" s="271">
        <f>+IF((G105)=0,,(I105-G105)/G105)</f>
        <v>0</v>
      </c>
      <c r="L105" s="162">
        <f>+Angers!D105+Thouars!D105+Saumur!D105+Cham!D105</f>
        <v>4000</v>
      </c>
    </row>
    <row r="106" spans="1:12" s="2" customFormat="1" ht="11.25">
      <c r="A106" s="5" t="s">
        <v>130</v>
      </c>
      <c r="B106" s="160">
        <f>+Angers!G106</f>
        <v>8000</v>
      </c>
      <c r="C106" s="113">
        <f>+Saumur!$G106</f>
        <v>1500</v>
      </c>
      <c r="D106" s="113">
        <f>+Cham!$G106</f>
        <v>4000</v>
      </c>
      <c r="E106" s="113">
        <f>+Thouars!$G106</f>
        <v>4000</v>
      </c>
      <c r="F106" s="160">
        <f>+Angers!E106+Thouars!E106+Saumur!E106+Cham!E106</f>
        <v>20655.45</v>
      </c>
      <c r="G106" s="317">
        <f>+Angers!F106+Thouars!F106+Saumur!F106+Cham!F106</f>
        <v>21171.173333333332</v>
      </c>
      <c r="H106" s="161">
        <f t="shared" si="22"/>
        <v>13500</v>
      </c>
      <c r="I106" s="161">
        <f t="shared" si="23"/>
        <v>17500</v>
      </c>
      <c r="J106" s="149">
        <f t="shared" ref="J106:J114" si="24">+IF((F106)=0,,(G106-F106)/F106)</f>
        <v>2.4967905968319815E-2</v>
      </c>
      <c r="K106" s="271">
        <f t="shared" ref="K106:K114" si="25">+IF((G106)=0,,(I106-G106)/G106)</f>
        <v>-0.17340433973742908</v>
      </c>
      <c r="L106" s="162">
        <f>+Angers!D106+Thouars!D106+Saumur!D106+Cham!D106</f>
        <v>14000</v>
      </c>
    </row>
    <row r="107" spans="1:12" s="2" customFormat="1" ht="11.25">
      <c r="A107" s="5" t="s">
        <v>131</v>
      </c>
      <c r="B107" s="160">
        <f>+Angers!G107</f>
        <v>0</v>
      </c>
      <c r="C107" s="113">
        <f>+Saumur!$G107</f>
        <v>0</v>
      </c>
      <c r="D107" s="113">
        <f>+Cham!$G107</f>
        <v>0</v>
      </c>
      <c r="E107" s="113">
        <f>+Thouars!$G107</f>
        <v>0</v>
      </c>
      <c r="F107" s="160">
        <f>+Angers!E107+Thouars!E107+Saumur!E107+Cham!E107</f>
        <v>0</v>
      </c>
      <c r="G107" s="317">
        <f>+Angers!F107+Thouars!F107+Saumur!F107+Cham!F107</f>
        <v>0</v>
      </c>
      <c r="H107" s="161">
        <f t="shared" si="22"/>
        <v>0</v>
      </c>
      <c r="I107" s="161">
        <f t="shared" si="23"/>
        <v>0</v>
      </c>
      <c r="J107" s="149">
        <f t="shared" si="24"/>
        <v>0</v>
      </c>
      <c r="K107" s="271">
        <f t="shared" si="25"/>
        <v>0</v>
      </c>
      <c r="L107" s="162">
        <f>+Angers!D107+Thouars!D107+Saumur!D107+Cham!D107</f>
        <v>0</v>
      </c>
    </row>
    <row r="108" spans="1:12" s="2" customFormat="1" ht="11.25">
      <c r="A108" s="5" t="s">
        <v>132</v>
      </c>
      <c r="B108" s="160">
        <f>+Angers!G108</f>
        <v>500</v>
      </c>
      <c r="C108" s="113">
        <f>+Saumur!$G108</f>
        <v>0</v>
      </c>
      <c r="D108" s="113">
        <f>+Cham!$G108</f>
        <v>150</v>
      </c>
      <c r="E108" s="113">
        <f>+Thouars!$G108</f>
        <v>300</v>
      </c>
      <c r="F108" s="160">
        <f>+Angers!E108+Thouars!E108+Saumur!E108+Cham!E108</f>
        <v>1506</v>
      </c>
      <c r="G108" s="317">
        <f>+Angers!F108+Thouars!F108+Saumur!F108+Cham!F108</f>
        <v>-1566.6800000000003</v>
      </c>
      <c r="H108" s="161">
        <f t="shared" si="22"/>
        <v>650</v>
      </c>
      <c r="I108" s="161">
        <f t="shared" si="23"/>
        <v>950</v>
      </c>
      <c r="J108" s="149">
        <f t="shared" si="24"/>
        <v>-2.0402921646746348</v>
      </c>
      <c r="K108" s="271">
        <f t="shared" si="25"/>
        <v>-1.6063778180611228</v>
      </c>
      <c r="L108" s="162">
        <f>+Angers!D108+Thouars!D108+Saumur!D108+Cham!D108</f>
        <v>800</v>
      </c>
    </row>
    <row r="109" spans="1:12" s="2" customFormat="1" ht="11.25">
      <c r="A109" s="5" t="s">
        <v>133</v>
      </c>
      <c r="B109" s="160">
        <f>+Angers!G109</f>
        <v>4500</v>
      </c>
      <c r="C109" s="113">
        <f>+Saumur!$G109</f>
        <v>2000</v>
      </c>
      <c r="D109" s="113">
        <f>+Cham!$G109</f>
        <v>5000</v>
      </c>
      <c r="E109" s="113">
        <f>+Thouars!$G109</f>
        <v>4500</v>
      </c>
      <c r="F109" s="160">
        <f>+Angers!E109+Thouars!E109+Saumur!E109+Cham!E109</f>
        <v>10441.279999999999</v>
      </c>
      <c r="G109" s="317">
        <f>+Angers!F109+Thouars!F109+Saumur!F109+Cham!F109</f>
        <v>12766.386666666667</v>
      </c>
      <c r="H109" s="161">
        <f t="shared" si="22"/>
        <v>11500</v>
      </c>
      <c r="I109" s="161">
        <f t="shared" si="23"/>
        <v>16000</v>
      </c>
      <c r="J109" s="149">
        <f t="shared" si="24"/>
        <v>0.22268406427819851</v>
      </c>
      <c r="K109" s="271">
        <f t="shared" si="25"/>
        <v>0.25329119489826923</v>
      </c>
      <c r="L109" s="162">
        <f>+Angers!D109+Thouars!D109+Saumur!D109+Cham!D109</f>
        <v>18300</v>
      </c>
    </row>
    <row r="110" spans="1:12" s="2" customFormat="1" ht="11.25">
      <c r="A110" s="5" t="s">
        <v>134</v>
      </c>
      <c r="B110" s="160">
        <f>+Angers!G110</f>
        <v>7000</v>
      </c>
      <c r="C110" s="113">
        <f>+Saumur!$G110</f>
        <v>2000</v>
      </c>
      <c r="D110" s="113">
        <f>+Cham!$G110</f>
        <v>12000</v>
      </c>
      <c r="E110" s="113">
        <f>+Thouars!$G110</f>
        <v>8000</v>
      </c>
      <c r="F110" s="160">
        <f>+Angers!E110+Thouars!E110+Saumur!E110+Cham!E110</f>
        <v>26988.449999999997</v>
      </c>
      <c r="G110" s="317">
        <f>+Angers!F110+Thouars!F110+Saumur!F110+Cham!F110</f>
        <v>27356.133333333335</v>
      </c>
      <c r="H110" s="161">
        <f t="shared" si="22"/>
        <v>21000</v>
      </c>
      <c r="I110" s="161">
        <f t="shared" si="23"/>
        <v>29000</v>
      </c>
      <c r="J110" s="149">
        <f t="shared" si="24"/>
        <v>1.3623729163154534E-2</v>
      </c>
      <c r="K110" s="271">
        <f t="shared" si="25"/>
        <v>6.0091338444516945E-2</v>
      </c>
      <c r="L110" s="162">
        <f>+Angers!D110+Thouars!D110+Saumur!D110+Cham!D110</f>
        <v>29000</v>
      </c>
    </row>
    <row r="111" spans="1:12" s="2" customFormat="1" ht="11.25">
      <c r="A111" s="5" t="s">
        <v>135</v>
      </c>
      <c r="B111" s="160">
        <f>+Angers!G111</f>
        <v>100</v>
      </c>
      <c r="C111" s="113">
        <f>+Saumur!$G111</f>
        <v>50</v>
      </c>
      <c r="D111" s="113">
        <f>+Cham!$G111</f>
        <v>50</v>
      </c>
      <c r="E111" s="113">
        <f>+Thouars!$G111</f>
        <v>150</v>
      </c>
      <c r="F111" s="160">
        <f>+Angers!E111+Thouars!E111+Saumur!E111+Cham!E111</f>
        <v>195</v>
      </c>
      <c r="G111" s="317">
        <f>+Angers!F111+Thouars!F111+Saumur!F111+Cham!F111</f>
        <v>66.666666666666657</v>
      </c>
      <c r="H111" s="161">
        <f t="shared" si="22"/>
        <v>200</v>
      </c>
      <c r="I111" s="161">
        <f t="shared" si="23"/>
        <v>350</v>
      </c>
      <c r="J111" s="149">
        <f t="shared" si="24"/>
        <v>-0.65811965811965811</v>
      </c>
      <c r="K111" s="271">
        <f t="shared" si="25"/>
        <v>4.2500000000000009</v>
      </c>
      <c r="L111" s="162">
        <f>+Angers!D111+Thouars!D111+Saumur!D111+Cham!D111</f>
        <v>320</v>
      </c>
    </row>
    <row r="112" spans="1:12" s="2" customFormat="1" ht="11.25">
      <c r="A112" s="5" t="s">
        <v>136</v>
      </c>
      <c r="B112" s="160">
        <f>+Angers!G112</f>
        <v>1000</v>
      </c>
      <c r="C112" s="113">
        <f>+Saumur!$G112</f>
        <v>0</v>
      </c>
      <c r="D112" s="113">
        <f>+Cham!$G112</f>
        <v>150</v>
      </c>
      <c r="E112" s="113">
        <f>+Thouars!$G112</f>
        <v>0</v>
      </c>
      <c r="F112" s="160">
        <f>+Angers!E112+Thouars!E112+Saumur!E112+Cham!E112</f>
        <v>850.93000000000006</v>
      </c>
      <c r="G112" s="317">
        <f>+Angers!F112+Thouars!F112+Saumur!F112+Cham!F112</f>
        <v>4000</v>
      </c>
      <c r="H112" s="161">
        <f t="shared" si="22"/>
        <v>1150</v>
      </c>
      <c r="I112" s="161">
        <f t="shared" si="23"/>
        <v>1150</v>
      </c>
      <c r="J112" s="149">
        <f t="shared" si="24"/>
        <v>3.7007391912378216</v>
      </c>
      <c r="K112" s="271">
        <f t="shared" si="25"/>
        <v>-0.71250000000000002</v>
      </c>
      <c r="L112" s="162">
        <f>+Angers!D112+Thouars!D112+Saumur!D112+Cham!D112</f>
        <v>4000</v>
      </c>
    </row>
    <row r="113" spans="1:12" s="2" customFormat="1" ht="11.25">
      <c r="A113" s="5" t="s">
        <v>137</v>
      </c>
      <c r="B113" s="160">
        <f>+Angers!G113</f>
        <v>5000</v>
      </c>
      <c r="C113" s="113">
        <f>+Saumur!$G113</f>
        <v>2400</v>
      </c>
      <c r="D113" s="113">
        <f>+Cham!$G113</f>
        <v>5500</v>
      </c>
      <c r="E113" s="113">
        <f>+Thouars!$G113</f>
        <v>4169.9755999999998</v>
      </c>
      <c r="F113" s="160">
        <f>+Angers!E113+Thouars!E113+Saumur!E113+Cham!E113</f>
        <v>17141.38</v>
      </c>
      <c r="G113" s="317">
        <f>+Angers!F113+Thouars!F113+Saumur!F113+Cham!F113</f>
        <v>16406.920000000002</v>
      </c>
      <c r="H113" s="161">
        <f t="shared" si="22"/>
        <v>12900</v>
      </c>
      <c r="I113" s="161">
        <f t="shared" si="23"/>
        <v>17069.975599999998</v>
      </c>
      <c r="J113" s="149">
        <f t="shared" si="24"/>
        <v>-4.2847191999710585E-2</v>
      </c>
      <c r="K113" s="271">
        <f t="shared" si="25"/>
        <v>4.0413167127041273E-2</v>
      </c>
      <c r="L113" s="162">
        <f>+Angers!D113+Thouars!D113+Saumur!D113+Cham!D113</f>
        <v>21500</v>
      </c>
    </row>
    <row r="114" spans="1:12" s="2" customFormat="1" ht="11.25">
      <c r="A114" s="5" t="s">
        <v>138</v>
      </c>
      <c r="B114" s="160">
        <f>+Angers!G114</f>
        <v>0</v>
      </c>
      <c r="C114" s="113">
        <f>+Saumur!$G114</f>
        <v>0</v>
      </c>
      <c r="D114" s="113">
        <f>+Cham!$G114</f>
        <v>0</v>
      </c>
      <c r="E114" s="113">
        <f>+Thouars!$G114</f>
        <v>0</v>
      </c>
      <c r="F114" s="160">
        <f>+Angers!E114+Thouars!E114+Saumur!E114+Cham!E114</f>
        <v>0</v>
      </c>
      <c r="G114" s="317">
        <f>+Angers!F114+Thouars!F114+Saumur!F114+Cham!F114</f>
        <v>0</v>
      </c>
      <c r="H114" s="161">
        <f t="shared" si="22"/>
        <v>0</v>
      </c>
      <c r="I114" s="161">
        <f t="shared" si="23"/>
        <v>0</v>
      </c>
      <c r="J114" s="149">
        <f t="shared" si="24"/>
        <v>0</v>
      </c>
      <c r="K114" s="271">
        <f t="shared" si="25"/>
        <v>0</v>
      </c>
      <c r="L114" s="162">
        <f>+Angers!D114+Thouars!D114+Saumur!D114+Cham!D114</f>
        <v>0</v>
      </c>
    </row>
    <row r="115" spans="1:12" s="2" customFormat="1" ht="11.25">
      <c r="A115" s="5"/>
      <c r="B115" s="160"/>
      <c r="C115" s="113"/>
      <c r="D115" s="113"/>
      <c r="E115" s="113"/>
      <c r="F115" s="160"/>
      <c r="G115" s="113"/>
      <c r="H115" s="162"/>
      <c r="I115" s="162"/>
      <c r="J115" s="149"/>
      <c r="K115" s="254"/>
      <c r="L115" s="18"/>
    </row>
    <row r="116" spans="1:12" s="2" customFormat="1" ht="11.25">
      <c r="A116" s="13" t="s">
        <v>133</v>
      </c>
      <c r="B116" s="163">
        <f t="shared" ref="B116:G116" si="26">SUM(B104:B115)</f>
        <v>27100</v>
      </c>
      <c r="C116" s="204">
        <f t="shared" si="26"/>
        <v>8950</v>
      </c>
      <c r="D116" s="204">
        <f t="shared" si="26"/>
        <v>27850</v>
      </c>
      <c r="E116" s="204">
        <f t="shared" si="26"/>
        <v>22119.975599999998</v>
      </c>
      <c r="F116" s="163">
        <f t="shared" si="26"/>
        <v>80101.39</v>
      </c>
      <c r="G116" s="204">
        <f t="shared" si="26"/>
        <v>80200.600000000006</v>
      </c>
      <c r="H116" s="168">
        <f>SUM(A116:D116)</f>
        <v>63900</v>
      </c>
      <c r="I116" s="168">
        <f>SUM(B116:E116)</f>
        <v>86019.975600000005</v>
      </c>
      <c r="J116" s="272">
        <f>+IF((F116)=0,,(G116-F116)/F116)</f>
        <v>1.2385552859944928E-3</v>
      </c>
      <c r="K116" s="188">
        <f>+IF((G116)=0,,(I116-G116)/G116)</f>
        <v>7.2560250172691965E-2</v>
      </c>
      <c r="L116" s="305">
        <f>SUM(L105:L115)</f>
        <v>91920</v>
      </c>
    </row>
    <row r="117" spans="1:12" s="2" customFormat="1" ht="11.25">
      <c r="A117" s="5"/>
      <c r="B117" s="160"/>
      <c r="C117" s="113"/>
      <c r="D117" s="113"/>
      <c r="E117" s="113"/>
      <c r="F117" s="160"/>
      <c r="G117" s="113"/>
      <c r="H117" s="162"/>
      <c r="I117" s="162"/>
      <c r="J117" s="149"/>
      <c r="K117" s="254"/>
      <c r="L117" s="18"/>
    </row>
    <row r="118" spans="1:12" s="2" customFormat="1" ht="11.25">
      <c r="A118" s="5" t="s">
        <v>139</v>
      </c>
      <c r="B118" s="160">
        <f>+Angers!G118</f>
        <v>944.99999999999989</v>
      </c>
      <c r="C118" s="113">
        <f>+Saumur!$G118</f>
        <v>293.99999999999994</v>
      </c>
      <c r="D118" s="113">
        <f>+Cham!$G118</f>
        <v>594.99999999999989</v>
      </c>
      <c r="E118" s="113">
        <f>+Thouars!$G118</f>
        <v>664.99999999999989</v>
      </c>
      <c r="F118" s="160">
        <f>+Angers!E118+Thouars!E118+Saumur!E118+Cham!E118</f>
        <v>3376.87</v>
      </c>
      <c r="G118" s="317">
        <f>+Angers!F118+Thouars!F118+Saumur!F118+Cham!F118</f>
        <v>7463.9333333333325</v>
      </c>
      <c r="H118" s="161">
        <f t="shared" ref="H118:H127" si="27">SUM(A118:D118)</f>
        <v>1833.9999999999995</v>
      </c>
      <c r="I118" s="161">
        <f t="shared" ref="I118:I127" si="28">SUM(B118:E118)</f>
        <v>2498.9999999999995</v>
      </c>
      <c r="J118" s="149">
        <f>+IF((F118)=0,,(G118-F118)/F118)</f>
        <v>1.2103111263783719</v>
      </c>
      <c r="K118" s="271">
        <f>+IF((G118)=0,,(I118-G118)/G118)</f>
        <v>-0.66518993560142547</v>
      </c>
      <c r="L118" s="162">
        <f>+Angers!D118+Thouars!D118+Saumur!D118+Cham!D118</f>
        <v>2302.9999999999995</v>
      </c>
    </row>
    <row r="119" spans="1:12" s="2" customFormat="1" ht="11.25">
      <c r="A119" s="5" t="s">
        <v>140</v>
      </c>
      <c r="B119" s="160">
        <f>+Angers!G119</f>
        <v>607.50000000000011</v>
      </c>
      <c r="C119" s="113">
        <f>+Saumur!$G119</f>
        <v>189.00000000000003</v>
      </c>
      <c r="D119" s="113">
        <f>+Cham!$G119</f>
        <v>382.50000000000006</v>
      </c>
      <c r="E119" s="113">
        <f>+Thouars!$G119</f>
        <v>427.50000000000006</v>
      </c>
      <c r="F119" s="160">
        <f>+Angers!E119+Thouars!E119+Saumur!E119+Cham!E119</f>
        <v>1840</v>
      </c>
      <c r="G119" s="317">
        <f>+Angers!F119+Thouars!F119+Saumur!F119+Cham!F119</f>
        <v>0</v>
      </c>
      <c r="H119" s="161">
        <f t="shared" si="27"/>
        <v>1179.0000000000002</v>
      </c>
      <c r="I119" s="161">
        <f t="shared" si="28"/>
        <v>1606.5000000000002</v>
      </c>
      <c r="J119" s="149">
        <f t="shared" ref="J119:J127" si="29">+IF((F119)=0,,(G119-F119)/F119)</f>
        <v>-1</v>
      </c>
      <c r="K119" s="271">
        <f t="shared" ref="K119:K127" si="30">+IF((G119)=0,,(I119-G119)/G119)</f>
        <v>0</v>
      </c>
      <c r="L119" s="162">
        <f>+Angers!D119+Thouars!D119+Saumur!D119+Cham!D119</f>
        <v>1480.5000000000002</v>
      </c>
    </row>
    <row r="120" spans="1:12" s="2" customFormat="1" ht="11.25">
      <c r="A120" s="5" t="s">
        <v>141</v>
      </c>
      <c r="B120" s="160">
        <f>+Angers!G120</f>
        <v>1053</v>
      </c>
      <c r="C120" s="113">
        <f>+Saumur!$G120</f>
        <v>327.60000000000002</v>
      </c>
      <c r="D120" s="113">
        <f>+Cham!$G120</f>
        <v>663</v>
      </c>
      <c r="E120" s="113">
        <f>+Thouars!$G120</f>
        <v>741</v>
      </c>
      <c r="F120" s="160">
        <f>+Angers!E120+Thouars!E120+Saumur!E120+Cham!E120</f>
        <v>2781</v>
      </c>
      <c r="G120" s="317">
        <f>+Angers!F120+Thouars!F120+Saumur!F120+Cham!F120</f>
        <v>0</v>
      </c>
      <c r="H120" s="161">
        <f t="shared" si="27"/>
        <v>2043.6</v>
      </c>
      <c r="I120" s="161">
        <f t="shared" si="28"/>
        <v>2784.6</v>
      </c>
      <c r="J120" s="149">
        <f t="shared" si="29"/>
        <v>-1</v>
      </c>
      <c r="K120" s="271">
        <f t="shared" si="30"/>
        <v>0</v>
      </c>
      <c r="L120" s="162">
        <f>+Angers!D120+Thouars!D120+Saumur!D120+Cham!D120</f>
        <v>2566.2000000000003</v>
      </c>
    </row>
    <row r="121" spans="1:12" s="2" customFormat="1" ht="11.25">
      <c r="A121" s="5" t="s">
        <v>142</v>
      </c>
      <c r="B121" s="160">
        <f>+Angers!G121</f>
        <v>1257.9000000000001</v>
      </c>
      <c r="C121" s="113">
        <f>+Saumur!$G121</f>
        <v>2998.8</v>
      </c>
      <c r="D121" s="113">
        <f>+Cham!$G121</f>
        <v>1474.2</v>
      </c>
      <c r="E121" s="113">
        <f>+Thouars!$G121</f>
        <v>479.85</v>
      </c>
      <c r="F121" s="160">
        <f>+Angers!E121+Thouars!E121+Saumur!E121+Cham!E121</f>
        <v>14896</v>
      </c>
      <c r="G121" s="317">
        <f>+Angers!F121+Thouars!F121+Saumur!F121+Cham!F121</f>
        <v>4487</v>
      </c>
      <c r="H121" s="161">
        <f t="shared" si="27"/>
        <v>5730.9000000000005</v>
      </c>
      <c r="I121" s="161">
        <f t="shared" si="28"/>
        <v>6210.7500000000009</v>
      </c>
      <c r="J121" s="149">
        <f t="shared" si="29"/>
        <v>-0.69877819548872178</v>
      </c>
      <c r="K121" s="271">
        <f t="shared" si="30"/>
        <v>0.38416536661466477</v>
      </c>
      <c r="L121" s="162">
        <f>+Angers!D121+Thouars!D121+Saumur!D121+Cham!D121</f>
        <v>16801.05</v>
      </c>
    </row>
    <row r="122" spans="1:12" s="2" customFormat="1" ht="11.25">
      <c r="A122" s="5" t="s">
        <v>143</v>
      </c>
      <c r="B122" s="160">
        <f>+Angers!G122</f>
        <v>2670.15</v>
      </c>
      <c r="C122" s="113">
        <f>+Saumur!$G122</f>
        <v>2508.1035000000002</v>
      </c>
      <c r="D122" s="113">
        <f>+Cham!$G122</f>
        <v>2275.5600000000004</v>
      </c>
      <c r="E122" s="113">
        <f>+Thouars!$G122</f>
        <v>730.24350000000004</v>
      </c>
      <c r="F122" s="160">
        <f>+Angers!E122+Thouars!E122+Saumur!E122+Cham!E122</f>
        <v>7716.49</v>
      </c>
      <c r="G122" s="317">
        <f>+Angers!F122+Thouars!F122+Saumur!F122+Cham!F122</f>
        <v>8087.4100000000008</v>
      </c>
      <c r="H122" s="161">
        <f t="shared" si="27"/>
        <v>7453.8135000000011</v>
      </c>
      <c r="I122" s="161">
        <f t="shared" si="28"/>
        <v>8184.0570000000007</v>
      </c>
      <c r="J122" s="149">
        <f t="shared" si="29"/>
        <v>4.8068487097112936E-2</v>
      </c>
      <c r="K122" s="271">
        <f t="shared" si="30"/>
        <v>1.1950303001826286E-2</v>
      </c>
      <c r="L122" s="162">
        <f>+Angers!D122+Thouars!D122+Saumur!D122+Cham!D122</f>
        <v>8023.1012400000009</v>
      </c>
    </row>
    <row r="123" spans="1:12" s="2" customFormat="1" ht="11.25">
      <c r="A123" s="5" t="s">
        <v>144</v>
      </c>
      <c r="B123" s="160">
        <f>+Angers!G123</f>
        <v>21.218000000000004</v>
      </c>
      <c r="C123" s="113">
        <f>+Saumur!$G123</f>
        <v>50</v>
      </c>
      <c r="D123" s="113">
        <f>+Cham!$G123</f>
        <v>748.43999999999994</v>
      </c>
      <c r="E123" s="113">
        <f>+Thouars!$G123</f>
        <v>50</v>
      </c>
      <c r="F123" s="160">
        <f>+Angers!E123+Thouars!E123+Saumur!E123+Cham!E123</f>
        <v>0</v>
      </c>
      <c r="G123" s="317">
        <f>+Angers!F123+Thouars!F123+Saumur!F123+Cham!F123</f>
        <v>733.4</v>
      </c>
      <c r="H123" s="161">
        <f t="shared" si="27"/>
        <v>819.6579999999999</v>
      </c>
      <c r="I123" s="161">
        <f t="shared" si="28"/>
        <v>869.6579999999999</v>
      </c>
      <c r="J123" s="149">
        <f t="shared" si="29"/>
        <v>0</v>
      </c>
      <c r="K123" s="271">
        <f t="shared" si="30"/>
        <v>0.18578947368421042</v>
      </c>
      <c r="L123" s="162">
        <f>+Angers!D123+Thouars!D123+Saumur!D123+Cham!D123</f>
        <v>171.21800000000002</v>
      </c>
    </row>
    <row r="124" spans="1:12" s="2" customFormat="1" ht="11.25">
      <c r="A124" s="5" t="s">
        <v>145</v>
      </c>
      <c r="B124" s="160">
        <f>+Angers!G124</f>
        <v>0</v>
      </c>
      <c r="C124" s="113">
        <f>+Saumur!$G124</f>
        <v>0</v>
      </c>
      <c r="D124" s="113">
        <f>+Cham!$G124</f>
        <v>0</v>
      </c>
      <c r="E124" s="113">
        <f>+Thouars!$G124</f>
        <v>0</v>
      </c>
      <c r="F124" s="160">
        <f>+Angers!E124+Thouars!E124+Saumur!E124+Cham!E124</f>
        <v>69</v>
      </c>
      <c r="G124" s="317">
        <f>+Angers!F124+Thouars!F124+Saumur!F124+Cham!F124</f>
        <v>0</v>
      </c>
      <c r="H124" s="161">
        <f t="shared" si="27"/>
        <v>0</v>
      </c>
      <c r="I124" s="161">
        <f t="shared" si="28"/>
        <v>0</v>
      </c>
      <c r="J124" s="149">
        <f t="shared" si="29"/>
        <v>-1</v>
      </c>
      <c r="K124" s="271">
        <f t="shared" si="30"/>
        <v>0</v>
      </c>
      <c r="L124" s="162">
        <f>+Angers!D124+Thouars!D124+Saumur!D124+Cham!D124</f>
        <v>0</v>
      </c>
    </row>
    <row r="125" spans="1:12" s="2" customFormat="1" ht="11.25">
      <c r="A125" s="5" t="s">
        <v>286</v>
      </c>
      <c r="B125" s="160">
        <f>+Angers!G125</f>
        <v>0</v>
      </c>
      <c r="C125" s="113">
        <f>+Saumur!$G125</f>
        <v>0</v>
      </c>
      <c r="D125" s="113">
        <f>+Cham!$G125</f>
        <v>0</v>
      </c>
      <c r="E125" s="113">
        <f>+Thouars!$G125</f>
        <v>0</v>
      </c>
      <c r="F125" s="160">
        <f>+Angers!E125+Thouars!E125+Saumur!E125+Cham!E125</f>
        <v>20.6</v>
      </c>
      <c r="G125" s="317">
        <f>+Angers!F125+Thouars!F125+Saumur!F125+Cham!F125</f>
        <v>0</v>
      </c>
      <c r="H125" s="161">
        <f t="shared" si="27"/>
        <v>0</v>
      </c>
      <c r="I125" s="161">
        <f t="shared" si="28"/>
        <v>0</v>
      </c>
      <c r="J125" s="149">
        <f t="shared" si="29"/>
        <v>-1</v>
      </c>
      <c r="K125" s="271">
        <f t="shared" si="30"/>
        <v>0</v>
      </c>
      <c r="L125" s="162">
        <f>+Angers!D125+Thouars!D125+Saumur!D125+Cham!D125</f>
        <v>0</v>
      </c>
    </row>
    <row r="126" spans="1:12" s="2" customFormat="1" ht="11.25">
      <c r="A126" s="5" t="s">
        <v>361</v>
      </c>
      <c r="B126" s="160">
        <f>+Angers!G126</f>
        <v>0</v>
      </c>
      <c r="C126" s="113">
        <f>+Saumur!$G126</f>
        <v>0</v>
      </c>
      <c r="D126" s="113">
        <f>+Cham!$G126</f>
        <v>0</v>
      </c>
      <c r="E126" s="113">
        <f>+Thouars!$G126</f>
        <v>0</v>
      </c>
      <c r="F126" s="160">
        <f>+Angers!E126+Thouars!E126+Saumur!E126+Cham!E126</f>
        <v>0</v>
      </c>
      <c r="G126" s="317">
        <f>+Angers!F126+Thouars!F126+Saumur!F126+Cham!F126</f>
        <v>0</v>
      </c>
      <c r="H126" s="161">
        <f t="shared" si="27"/>
        <v>0</v>
      </c>
      <c r="I126" s="161">
        <f t="shared" si="28"/>
        <v>0</v>
      </c>
      <c r="J126" s="149">
        <f t="shared" si="29"/>
        <v>0</v>
      </c>
      <c r="K126" s="271">
        <f t="shared" si="30"/>
        <v>0</v>
      </c>
      <c r="L126" s="162">
        <f>+Angers!D126+Thouars!D126+Saumur!D126+Cham!D126</f>
        <v>0</v>
      </c>
    </row>
    <row r="127" spans="1:12" s="2" customFormat="1" ht="11.25">
      <c r="A127" s="5" t="s">
        <v>146</v>
      </c>
      <c r="B127" s="160">
        <f>+Angers!G127</f>
        <v>2012.576</v>
      </c>
      <c r="C127" s="113">
        <f>+Saumur!$G127</f>
        <v>450.23360000000002</v>
      </c>
      <c r="D127" s="113">
        <f>+Cham!$G127</f>
        <v>1286.432</v>
      </c>
      <c r="E127" s="113">
        <f>+Thouars!$G127</f>
        <v>1410.24</v>
      </c>
      <c r="F127" s="160">
        <f>+Angers!E127+Thouars!E127+Saumur!E127+Cham!E127</f>
        <v>4875.16</v>
      </c>
      <c r="G127" s="317">
        <f>+Angers!F127+Thouars!F127+Saumur!F127+Cham!F127</f>
        <v>5406.2800000000007</v>
      </c>
      <c r="H127" s="161">
        <f t="shared" si="27"/>
        <v>3749.2416000000003</v>
      </c>
      <c r="I127" s="161">
        <f t="shared" si="28"/>
        <v>5159.4816000000001</v>
      </c>
      <c r="J127" s="149">
        <f t="shared" si="29"/>
        <v>0.1089441167059134</v>
      </c>
      <c r="K127" s="271">
        <f t="shared" si="30"/>
        <v>-4.5650317778583527E-2</v>
      </c>
      <c r="L127" s="162">
        <f>+Angers!D127+Thouars!D127+Saumur!D127+Cham!D127</f>
        <v>5424</v>
      </c>
    </row>
    <row r="128" spans="1:12" s="2" customFormat="1" ht="11.25">
      <c r="A128" s="5"/>
      <c r="B128" s="160"/>
      <c r="C128" s="113"/>
      <c r="D128" s="113"/>
      <c r="E128" s="113"/>
      <c r="F128" s="160"/>
      <c r="G128" s="113"/>
      <c r="H128" s="162"/>
      <c r="I128" s="162"/>
      <c r="J128" s="149"/>
      <c r="K128" s="254"/>
      <c r="L128" s="18"/>
    </row>
    <row r="129" spans="1:12" s="2" customFormat="1" ht="11.25">
      <c r="A129" s="13" t="s">
        <v>147</v>
      </c>
      <c r="B129" s="163">
        <f t="shared" ref="B129:G129" si="31">SUM(B117:B128)</f>
        <v>8567.344000000001</v>
      </c>
      <c r="C129" s="204">
        <f t="shared" si="31"/>
        <v>6817.7371000000003</v>
      </c>
      <c r="D129" s="204">
        <f t="shared" si="31"/>
        <v>7425.1319999999996</v>
      </c>
      <c r="E129" s="204">
        <f t="shared" si="31"/>
        <v>4503.8334999999997</v>
      </c>
      <c r="F129" s="163">
        <f t="shared" si="31"/>
        <v>35575.119999999995</v>
      </c>
      <c r="G129" s="204">
        <f t="shared" si="31"/>
        <v>26178.023333333338</v>
      </c>
      <c r="H129" s="168">
        <f>SUM(A129:D129)</f>
        <v>22810.213100000001</v>
      </c>
      <c r="I129" s="168">
        <f>SUM(B129:E129)</f>
        <v>27314.046600000001</v>
      </c>
      <c r="J129" s="272">
        <f>+IF((F129)=0,,(G129-F129)/F129)</f>
        <v>-0.26414799631502744</v>
      </c>
      <c r="K129" s="188">
        <f>+IF((G129)=0,,(I129-G129)/G129)</f>
        <v>4.3396067464732055E-2</v>
      </c>
      <c r="L129" s="305">
        <f>SUM(L117:L128)</f>
        <v>36769.069239999997</v>
      </c>
    </row>
    <row r="130" spans="1:12" s="2" customFormat="1" ht="11.25">
      <c r="A130" s="5"/>
      <c r="B130" s="160"/>
      <c r="C130" s="113"/>
      <c r="D130" s="113"/>
      <c r="E130" s="113"/>
      <c r="F130" s="160"/>
      <c r="G130" s="113"/>
      <c r="H130" s="162"/>
      <c r="I130" s="162"/>
      <c r="J130" s="149"/>
      <c r="K130" s="254"/>
      <c r="L130" s="18"/>
    </row>
    <row r="131" spans="1:12" s="2" customFormat="1" ht="11.25">
      <c r="A131" s="5" t="s">
        <v>148</v>
      </c>
      <c r="B131" s="160">
        <f>+Angers!G131</f>
        <v>135000</v>
      </c>
      <c r="C131" s="113">
        <f>+Saumur!$G131</f>
        <v>42000</v>
      </c>
      <c r="D131" s="113">
        <f>+Cham!$G131</f>
        <v>85000</v>
      </c>
      <c r="E131" s="113">
        <f>+Thouars!$G131</f>
        <v>95000</v>
      </c>
      <c r="F131" s="160">
        <f>+Angers!E131+Thouars!E131+Saumur!E131+Cham!E131</f>
        <v>357163.19</v>
      </c>
      <c r="G131" s="317">
        <f>+Angers!F131+Thouars!F131+Saumur!F131+Cham!F131</f>
        <v>351009.41333333333</v>
      </c>
      <c r="H131" s="161">
        <f t="shared" ref="H131:H151" si="32">SUM(A131:D131)</f>
        <v>262000</v>
      </c>
      <c r="I131" s="161">
        <f t="shared" ref="I131:I151" si="33">SUM(B131:E131)</f>
        <v>357000</v>
      </c>
      <c r="J131" s="149">
        <f>+IF((F131)=0,,(G131-F131)/F131)</f>
        <v>-1.7229593751435224E-2</v>
      </c>
      <c r="K131" s="271">
        <f>+IF((G131)=0,,(I131-G131)/G131)</f>
        <v>1.7066740774207546E-2</v>
      </c>
      <c r="L131" s="162">
        <f>+Angers!D131+Thouars!D131+Saumur!D131+Cham!D131</f>
        <v>329000</v>
      </c>
    </row>
    <row r="132" spans="1:12" s="2" customFormat="1" ht="11.25">
      <c r="A132" s="5" t="s">
        <v>149</v>
      </c>
      <c r="B132" s="160">
        <f>+Angers!G132</f>
        <v>0</v>
      </c>
      <c r="C132" s="113">
        <f>+Saumur!$G132</f>
        <v>0</v>
      </c>
      <c r="D132" s="113">
        <f>+Cham!$G132</f>
        <v>0</v>
      </c>
      <c r="E132" s="113">
        <f>+Thouars!$G132</f>
        <v>0</v>
      </c>
      <c r="F132" s="160">
        <f>+Angers!E132+Thouars!E132+Saumur!E132+Cham!E132</f>
        <v>466.28</v>
      </c>
      <c r="G132" s="317">
        <f>+Angers!F132+Thouars!F132+Saumur!F132+Cham!F132</f>
        <v>-9800</v>
      </c>
      <c r="H132" s="161">
        <f t="shared" si="32"/>
        <v>0</v>
      </c>
      <c r="I132" s="161">
        <f t="shared" si="33"/>
        <v>0</v>
      </c>
      <c r="J132" s="149">
        <f t="shared" ref="J132:J151" si="34">+IF((F132)=0,,(G132-F132)/F132)</f>
        <v>-22.017414429098398</v>
      </c>
      <c r="K132" s="271">
        <f t="shared" ref="K132:K151" si="35">+IF((G132)=0,,(I132-G132)/G132)</f>
        <v>-1</v>
      </c>
      <c r="L132" s="162">
        <f>+Angers!D132+Thouars!D132+Saumur!D132+Cham!D132</f>
        <v>0</v>
      </c>
    </row>
    <row r="133" spans="1:12" s="2" customFormat="1" ht="11.25">
      <c r="A133" s="5" t="s">
        <v>150</v>
      </c>
      <c r="B133" s="160">
        <f>+Angers!G133</f>
        <v>0</v>
      </c>
      <c r="C133" s="113">
        <f>+Saumur!$G133</f>
        <v>0</v>
      </c>
      <c r="D133" s="113">
        <f>+Cham!$G133</f>
        <v>0</v>
      </c>
      <c r="E133" s="113">
        <f>+Thouars!$G133</f>
        <v>0</v>
      </c>
      <c r="F133" s="160">
        <f>+Angers!E133+Thouars!E133+Saumur!E133+Cham!E133</f>
        <v>200</v>
      </c>
      <c r="G133" s="317">
        <f>+Angers!F133+Thouars!F133+Saumur!F133+Cham!F133</f>
        <v>0</v>
      </c>
      <c r="H133" s="161">
        <f t="shared" si="32"/>
        <v>0</v>
      </c>
      <c r="I133" s="161">
        <f t="shared" si="33"/>
        <v>0</v>
      </c>
      <c r="J133" s="149">
        <f t="shared" si="34"/>
        <v>-1</v>
      </c>
      <c r="K133" s="271">
        <f t="shared" si="35"/>
        <v>0</v>
      </c>
      <c r="L133" s="162">
        <f>+Angers!D133+Thouars!D133+Saumur!D133+Cham!D133</f>
        <v>0</v>
      </c>
    </row>
    <row r="134" spans="1:12" s="2" customFormat="1" ht="11.25">
      <c r="A134" s="5" t="s">
        <v>151</v>
      </c>
      <c r="B134" s="160">
        <f>+Angers!G134</f>
        <v>0</v>
      </c>
      <c r="C134" s="113">
        <f>+Saumur!$G134</f>
        <v>0</v>
      </c>
      <c r="D134" s="113">
        <f>+Cham!$G134</f>
        <v>0</v>
      </c>
      <c r="E134" s="113">
        <f>+Thouars!$G134</f>
        <v>0</v>
      </c>
      <c r="F134" s="160">
        <f>+Angers!E134+Thouars!E134+Saumur!E134+Cham!E134</f>
        <v>-10167.39</v>
      </c>
      <c r="G134" s="317">
        <f>+Angers!F134+Thouars!F134+Saumur!F134+Cham!F134</f>
        <v>0</v>
      </c>
      <c r="H134" s="161">
        <f t="shared" si="32"/>
        <v>0</v>
      </c>
      <c r="I134" s="161">
        <f t="shared" si="33"/>
        <v>0</v>
      </c>
      <c r="J134" s="149">
        <f t="shared" si="34"/>
        <v>-1</v>
      </c>
      <c r="K134" s="271">
        <f t="shared" si="35"/>
        <v>0</v>
      </c>
      <c r="L134" s="162">
        <f>+Angers!D134+Thouars!D134+Saumur!D134+Cham!D134</f>
        <v>0</v>
      </c>
    </row>
    <row r="135" spans="1:12" s="2" customFormat="1" ht="11.25">
      <c r="A135" s="5" t="s">
        <v>114</v>
      </c>
      <c r="B135" s="160">
        <f>+Angers!G135</f>
        <v>0</v>
      </c>
      <c r="C135" s="113">
        <f>+Saumur!$G135</f>
        <v>0</v>
      </c>
      <c r="D135" s="113">
        <f>+Cham!$G135</f>
        <v>0</v>
      </c>
      <c r="E135" s="113">
        <f>+Thouars!$G135</f>
        <v>0</v>
      </c>
      <c r="F135" s="160">
        <f>+Angers!E135+Thouars!E135+Saumur!E135+Cham!E135</f>
        <v>1186.56</v>
      </c>
      <c r="G135" s="317">
        <f>+Angers!F135+Thouars!F135+Saumur!F135+Cham!F135</f>
        <v>2397.6533333333332</v>
      </c>
      <c r="H135" s="161">
        <f t="shared" si="32"/>
        <v>0</v>
      </c>
      <c r="I135" s="161">
        <f t="shared" si="33"/>
        <v>0</v>
      </c>
      <c r="J135" s="149">
        <f t="shared" si="34"/>
        <v>1.0206760158216468</v>
      </c>
      <c r="K135" s="271">
        <f t="shared" si="35"/>
        <v>-1</v>
      </c>
      <c r="L135" s="162">
        <f>+Angers!D135+Thouars!D135+Saumur!D135+Cham!D135</f>
        <v>0</v>
      </c>
    </row>
    <row r="136" spans="1:12" s="2" customFormat="1" ht="11.25">
      <c r="A136" s="5" t="s">
        <v>338</v>
      </c>
      <c r="B136" s="160">
        <f>+Angers!G136</f>
        <v>0</v>
      </c>
      <c r="C136" s="113">
        <f>+Saumur!$G136</f>
        <v>0</v>
      </c>
      <c r="D136" s="113">
        <f>+Cham!$G136</f>
        <v>0</v>
      </c>
      <c r="E136" s="113">
        <f>+Thouars!$G136</f>
        <v>0</v>
      </c>
      <c r="F136" s="160">
        <f>+Angers!E136+Thouars!E136+Saumur!E136+Cham!E136</f>
        <v>0</v>
      </c>
      <c r="G136" s="317">
        <f>+Angers!F136+Thouars!F136+Saumur!F136+Cham!F136</f>
        <v>0</v>
      </c>
      <c r="H136" s="161">
        <f t="shared" si="32"/>
        <v>0</v>
      </c>
      <c r="I136" s="161">
        <f t="shared" si="33"/>
        <v>0</v>
      </c>
      <c r="J136" s="149">
        <f t="shared" si="34"/>
        <v>0</v>
      </c>
      <c r="K136" s="271">
        <f t="shared" si="35"/>
        <v>0</v>
      </c>
      <c r="L136" s="162">
        <f>+Angers!D136+Thouars!D136+Saumur!D136+Cham!D136</f>
        <v>0</v>
      </c>
    </row>
    <row r="137" spans="1:12" s="2" customFormat="1" ht="11.25">
      <c r="A137" s="5" t="s">
        <v>87</v>
      </c>
      <c r="B137" s="160">
        <f>+Angers!G137</f>
        <v>0</v>
      </c>
      <c r="C137" s="113">
        <f>+Saumur!$G137</f>
        <v>0</v>
      </c>
      <c r="D137" s="113">
        <f>+Cham!$G137</f>
        <v>0</v>
      </c>
      <c r="E137" s="113">
        <f>+Thouars!$G137</f>
        <v>-11888.150133333334</v>
      </c>
      <c r="F137" s="160">
        <f>+Angers!E137+Thouars!E137+Saumur!E137+Cham!E137</f>
        <v>0</v>
      </c>
      <c r="G137" s="317">
        <f>+Angers!F137+Thouars!F137+Saumur!F137+Cham!F137</f>
        <v>-11541.893333333333</v>
      </c>
      <c r="H137" s="161">
        <f t="shared" si="32"/>
        <v>0</v>
      </c>
      <c r="I137" s="161">
        <f t="shared" si="33"/>
        <v>-11888.150133333334</v>
      </c>
      <c r="J137" s="149">
        <f t="shared" si="34"/>
        <v>0</v>
      </c>
      <c r="K137" s="271">
        <f t="shared" si="35"/>
        <v>3.0000000000000089E-2</v>
      </c>
      <c r="L137" s="162">
        <f>+Angers!D137+Thouars!D137+Saumur!D137+Cham!D137</f>
        <v>0</v>
      </c>
    </row>
    <row r="138" spans="1:12" s="2" customFormat="1" ht="11.25">
      <c r="A138" s="5" t="s">
        <v>152</v>
      </c>
      <c r="B138" s="160">
        <f>+Angers!G138</f>
        <v>0</v>
      </c>
      <c r="C138" s="113">
        <f>+Saumur!$G138</f>
        <v>0</v>
      </c>
      <c r="D138" s="113">
        <f>+Cham!$G138</f>
        <v>0</v>
      </c>
      <c r="E138" s="113">
        <f>+Thouars!$G138</f>
        <v>0</v>
      </c>
      <c r="F138" s="160">
        <f>+Angers!E138+Thouars!E138+Saumur!E138+Cham!E138</f>
        <v>-3278.3399999999997</v>
      </c>
      <c r="G138" s="317">
        <f>+Angers!F138+Thouars!F138+Saumur!F138+Cham!F138</f>
        <v>0</v>
      </c>
      <c r="H138" s="161">
        <f t="shared" si="32"/>
        <v>0</v>
      </c>
      <c r="I138" s="161">
        <f t="shared" si="33"/>
        <v>0</v>
      </c>
      <c r="J138" s="149">
        <f t="shared" si="34"/>
        <v>-1</v>
      </c>
      <c r="K138" s="271">
        <f t="shared" si="35"/>
        <v>0</v>
      </c>
      <c r="L138" s="162">
        <f>+Angers!D138+Thouars!D138+Saumur!D138+Cham!D138</f>
        <v>0</v>
      </c>
    </row>
    <row r="139" spans="1:12" s="2" customFormat="1" ht="11.25">
      <c r="A139" s="5" t="s">
        <v>153</v>
      </c>
      <c r="B139" s="160">
        <f>+Angers!G139</f>
        <v>0</v>
      </c>
      <c r="C139" s="113">
        <f>+Saumur!$G139</f>
        <v>0</v>
      </c>
      <c r="D139" s="113">
        <f>+Cham!$G139</f>
        <v>0</v>
      </c>
      <c r="E139" s="113">
        <f>+Thouars!$G139</f>
        <v>0</v>
      </c>
      <c r="F139" s="160">
        <f>+Angers!E139+Thouars!E139+Saumur!E139+Cham!E139</f>
        <v>0</v>
      </c>
      <c r="G139" s="317">
        <f>+Angers!F139+Thouars!F139+Saumur!F139+Cham!F139</f>
        <v>0</v>
      </c>
      <c r="H139" s="161">
        <f t="shared" si="32"/>
        <v>0</v>
      </c>
      <c r="I139" s="161">
        <f t="shared" si="33"/>
        <v>0</v>
      </c>
      <c r="J139" s="149">
        <f t="shared" si="34"/>
        <v>0</v>
      </c>
      <c r="K139" s="271">
        <f t="shared" si="35"/>
        <v>0</v>
      </c>
      <c r="L139" s="162">
        <f>+Angers!D139+Thouars!D139+Saumur!D139+Cham!D139</f>
        <v>0</v>
      </c>
    </row>
    <row r="140" spans="1:12" s="2" customFormat="1" ht="11.25">
      <c r="A140" s="5" t="s">
        <v>154</v>
      </c>
      <c r="B140" s="160">
        <f>+Angers!G140</f>
        <v>0</v>
      </c>
      <c r="C140" s="113">
        <f>+Saumur!$G140</f>
        <v>0</v>
      </c>
      <c r="D140" s="113">
        <f>+Cham!$G140</f>
        <v>0</v>
      </c>
      <c r="E140" s="113">
        <f>+Thouars!$G140</f>
        <v>0</v>
      </c>
      <c r="F140" s="160">
        <f>+Angers!E140+Thouars!E140+Saumur!E140+Cham!E140</f>
        <v>8517.5</v>
      </c>
      <c r="G140" s="317">
        <f>+Angers!F140+Thouars!F140+Saumur!F140+Cham!F140</f>
        <v>4832.666666666667</v>
      </c>
      <c r="H140" s="161">
        <f t="shared" si="32"/>
        <v>0</v>
      </c>
      <c r="I140" s="161">
        <f t="shared" si="33"/>
        <v>0</v>
      </c>
      <c r="J140" s="149">
        <f t="shared" si="34"/>
        <v>-0.43261911750317972</v>
      </c>
      <c r="K140" s="271">
        <f t="shared" si="35"/>
        <v>-1</v>
      </c>
      <c r="L140" s="162">
        <f>+Angers!D140+Thouars!D140+Saumur!D140+Cham!D140</f>
        <v>0</v>
      </c>
    </row>
    <row r="141" spans="1:12" s="2" customFormat="1" ht="11.25">
      <c r="A141" s="5" t="s">
        <v>155</v>
      </c>
      <c r="B141" s="160">
        <f>+Angers!G141</f>
        <v>34240.626478165534</v>
      </c>
      <c r="C141" s="113">
        <f>+Saumur!$G141</f>
        <v>8245.2994403215071</v>
      </c>
      <c r="D141" s="113">
        <f>+Cham!$G141</f>
        <v>27625.143811434871</v>
      </c>
      <c r="E141" s="113">
        <f>+Thouars!$G141</f>
        <v>24937.200259114124</v>
      </c>
      <c r="F141" s="160">
        <f>+Angers!E141+Thouars!E141+Saumur!E141+Cham!E141</f>
        <v>99587.24</v>
      </c>
      <c r="G141" s="317">
        <f>+Angers!F141+Thouars!F141+Saumur!F141+Cham!F141</f>
        <v>91671.706666666665</v>
      </c>
      <c r="H141" s="161">
        <f t="shared" si="32"/>
        <v>70111.069729921903</v>
      </c>
      <c r="I141" s="161">
        <f t="shared" si="33"/>
        <v>95048.269989036024</v>
      </c>
      <c r="J141" s="149">
        <f t="shared" si="34"/>
        <v>-7.9483409052538659E-2</v>
      </c>
      <c r="K141" s="271">
        <f t="shared" si="35"/>
        <v>3.683321108711432E-2</v>
      </c>
      <c r="L141" s="162">
        <f>+Angers!D141+Thouars!D141+Saumur!D141+Cham!D141</f>
        <v>88519.723078913768</v>
      </c>
    </row>
    <row r="142" spans="1:12" s="2" customFormat="1" ht="11.25">
      <c r="A142" s="5" t="s">
        <v>156</v>
      </c>
      <c r="B142" s="160">
        <f>+Angers!G142</f>
        <v>4022.0712243443468</v>
      </c>
      <c r="C142" s="113">
        <f>+Saumur!$G142</f>
        <v>1144.4820900640818</v>
      </c>
      <c r="D142" s="113">
        <f>+Cham!$G142</f>
        <v>1671.6032038250105</v>
      </c>
      <c r="E142" s="113">
        <f>+Thouars!$G142</f>
        <v>4093.6221735018007</v>
      </c>
      <c r="F142" s="160">
        <f>+Angers!E142+Thouars!E142+Saumur!E142+Cham!E142</f>
        <v>12541.730000000001</v>
      </c>
      <c r="G142" s="317">
        <f>+Angers!F142+Thouars!F142+Saumur!F142+Cham!F142</f>
        <v>10663.893333333332</v>
      </c>
      <c r="H142" s="161">
        <f t="shared" si="32"/>
        <v>6838.1565182334389</v>
      </c>
      <c r="I142" s="161">
        <f t="shared" si="33"/>
        <v>10931.778691735239</v>
      </c>
      <c r="J142" s="149">
        <f t="shared" si="34"/>
        <v>-0.1497270844346569</v>
      </c>
      <c r="K142" s="271">
        <f t="shared" si="35"/>
        <v>2.5120783753954819E-2</v>
      </c>
      <c r="L142" s="162">
        <f>+Angers!D142+Thouars!D142+Saumur!D142+Cham!D142</f>
        <v>11468.696775452076</v>
      </c>
    </row>
    <row r="143" spans="1:12" s="2" customFormat="1" ht="11.25">
      <c r="A143" s="5" t="s">
        <v>157</v>
      </c>
      <c r="B143" s="160">
        <f>+Angers!G143</f>
        <v>9217.1450290072553</v>
      </c>
      <c r="C143" s="113">
        <f>+Saumur!$G143</f>
        <v>1826.0315724119071</v>
      </c>
      <c r="D143" s="113">
        <f>+Cham!$G143</f>
        <v>5057.8621002402124</v>
      </c>
      <c r="E143" s="113">
        <f>+Thouars!$G143</f>
        <v>11594.146078012238</v>
      </c>
      <c r="F143" s="160">
        <f>+Angers!E143+Thouars!E143+Saumur!E143+Cham!E143</f>
        <v>27850.31</v>
      </c>
      <c r="G143" s="317">
        <f>+Angers!F143+Thouars!F143+Saumur!F143+Cham!F143</f>
        <v>27004.626666666667</v>
      </c>
      <c r="H143" s="161">
        <f t="shared" si="32"/>
        <v>16101.038701659374</v>
      </c>
      <c r="I143" s="161">
        <f t="shared" si="33"/>
        <v>27695.18477967161</v>
      </c>
      <c r="J143" s="149">
        <f t="shared" si="34"/>
        <v>-3.0365311313710126E-2</v>
      </c>
      <c r="K143" s="271">
        <f t="shared" si="35"/>
        <v>2.5571844466834935E-2</v>
      </c>
      <c r="L143" s="162">
        <f>+Angers!D143+Thouars!D143+Saumur!D143+Cham!D143</f>
        <v>26861.47291223413</v>
      </c>
    </row>
    <row r="144" spans="1:12" s="2" customFormat="1" ht="11.25">
      <c r="A144" s="5" t="s">
        <v>326</v>
      </c>
      <c r="B144" s="160">
        <f>+Angers!G144</f>
        <v>0</v>
      </c>
      <c r="C144" s="113">
        <f>+Saumur!$G144</f>
        <v>0</v>
      </c>
      <c r="D144" s="113">
        <f>+Cham!$G144</f>
        <v>0</v>
      </c>
      <c r="E144" s="113">
        <f>+Thouars!$G144</f>
        <v>344.91442837618121</v>
      </c>
      <c r="F144" s="160">
        <f>+Angers!E144+Thouars!E144+Saumur!E144+Cham!E144</f>
        <v>1600.76</v>
      </c>
      <c r="G144" s="317">
        <f>+Angers!F144+Thouars!F144+Saumur!F144+Cham!F144</f>
        <v>346.2</v>
      </c>
      <c r="H144" s="161">
        <f t="shared" si="32"/>
        <v>0</v>
      </c>
      <c r="I144" s="161">
        <f t="shared" si="33"/>
        <v>344.91442837618121</v>
      </c>
      <c r="J144" s="149">
        <f t="shared" si="34"/>
        <v>-0.78372772932856893</v>
      </c>
      <c r="K144" s="271">
        <f t="shared" si="35"/>
        <v>-3.713378462792555E-3</v>
      </c>
      <c r="L144" s="162">
        <f>+Angers!D144+Thouars!D144+Saumur!D144+Cham!D144</f>
        <v>343.24392546236407</v>
      </c>
    </row>
    <row r="145" spans="1:12" s="2" customFormat="1" ht="11.25">
      <c r="A145" s="5" t="s">
        <v>158</v>
      </c>
      <c r="B145" s="160">
        <f>+Angers!G145</f>
        <v>6489.7570934529249</v>
      </c>
      <c r="C145" s="113">
        <f>+Saumur!$G145</f>
        <v>1409.4981721353181</v>
      </c>
      <c r="D145" s="113">
        <f>+Cham!$G145</f>
        <v>3469.4762954945113</v>
      </c>
      <c r="E145" s="113">
        <f>+Thouars!$G145</f>
        <v>6246.9960772923214</v>
      </c>
      <c r="F145" s="160">
        <f>+Angers!E145+Thouars!E145+Saumur!E145+Cham!E145</f>
        <v>17383.710000000003</v>
      </c>
      <c r="G145" s="317">
        <f>+Angers!F145+Thouars!F145+Saumur!F145+Cham!F145</f>
        <v>17127.533333333333</v>
      </c>
      <c r="H145" s="161">
        <f t="shared" si="32"/>
        <v>11368.731561082754</v>
      </c>
      <c r="I145" s="161">
        <f t="shared" si="33"/>
        <v>17615.727638375076</v>
      </c>
      <c r="J145" s="149">
        <f t="shared" si="34"/>
        <v>-1.4736593435271865E-2</v>
      </c>
      <c r="K145" s="271">
        <f t="shared" si="35"/>
        <v>2.850348007156565E-2</v>
      </c>
      <c r="L145" s="162">
        <f>+Angers!D145+Thouars!D145+Saumur!D145+Cham!D145</f>
        <v>16512.012379154807</v>
      </c>
    </row>
    <row r="146" spans="1:12" s="2" customFormat="1" ht="11.25">
      <c r="A146" s="5" t="s">
        <v>159</v>
      </c>
      <c r="B146" s="160">
        <f>+Angers!G146</f>
        <v>0</v>
      </c>
      <c r="C146" s="113">
        <f>+Saumur!$G146</f>
        <v>0</v>
      </c>
      <c r="D146" s="113">
        <f>+Cham!$G146</f>
        <v>0</v>
      </c>
      <c r="E146" s="113">
        <f>+Thouars!$G146</f>
        <v>0</v>
      </c>
      <c r="F146" s="160">
        <f>+Angers!E146+Thouars!E146+Saumur!E146+Cham!E146</f>
        <v>0</v>
      </c>
      <c r="G146" s="317">
        <f>+Angers!F146+Thouars!F146+Saumur!F146+Cham!F146</f>
        <v>0</v>
      </c>
      <c r="H146" s="161">
        <f t="shared" si="32"/>
        <v>0</v>
      </c>
      <c r="I146" s="161">
        <f t="shared" si="33"/>
        <v>0</v>
      </c>
      <c r="J146" s="149">
        <f t="shared" si="34"/>
        <v>0</v>
      </c>
      <c r="K146" s="271">
        <f t="shared" si="35"/>
        <v>0</v>
      </c>
      <c r="L146" s="162">
        <f>+Angers!D146+Thouars!D146+Saumur!D146+Cham!D146</f>
        <v>0</v>
      </c>
    </row>
    <row r="147" spans="1:12" s="2" customFormat="1" ht="11.25">
      <c r="A147" s="5" t="s">
        <v>160</v>
      </c>
      <c r="B147" s="160">
        <f>+Angers!G147</f>
        <v>-155.69480000000004</v>
      </c>
      <c r="C147" s="113">
        <f>+Saumur!$G147</f>
        <v>0</v>
      </c>
      <c r="D147" s="113">
        <f>+Cham!$G147</f>
        <v>228.24799999999996</v>
      </c>
      <c r="E147" s="113">
        <f>+Thouars!$G147</f>
        <v>-3309.9530666666669</v>
      </c>
      <c r="F147" s="160">
        <f>+Angers!E147+Thouars!E147+Saumur!E147+Cham!E147</f>
        <v>251.04000000000002</v>
      </c>
      <c r="G147" s="317">
        <f>+Angers!F147+Thouars!F147+Saumur!F147+Cham!F147</f>
        <v>-3143.1066666666666</v>
      </c>
      <c r="H147" s="161">
        <f t="shared" si="32"/>
        <v>72.553199999999919</v>
      </c>
      <c r="I147" s="161">
        <f t="shared" si="33"/>
        <v>-3237.3998666666671</v>
      </c>
      <c r="J147" s="149">
        <f t="shared" si="34"/>
        <v>-13.520342043764604</v>
      </c>
      <c r="K147" s="271">
        <f t="shared" si="35"/>
        <v>3.0000000000000169E-2</v>
      </c>
      <c r="L147" s="162">
        <f>+Angers!D147+Thouars!D147+Saumur!D147+Cham!D147</f>
        <v>1625.5664915924999</v>
      </c>
    </row>
    <row r="148" spans="1:12" s="2" customFormat="1" ht="11.25">
      <c r="A148" s="5" t="s">
        <v>161</v>
      </c>
      <c r="B148" s="160">
        <f>+Angers!G148</f>
        <v>39.565733333333334</v>
      </c>
      <c r="C148" s="113">
        <f>+Saumur!$G148</f>
        <v>0</v>
      </c>
      <c r="D148" s="113">
        <f>+Cham!$G148</f>
        <v>0</v>
      </c>
      <c r="E148" s="113">
        <f>+Thouars!$G148</f>
        <v>0</v>
      </c>
      <c r="F148" s="160">
        <f>+Angers!E148+Thouars!E148+Saumur!E148+Cham!E148</f>
        <v>158.4</v>
      </c>
      <c r="G148" s="317">
        <f>+Angers!F148+Thouars!F148+Saumur!F148+Cham!F148</f>
        <v>38.413333333333334</v>
      </c>
      <c r="H148" s="161">
        <f t="shared" si="32"/>
        <v>39.565733333333334</v>
      </c>
      <c r="I148" s="161">
        <f t="shared" si="33"/>
        <v>39.565733333333334</v>
      </c>
      <c r="J148" s="149">
        <f t="shared" si="34"/>
        <v>-0.75749158249158255</v>
      </c>
      <c r="K148" s="271">
        <f t="shared" si="35"/>
        <v>3.0000000000000002E-2</v>
      </c>
      <c r="L148" s="162">
        <f>+Angers!D148+Thouars!D148+Saumur!D148+Cham!D148</f>
        <v>91.375316999999995</v>
      </c>
    </row>
    <row r="149" spans="1:12" s="2" customFormat="1" ht="11.25">
      <c r="A149" s="5" t="s">
        <v>162</v>
      </c>
      <c r="B149" s="160">
        <f>+Angers!G149</f>
        <v>0</v>
      </c>
      <c r="C149" s="113">
        <f>+Saumur!$G149</f>
        <v>0</v>
      </c>
      <c r="D149" s="113">
        <f>+Cham!$G149</f>
        <v>0</v>
      </c>
      <c r="E149" s="113">
        <f>+Thouars!$G149</f>
        <v>0</v>
      </c>
      <c r="F149" s="160">
        <f>+Angers!E149+Thouars!E149+Saumur!E149+Cham!E149</f>
        <v>433.77</v>
      </c>
      <c r="G149" s="317">
        <f>+Angers!F149+Thouars!F149+Saumur!F149+Cham!F149</f>
        <v>0</v>
      </c>
      <c r="H149" s="161">
        <f t="shared" si="32"/>
        <v>0</v>
      </c>
      <c r="I149" s="161">
        <f t="shared" si="33"/>
        <v>0</v>
      </c>
      <c r="J149" s="149">
        <f t="shared" si="34"/>
        <v>-1</v>
      </c>
      <c r="K149" s="271">
        <f t="shared" si="35"/>
        <v>0</v>
      </c>
      <c r="L149" s="162">
        <f>+Angers!D149+Thouars!D149+Saumur!D149+Cham!D149</f>
        <v>336.74716999999998</v>
      </c>
    </row>
    <row r="150" spans="1:12" s="2" customFormat="1" ht="11.25">
      <c r="A150" s="5" t="s">
        <v>163</v>
      </c>
      <c r="B150" s="160">
        <f>+Angers!G150</f>
        <v>354.38866666666672</v>
      </c>
      <c r="C150" s="113">
        <f>+Saumur!$G150</f>
        <v>159.3066666666667</v>
      </c>
      <c r="D150" s="113">
        <f>+Cham!$G150</f>
        <v>346.08</v>
      </c>
      <c r="E150" s="113">
        <f>+Thouars!$G150</f>
        <v>406.50666666666666</v>
      </c>
      <c r="F150" s="160">
        <f>+Angers!E150+Thouars!E150+Saumur!E150+Cham!E150</f>
        <v>1419.41</v>
      </c>
      <c r="G150" s="317">
        <f>+Angers!F150+Thouars!F150+Saumur!F150+Cham!F150</f>
        <v>1229.4000000000001</v>
      </c>
      <c r="H150" s="161">
        <f t="shared" si="32"/>
        <v>859.77533333333349</v>
      </c>
      <c r="I150" s="161">
        <f t="shared" si="33"/>
        <v>1266.2820000000002</v>
      </c>
      <c r="J150" s="149">
        <f t="shared" si="34"/>
        <v>-0.13386547931887191</v>
      </c>
      <c r="K150" s="271">
        <f t="shared" si="35"/>
        <v>3.0000000000000047E-2</v>
      </c>
      <c r="L150" s="162">
        <f>+Angers!D150+Thouars!D150+Saumur!D150+Cham!D150</f>
        <v>1538.880582479881</v>
      </c>
    </row>
    <row r="151" spans="1:12" s="2" customFormat="1" ht="11.25">
      <c r="A151" s="5" t="s">
        <v>58</v>
      </c>
      <c r="B151" s="160">
        <f>+Angers!G152</f>
        <v>0</v>
      </c>
      <c r="C151" s="113">
        <f>+Saumur!$G152</f>
        <v>0</v>
      </c>
      <c r="D151" s="113">
        <f>+Cham!$G152</f>
        <v>0</v>
      </c>
      <c r="E151" s="113">
        <f>+Thouars!$G152</f>
        <v>0</v>
      </c>
      <c r="F151" s="160">
        <f>+Angers!E152+Thouars!E152+Saumur!E152+Cham!E152</f>
        <v>14164.2996</v>
      </c>
      <c r="G151" s="317">
        <f>+Angers!F152+Thouars!F152+Saumur!F152+Cham!F152</f>
        <v>0</v>
      </c>
      <c r="H151" s="161">
        <f t="shared" si="32"/>
        <v>0</v>
      </c>
      <c r="I151" s="161">
        <f t="shared" si="33"/>
        <v>0</v>
      </c>
      <c r="J151" s="149">
        <f t="shared" si="34"/>
        <v>-1</v>
      </c>
      <c r="K151" s="271">
        <f t="shared" si="35"/>
        <v>0</v>
      </c>
      <c r="L151" s="162">
        <f>+Angers!D152+Thouars!D152+Saumur!D152+Cham!D152</f>
        <v>3958.4733657499996</v>
      </c>
    </row>
    <row r="152" spans="1:12" s="2" customFormat="1" ht="11.25">
      <c r="A152" s="5"/>
      <c r="B152" s="160"/>
      <c r="C152" s="113"/>
      <c r="D152" s="113"/>
      <c r="E152" s="113"/>
      <c r="F152" s="160"/>
      <c r="G152" s="113"/>
      <c r="H152" s="162"/>
      <c r="I152" s="162"/>
      <c r="J152" s="149"/>
      <c r="K152" s="254"/>
      <c r="L152" s="18"/>
    </row>
    <row r="153" spans="1:12" s="2" customFormat="1" ht="11.25">
      <c r="A153" s="13" t="s">
        <v>164</v>
      </c>
      <c r="B153" s="163">
        <f t="shared" ref="B153:G153" si="36">SUM(B130:B152)</f>
        <v>189207.85942497005</v>
      </c>
      <c r="C153" s="204">
        <f t="shared" si="36"/>
        <v>54784.617941599477</v>
      </c>
      <c r="D153" s="204">
        <f t="shared" si="36"/>
        <v>123398.41341099462</v>
      </c>
      <c r="E153" s="204">
        <f t="shared" si="36"/>
        <v>127425.28248296335</v>
      </c>
      <c r="F153" s="163">
        <f t="shared" si="36"/>
        <v>529478.46959999995</v>
      </c>
      <c r="G153" s="204">
        <f t="shared" si="36"/>
        <v>481836.50666666665</v>
      </c>
      <c r="H153" s="168">
        <f>SUM(A153:D153)</f>
        <v>367390.89077756414</v>
      </c>
      <c r="I153" s="168">
        <f>SUM(B153:E153)</f>
        <v>494816.17326052749</v>
      </c>
      <c r="J153" s="272">
        <f>+IF((F153)=0,,(G153-F153)/F153)</f>
        <v>-8.9979037238898343E-2</v>
      </c>
      <c r="K153" s="188">
        <f>+IF((G153)=0,,(I153-G153)/G153)</f>
        <v>2.6937906145081982E-2</v>
      </c>
      <c r="L153" s="305">
        <f>SUM(L130:L152)</f>
        <v>480256.19199803949</v>
      </c>
    </row>
    <row r="154" spans="1:12" s="2" customFormat="1" ht="11.25">
      <c r="A154" s="5"/>
      <c r="B154" s="160"/>
      <c r="C154" s="113"/>
      <c r="D154" s="113"/>
      <c r="E154" s="113"/>
      <c r="F154" s="160"/>
      <c r="G154" s="113"/>
      <c r="H154" s="162"/>
      <c r="I154" s="162"/>
      <c r="J154" s="149"/>
      <c r="K154" s="254"/>
      <c r="L154" s="18"/>
    </row>
    <row r="155" spans="1:12" s="2" customFormat="1" ht="11.25">
      <c r="A155" s="5" t="s">
        <v>227</v>
      </c>
      <c r="B155" s="160">
        <f>+Angers!G156</f>
        <v>16765.091899200004</v>
      </c>
      <c r="C155" s="113">
        <f>+Saumur!$G156</f>
        <v>2680.0170818400006</v>
      </c>
      <c r="D155" s="113">
        <f>+Cham!$G156</f>
        <v>12257.966001600002</v>
      </c>
      <c r="E155" s="113">
        <f>+Thouars!$G156</f>
        <v>9740.2386600000027</v>
      </c>
      <c r="F155" s="160">
        <f>+Angers!E156+Thouars!E156+Saumur!E156+Cham!E156</f>
        <v>18835.980000000003</v>
      </c>
      <c r="G155" s="317">
        <f>+Angers!F156+Thouars!F156+Saumur!F156+Cham!F156</f>
        <v>15808.906666666666</v>
      </c>
      <c r="H155" s="161">
        <f t="shared" ref="H155:H165" si="37">SUM(A155:D155)</f>
        <v>31703.074982640006</v>
      </c>
      <c r="I155" s="161">
        <f t="shared" ref="I155:I165" si="38">SUM(B155:E155)</f>
        <v>41443.313642640009</v>
      </c>
      <c r="J155" s="149">
        <f>+IF((F155)=0,,(G155-F155)/F155)</f>
        <v>-0.16070697321473779</v>
      </c>
      <c r="K155" s="271">
        <f>+IF((G155)=0,,(I155-G155)/G155)</f>
        <v>1.6215167510618493</v>
      </c>
      <c r="L155" s="162">
        <f>+Angers!D156+Thouars!D156+Saumur!D156+Cham!D156</f>
        <v>43407.749349999998</v>
      </c>
    </row>
    <row r="156" spans="1:12" s="2" customFormat="1" ht="11.25">
      <c r="A156" s="5" t="s">
        <v>165</v>
      </c>
      <c r="B156" s="160">
        <f>+Angers!G157</f>
        <v>0</v>
      </c>
      <c r="C156" s="113">
        <f>+Saumur!$G157</f>
        <v>0</v>
      </c>
      <c r="D156" s="113">
        <f>+Cham!$G157</f>
        <v>0</v>
      </c>
      <c r="E156" s="113">
        <f>+Thouars!$G157</f>
        <v>0</v>
      </c>
      <c r="F156" s="160">
        <f>+Angers!E157+Thouars!E157+Saumur!E157+Cham!E157</f>
        <v>-1614.25</v>
      </c>
      <c r="G156" s="317">
        <f>+Angers!F157+Thouars!F157+Saumur!F157+Cham!F157</f>
        <v>-6541.5733333333319</v>
      </c>
      <c r="H156" s="161">
        <f t="shared" si="37"/>
        <v>0</v>
      </c>
      <c r="I156" s="161">
        <f t="shared" si="38"/>
        <v>0</v>
      </c>
      <c r="J156" s="149">
        <f t="shared" ref="J156:J165" si="39">+IF((F156)=0,,(G156-F156)/F156)</f>
        <v>3.0523917195808159</v>
      </c>
      <c r="K156" s="271">
        <f t="shared" ref="K156:K165" si="40">+IF((G156)=0,,(I156-G156)/G156)</f>
        <v>-1</v>
      </c>
      <c r="L156" s="162">
        <f>+Angers!D157+Thouars!D157+Saumur!D157+Cham!D157</f>
        <v>0</v>
      </c>
    </row>
    <row r="157" spans="1:12" s="2" customFormat="1" ht="11.25">
      <c r="A157" s="5" t="s">
        <v>166</v>
      </c>
      <c r="B157" s="160">
        <f>+Angers!G158</f>
        <v>0</v>
      </c>
      <c r="C157" s="113">
        <f>+Saumur!$G158</f>
        <v>0</v>
      </c>
      <c r="D157" s="113">
        <f>+Cham!$G158</f>
        <v>0</v>
      </c>
      <c r="E157" s="113">
        <f>+Thouars!$G158</f>
        <v>0</v>
      </c>
      <c r="F157" s="160">
        <f>+Angers!E158+Thouars!E158+Saumur!E158+Cham!E158</f>
        <v>0</v>
      </c>
      <c r="G157" s="317">
        <f>+Angers!F158+Thouars!F158+Saumur!F158+Cham!F158</f>
        <v>6541.5733333333319</v>
      </c>
      <c r="H157" s="161">
        <f t="shared" si="37"/>
        <v>0</v>
      </c>
      <c r="I157" s="161">
        <f t="shared" si="38"/>
        <v>0</v>
      </c>
      <c r="J157" s="149">
        <f t="shared" si="39"/>
        <v>0</v>
      </c>
      <c r="K157" s="271">
        <f t="shared" si="40"/>
        <v>-1</v>
      </c>
      <c r="L157" s="162">
        <f>+Angers!D158+Thouars!D158+Saumur!D158+Cham!D158</f>
        <v>0</v>
      </c>
    </row>
    <row r="158" spans="1:12" s="2" customFormat="1" ht="11.25">
      <c r="A158" s="5" t="s">
        <v>60</v>
      </c>
      <c r="B158" s="160">
        <f>+Angers!G159</f>
        <v>0</v>
      </c>
      <c r="C158" s="113">
        <f>+Saumur!$G159</f>
        <v>0</v>
      </c>
      <c r="D158" s="113">
        <f>+Cham!$G159</f>
        <v>0</v>
      </c>
      <c r="E158" s="113">
        <f>+Thouars!$G159</f>
        <v>0</v>
      </c>
      <c r="F158" s="160">
        <f>+Angers!E159+Thouars!E159+Saumur!E159+Cham!E159</f>
        <v>-5349.67</v>
      </c>
      <c r="G158" s="317">
        <f>+Angers!F159+Thouars!F159+Saumur!F159+Cham!F159</f>
        <v>2264.1466666666665</v>
      </c>
      <c r="H158" s="161">
        <f t="shared" si="37"/>
        <v>0</v>
      </c>
      <c r="I158" s="161">
        <f t="shared" si="38"/>
        <v>0</v>
      </c>
      <c r="J158" s="149">
        <f t="shared" si="39"/>
        <v>-1.423231090266627</v>
      </c>
      <c r="K158" s="271">
        <f t="shared" si="40"/>
        <v>-1</v>
      </c>
      <c r="L158" s="162">
        <f>+Angers!D159+Thouars!D159+Saumur!D159+Cham!D159</f>
        <v>0</v>
      </c>
    </row>
    <row r="159" spans="1:12" s="2" customFormat="1" ht="11.25">
      <c r="A159" s="5" t="s">
        <v>199</v>
      </c>
      <c r="B159" s="160">
        <f>+Angers!G160</f>
        <v>0</v>
      </c>
      <c r="C159" s="113">
        <f>+Saumur!$G160</f>
        <v>0</v>
      </c>
      <c r="D159" s="113">
        <f>+Cham!$G160</f>
        <v>0</v>
      </c>
      <c r="E159" s="113">
        <f>+Thouars!$G160</f>
        <v>0</v>
      </c>
      <c r="F159" s="160">
        <f>+Angers!E160+Thouars!E160+Saumur!E160+Cham!E160</f>
        <v>-1.4600000000000004</v>
      </c>
      <c r="G159" s="317">
        <f>+Angers!F160+Thouars!F160+Saumur!F160+Cham!F160</f>
        <v>9.9466666666666654</v>
      </c>
      <c r="H159" s="161">
        <f t="shared" si="37"/>
        <v>0</v>
      </c>
      <c r="I159" s="161">
        <f t="shared" si="38"/>
        <v>0</v>
      </c>
      <c r="J159" s="149">
        <f t="shared" si="39"/>
        <v>-7.8127853881278515</v>
      </c>
      <c r="K159" s="271">
        <f t="shared" si="40"/>
        <v>-1</v>
      </c>
      <c r="L159" s="162">
        <f>+Angers!D160+Thouars!D160+Saumur!D160+Cham!D160</f>
        <v>0</v>
      </c>
    </row>
    <row r="160" spans="1:12" s="2" customFormat="1" ht="11.25">
      <c r="A160" s="5" t="s">
        <v>41</v>
      </c>
      <c r="B160" s="160">
        <f>+Angers!G161</f>
        <v>101.66786666666667</v>
      </c>
      <c r="C160" s="113">
        <f>+Saumur!$G161</f>
        <v>0</v>
      </c>
      <c r="D160" s="113">
        <f>+Cham!$G161</f>
        <v>139.90146666666666</v>
      </c>
      <c r="E160" s="113">
        <f>+Thouars!$G161</f>
        <v>408.27826666666664</v>
      </c>
      <c r="F160" s="160">
        <f>+Angers!E161+Thouars!E161+Saumur!E161+Cham!E161</f>
        <v>654.48</v>
      </c>
      <c r="G160" s="317">
        <f>+Angers!F161+Thouars!F161+Saumur!F161+Cham!F161</f>
        <v>630.91999999999996</v>
      </c>
      <c r="H160" s="161">
        <f t="shared" si="37"/>
        <v>241.56933333333333</v>
      </c>
      <c r="I160" s="161">
        <f t="shared" si="38"/>
        <v>649.84759999999994</v>
      </c>
      <c r="J160" s="149">
        <f t="shared" si="39"/>
        <v>-3.5998044248869418E-2</v>
      </c>
      <c r="K160" s="271">
        <f t="shared" si="40"/>
        <v>2.9999999999999978E-2</v>
      </c>
      <c r="L160" s="162">
        <f>+Angers!D161+Thouars!D161+Saumur!D161+Cham!D161</f>
        <v>687.47527209611667</v>
      </c>
    </row>
    <row r="161" spans="1:12" s="2" customFormat="1" ht="11.25">
      <c r="A161" s="5" t="s">
        <v>355</v>
      </c>
      <c r="B161" s="160">
        <f>+Angers!G162</f>
        <v>0</v>
      </c>
      <c r="C161" s="113">
        <f>+Saumur!$G162</f>
        <v>0</v>
      </c>
      <c r="D161" s="113">
        <f>+Cham!$G162</f>
        <v>13.980533333333334</v>
      </c>
      <c r="E161" s="113">
        <f>+Thouars!$G162</f>
        <v>29.595333333333336</v>
      </c>
      <c r="F161" s="160">
        <f>+Angers!E162+Thouars!E162+Saumur!E162+Cham!E162</f>
        <v>39.489999999999995</v>
      </c>
      <c r="G161" s="317">
        <f>+Angers!F162+Thouars!F162+Saumur!F162+Cham!F162</f>
        <v>80.626666666666679</v>
      </c>
      <c r="H161" s="161">
        <f t="shared" si="37"/>
        <v>13.980533333333334</v>
      </c>
      <c r="I161" s="161">
        <f t="shared" si="38"/>
        <v>43.57586666666667</v>
      </c>
      <c r="J161" s="149">
        <f t="shared" si="39"/>
        <v>1.0416983202498529</v>
      </c>
      <c r="K161" s="271">
        <f t="shared" si="40"/>
        <v>-0.45953530676368454</v>
      </c>
      <c r="L161" s="162">
        <f>+Angers!D162+Thouars!D162+Saumur!D162+Cham!D162</f>
        <v>36.576469755335417</v>
      </c>
    </row>
    <row r="162" spans="1:12" s="2" customFormat="1" ht="11.25">
      <c r="A162" s="5" t="s">
        <v>200</v>
      </c>
      <c r="B162" s="160">
        <f>+Angers!G163</f>
        <v>1820.4769333333331</v>
      </c>
      <c r="C162" s="113">
        <f>+Saumur!$G163</f>
        <v>0</v>
      </c>
      <c r="D162" s="113">
        <f>+Cham!$G163</f>
        <v>0</v>
      </c>
      <c r="E162" s="113">
        <f>+Thouars!$G163</f>
        <v>25.804933333333334</v>
      </c>
      <c r="F162" s="160">
        <f>+Angers!E163+Thouars!E163+Saumur!E163+Cham!E163</f>
        <v>2109.81</v>
      </c>
      <c r="G162" s="317">
        <f>+Angers!F163+Thouars!F163+Saumur!F163+Cham!F163</f>
        <v>1792.5066666666664</v>
      </c>
      <c r="H162" s="161">
        <f t="shared" si="37"/>
        <v>1820.4769333333331</v>
      </c>
      <c r="I162" s="161">
        <f t="shared" si="38"/>
        <v>1846.2818666666665</v>
      </c>
      <c r="J162" s="149">
        <f t="shared" si="39"/>
        <v>-0.15039426931019073</v>
      </c>
      <c r="K162" s="271">
        <f t="shared" si="40"/>
        <v>3.0000000000000027E-2</v>
      </c>
      <c r="L162" s="162">
        <f>+Angers!D163+Thouars!D163+Saumur!D163+Cham!D163</f>
        <v>2144.8276960516187</v>
      </c>
    </row>
    <row r="163" spans="1:12" s="2" customFormat="1" ht="11.25">
      <c r="A163" s="5" t="s">
        <v>271</v>
      </c>
      <c r="B163" s="160">
        <f>+Angers!G164</f>
        <v>0</v>
      </c>
      <c r="C163" s="113">
        <f>+Saumur!$G164</f>
        <v>0</v>
      </c>
      <c r="D163" s="113">
        <f>+Cham!$G164</f>
        <v>-12.36</v>
      </c>
      <c r="E163" s="113">
        <f>+Thouars!$G164</f>
        <v>-24.72</v>
      </c>
      <c r="F163" s="160">
        <f>+Angers!E164+Thouars!E164+Saumur!E164+Cham!E164</f>
        <v>-40</v>
      </c>
      <c r="G163" s="317">
        <f>+Angers!F164+Thouars!F164+Saumur!F164+Cham!F164</f>
        <v>-60</v>
      </c>
      <c r="H163" s="161">
        <f t="shared" si="37"/>
        <v>-12.36</v>
      </c>
      <c r="I163" s="161">
        <f t="shared" si="38"/>
        <v>-37.08</v>
      </c>
      <c r="J163" s="149">
        <f t="shared" si="39"/>
        <v>0.5</v>
      </c>
      <c r="K163" s="271">
        <f t="shared" si="40"/>
        <v>-0.38200000000000001</v>
      </c>
      <c r="L163" s="162">
        <f>+Angers!D164+Thouars!D164+Saumur!D164+Cham!D164</f>
        <v>-47.696593088114589</v>
      </c>
    </row>
    <row r="164" spans="1:12" s="2" customFormat="1" ht="11.25">
      <c r="A164" s="5" t="s">
        <v>242</v>
      </c>
      <c r="B164" s="160">
        <f>+Angers!G165</f>
        <v>197.76</v>
      </c>
      <c r="C164" s="113">
        <f>+Saumur!$G165</f>
        <v>72.100000000000009</v>
      </c>
      <c r="D164" s="113">
        <f>+Cham!$G165</f>
        <v>61.800000000000004</v>
      </c>
      <c r="E164" s="113">
        <f>+Thouars!$G165</f>
        <v>157.93333333333334</v>
      </c>
      <c r="F164" s="160">
        <f>+Angers!E165+Thouars!E165+Saumur!E165+Cham!E165</f>
        <v>540.4</v>
      </c>
      <c r="G164" s="317">
        <f>+Angers!F165+Thouars!F165+Saumur!F165+Cham!F165</f>
        <v>475.33333333333337</v>
      </c>
      <c r="H164" s="161">
        <f t="shared" si="37"/>
        <v>331.66</v>
      </c>
      <c r="I164" s="161">
        <f t="shared" si="38"/>
        <v>489.59333333333336</v>
      </c>
      <c r="J164" s="149">
        <f t="shared" si="39"/>
        <v>-0.12040463853935346</v>
      </c>
      <c r="K164" s="271">
        <f t="shared" si="40"/>
        <v>2.9999999999999978E-2</v>
      </c>
      <c r="L164" s="162">
        <f>+Angers!D165+Thouars!D165+Saumur!D165+Cham!D165</f>
        <v>586.85253791564173</v>
      </c>
    </row>
    <row r="165" spans="1:12" s="2" customFormat="1" ht="11.25">
      <c r="A165" s="5" t="s">
        <v>201</v>
      </c>
      <c r="B165" s="160">
        <f>+Angers!G166</f>
        <v>0</v>
      </c>
      <c r="C165" s="113">
        <f>+Saumur!$G166</f>
        <v>0</v>
      </c>
      <c r="D165" s="113">
        <f>+Cham!$G166</f>
        <v>0</v>
      </c>
      <c r="E165" s="113">
        <f>+Thouars!$G166</f>
        <v>0</v>
      </c>
      <c r="F165" s="160">
        <f>+Angers!E166+Thouars!E166+Saumur!E166+Cham!E166</f>
        <v>0</v>
      </c>
      <c r="G165" s="317">
        <f>+Angers!F166+Thouars!F166+Saumur!F166+Cham!F166</f>
        <v>0</v>
      </c>
      <c r="H165" s="161">
        <f t="shared" si="37"/>
        <v>0</v>
      </c>
      <c r="I165" s="161">
        <f t="shared" si="38"/>
        <v>0</v>
      </c>
      <c r="J165" s="149">
        <f t="shared" si="39"/>
        <v>0</v>
      </c>
      <c r="K165" s="271">
        <f t="shared" si="40"/>
        <v>0</v>
      </c>
      <c r="L165" s="162">
        <f>+Angers!D166+Thouars!D166+Saumur!D166+Cham!D166</f>
        <v>0</v>
      </c>
    </row>
    <row r="166" spans="1:12" s="2" customFormat="1" ht="11.25">
      <c r="A166" s="5"/>
      <c r="B166" s="160"/>
      <c r="C166" s="113"/>
      <c r="D166" s="113"/>
      <c r="E166" s="113"/>
      <c r="F166" s="160"/>
      <c r="G166" s="113"/>
      <c r="H166" s="162"/>
      <c r="I166" s="162"/>
      <c r="J166" s="149"/>
      <c r="K166" s="254"/>
      <c r="L166" s="18"/>
    </row>
    <row r="167" spans="1:12" s="2" customFormat="1" ht="11.25">
      <c r="A167" s="13" t="s">
        <v>74</v>
      </c>
      <c r="B167" s="163">
        <f t="shared" ref="B167:G167" si="41">SUM(B154:B166)</f>
        <v>18884.996699200001</v>
      </c>
      <c r="C167" s="204">
        <f t="shared" si="41"/>
        <v>2752.1170818400005</v>
      </c>
      <c r="D167" s="204">
        <f t="shared" si="41"/>
        <v>12461.2880016</v>
      </c>
      <c r="E167" s="204">
        <f t="shared" si="41"/>
        <v>10337.130526666668</v>
      </c>
      <c r="F167" s="163">
        <f t="shared" si="41"/>
        <v>15174.780000000002</v>
      </c>
      <c r="G167" s="204">
        <f t="shared" si="41"/>
        <v>21002.386666666665</v>
      </c>
      <c r="H167" s="168">
        <f>SUM(A167:D167)</f>
        <v>34098.401782640001</v>
      </c>
      <c r="I167" s="168">
        <f>SUM(B167:E167)</f>
        <v>44435.532309306669</v>
      </c>
      <c r="J167" s="272">
        <f>+IF((F167)=0,,(G167-F167)/F167)</f>
        <v>0.38403236598268059</v>
      </c>
      <c r="K167" s="188">
        <f>+IF((G167)=0,,(I167-G167)/G167)</f>
        <v>1.1157372737942801</v>
      </c>
      <c r="L167" s="305">
        <f>SUM(L154:L166)</f>
        <v>46815.784732730601</v>
      </c>
    </row>
    <row r="168" spans="1:12" s="2" customFormat="1" ht="11.25">
      <c r="A168" s="5"/>
      <c r="B168" s="160"/>
      <c r="C168" s="113"/>
      <c r="D168" s="113"/>
      <c r="E168" s="113"/>
      <c r="F168" s="160"/>
      <c r="G168" s="113"/>
      <c r="H168" s="162"/>
      <c r="I168" s="162"/>
      <c r="J168" s="149"/>
      <c r="K168" s="271"/>
      <c r="L168" s="18"/>
    </row>
    <row r="169" spans="1:12" s="2" customFormat="1" ht="11.25">
      <c r="A169" s="5" t="s">
        <v>167</v>
      </c>
      <c r="B169" s="160">
        <f>+Angers!G170</f>
        <v>0</v>
      </c>
      <c r="C169" s="113">
        <f>+Saumur!$G170</f>
        <v>0</v>
      </c>
      <c r="D169" s="113">
        <f>+Cham!$G170</f>
        <v>0</v>
      </c>
      <c r="E169" s="113">
        <f>+Thouars!$G170</f>
        <v>0</v>
      </c>
      <c r="F169" s="160">
        <f>+Angers!E170+Thouars!E170+Saumur!E170+Cham!E170</f>
        <v>0</v>
      </c>
      <c r="G169" s="317">
        <f>+Angers!F170+Thouars!F170+Saumur!F170+Cham!F170</f>
        <v>0</v>
      </c>
      <c r="H169" s="161">
        <f t="shared" ref="H169:H182" si="42">SUM(A169:D169)</f>
        <v>0</v>
      </c>
      <c r="I169" s="161">
        <f t="shared" ref="I169:I182" si="43">SUM(B169:E169)</f>
        <v>0</v>
      </c>
      <c r="J169" s="149">
        <f>+IF((F169)=0,,(G169-F169)/F169)</f>
        <v>0</v>
      </c>
      <c r="K169" s="271">
        <f>+IF((G169)=0,,(I169-G169)/G169)</f>
        <v>0</v>
      </c>
      <c r="L169" s="162">
        <f>+Angers!D170+Thouars!D170+Saumur!D170+Cham!D170</f>
        <v>0</v>
      </c>
    </row>
    <row r="170" spans="1:12" s="2" customFormat="1" ht="11.25">
      <c r="A170" s="5" t="s">
        <v>168</v>
      </c>
      <c r="B170" s="160">
        <f>+Angers!G171</f>
        <v>258.74973333333332</v>
      </c>
      <c r="C170" s="113">
        <f>+Saumur!$G171</f>
        <v>0</v>
      </c>
      <c r="D170" s="113">
        <f>+Cham!$G171</f>
        <v>0</v>
      </c>
      <c r="E170" s="113">
        <f>+Thouars!$G171</f>
        <v>0</v>
      </c>
      <c r="F170" s="160">
        <f>+Angers!E171+Thouars!E171+Saumur!E171+Cham!E171</f>
        <v>155.85</v>
      </c>
      <c r="G170" s="317">
        <f>+Angers!F171+Thouars!F171+Saumur!F171+Cham!F171</f>
        <v>251.21333333333334</v>
      </c>
      <c r="H170" s="161">
        <f t="shared" si="42"/>
        <v>258.74973333333332</v>
      </c>
      <c r="I170" s="161">
        <f t="shared" si="43"/>
        <v>258.74973333333332</v>
      </c>
      <c r="J170" s="149">
        <f t="shared" ref="J170:J182" si="44">+IF((F170)=0,,(G170-F170)/F170)</f>
        <v>0.61189177628061175</v>
      </c>
      <c r="K170" s="271">
        <f t="shared" ref="K170:K182" si="45">+IF((G170)=0,,(I170-G170)/G170)</f>
        <v>2.9999999999999943E-2</v>
      </c>
      <c r="L170" s="162">
        <f>+Angers!D171+Thouars!D171+Saumur!D171+Cham!D171</f>
        <v>224.49998421986146</v>
      </c>
    </row>
    <row r="171" spans="1:12" s="2" customFormat="1" ht="11.25">
      <c r="A171" s="5" t="s">
        <v>169</v>
      </c>
      <c r="B171" s="160">
        <f>+Angers!G172</f>
        <v>0</v>
      </c>
      <c r="C171" s="113">
        <f>+Saumur!$G172</f>
        <v>0</v>
      </c>
      <c r="D171" s="113">
        <f>+Cham!$G172</f>
        <v>0</v>
      </c>
      <c r="E171" s="113">
        <f>+Thouars!$G172</f>
        <v>0</v>
      </c>
      <c r="F171" s="160">
        <f>+Angers!E172+Thouars!E172+Saumur!E172+Cham!E172</f>
        <v>0</v>
      </c>
      <c r="G171" s="317">
        <f>+Angers!F172+Thouars!F172+Saumur!F172+Cham!F172</f>
        <v>0</v>
      </c>
      <c r="H171" s="161">
        <f t="shared" si="42"/>
        <v>0</v>
      </c>
      <c r="I171" s="161">
        <f t="shared" si="43"/>
        <v>0</v>
      </c>
      <c r="J171" s="149">
        <f t="shared" si="44"/>
        <v>0</v>
      </c>
      <c r="K171" s="271">
        <f t="shared" si="45"/>
        <v>0</v>
      </c>
      <c r="L171" s="162">
        <f>+Angers!D172+Thouars!D172+Saumur!D172+Cham!D172</f>
        <v>0</v>
      </c>
    </row>
    <row r="172" spans="1:12" s="2" customFormat="1" ht="11.25">
      <c r="A172" s="5" t="s">
        <v>170</v>
      </c>
      <c r="B172" s="160">
        <f>+Angers!G173</f>
        <v>0</v>
      </c>
      <c r="C172" s="113">
        <f>+Saumur!$G173</f>
        <v>0</v>
      </c>
      <c r="D172" s="113">
        <f>+Cham!$G173</f>
        <v>20.613733333333336</v>
      </c>
      <c r="E172" s="113">
        <f>+Thouars!$G173</f>
        <v>0</v>
      </c>
      <c r="F172" s="160">
        <f>+Angers!E173+Thouars!E173+Saumur!E173+Cham!E173</f>
        <v>3719.94</v>
      </c>
      <c r="G172" s="317">
        <f>+Angers!F173+Thouars!F173+Saumur!F173+Cham!F173</f>
        <v>40.013333333333335</v>
      </c>
      <c r="H172" s="161">
        <f t="shared" si="42"/>
        <v>20.613733333333336</v>
      </c>
      <c r="I172" s="161">
        <f t="shared" si="43"/>
        <v>20.613733333333336</v>
      </c>
      <c r="J172" s="149">
        <f t="shared" si="44"/>
        <v>-0.98924355410750353</v>
      </c>
      <c r="K172" s="271">
        <f t="shared" si="45"/>
        <v>-0.4848283905364878</v>
      </c>
      <c r="L172" s="162">
        <f>+Angers!D173+Thouars!D173+Saumur!D173+Cham!D173</f>
        <v>0</v>
      </c>
    </row>
    <row r="173" spans="1:12" s="2" customFormat="1" ht="11.25">
      <c r="A173" s="5" t="s">
        <v>171</v>
      </c>
      <c r="B173" s="160">
        <f>+Angers!G174</f>
        <v>0</v>
      </c>
      <c r="C173" s="113">
        <f>+Saumur!$G174</f>
        <v>0</v>
      </c>
      <c r="D173" s="113">
        <f>+Cham!$G174</f>
        <v>0</v>
      </c>
      <c r="E173" s="113">
        <f>+Thouars!$G174</f>
        <v>0</v>
      </c>
      <c r="F173" s="160">
        <f>+Angers!E174+Thouars!E174+Saumur!E174+Cham!E174</f>
        <v>0</v>
      </c>
      <c r="G173" s="317">
        <f>+Angers!F174+Thouars!F174+Saumur!F174+Cham!F174</f>
        <v>0</v>
      </c>
      <c r="H173" s="161">
        <f t="shared" si="42"/>
        <v>0</v>
      </c>
      <c r="I173" s="161">
        <f t="shared" si="43"/>
        <v>0</v>
      </c>
      <c r="J173" s="149">
        <f t="shared" si="44"/>
        <v>0</v>
      </c>
      <c r="K173" s="271">
        <f t="shared" si="45"/>
        <v>0</v>
      </c>
      <c r="L173" s="162">
        <f>+Angers!D174+Thouars!D174+Saumur!D174+Cham!D174</f>
        <v>0</v>
      </c>
    </row>
    <row r="174" spans="1:12" s="2" customFormat="1" ht="11.25">
      <c r="A174" s="5" t="s">
        <v>308</v>
      </c>
      <c r="B174" s="160">
        <f>+Angers!G175</f>
        <v>0</v>
      </c>
      <c r="C174" s="113">
        <f>+Saumur!$G175</f>
        <v>0</v>
      </c>
      <c r="D174" s="113">
        <f>+Cham!$G175</f>
        <v>0</v>
      </c>
      <c r="E174" s="113">
        <f>+Thouars!$G175</f>
        <v>0</v>
      </c>
      <c r="F174" s="160">
        <f>+Angers!E175+Thouars!E175+Saumur!E175+Cham!E175</f>
        <v>0</v>
      </c>
      <c r="G174" s="317">
        <f>+Angers!F175+Thouars!F175+Saumur!F175+Cham!F175</f>
        <v>0</v>
      </c>
      <c r="H174" s="161">
        <f t="shared" si="42"/>
        <v>0</v>
      </c>
      <c r="I174" s="161">
        <f t="shared" si="43"/>
        <v>0</v>
      </c>
      <c r="J174" s="149">
        <f t="shared" si="44"/>
        <v>0</v>
      </c>
      <c r="K174" s="271">
        <f t="shared" si="45"/>
        <v>0</v>
      </c>
      <c r="L174" s="162">
        <f>+Angers!D175+Thouars!D175+Saumur!D175+Cham!D175</f>
        <v>0</v>
      </c>
    </row>
    <row r="175" spans="1:12" s="2" customFormat="1" ht="11.25">
      <c r="A175" s="5" t="s">
        <v>172</v>
      </c>
      <c r="B175" s="160">
        <f>+Angers!G176</f>
        <v>0</v>
      </c>
      <c r="C175" s="113">
        <f>+Saumur!$G176</f>
        <v>0</v>
      </c>
      <c r="D175" s="113">
        <f>+Cham!$G176</f>
        <v>0</v>
      </c>
      <c r="E175" s="113">
        <f>+Thouars!$G176</f>
        <v>0</v>
      </c>
      <c r="F175" s="160">
        <f>+Angers!E176+Thouars!E176+Saumur!E176+Cham!E176</f>
        <v>0</v>
      </c>
      <c r="G175" s="317">
        <f>+Angers!F176+Thouars!F176+Saumur!F176+Cham!F176</f>
        <v>0</v>
      </c>
      <c r="H175" s="161">
        <f t="shared" si="42"/>
        <v>0</v>
      </c>
      <c r="I175" s="161">
        <f t="shared" si="43"/>
        <v>0</v>
      </c>
      <c r="J175" s="149">
        <f t="shared" si="44"/>
        <v>0</v>
      </c>
      <c r="K175" s="271">
        <f t="shared" si="45"/>
        <v>0</v>
      </c>
      <c r="L175" s="162">
        <f>+Angers!D176+Thouars!D176+Saumur!D176+Cham!D176</f>
        <v>0</v>
      </c>
    </row>
    <row r="176" spans="1:12" s="2" customFormat="1" ht="11.25">
      <c r="A176" s="5" t="s">
        <v>173</v>
      </c>
      <c r="B176" s="160">
        <f>+Angers!G177</f>
        <v>0</v>
      </c>
      <c r="C176" s="113">
        <f>+Saumur!$G177</f>
        <v>0</v>
      </c>
      <c r="D176" s="113">
        <f>+Cham!$G177</f>
        <v>0</v>
      </c>
      <c r="E176" s="113">
        <f>+Thouars!$G177</f>
        <v>0</v>
      </c>
      <c r="F176" s="160">
        <f>+Angers!E177+Thouars!E177+Saumur!E177+Cham!E177</f>
        <v>14248.81</v>
      </c>
      <c r="G176" s="317">
        <f>+Angers!F177+Thouars!F177+Saumur!F177+Cham!F177</f>
        <v>0</v>
      </c>
      <c r="H176" s="161">
        <f t="shared" si="42"/>
        <v>0</v>
      </c>
      <c r="I176" s="161">
        <f t="shared" si="43"/>
        <v>0</v>
      </c>
      <c r="J176" s="149">
        <f t="shared" si="44"/>
        <v>-1</v>
      </c>
      <c r="K176" s="271">
        <f t="shared" si="45"/>
        <v>0</v>
      </c>
      <c r="L176" s="162">
        <f>+Angers!D177+Thouars!D177+Saumur!D177+Cham!D177</f>
        <v>0</v>
      </c>
    </row>
    <row r="177" spans="1:12" s="2" customFormat="1" ht="11.25">
      <c r="A177" s="5" t="s">
        <v>174</v>
      </c>
      <c r="B177" s="160">
        <f>+Angers!G178</f>
        <v>0</v>
      </c>
      <c r="C177" s="113">
        <f>+Saumur!$G178</f>
        <v>0</v>
      </c>
      <c r="D177" s="113">
        <f>+Cham!$G178</f>
        <v>0</v>
      </c>
      <c r="E177" s="113">
        <f>+Thouars!$G178</f>
        <v>0</v>
      </c>
      <c r="F177" s="160">
        <f>+Angers!E178+Thouars!E178+Saumur!E178+Cham!E178</f>
        <v>538.33000000000004</v>
      </c>
      <c r="G177" s="317">
        <f>+Angers!F178+Thouars!F178+Saumur!F178+Cham!F178</f>
        <v>0</v>
      </c>
      <c r="H177" s="161">
        <f t="shared" si="42"/>
        <v>0</v>
      </c>
      <c r="I177" s="161">
        <f t="shared" si="43"/>
        <v>0</v>
      </c>
      <c r="J177" s="149">
        <f t="shared" si="44"/>
        <v>-1</v>
      </c>
      <c r="K177" s="271">
        <f t="shared" si="45"/>
        <v>0</v>
      </c>
      <c r="L177" s="162">
        <f>+Angers!D178+Thouars!D178+Saumur!D178+Cham!D178</f>
        <v>0</v>
      </c>
    </row>
    <row r="178" spans="1:12" s="2" customFormat="1" ht="11.25">
      <c r="A178" s="5" t="s">
        <v>175</v>
      </c>
      <c r="B178" s="160">
        <f>+Angers!G179</f>
        <v>11229.81</v>
      </c>
      <c r="C178" s="113">
        <f>+Saumur!$G179</f>
        <v>829.3</v>
      </c>
      <c r="D178" s="113">
        <f>+Cham!$G179</f>
        <v>7543.04</v>
      </c>
      <c r="E178" s="113">
        <f>+Thouars!$G179</f>
        <v>4243.93</v>
      </c>
      <c r="F178" s="160">
        <f>+Angers!E179+Thouars!E179+Saumur!E179+Cham!E179</f>
        <v>29121.82</v>
      </c>
      <c r="G178" s="317">
        <f>+Angers!F179+Thouars!F179+Saumur!F179+Cham!F179</f>
        <v>26969.93</v>
      </c>
      <c r="H178" s="161">
        <f t="shared" si="42"/>
        <v>19602.149999999998</v>
      </c>
      <c r="I178" s="161">
        <f t="shared" si="43"/>
        <v>23846.079999999998</v>
      </c>
      <c r="J178" s="149">
        <f t="shared" si="44"/>
        <v>-7.3892703134625495E-2</v>
      </c>
      <c r="K178" s="271">
        <f t="shared" si="45"/>
        <v>-0.11582714526882354</v>
      </c>
      <c r="L178" s="162">
        <f>+Angers!D179+Thouars!D179+Saumur!D179+Cham!D179</f>
        <v>33200</v>
      </c>
    </row>
    <row r="179" spans="1:12" s="2" customFormat="1" ht="11.25">
      <c r="A179" s="5" t="s">
        <v>78</v>
      </c>
      <c r="B179" s="160">
        <f>+Angers!G180</f>
        <v>0</v>
      </c>
      <c r="C179" s="113">
        <f>+Saumur!$G180</f>
        <v>0</v>
      </c>
      <c r="D179" s="113">
        <f>+Cham!$G180</f>
        <v>0</v>
      </c>
      <c r="E179" s="113">
        <f>+Thouars!$G180</f>
        <v>0</v>
      </c>
      <c r="F179" s="160">
        <f>+Angers!E180+Thouars!E180+Saumur!E180+Cham!E180</f>
        <v>5185.6499999999996</v>
      </c>
      <c r="G179" s="317">
        <f>+Angers!F180+Thouars!F180+Saumur!F180+Cham!F180</f>
        <v>0</v>
      </c>
      <c r="H179" s="161">
        <f t="shared" si="42"/>
        <v>0</v>
      </c>
      <c r="I179" s="161">
        <f t="shared" si="43"/>
        <v>0</v>
      </c>
      <c r="J179" s="149">
        <f t="shared" si="44"/>
        <v>-1</v>
      </c>
      <c r="K179" s="271">
        <f t="shared" si="45"/>
        <v>0</v>
      </c>
      <c r="L179" s="162">
        <f>+Angers!D180+Thouars!D180+Saumur!D180+Cham!D180</f>
        <v>0</v>
      </c>
    </row>
    <row r="180" spans="1:12" s="2" customFormat="1" ht="11.25">
      <c r="A180" s="5" t="s">
        <v>327</v>
      </c>
      <c r="B180" s="160">
        <f>+Angers!G181</f>
        <v>0</v>
      </c>
      <c r="C180" s="113">
        <f>+Saumur!$G181</f>
        <v>0</v>
      </c>
      <c r="D180" s="113">
        <f>+Cham!$G181</f>
        <v>0</v>
      </c>
      <c r="E180" s="113">
        <f>+Thouars!$G181</f>
        <v>0</v>
      </c>
      <c r="F180" s="160">
        <f>+Angers!E181+Thouars!E181+Saumur!E181+Cham!E181</f>
        <v>0</v>
      </c>
      <c r="G180" s="317">
        <f>+Angers!F181+Thouars!F181+Saumur!F181+Cham!F181</f>
        <v>0</v>
      </c>
      <c r="H180" s="161">
        <f t="shared" si="42"/>
        <v>0</v>
      </c>
      <c r="I180" s="161">
        <f t="shared" si="43"/>
        <v>0</v>
      </c>
      <c r="J180" s="149">
        <f t="shared" si="44"/>
        <v>0</v>
      </c>
      <c r="K180" s="271">
        <f t="shared" si="45"/>
        <v>0</v>
      </c>
      <c r="L180" s="162">
        <f>+Angers!D181+Thouars!D181+Saumur!D181+Cham!D181</f>
        <v>0</v>
      </c>
    </row>
    <row r="181" spans="1:12" s="2" customFormat="1" ht="11.25">
      <c r="A181" s="5" t="s">
        <v>82</v>
      </c>
      <c r="B181" s="160">
        <f>+Angers!G182</f>
        <v>0</v>
      </c>
      <c r="C181" s="113">
        <f>+Saumur!$G182</f>
        <v>0</v>
      </c>
      <c r="D181" s="113">
        <f>+Cham!$G182</f>
        <v>0</v>
      </c>
      <c r="E181" s="113">
        <f>+Thouars!$G182</f>
        <v>0</v>
      </c>
      <c r="F181" s="160">
        <f>+Angers!E182+Thouars!E182+Saumur!E182+Cham!E182</f>
        <v>830.53</v>
      </c>
      <c r="G181" s="317">
        <f>+Angers!F182+Thouars!F182+Saumur!F182+Cham!F182</f>
        <v>0</v>
      </c>
      <c r="H181" s="161">
        <f t="shared" si="42"/>
        <v>0</v>
      </c>
      <c r="I181" s="161">
        <f t="shared" si="43"/>
        <v>0</v>
      </c>
      <c r="J181" s="149">
        <f t="shared" si="44"/>
        <v>-1</v>
      </c>
      <c r="K181" s="271">
        <f t="shared" si="45"/>
        <v>0</v>
      </c>
      <c r="L181" s="162">
        <f>+Angers!D182+Thouars!D182+Saumur!D182+Cham!D182</f>
        <v>497.15077658125006</v>
      </c>
    </row>
    <row r="182" spans="1:12" s="2" customFormat="1" ht="11.25">
      <c r="A182" s="5" t="s">
        <v>331</v>
      </c>
      <c r="B182" s="160">
        <f>+Angers!G183</f>
        <v>0</v>
      </c>
      <c r="C182" s="113">
        <f>+Saumur!$G183</f>
        <v>0</v>
      </c>
      <c r="D182" s="113">
        <f>+Cham!$G183</f>
        <v>0</v>
      </c>
      <c r="E182" s="113">
        <f>+Thouars!$G183</f>
        <v>0</v>
      </c>
      <c r="F182" s="160">
        <f>+Angers!E183+Thouars!E183+Saumur!E183+Cham!E183</f>
        <v>0</v>
      </c>
      <c r="G182" s="317">
        <f>+Angers!F183+Thouars!F183+Saumur!F183+Cham!F183</f>
        <v>0</v>
      </c>
      <c r="H182" s="161">
        <f t="shared" si="42"/>
        <v>0</v>
      </c>
      <c r="I182" s="161">
        <f t="shared" si="43"/>
        <v>0</v>
      </c>
      <c r="J182" s="149">
        <f t="shared" si="44"/>
        <v>0</v>
      </c>
      <c r="K182" s="271">
        <f t="shared" si="45"/>
        <v>0</v>
      </c>
      <c r="L182" s="162">
        <f>+Angers!D183+Thouars!D183+Saumur!D183+Cham!D183</f>
        <v>0</v>
      </c>
    </row>
    <row r="183" spans="1:12" s="2" customFormat="1" ht="11.25">
      <c r="A183" s="5"/>
      <c r="B183" s="160"/>
      <c r="C183" s="113"/>
      <c r="D183" s="113"/>
      <c r="E183" s="113"/>
      <c r="F183" s="160"/>
      <c r="G183" s="113"/>
      <c r="H183" s="162"/>
      <c r="I183" s="162"/>
      <c r="J183" s="149"/>
      <c r="K183" s="254"/>
      <c r="L183" s="18"/>
    </row>
    <row r="184" spans="1:12" s="2" customFormat="1" ht="11.25">
      <c r="A184" s="13" t="s">
        <v>178</v>
      </c>
      <c r="B184" s="163">
        <f t="shared" ref="B184:G184" si="46">SUM(B168:B183)</f>
        <v>11488.559733333333</v>
      </c>
      <c r="C184" s="204">
        <f t="shared" si="46"/>
        <v>829.3</v>
      </c>
      <c r="D184" s="204">
        <f t="shared" si="46"/>
        <v>7563.6537333333335</v>
      </c>
      <c r="E184" s="204">
        <f t="shared" si="46"/>
        <v>4243.93</v>
      </c>
      <c r="F184" s="163">
        <f t="shared" si="46"/>
        <v>53800.93</v>
      </c>
      <c r="G184" s="136">
        <f t="shared" si="46"/>
        <v>27261.156666666666</v>
      </c>
      <c r="H184" s="118">
        <f>SUM(A184:D184)</f>
        <v>19881.513466666667</v>
      </c>
      <c r="I184" s="118">
        <f>SUM(B184:E184)</f>
        <v>24125.443466666668</v>
      </c>
      <c r="J184" s="272">
        <f>+IF((F184)=0,,(G184-F184)/F184)</f>
        <v>-0.49329580981840526</v>
      </c>
      <c r="K184" s="188">
        <f>+IF((G184)=0,,(I184-G184)/G184)</f>
        <v>-0.11502495064100356</v>
      </c>
      <c r="L184" s="312">
        <f>SUM(L168:L183)</f>
        <v>33921.650760801109</v>
      </c>
    </row>
    <row r="185" spans="1:12" s="2" customFormat="1" ht="11.25">
      <c r="A185" s="5"/>
      <c r="B185" s="160"/>
      <c r="C185" s="113"/>
      <c r="D185" s="113"/>
      <c r="E185" s="113"/>
      <c r="F185" s="160"/>
      <c r="G185" s="113"/>
      <c r="H185" s="162"/>
      <c r="I185" s="162"/>
      <c r="J185" s="149"/>
      <c r="K185" s="271"/>
      <c r="L185" s="18"/>
    </row>
    <row r="186" spans="1:12" s="2" customFormat="1" ht="11.25">
      <c r="A186" s="5" t="s">
        <v>179</v>
      </c>
      <c r="B186" s="160">
        <f>+Angers!G187</f>
        <v>0</v>
      </c>
      <c r="C186" s="113">
        <f>+Saumur!$G187</f>
        <v>0</v>
      </c>
      <c r="D186" s="113">
        <f>+Cham!$G187</f>
        <v>0</v>
      </c>
      <c r="E186" s="113">
        <f>+Thouars!$G187</f>
        <v>0</v>
      </c>
      <c r="F186" s="160">
        <f>+Angers!E187+Thouars!E187+Saumur!E187+Cham!E187</f>
        <v>3400</v>
      </c>
      <c r="G186" s="317">
        <f>+Angers!F187+Thouars!F187+Saumur!F187+Cham!F187</f>
        <v>6060</v>
      </c>
      <c r="H186" s="161">
        <f t="shared" ref="H186:H198" si="47">SUM(A186:D186)</f>
        <v>0</v>
      </c>
      <c r="I186" s="161">
        <f t="shared" ref="I186:I198" si="48">SUM(B186:E186)</f>
        <v>0</v>
      </c>
      <c r="J186" s="149">
        <f>+IF((F186)=0,,(G186-F186)/F186)</f>
        <v>0.78235294117647058</v>
      </c>
      <c r="K186" s="271">
        <f>+IF((G186)=0,,(I186-G186)/G186)</f>
        <v>-1</v>
      </c>
      <c r="L186" s="162">
        <f>+Angers!D187+Thouars!D187+Saumur!D187+Cham!D187</f>
        <v>0</v>
      </c>
    </row>
    <row r="187" spans="1:12" s="2" customFormat="1" ht="11.25">
      <c r="A187" s="5" t="s">
        <v>167</v>
      </c>
      <c r="B187" s="160">
        <f>+Angers!G188</f>
        <v>0</v>
      </c>
      <c r="C187" s="113">
        <f>+Saumur!$G188</f>
        <v>0</v>
      </c>
      <c r="D187" s="113">
        <f>+Cham!$G188</f>
        <v>0</v>
      </c>
      <c r="E187" s="113">
        <f>+Thouars!$G188</f>
        <v>0</v>
      </c>
      <c r="F187" s="160">
        <f>+Angers!E188+Thouars!E188+Saumur!E188+Cham!E188</f>
        <v>0</v>
      </c>
      <c r="G187" s="317">
        <f>+Angers!F188+Thouars!F188+Saumur!F188+Cham!F188</f>
        <v>0</v>
      </c>
      <c r="H187" s="161">
        <f t="shared" si="47"/>
        <v>0</v>
      </c>
      <c r="I187" s="161">
        <f t="shared" si="48"/>
        <v>0</v>
      </c>
      <c r="J187" s="149">
        <f t="shared" ref="J187:J198" si="49">+IF((F187)=0,,(G187-F187)/F187)</f>
        <v>0</v>
      </c>
      <c r="K187" s="271">
        <f t="shared" ref="K187:K198" si="50">+IF((G187)=0,,(I187-G187)/G187)</f>
        <v>0</v>
      </c>
      <c r="L187" s="162">
        <f>+Angers!D188+Thouars!D188+Saumur!D188+Cham!D188</f>
        <v>0</v>
      </c>
    </row>
    <row r="188" spans="1:12" s="2" customFormat="1" ht="11.25">
      <c r="A188" s="5" t="s">
        <v>180</v>
      </c>
      <c r="B188" s="160">
        <f>+Angers!G189</f>
        <v>0</v>
      </c>
      <c r="C188" s="113">
        <f>+Saumur!$G189</f>
        <v>0</v>
      </c>
      <c r="D188" s="113">
        <f>+Cham!$G189</f>
        <v>0</v>
      </c>
      <c r="E188" s="113">
        <f>+Thouars!$G189</f>
        <v>0</v>
      </c>
      <c r="F188" s="160">
        <f>+Angers!E189+Thouars!E189+Saumur!E189+Cham!E189</f>
        <v>319.57</v>
      </c>
      <c r="G188" s="317">
        <f>+Angers!F189+Thouars!F189+Saumur!F189+Cham!F189</f>
        <v>5567.3466666666673</v>
      </c>
      <c r="H188" s="161">
        <f t="shared" si="47"/>
        <v>0</v>
      </c>
      <c r="I188" s="161">
        <f t="shared" si="48"/>
        <v>0</v>
      </c>
      <c r="J188" s="149">
        <f t="shared" si="49"/>
        <v>16.421368296982408</v>
      </c>
      <c r="K188" s="271">
        <f t="shared" si="50"/>
        <v>-1</v>
      </c>
      <c r="L188" s="162">
        <f>+Angers!D189+Thouars!D189+Saumur!D189+Cham!D189</f>
        <v>0</v>
      </c>
    </row>
    <row r="189" spans="1:12" s="2" customFormat="1" ht="11.25">
      <c r="A189" s="5" t="s">
        <v>181</v>
      </c>
      <c r="B189" s="160">
        <f>+Angers!G190</f>
        <v>0</v>
      </c>
      <c r="C189" s="113">
        <f>+Saumur!$G190</f>
        <v>0</v>
      </c>
      <c r="D189" s="113">
        <f>+Cham!$G190</f>
        <v>0</v>
      </c>
      <c r="E189" s="113">
        <f>+Thouars!$G190</f>
        <v>0</v>
      </c>
      <c r="F189" s="160">
        <f>+Angers!E190+Thouars!E190+Saumur!E190+Cham!E190</f>
        <v>0</v>
      </c>
      <c r="G189" s="317">
        <f>+Angers!F190+Thouars!F190+Saumur!F190+Cham!F190</f>
        <v>0</v>
      </c>
      <c r="H189" s="161">
        <f t="shared" si="47"/>
        <v>0</v>
      </c>
      <c r="I189" s="161">
        <f t="shared" si="48"/>
        <v>0</v>
      </c>
      <c r="J189" s="149">
        <f t="shared" si="49"/>
        <v>0</v>
      </c>
      <c r="K189" s="271">
        <f t="shared" si="50"/>
        <v>0</v>
      </c>
      <c r="L189" s="162">
        <f>+Angers!D190+Thouars!D190+Saumur!D190+Cham!D190</f>
        <v>0</v>
      </c>
    </row>
    <row r="190" spans="1:12" s="2" customFormat="1" ht="11.25">
      <c r="A190" s="5" t="s">
        <v>182</v>
      </c>
      <c r="B190" s="160">
        <f>+Angers!G191</f>
        <v>0</v>
      </c>
      <c r="C190" s="113">
        <f>+Saumur!$G191</f>
        <v>0</v>
      </c>
      <c r="D190" s="113">
        <f>+Cham!$G191</f>
        <v>0</v>
      </c>
      <c r="E190" s="113">
        <f>+Thouars!$G191</f>
        <v>0</v>
      </c>
      <c r="F190" s="160">
        <f>+Angers!E191+Thouars!E191+Saumur!E191+Cham!E191</f>
        <v>0</v>
      </c>
      <c r="G190" s="317">
        <f>+Angers!F191+Thouars!F191+Saumur!F191+Cham!F191</f>
        <v>0</v>
      </c>
      <c r="H190" s="161">
        <f t="shared" si="47"/>
        <v>0</v>
      </c>
      <c r="I190" s="161">
        <f t="shared" si="48"/>
        <v>0</v>
      </c>
      <c r="J190" s="149">
        <f t="shared" si="49"/>
        <v>0</v>
      </c>
      <c r="K190" s="271">
        <f t="shared" si="50"/>
        <v>0</v>
      </c>
      <c r="L190" s="162">
        <f>+Angers!D191+Thouars!D191+Saumur!D191+Cham!D191</f>
        <v>0</v>
      </c>
    </row>
    <row r="191" spans="1:12" s="2" customFormat="1" ht="11.25">
      <c r="A191" s="5" t="s">
        <v>183</v>
      </c>
      <c r="B191" s="160">
        <f>+Angers!G192</f>
        <v>0</v>
      </c>
      <c r="C191" s="113">
        <f>+Saumur!$G192</f>
        <v>0</v>
      </c>
      <c r="D191" s="113">
        <f>+Cham!$G192</f>
        <v>0</v>
      </c>
      <c r="E191" s="113">
        <f>+Thouars!$G192</f>
        <v>0</v>
      </c>
      <c r="F191" s="160">
        <f>+Angers!E192+Thouars!E192+Saumur!E192+Cham!E192</f>
        <v>0</v>
      </c>
      <c r="G191" s="317">
        <f>+Angers!F192+Thouars!F192+Saumur!F192+Cham!F192</f>
        <v>0</v>
      </c>
      <c r="H191" s="161">
        <f t="shared" si="47"/>
        <v>0</v>
      </c>
      <c r="I191" s="161">
        <f t="shared" si="48"/>
        <v>0</v>
      </c>
      <c r="J191" s="149">
        <f t="shared" si="49"/>
        <v>0</v>
      </c>
      <c r="K191" s="271">
        <f t="shared" si="50"/>
        <v>0</v>
      </c>
      <c r="L191" s="162">
        <f>+Angers!D192+Thouars!D192+Saumur!D192+Cham!D192</f>
        <v>0</v>
      </c>
    </row>
    <row r="192" spans="1:12" s="2" customFormat="1" ht="11.25">
      <c r="A192" s="5" t="s">
        <v>184</v>
      </c>
      <c r="B192" s="160">
        <f>+Angers!G193</f>
        <v>0</v>
      </c>
      <c r="C192" s="113">
        <f>+Saumur!$G193</f>
        <v>0</v>
      </c>
      <c r="D192" s="113">
        <f>+Cham!$G193</f>
        <v>0</v>
      </c>
      <c r="E192" s="113">
        <f>+Thouars!$G193</f>
        <v>0</v>
      </c>
      <c r="F192" s="160">
        <f>+Angers!E193+Thouars!E193+Saumur!E193+Cham!E193</f>
        <v>3498.1099999999997</v>
      </c>
      <c r="G192" s="317">
        <f>+Angers!F193+Thouars!F193+Saumur!F193+Cham!F193</f>
        <v>832.17333333333329</v>
      </c>
      <c r="H192" s="161">
        <f t="shared" si="47"/>
        <v>0</v>
      </c>
      <c r="I192" s="161">
        <f t="shared" si="48"/>
        <v>0</v>
      </c>
      <c r="J192" s="149">
        <f t="shared" si="49"/>
        <v>-0.76210772864966136</v>
      </c>
      <c r="K192" s="271">
        <f t="shared" si="50"/>
        <v>-1</v>
      </c>
      <c r="L192" s="162">
        <f>+Angers!D193+Thouars!D193+Saumur!D193+Cham!D193</f>
        <v>0</v>
      </c>
    </row>
    <row r="193" spans="1:12" s="2" customFormat="1" ht="11.25">
      <c r="A193" s="5" t="s">
        <v>342</v>
      </c>
      <c r="B193" s="160">
        <f>+Angers!G194</f>
        <v>0</v>
      </c>
      <c r="C193" s="113">
        <f>+Saumur!$G194</f>
        <v>0</v>
      </c>
      <c r="D193" s="113">
        <f>+Cham!$G194</f>
        <v>0</v>
      </c>
      <c r="E193" s="113">
        <f>+Thouars!$G194</f>
        <v>0</v>
      </c>
      <c r="F193" s="160">
        <f>+Angers!E194+Thouars!E194+Saumur!E194+Cham!E194</f>
        <v>1730.59</v>
      </c>
      <c r="G193" s="317">
        <f>+Angers!F194+Thouars!F194+Saumur!F194+Cham!F194</f>
        <v>0</v>
      </c>
      <c r="H193" s="161">
        <f t="shared" si="47"/>
        <v>0</v>
      </c>
      <c r="I193" s="161">
        <f t="shared" si="48"/>
        <v>0</v>
      </c>
      <c r="J193" s="149">
        <f t="shared" si="49"/>
        <v>-1</v>
      </c>
      <c r="K193" s="271">
        <f t="shared" si="50"/>
        <v>0</v>
      </c>
      <c r="L193" s="162">
        <f>+Angers!D194+Thouars!D194+Saumur!D194+Cham!D194</f>
        <v>0</v>
      </c>
    </row>
    <row r="194" spans="1:12" s="2" customFormat="1" ht="11.25">
      <c r="A194" s="5" t="s">
        <v>186</v>
      </c>
      <c r="B194" s="160">
        <f>+Angers!G195</f>
        <v>0</v>
      </c>
      <c r="C194" s="113">
        <f>+Saumur!$G195</f>
        <v>0</v>
      </c>
      <c r="D194" s="113">
        <f>+Cham!$G195</f>
        <v>0</v>
      </c>
      <c r="E194" s="113">
        <f>+Thouars!$G195</f>
        <v>0</v>
      </c>
      <c r="F194" s="160">
        <f>+Angers!E195+Thouars!E195+Saumur!E195+Cham!E195</f>
        <v>0</v>
      </c>
      <c r="G194" s="317">
        <f>+Angers!F195+Thouars!F195+Saumur!F195+Cham!F195</f>
        <v>0</v>
      </c>
      <c r="H194" s="161">
        <f t="shared" si="47"/>
        <v>0</v>
      </c>
      <c r="I194" s="161">
        <f t="shared" si="48"/>
        <v>0</v>
      </c>
      <c r="J194" s="149">
        <f t="shared" si="49"/>
        <v>0</v>
      </c>
      <c r="K194" s="271">
        <f t="shared" si="50"/>
        <v>0</v>
      </c>
      <c r="L194" s="162">
        <f>+Angers!D195+Thouars!D195+Saumur!D195+Cham!D195</f>
        <v>0</v>
      </c>
    </row>
    <row r="195" spans="1:12" s="2" customFormat="1" ht="11.25">
      <c r="A195" s="5" t="s">
        <v>187</v>
      </c>
      <c r="B195" s="160">
        <f>+Angers!G196</f>
        <v>0</v>
      </c>
      <c r="C195" s="113">
        <f>+Saumur!$G196</f>
        <v>0</v>
      </c>
      <c r="D195" s="113">
        <f>+Cham!$G196</f>
        <v>0</v>
      </c>
      <c r="E195" s="113">
        <f>+Thouars!$G196</f>
        <v>0</v>
      </c>
      <c r="F195" s="160">
        <f>+Angers!E196+Thouars!E196+Saumur!E196+Cham!E196</f>
        <v>0</v>
      </c>
      <c r="G195" s="317">
        <f>+Angers!F196+Thouars!F196+Saumur!F196+Cham!F196</f>
        <v>933.33333333333326</v>
      </c>
      <c r="H195" s="161">
        <f t="shared" si="47"/>
        <v>0</v>
      </c>
      <c r="I195" s="161">
        <f t="shared" si="48"/>
        <v>0</v>
      </c>
      <c r="J195" s="149">
        <f t="shared" si="49"/>
        <v>0</v>
      </c>
      <c r="K195" s="271">
        <f t="shared" si="50"/>
        <v>-1</v>
      </c>
      <c r="L195" s="162">
        <f>+Angers!D196+Thouars!D196+Saumur!D196+Cham!D196</f>
        <v>0</v>
      </c>
    </row>
    <row r="196" spans="1:12" s="2" customFormat="1" ht="11.25">
      <c r="A196" s="5" t="s">
        <v>328</v>
      </c>
      <c r="B196" s="160">
        <f>+Angers!G197</f>
        <v>0</v>
      </c>
      <c r="C196" s="113">
        <f>+Saumur!$G197</f>
        <v>0</v>
      </c>
      <c r="D196" s="113">
        <f>+Cham!$G197</f>
        <v>0</v>
      </c>
      <c r="E196" s="113">
        <f>+Thouars!$G197</f>
        <v>0</v>
      </c>
      <c r="F196" s="160">
        <f>+Angers!E197+Thouars!E197+Saumur!E197+Cham!E197</f>
        <v>0</v>
      </c>
      <c r="G196" s="317">
        <f>+Angers!F197+Thouars!F197+Saumur!F197+Cham!F197</f>
        <v>0</v>
      </c>
      <c r="H196" s="161">
        <f t="shared" si="47"/>
        <v>0</v>
      </c>
      <c r="I196" s="161">
        <f t="shared" si="48"/>
        <v>0</v>
      </c>
      <c r="J196" s="149">
        <f t="shared" si="49"/>
        <v>0</v>
      </c>
      <c r="K196" s="271">
        <f t="shared" si="50"/>
        <v>0</v>
      </c>
      <c r="L196" s="162">
        <f>+Angers!D197+Thouars!D197+Saumur!D197+Cham!D197</f>
        <v>0</v>
      </c>
    </row>
    <row r="197" spans="1:12" s="2" customFormat="1" ht="11.25">
      <c r="A197" s="5" t="s">
        <v>344</v>
      </c>
      <c r="B197" s="160">
        <f>+Angers!G198</f>
        <v>0</v>
      </c>
      <c r="C197" s="113">
        <f>+Saumur!$G198</f>
        <v>0</v>
      </c>
      <c r="D197" s="113">
        <f>+Cham!$G198</f>
        <v>0</v>
      </c>
      <c r="E197" s="113">
        <f>+Thouars!$G198</f>
        <v>0</v>
      </c>
      <c r="F197" s="160">
        <f>+Angers!E198+Thouars!E198+Saumur!E198+Cham!E198</f>
        <v>0</v>
      </c>
      <c r="G197" s="317">
        <f>+Angers!F198+Thouars!F198+Saumur!F198+Cham!F198</f>
        <v>0</v>
      </c>
      <c r="H197" s="161">
        <f t="shared" si="47"/>
        <v>0</v>
      </c>
      <c r="I197" s="161">
        <f t="shared" si="48"/>
        <v>0</v>
      </c>
      <c r="J197" s="149">
        <f t="shared" si="49"/>
        <v>0</v>
      </c>
      <c r="K197" s="271">
        <f t="shared" si="50"/>
        <v>0</v>
      </c>
      <c r="L197" s="162">
        <f>+Angers!D198+Thouars!D198+Saumur!D198+Cham!D198</f>
        <v>0</v>
      </c>
    </row>
    <row r="198" spans="1:12" s="2" customFormat="1" ht="11.25">
      <c r="A198" s="5" t="s">
        <v>77</v>
      </c>
      <c r="B198" s="160">
        <f>+Angers!G199</f>
        <v>0</v>
      </c>
      <c r="C198" s="113">
        <f>+Saumur!$G199</f>
        <v>0</v>
      </c>
      <c r="D198" s="113">
        <f>+Cham!$G199</f>
        <v>0</v>
      </c>
      <c r="E198" s="113">
        <f>+Thouars!$G199</f>
        <v>0</v>
      </c>
      <c r="F198" s="160">
        <f>+Angers!E199+Thouars!E199+Saumur!E199+Cham!E199</f>
        <v>4008.88</v>
      </c>
      <c r="G198" s="317">
        <f>+Angers!F199+Thouars!F199+Saumur!F199+Cham!F199</f>
        <v>0</v>
      </c>
      <c r="H198" s="161">
        <f t="shared" si="47"/>
        <v>0</v>
      </c>
      <c r="I198" s="161">
        <f t="shared" si="48"/>
        <v>0</v>
      </c>
      <c r="J198" s="149">
        <f t="shared" si="49"/>
        <v>-1</v>
      </c>
      <c r="K198" s="271">
        <f t="shared" si="50"/>
        <v>0</v>
      </c>
      <c r="L198" s="162">
        <f>+Angers!D199+Thouars!D199+Saumur!D199+Cham!D199</f>
        <v>0</v>
      </c>
    </row>
    <row r="199" spans="1:12" s="2" customFormat="1" ht="11.25">
      <c r="A199" s="5"/>
      <c r="B199" s="160"/>
      <c r="C199" s="113"/>
      <c r="D199" s="113"/>
      <c r="E199" s="113"/>
      <c r="F199" s="160"/>
      <c r="G199" s="113"/>
      <c r="H199" s="162"/>
      <c r="I199" s="162"/>
      <c r="J199" s="149"/>
      <c r="K199" s="254"/>
      <c r="L199" s="18"/>
    </row>
    <row r="200" spans="1:12" s="2" customFormat="1" ht="11.25">
      <c r="A200" s="13" t="s">
        <v>188</v>
      </c>
      <c r="B200" s="163">
        <f t="shared" ref="B200:G200" si="51">SUM(B185:B199)</f>
        <v>0</v>
      </c>
      <c r="C200" s="204">
        <f t="shared" si="51"/>
        <v>0</v>
      </c>
      <c r="D200" s="204">
        <f t="shared" si="51"/>
        <v>0</v>
      </c>
      <c r="E200" s="204">
        <f t="shared" si="51"/>
        <v>0</v>
      </c>
      <c r="F200" s="163">
        <f t="shared" si="51"/>
        <v>12957.150000000001</v>
      </c>
      <c r="G200" s="204">
        <f t="shared" si="51"/>
        <v>13392.853333333336</v>
      </c>
      <c r="H200" s="168">
        <f>SUM(A200:D200)</f>
        <v>0</v>
      </c>
      <c r="I200" s="168">
        <f>SUM(B200:E200)</f>
        <v>0</v>
      </c>
      <c r="J200" s="272">
        <f>+IF((F200)=0,,(G200-F200)/F200)</f>
        <v>3.3626479073973418E-2</v>
      </c>
      <c r="K200" s="188">
        <f>+IF((G200)=0,,(I200-G200)/G200)</f>
        <v>-1</v>
      </c>
      <c r="L200" s="305">
        <f>SUM(L185:L199)</f>
        <v>0</v>
      </c>
    </row>
    <row r="201" spans="1:12" s="2" customFormat="1" ht="11.25">
      <c r="A201" s="5"/>
      <c r="B201" s="160"/>
      <c r="C201" s="113"/>
      <c r="D201" s="113"/>
      <c r="E201" s="113"/>
      <c r="F201" s="160"/>
      <c r="G201" s="113"/>
      <c r="H201" s="162"/>
      <c r="I201" s="162"/>
      <c r="J201" s="149"/>
      <c r="K201" s="254"/>
      <c r="L201" s="311"/>
    </row>
    <row r="202" spans="1:12" s="2" customFormat="1" ht="11.25">
      <c r="A202" s="14" t="s">
        <v>189</v>
      </c>
      <c r="B202" s="175">
        <f t="shared" ref="B202:G202" si="52">+B103+B116+B129+B153+B167+B184-B200</f>
        <v>344045.43962846469</v>
      </c>
      <c r="C202" s="206">
        <f t="shared" si="52"/>
        <v>120473.12345677281</v>
      </c>
      <c r="D202" s="206">
        <f t="shared" si="52"/>
        <v>268955.86497823772</v>
      </c>
      <c r="E202" s="206">
        <f t="shared" si="52"/>
        <v>256549.41139296335</v>
      </c>
      <c r="F202" s="175">
        <f t="shared" si="52"/>
        <v>1017863.3196</v>
      </c>
      <c r="G202" s="206">
        <f t="shared" si="52"/>
        <v>938350.10882287496</v>
      </c>
      <c r="H202" s="176">
        <f>+H184+H167+H153+H129+H116+H103-H200</f>
        <v>733474.42806347518</v>
      </c>
      <c r="I202" s="176">
        <f>+I184+I167+I153+I129+I116+I103-I200</f>
        <v>990023.83945643855</v>
      </c>
      <c r="J202" s="281">
        <f>+IF((F202)=0,,(G202-F202)/F202)</f>
        <v>-7.8117768118780614E-2</v>
      </c>
      <c r="K202" s="282">
        <f>+IF((G202)=0,,(I202-G202)/G202)</f>
        <v>5.506871065255841E-2</v>
      </c>
      <c r="L202" s="313">
        <f>+L103+L116+L129+L153+L167+L184-L200</f>
        <v>1012173.9355560943</v>
      </c>
    </row>
    <row r="203" spans="1:12" s="2" customFormat="1" ht="11.25">
      <c r="A203" s="5"/>
      <c r="B203" s="160"/>
      <c r="C203" s="113"/>
      <c r="D203" s="113"/>
      <c r="E203" s="113"/>
      <c r="F203" s="160"/>
      <c r="G203" s="25"/>
      <c r="H203" s="162"/>
      <c r="I203" s="162"/>
      <c r="J203" s="149"/>
      <c r="K203" s="254"/>
      <c r="L203" s="18"/>
    </row>
    <row r="204" spans="1:12" s="2" customFormat="1" ht="11.25">
      <c r="A204" s="12" t="s">
        <v>228</v>
      </c>
      <c r="B204" s="177">
        <f t="shared" ref="B204:I204" si="53">+B62-B202</f>
        <v>127652.06037153531</v>
      </c>
      <c r="C204" s="228">
        <f t="shared" si="53"/>
        <v>527.1565432271891</v>
      </c>
      <c r="D204" s="228">
        <f t="shared" si="53"/>
        <v>24511.43502176227</v>
      </c>
      <c r="E204" s="228">
        <f t="shared" si="53"/>
        <v>60754.588607036654</v>
      </c>
      <c r="F204" s="177">
        <f>+F53-F202</f>
        <v>93318.193999999668</v>
      </c>
      <c r="G204" s="228">
        <f t="shared" si="53"/>
        <v>201329.01387712499</v>
      </c>
      <c r="H204" s="178">
        <f t="shared" si="53"/>
        <v>152690.6519365249</v>
      </c>
      <c r="I204" s="178">
        <f t="shared" si="53"/>
        <v>213445.24054356152</v>
      </c>
      <c r="J204" s="226">
        <f>+IF((F204)=0,,(G204-F204)/F204)</f>
        <v>1.1574465304924966</v>
      </c>
      <c r="K204" s="283">
        <f>+IF((G204)=0,,(I204-G204)/G204)</f>
        <v>6.0181224916897966E-2</v>
      </c>
      <c r="L204" s="314">
        <f>+L62-L202</f>
        <v>262476.06444390572</v>
      </c>
    </row>
    <row r="205" spans="1:12" s="2" customFormat="1" ht="11.25">
      <c r="A205" s="5"/>
      <c r="B205" s="160"/>
      <c r="C205" s="113"/>
      <c r="D205" s="113"/>
      <c r="E205" s="113"/>
      <c r="F205" s="160"/>
      <c r="G205" s="113"/>
      <c r="H205" s="162"/>
      <c r="I205" s="162"/>
      <c r="J205" s="149"/>
      <c r="K205" s="254"/>
      <c r="L205" s="18"/>
    </row>
    <row r="206" spans="1:12" s="2" customFormat="1" ht="11.25">
      <c r="A206" s="63" t="s">
        <v>251</v>
      </c>
      <c r="B206" s="232">
        <f>+Angers!$G207</f>
        <v>4802.892280001498</v>
      </c>
      <c r="C206" s="233">
        <f>+Saumur!$G207</f>
        <v>1076.4965030525875</v>
      </c>
      <c r="D206" s="233">
        <f>+Cham!$G207</f>
        <v>3085.0158930432208</v>
      </c>
      <c r="E206" s="233">
        <f>+Thouars!$G207</f>
        <v>3374.1296741904825</v>
      </c>
      <c r="F206" s="179">
        <f>+Angers!E207+Thouars!E207+Saumur!E207+Cham!E207</f>
        <v>7189.3062988410811</v>
      </c>
      <c r="G206" s="150">
        <f>+Angers!F207+Thouars!F207+Saumur!F207+Cham!F207</f>
        <v>8383.789102445855</v>
      </c>
      <c r="H206" s="128">
        <f>SUM(A206:D206)</f>
        <v>8964.4046760973069</v>
      </c>
      <c r="I206" s="128">
        <f>SUM(B206:E206)</f>
        <v>12338.534350287789</v>
      </c>
      <c r="J206" s="285">
        <f>+IF((F206)=0,,(G206-F206)/F206)</f>
        <v>0.16614715717388823</v>
      </c>
      <c r="K206" s="194">
        <f>+IF((G206)=0,,(I206-G206)/G206)</f>
        <v>0.47171335055269842</v>
      </c>
      <c r="L206" s="315">
        <f>+Angers!D207+Thouars!D207+Saumur!D207+Cham!D207</f>
        <v>20422.360960570502</v>
      </c>
    </row>
    <row r="207" spans="1:12" s="2" customFormat="1" ht="11.25">
      <c r="A207" s="5"/>
      <c r="B207" s="160"/>
      <c r="C207" s="113"/>
      <c r="D207" s="113"/>
      <c r="E207" s="113"/>
      <c r="F207" s="160"/>
      <c r="G207" s="113"/>
      <c r="H207" s="162"/>
      <c r="I207" s="162"/>
      <c r="J207" s="149"/>
      <c r="K207" s="254"/>
      <c r="L207" s="18"/>
    </row>
    <row r="208" spans="1:12" s="2" customFormat="1" ht="11.25">
      <c r="A208" s="12" t="s">
        <v>190</v>
      </c>
      <c r="B208" s="177">
        <f t="shared" ref="B208:I208" si="54">+B204-B206</f>
        <v>122849.16809153381</v>
      </c>
      <c r="C208" s="228">
        <f t="shared" si="54"/>
        <v>-549.33995982539841</v>
      </c>
      <c r="D208" s="228">
        <f t="shared" si="54"/>
        <v>21426.419128719048</v>
      </c>
      <c r="E208" s="228">
        <f t="shared" si="54"/>
        <v>57380.458932846173</v>
      </c>
      <c r="F208" s="177">
        <f t="shared" si="54"/>
        <v>86128.887701158586</v>
      </c>
      <c r="G208" s="228">
        <f t="shared" si="54"/>
        <v>192945.22477467914</v>
      </c>
      <c r="H208" s="178">
        <f t="shared" si="54"/>
        <v>143726.2472604276</v>
      </c>
      <c r="I208" s="178">
        <f t="shared" si="54"/>
        <v>201106.70619327374</v>
      </c>
      <c r="J208" s="226">
        <f>+IF((F208)=0,,(G208-F208)/F208)</f>
        <v>1.2401917628861203</v>
      </c>
      <c r="K208" s="283">
        <f>+IF((G208)=0,,(I208-G208)/G208)</f>
        <v>4.2299473480753698E-2</v>
      </c>
      <c r="L208" s="314">
        <f>+L204-L206</f>
        <v>242053.70348333521</v>
      </c>
    </row>
    <row r="209" spans="1:14" s="2" customFormat="1" ht="11.25">
      <c r="A209" s="5"/>
      <c r="B209" s="160"/>
      <c r="C209" s="113"/>
      <c r="D209" s="113"/>
      <c r="E209" s="113"/>
      <c r="F209" s="160"/>
      <c r="G209" s="113"/>
      <c r="H209" s="162"/>
      <c r="I209" s="162"/>
      <c r="J209" s="149"/>
      <c r="K209" s="254"/>
      <c r="L209" s="18"/>
    </row>
    <row r="210" spans="1:14" s="2" customFormat="1" ht="11.25">
      <c r="A210" s="5" t="s">
        <v>191</v>
      </c>
      <c r="B210" s="160">
        <f>+Angers!G211</f>
        <v>9644.6846793104778</v>
      </c>
      <c r="C210" s="113">
        <f>+Saumur!$G211</f>
        <v>9644.6846793104778</v>
      </c>
      <c r="D210" s="113">
        <f>+Cham!$G211</f>
        <v>9644.6846793104778</v>
      </c>
      <c r="E210" s="113">
        <f>+Thouars!$G211</f>
        <v>9644.6846793104778</v>
      </c>
      <c r="F210" s="160">
        <f>+Angers!E211+Thouars!E211+Saumur!E211+Cham!E211</f>
        <v>32380.344287999997</v>
      </c>
      <c r="G210" s="317">
        <f>+Angers!F211+Thouars!F211+Saumur!F211+Cham!F211</f>
        <v>35991.843053763427</v>
      </c>
      <c r="H210" s="161">
        <f t="shared" ref="H210:I212" si="55">SUM(A210:D210)</f>
        <v>28934.054037931433</v>
      </c>
      <c r="I210" s="161">
        <f t="shared" si="55"/>
        <v>38578.738717241911</v>
      </c>
      <c r="J210" s="149">
        <f>+IF((F210)=0,,(G210-F210)/F210)</f>
        <v>0.11153367405984731</v>
      </c>
      <c r="K210" s="271">
        <f>+IF((G210)=0,,(I210-G210)/G210)</f>
        <v>7.1874498330476308E-2</v>
      </c>
      <c r="L210" s="162">
        <f>+Angers!D211+Thouars!D211+Saumur!D211+Cham!D211</f>
        <v>36104.148886162038</v>
      </c>
    </row>
    <row r="211" spans="1:14">
      <c r="A211" s="5" t="s">
        <v>192</v>
      </c>
      <c r="B211" s="160">
        <f>+Angers!G212</f>
        <v>51747.525379047911</v>
      </c>
      <c r="C211" s="113">
        <f>+Saumur!$G212</f>
        <v>11598.434206846863</v>
      </c>
      <c r="D211" s="113">
        <f>+Cham!$G212</f>
        <v>33238.708868142763</v>
      </c>
      <c r="E211" s="113">
        <f>+Thouars!$G212</f>
        <v>36353.690811345077</v>
      </c>
      <c r="F211" s="160">
        <f>+Angers!E212+Thouars!E212+Saumur!E212+Cham!E212</f>
        <v>110337.80699513332</v>
      </c>
      <c r="G211" s="317">
        <f>+Angers!F212+Thouars!F212+Saumur!F212+Cham!F212</f>
        <v>127442.9408491606</v>
      </c>
      <c r="H211" s="161">
        <f t="shared" si="55"/>
        <v>96584.668454037543</v>
      </c>
      <c r="I211" s="161">
        <f t="shared" si="55"/>
        <v>132938.35926538263</v>
      </c>
      <c r="J211" s="149">
        <f>+IF((F211)=0,,(G211-F211)/F211)</f>
        <v>0.15502513888808522</v>
      </c>
      <c r="K211" s="271">
        <f>+IF((G211)=0,,(I211-G211)/G211)</f>
        <v>4.3120618369332217E-2</v>
      </c>
      <c r="L211" s="162">
        <f>+Angers!D212+Thouars!D212+Saumur!D212+Cham!D212</f>
        <v>129356.4843381369</v>
      </c>
    </row>
    <row r="212" spans="1:14">
      <c r="A212" s="5" t="s">
        <v>193</v>
      </c>
      <c r="B212" s="160">
        <f>+Angers!G213</f>
        <v>-10000</v>
      </c>
      <c r="C212" s="113">
        <f>+Saumur!$G213</f>
        <v>-3200</v>
      </c>
      <c r="D212" s="113">
        <f>+Cham!$G213</f>
        <v>-7200</v>
      </c>
      <c r="E212" s="113">
        <f>+Thouars!$G213</f>
        <v>-8400</v>
      </c>
      <c r="F212" s="160">
        <f>+Angers!E213+Thouars!E213+Saumur!E213+Cham!E213</f>
        <v>-28640.48</v>
      </c>
      <c r="G212" s="317">
        <f>+Angers!F213+Thouars!F213+Saumur!F213+Cham!F213</f>
        <v>-32012.74666666667</v>
      </c>
      <c r="H212" s="161">
        <f t="shared" si="55"/>
        <v>-20400</v>
      </c>
      <c r="I212" s="161">
        <f t="shared" si="55"/>
        <v>-28800</v>
      </c>
      <c r="J212" s="149">
        <f>+IF((F212)=0,,(G212-F212)/F212)</f>
        <v>0.11774476777856621</v>
      </c>
      <c r="K212" s="271">
        <f>+IF((G212)=0,,(I212-G212)/G212)</f>
        <v>-0.10035835725436043</v>
      </c>
      <c r="L212" s="162">
        <f>+Angers!D213+Thouars!D213+Saumur!D213+Cham!D213</f>
        <v>-29200</v>
      </c>
    </row>
    <row r="213" spans="1:14">
      <c r="A213" s="5"/>
      <c r="B213" s="160"/>
      <c r="C213" s="113"/>
      <c r="D213" s="113"/>
      <c r="E213" s="113"/>
      <c r="F213" s="160"/>
      <c r="G213" s="113"/>
      <c r="H213" s="162"/>
      <c r="I213" s="162"/>
      <c r="J213" s="149"/>
      <c r="K213" s="254"/>
      <c r="L213" s="18"/>
    </row>
    <row r="214" spans="1:14">
      <c r="A214" s="20" t="s">
        <v>194</v>
      </c>
      <c r="B214" s="180">
        <f t="shared" ref="B214:G214" si="56">SUM(B209:B212)</f>
        <v>51392.210058358389</v>
      </c>
      <c r="C214" s="230">
        <f t="shared" si="56"/>
        <v>18043.118886157339</v>
      </c>
      <c r="D214" s="230">
        <f t="shared" si="56"/>
        <v>35683.393547453241</v>
      </c>
      <c r="E214" s="230">
        <f t="shared" si="56"/>
        <v>37598.375490655555</v>
      </c>
      <c r="F214" s="180">
        <f t="shared" si="56"/>
        <v>114077.67128313331</v>
      </c>
      <c r="G214" s="230">
        <f t="shared" si="56"/>
        <v>131422.03723625737</v>
      </c>
      <c r="H214" s="181">
        <f>SUM(A214:D214)</f>
        <v>105118.72249196898</v>
      </c>
      <c r="I214" s="181">
        <f>SUM(B214:E214)</f>
        <v>142717.09798262455</v>
      </c>
      <c r="J214" s="285">
        <f>+IF((F214)=0,,(G214-F214)/F214)</f>
        <v>0.15203997204743488</v>
      </c>
      <c r="K214" s="194">
        <f>+IF((G214)=0,,(I214-G214)/G214)</f>
        <v>8.5944952489680621E-2</v>
      </c>
      <c r="L214" s="316">
        <f>SUM(L209:L212)</f>
        <v>136260.63322429894</v>
      </c>
    </row>
    <row r="215" spans="1:14">
      <c r="A215" s="5"/>
      <c r="B215" s="160"/>
      <c r="C215" s="113"/>
      <c r="D215" s="113"/>
      <c r="E215" s="113"/>
      <c r="F215" s="160"/>
      <c r="G215" s="113"/>
      <c r="H215" s="162"/>
      <c r="I215" s="162"/>
      <c r="J215" s="149"/>
      <c r="K215" s="254"/>
      <c r="L215" s="18"/>
    </row>
    <row r="216" spans="1:14">
      <c r="A216" s="12" t="s">
        <v>332</v>
      </c>
      <c r="B216" s="177">
        <f t="shared" ref="B216:I216" si="57">+B208-B214</f>
        <v>71456.958033175411</v>
      </c>
      <c r="C216" s="228">
        <f t="shared" si="57"/>
        <v>-18592.458845982739</v>
      </c>
      <c r="D216" s="228">
        <f t="shared" si="57"/>
        <v>-14256.974418734193</v>
      </c>
      <c r="E216" s="228">
        <f t="shared" si="57"/>
        <v>19782.083442190618</v>
      </c>
      <c r="F216" s="177">
        <f t="shared" si="57"/>
        <v>-27948.783581974727</v>
      </c>
      <c r="G216" s="228">
        <f t="shared" si="57"/>
        <v>61523.187538421771</v>
      </c>
      <c r="H216" s="178">
        <f t="shared" si="57"/>
        <v>38607.524768458621</v>
      </c>
      <c r="I216" s="178">
        <f t="shared" si="57"/>
        <v>58389.608210649196</v>
      </c>
      <c r="J216" s="226">
        <f>+IF((F216)=0,,(G216-F216)/F216)</f>
        <v>-3.2012831920921418</v>
      </c>
      <c r="K216" s="283">
        <f>+IF((G216)=0,,(I216-G216)/G216)</f>
        <v>-5.0933305850182541E-2</v>
      </c>
      <c r="L216" s="314">
        <f>+L208-L214</f>
        <v>105793.07025903626</v>
      </c>
    </row>
    <row r="217" spans="1:14">
      <c r="A217" s="88" t="s">
        <v>44</v>
      </c>
      <c r="B217" s="160">
        <f>+Angers!$G217</f>
        <v>71456.958033175411</v>
      </c>
      <c r="C217" s="113">
        <f>+Saumur!$G217</f>
        <v>-18592.458845982739</v>
      </c>
      <c r="D217" s="113">
        <f>+Cham!$G217</f>
        <v>-14256.974418734193</v>
      </c>
      <c r="E217" s="113">
        <f>+Thouars!$G217</f>
        <v>19782.083442190618</v>
      </c>
      <c r="F217" s="160">
        <f>+Angers!E217+Cham!E217+Thouars!E217+Saumur!E217</f>
        <v>-27948.783581974218</v>
      </c>
      <c r="G217" s="249">
        <f>+Angers!F217+Cham!F217+Thouars!F217+Saumur!F217</f>
        <v>61523.187538421909</v>
      </c>
      <c r="H217" s="250">
        <f>SUM(A217:D217)</f>
        <v>38607.524768458483</v>
      </c>
      <c r="I217" s="250">
        <f>SUM(B217:E217)</f>
        <v>58389.608210649101</v>
      </c>
      <c r="L217" s="162">
        <f>+Angers!D217+Thouars!D217+Saumur!D217+Cham!D217</f>
        <v>105793.07025903618</v>
      </c>
    </row>
    <row r="218" spans="1:14">
      <c r="A218" s="87"/>
      <c r="B218" s="110"/>
      <c r="C218" s="110"/>
      <c r="D218" s="110"/>
      <c r="E218" s="110"/>
      <c r="F218" s="110"/>
      <c r="G218" s="110"/>
      <c r="H218" s="110"/>
      <c r="I218" s="110"/>
      <c r="L218" s="113"/>
    </row>
    <row r="219" spans="1:14" s="2" customFormat="1" ht="11.25">
      <c r="B219" s="17"/>
      <c r="C219" s="17"/>
      <c r="D219" s="17"/>
      <c r="E219" s="17"/>
      <c r="F219" s="17"/>
      <c r="G219" s="17"/>
      <c r="H219" s="17"/>
      <c r="I219" s="17"/>
      <c r="J219" s="66"/>
      <c r="K219" s="66"/>
      <c r="L219" s="113"/>
    </row>
    <row r="220" spans="1:14" s="2" customFormat="1" ht="11.25">
      <c r="B220" s="17"/>
      <c r="C220" s="17"/>
      <c r="D220" s="17"/>
      <c r="E220" s="17"/>
      <c r="F220" s="17"/>
      <c r="G220" s="17"/>
      <c r="H220" s="17"/>
      <c r="I220" s="17"/>
      <c r="J220" s="66"/>
      <c r="K220" s="66"/>
      <c r="L220" s="17"/>
    </row>
    <row r="221" spans="1:14" s="2" customFormat="1" ht="11.25">
      <c r="B221" s="17"/>
      <c r="C221" s="17"/>
      <c r="D221" s="17"/>
      <c r="E221" s="17"/>
      <c r="F221" s="17"/>
      <c r="G221" s="17"/>
      <c r="H221" s="17"/>
      <c r="I221" s="17"/>
      <c r="L221" s="17"/>
    </row>
    <row r="222" spans="1:14" s="2" customFormat="1" ht="11.25">
      <c r="A222" s="264" t="s">
        <v>67</v>
      </c>
      <c r="B222" s="265">
        <f>+(B214+B206+B202)/B60/Clients!$I$13*12</f>
        <v>1423077.4825487097</v>
      </c>
      <c r="C222" s="265">
        <f>+(C214+C206+C202)/C60/Clients!$I$13*12</f>
        <v>432845.70184800855</v>
      </c>
      <c r="D222" s="265">
        <f>+(D214+D206+D202)/D60/Clients!$I$13*12</f>
        <v>1124106.9385159239</v>
      </c>
      <c r="E222" s="265">
        <f>+(E214+E206+E202)/E54</f>
        <v>390580.60359555139</v>
      </c>
      <c r="F222" s="265">
        <f>+(F214+F206+F202)/F60</f>
        <v>3198195.2697757441</v>
      </c>
      <c r="G222" s="265">
        <f>+(G214+G206+G202)/G60</f>
        <v>2921728.0357595091</v>
      </c>
      <c r="H222" s="265">
        <f>+(H214+H206+H202)/H60</f>
        <v>2241186.571911348</v>
      </c>
      <c r="I222" s="265">
        <f>+(I214+I206+I202)/I60/Clients!$I$13*12</f>
        <v>4090962.648049417</v>
      </c>
      <c r="J222" s="265"/>
      <c r="K222" s="265"/>
      <c r="L222" s="265">
        <f>+(L214+L206+L202)/L60/Clients!$I$13*12</f>
        <v>4144850.2117672744</v>
      </c>
      <c r="M222" s="264"/>
      <c r="N222" s="264"/>
    </row>
    <row r="223" spans="1:14" s="2" customFormat="1" ht="11.25">
      <c r="A223" s="264" t="s">
        <v>66</v>
      </c>
      <c r="B223" s="265">
        <f t="shared" ref="B223:I223" si="58">+B222/12</f>
        <v>118589.79021239247</v>
      </c>
      <c r="C223" s="265">
        <f t="shared" si="58"/>
        <v>36070.475154000713</v>
      </c>
      <c r="D223" s="265">
        <f t="shared" si="58"/>
        <v>93675.578209660322</v>
      </c>
      <c r="E223" s="265">
        <f t="shared" si="58"/>
        <v>32548.383632962617</v>
      </c>
      <c r="F223" s="265">
        <f t="shared" si="58"/>
        <v>266516.27248131199</v>
      </c>
      <c r="G223" s="265">
        <f t="shared" si="58"/>
        <v>243477.33631329241</v>
      </c>
      <c r="H223" s="265">
        <f t="shared" si="58"/>
        <v>186765.54765927899</v>
      </c>
      <c r="I223" s="265">
        <f t="shared" si="58"/>
        <v>340913.55400411808</v>
      </c>
      <c r="J223" s="265"/>
      <c r="K223" s="265"/>
      <c r="L223" s="265">
        <f>+L222/12</f>
        <v>345404.18431393954</v>
      </c>
      <c r="M223" s="264"/>
      <c r="N223" s="264"/>
    </row>
    <row r="224" spans="1:14">
      <c r="L224" s="17"/>
    </row>
    <row r="225" spans="1:12">
      <c r="L225" s="17"/>
    </row>
    <row r="226" spans="1:12">
      <c r="L226" s="17"/>
    </row>
    <row r="227" spans="1:12" s="2" customFormat="1" ht="12.75" customHeight="1">
      <c r="A227" s="6"/>
      <c r="B227" s="155"/>
      <c r="C227" s="211"/>
      <c r="D227" s="211"/>
      <c r="E227" s="211"/>
      <c r="F227" s="267" t="s">
        <v>55</v>
      </c>
      <c r="G227" s="130" t="s">
        <v>364</v>
      </c>
      <c r="H227" s="130" t="s">
        <v>543</v>
      </c>
      <c r="I227" s="104" t="s">
        <v>196</v>
      </c>
      <c r="J227" s="151" t="s">
        <v>225</v>
      </c>
      <c r="K227" s="183" t="s">
        <v>225</v>
      </c>
      <c r="L227" s="8" t="s">
        <v>196</v>
      </c>
    </row>
    <row r="228" spans="1:12" s="2" customFormat="1" ht="20.25" customHeight="1">
      <c r="A228" s="7" t="s">
        <v>431</v>
      </c>
      <c r="B228" s="212" t="s">
        <v>205</v>
      </c>
      <c r="C228" s="331" t="s">
        <v>418</v>
      </c>
      <c r="D228" s="331" t="s">
        <v>51</v>
      </c>
      <c r="E228" s="213" t="s">
        <v>206</v>
      </c>
      <c r="F228" s="260" t="s">
        <v>366</v>
      </c>
      <c r="G228" s="131" t="s">
        <v>366</v>
      </c>
      <c r="H228" s="131" t="s">
        <v>432</v>
      </c>
      <c r="I228" s="105" t="s">
        <v>197</v>
      </c>
      <c r="J228" s="152" t="s">
        <v>55</v>
      </c>
      <c r="K228" s="131" t="s">
        <v>432</v>
      </c>
      <c r="L228" s="9" t="s">
        <v>197</v>
      </c>
    </row>
    <row r="229" spans="1:12" s="2" customFormat="1" ht="20.25" customHeight="1">
      <c r="A229" s="7"/>
      <c r="B229" s="212"/>
      <c r="C229" s="331"/>
      <c r="D229" s="331"/>
      <c r="E229" s="213"/>
      <c r="F229" s="157"/>
      <c r="G229" s="157"/>
      <c r="H229" s="157"/>
      <c r="I229" s="157"/>
      <c r="J229" s="152"/>
      <c r="K229" s="132" t="s">
        <v>433</v>
      </c>
      <c r="L229" s="10"/>
    </row>
    <row r="230" spans="1:12" s="2" customFormat="1" ht="18">
      <c r="A230" s="68"/>
      <c r="B230" s="158"/>
      <c r="C230" s="216"/>
      <c r="D230" s="216"/>
      <c r="E230" s="216"/>
      <c r="F230" s="269">
        <v>2009</v>
      </c>
      <c r="G230" s="133">
        <v>2010</v>
      </c>
      <c r="H230" s="133">
        <v>2009</v>
      </c>
      <c r="I230" s="159">
        <v>2011</v>
      </c>
      <c r="J230" s="153" t="s">
        <v>544</v>
      </c>
      <c r="K230" s="185" t="s">
        <v>368</v>
      </c>
      <c r="L230" s="4">
        <v>2010</v>
      </c>
    </row>
    <row r="231" spans="1:12" s="2" customFormat="1" ht="11.25" customHeight="1">
      <c r="B231" s="288"/>
      <c r="C231" s="249"/>
      <c r="D231" s="249"/>
      <c r="E231" s="286"/>
      <c r="F231" s="248"/>
      <c r="G231" s="287"/>
      <c r="H231" s="287"/>
      <c r="I231" s="250"/>
      <c r="J231" s="288"/>
      <c r="K231" s="289"/>
      <c r="L231" s="332"/>
    </row>
    <row r="232" spans="1:12" s="33" customFormat="1" ht="15" customHeight="1">
      <c r="A232" s="245" t="s">
        <v>223</v>
      </c>
      <c r="B232" s="175">
        <f>+B51</f>
        <v>1257860</v>
      </c>
      <c r="C232" s="206">
        <f t="shared" ref="C232:L232" si="59">+C51</f>
        <v>281396</v>
      </c>
      <c r="D232" s="206">
        <f>+D51</f>
        <v>804020</v>
      </c>
      <c r="E232" s="176">
        <f t="shared" si="59"/>
        <v>881400</v>
      </c>
      <c r="F232" s="175">
        <f t="shared" si="59"/>
        <v>3045378.75</v>
      </c>
      <c r="G232" s="206">
        <f t="shared" si="59"/>
        <v>3088451.62</v>
      </c>
      <c r="H232" s="206">
        <f>+H51</f>
        <v>2343276</v>
      </c>
      <c r="I232" s="176">
        <f t="shared" si="59"/>
        <v>3224676</v>
      </c>
      <c r="J232" s="208">
        <f t="shared" si="59"/>
        <v>0</v>
      </c>
      <c r="K232" s="192">
        <f t="shared" si="59"/>
        <v>0</v>
      </c>
      <c r="L232" s="176">
        <f t="shared" si="59"/>
        <v>3390000</v>
      </c>
    </row>
    <row r="233" spans="1:12" s="2" customFormat="1" ht="11.25" customHeight="1">
      <c r="B233" s="160"/>
      <c r="C233" s="113"/>
      <c r="D233" s="113"/>
      <c r="E233" s="162"/>
      <c r="F233" s="160"/>
      <c r="G233" s="113"/>
      <c r="H233" s="113"/>
      <c r="I233" s="162"/>
      <c r="J233" s="92"/>
      <c r="K233" s="186"/>
      <c r="L233" s="162"/>
    </row>
    <row r="234" spans="1:12" s="33" customFormat="1" ht="15" customHeight="1">
      <c r="A234" s="246" t="s">
        <v>295</v>
      </c>
      <c r="B234" s="197">
        <f t="shared" ref="B234:I234" si="60">+B60</f>
        <v>0.375</v>
      </c>
      <c r="C234" s="224">
        <f t="shared" si="60"/>
        <v>0.43</v>
      </c>
      <c r="D234" s="224">
        <f>+D60</f>
        <v>0.36499999999999999</v>
      </c>
      <c r="E234" s="191">
        <f t="shared" si="60"/>
        <v>0.36</v>
      </c>
      <c r="F234" s="197">
        <f t="shared" si="60"/>
        <v>0.3561790951125538</v>
      </c>
      <c r="G234" s="224">
        <f t="shared" si="60"/>
        <v>0.36901310524657011</v>
      </c>
      <c r="H234" s="224">
        <f>+H60</f>
        <v>0.37817358262535017</v>
      </c>
      <c r="I234" s="191">
        <f t="shared" si="60"/>
        <v>0.37320620118114195</v>
      </c>
      <c r="J234" s="197"/>
      <c r="K234" s="191"/>
      <c r="L234" s="191"/>
    </row>
    <row r="235" spans="1:12" s="33" customFormat="1" ht="15" customHeight="1">
      <c r="A235" s="246" t="s">
        <v>296</v>
      </c>
      <c r="B235" s="169">
        <f>+B62</f>
        <v>471697.5</v>
      </c>
      <c r="C235" s="223">
        <f>+C62</f>
        <v>121000.28</v>
      </c>
      <c r="D235" s="223">
        <f>+D62</f>
        <v>293467.3</v>
      </c>
      <c r="E235" s="170">
        <f t="shared" ref="E235:L235" si="61">+E62</f>
        <v>317304</v>
      </c>
      <c r="F235" s="169">
        <f t="shared" si="61"/>
        <v>1084700.2474500001</v>
      </c>
      <c r="G235" s="223">
        <f t="shared" si="61"/>
        <v>1139679.1226999999</v>
      </c>
      <c r="H235" s="223">
        <f>+H62</f>
        <v>886165.08000000007</v>
      </c>
      <c r="I235" s="170">
        <f t="shared" si="61"/>
        <v>1203469.08</v>
      </c>
      <c r="J235" s="290">
        <f t="shared" si="61"/>
        <v>5.0685777364989575E-2</v>
      </c>
      <c r="K235" s="291">
        <f t="shared" si="61"/>
        <v>5.5971857367077243E-2</v>
      </c>
      <c r="L235" s="170">
        <f t="shared" si="61"/>
        <v>1274650</v>
      </c>
    </row>
    <row r="236" spans="1:12" s="25" customFormat="1" ht="11.25" customHeight="1">
      <c r="B236" s="160"/>
      <c r="C236" s="113"/>
      <c r="D236" s="113"/>
      <c r="E236" s="162"/>
      <c r="F236" s="160"/>
      <c r="G236" s="113"/>
      <c r="H236" s="113"/>
      <c r="I236" s="162"/>
      <c r="J236" s="92"/>
      <c r="K236" s="186"/>
      <c r="L236" s="162"/>
    </row>
    <row r="237" spans="1:12" s="298" customFormat="1" ht="15" customHeight="1">
      <c r="A237" s="292" t="s">
        <v>122</v>
      </c>
      <c r="B237" s="293">
        <f>+B103</f>
        <v>88796.679770961287</v>
      </c>
      <c r="C237" s="295">
        <f t="shared" ref="C237:L237" si="62">+C103</f>
        <v>46339.351333333339</v>
      </c>
      <c r="D237" s="295">
        <f>+D103</f>
        <v>90257.37783230975</v>
      </c>
      <c r="E237" s="294">
        <f t="shared" si="62"/>
        <v>87919.259283333347</v>
      </c>
      <c r="F237" s="293">
        <f t="shared" si="62"/>
        <v>316689.77999999997</v>
      </c>
      <c r="G237" s="295">
        <f t="shared" si="62"/>
        <v>315264.28882287495</v>
      </c>
      <c r="H237" s="295">
        <f>+H103</f>
        <v>225393.40893660439</v>
      </c>
      <c r="I237" s="294">
        <f t="shared" si="62"/>
        <v>313312.66821993771</v>
      </c>
      <c r="J237" s="296">
        <f t="shared" si="62"/>
        <v>-4.5012225437935484E-3</v>
      </c>
      <c r="K237" s="297">
        <f t="shared" si="62"/>
        <v>-6.1904271182256238E-3</v>
      </c>
      <c r="L237" s="294">
        <f t="shared" si="62"/>
        <v>322491.238824523</v>
      </c>
    </row>
    <row r="238" spans="1:12" s="298" customFormat="1" ht="15" customHeight="1">
      <c r="A238" s="292" t="s">
        <v>133</v>
      </c>
      <c r="B238" s="293">
        <f>+B116</f>
        <v>27100</v>
      </c>
      <c r="C238" s="295">
        <f t="shared" ref="C238:L238" si="63">+C116</f>
        <v>8950</v>
      </c>
      <c r="D238" s="295">
        <f>+D116</f>
        <v>27850</v>
      </c>
      <c r="E238" s="294">
        <f t="shared" si="63"/>
        <v>22119.975599999998</v>
      </c>
      <c r="F238" s="293">
        <f t="shared" si="63"/>
        <v>80101.39</v>
      </c>
      <c r="G238" s="295">
        <f t="shared" si="63"/>
        <v>80200.600000000006</v>
      </c>
      <c r="H238" s="295">
        <f>+H116</f>
        <v>63900</v>
      </c>
      <c r="I238" s="294">
        <f t="shared" si="63"/>
        <v>86019.975600000005</v>
      </c>
      <c r="J238" s="296">
        <f t="shared" si="63"/>
        <v>1.2385552859944928E-3</v>
      </c>
      <c r="K238" s="297">
        <f t="shared" si="63"/>
        <v>7.2560250172691965E-2</v>
      </c>
      <c r="L238" s="294">
        <f t="shared" si="63"/>
        <v>91920</v>
      </c>
    </row>
    <row r="239" spans="1:12" s="298" customFormat="1" ht="15" customHeight="1">
      <c r="A239" s="292" t="s">
        <v>147</v>
      </c>
      <c r="B239" s="293">
        <f>+B129</f>
        <v>8567.344000000001</v>
      </c>
      <c r="C239" s="295">
        <f t="shared" ref="C239:L239" si="64">+C129</f>
        <v>6817.7371000000003</v>
      </c>
      <c r="D239" s="295">
        <f>+D129</f>
        <v>7425.1319999999996</v>
      </c>
      <c r="E239" s="294">
        <f t="shared" si="64"/>
        <v>4503.8334999999997</v>
      </c>
      <c r="F239" s="293">
        <f t="shared" si="64"/>
        <v>35575.119999999995</v>
      </c>
      <c r="G239" s="295">
        <f t="shared" si="64"/>
        <v>26178.023333333338</v>
      </c>
      <c r="H239" s="295">
        <f>+H129</f>
        <v>22810.213100000001</v>
      </c>
      <c r="I239" s="294">
        <f t="shared" si="64"/>
        <v>27314.046600000001</v>
      </c>
      <c r="J239" s="296">
        <f t="shared" si="64"/>
        <v>-0.26414799631502744</v>
      </c>
      <c r="K239" s="297">
        <f t="shared" si="64"/>
        <v>4.3396067464732055E-2</v>
      </c>
      <c r="L239" s="294">
        <f t="shared" si="64"/>
        <v>36769.069239999997</v>
      </c>
    </row>
    <row r="240" spans="1:12" s="298" customFormat="1" ht="15" customHeight="1">
      <c r="A240" s="292" t="s">
        <v>164</v>
      </c>
      <c r="B240" s="293">
        <f>+B153</f>
        <v>189207.85942497005</v>
      </c>
      <c r="C240" s="295">
        <f t="shared" ref="C240:L240" si="65">+C153</f>
        <v>54784.617941599477</v>
      </c>
      <c r="D240" s="295">
        <f>+D153</f>
        <v>123398.41341099462</v>
      </c>
      <c r="E240" s="294">
        <f t="shared" si="65"/>
        <v>127425.28248296335</v>
      </c>
      <c r="F240" s="293">
        <f t="shared" si="65"/>
        <v>529478.46959999995</v>
      </c>
      <c r="G240" s="295">
        <f t="shared" si="65"/>
        <v>481836.50666666665</v>
      </c>
      <c r="H240" s="295">
        <f>+H153</f>
        <v>367390.89077756414</v>
      </c>
      <c r="I240" s="294">
        <f t="shared" si="65"/>
        <v>494816.17326052749</v>
      </c>
      <c r="J240" s="296">
        <f t="shared" si="65"/>
        <v>-8.9979037238898343E-2</v>
      </c>
      <c r="K240" s="297">
        <f t="shared" si="65"/>
        <v>2.6937906145081982E-2</v>
      </c>
      <c r="L240" s="294">
        <f t="shared" si="65"/>
        <v>480256.19199803949</v>
      </c>
    </row>
    <row r="241" spans="1:12" s="298" customFormat="1" ht="15" customHeight="1">
      <c r="A241" s="292" t="s">
        <v>74</v>
      </c>
      <c r="B241" s="293">
        <f>+B167</f>
        <v>18884.996699200001</v>
      </c>
      <c r="C241" s="295">
        <f t="shared" ref="C241:L241" si="66">+C167</f>
        <v>2752.1170818400005</v>
      </c>
      <c r="D241" s="295">
        <f>+D167</f>
        <v>12461.2880016</v>
      </c>
      <c r="E241" s="294">
        <f t="shared" si="66"/>
        <v>10337.130526666668</v>
      </c>
      <c r="F241" s="293">
        <f t="shared" si="66"/>
        <v>15174.780000000002</v>
      </c>
      <c r="G241" s="295">
        <f t="shared" si="66"/>
        <v>21002.386666666665</v>
      </c>
      <c r="H241" s="295">
        <f>+H167</f>
        <v>34098.401782640001</v>
      </c>
      <c r="I241" s="294">
        <f t="shared" si="66"/>
        <v>44435.532309306669</v>
      </c>
      <c r="J241" s="296">
        <f t="shared" si="66"/>
        <v>0.38403236598268059</v>
      </c>
      <c r="K241" s="297">
        <f t="shared" si="66"/>
        <v>1.1157372737942801</v>
      </c>
      <c r="L241" s="294">
        <f t="shared" si="66"/>
        <v>46815.784732730601</v>
      </c>
    </row>
    <row r="242" spans="1:12" s="298" customFormat="1" ht="15" customHeight="1">
      <c r="A242" s="292" t="s">
        <v>369</v>
      </c>
      <c r="B242" s="293">
        <f>+B184-B200</f>
        <v>11488.559733333333</v>
      </c>
      <c r="C242" s="295">
        <f t="shared" ref="C242:L242" si="67">+C184-C200</f>
        <v>829.3</v>
      </c>
      <c r="D242" s="295">
        <f>+D184-D200</f>
        <v>7563.6537333333335</v>
      </c>
      <c r="E242" s="294">
        <f t="shared" si="67"/>
        <v>4243.93</v>
      </c>
      <c r="F242" s="293">
        <f t="shared" si="67"/>
        <v>40843.78</v>
      </c>
      <c r="G242" s="295">
        <f t="shared" si="67"/>
        <v>13868.30333333333</v>
      </c>
      <c r="H242" s="295">
        <f>+H184-H200</f>
        <v>19881.513466666667</v>
      </c>
      <c r="I242" s="294">
        <f t="shared" si="67"/>
        <v>24125.443466666668</v>
      </c>
      <c r="J242" s="296">
        <f t="shared" si="67"/>
        <v>-0.52692228889237869</v>
      </c>
      <c r="K242" s="297">
        <f t="shared" si="67"/>
        <v>0.8849750493589964</v>
      </c>
      <c r="L242" s="294">
        <f t="shared" si="67"/>
        <v>33921.650760801109</v>
      </c>
    </row>
    <row r="243" spans="1:12" s="25" customFormat="1" ht="11.25">
      <c r="B243" s="160"/>
      <c r="C243" s="113"/>
      <c r="D243" s="113"/>
      <c r="E243" s="162"/>
      <c r="F243" s="160"/>
      <c r="G243" s="113"/>
      <c r="H243" s="113"/>
      <c r="I243" s="162"/>
      <c r="J243" s="92"/>
      <c r="K243" s="186"/>
      <c r="L243" s="162"/>
    </row>
    <row r="244" spans="1:12" s="33" customFormat="1" ht="15" customHeight="1">
      <c r="A244" s="245" t="s">
        <v>189</v>
      </c>
      <c r="B244" s="299">
        <f>+B202</f>
        <v>344045.43962846469</v>
      </c>
      <c r="C244" s="301">
        <f t="shared" ref="C244:L244" si="68">+C202</f>
        <v>120473.12345677281</v>
      </c>
      <c r="D244" s="301">
        <f>+D202</f>
        <v>268955.86497823772</v>
      </c>
      <c r="E244" s="300">
        <f t="shared" si="68"/>
        <v>256549.41139296335</v>
      </c>
      <c r="F244" s="299">
        <f t="shared" si="68"/>
        <v>1017863.3196</v>
      </c>
      <c r="G244" s="301">
        <f t="shared" si="68"/>
        <v>938350.10882287496</v>
      </c>
      <c r="H244" s="301">
        <f>+H202</f>
        <v>733474.42806347518</v>
      </c>
      <c r="I244" s="300">
        <f t="shared" si="68"/>
        <v>990023.83945643855</v>
      </c>
      <c r="J244" s="302">
        <f t="shared" si="68"/>
        <v>-7.8117768118780614E-2</v>
      </c>
      <c r="K244" s="303">
        <f t="shared" si="68"/>
        <v>5.506871065255841E-2</v>
      </c>
      <c r="L244" s="300">
        <f t="shared" si="68"/>
        <v>1012173.9355560943</v>
      </c>
    </row>
    <row r="245" spans="1:12" s="2" customFormat="1" ht="11.25">
      <c r="B245" s="160"/>
      <c r="C245" s="113"/>
      <c r="D245" s="113"/>
      <c r="E245" s="162"/>
      <c r="F245" s="160"/>
      <c r="G245" s="113"/>
      <c r="H245" s="113"/>
      <c r="I245" s="162"/>
      <c r="J245" s="92"/>
      <c r="K245" s="186"/>
      <c r="L245" s="162"/>
    </row>
    <row r="246" spans="1:12" s="33" customFormat="1" ht="15" customHeight="1">
      <c r="A246" s="246" t="s">
        <v>228</v>
      </c>
      <c r="B246" s="177">
        <f>+B204</f>
        <v>127652.06037153531</v>
      </c>
      <c r="C246" s="228">
        <f t="shared" ref="C246:L246" si="69">+C204</f>
        <v>527.1565432271891</v>
      </c>
      <c r="D246" s="228">
        <f>+D204</f>
        <v>24511.43502176227</v>
      </c>
      <c r="E246" s="178">
        <f t="shared" si="69"/>
        <v>60754.588607036654</v>
      </c>
      <c r="F246" s="177">
        <f t="shared" si="69"/>
        <v>93318.193999999668</v>
      </c>
      <c r="G246" s="228">
        <f t="shared" si="69"/>
        <v>201329.01387712499</v>
      </c>
      <c r="H246" s="228">
        <f>+H204</f>
        <v>152690.6519365249</v>
      </c>
      <c r="I246" s="178">
        <f t="shared" si="69"/>
        <v>213445.24054356152</v>
      </c>
      <c r="J246" s="225">
        <f t="shared" si="69"/>
        <v>1.1574465304924966</v>
      </c>
      <c r="K246" s="193">
        <f t="shared" si="69"/>
        <v>6.0181224916897966E-2</v>
      </c>
      <c r="L246" s="178">
        <f t="shared" si="69"/>
        <v>262476.06444390572</v>
      </c>
    </row>
    <row r="247" spans="1:12" s="2" customFormat="1" ht="11.25">
      <c r="B247" s="160"/>
      <c r="C247" s="113"/>
      <c r="D247" s="113"/>
      <c r="E247" s="162"/>
      <c r="F247" s="160"/>
      <c r="G247" s="113"/>
      <c r="H247" s="113"/>
      <c r="I247" s="162"/>
      <c r="J247" s="92"/>
      <c r="K247" s="186"/>
      <c r="L247" s="162"/>
    </row>
    <row r="248" spans="1:12" s="33" customFormat="1" ht="15" customHeight="1">
      <c r="A248" s="247" t="s">
        <v>370</v>
      </c>
      <c r="B248" s="180">
        <f>+B206+B214</f>
        <v>56195.102338359888</v>
      </c>
      <c r="C248" s="230">
        <f t="shared" ref="C248:L248" si="70">+C206+C214</f>
        <v>19119.615389209928</v>
      </c>
      <c r="D248" s="230">
        <f>+D206+D214</f>
        <v>38768.409440496464</v>
      </c>
      <c r="E248" s="181">
        <f t="shared" si="70"/>
        <v>40972.505164846036</v>
      </c>
      <c r="F248" s="180">
        <f t="shared" si="70"/>
        <v>121266.9775819744</v>
      </c>
      <c r="G248" s="230">
        <f t="shared" si="70"/>
        <v>139805.82633870322</v>
      </c>
      <c r="H248" s="230">
        <f>+H206+H214</f>
        <v>114083.12716806628</v>
      </c>
      <c r="I248" s="181">
        <f t="shared" si="70"/>
        <v>155055.63233291233</v>
      </c>
      <c r="J248" s="304">
        <f t="shared" si="70"/>
        <v>0.31818712922132308</v>
      </c>
      <c r="K248" s="195">
        <f t="shared" si="70"/>
        <v>0.55765830304237907</v>
      </c>
      <c r="L248" s="181">
        <f t="shared" si="70"/>
        <v>156682.99418486946</v>
      </c>
    </row>
    <row r="249" spans="1:12" s="2" customFormat="1" ht="11.25">
      <c r="B249" s="160"/>
      <c r="C249" s="113"/>
      <c r="D249" s="113"/>
      <c r="E249" s="162"/>
      <c r="F249" s="160"/>
      <c r="G249" s="113"/>
      <c r="H249" s="113"/>
      <c r="I249" s="162"/>
      <c r="J249" s="92"/>
      <c r="K249" s="186"/>
      <c r="L249" s="162"/>
    </row>
    <row r="250" spans="1:12" s="33" customFormat="1" ht="20.100000000000001" customHeight="1">
      <c r="A250" s="246" t="s">
        <v>86</v>
      </c>
      <c r="B250" s="177">
        <f>+B216</f>
        <v>71456.958033175411</v>
      </c>
      <c r="C250" s="228">
        <f t="shared" ref="C250:L250" si="71">+C216</f>
        <v>-18592.458845982739</v>
      </c>
      <c r="D250" s="228">
        <f>+D216</f>
        <v>-14256.974418734193</v>
      </c>
      <c r="E250" s="178">
        <f t="shared" si="71"/>
        <v>19782.083442190618</v>
      </c>
      <c r="F250" s="177">
        <f t="shared" si="71"/>
        <v>-27948.783581974727</v>
      </c>
      <c r="G250" s="228">
        <f t="shared" si="71"/>
        <v>61523.187538421771</v>
      </c>
      <c r="H250" s="228">
        <f>+H216</f>
        <v>38607.524768458621</v>
      </c>
      <c r="I250" s="178">
        <f t="shared" si="71"/>
        <v>58389.608210649196</v>
      </c>
      <c r="J250" s="225">
        <f t="shared" si="71"/>
        <v>-3.2012831920921418</v>
      </c>
      <c r="K250" s="193">
        <f t="shared" si="71"/>
        <v>-5.0933305850182541E-2</v>
      </c>
      <c r="L250" s="178">
        <f t="shared" si="71"/>
        <v>105793.07025903626</v>
      </c>
    </row>
    <row r="251" spans="1:12" s="2" customFormat="1" ht="11.25">
      <c r="B251" s="17"/>
      <c r="C251" s="113"/>
      <c r="D251" s="113"/>
      <c r="G251" s="58"/>
      <c r="H251" s="58"/>
      <c r="J251" s="66"/>
      <c r="K251" s="66"/>
      <c r="L251" s="182"/>
    </row>
    <row r="252" spans="1:12" s="298" customFormat="1" ht="15" customHeight="1">
      <c r="A252" s="292" t="s">
        <v>95</v>
      </c>
      <c r="B252" s="293">
        <f>+Angers!G253</f>
        <v>250000</v>
      </c>
      <c r="C252" s="295">
        <f>+Saumur!C253</f>
        <v>47605.5</v>
      </c>
      <c r="D252" s="295">
        <f>+Cham!C253</f>
        <v>140167.17000000001</v>
      </c>
      <c r="E252" s="294">
        <f>+Thouars!C253</f>
        <v>198747.93</v>
      </c>
      <c r="F252" s="293">
        <f>+F28</f>
        <v>707779.03</v>
      </c>
      <c r="G252" s="295"/>
      <c r="H252" s="295"/>
      <c r="I252" s="294">
        <f>SUM(B252:E252)</f>
        <v>636520.60000000009</v>
      </c>
      <c r="J252" s="296"/>
      <c r="K252" s="297"/>
      <c r="L252" s="294"/>
    </row>
    <row r="253" spans="1:12" s="298" customFormat="1" ht="15" customHeight="1">
      <c r="A253" s="292" t="s">
        <v>371</v>
      </c>
      <c r="B253" s="293">
        <f>+Angers!G254</f>
        <v>1067308.1119115322</v>
      </c>
      <c r="C253" s="295">
        <f>+Saumur!C254</f>
        <v>354772.48896833963</v>
      </c>
      <c r="D253" s="295">
        <f>+Cham!C254</f>
        <v>807756.03122437699</v>
      </c>
      <c r="E253" s="294">
        <f>+Thouars!C254</f>
        <v>784717.1553372629</v>
      </c>
      <c r="F253" s="293">
        <f>+F222</f>
        <v>3198195.2697757441</v>
      </c>
      <c r="G253" s="295">
        <f>+G222</f>
        <v>2921728.0357595091</v>
      </c>
      <c r="H253" s="295">
        <f>+H222</f>
        <v>2241186.571911348</v>
      </c>
      <c r="I253" s="294">
        <f>+I222</f>
        <v>4090962.648049417</v>
      </c>
      <c r="J253" s="296"/>
      <c r="K253" s="297"/>
      <c r="L253" s="294">
        <f>+L222</f>
        <v>4144850.2117672744</v>
      </c>
    </row>
    <row r="254" spans="1:12" s="298" customFormat="1" ht="15" customHeight="1">
      <c r="A254" s="292" t="s">
        <v>372</v>
      </c>
      <c r="B254" s="293">
        <f>+Angers!G255</f>
        <v>0</v>
      </c>
      <c r="C254" s="295">
        <f>+Saumur!C255</f>
        <v>0</v>
      </c>
      <c r="D254" s="295">
        <f>+Cham!C255</f>
        <v>0</v>
      </c>
      <c r="E254" s="294">
        <f>+Thouars!C255</f>
        <v>0</v>
      </c>
      <c r="F254" s="293"/>
      <c r="G254" s="333"/>
      <c r="H254" s="333">
        <f>+Angers!C254+Cham!C254+Thouars!C254</f>
        <v>2599987.1949516642</v>
      </c>
      <c r="I254" s="294">
        <f>SUM(B254:E254)</f>
        <v>0</v>
      </c>
      <c r="J254" s="296"/>
      <c r="K254" s="297"/>
      <c r="L254" s="334"/>
    </row>
    <row r="255" spans="1:12" s="2" customFormat="1" ht="11.25">
      <c r="B255" s="24"/>
      <c r="C255" s="113"/>
      <c r="D255" s="113"/>
      <c r="G255" s="58"/>
      <c r="H255" s="58"/>
      <c r="J255" s="66"/>
      <c r="K255" s="66"/>
    </row>
  </sheetData>
  <phoneticPr fontId="33" type="noConversion"/>
  <pageMargins left="0" right="0" top="0" bottom="0" header="0.51181102362204722" footer="0.51181102362204722"/>
  <pageSetup paperSize="9" scale="75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enableFormatConditionsCalculation="0">
    <tabColor indexed="44"/>
    <pageSetUpPr fitToPage="1"/>
  </sheetPr>
  <dimension ref="A1:O257"/>
  <sheetViews>
    <sheetView topLeftCell="G1" workbookViewId="0">
      <selection activeCell="L1" sqref="L1:O1048576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202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  <c r="M5" s="2" t="s">
        <v>260</v>
      </c>
    </row>
    <row r="6" spans="1:15">
      <c r="A6" s="4"/>
      <c r="B6" s="91"/>
      <c r="C6" s="158">
        <f>+Clients!E14</f>
        <v>2010</v>
      </c>
      <c r="D6" s="202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-IF(ISNA(VLOOKUP("VAN707130000",Balance!C:G,5,FALSE))=TRUE,0,VLOOKUP("VAN707130000",Balance!C:G,5,FALSE))</f>
        <v>632797.72</v>
      </c>
      <c r="D8" s="117">
        <v>931400</v>
      </c>
      <c r="E8" s="160">
        <f>-IF(ISNA(VLOOKUP("VAN707130000",Balanceanp!C:G,5,FALSE))=TRUE,0,VLOOKUP("VAN707130000",Balanceanp!C:G,5,FALSE))</f>
        <v>770111.84</v>
      </c>
      <c r="F8" s="368">
        <v>799000</v>
      </c>
      <c r="G8" s="570">
        <v>897500</v>
      </c>
      <c r="H8" s="401"/>
      <c r="I8" s="149">
        <f>+IF((E8)=0,,(F8-E8)/E8)</f>
        <v>3.7511642464813984E-2</v>
      </c>
      <c r="J8" s="271">
        <f>+IF((F8)=0,,(G8-F8)/F8)</f>
        <v>0.12327909887359199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897500</v>
      </c>
    </row>
    <row r="9" spans="1:15" ht="12.75">
      <c r="A9" s="5" t="s">
        <v>422</v>
      </c>
      <c r="B9" s="92"/>
      <c r="C9" s="160">
        <f>-IF(ISNA(VLOOKUP("VAN707131000",Balance!C:G,5,FALSE))=TRUE,0,VLOOKUP("VAN707131000",Balance!C:G,5,FALSE))</f>
        <v>0</v>
      </c>
      <c r="D9" s="117"/>
      <c r="E9" s="160">
        <f>-IF(ISNA(VLOOKUP("VAN707131000",Balanceanp!C:G,5,FALSE))=TRUE,0,VLOOKUP("VAN707131000",Balanceanp!C:G,5,FALSE))</f>
        <v>105991.09</v>
      </c>
      <c r="F9" s="368">
        <f>+C9</f>
        <v>0</v>
      </c>
      <c r="G9" s="570">
        <f t="shared" ref="G9:G19" si="0">+F9*1.03</f>
        <v>0</v>
      </c>
      <c r="H9" s="401"/>
      <c r="I9" s="149">
        <f t="shared" ref="I9:J18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-IF(ISNA(VLOOKUP("VAN707300000",Balance!C:G,5,FALSE))=TRUE,0,VLOOKUP("VAN707300000",Balance!C:G,5,FALSE))</f>
        <v>0</v>
      </c>
      <c r="D10" s="116"/>
      <c r="E10" s="160">
        <f>-IF(ISNA(VLOOKUP("VAN707300000",Balanceanp!C:G,5,FALSE))=TRUE,0,VLOOKUP("VAN707300000",Balanceanp!C:G,5,FALSE))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-IF(ISNA(VLOOKUP("VAN707110000",Balance!C:G,5,FALSE))=TRUE,0,VLOOKUP("VAN707110000",Balance!C:G,5,FALSE))</f>
        <v>0</v>
      </c>
      <c r="D11" s="116"/>
      <c r="E11" s="160">
        <f>-IF(ISNA(VLOOKUP("VAN707110000",Balanceanp!C:G,5,FALSE))=TRUE,0,VLOOKUP("VAN707110000",Balanceanp!C:G,5,FALSE))</f>
        <v>0</v>
      </c>
      <c r="F11" s="368">
        <f t="shared" si="2"/>
        <v>0</v>
      </c>
      <c r="G11" s="570">
        <f t="shared" si="0"/>
        <v>0</v>
      </c>
      <c r="H11" s="401"/>
      <c r="I11" s="149">
        <f t="shared" si="1"/>
        <v>0</v>
      </c>
      <c r="J11" s="271">
        <f t="shared" si="1"/>
        <v>0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-IF(ISNA(VLOOKUP("VAN707120000",Balance!C:G,5,FALSE))=TRUE,0,VLOOKUP("VAN707120000",Balance!C:G,5,FALSE))</f>
        <v>0</v>
      </c>
      <c r="D12" s="116"/>
      <c r="E12" s="160">
        <f>-IF(ISNA(VLOOKUP("VAN707120000",Balanceanp!C:G,5,FALSE))=TRUE,0,VLOOKUP("VAN707120000",Balanceanp!C:G,5,FALSE))</f>
        <v>0</v>
      </c>
      <c r="F12" s="368">
        <f t="shared" si="2"/>
        <v>0</v>
      </c>
      <c r="G12" s="570"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-IF(ISNA(VLOOKUP("VAN707230000",Balance!C:G,5,FALSE))=TRUE,0,VLOOKUP("VAN707230000",Balance!C:G,5,FALSE))</f>
        <v>0</v>
      </c>
      <c r="D13" s="116"/>
      <c r="E13" s="160">
        <f>-IF(ISNA(VLOOKUP("VAN707230000",Balanceanp!C:G,5,FALSE))=TRUE,0,VLOOKUP("VAN707230000",Balanceanp!C:G,5,FALSE))</f>
        <v>0</v>
      </c>
      <c r="F13" s="368">
        <f t="shared" si="2"/>
        <v>0</v>
      </c>
      <c r="G13" s="1456"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-IF(ISNA(VLOOKUP("VAN708820000",Balance!C:G,5,FALSE))=TRUE,0,VLOOKUP("VAN708820000",Balance!C:G,5,FALSE))</f>
        <v>85.61</v>
      </c>
      <c r="D14" s="116"/>
      <c r="E14" s="160">
        <f>-IF(ISNA(VLOOKUP("VAN708820000",Balanceanp!C:G,5,FALSE))=TRUE,0,VLOOKUP("VAN708820000",Balanceanp!C:G,5,FALSE))</f>
        <v>16.5</v>
      </c>
      <c r="F14" s="368">
        <f t="shared" si="2"/>
        <v>85.61</v>
      </c>
      <c r="G14" s="570">
        <v>0</v>
      </c>
      <c r="H14" s="401"/>
      <c r="I14" s="149">
        <f t="shared" si="1"/>
        <v>4.1884848484848485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-IF(ISNA(VLOOKUP("VAN708500000",Balance!C:G,5,FALSE))=TRUE,0,VLOOKUP("VAN708500000",Balance!C:G,5,FALSE))</f>
        <v>1263</v>
      </c>
      <c r="D15" s="116"/>
      <c r="E15" s="160">
        <f>-IF(ISNA(VLOOKUP("VAN708500000",Balanceanp!C:G,5,FALSE))=TRUE,0,VLOOKUP("VAN708500000",Balanceanp!C:G,5,FALSE))</f>
        <v>1920</v>
      </c>
      <c r="F15" s="368">
        <f t="shared" si="2"/>
        <v>1263</v>
      </c>
      <c r="G15" s="570">
        <v>0</v>
      </c>
      <c r="H15" s="401"/>
      <c r="I15" s="149">
        <f t="shared" si="1"/>
        <v>-0.34218749999999998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IF(ISNA(VLOOKUP("VAN706000000",Balance!C:G,5,FALSE))=TRUE,0,-VLOOKUP("VAN706000000",Balance!C:G,5,FALSE))+IF(ISNA(VLOOKUP("VAN706010000",Balance!C:G,5,FALSE))=TRUE,0,-VLOOKUP("VAN706010000",Balance!C:G,5,FALSE))</f>
        <v>0</v>
      </c>
      <c r="D16" s="117"/>
      <c r="E16" s="160">
        <f>IF(ISNA(VLOOKUP("VAN706000000",Balanceanp!C:G,5,FALSE))=TRUE,0,-VLOOKUP("VAN706000000",Balanceanp!C:G,5,FALSE))+IF(ISNA(VLOOKUP("VAN706010000",Balanceanp!C:G,5,FALSE))=TRUE,0,-VLOOKUP("VAN706010000",Balanceanp!C:G,5,FALSE))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IF(ISNA(VLOOKUP("VAN707500000",Balance!C:G,5,FALSE))=TRUE,0,-VLOOKUP("VAN707500000",Balance!C:G,5,FALSE))</f>
        <v>0</v>
      </c>
      <c r="D17" s="117"/>
      <c r="E17" s="160">
        <f>IF(ISNA(VLOOKUP("VAN707500000",Balanceanp!C:G,5,FALSE))=TRUE,0,-VLOOKUP("VAN707500000",Balanceanp!C:G,5,FALSE))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IF(ISNA(VLOOKUP("VAN707510000",Balance!C:G,5,FALSE))=TRUE,0,-VLOOKUP("VAN707510000",Balance!C:G,5,FALSE))</f>
        <v>0</v>
      </c>
      <c r="D18" s="117"/>
      <c r="E18" s="160">
        <f>IF(ISNA(VLOOKUP("VAN707510000",Balanceanp!C:G,5,FALSE))=TRUE,0,-VLOOKUP("VAN707510000",Balanceanp!C:G,5,FALSE))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IF(ISNA(VLOOKUP("VAN708300000",Balance!C:G,5,FALSE))=TRUE,0,-VLOOKUP("VAN708300000",Balance!C:G,5,FALSE))</f>
        <v>0</v>
      </c>
      <c r="D19" s="117"/>
      <c r="E19" s="160">
        <f>IF(ISNA(VLOOKUP("VAN708300000",Balanceanp!C:G,5,FALSE))=TRUE,0,-VLOOKUP("VAN708300000",Balanceanp!C:G,5,FALSE))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>+IF((E19)=0,,(F19-E19)/E19)</f>
        <v>0</v>
      </c>
      <c r="J19" s="271">
        <f>+IF((F19)=0,,(G19-F19)/F19)</f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634146.32999999996</v>
      </c>
      <c r="D21" s="118">
        <f>SUM(D7:D20)</f>
        <v>931400</v>
      </c>
      <c r="E21" s="163">
        <f>SUM(E7:E20)</f>
        <v>878039.42999999993</v>
      </c>
      <c r="F21" s="136">
        <f>SUM(F7:F20)</f>
        <v>800348.61</v>
      </c>
      <c r="G21" s="136">
        <f>SUM(G7:G20)</f>
        <v>897500</v>
      </c>
      <c r="H21" s="312"/>
      <c r="I21" s="272">
        <f>+IF((E21)=0,,(F21-E21)/E21)</f>
        <v>-8.8482153927870816E-2</v>
      </c>
      <c r="J21" s="188">
        <f>+IF((F21)=0,,(G21-F21)/F21)</f>
        <v>0.12138634188419471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IF(ISNA(VLOOKUP("VAN602650000",Balance!C:G,5,FALSE))=TRUE,0,VLOOKUP("VAN602650000",Balance!C:G,5,FALSE))</f>
        <v>0</v>
      </c>
      <c r="D23" s="115"/>
      <c r="E23" s="160">
        <f>IF(ISNA(VLOOKUP("VAN602650000",Balanceanp!C:G,5,FALSE))=TRUE,0,VLOOKUP("VAN602650000",Balanceanp!C:G,5,FALSE))</f>
        <v>0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IF(ISNA(VLOOKUP("van607100000",Balance!C:G,5,FALSE))=TRUE,0,VLOOKUP("van607100000",Balance!C:G,5,FALSE))</f>
        <v>200984.44</v>
      </c>
      <c r="D24" s="115"/>
      <c r="E24" s="160">
        <f>IF(ISNA(VLOOKUP("van607100000",Balanceanp!C:G,5,FALSE))=TRUE,0,VLOOKUP("van607100000",Balanceanp!C:G,5,FALSE))</f>
        <v>247465.38999999998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IF(ISNA(VLOOKUP("van607110000",Balance!C:G,5,FALSE))=TRUE,0,VLOOKUP("van607110000",Balance!C:G,5,FALSE))+IF(ISNA(VLOOKUP("van607120000",Balance!C:G,5,FALSE))=TRUE,0,VLOOKUP("van607120000",Balance!C:G,5,FALSE))</f>
        <v>52594.02</v>
      </c>
      <c r="D25" s="115"/>
      <c r="E25" s="160">
        <f>IF(ISNA(VLOOKUP("van607110000",Balanceanp!C:G,5,FALSE))=TRUE,0,VLOOKUP("van607110000",Balanceanp!C:G,5,FALSE))+IF(ISNA(VLOOKUP("van607120000",Balanceanp!C:G,5,FALSE))=TRUE,0,VLOOKUP("van607120000",Balanceanp!C:G,5,FALSE))</f>
        <v>17022.98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IF(ISNA(VLOOKUP("van607130000",Balance!C:G,5,FALSE))=TRUE,0,VLOOKUP("van607130000",Balance!C:G,5,FALSE))</f>
        <v>39682.6</v>
      </c>
      <c r="D26" s="115"/>
      <c r="E26" s="160">
        <f>IF(ISNA(VLOOKUP("van607130000",Balanceanp!C:G,5,FALSE))=TRUE,0,VLOOKUP("van607130000",Balanceanp!C:G,5,FALSE))</f>
        <v>46349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IF(ISNA(VLOOKUP("van607140000",Balance!C:G,5,FALSE))=TRUE,0,VLOOKUP("van607140000",Balance!C:G,5,FALSE))</f>
        <v>-122910.27</v>
      </c>
      <c r="D27" s="115"/>
      <c r="E27" s="160">
        <f>IF(ISNA(VLOOKUP("van607140000",Balanceanp!C:G,5,FALSE))=TRUE,0,VLOOKUP("van607140000",Balanceanp!C:G,5,FALSE))</f>
        <v>-88423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IF(ISNA(VLOOKUP("VAN607200000",Balance!C:G,5,FALSE))=TRUE,0,VLOOKUP("VAN607200000",Balance!C:G,5,FALSE))</f>
        <v>228334.74</v>
      </c>
      <c r="D28" s="115"/>
      <c r="E28" s="160">
        <f>IF(ISNA(VLOOKUP("VAN607200000",Balanceanp!C:G,5,FALSE))=TRUE,0,VLOOKUP("VAN607200000",Balanceanp!C:G,5,FALSE))</f>
        <v>249833.79</v>
      </c>
      <c r="F28" s="368"/>
      <c r="G28" s="1161">
        <v>255000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255000</v>
      </c>
    </row>
    <row r="29" spans="1:13" ht="12.75">
      <c r="A29" s="5" t="s">
        <v>293</v>
      </c>
      <c r="B29" s="92"/>
      <c r="C29" s="160">
        <f>IF(ISNA(VLOOKUP("VAN607150000",Balance!C:G,5,FALSE))=TRUE,0,VLOOKUP("VAN607150000",Balance!C:G,5,FALSE))</f>
        <v>0</v>
      </c>
      <c r="D29" s="115"/>
      <c r="E29" s="357">
        <f>IF(ISNA(VLOOKUP("VAN607150000",Balanceanp!C:G,5,FALSE))=TRUE,0,VLOOKUP("VAN607150000",Balanceanp!C:G,5,FALSE))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398685.52999999997</v>
      </c>
      <c r="D30" s="119"/>
      <c r="E30" s="164">
        <f>SUM(E23:E29)</f>
        <v>472248.16000000003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287174.69</v>
      </c>
      <c r="D32" s="120"/>
      <c r="E32" s="166">
        <f>+E21-E30-E38</f>
        <v>399721.05409999989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0.45285240395540888</v>
      </c>
      <c r="D33" s="120"/>
      <c r="E33" s="196">
        <f>+E32/E21</f>
        <v>0.45524271512499148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IF(ISNA(VLOOKUP("VAN607400000",Balance!C:G,5,FALSE))=TRUE,0,VLOOKUP("VAN607400000",Balance!C:G,5,FALSE))</f>
        <v>4432.21</v>
      </c>
      <c r="D35" s="115"/>
      <c r="E35" s="160">
        <f>IF(ISNA(VLOOKUP("VAN607400000",Balanceanp!C:G,5,FALSE))=TRUE,0,VLOOKUP("VAN607400000",Balanceanp!C:G,5,FALSE))</f>
        <v>5060.62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IF(ISNA(VLOOKUP("VAN608000000",Balance!C:G,5,FALSE))=TRUE,0,VLOOKUP("VAN608000000",Balance!C:G,5,FALSE))</f>
        <v>4645.63</v>
      </c>
      <c r="D36" s="115"/>
      <c r="E36" s="160">
        <f>IF(ISNA(VLOOKUP("VAN608000000",Balanceanp!C:G,5,FALSE))=TRUE,0,VLOOKUP("VAN608000000",Balanceanp!C:G,5,FALSE))</f>
        <v>5686.32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IF(ISNA(VLOOKUP("VAN608100000",Balance!C:G,5,FALSE))=TRUE,0,VLOOKUP("VAN608100000",Balance!C:G,5,FALSE))</f>
        <v>0</v>
      </c>
      <c r="D37" s="115"/>
      <c r="E37" s="160">
        <f>IF(ISNA(VLOOKUP("VAN608100000",Balanceanp!C:G,5,FALSE))=TRUE,0,VLOOKUP("VAN608100000",Balanceanp!C:G,5,FALSE))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-51713.890000000014</v>
      </c>
      <c r="D38" s="115"/>
      <c r="E38" s="160">
        <f>+E56-E57</f>
        <v>6070.2159000000102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IF(ISNA(VLOOKUP("VAN681730000",Balance!C:G,5,FALSE))=TRUE,0,VLOOKUP("VAN681730000",Balance!C:G,5,FALSE))</f>
        <v>0</v>
      </c>
      <c r="D39" s="115"/>
      <c r="E39" s="160">
        <f>IF(ISNA(VLOOKUP("VAN681730000",Balanceanp!C:G,5,FALSE))=TRUE,0,VLOOKUP("VAN681730000",Balanceanp!C:G,5,FALSE))</f>
        <v>7032.88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IF(ISNA(VLOOKUP("VAN781730000",Balance!C:G,5,FALSE))=TRUE,0,VLOOKUP("VAN781730000",Balance!C:G,5,FALSE))</f>
        <v>-4479.59</v>
      </c>
      <c r="D40" s="115"/>
      <c r="E40" s="160">
        <f>IF(ISNA(VLOOKUP("VAN781730000",Balanceanp!C:G,5,FALSE))=TRUE,0,VLOOKUP("VAN781730000",Balanceanp!C:G,5,FALSE))</f>
        <v>-8584.09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IF(ISNA(VLOOKUP("van609110000",Balance!C:G,5,FALSE))=TRUE,0,VLOOKUP("van609110000",Balance!C:G,5,FALSE))</f>
        <v>-795.13</v>
      </c>
      <c r="D41" s="115"/>
      <c r="E41" s="160">
        <f>IF(ISNA(VLOOKUP("van609110000",Balanceanp!C:G,5,FALSE))=TRUE,0,VLOOKUP("van609110000",Balanceanp!C:G,5,FALSE))</f>
        <v>-7703.36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IF(ISNA(VLOOKUP("van609120000",Balance!C:G,5,FALSE))=TRUE,0,VLOOKUP("van609120000",Balance!C:G,5,FALSE))</f>
        <v>-16200.17</v>
      </c>
      <c r="D42" s="115"/>
      <c r="E42" s="160">
        <f>IF(ISNA(VLOOKUP("van609120000",Balanceanp!C:G,5,FALSE))=TRUE,0,VLOOKUP("van609120000",Balanceanp!C:G,5,FALSE))</f>
        <v>-16533.439999999999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334574.58999999997</v>
      </c>
      <c r="D44" s="121"/>
      <c r="E44" s="163">
        <f>+E30+SUM(E34:E43)</f>
        <v>463277.30590000004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299571.74</v>
      </c>
      <c r="D46" s="120"/>
      <c r="E46" s="166">
        <f>+E21-E44</f>
        <v>414762.1240999999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0.47240159853956737</v>
      </c>
      <c r="D47" s="120"/>
      <c r="E47" s="196">
        <f>+E46/E21</f>
        <v>0.47237300504830398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1.3399904088382883E-2</v>
      </c>
      <c r="C49" s="160">
        <f>IF(ISNA(VLOOKUP("VAN709700000",Balance!C:G,5,FALSE))=TRUE,0,VLOOKUP("VAN709700000",Balance!C:G,5,FALSE))</f>
        <v>8497.5</v>
      </c>
      <c r="D49" s="393">
        <v>11330</v>
      </c>
      <c r="E49" s="160">
        <f>IF(ISNA(VLOOKUP("VAN709700000",Balanceanp!C:G,5,FALSE))=TRUE,0,VLOOKUP("VAN709700000",Balanceanp!C:G,5,FALSE))</f>
        <v>12264.2</v>
      </c>
      <c r="F49" s="135">
        <f>+C49+C49/9*(12-Clients!$I$14)</f>
        <v>11330</v>
      </c>
      <c r="G49" s="570">
        <f>+F49*1.03</f>
        <v>11669.9</v>
      </c>
      <c r="H49" s="419"/>
      <c r="I49" s="149">
        <f>+IF((E49)=0,,(F49-E49)/E49)</f>
        <v>-7.6172926077526515E-2</v>
      </c>
      <c r="J49" s="271">
        <f>+IF((F49)=0,,(G49-F49)/F49)</f>
        <v>2.9999999999999968E-2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11669.9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625648.82999999996</v>
      </c>
      <c r="D51" s="118">
        <f>+D21-D49</f>
        <v>920070</v>
      </c>
      <c r="E51" s="163">
        <f>+E21-E49</f>
        <v>865775.23</v>
      </c>
      <c r="F51" s="136">
        <f>+F21-F49</f>
        <v>789018.61</v>
      </c>
      <c r="G51" s="136">
        <f>+G21-G49</f>
        <v>885830.1</v>
      </c>
      <c r="H51" s="312"/>
      <c r="I51" s="272">
        <f>+IF((E51)=0,,(F51-E51)/E51)</f>
        <v>-8.865652116196486E-2</v>
      </c>
      <c r="J51" s="188">
        <f>+IF((F51)=0,,(G51-F51)/F51)</f>
        <v>0.12269861416830205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291074.24</v>
      </c>
      <c r="D53" s="122"/>
      <c r="E53" s="169">
        <f>+E51-E44</f>
        <v>402497.92409999995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0.46523580967936917</v>
      </c>
      <c r="D54" s="123"/>
      <c r="E54" s="197">
        <f>+E53/E51</f>
        <v>0.46489886768878796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+[2]Vannes!$C56</f>
        <v>136289.10999999999</v>
      </c>
      <c r="D56" s="115"/>
      <c r="E56" s="160">
        <f>+[1]Vannes!$G$56</f>
        <v>137820.57769999999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+[2]Vannes!$C57</f>
        <v>188003</v>
      </c>
      <c r="D57" s="115"/>
      <c r="E57" s="160">
        <f>+[1]Vannes!$G$57</f>
        <v>131750.36179999998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v>0.45</v>
      </c>
      <c r="D60" s="123">
        <v>0.46</v>
      </c>
      <c r="E60" s="197">
        <f>+[1]Vannes!$G$54</f>
        <v>0.46489886768878796</v>
      </c>
      <c r="F60" s="141">
        <f>+C60</f>
        <v>0.45</v>
      </c>
      <c r="G60" s="141">
        <f>+C60</f>
        <v>0.45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v>0.46400000000000002</v>
      </c>
      <c r="D61" s="117"/>
      <c r="E61" s="358">
        <f>+[1]Vannes!$G$60</f>
        <v>0.45</v>
      </c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281541.97349999996</v>
      </c>
      <c r="D62" s="122">
        <f>D51*D60</f>
        <v>423232.2</v>
      </c>
      <c r="E62" s="169">
        <f>+E51*E60</f>
        <v>402497.92409999995</v>
      </c>
      <c r="F62" s="140">
        <f>+F51*F60</f>
        <v>355058.37449999998</v>
      </c>
      <c r="G62" s="140">
        <f>+G51*G60</f>
        <v>398623.54499999998</v>
      </c>
      <c r="H62" s="405"/>
      <c r="I62" s="224">
        <f>+IF((E62)=0,,(F62-E62)/E62)</f>
        <v>-0.11786284291049832</v>
      </c>
      <c r="J62" s="123">
        <f>+IF((F62)=0,,(G62-F62)/F62)</f>
        <v>0.12269861416830209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IF(ISNA(VLOOKUP("VAN613520000",Balance!C:G,5,FALSE))=TRUE,0,VLOOKUP("VAN613520000",Balance!C:G,5,FALSE))</f>
        <v>2904.11</v>
      </c>
      <c r="D64" s="117">
        <v>4466.0333410000003</v>
      </c>
      <c r="E64" s="160">
        <f>IF(ISNA(VLOOKUP("VAN613520000",Balanceanp!C:G,5,FALSE))=TRUE,0,VLOOKUP("VAN613520000",Balanceanp!C:G,5,FALSE))</f>
        <v>3968.02</v>
      </c>
      <c r="F64" s="368">
        <f>+C64+C64/9*(12-Clients!$I$14)</f>
        <v>3872.1466666666665</v>
      </c>
      <c r="G64" s="570">
        <f>+F64*1.03</f>
        <v>3988.3110666666666</v>
      </c>
      <c r="H64" s="401"/>
      <c r="I64" s="149">
        <f t="shared" ref="I64:J68" si="4">+IF((E64)=0,,(F64-E64)/E64)</f>
        <v>-2.4161504562309023E-2</v>
      </c>
      <c r="J64" s="271">
        <f t="shared" si="4"/>
        <v>3.000000000000003E-2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3988.3110666666666</v>
      </c>
    </row>
    <row r="65" spans="1:13" ht="12.75">
      <c r="A65" s="5" t="s">
        <v>314</v>
      </c>
      <c r="B65" s="92"/>
      <c r="C65" s="160"/>
      <c r="D65" s="117"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IF(ISNA(VLOOKUP("VAN616120000",Balance!C:G,5,FALSE))=TRUE,0,VLOOKUP("VAN616120000",Balance!C:G,5,FALSE))</f>
        <v>628.48</v>
      </c>
      <c r="D66" s="117">
        <v>766.5</v>
      </c>
      <c r="E66" s="160">
        <f>IF(ISNA(VLOOKUP("VAN616120000",Balanceanp!C:G,5,FALSE))=TRUE,0,VLOOKUP("VAN616120000",Balanceanp!C:G,5,FALSE))</f>
        <v>760.33</v>
      </c>
      <c r="F66" s="425">
        <v>730</v>
      </c>
      <c r="G66" s="570">
        <f>+F66*1.05</f>
        <v>766.5</v>
      </c>
      <c r="H66" s="401"/>
      <c r="I66" s="149">
        <f t="shared" si="4"/>
        <v>-3.989057382978449E-2</v>
      </c>
      <c r="J66" s="271">
        <f t="shared" si="4"/>
        <v>0.05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766.5</v>
      </c>
    </row>
    <row r="67" spans="1:13" ht="12.75">
      <c r="A67" s="5" t="s">
        <v>107</v>
      </c>
      <c r="B67" s="92"/>
      <c r="C67" s="160">
        <f>IF(ISNA(VLOOKUP("VAN615520000",Balance!C:G,5,FALSE))=TRUE,0,VLOOKUP("VAN615520000",Balance!C:G,5,FALSE))</f>
        <v>471.85</v>
      </c>
      <c r="D67" s="117">
        <v>1383.593026</v>
      </c>
      <c r="E67" s="160">
        <f>IF(ISNA(VLOOKUP("VAN615520000",Balanceanp!C:G,5,FALSE))=TRUE,0,VLOOKUP("VAN615520000",Balanceanp!C:G,5,FALSE))</f>
        <v>1739.78</v>
      </c>
      <c r="F67" s="368">
        <f>+C67+C67/9*(12-Clients!$I$14)</f>
        <v>629.13333333333333</v>
      </c>
      <c r="G67" s="570">
        <f>+F67*1.03</f>
        <v>648.00733333333335</v>
      </c>
      <c r="H67" s="401"/>
      <c r="I67" s="149">
        <f t="shared" si="4"/>
        <v>-0.63838339713450354</v>
      </c>
      <c r="J67" s="271">
        <f t="shared" si="4"/>
        <v>3.0000000000000037E-2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648.00733333333335</v>
      </c>
    </row>
    <row r="68" spans="1:13" ht="12.75">
      <c r="A68" s="5" t="s">
        <v>125</v>
      </c>
      <c r="B68" s="92"/>
      <c r="C68" s="160">
        <f>IF(ISNA(VLOOKUP("VAN606130000",Balance!C:G,5,FALSE))=TRUE,0,VLOOKUP("VAN606130000",Balance!C:G,5,FALSE))</f>
        <v>936.62</v>
      </c>
      <c r="D68" s="117">
        <v>2297.6416000000004</v>
      </c>
      <c r="E68" s="160">
        <f>IF(ISNA(VLOOKUP("VAN606130000",Balanceanp!C:G,5,FALSE))=TRUE,0,VLOOKUP("VAN606130000",Balanceanp!C:G,5,FALSE))</f>
        <v>2261.56</v>
      </c>
      <c r="F68" s="368">
        <f>+C68+C68/9*(12-Clients!$I$14)</f>
        <v>1248.8266666666668</v>
      </c>
      <c r="G68" s="368">
        <f>+F68*1.03</f>
        <v>1286.2914666666668</v>
      </c>
      <c r="H68" s="410"/>
      <c r="I68" s="149">
        <f t="shared" si="4"/>
        <v>-0.44780299144543284</v>
      </c>
      <c r="J68" s="271">
        <f t="shared" si="4"/>
        <v>2.9999999999999971E-2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1286.2914666666668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4941.0600000000004</v>
      </c>
      <c r="D70" s="125">
        <f>SUM(D64:D69)</f>
        <v>8913.7679670000016</v>
      </c>
      <c r="E70" s="276">
        <f>SUM(E64:E69)</f>
        <v>8729.69</v>
      </c>
      <c r="F70" s="370">
        <f>SUM(F64:F69)</f>
        <v>6480.1066666666666</v>
      </c>
      <c r="G70" s="359">
        <f>SUM(G64:G69)</f>
        <v>6689.1098666666667</v>
      </c>
      <c r="H70" s="412"/>
      <c r="I70" s="384">
        <f>+IF((E70)=0,,(F70-E70)/E70)</f>
        <v>-0.25769338124645136</v>
      </c>
      <c r="J70" s="279">
        <f>+IF((F70)=0,,(G70-F70)/F70)</f>
        <v>3.2253049332521294E-2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IF(ISNA(VLOOKUP("van602220000",Balance!C:G,5,FALSE))=TRUE,0,VLOOKUP("van602220000",Balance!C:G,5,FALSE))</f>
        <v>0</v>
      </c>
      <c r="D72" s="117">
        <v>0</v>
      </c>
      <c r="E72" s="160">
        <f>IF(ISNA(VLOOKUP("van602220000",Balanceanp!C:G,5,FALSE))=TRUE,0,VLOOKUP("van602220000",Balanceanp!C:G,5,FALSE))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>+IF((E72)=0,,(F72-E72)/E72)</f>
        <v>0</v>
      </c>
      <c r="J72" s="271">
        <f>+IF((F72)=0,,(G72-F72)/F72)</f>
        <v>0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0</v>
      </c>
    </row>
    <row r="73" spans="1:13" ht="12.75">
      <c r="A73" s="5" t="s">
        <v>123</v>
      </c>
      <c r="B73" s="92"/>
      <c r="C73" s="160">
        <f>IF(ISNA(VLOOKUP("VAN606100000",Balance!C:G,5,FALSE))=TRUE,0,VLOOKUP("VAN606100000",Balance!C:G,5,FALSE))</f>
        <v>2270.2800000000002</v>
      </c>
      <c r="D73" s="117">
        <v>2393.5166070587502</v>
      </c>
      <c r="E73" s="160">
        <f>IF(ISNA(VLOOKUP("VAN606100000",Balanceanp!C:G,5,FALSE))=TRUE,0,VLOOKUP("VAN606100000",Balanceanp!C:G,5,FALSE))</f>
        <v>3055.11</v>
      </c>
      <c r="F73" s="368">
        <f>+C73+C73/9*(12-Clients!$I$14)</f>
        <v>3027.0400000000004</v>
      </c>
      <c r="G73" s="396">
        <f t="shared" ref="G73:G101" si="5">+F73*1.03</f>
        <v>3117.8512000000005</v>
      </c>
      <c r="H73" s="409"/>
      <c r="I73" s="149">
        <f t="shared" ref="I73:I101" si="6">+IF((E73)=0,,(F73-E73)/E73)</f>
        <v>-9.187885215262202E-3</v>
      </c>
      <c r="J73" s="271">
        <f t="shared" ref="J73:J101" si="7">+IF((F73)=0,,(G73-F73)/F73)</f>
        <v>3.000000000000003E-2</v>
      </c>
      <c r="K73" s="2" t="s">
        <v>714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3117.8512000000005</v>
      </c>
    </row>
    <row r="74" spans="1:13" ht="12.75">
      <c r="A74" s="5" t="s">
        <v>124</v>
      </c>
      <c r="B74" s="92"/>
      <c r="C74" s="160">
        <f>IF(ISNA(VLOOKUP("VAN606110000",Balance!C:G,5,FALSE))=TRUE,0,VLOOKUP("VAN606110000",Balance!C:G,5,FALSE))</f>
        <v>0</v>
      </c>
      <c r="D74" s="117">
        <v>24.9054</v>
      </c>
      <c r="E74" s="160">
        <f>IF(ISNA(VLOOKUP("VAN606110000",Balanceanp!C:G,5,FALSE))=TRUE,0,VLOOKUP("VAN606110000",Balanceanp!C:G,5,FALSE))</f>
        <v>24.18</v>
      </c>
      <c r="F74" s="368">
        <f>+C74+C74/9*(12-Clients!$I$14)</f>
        <v>0</v>
      </c>
      <c r="G74" s="396">
        <f t="shared" si="5"/>
        <v>0</v>
      </c>
      <c r="H74" s="409"/>
      <c r="I74" s="149">
        <f t="shared" si="6"/>
        <v>-1</v>
      </c>
      <c r="J74" s="271">
        <f t="shared" si="7"/>
        <v>0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0</v>
      </c>
    </row>
    <row r="75" spans="1:13" ht="12.75">
      <c r="A75" s="5" t="s">
        <v>360</v>
      </c>
      <c r="B75" s="92"/>
      <c r="C75" s="160">
        <f>IF(ISNA(VLOOKUP("van606140000",Balance!C:G,5,FALSE))=TRUE,0,VLOOKUP("van606140000",Balance!C:G,5,FALSE))</f>
        <v>0</v>
      </c>
      <c r="D75" s="117">
        <v>0</v>
      </c>
      <c r="E75" s="160">
        <f>IF(ISNA(VLOOKUP("van606140000",Balanceanp!C:G,5,FALSE))=TRUE,0,VLOOKUP("van606140000",Balanceanp!C:G,5,FALSE))</f>
        <v>0</v>
      </c>
      <c r="F75" s="368">
        <f>+C75+C75/9*(12-Clients!$I$14)</f>
        <v>0</v>
      </c>
      <c r="G75" s="396">
        <f t="shared" si="5"/>
        <v>0</v>
      </c>
      <c r="H75" s="409"/>
      <c r="I75" s="149">
        <f t="shared" si="6"/>
        <v>0</v>
      </c>
      <c r="J75" s="271">
        <f t="shared" si="7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IF(ISNA(VLOOKUP("VAN606310000",Balance!C:G,5,FALSE))=TRUE,0,VLOOKUP("VAN606310000",Balance!C:G,5,FALSE))</f>
        <v>394.19</v>
      </c>
      <c r="D76" s="117">
        <v>2.2765145833333338</v>
      </c>
      <c r="E76" s="160">
        <f>IF(ISNA(VLOOKUP("VAN606310000",Balanceanp!C:G,5,FALSE))=TRUE,0,VLOOKUP("VAN606310000",Balanceanp!C:G,5,FALSE))</f>
        <v>0</v>
      </c>
      <c r="F76" s="368">
        <f>+C76+C76/9*(12-Clients!$I$14)</f>
        <v>525.5866666666667</v>
      </c>
      <c r="G76" s="396">
        <f t="shared" si="5"/>
        <v>541.35426666666672</v>
      </c>
      <c r="H76" s="409"/>
      <c r="I76" s="149">
        <f t="shared" si="6"/>
        <v>0</v>
      </c>
      <c r="J76" s="271">
        <f t="shared" si="7"/>
        <v>3.0000000000000027E-2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541.35426666666672</v>
      </c>
    </row>
    <row r="77" spans="1:13" ht="12.75">
      <c r="A77" s="5" t="s">
        <v>127</v>
      </c>
      <c r="B77" s="92"/>
      <c r="C77" s="160">
        <f>IF(ISNA(VLOOKUP("VAN606410000",Balance!C:G,5,FALSE))=TRUE,0,VLOOKUP("VAN606410000",Balance!C:G,5,FALSE))</f>
        <v>1737.11</v>
      </c>
      <c r="D77" s="117">
        <v>2307.8889196414584</v>
      </c>
      <c r="E77" s="160">
        <f>IF(ISNA(VLOOKUP("VAN606410000",Balanceanp!C:G,5,FALSE))=TRUE,0,VLOOKUP("VAN606410000",Balanceanp!C:G,5,FALSE))</f>
        <v>2763.57</v>
      </c>
      <c r="F77" s="368">
        <f>+C77+C77/9*(12-Clients!$I$14)</f>
        <v>2316.1466666666665</v>
      </c>
      <c r="G77" s="396">
        <f t="shared" si="5"/>
        <v>2385.6310666666668</v>
      </c>
      <c r="H77" s="409"/>
      <c r="I77" s="149">
        <f t="shared" si="6"/>
        <v>-0.16190048861918951</v>
      </c>
      <c r="J77" s="271">
        <f t="shared" si="7"/>
        <v>3.000000000000012E-2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2385.6310666666668</v>
      </c>
    </row>
    <row r="78" spans="1:13" ht="12.75">
      <c r="A78" s="5" t="s">
        <v>101</v>
      </c>
      <c r="B78" s="92"/>
      <c r="C78" s="160">
        <f>IF(ISNA(VLOOKUP("VAN611000000",Balance!C:G,5,FALSE))=TRUE,0,VLOOKUP("VAN611000000",Balance!C:G,5,FALSE))</f>
        <v>0</v>
      </c>
      <c r="D78" s="117">
        <v>1.1382572916666669</v>
      </c>
      <c r="E78" s="160">
        <f>IF(ISNA(VLOOKUP("VAN611000000",Balanceanp!C:G,5,FALSE))=TRUE,0,VLOOKUP("VAN611000000",Balanceanp!C:G,5,FALSE))</f>
        <v>0</v>
      </c>
      <c r="F78" s="368">
        <f>+C78+C78/9*(12-Clients!$I$14)</f>
        <v>0</v>
      </c>
      <c r="G78" s="368">
        <f t="shared" si="5"/>
        <v>0</v>
      </c>
      <c r="H78" s="410"/>
      <c r="I78" s="149">
        <f t="shared" si="6"/>
        <v>0</v>
      </c>
      <c r="J78" s="271">
        <f t="shared" si="7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IF(ISNA(VLOOKUP("VAN613200000",Balance!C:G,5,FALSE))=TRUE,0,VLOOKUP("VAN613200000",Balance!C:G,5,FALSE))</f>
        <v>20197.71</v>
      </c>
      <c r="D79" s="117">
        <v>26930.280614596672</v>
      </c>
      <c r="E79" s="160">
        <f>IF(ISNA(VLOOKUP("VAN613200000",Balanceanp!C:G,5,FALSE))=TRUE,0,VLOOKUP("VAN613200000",Balanceanp!C:G,5,FALSE))</f>
        <v>28080.84</v>
      </c>
      <c r="F79" s="425">
        <f>6732.57*4</f>
        <v>26930.28</v>
      </c>
      <c r="G79" s="425">
        <f>+(6732.57*4)/1498*1517</f>
        <v>27271.852309746329</v>
      </c>
      <c r="H79" s="413"/>
      <c r="I79" s="149">
        <f t="shared" si="6"/>
        <v>-4.0973133282337752E-2</v>
      </c>
      <c r="J79" s="271">
        <f t="shared" si="7"/>
        <v>1.2683578104138931E-2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27271.852309746329</v>
      </c>
    </row>
    <row r="80" spans="1:13" ht="12.75">
      <c r="A80" s="5" t="s">
        <v>325</v>
      </c>
      <c r="B80" s="92"/>
      <c r="C80" s="160">
        <f>IF(ISNA(VLOOKUP("van614000000",Balance!C:G,5,FALSE))=TRUE,0,VLOOKUP("van614000000",Balance!C:G,5,FALSE))</f>
        <v>0</v>
      </c>
      <c r="D80" s="117">
        <v>0</v>
      </c>
      <c r="E80" s="160">
        <f>IF(ISNA(VLOOKUP("van614000000",Balanceanp!C:G,5,FALSE))=TRUE,0,VLOOKUP("van614000000",Balanceanp!C:G,5,FALSE))</f>
        <v>0</v>
      </c>
      <c r="F80" s="368">
        <f>+C80+C80/9*(12-Clients!$I$14)</f>
        <v>0</v>
      </c>
      <c r="G80" s="396">
        <f t="shared" si="5"/>
        <v>0</v>
      </c>
      <c r="H80" s="409"/>
      <c r="I80" s="149">
        <f t="shared" si="6"/>
        <v>0</v>
      </c>
      <c r="J80" s="271">
        <f t="shared" si="7"/>
        <v>0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0</v>
      </c>
    </row>
    <row r="81" spans="1:13" ht="12.75">
      <c r="A81" s="5" t="s">
        <v>103</v>
      </c>
      <c r="B81" s="92"/>
      <c r="C81" s="160">
        <f>IF(ISNA(VLOOKUP("VAN613510000",Balance!C:G,5,FALSE))=TRUE,0,VLOOKUP("VAN613510000",Balance!C:G,5,FALSE))</f>
        <v>0</v>
      </c>
      <c r="D81" s="117">
        <v>0</v>
      </c>
      <c r="E81" s="160">
        <f>IF(ISNA(VLOOKUP("VAN613510000",Balanceanp!C:G,5,FALSE))=TRUE,0,VLOOKUP("VAN613510000",Balanceanp!C:G,5,FALSE))</f>
        <v>0</v>
      </c>
      <c r="F81" s="368">
        <f>+C81+C81/9*(12-Clients!$I$14)</f>
        <v>0</v>
      </c>
      <c r="G81" s="396">
        <f t="shared" si="5"/>
        <v>0</v>
      </c>
      <c r="H81" s="409"/>
      <c r="I81" s="149">
        <f t="shared" si="6"/>
        <v>0</v>
      </c>
      <c r="J81" s="271">
        <f t="shared" si="7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IF(ISNA(VLOOKUP("VAN613530000",Balance!C:G,5,FALSE))=TRUE,0,VLOOKUP("VAN613530000",Balance!C:G,5,FALSE))</f>
        <v>135</v>
      </c>
      <c r="D82" s="117">
        <v>189.42506833333334</v>
      </c>
      <c r="E82" s="160">
        <f>IF(ISNA(VLOOKUP("VAN613530000",Balanceanp!C:G,5,FALSE))=TRUE,0,VLOOKUP("VAN613530000",Balanceanp!C:G,5,FALSE))</f>
        <v>180</v>
      </c>
      <c r="F82" s="368">
        <f>+C82+C82/9*(12-Clients!$I$14)</f>
        <v>180</v>
      </c>
      <c r="G82" s="396">
        <f t="shared" si="5"/>
        <v>185.4</v>
      </c>
      <c r="H82" s="409"/>
      <c r="I82" s="149">
        <f t="shared" si="6"/>
        <v>0</v>
      </c>
      <c r="J82" s="271">
        <f t="shared" si="7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IF(ISNA(VLOOKUP("van613540000",Balance!C:G,5,FALSE))=TRUE,0,VLOOKUP("van613540000",Balance!C:G,5,FALSE))</f>
        <v>279</v>
      </c>
      <c r="D83" s="117">
        <v>489.31343297916669</v>
      </c>
      <c r="E83" s="160">
        <f>IF(ISNA(VLOOKUP("van613540000",Balanceanp!C:G,5,FALSE))=TRUE,0,VLOOKUP("van613540000",Balanceanp!C:G,5,FALSE))</f>
        <v>372</v>
      </c>
      <c r="F83" s="368">
        <f>+C83+C83/9*(12-Clients!$I$14)</f>
        <v>372</v>
      </c>
      <c r="G83" s="396">
        <f t="shared" si="5"/>
        <v>383.16</v>
      </c>
      <c r="H83" s="409"/>
      <c r="I83" s="149">
        <f t="shared" si="6"/>
        <v>0</v>
      </c>
      <c r="J83" s="271">
        <f t="shared" si="7"/>
        <v>3.0000000000000068E-2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383.16</v>
      </c>
    </row>
    <row r="84" spans="1:13" ht="12.75">
      <c r="A84" s="5" t="s">
        <v>108</v>
      </c>
      <c r="B84" s="92"/>
      <c r="C84" s="160">
        <f>IF(ISNA(VLOOKUP("VAN615200000",Balance!C:G,5,FALSE))=TRUE,0,VLOOKUP("VAN615200000",Balance!C:G,5,FALSE))</f>
        <v>103.15</v>
      </c>
      <c r="D84" s="117">
        <v>797.88871301562494</v>
      </c>
      <c r="E84" s="160">
        <f>IF(ISNA(VLOOKUP("VAN615200000",Balanceanp!C:G,5,FALSE))=TRUE,0,VLOOKUP("VAN615200000",Balanceanp!C:G,5,FALSE))</f>
        <v>718.09</v>
      </c>
      <c r="F84" s="368">
        <f>+C84+C84/9*(12-Clients!$I$14)</f>
        <v>137.53333333333336</v>
      </c>
      <c r="G84" s="396">
        <f t="shared" si="5"/>
        <v>141.65933333333336</v>
      </c>
      <c r="H84" s="409"/>
      <c r="I84" s="149">
        <f t="shared" si="6"/>
        <v>-0.80847340398371592</v>
      </c>
      <c r="J84" s="271">
        <f t="shared" si="7"/>
        <v>3.000000000000003E-2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141.65933333333336</v>
      </c>
    </row>
    <row r="85" spans="1:13" ht="12.75">
      <c r="A85" s="5" t="s">
        <v>109</v>
      </c>
      <c r="B85" s="92"/>
      <c r="C85" s="160">
        <f>IF(ISNA(VLOOKUP("VAN615500000",Balance!C:G,5,FALSE))=TRUE,0,VLOOKUP("VAN615500000",Balance!C:G,5,FALSE))</f>
        <v>54.73</v>
      </c>
      <c r="D85" s="117">
        <v>666.16327384291662</v>
      </c>
      <c r="E85" s="160">
        <f>IF(ISNA(VLOOKUP("VAN615500000",Balanceanp!C:G,5,FALSE))=TRUE,0,VLOOKUP("VAN615500000",Balanceanp!C:G,5,FALSE))</f>
        <v>571.59</v>
      </c>
      <c r="F85" s="368">
        <f>+C85+C85/9*(12-Clients!$I$14)</f>
        <v>72.973333333333329</v>
      </c>
      <c r="G85" s="396">
        <f t="shared" si="5"/>
        <v>75.162533333333329</v>
      </c>
      <c r="H85" s="409"/>
      <c r="I85" s="149">
        <f t="shared" si="6"/>
        <v>-0.87233273266968747</v>
      </c>
      <c r="J85" s="271">
        <f t="shared" si="7"/>
        <v>2.9999999999999995E-2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75.162533333333329</v>
      </c>
    </row>
    <row r="86" spans="1:13" ht="12.75">
      <c r="A86" s="5" t="s">
        <v>106</v>
      </c>
      <c r="B86" s="92"/>
      <c r="C86" s="160">
        <f>IF(ISNA(VLOOKUP("VAN615510000",Balance!C:G,5,FALSE))=TRUE,0,VLOOKUP("VAN615510000",Balance!C:G,5,FALSE))</f>
        <v>1283.8399999999999</v>
      </c>
      <c r="D86" s="117">
        <v>385.37571001395838</v>
      </c>
      <c r="E86" s="160">
        <f>IF(ISNA(VLOOKUP("VAN615510000",Balanceanp!C:G,5,FALSE))=TRUE,0,VLOOKUP("VAN615510000",Balanceanp!C:G,5,FALSE))</f>
        <v>667.48</v>
      </c>
      <c r="F86" s="368">
        <f>+C86+C86/9*(12-Clients!$I$14)</f>
        <v>1711.7866666666664</v>
      </c>
      <c r="G86" s="396">
        <f t="shared" si="5"/>
        <v>1763.1402666666665</v>
      </c>
      <c r="H86" s="409"/>
      <c r="I86" s="149">
        <f t="shared" si="6"/>
        <v>1.5645512474780763</v>
      </c>
      <c r="J86" s="271">
        <f t="shared" si="7"/>
        <v>3.0000000000000089E-2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1763.1402666666665</v>
      </c>
    </row>
    <row r="87" spans="1:13" ht="12.75">
      <c r="A87" s="5" t="s">
        <v>363</v>
      </c>
      <c r="B87" s="92"/>
      <c r="C87" s="160">
        <f>IF(ISNA(VLOOKUP("van615530000",Balance!C:G,5,FALSE))=TRUE,0,VLOOKUP("van615530000",Balance!C:G,5,FALSE))</f>
        <v>0</v>
      </c>
      <c r="D87" s="117">
        <v>0</v>
      </c>
      <c r="E87" s="160">
        <f>IF(ISNA(VLOOKUP("van615530000",Balanceanp!C:G,5,FALSE))=TRUE,0,VLOOKUP("van615530000",Balanceanp!C:G,5,FALSE))</f>
        <v>0</v>
      </c>
      <c r="F87" s="368">
        <f>+C87+C87/9*(12-Clients!$I$14)</f>
        <v>0</v>
      </c>
      <c r="G87" s="396">
        <f t="shared" si="5"/>
        <v>0</v>
      </c>
      <c r="H87" s="409"/>
      <c r="I87" s="149">
        <f t="shared" si="6"/>
        <v>0</v>
      </c>
      <c r="J87" s="271">
        <f t="shared" si="7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IF(ISNA(VLOOKUP("VAN616130000",Balance!C:G,5,FALSE))=TRUE,0,VLOOKUP("VAN616130000",Balance!C:G,5,FALSE))</f>
        <v>2145.2399999999998</v>
      </c>
      <c r="D88" s="117">
        <v>2860.3260000000005</v>
      </c>
      <c r="E88" s="160">
        <f>IF(ISNA(VLOOKUP("VAN616130000",Balanceanp!C:G,5,FALSE))=TRUE,0,VLOOKUP("VAN616130000",Balanceanp!C:G,5,FALSE))</f>
        <v>2560.1</v>
      </c>
      <c r="F88" s="368">
        <f>+C88+C88/9*(12-Clients!$I$14)</f>
        <v>2860.3199999999997</v>
      </c>
      <c r="G88" s="397">
        <f>+E88*1.05*1.05</f>
        <v>2822.5102500000003</v>
      </c>
      <c r="H88" s="413"/>
      <c r="I88" s="149">
        <f t="shared" si="6"/>
        <v>0.11726885668528565</v>
      </c>
      <c r="J88" s="271">
        <f t="shared" si="7"/>
        <v>-1.3218713290820413E-2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2822.5102500000003</v>
      </c>
    </row>
    <row r="89" spans="1:13" ht="12.75">
      <c r="A89" s="5" t="s">
        <v>315</v>
      </c>
      <c r="B89" s="92"/>
      <c r="C89" s="160"/>
      <c r="D89" s="117">
        <v>0</v>
      </c>
      <c r="E89" s="160"/>
      <c r="F89" s="368">
        <f>+C89+C89/9*(12-Clients!$I$14)</f>
        <v>0</v>
      </c>
      <c r="G89" s="396">
        <f t="shared" si="5"/>
        <v>0</v>
      </c>
      <c r="H89" s="409"/>
      <c r="I89" s="149">
        <f t="shared" si="6"/>
        <v>0</v>
      </c>
      <c r="J89" s="271">
        <f t="shared" si="7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IF(ISNA(VLOOKUP("VAN618100000",Balance!C:G,5,FALSE))=TRUE,0,VLOOKUP("VAN618100000",Balance!C:G,5,FALSE))</f>
        <v>173.99</v>
      </c>
      <c r="D90" s="117">
        <v>285.65600719187501</v>
      </c>
      <c r="E90" s="160">
        <f>IF(ISNA(VLOOKUP("VAN618100000",Balanceanp!C:G,5,FALSE))=TRUE,0,VLOOKUP("VAN618100000",Balanceanp!C:G,5,FALSE))</f>
        <v>281.45999999999998</v>
      </c>
      <c r="F90" s="368">
        <f>+C90+C90/9*(12-Clients!$I$14)</f>
        <v>231.98666666666668</v>
      </c>
      <c r="G90" s="396">
        <f t="shared" si="5"/>
        <v>238.94626666666667</v>
      </c>
      <c r="H90" s="409"/>
      <c r="I90" s="149">
        <f t="shared" si="6"/>
        <v>-0.17577394064283844</v>
      </c>
      <c r="J90" s="271">
        <f t="shared" si="7"/>
        <v>2.9999999999999975E-2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238.94626666666667</v>
      </c>
    </row>
    <row r="91" spans="1:13" ht="12.75">
      <c r="A91" s="5" t="s">
        <v>113</v>
      </c>
      <c r="B91" s="92"/>
      <c r="C91" s="160">
        <f>IF(ISNA(VLOOKUP("VAN618500000",Balance!C:G,5,FALSE))=TRUE,0,VLOOKUP("VAN618500000",Balance!C:G,5,FALSE))</f>
        <v>1400.66</v>
      </c>
      <c r="D91" s="117">
        <v>1365.5019</v>
      </c>
      <c r="E91" s="160">
        <f>IF(ISNA(VLOOKUP("VAN618500000",Balanceanp!C:G,5,FALSE))=TRUE,0,VLOOKUP("VAN618500000",Balanceanp!C:G,5,FALSE))</f>
        <v>1100.73</v>
      </c>
      <c r="F91" s="368">
        <f>+C91+C91/9*(12-Clients!$I$14)</f>
        <v>1867.5466666666666</v>
      </c>
      <c r="G91" s="396">
        <f t="shared" si="5"/>
        <v>1923.5730666666666</v>
      </c>
      <c r="H91" s="409"/>
      <c r="I91" s="149">
        <f t="shared" si="6"/>
        <v>0.6966437424860471</v>
      </c>
      <c r="J91" s="271">
        <f t="shared" si="7"/>
        <v>2.9999999999999982E-2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1923.5730666666666</v>
      </c>
    </row>
    <row r="92" spans="1:13" ht="12.75">
      <c r="A92" s="5" t="s">
        <v>309</v>
      </c>
      <c r="B92" s="92"/>
      <c r="C92" s="160">
        <f>IF(ISNA(VLOOKUP("VAN622200000",Balance!C:G,5,FALSE))=TRUE,0,VLOOKUP("VAN622200000",Balance!C:G,5,FALSE))</f>
        <v>0</v>
      </c>
      <c r="D92" s="117">
        <v>0</v>
      </c>
      <c r="E92" s="160">
        <f>IF(ISNA(VLOOKUP("VAN622200000",Balanceanp!C:G,5,FALSE))=TRUE,0,VLOOKUP("VAN622200000",Balanceanp!C:G,5,FALSE))</f>
        <v>0</v>
      </c>
      <c r="F92" s="368">
        <f>+C92+C92/9*(12-Clients!$I$14)</f>
        <v>0</v>
      </c>
      <c r="G92" s="396">
        <f t="shared" si="5"/>
        <v>0</v>
      </c>
      <c r="H92" s="409"/>
      <c r="I92" s="149">
        <f t="shared" si="6"/>
        <v>0</v>
      </c>
      <c r="J92" s="271">
        <f t="shared" si="7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IF(ISNA(VLOOKUP("VAN622600000",Balance!C:G,5,FALSE))=TRUE,0,VLOOKUP("VAN622600000",Balance!C:G,5,FALSE))</f>
        <v>550</v>
      </c>
      <c r="D93" s="117">
        <v>597.60767750520836</v>
      </c>
      <c r="E93" s="160">
        <f>IF(ISNA(VLOOKUP("VAN622600000",Balanceanp!C:G,5,FALSE))=TRUE,0,VLOOKUP("VAN622600000",Balanceanp!C:G,5,FALSE))</f>
        <v>0</v>
      </c>
      <c r="F93" s="368">
        <f>+C93+C93/9*(12-Clients!$I$14)</f>
        <v>733.33333333333337</v>
      </c>
      <c r="G93" s="396">
        <f t="shared" si="5"/>
        <v>755.33333333333337</v>
      </c>
      <c r="H93" s="409"/>
      <c r="I93" s="149">
        <f t="shared" si="6"/>
        <v>0</v>
      </c>
      <c r="J93" s="271">
        <f t="shared" si="7"/>
        <v>0.03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755.33333333333337</v>
      </c>
    </row>
    <row r="94" spans="1:13" ht="12.75">
      <c r="A94" s="5" t="s">
        <v>42</v>
      </c>
      <c r="B94" s="92"/>
      <c r="C94" s="160">
        <f>IF(ISNA(VLOOKUP("van622710000",Balance!C:G,5,FALSE))=TRUE,0,VLOOKUP("van622710000",Balance!C:G,5,FALSE))</f>
        <v>0</v>
      </c>
      <c r="D94" s="117">
        <v>0</v>
      </c>
      <c r="E94" s="160">
        <f>IF(ISNA(VLOOKUP("van622710000",Balanceanp!C:G,5,FALSE))=TRUE,0,VLOOKUP("van622710000",Balanceanp!C:G,5,FALSE))</f>
        <v>0</v>
      </c>
      <c r="F94" s="368">
        <f>+C94+C94/9*(12-Clients!$I$14)</f>
        <v>0</v>
      </c>
      <c r="G94" s="396">
        <f t="shared" si="5"/>
        <v>0</v>
      </c>
      <c r="H94" s="409"/>
      <c r="I94" s="149">
        <f t="shared" si="6"/>
        <v>0</v>
      </c>
      <c r="J94" s="271">
        <f t="shared" si="7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2.7024882411603644E-2</v>
      </c>
      <c r="C95" s="160">
        <f>IF(ISNA(VLOOKUP("VAN624200000",Balance!C:G,5,FALSE))=TRUE,0,VLOOKUP("VAN624200000",Balance!C:G,5,FALSE))</f>
        <v>17137.73</v>
      </c>
      <c r="D95" s="117">
        <v>25187.562976625002</v>
      </c>
      <c r="E95" s="160">
        <f>IF(ISNA(VLOOKUP("VAN624200000",Balanceanp!C:G,5,FALSE))=TRUE,0,VLOOKUP("VAN624200000",Balanceanp!C:G,5,FALSE))</f>
        <v>23705.99</v>
      </c>
      <c r="F95" s="368">
        <f>+C95+C95/9*(12-Clients!$I$14)</f>
        <v>22850.306666666667</v>
      </c>
      <c r="G95" s="396">
        <f t="shared" si="5"/>
        <v>23535.815866666668</v>
      </c>
      <c r="H95" s="420">
        <f>+G95/$G$21</f>
        <v>2.6223750269266481E-2</v>
      </c>
      <c r="I95" s="149">
        <f t="shared" si="6"/>
        <v>-3.6095659085882269E-2</v>
      </c>
      <c r="J95" s="271">
        <f t="shared" si="7"/>
        <v>3.0000000000000016E-2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23535.815866666668</v>
      </c>
    </row>
    <row r="96" spans="1:13" ht="12.75">
      <c r="A96" s="5" t="s">
        <v>118</v>
      </c>
      <c r="B96" s="92"/>
      <c r="C96" s="160">
        <f>IF(ISNA(VLOOKUP("VAN625100000",Balance!C:G,5,FALSE))=TRUE,0,VLOOKUP("VAN625100000",Balance!C:G,5,FALSE))</f>
        <v>14776.93</v>
      </c>
      <c r="D96" s="117">
        <v>16484.531999999999</v>
      </c>
      <c r="E96" s="160">
        <f>IF(ISNA(VLOOKUP("VAN625100000",Balanceanp!C:G,5,FALSE))=TRUE,0,VLOOKUP("VAN625100000",Balanceanp!C:G,5,FALSE))</f>
        <v>15952.7</v>
      </c>
      <c r="F96" s="368">
        <f>+C96+C96/9*(12-Clients!$I$14)</f>
        <v>19702.573333333334</v>
      </c>
      <c r="G96" s="570">
        <v>18000</v>
      </c>
      <c r="H96" s="401"/>
      <c r="I96" s="149">
        <f t="shared" si="6"/>
        <v>0.23506198532745759</v>
      </c>
      <c r="J96" s="271">
        <f t="shared" si="7"/>
        <v>-8.6413754413129137E-2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18000</v>
      </c>
    </row>
    <row r="97" spans="1:13" ht="12.75">
      <c r="A97" s="5" t="s">
        <v>7</v>
      </c>
      <c r="B97" s="92"/>
      <c r="C97" s="160">
        <f>IF(ISNA(VLOOKUP("VAN625200000",Balance!C:G,5,FALSE))=TRUE,0,VLOOKUP("VAN625200000",Balance!C:G,5,FALSE))</f>
        <v>515.86</v>
      </c>
      <c r="D97" s="117">
        <v>507.34710000000001</v>
      </c>
      <c r="E97" s="160">
        <f>IF(ISNA(VLOOKUP("VAN625200000",Balanceanp!C:G,5,FALSE))=TRUE,0,VLOOKUP("VAN625200000",Balanceanp!C:G,5,FALSE))</f>
        <v>492.57</v>
      </c>
      <c r="F97" s="368">
        <f>+C97+C97/9*(12-Clients!$I$14)</f>
        <v>687.81333333333328</v>
      </c>
      <c r="G97" s="570">
        <v>500</v>
      </c>
      <c r="H97" s="401"/>
      <c r="I97" s="149">
        <f t="shared" si="6"/>
        <v>0.39637682630556731</v>
      </c>
      <c r="J97" s="271">
        <f t="shared" si="7"/>
        <v>-0.27305858178575576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500</v>
      </c>
    </row>
    <row r="98" spans="1:13" ht="12.75">
      <c r="A98" s="5" t="s">
        <v>307</v>
      </c>
      <c r="B98" s="92"/>
      <c r="C98" s="160">
        <f>IF(ISNA(VLOOKUP("van625510000",Balance!C:G,5,FALSE))=TRUE,0,VLOOKUP("van625510000",Balance!C:G,5,FALSE))</f>
        <v>0</v>
      </c>
      <c r="D98" s="117">
        <v>0</v>
      </c>
      <c r="E98" s="160">
        <f>IF(ISNA(VLOOKUP("van625510000",Balanceanp!C:G,5,FALSE))=TRUE,0,VLOOKUP("van625510000",Balanceanp!C:G,5,FALSE))</f>
        <v>0</v>
      </c>
      <c r="F98" s="368">
        <f>+C98+C98/9*(12-Clients!$I$14)</f>
        <v>0</v>
      </c>
      <c r="G98" s="396">
        <f t="shared" si="5"/>
        <v>0</v>
      </c>
      <c r="H98" s="409"/>
      <c r="I98" s="149">
        <f t="shared" si="6"/>
        <v>0</v>
      </c>
      <c r="J98" s="271">
        <f t="shared" si="7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IF(ISNA(VLOOKUP("VAN626000000",Balance!C:G,5,FALSE))=TRUE,0,VLOOKUP("VAN626000000",Balance!C:G,5,FALSE))</f>
        <v>2544.02</v>
      </c>
      <c r="D99" s="117">
        <v>3529.6665317207976</v>
      </c>
      <c r="E99" s="160">
        <f>IF(ISNA(VLOOKUP("VAN626000000",Balanceanp!C:G,5,FALSE))=TRUE,0,VLOOKUP("VAN626000000",Balanceanp!C:G,5,FALSE))</f>
        <v>3181.85</v>
      </c>
      <c r="F99" s="368">
        <f>+C99+C99/9*(12-Clients!$I$14)</f>
        <v>3392.0266666666666</v>
      </c>
      <c r="G99" s="396">
        <f>+F99</f>
        <v>3392.0266666666666</v>
      </c>
      <c r="H99" s="409"/>
      <c r="I99" s="149">
        <f t="shared" si="6"/>
        <v>6.6054863260891217E-2</v>
      </c>
      <c r="J99" s="271">
        <f t="shared" si="7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3392.0266666666666</v>
      </c>
    </row>
    <row r="100" spans="1:13" ht="12.75">
      <c r="A100" s="5" t="s">
        <v>120</v>
      </c>
      <c r="B100" s="92"/>
      <c r="C100" s="160">
        <f>IF(ISNA(VLOOKUP("VAN626100000",Balance!C:G,5,FALSE))=TRUE,0,VLOOKUP("VAN626100000",Balance!C:G,5,FALSE))</f>
        <v>553.09</v>
      </c>
      <c r="D100" s="117">
        <v>596.73376455924995</v>
      </c>
      <c r="E100" s="160">
        <f>IF(ISNA(VLOOKUP("VAN626100000",Balanceanp!C:G,5,FALSE))=TRUE,0,VLOOKUP("VAN626100000",Balanceanp!C:G,5,FALSE))</f>
        <v>566.24</v>
      </c>
      <c r="F100" s="368">
        <f>+C100+C100/9*(12-Clients!$I$14)</f>
        <v>737.45333333333338</v>
      </c>
      <c r="G100" s="396">
        <f t="shared" si="5"/>
        <v>759.57693333333339</v>
      </c>
      <c r="H100" s="409"/>
      <c r="I100" s="149">
        <f t="shared" si="6"/>
        <v>0.30236884242252998</v>
      </c>
      <c r="J100" s="271">
        <f t="shared" si="7"/>
        <v>3.0000000000000013E-2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759.57693333333339</v>
      </c>
    </row>
    <row r="101" spans="1:13" ht="12.75">
      <c r="A101" s="5" t="s">
        <v>121</v>
      </c>
      <c r="B101" s="92"/>
      <c r="C101" s="160">
        <f>IF(ISNA(VLOOKUP("VAN628400000",Balance!C:G,5,FALSE))=TRUE,0,VLOOKUP("VAN628400000",Balance!C:G,5,FALSE))</f>
        <v>0</v>
      </c>
      <c r="D101" s="117">
        <v>0</v>
      </c>
      <c r="E101" s="160">
        <f>IF(ISNA(VLOOKUP("VAN628400000",Balanceanp!C:G,5,FALSE))=TRUE,0,VLOOKUP("VAN628400000",Balanceanp!C:G,5,FALSE))</f>
        <v>0</v>
      </c>
      <c r="F101" s="368">
        <f>+C101+C101/9*(12-Clients!$I$14)</f>
        <v>0</v>
      </c>
      <c r="G101" s="396">
        <f t="shared" si="5"/>
        <v>0</v>
      </c>
      <c r="H101" s="409"/>
      <c r="I101" s="149">
        <f t="shared" si="6"/>
        <v>0</v>
      </c>
      <c r="J101" s="271">
        <f t="shared" si="7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0.11226681702943862</v>
      </c>
      <c r="C103" s="163">
        <f>SUM(C70:C102)</f>
        <v>71193.59</v>
      </c>
      <c r="D103" s="118">
        <f>SUM(D70:D102)</f>
        <v>94516.874435958991</v>
      </c>
      <c r="E103" s="163">
        <f>SUM(E70:E102)</f>
        <v>93004.190000000017</v>
      </c>
      <c r="F103" s="136">
        <f>SUM(F70:F102)</f>
        <v>94816.813333333354</v>
      </c>
      <c r="G103" s="136">
        <f>SUM(G70:G102)</f>
        <v>94482.103226413019</v>
      </c>
      <c r="H103" s="421">
        <f>+G103/$G$21</f>
        <v>0.10527253841383066</v>
      </c>
      <c r="I103" s="272">
        <f>+IF((E103)=0,,(F103-E103)/E103)</f>
        <v>1.9489695392576788E-2</v>
      </c>
      <c r="J103" s="188">
        <f>+IF((F103)=0,,(G103-F103)/F103)</f>
        <v>-3.5300712516423013E-3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IF(ISNA(VLOOKUP("VAN623100000",Balance!C:G,5,FALSE))=TRUE,0,VLOOKUP("VAN623100000",Balance!C:G,5,FALSE))</f>
        <v>0</v>
      </c>
      <c r="D105" s="117">
        <v>1000</v>
      </c>
      <c r="E105" s="160">
        <f>IF(ISNA(VLOOKUP("VAN623100000",Balanceanp!C:G,5,FALSE))=TRUE,0,VLOOKUP("VAN623100000",Balanceanp!C:G,5,FALSE))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>+IF((E105)=0,,(F105-E105)/E105)</f>
        <v>-1</v>
      </c>
      <c r="J105" s="271">
        <f>+IF((F105)=0,,(G105-F105)/F105)</f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IF(ISNA(VLOOKUP("VAN623200000",Balance!C:G,5,FALSE))=TRUE,0,VLOOKUP("VAN623200000",Balance!C:G,5,FALSE))</f>
        <v>4921.7</v>
      </c>
      <c r="D106" s="117">
        <v>4000</v>
      </c>
      <c r="E106" s="160">
        <f>IF(ISNA(VLOOKUP("VAN623200000",Balanceanp!C:G,5,FALSE))=TRUE,0,VLOOKUP("VAN623200000",Balanceanp!C:G,5,FALSE))</f>
        <v>7815.32</v>
      </c>
      <c r="F106" s="368">
        <f>+C106+C106/9*(12-Clients!$I$14)</f>
        <v>6562.2666666666664</v>
      </c>
      <c r="G106" s="570">
        <v>5500</v>
      </c>
      <c r="H106" s="401"/>
      <c r="I106" s="149">
        <f t="shared" ref="I106:I114" si="8">+IF((E106)=0,,(F106-E106)/E106)</f>
        <v>-0.16033295288399366</v>
      </c>
      <c r="J106" s="271">
        <f t="shared" ref="J106:J114" si="9">+IF((F106)=0,,(G106-F106)/F106)</f>
        <v>-0.16187496190340733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5500</v>
      </c>
    </row>
    <row r="107" spans="1:13" ht="12.75">
      <c r="A107" s="5" t="s">
        <v>131</v>
      </c>
      <c r="B107" s="92"/>
      <c r="C107" s="160">
        <f>IF(ISNA(VLOOKUP("VAN629000000",Balance!C:G,5,FALSE))=TRUE,0,VLOOKUP("VAN629000000",Balance!C:G,5,FALSE))</f>
        <v>0</v>
      </c>
      <c r="D107" s="117">
        <v>0</v>
      </c>
      <c r="E107" s="160">
        <f>IF(ISNA(VLOOKUP("VAN629000000",Balanceanp!C:G,5,FALSE))=TRUE,0,VLOOKUP("VAN629000000",Balanceanp!C:G,5,FALSE))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8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IF(ISNA(VLOOKUP("VAN623300000",Balance!C:G,5,FALSE))=TRUE,0,VLOOKUP("VAN623300000",Balance!C:G,5,FALSE))</f>
        <v>1073.5</v>
      </c>
      <c r="D108" s="117">
        <v>500</v>
      </c>
      <c r="E108" s="160">
        <f>IF(ISNA(VLOOKUP("VAN623300000",Balanceanp!C:G,5,FALSE))=TRUE,0,VLOOKUP("VAN623300000",Balanceanp!C:G,5,FALSE))</f>
        <v>0</v>
      </c>
      <c r="F108" s="368">
        <f>+C108+C108/9*(12-Clients!$I$14)</f>
        <v>1431.3333333333333</v>
      </c>
      <c r="G108" s="570">
        <v>500</v>
      </c>
      <c r="H108" s="401"/>
      <c r="I108" s="149">
        <f t="shared" si="8"/>
        <v>0</v>
      </c>
      <c r="J108" s="271">
        <f t="shared" si="9"/>
        <v>-0.65067536096879364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500</v>
      </c>
    </row>
    <row r="109" spans="1:13" ht="12.75">
      <c r="A109" s="5" t="s">
        <v>133</v>
      </c>
      <c r="B109" s="92"/>
      <c r="C109" s="160">
        <f>IF(ISNA(VLOOKUP("VAN623700000",Balance!C:G,5,FALSE))=TRUE,0,VLOOKUP("VAN623700000",Balance!C:G,5,FALSE))</f>
        <v>3129.48</v>
      </c>
      <c r="D109" s="117">
        <v>4638.7698</v>
      </c>
      <c r="E109" s="160">
        <f>IF(ISNA(VLOOKUP("VAN623700000",Balanceanp!C:G,5,FALSE))=TRUE,0,VLOOKUP("VAN623700000",Balanceanp!C:G,5,FALSE))</f>
        <v>1404.19</v>
      </c>
      <c r="F109" s="368">
        <f>+C109+C109/9*(12-Clients!$I$14)</f>
        <v>4172.6400000000003</v>
      </c>
      <c r="G109" s="570">
        <v>4300</v>
      </c>
      <c r="H109" s="401"/>
      <c r="I109" s="149">
        <f t="shared" si="8"/>
        <v>1.9715636772801404</v>
      </c>
      <c r="J109" s="271">
        <f t="shared" si="9"/>
        <v>3.052264273936876E-2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4300</v>
      </c>
    </row>
    <row r="110" spans="1:13" ht="12.75">
      <c r="A110" s="5" t="s">
        <v>134</v>
      </c>
      <c r="B110" s="92"/>
      <c r="C110" s="160">
        <f>IF(ISNA(VLOOKUP("VAN623410000",Balance!C:G,5,FALSE))=TRUE,0,VLOOKUP("VAN623410000",Balance!C:G,5,FALSE))+IF(ISNA(VLOOKUP("VAN623420000",Balance!C:G,5,FALSE))=TRUE,0,VLOOKUP("VAN623420000",Balance!C:G,5,FALSE))</f>
        <v>11389.75</v>
      </c>
      <c r="D110" s="117">
        <v>15445.313500000002</v>
      </c>
      <c r="E110" s="160">
        <f>IF(ISNA(VLOOKUP("VAN623410000",Balanceanp!C:G,5,FALSE))=TRUE,0,VLOOKUP("VAN623410000",Balanceanp!C:G,5,FALSE))+IF(ISNA(VLOOKUP("VAN623420000",Balanceanp!C:G,5,FALSE))=TRUE,0,VLOOKUP("VAN623420000",Balanceanp!C:G,5,FALSE))</f>
        <v>15573.36</v>
      </c>
      <c r="F110" s="368">
        <f>+C110+C110/9*(12-Clients!$I$14)</f>
        <v>15186.333333333334</v>
      </c>
      <c r="G110" s="570">
        <v>15000</v>
      </c>
      <c r="H110" s="401"/>
      <c r="I110" s="149">
        <f t="shared" si="8"/>
        <v>-2.485184100712156E-2</v>
      </c>
      <c r="J110" s="271">
        <f t="shared" si="9"/>
        <v>-1.2269803990430031E-2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15000</v>
      </c>
    </row>
    <row r="111" spans="1:13" ht="12.75">
      <c r="A111" s="5" t="s">
        <v>135</v>
      </c>
      <c r="B111" s="92"/>
      <c r="C111" s="160">
        <f>IF(ISNA(VLOOKUP("VAN623800000",Balance!C:G,5,FALSE))=TRUE,0,VLOOKUP("VAN623800000",Balance!C:G,5,FALSE))+IF(ISNA(VLOOKUP("VAN623820000",Balance!C:G,5,FALSE))=TRUE,0,VLOOKUP("VAN623820000",Balance!C:G,5,FALSE))</f>
        <v>0</v>
      </c>
      <c r="D111" s="117">
        <v>50</v>
      </c>
      <c r="E111" s="160">
        <f>IF(ISNA(VLOOKUP("VAN623800000",Balanceanp!C:G,5,FALSE))=TRUE,0,VLOOKUP("VAN623800000",Balanceanp!C:G,5,FALSE))</f>
        <v>30</v>
      </c>
      <c r="F111" s="368">
        <f>+C111+C111/9*(12-Clients!$I$14)</f>
        <v>0</v>
      </c>
      <c r="G111" s="570">
        <v>50</v>
      </c>
      <c r="H111" s="401"/>
      <c r="I111" s="149">
        <f t="shared" si="8"/>
        <v>-1</v>
      </c>
      <c r="J111" s="271">
        <f t="shared" si="9"/>
        <v>0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50</v>
      </c>
    </row>
    <row r="112" spans="1:13" ht="12.75">
      <c r="A112" s="5" t="s">
        <v>136</v>
      </c>
      <c r="B112" s="92"/>
      <c r="C112" s="160">
        <f>IF(ISNA(VLOOKUP("VAN625600000",Balance!C:G,5,FALSE))=TRUE,0,VLOOKUP("VAN625600000",Balance!C:G,5,FALSE))</f>
        <v>1722.75</v>
      </c>
      <c r="D112" s="117">
        <v>2297.1369</v>
      </c>
      <c r="E112" s="160">
        <f>IF(ISNA(VLOOKUP("VAN625600000",Balanceanp!C:G,5,FALSE))=TRUE,0,VLOOKUP("VAN625600000",Balanceanp!C:G,5,FALSE))</f>
        <v>3295.23</v>
      </c>
      <c r="F112" s="368">
        <f>+C112+C112/9*(12-Clients!$I$14)</f>
        <v>2297</v>
      </c>
      <c r="G112" s="570">
        <v>1500</v>
      </c>
      <c r="H112" s="401"/>
      <c r="I112" s="149">
        <f t="shared" si="8"/>
        <v>-0.30293181356081367</v>
      </c>
      <c r="J112" s="271">
        <f t="shared" si="9"/>
        <v>-0.34697431432303005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1500</v>
      </c>
    </row>
    <row r="113" spans="1:13" ht="12.75">
      <c r="A113" s="5" t="s">
        <v>137</v>
      </c>
      <c r="B113" s="92"/>
      <c r="C113" s="160">
        <f>IF(ISNA(VLOOKUP("VAN625700000",Balance!C:G,5,FALSE))=TRUE,0,VLOOKUP("VAN625700000",Balance!C:G,5,FALSE))+IF(ISNA(VLOOKUP("VAN625710000",Balance!C:G,5,FALSE))=TRUE,0,VLOOKUP("VAN625710000",Balance!C:G,5,FALSE))</f>
        <v>7066.97</v>
      </c>
      <c r="D113" s="117">
        <v>12000</v>
      </c>
      <c r="E113" s="160">
        <f>IF(ISNA(VLOOKUP("VAN625700000",Balanceanp!C:G,5,FALSE))=TRUE,0,VLOOKUP("VAN625700000",Balanceanp!C:G,5,FALSE))+IF(ISNA(VLOOKUP("VAN625710000",Balanceanp!C:G,5,FALSE))=TRUE,0,VLOOKUP("VAN625710000",Balanceanp!C:G,5,FALSE))</f>
        <v>12741.420000000002</v>
      </c>
      <c r="F113" s="368">
        <v>10220.049999999999</v>
      </c>
      <c r="G113" s="570">
        <v>10000</v>
      </c>
      <c r="H113" s="401"/>
      <c r="I113" s="149">
        <f t="shared" si="8"/>
        <v>-0.19788767656980166</v>
      </c>
      <c r="J113" s="271">
        <f t="shared" si="9"/>
        <v>-2.1531205816018441E-2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10000</v>
      </c>
    </row>
    <row r="114" spans="1:13" ht="12.75">
      <c r="A114" s="5" t="s">
        <v>138</v>
      </c>
      <c r="B114" s="92"/>
      <c r="C114" s="160">
        <f>IF(ISNA(VLOOKUP("VAN623810000",Balance!C:G,5,FALSE))=TRUE,0,VLOOKUP("VAN623810000",Balance!C:G,5,FALSE))</f>
        <v>0</v>
      </c>
      <c r="D114" s="117">
        <v>0</v>
      </c>
      <c r="E114" s="160">
        <f>IF(ISNA(VLOOKUP("VAN623810000",Balanceanp!C:G,5,FALSE))=TRUE,0,VLOOKUP("VAN623810000",Balanceanp!C:G,5,FALSE))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8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4.6210391219957077E-2</v>
      </c>
      <c r="C116" s="163">
        <f>SUM(C104:C115)</f>
        <v>29304.15</v>
      </c>
      <c r="D116" s="118">
        <f>SUM(D104:D115)</f>
        <v>39931.220200000003</v>
      </c>
      <c r="E116" s="163">
        <f>SUM(E104:E115)</f>
        <v>41633.82</v>
      </c>
      <c r="F116" s="136">
        <f>SUM(F104:F115)</f>
        <v>39869.623333333337</v>
      </c>
      <c r="G116" s="136">
        <f>SUM(G104:G115)</f>
        <v>37850</v>
      </c>
      <c r="H116" s="421">
        <f>+G116/$G$21</f>
        <v>4.2172701949860725E-2</v>
      </c>
      <c r="I116" s="272">
        <f>+IF((E116)=0,,(F116-E116)/E116)</f>
        <v>-4.2374124369723057E-2</v>
      </c>
      <c r="J116" s="188">
        <f>+IF((F116)=0,,(G116-F116)/F116)</f>
        <v>-5.0655691337941823E-2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IF(ISNA(VLOOKUP("VAN633300000",Balance!C:G,5,FALSE))=TRUE,0,VLOOKUP("VAN633300000",Balance!C:G,5,FALSE))</f>
        <v>1641.72</v>
      </c>
      <c r="D118" s="117">
        <v>776.99999999999989</v>
      </c>
      <c r="E118" s="160">
        <f>IF(ISNA(VLOOKUP("VAN633300000",Balanceanp!C:G,5,FALSE))=TRUE,0,VLOOKUP("VAN633300000",Balanceanp!C:G,5,FALSE))</f>
        <v>990</v>
      </c>
      <c r="F118" s="368">
        <f>+C118+C118/9*(12-Clients!$I$14)</f>
        <v>2188.96</v>
      </c>
      <c r="G118" s="396">
        <f>G131*(0.2+0.5)%</f>
        <v>776.99999999999989</v>
      </c>
      <c r="H118" s="409"/>
      <c r="I118" s="149">
        <f>+IF((E118)=0,,(F118-E118)/E118)</f>
        <v>1.2110707070707072</v>
      </c>
      <c r="J118" s="271">
        <f>+IF((F118)=0,,(G118-F118)/F118)</f>
        <v>-0.64503691250639572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776.99999999999989</v>
      </c>
    </row>
    <row r="119" spans="1:13" ht="12.75">
      <c r="A119" s="5" t="s">
        <v>140</v>
      </c>
      <c r="B119" s="92"/>
      <c r="C119" s="160">
        <f>IF(ISNA(VLOOKUP("VAN633400000",Balance!C:G,5,FALSE))=TRUE,0,VLOOKUP("VAN633400000",Balance!C:G,5,FALSE))</f>
        <v>0</v>
      </c>
      <c r="D119" s="117">
        <v>499.50000000000006</v>
      </c>
      <c r="E119" s="160">
        <f>IF(ISNA(VLOOKUP("VAN633400000",Balanceanp!C:G,5,FALSE))=TRUE,0,VLOOKUP("VAN633400000",Balanceanp!C:G,5,FALSE))</f>
        <v>546</v>
      </c>
      <c r="F119" s="368">
        <f>+C119+C119/9*(12-Clients!$I$14)</f>
        <v>0</v>
      </c>
      <c r="G119" s="396">
        <f>+G131*0.45%</f>
        <v>499.50000000000006</v>
      </c>
      <c r="H119" s="409"/>
      <c r="I119" s="149">
        <f t="shared" ref="I119:I127" si="10">+IF((E119)=0,,(F119-E119)/E119)</f>
        <v>-1</v>
      </c>
      <c r="J119" s="271">
        <f t="shared" ref="J119:J127" si="11">+IF((F119)=0,,(G119-F119)/F119)</f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499.50000000000006</v>
      </c>
    </row>
    <row r="120" spans="1:13" ht="12.75">
      <c r="A120" s="5" t="s">
        <v>141</v>
      </c>
      <c r="B120" s="92"/>
      <c r="C120" s="160">
        <f>IF(ISNA(VLOOKUP("VAN633500000",Balance!C:G,5,FALSE))=TRUE,0,VLOOKUP("VAN633500000",Balance!C:G,5,FALSE))</f>
        <v>0</v>
      </c>
      <c r="D120" s="117">
        <v>865.80000000000007</v>
      </c>
      <c r="E120" s="160">
        <f>IF(ISNA(VLOOKUP("VAN633500000",Balanceanp!C:G,5,FALSE))=TRUE,0,VLOOKUP("VAN633500000",Balanceanp!C:G,5,FALSE))</f>
        <v>824</v>
      </c>
      <c r="F120" s="368">
        <f>+C120+C120/9*(12-Clients!$I$14)</f>
        <v>0</v>
      </c>
      <c r="G120" s="396">
        <f>+G131*(0.6+0.18)%</f>
        <v>865.80000000000007</v>
      </c>
      <c r="H120" s="409"/>
      <c r="I120" s="149">
        <f t="shared" si="10"/>
        <v>-1</v>
      </c>
      <c r="J120" s="271">
        <f t="shared" si="11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865.8</v>
      </c>
    </row>
    <row r="121" spans="1:13" ht="12.75">
      <c r="A121" s="5" t="s">
        <v>706</v>
      </c>
      <c r="B121" s="92"/>
      <c r="C121" s="160">
        <f>IF(ISNA(VLOOKUP("VAN635110000",Balance!C:G,5,FALSE))=TRUE,0,VLOOKUP("VAN635110000",Balance!C:G,5,FALSE))</f>
        <v>3685.32</v>
      </c>
      <c r="D121" s="117">
        <v>4913.7375000000002</v>
      </c>
      <c r="E121" s="160">
        <f>IF(ISNA(VLOOKUP("VAN635110000",Balanceanp!C:G,5,FALSE))=TRUE,0,VLOOKUP("VAN635110000",Balanceanp!C:G,5,FALSE))</f>
        <v>4848</v>
      </c>
      <c r="F121" s="570">
        <v>2323</v>
      </c>
      <c r="G121" s="570">
        <f>+F121*1.05</f>
        <v>2439.15</v>
      </c>
      <c r="H121" s="413"/>
      <c r="I121" s="149">
        <f t="shared" si="10"/>
        <v>-0.52083333333333337</v>
      </c>
      <c r="J121" s="271">
        <f t="shared" si="11"/>
        <v>5.0000000000000037E-2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2439.15</v>
      </c>
    </row>
    <row r="122" spans="1:13" ht="12.75">
      <c r="A122" s="5" t="s">
        <v>143</v>
      </c>
      <c r="B122" s="92"/>
      <c r="C122" s="160">
        <f>IF(ISNA(VLOOKUP("VAN635120000",Balance!C:G,5,FALSE))=TRUE,0,VLOOKUP("VAN635120000",Balance!C:G,5,FALSE))</f>
        <v>3025.62</v>
      </c>
      <c r="D122" s="117">
        <v>4034.1000000000004</v>
      </c>
      <c r="E122" s="160">
        <f>IF(ISNA(VLOOKUP("VAN635120000",Balanceanp!C:G,5,FALSE))=TRUE,0,VLOOKUP("VAN635120000",Balanceanp!C:G,5,FALSE))</f>
        <v>3842</v>
      </c>
      <c r="F122" s="425">
        <v>3926</v>
      </c>
      <c r="G122" s="425">
        <f>+F122*1.05</f>
        <v>4122.3</v>
      </c>
      <c r="H122" s="413"/>
      <c r="I122" s="149">
        <f t="shared" si="10"/>
        <v>2.1863612701717855E-2</v>
      </c>
      <c r="J122" s="271">
        <f t="shared" si="11"/>
        <v>5.0000000000000044E-2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4122.3</v>
      </c>
    </row>
    <row r="123" spans="1:13" ht="12.75">
      <c r="A123" s="5" t="s">
        <v>540</v>
      </c>
      <c r="B123" s="92"/>
      <c r="C123" s="160">
        <f>IF(ISNA(VLOOKUP("VAN635130000",Balance!C:G,5,FALSE))=TRUE,0,VLOOKUP("VAN635130000",Balance!C:G,5,FALSE))</f>
        <v>0</v>
      </c>
      <c r="D123" s="117">
        <v>50</v>
      </c>
      <c r="E123" s="160">
        <f>IF(ISNA(VLOOKUP("VAN635130000",Balanceanp!C:G,5,FALSE))=TRUE,0,VLOOKUP("VAN635130000",Balanceanp!C:G,5,FALSE))</f>
        <v>0</v>
      </c>
      <c r="F123" s="368"/>
      <c r="G123" s="397">
        <v>50</v>
      </c>
      <c r="H123" s="413"/>
      <c r="I123" s="149">
        <f t="shared" si="10"/>
        <v>0</v>
      </c>
      <c r="J123" s="271">
        <f t="shared" si="11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50</v>
      </c>
    </row>
    <row r="124" spans="1:13" ht="12.75">
      <c r="A124" s="5" t="s">
        <v>145</v>
      </c>
      <c r="B124" s="92"/>
      <c r="C124" s="160">
        <f>IF(ISNA(VLOOKUP("VAN635140000",Balance!C:G,5,FALSE))=TRUE,0,VLOOKUP("VAN635140000",Balance!C:G,5,FALSE))</f>
        <v>0</v>
      </c>
      <c r="D124" s="117">
        <v>0</v>
      </c>
      <c r="E124" s="160">
        <f>IF(ISNA(VLOOKUP("VAN635140000",Balanceanp!C:G,5,FALSE))=TRUE,0,VLOOKUP("VAN635140000",Balanceanp!C:G,5,FALSE))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0"/>
        <v>0</v>
      </c>
      <c r="J124" s="271">
        <f t="shared" si="11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IF(ISNA(VLOOKUP("VAN635300000",Balance!C:G,5,FALSE))=TRUE,0,VLOOKUP("VAN635300000",Balance!C:G,5,FALSE))</f>
        <v>0</v>
      </c>
      <c r="D125" s="117">
        <v>0</v>
      </c>
      <c r="E125" s="160">
        <f>IF(ISNA(VLOOKUP("VAN635300000",Balanceanp!C:G,5,FALSE))=TRUE,0,VLOOKUP("VAN635300000",Balanceanp!C:G,5,FALSE))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1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IF(ISNA(VLOOKUP("van635400000",Balance!C:G,5,FALSE))=TRUE,0,VLOOKUP("van635400000",Balance!C:G,5,FALSE))</f>
        <v>0</v>
      </c>
      <c r="D126" s="117">
        <v>0</v>
      </c>
      <c r="E126" s="160">
        <f>IF(ISNA(VLOOKUP("van635400000",Balanceanp!C:G,5,FALSE))=TRUE,0,VLOOKUP("van635400000",Balanceanp!C:G,5,FALSE))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1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IF(ISNA(VLOOKUP("VAN637100000",Balance!C:G,5,FALSE))=TRUE,0,VLOOKUP("VAN637100000",Balance!C:G,5,FALSE))</f>
        <v>1083.5999999999999</v>
      </c>
      <c r="D127" s="117">
        <v>1472.1120000000001</v>
      </c>
      <c r="E127" s="160">
        <f>IF(ISNA(VLOOKUP("VAN637100000",Balanceanp!C:G,5,FALSE))=TRUE,0,VLOOKUP("VAN637100000",Balanceanp!C:G,5,FALSE))</f>
        <v>1385.24</v>
      </c>
      <c r="F127" s="368">
        <f>+C127+C127/9*(12-Clients!$I$14)</f>
        <v>1444.8</v>
      </c>
      <c r="G127" s="396">
        <f>+G51*0.16%</f>
        <v>1417.32816</v>
      </c>
      <c r="H127" s="409"/>
      <c r="I127" s="149">
        <f t="shared" si="10"/>
        <v>4.2996159510265329E-2</v>
      </c>
      <c r="J127" s="271">
        <f t="shared" si="11"/>
        <v>-1.9014285714285664E-2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1417.32816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1.4880256422835405E-2</v>
      </c>
      <c r="C129" s="163">
        <f>SUM(C117:C128)</f>
        <v>9436.26</v>
      </c>
      <c r="D129" s="118">
        <f>SUM(D117:D128)</f>
        <v>12612.249500000002</v>
      </c>
      <c r="E129" s="163">
        <f>SUM(E117:E128)</f>
        <v>12435.24</v>
      </c>
      <c r="F129" s="136">
        <f>SUM(F117:F128)</f>
        <v>9882.7599999999984</v>
      </c>
      <c r="G129" s="136">
        <f>SUM(G117:G128)</f>
        <v>10171.078160000001</v>
      </c>
      <c r="H129" s="421">
        <f>+G129/$G$21</f>
        <v>1.1332677615598887E-2</v>
      </c>
      <c r="I129" s="272">
        <f>+IF((E129)=0,,(F129-E129)/E129)</f>
        <v>-0.20526182043933219</v>
      </c>
      <c r="J129" s="188">
        <f>+IF((F129)=0,,(G129-F129)/F129)</f>
        <v>2.9173850219979296E-2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10171.078160000001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IF(ISNA(VLOOKUP("VAN641100000",Balance!C:G,5,FALSE))=TRUE,0,VLOOKUP("VAN641100000",Balance!C:G,5,FALSE))</f>
        <v>80755.25</v>
      </c>
      <c r="D131" s="117">
        <v>111000</v>
      </c>
      <c r="E131" s="160">
        <f>IF(ISNA(VLOOKUP("VAN641100000",Balanceanp!C:G,5,FALSE))=TRUE,0,VLOOKUP("VAN641100000",Balanceanp!C:G,5,FALSE))</f>
        <v>109742.6</v>
      </c>
      <c r="F131" s="368">
        <f>+C131+C131/9*(12-Clients!$I$14)</f>
        <v>107673.66666666666</v>
      </c>
      <c r="G131" s="570">
        <v>111000</v>
      </c>
      <c r="H131" s="401"/>
      <c r="I131" s="149">
        <f>+IF((E131)=0,,(F131-E131)/E131)</f>
        <v>-1.8852599932326634E-2</v>
      </c>
      <c r="J131" s="271">
        <f>+IF((F131)=0,,(G131-F131)/F131)</f>
        <v>3.0892728336547871E-2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111000</v>
      </c>
    </row>
    <row r="132" spans="1:13" ht="12.75">
      <c r="A132" s="5" t="s">
        <v>149</v>
      </c>
      <c r="B132" s="92"/>
      <c r="C132" s="160">
        <f>IF(ISNA(VLOOKUP("VAN641110000",Balance!C:G,5,FALSE))=TRUE,0,VLOOKUP("VAN641110000",Balance!C:G,5,FALSE))</f>
        <v>-1500</v>
      </c>
      <c r="D132" s="117">
        <v>0</v>
      </c>
      <c r="E132" s="160">
        <f>IF(ISNA(VLOOKUP("VAN641110000",Balanceanp!C:G,5,FALSE))=TRUE,0,VLOOKUP("VAN641110000",Balanceanp!C:G,5,FALSE))</f>
        <v>1440</v>
      </c>
      <c r="F132" s="368">
        <f>+C132+C132/9*(12-Clients!$I$14)</f>
        <v>-2000</v>
      </c>
      <c r="G132" s="570">
        <v>0</v>
      </c>
      <c r="H132" s="401"/>
      <c r="I132" s="149">
        <f t="shared" ref="I132:I152" si="12">+IF((E132)=0,,(F132-E132)/E132)</f>
        <v>-2.3888888888888888</v>
      </c>
      <c r="J132" s="271">
        <f t="shared" ref="J132:J152" si="13">+IF((F132)=0,,(G132-F132)/F132)</f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IF(ISNA(VLOOKUP("VAN641111000",Balance!C:G,5,FALSE))=TRUE,0,VLOOKUP("VAN641111000",Balance!C:G,5,FALSE))</f>
        <v>0</v>
      </c>
      <c r="D133" s="117">
        <v>0</v>
      </c>
      <c r="E133" s="160">
        <f>IF(ISNA(VLOOKUP("VAN641111000",Balanceanp!C:G,5,FALSE))=TRUE,0,VLOOKUP("VAN641111000",Balanceanp!C:G,5,FALSE))</f>
        <v>0</v>
      </c>
      <c r="F133" s="368">
        <f>+C133+C133/9*(12-Clients!$I$14)</f>
        <v>0</v>
      </c>
      <c r="G133" s="570">
        <v>0</v>
      </c>
      <c r="H133" s="401"/>
      <c r="I133" s="149">
        <f t="shared" si="12"/>
        <v>0</v>
      </c>
      <c r="J133" s="271">
        <f t="shared" si="13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IF(ISNA(VLOOKUP("VAN641200000",Balance!C:G,5,FALSE))=TRUE,0,VLOOKUP("VAN641200000",Balance!C:G,5,FALSE))</f>
        <v>0</v>
      </c>
      <c r="D134" s="117">
        <v>0</v>
      </c>
      <c r="E134" s="160">
        <f>IF(ISNA(VLOOKUP("VAN641200000",Balanceanp!C:G,5,FALSE))=TRUE,0,VLOOKUP("VAN641200000",Balanceanp!C:G,5,FALSE))</f>
        <v>-3031.7000000000007</v>
      </c>
      <c r="F134" s="368">
        <f>+C134+C134/9*(12-Clients!$I$14)</f>
        <v>0</v>
      </c>
      <c r="G134" s="570">
        <f t="shared" ref="G134:G140" si="14">+F134*1.03</f>
        <v>0</v>
      </c>
      <c r="H134" s="401"/>
      <c r="I134" s="149">
        <f t="shared" si="12"/>
        <v>-1</v>
      </c>
      <c r="J134" s="271">
        <f t="shared" si="13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IF(ISNA(VLOOKUP("VAN621100000",Balance!C:G,5,FALSE))=TRUE,0,VLOOKUP("VAN621100000",Balance!C:G,5,FALSE))</f>
        <v>0</v>
      </c>
      <c r="D135" s="117">
        <v>0</v>
      </c>
      <c r="E135" s="160">
        <f>IF(ISNA(VLOOKUP("VAN621100000",Balanceanp!C:G,5,FALSE))=TRUE,0,VLOOKUP("VAN621100000",Balanceanp!C:G,5,FALSE))</f>
        <v>0</v>
      </c>
      <c r="F135" s="368">
        <f>+C135+C135/9*(12-Clients!$I$14)</f>
        <v>0</v>
      </c>
      <c r="G135" s="570">
        <f t="shared" si="14"/>
        <v>0</v>
      </c>
      <c r="H135" s="401"/>
      <c r="I135" s="149">
        <f t="shared" si="12"/>
        <v>0</v>
      </c>
      <c r="J135" s="271">
        <f t="shared" si="13"/>
        <v>0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IF(ISNA(VLOOKUP("VAN621200000",Balance!C:G,5,FALSE))=TRUE,0,VLOOKUP("VAN621200000",Balance!C:G,5,FALSE))</f>
        <v>0</v>
      </c>
      <c r="D136" s="117">
        <v>0</v>
      </c>
      <c r="E136" s="160">
        <f>IF(ISNA(VLOOKUP("VAN621200000",Balanceanp!C:G,5,FALSE))=TRUE,0,VLOOKUP("VAN621200000",Balanceanp!C:G,5,FALSE))</f>
        <v>0</v>
      </c>
      <c r="F136" s="368">
        <f>+C136+C136/9*(12-Clients!$I$14)</f>
        <v>0</v>
      </c>
      <c r="G136" s="570">
        <f t="shared" si="14"/>
        <v>0</v>
      </c>
      <c r="H136" s="401"/>
      <c r="I136" s="149">
        <f t="shared" si="12"/>
        <v>0</v>
      </c>
      <c r="J136" s="271">
        <f t="shared" si="13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IF(ISNA(VLOOKUP("VAN706100000",Balance!C:G,5,FALSE))=TRUE,0,-VLOOKUP("VAN706100000",Balance!C:G,5,FALSE))</f>
        <v>0</v>
      </c>
      <c r="D137" s="117">
        <v>0</v>
      </c>
      <c r="E137" s="160">
        <f>IF(ISNA(VLOOKUP("VAN706100000",Balanceanp!C:G,5,FALSE))=TRUE,0,-VLOOKUP("VAN706100000",Balanceanp!C:G,5,FALSE))</f>
        <v>0</v>
      </c>
      <c r="F137" s="368">
        <f>+C137+C137/9*(12-Clients!$I$14)</f>
        <v>0</v>
      </c>
      <c r="G137" s="570">
        <f t="shared" si="14"/>
        <v>0</v>
      </c>
      <c r="H137" s="401"/>
      <c r="I137" s="149">
        <f t="shared" si="12"/>
        <v>0</v>
      </c>
      <c r="J137" s="271">
        <f t="shared" si="13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IF(ISNA(VLOOKUP("VAN641210000",Balance!C:G,5,FALSE))=TRUE,0,VLOOKUP("VAN641210000",Balance!C:G,5,FALSE))</f>
        <v>0</v>
      </c>
      <c r="D138" s="117">
        <v>0</v>
      </c>
      <c r="E138" s="160">
        <f>IF(ISNA(VLOOKUP("VAN641210000",Balanceanp!C:G,5,FALSE))=TRUE,0,VLOOKUP("VAN641210000",Balanceanp!C:G,5,FALSE))</f>
        <v>-1131.75</v>
      </c>
      <c r="F138" s="368">
        <f>+C138+C138/9*(12-Clients!$I$14)</f>
        <v>0</v>
      </c>
      <c r="G138" s="570">
        <f t="shared" si="14"/>
        <v>0</v>
      </c>
      <c r="H138" s="401"/>
      <c r="I138" s="149">
        <f t="shared" si="12"/>
        <v>-1</v>
      </c>
      <c r="J138" s="271">
        <f t="shared" si="13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IF(ISNA(VLOOKUP("VAN641400000",Balance!C:G,5,FALSE))=TRUE,0,VLOOKUP("VAN641400000",Balance!C:G,5,FALSE))</f>
        <v>0</v>
      </c>
      <c r="D139" s="117">
        <v>0</v>
      </c>
      <c r="E139" s="160">
        <f>IF(ISNA(VLOOKUP("VAN641400000",Balanceanp!C:G,5,FALSE))=TRUE,0,VLOOKUP("VAN641400000",Balanceanp!C:G,5,FALSE))</f>
        <v>0</v>
      </c>
      <c r="F139" s="368">
        <f>+C139+C139/9*(12-Clients!$I$14)</f>
        <v>0</v>
      </c>
      <c r="G139" s="570">
        <f t="shared" si="14"/>
        <v>0</v>
      </c>
      <c r="H139" s="401"/>
      <c r="I139" s="149">
        <f t="shared" si="12"/>
        <v>0</v>
      </c>
      <c r="J139" s="271">
        <f t="shared" si="13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IF(ISNA(VLOOKUP("VAN641600000",Balance!C:G,5,FALSE))=TRUE,0,VLOOKUP("VAN641600000",Balance!C:G,5,FALSE))</f>
        <v>0</v>
      </c>
      <c r="D140" s="117">
        <v>0</v>
      </c>
      <c r="E140" s="160">
        <f>IF(ISNA(VLOOKUP("VAN641600000",Balanceanp!C:G,5,FALSE))=TRUE,0,VLOOKUP("VAN641600000",Balanceanp!C:G,5,FALSE))</f>
        <v>0</v>
      </c>
      <c r="F140" s="368">
        <f>+C140+C140/9*(12-Clients!$I$14)</f>
        <v>0</v>
      </c>
      <c r="G140" s="570">
        <f t="shared" si="14"/>
        <v>0</v>
      </c>
      <c r="H140" s="401"/>
      <c r="I140" s="149">
        <f t="shared" si="12"/>
        <v>0</v>
      </c>
      <c r="J140" s="271">
        <f t="shared" si="13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IF(ISNA(VLOOKUP("VAN645100000",Balance!C:G,5,FALSE))=TRUE,0,VLOOKUP("VAN645100000",Balance!C:G,5,FALSE))</f>
        <v>18203.25</v>
      </c>
      <c r="D141" s="117">
        <v>26335.87672017084</v>
      </c>
      <c r="E141" s="160">
        <f>IF(ISNA(VLOOKUP("VAN645100000",Balanceanp!C:G,5,FALSE))=TRUE,0,VLOOKUP("VAN645100000",Balanceanp!C:G,5,FALSE))</f>
        <v>25743.239999999998</v>
      </c>
      <c r="F141" s="368">
        <f>+C141+C141/9*(12-Clients!$I$14)</f>
        <v>24271</v>
      </c>
      <c r="G141" s="396">
        <f t="shared" ref="G141:G146" si="15">+($G$131/$C$131*C141)*1.01</f>
        <v>25271.005383550913</v>
      </c>
      <c r="H141" s="409"/>
      <c r="I141" s="149">
        <f t="shared" si="12"/>
        <v>-5.7189382533045494E-2</v>
      </c>
      <c r="J141" s="271">
        <f t="shared" si="13"/>
        <v>4.1201655619913208E-2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25271.005383550913</v>
      </c>
    </row>
    <row r="142" spans="1:13" ht="12.75">
      <c r="A142" s="5" t="s">
        <v>156</v>
      </c>
      <c r="B142" s="92"/>
      <c r="C142" s="160">
        <f>IF(ISNA(VLOOKUP("VAN645200000",Balance!C:G,5,FALSE))=TRUE,0,VLOOKUP("VAN645200000",Balance!C:G,5,FALSE))</f>
        <v>2659.28</v>
      </c>
      <c r="D142" s="117">
        <v>3851.5797965583097</v>
      </c>
      <c r="E142" s="160">
        <f>IF(ISNA(VLOOKUP("VAN645200000",Balanceanp!C:G,5,FALSE))=TRUE,0,VLOOKUP("VAN645200000",Balanceanp!C:G,5,FALSE))</f>
        <v>3747.63</v>
      </c>
      <c r="F142" s="368">
        <f>+C142+C142/9*(12-Clients!$I$14)</f>
        <v>3545.7066666666669</v>
      </c>
      <c r="G142" s="396">
        <f t="shared" si="15"/>
        <v>3691.7956516758977</v>
      </c>
      <c r="H142" s="409"/>
      <c r="I142" s="149">
        <f t="shared" si="12"/>
        <v>-5.388027455574141E-2</v>
      </c>
      <c r="J142" s="271">
        <f t="shared" si="13"/>
        <v>4.1201655619913312E-2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3691.7956516758977</v>
      </c>
    </row>
    <row r="143" spans="1:13" ht="12.75">
      <c r="A143" s="5" t="s">
        <v>157</v>
      </c>
      <c r="B143" s="92"/>
      <c r="C143" s="160">
        <f>IF(ISNA(VLOOKUP("VAN645300000",Balance!C:G,5,FALSE))=TRUE,0,VLOOKUP("VAN645300000",Balance!C:G,5,FALSE))</f>
        <v>6474.33</v>
      </c>
      <c r="D143" s="117">
        <v>9002.4620526575163</v>
      </c>
      <c r="E143" s="160">
        <f>IF(ISNA(VLOOKUP("VAN645300000",Balanceanp!C:G,5,FALSE))=TRUE,0,VLOOKUP("VAN645300000",Balanceanp!C:G,5,FALSE))</f>
        <v>8874.81</v>
      </c>
      <c r="F143" s="368">
        <f>+C143+C143/9*(12-Clients!$I$14)</f>
        <v>8632.44</v>
      </c>
      <c r="G143" s="396">
        <f t="shared" si="15"/>
        <v>8988.1108200395647</v>
      </c>
      <c r="H143" s="409"/>
      <c r="I143" s="149">
        <f t="shared" si="12"/>
        <v>-2.7309880436876845E-2</v>
      </c>
      <c r="J143" s="271">
        <f t="shared" si="13"/>
        <v>4.1201655619913277E-2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8988.1108200395647</v>
      </c>
    </row>
    <row r="144" spans="1:13" ht="12.75">
      <c r="A144" s="5" t="s">
        <v>326</v>
      </c>
      <c r="B144" s="92"/>
      <c r="C144" s="160">
        <f>IF(ISNA(VLOOKUP("VAN645310000",Balance!C:G,5,FALSE))=TRUE,0,VLOOKUP("VAN645310000",Balance!C:G,5,FALSE))</f>
        <v>259.64999999999998</v>
      </c>
      <c r="D144" s="117">
        <v>353.62059154508296</v>
      </c>
      <c r="E144" s="160">
        <f>IF(ISNA(VLOOKUP("VAN645310000",Balanceanp!C:G,5,FALSE))=TRUE,0,VLOOKUP("VAN645310000",Balanceanp!C:G,5,FALSE))</f>
        <v>978.36</v>
      </c>
      <c r="F144" s="368">
        <f>+C144+C144/9*(12-Clients!$I$14)</f>
        <v>346.2</v>
      </c>
      <c r="G144" s="396">
        <f t="shared" si="15"/>
        <v>360.46401317561396</v>
      </c>
      <c r="H144" s="409"/>
      <c r="I144" s="149">
        <f t="shared" si="12"/>
        <v>-0.64614252422421203</v>
      </c>
      <c r="J144" s="271">
        <f t="shared" si="13"/>
        <v>4.1201655619913256E-2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360.46401317561396</v>
      </c>
    </row>
    <row r="145" spans="1:13" ht="12.75">
      <c r="A145" s="5" t="s">
        <v>158</v>
      </c>
      <c r="B145" s="92"/>
      <c r="C145" s="160">
        <f>IF(ISNA(VLOOKUP("VAN645400000",Balance!C:G,5,FALSE))=TRUE,0,VLOOKUP("VAN645400000",Balance!C:G,5,FALSE))</f>
        <v>3904.62</v>
      </c>
      <c r="D145" s="117">
        <v>5200.4806671553715</v>
      </c>
      <c r="E145" s="160">
        <f>IF(ISNA(VLOOKUP("VAN645400000",Balanceanp!C:G,5,FALSE))=TRUE,0,VLOOKUP("VAN645400000",Balanceanp!C:G,5,FALSE))</f>
        <v>5153.5</v>
      </c>
      <c r="F145" s="368">
        <f>+C145+C145/9*(12-Clients!$I$14)</f>
        <v>5206.16</v>
      </c>
      <c r="G145" s="396">
        <f t="shared" si="15"/>
        <v>5420.6624114221677</v>
      </c>
      <c r="H145" s="409"/>
      <c r="I145" s="149">
        <f t="shared" si="12"/>
        <v>1.0218298243911876E-2</v>
      </c>
      <c r="J145" s="271">
        <f t="shared" si="13"/>
        <v>4.1201655619913298E-2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5420.6624114221677</v>
      </c>
    </row>
    <row r="146" spans="1:13" ht="12.75">
      <c r="A146" s="5" t="s">
        <v>159</v>
      </c>
      <c r="B146" s="92"/>
      <c r="C146" s="160">
        <f>IF(ISNA(VLOOKUP("VAN645800000",Balance!C:G,5,FALSE))=TRUE,0,VLOOKUP("VAN645800000",Balance!C:G,5,FALSE))</f>
        <v>0</v>
      </c>
      <c r="D146" s="117">
        <v>0</v>
      </c>
      <c r="E146" s="160">
        <f>IF(ISNA(VLOOKUP("VAN645800000",Balanceanp!C:G,5,FALSE))=TRUE,0,VLOOKUP("VAN645800000",Balanceanp!C:G,5,FALSE))</f>
        <v>0</v>
      </c>
      <c r="F146" s="368">
        <f>+C146+C146/9*(12-Clients!$I$14)</f>
        <v>0</v>
      </c>
      <c r="G146" s="396">
        <f t="shared" si="15"/>
        <v>0</v>
      </c>
      <c r="H146" s="409"/>
      <c r="I146" s="149">
        <f t="shared" si="12"/>
        <v>0</v>
      </c>
      <c r="J146" s="271">
        <f t="shared" si="13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IF(ISNA(VLOOKUP("VAN645900000",Balance!C:G,5,FALSE))=TRUE,0,VLOOKUP("VAN645900000",Balance!C:G,5,FALSE))</f>
        <v>-602.25</v>
      </c>
      <c r="D147" s="117">
        <v>1260.4351639931251</v>
      </c>
      <c r="E147" s="160">
        <f>IF(ISNA(VLOOKUP("VAN645900000",Balanceanp!C:G,5,FALSE))=TRUE,0,VLOOKUP("VAN645900000",Balanceanp!C:G,5,FALSE))</f>
        <v>578.55999999999995</v>
      </c>
      <c r="F147" s="368">
        <f>+C147+C147/9*(12-Clients!$I$14)</f>
        <v>-803</v>
      </c>
      <c r="G147" s="396">
        <f>+F147*1.03</f>
        <v>-827.09</v>
      </c>
      <c r="H147" s="409"/>
      <c r="I147" s="149">
        <f t="shared" si="12"/>
        <v>-2.3879286504424782</v>
      </c>
      <c r="J147" s="271">
        <f t="shared" si="13"/>
        <v>3.0000000000000041E-2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-827.09</v>
      </c>
    </row>
    <row r="148" spans="1:13" ht="12.75">
      <c r="A148" s="5" t="s">
        <v>161</v>
      </c>
      <c r="B148" s="92"/>
      <c r="C148" s="160">
        <f>IF(ISNA(VLOOKUP("VAN647100000",Balance!C:G,5,FALSE))=TRUE,0,VLOOKUP("VAN647100000",Balance!C:G,5,FALSE))</f>
        <v>0</v>
      </c>
      <c r="D148" s="117">
        <v>21.971239000000004</v>
      </c>
      <c r="E148" s="160">
        <f>IF(ISNA(VLOOKUP("VAN647100000",Balanceanp!C:G,5,FALSE))=TRUE,0,VLOOKUP("VAN647100000",Balanceanp!C:G,5,FALSE))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2"/>
        <v>-1</v>
      </c>
      <c r="J148" s="271">
        <f t="shared" si="13"/>
        <v>0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0</v>
      </c>
    </row>
    <row r="149" spans="1:13" ht="12.75">
      <c r="A149" s="5" t="s">
        <v>162</v>
      </c>
      <c r="B149" s="92"/>
      <c r="C149" s="160">
        <f>IF(ISNA(VLOOKUP("VAN647400000",Balance!C:G,5,FALSE))=TRUE,0,VLOOKUP("VAN647400000",Balance!C:G,5,FALSE))</f>
        <v>50</v>
      </c>
      <c r="D149" s="117">
        <v>61.42563259500001</v>
      </c>
      <c r="E149" s="160">
        <f>IF(ISNA(VLOOKUP("VAN647400000",Balanceanp!C:G,5,FALSE))=TRUE,0,VLOOKUP("VAN647400000",Balanceanp!C:G,5,FALSE))</f>
        <v>460</v>
      </c>
      <c r="F149" s="368">
        <f>+C149+C149/9*(12-Clients!$I$14)</f>
        <v>66.666666666666657</v>
      </c>
      <c r="G149" s="396">
        <f>+F149*1.03</f>
        <v>68.666666666666657</v>
      </c>
      <c r="H149" s="409"/>
      <c r="I149" s="149">
        <f t="shared" si="12"/>
        <v>-0.85507246376811608</v>
      </c>
      <c r="J149" s="271">
        <f t="shared" si="13"/>
        <v>3.0000000000000006E-2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68.666666666666657</v>
      </c>
    </row>
    <row r="150" spans="1:13" ht="12.75">
      <c r="A150" s="5" t="s">
        <v>163</v>
      </c>
      <c r="B150" s="92"/>
      <c r="C150" s="160">
        <f>IF(ISNA(VLOOKUP("VAN647500000",Balance!C:G,5,FALSE))=TRUE,0,VLOOKUP("VAN647500000",Balance!C:G,5,FALSE))</f>
        <v>400</v>
      </c>
      <c r="D150" s="117">
        <v>622.42048767229164</v>
      </c>
      <c r="E150" s="160">
        <f>IF(ISNA(VLOOKUP("VAN647500000",Balanceanp!C:G,5,FALSE))=TRUE,0,VLOOKUP("VAN647500000",Balanceanp!C:G,5,FALSE))</f>
        <v>479.96</v>
      </c>
      <c r="F150" s="368">
        <f>+C150+C150/9*(12-Clients!$I$14)</f>
        <v>533.33333333333326</v>
      </c>
      <c r="G150" s="396">
        <f>+F150*1.03</f>
        <v>549.33333333333326</v>
      </c>
      <c r="H150" s="409"/>
      <c r="I150" s="149">
        <f t="shared" si="12"/>
        <v>0.11120371142039603</v>
      </c>
      <c r="J150" s="271">
        <f t="shared" si="13"/>
        <v>3.0000000000000006E-2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549.33333333333326</v>
      </c>
    </row>
    <row r="151" spans="1:13" ht="12.75">
      <c r="A151" s="5" t="s">
        <v>570</v>
      </c>
      <c r="B151" s="92"/>
      <c r="C151" s="160"/>
      <c r="D151" s="117"/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IF(ISNA(VLOOKUP("VAN648000000",Balance!C:G,5,FALSE))=TRUE,0,VLOOKUP("VAN648000000",Balance!C:G,5,FALSE))</f>
        <v>0</v>
      </c>
      <c r="D152" s="117">
        <v>1033.04151275</v>
      </c>
      <c r="E152" s="160">
        <f>IF(ISNA(VLOOKUP("VAN648000000",Balanceanp!C:G,5,FALSE))=TRUE,0,VLOOKUP("VAN648000000",Balanceanp!C:G,5,FALSE))</f>
        <v>10427.58448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2"/>
        <v>-1</v>
      </c>
      <c r="J152" s="271">
        <f t="shared" si="13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0.17441420815287223</v>
      </c>
      <c r="C154" s="163">
        <f>SUM(C130:C153)</f>
        <v>110604.12999999999</v>
      </c>
      <c r="D154" s="118">
        <f>SUM(D130:D153)</f>
        <v>158743.31386409752</v>
      </c>
      <c r="E154" s="163">
        <f>SUM(E130:E153)</f>
        <v>163502.39447999999</v>
      </c>
      <c r="F154" s="136">
        <f>SUM(F130:F153)</f>
        <v>147472.17333333334</v>
      </c>
      <c r="G154" s="136">
        <f>SUM(G130:G153)</f>
        <v>154522.94827986415</v>
      </c>
      <c r="H154" s="421">
        <f>+G154/$G$21</f>
        <v>0.17217041591071214</v>
      </c>
      <c r="I154" s="272">
        <f>+IF((E154)=0,,(F154-E154)/E154)</f>
        <v>-9.8042730185382718E-2</v>
      </c>
      <c r="J154" s="188">
        <f>+IF((F154)=0,,(G154-F154)/F154)</f>
        <v>4.781088382412222E-2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0.89590000000000003</v>
      </c>
      <c r="C156" s="160">
        <f>IF(ISNA(VLOOKUP("VAN681740000",Balance!C:G,5,FALSE))=TRUE,0,VLOOKUP("VAN681740000",Balance!C:G,5,FALSE))</f>
        <v>3308</v>
      </c>
      <c r="D156" s="117">
        <v>13232.064495999999</v>
      </c>
      <c r="E156" s="160">
        <f>IF(ISNA(VLOOKUP("VAN681740000",Balanceanp!C:G,5,FALSE))=TRUE,0,VLOOKUP("VAN681740000",Balanceanp!C:G,5,FALSE))</f>
        <v>0</v>
      </c>
      <c r="F156" s="368">
        <f>+C156+C156/9*(12-Clients!$I$14)</f>
        <v>4410.6666666666661</v>
      </c>
      <c r="G156" s="570">
        <f>+G21*B156*1.62%</f>
        <v>13025.938050000002</v>
      </c>
      <c r="H156" s="413"/>
      <c r="I156" s="149">
        <f>+IF((E156)=0,,(F156-E156)/E156)</f>
        <v>0</v>
      </c>
      <c r="J156" s="271">
        <f>+IF((F156)=0,,(G156-F156)/F156)</f>
        <v>1.9532809968258775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IF(ISNA(VLOOKUP("VAN781740000",Balance!C:G,5,FALSE))=TRUE,0,VLOOKUP("VAN781740000",Balance!C:G,5,FALSE))</f>
        <v>0</v>
      </c>
      <c r="D157" s="117">
        <v>0</v>
      </c>
      <c r="E157" s="160">
        <f>IF(ISNA(VLOOKUP("VAN781740000",Balanceanp!C:G,5,FALSE))=TRUE,0,VLOOKUP("VAN781740000",Balanceanp!C:G,5,FALSE))</f>
        <v>-5058.3500000000004</v>
      </c>
      <c r="F157" s="368">
        <f>+C157+C157/9*(12-Clients!$I$14)</f>
        <v>0</v>
      </c>
      <c r="G157" s="396">
        <v>0</v>
      </c>
      <c r="H157" s="409"/>
      <c r="I157" s="149">
        <f t="shared" ref="I157:I166" si="16">+IF((E157)=0,,(F157-E157)/E157)</f>
        <v>-1</v>
      </c>
      <c r="J157" s="271">
        <f t="shared" ref="J157:J166" si="17">+IF((F157)=0,,(G157-F157)/F157)</f>
        <v>0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IF(ISNA(VLOOKUP("VAN654400000",Balance!C:G,5,FALSE))=TRUE,0,VLOOKUP("VAN654400000",Balance!C:G,5,FALSE))</f>
        <v>0</v>
      </c>
      <c r="D158" s="117">
        <v>0</v>
      </c>
      <c r="E158" s="160">
        <f>IF(ISNA(VLOOKUP("VAN654400000",Balanceanp!C:G,5,FALSE))=TRUE,0,VLOOKUP("VAN654400000",Balanceanp!C:G,5,FALSE))</f>
        <v>3816.45</v>
      </c>
      <c r="F158" s="368">
        <f>+C158+C158/9*(12-Clients!$I$14)</f>
        <v>0</v>
      </c>
      <c r="G158" s="396">
        <v>0</v>
      </c>
      <c r="H158" s="409"/>
      <c r="I158" s="149">
        <f t="shared" si="16"/>
        <v>-1</v>
      </c>
      <c r="J158" s="271">
        <f t="shared" si="17"/>
        <v>0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IF(ISNA(VLOOKUP("VAN791100000",Balance!C:G,5,FALSE))=TRUE,0,VLOOKUP("VAN791100000",Balance!C:G,5,FALSE))</f>
        <v>0</v>
      </c>
      <c r="D159" s="117">
        <v>0</v>
      </c>
      <c r="E159" s="160">
        <f>IF(ISNA(VLOOKUP("VAN791100000",Balanceanp!C:G,5,FALSE))=TRUE,0,VLOOKUP("VAN791100000",Balanceanp!C:G,5,FALSE))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6"/>
        <v>0</v>
      </c>
      <c r="J159" s="271">
        <f t="shared" si="17"/>
        <v>0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IF(ISNA(VLOOKUP("VAN654100000",Balance!C:G,5,FALSE))=TRUE,0,VLOOKUP("VAN654100000",Balance!C:G,5,FALSE))</f>
        <v>-12.679999999999836</v>
      </c>
      <c r="D160" s="117">
        <v>0</v>
      </c>
      <c r="E160" s="160">
        <f>IF(ISNA(VLOOKUP("VAN654100000",Balanceanp!C:G,5,FALSE))=TRUE,0,VLOOKUP("VAN654100000",Balanceanp!C:G,5,FALSE))</f>
        <v>-11.049999999999999</v>
      </c>
      <c r="F160" s="368">
        <f>+C160+C160/9*(12-Clients!$I$14)</f>
        <v>-16.906666666666446</v>
      </c>
      <c r="G160" s="396">
        <v>0</v>
      </c>
      <c r="H160" s="409"/>
      <c r="I160" s="149">
        <f t="shared" si="16"/>
        <v>0.53001508295623956</v>
      </c>
      <c r="J160" s="271">
        <f t="shared" si="17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IF(ISNA(VLOOKUP("VAN622700000",Balance!C:G,5,FALSE))=TRUE,0,VLOOKUP("VAN622700000",Balance!C:G,5,FALSE))</f>
        <v>0</v>
      </c>
      <c r="D161" s="117">
        <v>330.99949159958334</v>
      </c>
      <c r="E161" s="160">
        <f>IF(ISNA(VLOOKUP("VAN622700000",Balanceanp!C:G,5,FALSE))=TRUE,0,VLOOKUP("VAN622700000",Balanceanp!C:G,5,FALSE))</f>
        <v>253.69</v>
      </c>
      <c r="F161" s="368">
        <f>+C161+C161/9*(12-Clients!$I$14)</f>
        <v>0</v>
      </c>
      <c r="G161" s="396">
        <f t="shared" ref="G161:G166" si="18">+F161*1.03</f>
        <v>0</v>
      </c>
      <c r="H161" s="409"/>
      <c r="I161" s="149">
        <f t="shared" si="16"/>
        <v>-1</v>
      </c>
      <c r="J161" s="271">
        <f t="shared" si="17"/>
        <v>0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0</v>
      </c>
    </row>
    <row r="162" spans="1:13" ht="12.75">
      <c r="A162" s="5" t="s">
        <v>355</v>
      </c>
      <c r="B162" s="92"/>
      <c r="C162" s="160">
        <f>IF(ISNA(VLOOKUP("van654200000",Balance!C:G,5,FALSE))=TRUE,0,VLOOKUP("van654200000",Balance!C:G,5,FALSE))</f>
        <v>0</v>
      </c>
      <c r="D162" s="117">
        <v>19.458373477765281</v>
      </c>
      <c r="E162" s="160">
        <f>IF(ISNA(VLOOKUP("van654200000",Balanceanp!C:G,5,FALSE))=TRUE,0,VLOOKUP("van654200000",Balanceanp!C:G,5,FALSE))</f>
        <v>17.920000000000002</v>
      </c>
      <c r="F162" s="368">
        <f>+C162+C162/9*(12-Clients!$I$14)</f>
        <v>0</v>
      </c>
      <c r="G162" s="396">
        <f t="shared" si="18"/>
        <v>0</v>
      </c>
      <c r="H162" s="409"/>
      <c r="I162" s="149">
        <f t="shared" si="16"/>
        <v>-1</v>
      </c>
      <c r="J162" s="271">
        <f t="shared" si="17"/>
        <v>0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0</v>
      </c>
    </row>
    <row r="163" spans="1:13" ht="12.75">
      <c r="A163" s="5" t="s">
        <v>200</v>
      </c>
      <c r="B163" s="92"/>
      <c r="C163" s="160">
        <f>IF(ISNA(VLOOKUP("VAN665000000",Balance!C:G,5,FALSE))=TRUE,0,VLOOKUP("VAN665000000",Balance!C:G,5,FALSE))+IF(ISNA(VLOOKUP("VAN665100000",Balance!C:G,5,FALSE))=TRUE,0,VLOOKUP("VAN665100000",Balance!C:G,5,FALSE))</f>
        <v>12.61</v>
      </c>
      <c r="D163" s="117">
        <v>161.18342597583333</v>
      </c>
      <c r="E163" s="160">
        <f>IF(ISNA(VLOOKUP("VAN665000000",Balanceanp!C:G,5,FALSE))=TRUE,0,VLOOKUP("VAN665000000",Balanceanp!C:G,5,FALSE))+IF(ISNA(VLOOKUP("VAN665100000",Balanceanp!C:G,5,FALSE))=TRUE,0,VLOOKUP("VAN665100000",Balanceanp!C:G,5,FALSE))</f>
        <v>61.37</v>
      </c>
      <c r="F163" s="368">
        <f>+C163+C163/9*(12-Clients!$I$14)</f>
        <v>16.813333333333333</v>
      </c>
      <c r="G163" s="396">
        <f t="shared" si="18"/>
        <v>17.317733333333333</v>
      </c>
      <c r="H163" s="409"/>
      <c r="I163" s="149">
        <f t="shared" si="16"/>
        <v>-0.72603334962793986</v>
      </c>
      <c r="J163" s="271">
        <f t="shared" si="17"/>
        <v>3.0000000000000027E-2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17.317733333333333</v>
      </c>
    </row>
    <row r="164" spans="1:13" ht="12.75">
      <c r="A164" s="5" t="s">
        <v>271</v>
      </c>
      <c r="B164" s="92"/>
      <c r="C164" s="160">
        <f>IF(ISNA(VLOOKUP("VAN763000000",Balance!C:G,5,FALSE))=TRUE,0,VLOOKUP("VAN763000000",Balance!C:G,5,FALSE))</f>
        <v>0</v>
      </c>
      <c r="D164" s="117">
        <v>0</v>
      </c>
      <c r="E164" s="160">
        <f>IF(ISNA(VLOOKUP("VAN763000000",Balanceanp!C:G,5,FALSE))=TRUE,0,VLOOKUP("VAN763000000",Balanceanp!C:G,5,FALSE))</f>
        <v>0</v>
      </c>
      <c r="F164" s="368">
        <f>+C164+C164/9*(12-Clients!$I$14)</f>
        <v>0</v>
      </c>
      <c r="G164" s="396">
        <f t="shared" si="18"/>
        <v>0</v>
      </c>
      <c r="H164" s="409"/>
      <c r="I164" s="149">
        <f t="shared" si="16"/>
        <v>0</v>
      </c>
      <c r="J164" s="271">
        <f t="shared" si="17"/>
        <v>0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0</v>
      </c>
    </row>
    <row r="165" spans="1:13" ht="12.75">
      <c r="A165" s="5" t="s">
        <v>242</v>
      </c>
      <c r="B165" s="92"/>
      <c r="C165" s="160">
        <f>IF(ISNA(VLOOKUP("VAN627520000",Balance!C:G,5,FALSE))=TRUE,0,VLOOKUP("VAN627520000",Balance!C:G,5,FALSE))</f>
        <v>81</v>
      </c>
      <c r="D165" s="117">
        <v>195.26877354791665</v>
      </c>
      <c r="E165" s="160">
        <f>IF(ISNA(VLOOKUP("VAN627520000",Balanceanp!C:G,5,FALSE))=TRUE,0,VLOOKUP("VAN627520000",Balanceanp!C:G,5,FALSE))</f>
        <v>157.69999999999999</v>
      </c>
      <c r="F165" s="368">
        <f>+C165+C165/9*(12-Clients!$I$14)</f>
        <v>108</v>
      </c>
      <c r="G165" s="396">
        <f t="shared" si="18"/>
        <v>111.24000000000001</v>
      </c>
      <c r="H165" s="409"/>
      <c r="I165" s="149">
        <f t="shared" si="16"/>
        <v>-0.31515535827520602</v>
      </c>
      <c r="J165" s="271">
        <f t="shared" si="17"/>
        <v>3.0000000000000086E-2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111.24</v>
      </c>
    </row>
    <row r="166" spans="1:13" ht="12.75">
      <c r="A166" s="5" t="s">
        <v>201</v>
      </c>
      <c r="B166" s="92"/>
      <c r="C166" s="160">
        <f>IF(ISNA(VLOOKUP("VAN763100000",Balance!C:G,5,FALSE))=TRUE,0,VLOOKUP("VAN763100000",Balance!C:G,5,FALSE))</f>
        <v>0</v>
      </c>
      <c r="D166" s="117">
        <v>0</v>
      </c>
      <c r="E166" s="160">
        <f>IF(ISNA(VLOOKUP("VAN763100000",Balanceanp!C:G,5,FALSE))=TRUE,0,VLOOKUP("VAN763100000",Balanceanp!C:G,5,FALSE))</f>
        <v>0</v>
      </c>
      <c r="F166" s="368">
        <f>+C166+C166/9*(12-Clients!$I$14)</f>
        <v>0</v>
      </c>
      <c r="G166" s="396">
        <f t="shared" si="18"/>
        <v>0</v>
      </c>
      <c r="H166" s="409"/>
      <c r="I166" s="149">
        <f t="shared" si="16"/>
        <v>0</v>
      </c>
      <c r="J166" s="271">
        <f t="shared" si="17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5.3440820196814839E-3</v>
      </c>
      <c r="C168" s="163">
        <f>SUM(C155:C167)</f>
        <v>3388.9300000000003</v>
      </c>
      <c r="D168" s="118">
        <f>SUM(D155:D167)</f>
        <v>13938.974560601097</v>
      </c>
      <c r="E168" s="163">
        <f>SUM(E155:E167)</f>
        <v>-762.27000000000044</v>
      </c>
      <c r="F168" s="136">
        <f>SUM(F155:F167)</f>
        <v>4518.5733333333328</v>
      </c>
      <c r="G168" s="136">
        <f>SUM(G155:G167)</f>
        <v>13154.495783333336</v>
      </c>
      <c r="H168" s="421">
        <f>+G168/$G$21</f>
        <v>1.465681981429898E-2</v>
      </c>
      <c r="I168" s="272">
        <f>+IF((E168)=0,,(F168-E168)/E168)</f>
        <v>-6.9277858676496917</v>
      </c>
      <c r="J168" s="188">
        <f>+IF((F168)=0,,(G168-F168)/F168)</f>
        <v>1.9112055538178723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IF(ISNA(VLOOKUP("VAN651100000",Balance!C:G,5,FALSE))=TRUE,0,VLOOKUP("VAN651100000",Balance!C:G,5,FALSE))</f>
        <v>0</v>
      </c>
      <c r="D170" s="117">
        <v>0</v>
      </c>
      <c r="E170" s="160">
        <f>IF(ISNA(VLOOKUP("VAN651100000",Balanceanp!C:G,5,FALSE))=TRUE,0,VLOOKUP("VAN651100000",Balanceanp!C:G,5,FALSE))</f>
        <v>0</v>
      </c>
      <c r="F170" s="368">
        <f>+C170+C170/9*(12-Clients!$I$14)</f>
        <v>0</v>
      </c>
      <c r="G170" s="396">
        <f t="shared" ref="G170:G183" si="19">+F170*1.03</f>
        <v>0</v>
      </c>
      <c r="H170" s="409"/>
      <c r="I170" s="149">
        <f>+IF((E170)=0,,(F170-E170)/E170)</f>
        <v>0</v>
      </c>
      <c r="J170" s="271">
        <f>+IF((F170)=0,,(G170-F170)/F170)</f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IF(ISNA(VLOOKUP("VAN651600000",Balance!C:G,5,FALSE))=TRUE,0,VLOOKUP("VAN651600000",Balance!C:G,5,FALSE))</f>
        <v>145.72999999999999</v>
      </c>
      <c r="D171" s="117">
        <v>155.67430546770834</v>
      </c>
      <c r="E171" s="160">
        <f>IF(ISNA(VLOOKUP("VAN651600000",Balanceanp!C:G,5,FALSE))=TRUE,0,VLOOKUP("VAN651600000",Balanceanp!C:G,5,FALSE))</f>
        <v>113.17</v>
      </c>
      <c r="F171" s="368">
        <f>+C171+C171/9*(12-Clients!$I$14)</f>
        <v>194.30666666666664</v>
      </c>
      <c r="G171" s="396">
        <f t="shared" si="19"/>
        <v>200.13586666666666</v>
      </c>
      <c r="H171" s="409"/>
      <c r="I171" s="149">
        <f t="shared" ref="I171:I183" si="20">+IF((E171)=0,,(F171-E171)/E171)</f>
        <v>0.71694500898353486</v>
      </c>
      <c r="J171" s="271">
        <f t="shared" ref="J171:J183" si="21">+IF((F171)=0,,(G171-F171)/F171)</f>
        <v>3.0000000000000079E-2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200.13586666666666</v>
      </c>
    </row>
    <row r="172" spans="1:13" ht="12.75">
      <c r="A172" s="5" t="s">
        <v>169</v>
      </c>
      <c r="B172" s="92"/>
      <c r="C172" s="160">
        <f>IF(ISNA(VLOOKUP("VAN671200000",Balance!C:G,5,FALSE))=TRUE,0,VLOOKUP("VAN671200000",Balance!C:G,5,FALSE))</f>
        <v>0</v>
      </c>
      <c r="D172" s="117">
        <v>0</v>
      </c>
      <c r="E172" s="160">
        <f>IF(ISNA(VLOOKUP("VAN671200000",Balanceanp!C:G,5,FALSE))=TRUE,0,VLOOKUP("VAN671200000",Balanceanp!C:G,5,FALSE))</f>
        <v>0</v>
      </c>
      <c r="F172" s="368">
        <f>+C172+C172/9*(12-Clients!$I$14)</f>
        <v>0</v>
      </c>
      <c r="G172" s="396">
        <f t="shared" si="19"/>
        <v>0</v>
      </c>
      <c r="H172" s="409"/>
      <c r="I172" s="149">
        <f t="shared" si="20"/>
        <v>0</v>
      </c>
      <c r="J172" s="271">
        <f t="shared" si="21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IF(ISNA(VLOOKUP("VAN671800000",Balance!C:G,5,FALSE))=TRUE,0,VLOOKUP("VAN671800000",Balance!C:G,5,FALSE))</f>
        <v>0.01</v>
      </c>
      <c r="D173" s="117">
        <v>0</v>
      </c>
      <c r="E173" s="160">
        <f>IF(ISNA(VLOOKUP("VAN671800000",Balanceanp!C:G,5,FALSE))=TRUE,0,VLOOKUP("VAN671800000",Balanceanp!C:G,5,FALSE))</f>
        <v>0</v>
      </c>
      <c r="F173" s="368">
        <f>+C173+C173/9*(12-Clients!$I$14)</f>
        <v>1.3333333333333332E-2</v>
      </c>
      <c r="G173" s="396">
        <f t="shared" si="19"/>
        <v>1.3733333333333334E-2</v>
      </c>
      <c r="H173" s="409"/>
      <c r="I173" s="149">
        <f t="shared" si="20"/>
        <v>0</v>
      </c>
      <c r="J173" s="271">
        <f t="shared" si="21"/>
        <v>3.0000000000000082E-2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1.3733333333333E-2</v>
      </c>
    </row>
    <row r="174" spans="1:13" ht="12.75">
      <c r="A174" s="5" t="s">
        <v>171</v>
      </c>
      <c r="B174" s="92"/>
      <c r="C174" s="160">
        <f>IF(ISNA(VLOOKUP("VAN672000000",Balance!C:G,5,FALSE))=TRUE,0,VLOOKUP("VAN672000000",Balance!C:G,5,FALSE))</f>
        <v>0</v>
      </c>
      <c r="D174" s="117">
        <v>0</v>
      </c>
      <c r="E174" s="160">
        <f>IF(ISNA(VLOOKUP("VAN672000000",Balanceanp!C:G,5,FALSE))=TRUE,0,VLOOKUP("VAN672000000",Balanceanp!C:G,5,FALSE))</f>
        <v>0</v>
      </c>
      <c r="F174" s="368">
        <f>+C174+C174/9*(12-Clients!$I$14)</f>
        <v>0</v>
      </c>
      <c r="G174" s="396">
        <f t="shared" si="19"/>
        <v>0</v>
      </c>
      <c r="H174" s="409"/>
      <c r="I174" s="149">
        <f t="shared" si="20"/>
        <v>0</v>
      </c>
      <c r="J174" s="271">
        <f t="shared" si="21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IF(ISNA(VLOOKUP("VAN691100000",Balance!C:G,5,FALSE))=TRUE,0,VLOOKUP("VAN691100000",Balance!C:G,5,FALSE))</f>
        <v>0</v>
      </c>
      <c r="D175" s="117">
        <v>0</v>
      </c>
      <c r="E175" s="160">
        <f>IF(ISNA(VLOOKUP("VAN691100000",Balanceanp!C:G,5,FALSE))=TRUE,0,VLOOKUP("VAN691100000",Balanceanp!C:G,5,FALSE))</f>
        <v>0</v>
      </c>
      <c r="F175" s="368">
        <f>+C175+C175/9*(12-Clients!$I$14)</f>
        <v>0</v>
      </c>
      <c r="G175" s="396">
        <f t="shared" si="19"/>
        <v>0</v>
      </c>
      <c r="H175" s="409"/>
      <c r="I175" s="149">
        <f t="shared" si="20"/>
        <v>0</v>
      </c>
      <c r="J175" s="271">
        <f t="shared" si="21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IF(ISNA(VLOOKUP("VAN675100000",Balance!C:G,5,FALSE))=TRUE,0,VLOOKUP("VAN675100000",Balance!C:G,5,FALSE))</f>
        <v>0</v>
      </c>
      <c r="D176" s="117">
        <v>0</v>
      </c>
      <c r="E176" s="160">
        <f>IF(ISNA(VLOOKUP("VAN675100000",Balanceanp!C:G,5,FALSE))=TRUE,0,VLOOKUP("VAN675100000",Balanceanp!C:G,5,FALSE))</f>
        <v>0</v>
      </c>
      <c r="F176" s="368">
        <f>+C176+C176/9*(12-Clients!$I$14)</f>
        <v>0</v>
      </c>
      <c r="G176" s="396">
        <f t="shared" si="19"/>
        <v>0</v>
      </c>
      <c r="H176" s="409"/>
      <c r="I176" s="149">
        <f t="shared" si="20"/>
        <v>0</v>
      </c>
      <c r="J176" s="271">
        <f t="shared" si="21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IF(ISNA(VLOOKUP("VAN675200000",Balance!C:G,5,FALSE))=TRUE,0,VLOOKUP("VAN675200000",Balance!C:G,5,FALSE))</f>
        <v>0</v>
      </c>
      <c r="D177" s="117">
        <v>0</v>
      </c>
      <c r="E177" s="160">
        <f>IF(ISNA(VLOOKUP("VAN675200000",Balanceanp!C:G,5,FALSE))=TRUE,0,VLOOKUP("VAN675200000",Balanceanp!C:G,5,FALSE))</f>
        <v>0</v>
      </c>
      <c r="F177" s="368">
        <f>+C177+C177/9*(12-Clients!$I$14)</f>
        <v>0</v>
      </c>
      <c r="G177" s="396">
        <f t="shared" si="19"/>
        <v>0</v>
      </c>
      <c r="H177" s="409"/>
      <c r="I177" s="149">
        <f t="shared" si="20"/>
        <v>0</v>
      </c>
      <c r="J177" s="271">
        <f t="shared" si="21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IF(ISNA(VLOOKUP("VAN681110000",Balance!C:G,5,FALSE))=TRUE,0,VLOOKUP("VAN681110000",Balance!C:G,5,FALSE))</f>
        <v>0</v>
      </c>
      <c r="D178" s="117">
        <v>0</v>
      </c>
      <c r="E178" s="160">
        <f>IF(ISNA(VLOOKUP("VAN681110000",Balanceanp!C:G,5,FALSE))=TRUE,0,VLOOKUP("VAN681110000",Balanceanp!C:G,5,FALSE))</f>
        <v>0</v>
      </c>
      <c r="F178" s="368">
        <f>+C178+C178/9*(12-Clients!$I$14)</f>
        <v>0</v>
      </c>
      <c r="G178" s="396">
        <f t="shared" si="19"/>
        <v>0</v>
      </c>
      <c r="H178" s="409"/>
      <c r="I178" s="149">
        <f t="shared" si="20"/>
        <v>0</v>
      </c>
      <c r="J178" s="271">
        <f t="shared" si="21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IF(ISNA(VLOOKUP("VAN681120000",Balance!C:G,5,FALSE))=TRUE,0,VLOOKUP("VAN681120000",Balance!C:G,5,FALSE))</f>
        <v>2850.03</v>
      </c>
      <c r="D179" s="117">
        <v>3800</v>
      </c>
      <c r="E179" s="160">
        <f>IF(ISNA(VLOOKUP("VAN681120000",Balanceanp!C:G,5,FALSE))=TRUE,0,VLOOKUP("VAN681120000",Balanceanp!C:G,5,FALSE))</f>
        <v>6148.58</v>
      </c>
      <c r="F179" s="570">
        <v>4013.16</v>
      </c>
      <c r="G179" s="570">
        <f>4511.94+500+G255/10</f>
        <v>5011.9399999999996</v>
      </c>
      <c r="H179" s="413"/>
      <c r="I179" s="149">
        <f t="shared" si="20"/>
        <v>-0.34730295450331622</v>
      </c>
      <c r="J179" s="271">
        <f t="shared" si="21"/>
        <v>0.24887619731084726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5011.9399999999996</v>
      </c>
    </row>
    <row r="180" spans="1:13" ht="12.75">
      <c r="A180" s="5" t="s">
        <v>78</v>
      </c>
      <c r="B180" s="92"/>
      <c r="C180" s="160">
        <f>IF(ISNA(VLOOKUP("VAN687250000",Balance!C:G,5,FALSE))=TRUE,0,VLOOKUP("VAN687250000",Balance!C:G,5,FALSE))</f>
        <v>0</v>
      </c>
      <c r="D180" s="117">
        <v>0</v>
      </c>
      <c r="E180" s="160">
        <f>IF(ISNA(VLOOKUP("VAN687250000",Balanceanp!C:G,5,FALSE))=TRUE,0,VLOOKUP("VAN687250000",Balanceanp!C:G,5,FALSE))</f>
        <v>17.46</v>
      </c>
      <c r="F180" s="368">
        <f>+C180+C180/9*(12-Clients!$I$14)</f>
        <v>0</v>
      </c>
      <c r="G180" s="396">
        <f t="shared" si="19"/>
        <v>0</v>
      </c>
      <c r="H180" s="409"/>
      <c r="I180" s="149">
        <f t="shared" si="20"/>
        <v>-1</v>
      </c>
      <c r="J180" s="271">
        <f t="shared" si="21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IF(ISNA(VLOOKUP("VAN661880000",Balance!C:G,5,FALSE))=TRUE,0,VLOOKUP("VAN661880000",Balance!C:G,5,FALSE))</f>
        <v>0</v>
      </c>
      <c r="D181" s="117">
        <v>0</v>
      </c>
      <c r="E181" s="160">
        <f>IF(ISNA(VLOOKUP("VAN661880000",Balanceanp!C:G,5,FALSE))=TRUE,0,VLOOKUP("VAN661880000",Balanceanp!C:G,5,FALSE))</f>
        <v>0</v>
      </c>
      <c r="F181" s="368">
        <f>+C181+C181/9*(12-Clients!$I$14)</f>
        <v>0</v>
      </c>
      <c r="G181" s="396">
        <f t="shared" si="19"/>
        <v>0</v>
      </c>
      <c r="H181" s="409"/>
      <c r="I181" s="149">
        <f t="shared" si="20"/>
        <v>0</v>
      </c>
      <c r="J181" s="271">
        <f t="shared" si="21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/>
      <c r="D182" s="117">
        <v>0</v>
      </c>
      <c r="E182" s="160"/>
      <c r="F182" s="368">
        <f>+C182+C182/9*(12-Clients!$I$14)</f>
        <v>0</v>
      </c>
      <c r="G182" s="396">
        <f t="shared" si="19"/>
        <v>0</v>
      </c>
      <c r="H182" s="409"/>
      <c r="I182" s="149">
        <f t="shared" si="20"/>
        <v>0</v>
      </c>
      <c r="J182" s="271">
        <f t="shared" si="21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IF(ISNA(VLOOKUP("van681500000",Balance!C:G,5,FALSE))=TRUE,0,VLOOKUP("van681500000",Balance!C:G,5,FALSE))</f>
        <v>0</v>
      </c>
      <c r="D183" s="117">
        <v>0</v>
      </c>
      <c r="E183" s="160">
        <f>IF(ISNA(VLOOKUP("van681500000",Balanceanp!C:G,5,FALSE))=TRUE,0,VLOOKUP("van681500000",Balanceanp!C:G,5,FALSE))</f>
        <v>0</v>
      </c>
      <c r="F183" s="368">
        <f>+C183+C183/9*(12-Clients!$I$14)</f>
        <v>0</v>
      </c>
      <c r="G183" s="396">
        <f t="shared" si="19"/>
        <v>0</v>
      </c>
      <c r="H183" s="409"/>
      <c r="I183" s="149">
        <f t="shared" si="20"/>
        <v>0</v>
      </c>
      <c r="J183" s="271">
        <f t="shared" si="21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2995.77</v>
      </c>
      <c r="D185" s="118">
        <f>SUM(D169:D184)</f>
        <v>3955.6743054677081</v>
      </c>
      <c r="E185" s="280">
        <f>SUM(E169:E184)</f>
        <v>6279.21</v>
      </c>
      <c r="F185" s="136">
        <f>SUM(F169:F184)</f>
        <v>4207.4799999999996</v>
      </c>
      <c r="G185" s="136">
        <f>SUM(G169:G184)</f>
        <v>5212.0895999999993</v>
      </c>
      <c r="H185" s="421"/>
      <c r="I185" s="272">
        <f>+IF((E185)=0,,(F185-E185)/E185)</f>
        <v>-0.32993481664094693</v>
      </c>
      <c r="J185" s="188">
        <f>+IF((F185)=0,,(G185-F185)/F185)</f>
        <v>0.2387675283067299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IF(ISNA(VLOOKUP("VAN740000000",Balance!C:G,5,FALSE))=TRUE,0,-VLOOKUP("VAN740000000",Balance!C:G,5,FALSE))</f>
        <v>0</v>
      </c>
      <c r="D187" s="117">
        <v>0</v>
      </c>
      <c r="E187" s="160">
        <f>IF(ISNA(VLOOKUP("VAN740000000",Balanceanp!C:G,5,FALSE))=TRUE,0,-VLOOKUP("VAN740000000",Balanceanp!C:G,5,FALSE))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>+IF((E187)=0,,(F187-E187)/E187)</f>
        <v>0</v>
      </c>
      <c r="J187" s="271">
        <f>+IF((F187)=0,,(G187-F187)/F187)</f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IF(ISNA(VLOOKUP("VAN751100000",Balance!C:G,5,FALSE))=TRUE,0,-VLOOKUP("VAN751100000",Balance!C:G,5,FALSE))</f>
        <v>0</v>
      </c>
      <c r="D188" s="117">
        <v>0</v>
      </c>
      <c r="E188" s="160">
        <f>IF(ISNA(VLOOKUP("VAN751100000",Balanceanp!C:G,5,FALSE))=TRUE,0,-VLOOKUP("VAN751100000",Balanceanp!C:G,5,FALSE))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ref="I188:I199" si="22">+IF((E188)=0,,(F188-E188)/E188)</f>
        <v>0</v>
      </c>
      <c r="J188" s="271">
        <f t="shared" ref="J188:J199" si="23">+IF((F188)=0,,(G188-F188)/F188)</f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IF(ISNA(VLOOKUP("VAN758100000",Balance!C:G,5,FALSE))=TRUE,0,-VLOOKUP("VAN758100000",Balance!C:G,5,FALSE))</f>
        <v>0</v>
      </c>
      <c r="D189" s="117">
        <v>0</v>
      </c>
      <c r="E189" s="160">
        <f>IF(ISNA(VLOOKUP("VAN758100000",Balanceanp!C:G,5,FALSE))=TRUE,0,-VLOOKUP("VAN758100000",Balanceanp!C:G,5,FALSE))</f>
        <v>378.12</v>
      </c>
      <c r="F189" s="368">
        <f>+C189+C189/9*(12-Clients!$I$14)</f>
        <v>0</v>
      </c>
      <c r="G189" s="368">
        <v>0</v>
      </c>
      <c r="H189" s="410"/>
      <c r="I189" s="149">
        <f t="shared" si="22"/>
        <v>-1</v>
      </c>
      <c r="J189" s="271">
        <f t="shared" si="23"/>
        <v>0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IF(ISNA(VLOOKUP("VAN763800000",Balance!C:G,5,FALSE))=TRUE,0,-VLOOKUP("VAN763800000",Balance!C:G,5,FALSE))</f>
        <v>0</v>
      </c>
      <c r="D190" s="117">
        <v>0</v>
      </c>
      <c r="E190" s="160">
        <f>IF(ISNA(VLOOKUP("VAN763800000",Balanceanp!C:G,5,FALSE))=TRUE,0,-VLOOKUP("VAN763800000",Balanceanp!C:G,5,FALSE))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22"/>
        <v>0</v>
      </c>
      <c r="J190" s="271">
        <f t="shared" si="23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IF(ISNA(VLOOKUP("VAN765000000",Balance!C:G,5,FALSE))=TRUE,0,-VLOOKUP("VAN765000000",Balance!C:G,5,FALSE))</f>
        <v>0</v>
      </c>
      <c r="D191" s="117">
        <v>0</v>
      </c>
      <c r="E191" s="160">
        <f>IF(ISNA(VLOOKUP("VAN765000000",Balanceanp!C:G,5,FALSE))=TRUE,0,-VLOOKUP("VAN765000000",Balanceanp!C:G,5,FALSE))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22"/>
        <v>0</v>
      </c>
      <c r="J191" s="271">
        <f t="shared" si="23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IF(ISNA(VLOOKUP("VAN771400000",Balance!C:G,5,FALSE))=TRUE,0,-VLOOKUP("VAN771400000",Balance!C:G,5,FALSE))</f>
        <v>0</v>
      </c>
      <c r="D192" s="117">
        <v>0</v>
      </c>
      <c r="E192" s="160">
        <f>IF(ISNA(VLOOKUP("VAN771400000",Balanceanp!C:G,5,FALSE))=TRUE,0,-VLOOKUP("VAN771400000",Balanceanp!C:G,5,FALSE))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22"/>
        <v>0</v>
      </c>
      <c r="J192" s="271">
        <f t="shared" si="23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IF(ISNA(VLOOKUP("VAN771800000",Balance!C:G,5,FALSE))=TRUE,0,-VLOOKUP("VAN771800000",Balance!C:G,5,FALSE))</f>
        <v>15</v>
      </c>
      <c r="D193" s="117">
        <v>0</v>
      </c>
      <c r="E193" s="160">
        <f>IF(ISNA(VLOOKUP("VAN771800000",Balanceanp!C:G,5,FALSE))=TRUE,0,-VLOOKUP("VAN771800000",Balanceanp!C:G,5,FALSE))</f>
        <v>720.76</v>
      </c>
      <c r="F193" s="368">
        <f>+C193+C193/9*(12-Clients!$I$14)</f>
        <v>20</v>
      </c>
      <c r="G193" s="368">
        <v>0</v>
      </c>
      <c r="H193" s="410"/>
      <c r="I193" s="149">
        <f t="shared" si="22"/>
        <v>-0.97225151229258</v>
      </c>
      <c r="J193" s="271">
        <f t="shared" si="23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IF(ISNA(VLOOKUP("VAN758000000",Balance!C:G,5,FALSE))=TRUE,0,-VLOOKUP("VAN758000000",Balance!C:G,5,FALSE))</f>
        <v>0</v>
      </c>
      <c r="D194" s="117">
        <v>0</v>
      </c>
      <c r="E194" s="160">
        <f>IF(ISNA(VLOOKUP("VAN758000000",Balanceanp!C:G,5,FALSE))=TRUE,0,-VLOOKUP("VAN758000000",Balanceanp!C:G,5,FALSE))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22"/>
        <v>0</v>
      </c>
      <c r="J194" s="271">
        <f t="shared" si="23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IF(ISNA(VLOOKUP("VAN775100000",Balance!C:G,5,FALSE))=TRUE,0,-VLOOKUP("VAN775100000",Balance!C:G,5,FALSE))</f>
        <v>0</v>
      </c>
      <c r="D195" s="117">
        <v>0</v>
      </c>
      <c r="E195" s="160">
        <f>IF(ISNA(VLOOKUP("VAN775100000",Balanceanp!C:G,5,FALSE))=TRUE,0,-VLOOKUP("VAN775100000",Balanceanp!C:G,5,FALSE))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22"/>
        <v>0</v>
      </c>
      <c r="J195" s="271">
        <f t="shared" si="23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IF(ISNA(VLOOKUP("VAN775200000",Balance!C:G,5,FALSE))=TRUE,0,-VLOOKUP("VAN775200000",Balance!C:G,5,FALSE))</f>
        <v>0</v>
      </c>
      <c r="D196" s="117">
        <v>0</v>
      </c>
      <c r="E196" s="160">
        <f>IF(ISNA(VLOOKUP("VAN775200000",Balanceanp!C:G,5,FALSE))=TRUE,0,-VLOOKUP("VAN775200000",Balanceanp!C:G,5,FALSE))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22"/>
        <v>0</v>
      </c>
      <c r="J196" s="271">
        <f t="shared" si="23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IF(ISNA(VLOOKUP("VAN791000000",Balance!C:G,5,FALSE))=TRUE,0,-VLOOKUP("VAN791000000",Balance!C:G,5,FALSE))</f>
        <v>0</v>
      </c>
      <c r="D197" s="117">
        <v>0</v>
      </c>
      <c r="E197" s="160">
        <f>IF(ISNA(VLOOKUP("VAN791000000",Balanceanp!C:G,5,FALSE))=TRUE,0,-VLOOKUP("VAN791000000",Balanceanp!C:G,5,FALSE))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22"/>
        <v>0</v>
      </c>
      <c r="J197" s="271">
        <f t="shared" si="23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IF(ISNA(VLOOKUP("van781500000",Balance!C:G,5,FALSE))=TRUE,0,-VLOOKUP("van781500000",Balance!C:G,5,FALSE))</f>
        <v>0</v>
      </c>
      <c r="D198" s="117">
        <v>0</v>
      </c>
      <c r="E198" s="160">
        <f>IF(ISNA(VLOOKUP("van781500000",Balanceanp!C:G,5,FALSE))=TRUE,0,-VLOOKUP("van781500000",Balanceanp!C:G,5,FALSE))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22"/>
        <v>0</v>
      </c>
      <c r="J198" s="271">
        <f t="shared" si="23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IF(ISNA(VLOOKUP("van787250000",Balance!C:G,5,FALSE))=TRUE,0,-VLOOKUP("van787250000",Balance!C:G,5,FALSE))</f>
        <v>0</v>
      </c>
      <c r="D199" s="117">
        <v>0</v>
      </c>
      <c r="E199" s="160">
        <f>IF(ISNA(VLOOKUP("van787250000",Balanceanp!C:G,5,FALSE))=TRUE,0,-VLOOKUP("van787250000",Balanceanp!C:G,5,FALSE))</f>
        <v>3397.15</v>
      </c>
      <c r="F199" s="368">
        <f>+C199+C199/9*(12-Clients!$I$14)</f>
        <v>0</v>
      </c>
      <c r="G199" s="368">
        <v>0</v>
      </c>
      <c r="H199" s="410"/>
      <c r="I199" s="149">
        <f t="shared" si="22"/>
        <v>-1</v>
      </c>
      <c r="J199" s="271">
        <f t="shared" si="23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15</v>
      </c>
      <c r="D201" s="118">
        <f>SUM(D186:D200)</f>
        <v>0</v>
      </c>
      <c r="E201" s="163">
        <f>SUM(E186:E200)</f>
        <v>4496.0300000000007</v>
      </c>
      <c r="F201" s="136">
        <f>SUM(F186:F200)</f>
        <v>20</v>
      </c>
      <c r="G201" s="136">
        <f>SUM(G186:G200)</f>
        <v>0</v>
      </c>
      <c r="H201" s="421"/>
      <c r="I201" s="272">
        <f>+IF((E201)=0,,(F201-E201)/E201)</f>
        <v>-0.99555163110566436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276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0.35781619992975433</v>
      </c>
      <c r="C203" s="175">
        <f>+C103+C116+C129+C154+C168+C185-C201</f>
        <v>226907.82999999996</v>
      </c>
      <c r="D203" s="126">
        <f>+D103+D116+D129+D154+D168+D185-D201</f>
        <v>323698.30686612532</v>
      </c>
      <c r="E203" s="175">
        <f>+E103+E116+E129+E154+E168+E185-E201</f>
        <v>311596.55447999999</v>
      </c>
      <c r="F203" s="145">
        <f>+F103+F116+F129+F154+F168+F185-F201</f>
        <v>300747.42333333334</v>
      </c>
      <c r="G203" s="145">
        <f>+G103+G116+G129+G154+G168+G185-G201</f>
        <v>315392.71504961053</v>
      </c>
      <c r="H203" s="422">
        <f>+G203/$G$21</f>
        <v>0.35141249587700335</v>
      </c>
      <c r="I203" s="281">
        <f>+IF((E203)=0,,(F203-E203)/E203)</f>
        <v>-3.4817879051236462E-2</v>
      </c>
      <c r="J203" s="282">
        <f>+IF((F203)=0,,(G203-F203)/F203)</f>
        <v>4.8696316510233525E-2</v>
      </c>
      <c r="K203" s="58"/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8.6153843230473329E-2</v>
      </c>
      <c r="C205" s="177">
        <f>+C62-C203</f>
        <v>54634.143500000006</v>
      </c>
      <c r="D205" s="127">
        <f>+D62-D203</f>
        <v>99533.893133874692</v>
      </c>
      <c r="E205" s="177">
        <f>+E53-E203</f>
        <v>90901.369619999954</v>
      </c>
      <c r="F205" s="146">
        <f>+F62-F203</f>
        <v>54310.951166666637</v>
      </c>
      <c r="G205" s="146">
        <f>+G62-G203</f>
        <v>83230.829950389452</v>
      </c>
      <c r="H205" s="406">
        <f>+G205/$G$21</f>
        <v>9.2736300780378214E-2</v>
      </c>
      <c r="I205" s="226">
        <f>+IF((E205)=0,,(F205-E205)/E205)</f>
        <v>-0.40252879143949399</v>
      </c>
      <c r="J205" s="283">
        <f>+IF((F205)=0,,(G205-F205)/F205)</f>
        <v>0.53248706131061829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2.6270549469947311E-3</v>
      </c>
      <c r="C207" s="179">
        <f>+[2]Vannes!$C207</f>
        <v>1665.9372533450533</v>
      </c>
      <c r="D207" s="128">
        <v>5553.6896346497415</v>
      </c>
      <c r="E207" s="284">
        <f>+[1]Vannes!$G$207</f>
        <v>2051.77173652393</v>
      </c>
      <c r="F207" s="150">
        <f>+Repart!K5</f>
        <v>2127.5966126993258</v>
      </c>
      <c r="G207" s="150">
        <f>+Repart!Q5</f>
        <v>3397.2194105743301</v>
      </c>
      <c r="H207" s="423">
        <f>+G207/$G$21</f>
        <v>3.785202685876691E-3</v>
      </c>
      <c r="I207" s="281">
        <f>+IF((E207)=0,,(F207-E207)/E207)</f>
        <v>3.6955804988256978E-2</v>
      </c>
      <c r="J207" s="282">
        <f>+IF((F207)=0,,(G207-F207)/F207)</f>
        <v>0.59674037376108047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8.3526788283478606E-2</v>
      </c>
      <c r="C209" s="177">
        <f>+C205-C207</f>
        <v>52968.206246654954</v>
      </c>
      <c r="D209" s="127">
        <f>+D205-D207</f>
        <v>93980.203499224954</v>
      </c>
      <c r="E209" s="177">
        <f>+E205-E207</f>
        <v>88849.597883476017</v>
      </c>
      <c r="F209" s="146">
        <f>+F205-F207</f>
        <v>52183.354553967314</v>
      </c>
      <c r="G209" s="146">
        <f>+G205-G207</f>
        <v>79833.610539815127</v>
      </c>
      <c r="H209" s="406">
        <f>+G209/$G$21</f>
        <v>8.8951098094501538E-2</v>
      </c>
      <c r="I209" s="226">
        <f>+IF((E209)=0,,(F209-E209)/E209)</f>
        <v>-0.4126776508048528</v>
      </c>
      <c r="J209" s="283">
        <f>+IF((F209)=0,,(G209-F209)/F209)</f>
        <v>0.52986735372200522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1.0305290924501352E-2</v>
      </c>
      <c r="C211" s="160">
        <f>+[2]Vannes!$C211</f>
        <v>6535.0624193548392</v>
      </c>
      <c r="D211" s="117">
        <v>9026.0372215405096</v>
      </c>
      <c r="E211" s="160">
        <f>+[1]Vannes!$G211</f>
        <v>8095.0860719999991</v>
      </c>
      <c r="F211" s="368">
        <f>+Repart!I5</f>
        <v>8997.9607634408567</v>
      </c>
      <c r="G211" s="368">
        <f>+Repart!O5</f>
        <v>9644.6846793104778</v>
      </c>
      <c r="H211" s="410"/>
      <c r="I211" s="149">
        <f t="shared" ref="I211:J213" si="24">+IF((E211)=0,,(F211-E211)/E211)</f>
        <v>0.11153367405984731</v>
      </c>
      <c r="J211" s="271">
        <f t="shared" si="24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3.8661829325238185E-2</v>
      </c>
      <c r="C212" s="160">
        <f>+[2]Vannes!$C212</f>
        <v>24517.25717768617</v>
      </c>
      <c r="D212" s="117">
        <v>35177.410076654225</v>
      </c>
      <c r="E212" s="160">
        <f>+[1]Vannes!$G212</f>
        <v>31489.546341785539</v>
      </c>
      <c r="F212" s="368">
        <f>+Repart!J5</f>
        <v>32261.13373209483</v>
      </c>
      <c r="G212" s="368">
        <f>+Repart!P5</f>
        <v>36602.465226814231</v>
      </c>
      <c r="H212" s="410"/>
      <c r="I212" s="149">
        <f t="shared" si="24"/>
        <v>2.4502969396082434E-2</v>
      </c>
      <c r="J212" s="271">
        <f t="shared" si="24"/>
        <v>0.134568472725447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+[2]Vannes!$C213</f>
        <v>-9257.24</v>
      </c>
      <c r="D213" s="117">
        <v>-10200</v>
      </c>
      <c r="E213" s="160">
        <f>+[1]Vannes!$G213</f>
        <v>-9447.68</v>
      </c>
      <c r="F213" s="368">
        <f>+C213+C213/9*(12-Clients!$I$14)</f>
        <v>-12342.986666666668</v>
      </c>
      <c r="G213" s="368">
        <f>+G253*-4%</f>
        <v>-10200</v>
      </c>
      <c r="H213" s="410"/>
      <c r="I213" s="149">
        <f t="shared" si="24"/>
        <v>0.30645689382649149</v>
      </c>
      <c r="J213" s="271">
        <f t="shared" si="24"/>
        <v>-0.17361978300227721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3.4369164601238032E-2</v>
      </c>
      <c r="C215" s="180">
        <f>SUM(C210:C213)</f>
        <v>21795.079597041011</v>
      </c>
      <c r="D215" s="129">
        <f>SUM(D210:D213)</f>
        <v>34003.447298194733</v>
      </c>
      <c r="E215" s="180">
        <f>SUM(E210:E213)</f>
        <v>30136.952413785541</v>
      </c>
      <c r="F215" s="148">
        <f>SUM(F210:F213)</f>
        <v>28916.107828869015</v>
      </c>
      <c r="G215" s="148">
        <f>SUM(G210:G213)</f>
        <v>36047.149906124709</v>
      </c>
      <c r="H215" s="424">
        <f>+G215/$G$21</f>
        <v>4.0163955327158447E-2</v>
      </c>
      <c r="I215" s="281">
        <f>+IF((E215)=0,,(F215-E215)/E215)</f>
        <v>-4.0509888596368983E-2</v>
      </c>
      <c r="J215" s="282">
        <f>+IF((F215)=0,,(G215-F215)/F215)</f>
        <v>0.2466114084045663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4.9157623682240574E-2</v>
      </c>
      <c r="C217" s="177">
        <f>+C209-C215</f>
        <v>31173.126649613943</v>
      </c>
      <c r="D217" s="127">
        <f>+D209-D215</f>
        <v>59976.756201030221</v>
      </c>
      <c r="E217" s="177">
        <f>+E209-E215</f>
        <v>58712.645469690477</v>
      </c>
      <c r="F217" s="146">
        <f>+F209-F215</f>
        <v>23267.246725098299</v>
      </c>
      <c r="G217" s="146">
        <f>+G209-G215</f>
        <v>43786.460633690418</v>
      </c>
      <c r="H217" s="406">
        <f>+G217/$G$21</f>
        <v>4.8787142767343084E-2</v>
      </c>
      <c r="I217" s="226">
        <f>+IF((E217)=0,,(F217-E217)/E217)</f>
        <v>-0.60370978791766994</v>
      </c>
      <c r="J217" s="283">
        <f>+IF((F217)=0,,(G217-F217)/F217)</f>
        <v>0.88189265154686791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89" t="s">
        <v>43</v>
      </c>
      <c r="C218" s="17">
        <f>+C225-C226-C215-C207-C53+C62-C38+C213</f>
        <v>31173.126649613834</v>
      </c>
      <c r="D218" s="117">
        <f>+[2]Vannes!$H$217</f>
        <v>59976.756201030221</v>
      </c>
      <c r="E218" s="17">
        <f>+[1]Vannes!$G$217</f>
        <v>58712.645469690477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151.71746904031178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+B220/(C21*1.196)*Clients!K19</f>
        <v>78.998203489402826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741833.62029743998</v>
      </c>
      <c r="D222" s="265">
        <f>+(D215+D207+D203)/D60</f>
        <v>789685.74738906475</v>
      </c>
      <c r="E222" s="265">
        <f>+(E215+E207+E203)/E54</f>
        <v>739484.00937049766</v>
      </c>
      <c r="F222" s="265">
        <f>+(F215+F207+F203)/F60</f>
        <v>737313.61727755924</v>
      </c>
      <c r="G222" s="265">
        <f>+(G215+G207+G203)/G60</f>
        <v>788526.85414735461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61819.468358120001</v>
      </c>
      <c r="D223" s="265">
        <f>+(D215+D207+D203)/D60/12</f>
        <v>65807.145615755391</v>
      </c>
      <c r="E223" s="265">
        <f>+(E215+E207+E203)/E54/12</f>
        <v>61623.667447541469</v>
      </c>
      <c r="F223" s="265">
        <f>+(F215+F207+F203)/F60/9</f>
        <v>81923.735253062143</v>
      </c>
      <c r="G223" s="265">
        <f>+(G215+G207+G203)/G60/12</f>
        <v>65710.571178946222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630143.41999999993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+C44-C38-C40+C103+C116+C129+C154+C156+C158+C160+C161+C162+C163+C165+C185+C213-C137</f>
        <v>608433.66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VANNES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5">+C51</f>
        <v>625648.82999999996</v>
      </c>
      <c r="D233" s="176">
        <f t="shared" si="25"/>
        <v>920070</v>
      </c>
      <c r="E233" s="175">
        <f t="shared" si="25"/>
        <v>865775.23</v>
      </c>
      <c r="F233" s="206">
        <f t="shared" si="25"/>
        <v>789018.61</v>
      </c>
      <c r="G233" s="206">
        <f t="shared" si="25"/>
        <v>885830.1</v>
      </c>
      <c r="H233" s="313"/>
      <c r="I233" s="281">
        <f>+I51</f>
        <v>-8.865652116196486E-2</v>
      </c>
      <c r="J233" s="192">
        <f t="shared" si="25"/>
        <v>0.12269861416830205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0.45</v>
      </c>
      <c r="D235" s="191">
        <f>+D60</f>
        <v>0.46</v>
      </c>
      <c r="E235" s="197">
        <f>+E60</f>
        <v>0.46489886768878796</v>
      </c>
      <c r="F235" s="224">
        <f>+F60</f>
        <v>0.45</v>
      </c>
      <c r="G235" s="224">
        <f>+G60</f>
        <v>0.45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281541.97349999996</v>
      </c>
      <c r="D236" s="170">
        <f>+D62</f>
        <v>423232.2</v>
      </c>
      <c r="E236" s="169">
        <f>+E62</f>
        <v>402497.92409999995</v>
      </c>
      <c r="F236" s="223">
        <f>+F62</f>
        <v>355058.37449999998</v>
      </c>
      <c r="G236" s="223">
        <f>+G62</f>
        <v>398623.54499999998</v>
      </c>
      <c r="H236" s="309"/>
      <c r="I236" s="226">
        <f>+IF((E236)=0,,(F236-E236)/E236)</f>
        <v>-0.11786284291049832</v>
      </c>
      <c r="J236" s="283">
        <f>+IF((F236)=0,,(G236-F236)/F236)</f>
        <v>0.12269861416830209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71193.59</v>
      </c>
      <c r="D238" s="294">
        <f>+D103</f>
        <v>94516.874435958991</v>
      </c>
      <c r="E238" s="293">
        <f>+E103</f>
        <v>93004.190000000017</v>
      </c>
      <c r="F238" s="295">
        <f>+F103</f>
        <v>94816.813333333354</v>
      </c>
      <c r="G238" s="295">
        <f>+G103</f>
        <v>94482.103226413019</v>
      </c>
      <c r="H238" s="388"/>
      <c r="I238" s="415">
        <f t="shared" ref="I238:J243" si="26">+IF((E238)=0,,(F238-E238)/E238)</f>
        <v>1.9489695392576788E-2</v>
      </c>
      <c r="J238" s="297">
        <f t="shared" si="26"/>
        <v>-3.5300712516423013E-3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29304.15</v>
      </c>
      <c r="D239" s="294">
        <f>+D116</f>
        <v>39931.220200000003</v>
      </c>
      <c r="E239" s="293">
        <f>+E116</f>
        <v>41633.82</v>
      </c>
      <c r="F239" s="295">
        <f>+F116</f>
        <v>39869.623333333337</v>
      </c>
      <c r="G239" s="295">
        <f>+G116</f>
        <v>37850</v>
      </c>
      <c r="H239" s="388"/>
      <c r="I239" s="415">
        <f t="shared" si="26"/>
        <v>-4.2374124369723057E-2</v>
      </c>
      <c r="J239" s="297">
        <f t="shared" si="26"/>
        <v>-5.0655691337941823E-2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9436.26</v>
      </c>
      <c r="D240" s="294">
        <f>+D129</f>
        <v>12612.249500000002</v>
      </c>
      <c r="E240" s="293">
        <f>+E129</f>
        <v>12435.24</v>
      </c>
      <c r="F240" s="295">
        <f>+F129</f>
        <v>9882.7599999999984</v>
      </c>
      <c r="G240" s="295">
        <f>+G129</f>
        <v>10171.078160000001</v>
      </c>
      <c r="H240" s="388"/>
      <c r="I240" s="415">
        <f t="shared" si="26"/>
        <v>-0.20526182043933219</v>
      </c>
      <c r="J240" s="297">
        <f t="shared" si="26"/>
        <v>2.9173850219979296E-2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110604.12999999999</v>
      </c>
      <c r="D241" s="294">
        <f>+D154</f>
        <v>158743.31386409752</v>
      </c>
      <c r="E241" s="293">
        <f>+E154</f>
        <v>163502.39447999999</v>
      </c>
      <c r="F241" s="295">
        <f>+F154</f>
        <v>147472.17333333334</v>
      </c>
      <c r="G241" s="295">
        <f>+G154</f>
        <v>154522.94827986415</v>
      </c>
      <c r="H241" s="388"/>
      <c r="I241" s="415">
        <f t="shared" si="26"/>
        <v>-9.8042730185382718E-2</v>
      </c>
      <c r="J241" s="297">
        <f t="shared" si="26"/>
        <v>4.781088382412222E-2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3388.9300000000003</v>
      </c>
      <c r="D242" s="294">
        <f>+D168</f>
        <v>13938.974560601097</v>
      </c>
      <c r="E242" s="293">
        <f>+E168</f>
        <v>-762.27000000000044</v>
      </c>
      <c r="F242" s="295">
        <f>+F168</f>
        <v>4518.5733333333328</v>
      </c>
      <c r="G242" s="295">
        <f>+G168</f>
        <v>13154.495783333336</v>
      </c>
      <c r="H242" s="388"/>
      <c r="I242" s="415">
        <f t="shared" si="26"/>
        <v>-6.9277858676496917</v>
      </c>
      <c r="J242" s="297">
        <f t="shared" si="26"/>
        <v>1.9112055538178723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2980.77</v>
      </c>
      <c r="D243" s="294">
        <f>+D185-D201</f>
        <v>3955.6743054677081</v>
      </c>
      <c r="E243" s="293">
        <f>+E185-E201</f>
        <v>1783.1799999999994</v>
      </c>
      <c r="F243" s="295">
        <f>+F185-F201</f>
        <v>4187.4799999999996</v>
      </c>
      <c r="G243" s="295">
        <f>+G185-G201</f>
        <v>5212.0895999999993</v>
      </c>
      <c r="H243" s="388"/>
      <c r="I243" s="415">
        <f t="shared" si="26"/>
        <v>1.348321537926626</v>
      </c>
      <c r="J243" s="297">
        <f t="shared" si="26"/>
        <v>0.24468405819251671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226907.82999999996</v>
      </c>
      <c r="D245" s="300">
        <f>+D203</f>
        <v>323698.30686612532</v>
      </c>
      <c r="E245" s="299">
        <f>+E203</f>
        <v>311596.55447999999</v>
      </c>
      <c r="F245" s="301">
        <f>+F203</f>
        <v>300747.42333333334</v>
      </c>
      <c r="G245" s="301">
        <f>+G203</f>
        <v>315392.71504961053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54634.143500000006</v>
      </c>
      <c r="D247" s="178">
        <f>+D205</f>
        <v>99533.893133874692</v>
      </c>
      <c r="E247" s="177">
        <f>+E205</f>
        <v>90901.369619999954</v>
      </c>
      <c r="F247" s="228">
        <f>+F205</f>
        <v>54310.951166666637</v>
      </c>
      <c r="G247" s="228">
        <f>+G205</f>
        <v>83230.829950389452</v>
      </c>
      <c r="H247" s="314"/>
      <c r="I247" s="226">
        <f>+IF((E247)=0,,(F247-E247)/E247)</f>
        <v>-0.40252879143949399</v>
      </c>
      <c r="J247" s="283">
        <f>+IF((F247)=0,,(G247-F247)/F247)</f>
        <v>0.53248706131061829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23461.016850386062</v>
      </c>
      <c r="D249" s="181">
        <f>+D207+D215</f>
        <v>39557.136932844471</v>
      </c>
      <c r="E249" s="180">
        <f>+E207+E215</f>
        <v>32188.72415030947</v>
      </c>
      <c r="F249" s="230">
        <f>+F207+F215</f>
        <v>31043.704441568341</v>
      </c>
      <c r="G249" s="230">
        <f>+G207+G215</f>
        <v>39444.369316699042</v>
      </c>
      <c r="H249" s="316"/>
      <c r="I249" s="281">
        <f>+I67</f>
        <v>-0.63838339713450354</v>
      </c>
      <c r="J249" s="192">
        <f>+J67</f>
        <v>3.0000000000000037E-2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31173.126649613943</v>
      </c>
      <c r="D251" s="178">
        <f>+D217</f>
        <v>59976.756201030221</v>
      </c>
      <c r="E251" s="177">
        <f>+E217</f>
        <v>58712.645469690477</v>
      </c>
      <c r="F251" s="228">
        <f>+F217</f>
        <v>23267.246725098299</v>
      </c>
      <c r="G251" s="228">
        <f>+G217</f>
        <v>43786.460633690418</v>
      </c>
      <c r="H251" s="314"/>
      <c r="I251" s="226">
        <f>+IF((E251)=0,,(F251-E251)/E251)</f>
        <v>-0.60370978791766994</v>
      </c>
      <c r="J251" s="283">
        <f>+IF((F251)=0,,(G251-F251)/F251)</f>
        <v>0.88189265154686791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228334.74</v>
      </c>
      <c r="D253" s="294">
        <v>310000</v>
      </c>
      <c r="E253" s="293">
        <f>+E28</f>
        <v>249833.79</v>
      </c>
      <c r="F253" s="295"/>
      <c r="G253" s="1162">
        <v>255000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741833.62029743998</v>
      </c>
      <c r="D254" s="294">
        <f>+D222</f>
        <v>789685.74738906475</v>
      </c>
      <c r="E254" s="293">
        <f>+E222</f>
        <v>739484.00937049766</v>
      </c>
      <c r="F254" s="295">
        <f>+F222</f>
        <v>737313.61727755924</v>
      </c>
      <c r="G254" s="295">
        <f>+G222</f>
        <v>788526.85414735461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  <pageSetUpPr fitToPage="1"/>
  </sheetPr>
  <dimension ref="A1:O256"/>
  <sheetViews>
    <sheetView topLeftCell="A227" workbookViewId="0">
      <selection activeCell="L1" sqref="L1"/>
    </sheetView>
  </sheetViews>
  <sheetFormatPr baseColWidth="10" defaultRowHeight="12.75"/>
  <cols>
    <col min="1" max="1" width="72.85546875" bestFit="1" customWidth="1"/>
    <col min="2" max="2" width="12.28515625" style="26" customWidth="1"/>
    <col min="3" max="4" width="14.85546875" style="26" customWidth="1"/>
    <col min="5" max="6" width="14.7109375" style="26" bestFit="1" customWidth="1"/>
    <col min="7" max="7" width="12.28515625" style="26" customWidth="1"/>
    <col min="8" max="8" width="12.28515625" style="26" bestFit="1" customWidth="1"/>
    <col min="9" max="9" width="12.28515625" style="26" hidden="1" customWidth="1"/>
    <col min="10" max="10" width="12.28515625" style="26" customWidth="1"/>
    <col min="11" max="11" width="9.5703125" style="66" customWidth="1"/>
    <col min="12" max="12" width="9.140625" style="66" bestFit="1" customWidth="1"/>
    <col min="13" max="13" width="12.7109375" style="28" customWidth="1"/>
    <col min="14" max="14" width="14.7109375" bestFit="1" customWidth="1"/>
  </cols>
  <sheetData>
    <row r="1" spans="1:13">
      <c r="A1" s="1" t="s">
        <v>515</v>
      </c>
      <c r="G1" s="45" t="s">
        <v>299</v>
      </c>
      <c r="M1" s="45"/>
    </row>
    <row r="2" spans="1:13">
      <c r="E2" s="86"/>
      <c r="F2" s="86"/>
    </row>
    <row r="3" spans="1:13" s="2" customFormat="1" ht="12.75" customHeight="1">
      <c r="A3" s="6"/>
      <c r="B3" s="155"/>
      <c r="C3" s="211"/>
      <c r="D3" s="211"/>
      <c r="E3" s="211"/>
      <c r="F3" s="211"/>
      <c r="G3" s="267" t="s">
        <v>55</v>
      </c>
      <c r="H3" s="130" t="s">
        <v>364</v>
      </c>
      <c r="I3" s="130" t="s">
        <v>543</v>
      </c>
      <c r="J3" s="104" t="s">
        <v>196</v>
      </c>
      <c r="K3" s="151" t="s">
        <v>225</v>
      </c>
      <c r="L3" s="183" t="s">
        <v>225</v>
      </c>
      <c r="M3" s="8" t="s">
        <v>196</v>
      </c>
    </row>
    <row r="4" spans="1:13" s="2" customFormat="1" ht="20.25" customHeight="1">
      <c r="A4" s="7" t="s">
        <v>434</v>
      </c>
      <c r="B4" s="1428" t="s">
        <v>204</v>
      </c>
      <c r="C4" s="1430" t="s">
        <v>207</v>
      </c>
      <c r="D4" s="331"/>
      <c r="E4" s="1426" t="s">
        <v>322</v>
      </c>
      <c r="F4" s="1426" t="s">
        <v>550</v>
      </c>
      <c r="G4" s="260" t="s">
        <v>366</v>
      </c>
      <c r="H4" s="131" t="s">
        <v>366</v>
      </c>
      <c r="I4" s="131" t="s">
        <v>432</v>
      </c>
      <c r="J4" s="105" t="s">
        <v>197</v>
      </c>
      <c r="K4" s="152" t="s">
        <v>55</v>
      </c>
      <c r="L4" s="131" t="s">
        <v>432</v>
      </c>
      <c r="M4" s="9" t="s">
        <v>197</v>
      </c>
    </row>
    <row r="5" spans="1:13" s="2" customFormat="1" ht="20.25" customHeight="1">
      <c r="A5" s="7"/>
      <c r="B5" s="1429"/>
      <c r="C5" s="1431"/>
      <c r="D5" s="375" t="s">
        <v>68</v>
      </c>
      <c r="E5" s="1427"/>
      <c r="F5" s="1427"/>
      <c r="G5" s="157">
        <f>G216</f>
        <v>0</v>
      </c>
      <c r="H5" s="157">
        <f>H216</f>
        <v>0</v>
      </c>
      <c r="I5" s="157">
        <f>I216</f>
        <v>0</v>
      </c>
      <c r="J5" s="157">
        <f>J216</f>
        <v>0</v>
      </c>
      <c r="K5" s="152"/>
      <c r="L5" s="132" t="s">
        <v>433</v>
      </c>
      <c r="M5" s="10"/>
    </row>
    <row r="6" spans="1:13" s="2" customFormat="1" ht="18">
      <c r="A6" s="68"/>
      <c r="B6" s="158"/>
      <c r="C6" s="216"/>
      <c r="D6" s="216"/>
      <c r="E6" s="216"/>
      <c r="F6" s="216"/>
      <c r="G6" s="269">
        <v>2009</v>
      </c>
      <c r="H6" s="133">
        <v>2010</v>
      </c>
      <c r="I6" s="133">
        <v>2009</v>
      </c>
      <c r="J6" s="159">
        <v>2011</v>
      </c>
      <c r="K6" s="153" t="s">
        <v>544</v>
      </c>
      <c r="L6" s="185" t="s">
        <v>368</v>
      </c>
      <c r="M6" s="4">
        <v>2010</v>
      </c>
    </row>
    <row r="7" spans="1:13" s="2" customFormat="1" ht="18">
      <c r="A7" s="67"/>
      <c r="B7" s="160"/>
      <c r="C7" s="113"/>
      <c r="D7" s="113"/>
      <c r="E7" s="113"/>
      <c r="F7" s="113"/>
      <c r="G7" s="237"/>
      <c r="H7" s="25"/>
      <c r="I7" s="25"/>
      <c r="J7" s="154"/>
      <c r="K7" s="149"/>
      <c r="L7" s="186"/>
      <c r="M7" s="5"/>
    </row>
    <row r="8" spans="1:13" s="2" customFormat="1" ht="11.25">
      <c r="A8" s="5" t="s">
        <v>221</v>
      </c>
      <c r="B8" s="160">
        <f>+Orléans!G8</f>
        <v>1100050</v>
      </c>
      <c r="C8" s="113">
        <f>+Château!G8</f>
        <v>495500</v>
      </c>
      <c r="D8" s="113">
        <f>+Bosc!G8</f>
        <v>1502600</v>
      </c>
      <c r="E8" s="113">
        <f>+Chartres!G8</f>
        <v>1170550</v>
      </c>
      <c r="F8" s="113">
        <f>+Chalette!G8</f>
        <v>489700</v>
      </c>
      <c r="G8" s="160">
        <f>+Orléans!E8+Château!E8+Chartres!E8+Bosc!E8</f>
        <v>3397516.5599999996</v>
      </c>
      <c r="H8" s="270">
        <f>+Orléans!F8+Château!F8+Chartres!F8+Bosc!F8+Chalette!F8</f>
        <v>4249000</v>
      </c>
      <c r="I8" s="270">
        <v>2590000</v>
      </c>
      <c r="J8" s="341">
        <f t="shared" ref="J8:J19" si="0">SUM(B8:F8)</f>
        <v>4758400</v>
      </c>
      <c r="K8" s="149">
        <f>+IF((G8)=0,,(H8-G8)/G8)</f>
        <v>0.25061936416286384</v>
      </c>
      <c r="L8" s="271">
        <f>+IF((H8)=0,,(J8-H8)/H8)</f>
        <v>0.11988703224288068</v>
      </c>
      <c r="M8" s="18">
        <v>2460000</v>
      </c>
    </row>
    <row r="9" spans="1:13" s="2" customFormat="1" ht="11.25">
      <c r="A9" s="5" t="s">
        <v>422</v>
      </c>
      <c r="B9" s="160">
        <f>+Orléans!G9</f>
        <v>0</v>
      </c>
      <c r="C9" s="113">
        <f>+Château!G9</f>
        <v>0</v>
      </c>
      <c r="D9" s="113">
        <f>+Bosc!G9</f>
        <v>0</v>
      </c>
      <c r="E9" s="113">
        <f>+Chartres!G9</f>
        <v>0</v>
      </c>
      <c r="F9" s="113">
        <f>+Chalette!G9</f>
        <v>0</v>
      </c>
      <c r="G9" s="160">
        <f>+Orléans!E9+Château!E9+Chartres!E9+Bosc!E9</f>
        <v>422390.75</v>
      </c>
      <c r="H9" s="270">
        <f>+Orléans!F9+Château!F9+Chartres!F9+Bosc!F9+Chalette!F9</f>
        <v>0</v>
      </c>
      <c r="I9" s="270">
        <v>0</v>
      </c>
      <c r="J9" s="341">
        <f t="shared" si="0"/>
        <v>0</v>
      </c>
      <c r="K9" s="149">
        <f t="shared" ref="K9:K19" si="1">+IF((G9)=0,,(H9-G9)/G9)</f>
        <v>-1</v>
      </c>
      <c r="L9" s="271">
        <f t="shared" ref="L9:L19" si="2">+IF((H9)=0,,(J9-H9)/H9)</f>
        <v>0</v>
      </c>
      <c r="M9" s="18"/>
    </row>
    <row r="10" spans="1:13" s="2" customFormat="1" ht="11.25">
      <c r="A10" s="5" t="s">
        <v>84</v>
      </c>
      <c r="B10" s="160">
        <f>+Orléans!G10</f>
        <v>0</v>
      </c>
      <c r="C10" s="113">
        <f>+Château!G10</f>
        <v>0</v>
      </c>
      <c r="D10" s="113">
        <f>+Bosc!G10</f>
        <v>0</v>
      </c>
      <c r="E10" s="113">
        <f>+Chartres!G10</f>
        <v>0</v>
      </c>
      <c r="F10" s="113">
        <f>+Chalette!G10</f>
        <v>0</v>
      </c>
      <c r="G10" s="160">
        <f>+Orléans!E10+Château!E10+Chartres!E10+Bosc!E10</f>
        <v>0</v>
      </c>
      <c r="H10" s="270">
        <f>+Orléans!F10+Château!F10+Chartres!F10+Bosc!F10+Chalette!F10</f>
        <v>0</v>
      </c>
      <c r="I10" s="270">
        <v>0</v>
      </c>
      <c r="J10" s="341">
        <f t="shared" si="0"/>
        <v>0</v>
      </c>
      <c r="K10" s="149">
        <f t="shared" si="1"/>
        <v>0</v>
      </c>
      <c r="L10" s="271">
        <f t="shared" si="2"/>
        <v>0</v>
      </c>
      <c r="M10" s="18"/>
    </row>
    <row r="11" spans="1:13" s="2" customFormat="1" ht="11.25">
      <c r="A11" s="5" t="s">
        <v>267</v>
      </c>
      <c r="B11" s="160">
        <f>+Orléans!G11</f>
        <v>0</v>
      </c>
      <c r="C11" s="113">
        <f>+Château!G11</f>
        <v>0</v>
      </c>
      <c r="D11" s="113">
        <f>+Bosc!G11</f>
        <v>0</v>
      </c>
      <c r="E11" s="113">
        <f>+Chartres!G11</f>
        <v>0</v>
      </c>
      <c r="F11" s="113">
        <f>+Chalette!G11</f>
        <v>0</v>
      </c>
      <c r="G11" s="160">
        <f>+Orléans!E11+Château!E11+Chartres!E11+Bosc!E11</f>
        <v>434.55</v>
      </c>
      <c r="H11" s="270">
        <f>+Orléans!F11+Château!F11+Chartres!F11+Bosc!F11+Chalette!F11</f>
        <v>262.64999999999998</v>
      </c>
      <c r="I11" s="270">
        <v>0</v>
      </c>
      <c r="J11" s="341">
        <f t="shared" si="0"/>
        <v>0</v>
      </c>
      <c r="K11" s="149">
        <f t="shared" si="1"/>
        <v>-0.39558163617535386</v>
      </c>
      <c r="L11" s="271">
        <f t="shared" si="2"/>
        <v>-1</v>
      </c>
      <c r="M11" s="18"/>
    </row>
    <row r="12" spans="1:13" s="2" customFormat="1" ht="11.25">
      <c r="A12" s="5" t="s">
        <v>46</v>
      </c>
      <c r="B12" s="160">
        <f>+Orléans!G12</f>
        <v>0</v>
      </c>
      <c r="C12" s="113">
        <f>+Château!G12</f>
        <v>0</v>
      </c>
      <c r="D12" s="113">
        <f>+Bosc!G12</f>
        <v>0</v>
      </c>
      <c r="E12" s="113">
        <f>+Chartres!G12</f>
        <v>0</v>
      </c>
      <c r="F12" s="113">
        <f>+Chalette!G12</f>
        <v>0</v>
      </c>
      <c r="G12" s="160">
        <f>+Orléans!E12+Château!E12+Chartres!E12+Bosc!E12</f>
        <v>0</v>
      </c>
      <c r="H12" s="270">
        <f>+Orléans!F12+Château!F12+Chartres!F12+Bosc!F12+Chalette!F12</f>
        <v>0</v>
      </c>
      <c r="I12" s="270">
        <v>0</v>
      </c>
      <c r="J12" s="341">
        <f t="shared" si="0"/>
        <v>0</v>
      </c>
      <c r="K12" s="149">
        <f t="shared" si="1"/>
        <v>0</v>
      </c>
      <c r="L12" s="271">
        <f t="shared" si="2"/>
        <v>0</v>
      </c>
      <c r="M12" s="18"/>
    </row>
    <row r="13" spans="1:13" s="2" customFormat="1" ht="11.25">
      <c r="A13" s="5" t="s">
        <v>268</v>
      </c>
      <c r="B13" s="160">
        <f>+Orléans!G13</f>
        <v>0</v>
      </c>
      <c r="C13" s="113">
        <f>+Château!G13</f>
        <v>0</v>
      </c>
      <c r="D13" s="113">
        <f>+Bosc!G13</f>
        <v>0</v>
      </c>
      <c r="E13" s="113">
        <f>+Chartres!G13</f>
        <v>0</v>
      </c>
      <c r="F13" s="113">
        <f>+Chalette!G13</f>
        <v>0</v>
      </c>
      <c r="G13" s="160">
        <f>+Orléans!E13+Château!E13+Chartres!E13+Bosc!E13</f>
        <v>0</v>
      </c>
      <c r="H13" s="270">
        <f>+Orléans!F13+Château!F13+Chartres!F13+Bosc!F13+Chalette!F13</f>
        <v>0</v>
      </c>
      <c r="I13" s="270">
        <v>0</v>
      </c>
      <c r="J13" s="341">
        <f t="shared" si="0"/>
        <v>0</v>
      </c>
      <c r="K13" s="149">
        <f t="shared" si="1"/>
        <v>0</v>
      </c>
      <c r="L13" s="271">
        <f t="shared" si="2"/>
        <v>0</v>
      </c>
      <c r="M13" s="18"/>
    </row>
    <row r="14" spans="1:13" s="2" customFormat="1" ht="11.25">
      <c r="A14" s="5" t="s">
        <v>269</v>
      </c>
      <c r="B14" s="160">
        <f>+Orléans!G14</f>
        <v>0</v>
      </c>
      <c r="C14" s="113">
        <f>+Château!G14</f>
        <v>0</v>
      </c>
      <c r="D14" s="113">
        <f>+Bosc!G14</f>
        <v>0</v>
      </c>
      <c r="E14" s="113">
        <f>+Chartres!G14</f>
        <v>0</v>
      </c>
      <c r="F14" s="113">
        <f>+Chalette!G14</f>
        <v>0</v>
      </c>
      <c r="G14" s="160">
        <f>+Orléans!E14+Château!E14+Chartres!E14+Bosc!E14</f>
        <v>2090.5100000000002</v>
      </c>
      <c r="H14" s="270">
        <f>+Orléans!F14+Château!F14+Chartres!F14+Bosc!F14+Chalette!F14</f>
        <v>2355.25</v>
      </c>
      <c r="I14" s="270">
        <v>0</v>
      </c>
      <c r="J14" s="341">
        <f t="shared" si="0"/>
        <v>0</v>
      </c>
      <c r="K14" s="149">
        <f t="shared" si="1"/>
        <v>0.12663895413081006</v>
      </c>
      <c r="L14" s="271">
        <f t="shared" si="2"/>
        <v>-1</v>
      </c>
      <c r="M14" s="18"/>
    </row>
    <row r="15" spans="1:13" s="2" customFormat="1" ht="11.25">
      <c r="A15" s="5" t="s">
        <v>270</v>
      </c>
      <c r="B15" s="160">
        <f>+Orléans!G15</f>
        <v>0</v>
      </c>
      <c r="C15" s="113">
        <f>+Château!G15</f>
        <v>0</v>
      </c>
      <c r="D15" s="113">
        <f>+Bosc!G15</f>
        <v>0</v>
      </c>
      <c r="E15" s="113">
        <f>+Chartres!G15</f>
        <v>0</v>
      </c>
      <c r="F15" s="113">
        <f>+Chalette!G15</f>
        <v>0</v>
      </c>
      <c r="G15" s="160">
        <f>+Orléans!E15+Château!E15+Chartres!E15+Bosc!E15</f>
        <v>6024</v>
      </c>
      <c r="H15" s="270">
        <f>+Orléans!F15+Château!F15+Chartres!F15+Bosc!F15+Chalette!F15</f>
        <v>4443</v>
      </c>
      <c r="I15" s="270">
        <v>0</v>
      </c>
      <c r="J15" s="341">
        <f t="shared" si="0"/>
        <v>0</v>
      </c>
      <c r="K15" s="149">
        <f t="shared" si="1"/>
        <v>-0.26245019920318724</v>
      </c>
      <c r="L15" s="271">
        <f t="shared" si="2"/>
        <v>-1</v>
      </c>
      <c r="M15" s="18"/>
    </row>
    <row r="16" spans="1:13" s="2" customFormat="1" ht="11.25">
      <c r="A16" s="5" t="s">
        <v>85</v>
      </c>
      <c r="B16" s="160">
        <f>+Orléans!G16</f>
        <v>0</v>
      </c>
      <c r="C16" s="113">
        <f>+Château!G16</f>
        <v>0</v>
      </c>
      <c r="D16" s="113">
        <f>+Bosc!G16</f>
        <v>0</v>
      </c>
      <c r="E16" s="113">
        <f>+Chartres!G16</f>
        <v>0</v>
      </c>
      <c r="F16" s="113">
        <f>+Chalette!G16</f>
        <v>0</v>
      </c>
      <c r="G16" s="160">
        <f>+Orléans!E16+Château!E16+Chartres!E16+Bosc!E16</f>
        <v>0</v>
      </c>
      <c r="H16" s="270">
        <f>+Orléans!F16+Château!F16+Chartres!F16+Bosc!F16+Chalette!F16</f>
        <v>0</v>
      </c>
      <c r="I16" s="270">
        <v>0</v>
      </c>
      <c r="J16" s="341">
        <f t="shared" si="0"/>
        <v>0</v>
      </c>
      <c r="K16" s="149">
        <f t="shared" si="1"/>
        <v>0</v>
      </c>
      <c r="L16" s="271">
        <f t="shared" si="2"/>
        <v>0</v>
      </c>
      <c r="M16" s="18"/>
    </row>
    <row r="17" spans="1:13" s="2" customFormat="1" ht="11.25">
      <c r="A17" s="5" t="s">
        <v>88</v>
      </c>
      <c r="B17" s="160">
        <f>+Orléans!G17</f>
        <v>0</v>
      </c>
      <c r="C17" s="113">
        <f>+Château!G17</f>
        <v>0</v>
      </c>
      <c r="D17" s="113">
        <f>+Bosc!G17</f>
        <v>0</v>
      </c>
      <c r="E17" s="113">
        <f>+Chartres!G17</f>
        <v>0</v>
      </c>
      <c r="F17" s="113">
        <f>+Chalette!G17</f>
        <v>0</v>
      </c>
      <c r="G17" s="160">
        <f>+Orléans!E17+Château!E17+Chartres!E17+Bosc!E17</f>
        <v>0</v>
      </c>
      <c r="H17" s="270">
        <f>+Orléans!F17+Château!F17+Chartres!F17+Bosc!F17+Chalette!F17</f>
        <v>0</v>
      </c>
      <c r="I17" s="270">
        <v>0</v>
      </c>
      <c r="J17" s="341">
        <f t="shared" si="0"/>
        <v>0</v>
      </c>
      <c r="K17" s="149">
        <f t="shared" si="1"/>
        <v>0</v>
      </c>
      <c r="L17" s="271">
        <f t="shared" si="2"/>
        <v>0</v>
      </c>
      <c r="M17" s="18"/>
    </row>
    <row r="18" spans="1:13" s="2" customFormat="1" ht="11.25">
      <c r="A18" s="5" t="s">
        <v>89</v>
      </c>
      <c r="B18" s="160">
        <f>+Orléans!G18</f>
        <v>0</v>
      </c>
      <c r="C18" s="113">
        <f>+Château!G18</f>
        <v>0</v>
      </c>
      <c r="D18" s="113">
        <f>+Bosc!G18</f>
        <v>0</v>
      </c>
      <c r="E18" s="113">
        <f>+Chartres!G18</f>
        <v>0</v>
      </c>
      <c r="F18" s="113">
        <f>+Chalette!G18</f>
        <v>0</v>
      </c>
      <c r="G18" s="160">
        <f>+Orléans!E18+Château!E18+Chartres!E18+Bosc!E18</f>
        <v>0</v>
      </c>
      <c r="H18" s="270">
        <f>+Orléans!F18+Château!F18+Chartres!F18+Bosc!F18+Chalette!F18</f>
        <v>0</v>
      </c>
      <c r="I18" s="270">
        <v>0</v>
      </c>
      <c r="J18" s="341">
        <f t="shared" si="0"/>
        <v>0</v>
      </c>
      <c r="K18" s="149">
        <f t="shared" si="1"/>
        <v>0</v>
      </c>
      <c r="L18" s="271">
        <f t="shared" si="2"/>
        <v>0</v>
      </c>
      <c r="M18" s="18"/>
    </row>
    <row r="19" spans="1:13" s="2" customFormat="1" ht="11.25">
      <c r="A19" s="5" t="s">
        <v>90</v>
      </c>
      <c r="B19" s="160">
        <f>+Orléans!G19</f>
        <v>0</v>
      </c>
      <c r="C19" s="113">
        <f>+Château!G19</f>
        <v>0</v>
      </c>
      <c r="D19" s="113">
        <f>+Bosc!G19</f>
        <v>0</v>
      </c>
      <c r="E19" s="113">
        <f>+Chartres!G19</f>
        <v>0</v>
      </c>
      <c r="F19" s="113">
        <f>+Chalette!G19</f>
        <v>0</v>
      </c>
      <c r="G19" s="160">
        <f>+Orléans!E19+Château!E19+Chartres!E19+Bosc!E19</f>
        <v>0</v>
      </c>
      <c r="H19" s="270">
        <f>+Orléans!F19+Château!F19+Chartres!F19+Bosc!F19+Chalette!F19</f>
        <v>0</v>
      </c>
      <c r="I19" s="270">
        <v>0</v>
      </c>
      <c r="J19" s="341">
        <f t="shared" si="0"/>
        <v>0</v>
      </c>
      <c r="K19" s="149">
        <f t="shared" si="1"/>
        <v>0</v>
      </c>
      <c r="L19" s="271">
        <f t="shared" si="2"/>
        <v>0</v>
      </c>
      <c r="M19" s="18"/>
    </row>
    <row r="20" spans="1:13" s="2" customFormat="1" ht="11.25">
      <c r="A20" s="5"/>
      <c r="B20" s="160"/>
      <c r="C20" s="113"/>
      <c r="D20" s="113"/>
      <c r="E20" s="113"/>
      <c r="F20" s="113"/>
      <c r="G20" s="160"/>
      <c r="H20" s="113"/>
      <c r="I20" s="113"/>
      <c r="J20" s="162"/>
      <c r="K20" s="149"/>
      <c r="L20" s="254"/>
      <c r="M20" s="18"/>
    </row>
    <row r="21" spans="1:13" s="57" customFormat="1" ht="15" customHeight="1">
      <c r="A21" s="13" t="s">
        <v>222</v>
      </c>
      <c r="B21" s="163">
        <f t="shared" ref="B21:H21" si="3">SUM(B7:B20)</f>
        <v>1100050</v>
      </c>
      <c r="C21" s="204">
        <f t="shared" si="3"/>
        <v>495500</v>
      </c>
      <c r="D21" s="204">
        <f t="shared" si="3"/>
        <v>1502600</v>
      </c>
      <c r="E21" s="204">
        <f t="shared" si="3"/>
        <v>1170550</v>
      </c>
      <c r="F21" s="204">
        <f>SUM(F7:F20)</f>
        <v>489700</v>
      </c>
      <c r="G21" s="163">
        <f t="shared" si="3"/>
        <v>3828456.3699999992</v>
      </c>
      <c r="H21" s="204">
        <f t="shared" si="3"/>
        <v>4256060.9000000004</v>
      </c>
      <c r="I21" s="204">
        <v>2590000</v>
      </c>
      <c r="J21" s="168">
        <f>SUM(J7:J20)</f>
        <v>4758400</v>
      </c>
      <c r="K21" s="272">
        <f>+IF((G21)=0,,(H21-G21)/G21)</f>
        <v>0.11169110698262999</v>
      </c>
      <c r="L21" s="188">
        <f>+IF((H21)=0,,(J21-H21)/H21)</f>
        <v>0.11802911466797845</v>
      </c>
      <c r="M21" s="305">
        <f>SUM(M7:M20)</f>
        <v>2460000</v>
      </c>
    </row>
    <row r="22" spans="1:13" s="57" customFormat="1" ht="15" customHeight="1">
      <c r="A22" s="5"/>
      <c r="B22" s="160"/>
      <c r="C22" s="113"/>
      <c r="D22" s="113"/>
      <c r="E22" s="113"/>
      <c r="F22" s="113"/>
      <c r="G22" s="160"/>
      <c r="H22" s="113"/>
      <c r="I22" s="113"/>
      <c r="J22" s="162"/>
      <c r="K22" s="149"/>
      <c r="L22" s="271"/>
      <c r="M22" s="18"/>
    </row>
    <row r="23" spans="1:13" s="2" customFormat="1" ht="11.25">
      <c r="A23" s="5" t="s">
        <v>92</v>
      </c>
      <c r="B23" s="160">
        <f>+Orléans!G23</f>
        <v>0</v>
      </c>
      <c r="C23" s="113">
        <f>+Château!G23</f>
        <v>0</v>
      </c>
      <c r="D23" s="113">
        <f>+Bosc!G23</f>
        <v>0</v>
      </c>
      <c r="E23" s="113">
        <f>+Chartres!G23</f>
        <v>0</v>
      </c>
      <c r="F23" s="113">
        <f>+Chalette!G23</f>
        <v>0</v>
      </c>
      <c r="G23" s="160">
        <f>+Orléans!E23+Château!E23+Chartres!E23+Bosc!E23</f>
        <v>144</v>
      </c>
      <c r="H23" s="270"/>
      <c r="I23" s="270"/>
      <c r="J23" s="341"/>
      <c r="K23" s="149"/>
      <c r="L23" s="271"/>
      <c r="M23" s="18"/>
    </row>
    <row r="24" spans="1:13" s="2" customFormat="1" ht="11.25">
      <c r="A24" s="5" t="s">
        <v>93</v>
      </c>
      <c r="B24" s="160">
        <f>+Orléans!G24</f>
        <v>0</v>
      </c>
      <c r="C24" s="113">
        <f>+Château!G24</f>
        <v>0</v>
      </c>
      <c r="D24" s="113">
        <f>+Bosc!G24</f>
        <v>0</v>
      </c>
      <c r="E24" s="113">
        <f>+Chartres!G24</f>
        <v>0</v>
      </c>
      <c r="F24" s="113">
        <f>+Chalette!G24</f>
        <v>0</v>
      </c>
      <c r="G24" s="160">
        <f>+Orléans!E24+Château!E24+Chartres!E24+Bosc!E24</f>
        <v>1330746.25</v>
      </c>
      <c r="H24" s="270"/>
      <c r="I24" s="270"/>
      <c r="J24" s="341"/>
      <c r="K24" s="149"/>
      <c r="L24" s="271"/>
      <c r="M24" s="18"/>
    </row>
    <row r="25" spans="1:13" s="2" customFormat="1" ht="11.25">
      <c r="A25" s="5" t="s">
        <v>94</v>
      </c>
      <c r="B25" s="160">
        <f>+Orléans!G25</f>
        <v>0</v>
      </c>
      <c r="C25" s="113">
        <f>+Château!G25</f>
        <v>0</v>
      </c>
      <c r="D25" s="113">
        <f>+Bosc!G25</f>
        <v>0</v>
      </c>
      <c r="E25" s="113">
        <f>+Chartres!G25</f>
        <v>0</v>
      </c>
      <c r="F25" s="113">
        <f>+Chalette!G25</f>
        <v>0</v>
      </c>
      <c r="G25" s="160">
        <f>+Orléans!E25+Château!E25+Chartres!E25+Bosc!E25</f>
        <v>97063.91</v>
      </c>
      <c r="H25" s="270"/>
      <c r="I25" s="270"/>
      <c r="J25" s="341"/>
      <c r="K25" s="149"/>
      <c r="L25" s="271"/>
      <c r="M25" s="18"/>
    </row>
    <row r="26" spans="1:13" s="57" customFormat="1" ht="15" customHeight="1">
      <c r="A26" s="5" t="s">
        <v>288</v>
      </c>
      <c r="B26" s="160">
        <f>+Orléans!G26</f>
        <v>0</v>
      </c>
      <c r="C26" s="113">
        <f>+Château!G26</f>
        <v>0</v>
      </c>
      <c r="D26" s="113">
        <f>+Bosc!G26</f>
        <v>0</v>
      </c>
      <c r="E26" s="113">
        <f>+Chartres!G26</f>
        <v>0</v>
      </c>
      <c r="F26" s="113">
        <f>+Chalette!G26</f>
        <v>0</v>
      </c>
      <c r="G26" s="160">
        <f>+Orléans!E26+Château!E26+Chartres!E26+Bosc!E26</f>
        <v>234888</v>
      </c>
      <c r="H26" s="270"/>
      <c r="I26" s="270"/>
      <c r="J26" s="341"/>
      <c r="K26" s="149"/>
      <c r="L26" s="271"/>
      <c r="M26" s="18"/>
    </row>
    <row r="27" spans="1:13" s="57" customFormat="1" ht="15" customHeight="1">
      <c r="A27" s="5" t="s">
        <v>289</v>
      </c>
      <c r="B27" s="160">
        <f>+Orléans!G27</f>
        <v>0</v>
      </c>
      <c r="C27" s="113">
        <f>+Château!G27</f>
        <v>0</v>
      </c>
      <c r="D27" s="113">
        <f>+Bosc!G27</f>
        <v>0</v>
      </c>
      <c r="E27" s="113">
        <f>+Chartres!G27</f>
        <v>0</v>
      </c>
      <c r="F27" s="113">
        <f>+Chalette!G27</f>
        <v>0</v>
      </c>
      <c r="G27" s="160">
        <f>+Orléans!E27+Château!E27+Chartres!E27+Bosc!E27</f>
        <v>-137778</v>
      </c>
      <c r="H27" s="270"/>
      <c r="I27" s="270"/>
      <c r="J27" s="341"/>
      <c r="K27" s="149"/>
      <c r="L27" s="271"/>
      <c r="M27" s="18"/>
    </row>
    <row r="28" spans="1:13" s="2" customFormat="1" ht="11.25">
      <c r="A28" s="5" t="s">
        <v>95</v>
      </c>
      <c r="B28" s="160">
        <f>+Orléans!G28</f>
        <v>250000</v>
      </c>
      <c r="C28" s="113">
        <f>+Château!G28</f>
        <v>105000</v>
      </c>
      <c r="D28" s="113">
        <f>+Bosc!G28</f>
        <v>330000</v>
      </c>
      <c r="E28" s="113">
        <f>+Chartres!G28</f>
        <v>200000</v>
      </c>
      <c r="F28" s="113">
        <f>+Chalette!G28</f>
        <v>140000</v>
      </c>
      <c r="G28" s="160">
        <f>+Orléans!E28+Château!E28+Chartres!E28+Bosc!E28</f>
        <v>857782.63</v>
      </c>
      <c r="H28" s="270"/>
      <c r="I28" s="270"/>
      <c r="J28" s="341"/>
      <c r="K28" s="149"/>
      <c r="L28" s="271"/>
      <c r="M28" s="18"/>
    </row>
    <row r="29" spans="1:13" s="2" customFormat="1" ht="11.25">
      <c r="A29" s="5" t="s">
        <v>293</v>
      </c>
      <c r="B29" s="160">
        <f>+Orléans!G29</f>
        <v>0</v>
      </c>
      <c r="C29" s="113">
        <f>+Château!G29</f>
        <v>0</v>
      </c>
      <c r="D29" s="113">
        <f>+Bosc!G29</f>
        <v>0</v>
      </c>
      <c r="E29" s="113">
        <f>+Chartres!G29</f>
        <v>0</v>
      </c>
      <c r="F29" s="113">
        <f>+Chalette!G29</f>
        <v>0</v>
      </c>
      <c r="G29" s="160">
        <f>+Orléans!E29+Château!E29+Chartres!E29+Bosc!E29</f>
        <v>0</v>
      </c>
      <c r="H29" s="270"/>
      <c r="I29" s="270"/>
      <c r="J29" s="341"/>
      <c r="K29" s="149"/>
      <c r="L29" s="271"/>
      <c r="M29" s="18"/>
    </row>
    <row r="30" spans="1:13" s="2" customFormat="1" ht="11.25">
      <c r="A30" s="42" t="s">
        <v>292</v>
      </c>
      <c r="B30" s="164">
        <f t="shared" ref="B30:G30" si="4">SUM(B23:B29)</f>
        <v>250000</v>
      </c>
      <c r="C30" s="220">
        <f t="shared" si="4"/>
        <v>105000</v>
      </c>
      <c r="D30" s="220">
        <f t="shared" si="4"/>
        <v>330000</v>
      </c>
      <c r="E30" s="220">
        <f t="shared" si="4"/>
        <v>200000</v>
      </c>
      <c r="F30" s="220">
        <f t="shared" si="4"/>
        <v>140000</v>
      </c>
      <c r="G30" s="164">
        <f t="shared" si="4"/>
        <v>2382846.79</v>
      </c>
      <c r="H30" s="220"/>
      <c r="I30" s="220">
        <v>0</v>
      </c>
      <c r="J30" s="165">
        <f>SUM(J23:J29)</f>
        <v>0</v>
      </c>
      <c r="K30" s="273"/>
      <c r="L30" s="342"/>
      <c r="M30" s="306"/>
    </row>
    <row r="31" spans="1:13" s="2" customFormat="1" ht="15" customHeight="1">
      <c r="A31" s="5"/>
      <c r="B31" s="160"/>
      <c r="C31" s="113"/>
      <c r="D31" s="113"/>
      <c r="E31" s="113"/>
      <c r="F31" s="113"/>
      <c r="G31" s="160"/>
      <c r="H31" s="113"/>
      <c r="I31" s="113"/>
      <c r="J31" s="162"/>
      <c r="K31" s="149"/>
      <c r="L31" s="254"/>
      <c r="M31" s="18"/>
    </row>
    <row r="32" spans="1:13" s="2" customFormat="1" ht="15" customHeight="1">
      <c r="A32" s="56" t="s">
        <v>336</v>
      </c>
      <c r="B32" s="166">
        <f t="shared" ref="B32:H32" si="5">+B21-B30-B38</f>
        <v>850050</v>
      </c>
      <c r="C32" s="221">
        <f t="shared" si="5"/>
        <v>390500</v>
      </c>
      <c r="D32" s="221">
        <f t="shared" si="5"/>
        <v>1172600</v>
      </c>
      <c r="E32" s="221">
        <f t="shared" si="5"/>
        <v>970550</v>
      </c>
      <c r="F32" s="221">
        <f>+F21-F30-F38</f>
        <v>349700</v>
      </c>
      <c r="G32" s="166">
        <f t="shared" si="5"/>
        <v>1432291.0341999992</v>
      </c>
      <c r="H32" s="221">
        <f t="shared" si="5"/>
        <v>4256060.9000000004</v>
      </c>
      <c r="I32" s="221">
        <v>2590000</v>
      </c>
      <c r="J32" s="167">
        <f>+J21-J30-J38</f>
        <v>4758400</v>
      </c>
      <c r="K32" s="273"/>
      <c r="L32" s="274"/>
      <c r="M32" s="307"/>
    </row>
    <row r="33" spans="1:13" s="2" customFormat="1" ht="11.25">
      <c r="A33" s="56" t="s">
        <v>337</v>
      </c>
      <c r="B33" s="196">
        <f t="shared" ref="B33:H33" si="6">+B32/B21</f>
        <v>0.77273760283623472</v>
      </c>
      <c r="C33" s="222">
        <f t="shared" si="6"/>
        <v>0.78809283551967713</v>
      </c>
      <c r="D33" s="222">
        <f t="shared" si="6"/>
        <v>0.78038067349926798</v>
      </c>
      <c r="E33" s="222">
        <f t="shared" si="6"/>
        <v>0.82914014779377221</v>
      </c>
      <c r="F33" s="222">
        <f>+F32/F21</f>
        <v>0.71411068000816824</v>
      </c>
      <c r="G33" s="196">
        <f t="shared" si="6"/>
        <v>0.37411711033812811</v>
      </c>
      <c r="H33" s="222">
        <f t="shared" si="6"/>
        <v>1</v>
      </c>
      <c r="I33" s="222">
        <v>1</v>
      </c>
      <c r="J33" s="189">
        <f>+J32/J21</f>
        <v>1</v>
      </c>
      <c r="K33" s="273"/>
      <c r="L33" s="274"/>
      <c r="M33" s="308"/>
    </row>
    <row r="34" spans="1:13" s="2" customFormat="1" ht="11.25">
      <c r="A34" s="5"/>
      <c r="B34" s="160"/>
      <c r="C34" s="113"/>
      <c r="D34" s="113"/>
      <c r="E34" s="113"/>
      <c r="F34" s="113"/>
      <c r="G34" s="160"/>
      <c r="H34" s="113"/>
      <c r="I34" s="113"/>
      <c r="J34" s="162"/>
      <c r="K34" s="149"/>
      <c r="L34" s="271"/>
      <c r="M34" s="18"/>
    </row>
    <row r="35" spans="1:13" s="33" customFormat="1" ht="15" customHeight="1">
      <c r="A35" s="5" t="s">
        <v>96</v>
      </c>
      <c r="B35" s="160">
        <f>+Orléans!G35</f>
        <v>0</v>
      </c>
      <c r="C35" s="113">
        <f>+Château!G35</f>
        <v>0</v>
      </c>
      <c r="D35" s="113">
        <f>+Bosc!G35</f>
        <v>0</v>
      </c>
      <c r="E35" s="113">
        <f>+Chartres!G35</f>
        <v>0</v>
      </c>
      <c r="F35" s="113">
        <f>+Chalette!G35</f>
        <v>0</v>
      </c>
      <c r="G35" s="160">
        <f>+Orléans!E35+Château!E35+Chartres!E35+Bosc!E35</f>
        <v>34924.6</v>
      </c>
      <c r="H35" s="270"/>
      <c r="I35" s="270"/>
      <c r="J35" s="341"/>
      <c r="K35" s="149"/>
      <c r="L35" s="271"/>
      <c r="M35" s="18"/>
    </row>
    <row r="36" spans="1:13" s="2" customFormat="1" ht="11.25">
      <c r="A36" s="5" t="s">
        <v>97</v>
      </c>
      <c r="B36" s="160">
        <f>+Orléans!G36</f>
        <v>0</v>
      </c>
      <c r="C36" s="113">
        <f>+Château!G36</f>
        <v>0</v>
      </c>
      <c r="D36" s="113">
        <f>+Bosc!G36</f>
        <v>0</v>
      </c>
      <c r="E36" s="113">
        <f>+Chartres!G36</f>
        <v>0</v>
      </c>
      <c r="F36" s="113">
        <f>+Chalette!G36</f>
        <v>0</v>
      </c>
      <c r="G36" s="160">
        <f>+Orléans!E36+Château!E36+Chartres!E36+Bosc!E36</f>
        <v>27284.19</v>
      </c>
      <c r="H36" s="270"/>
      <c r="I36" s="270"/>
      <c r="J36" s="341"/>
      <c r="K36" s="149"/>
      <c r="L36" s="271"/>
      <c r="M36" s="18"/>
    </row>
    <row r="37" spans="1:13" s="33" customFormat="1" ht="15.75" customHeight="1">
      <c r="A37" s="5" t="s">
        <v>98</v>
      </c>
      <c r="B37" s="160">
        <f>+Orléans!G37</f>
        <v>0</v>
      </c>
      <c r="C37" s="113">
        <f>+Château!G37</f>
        <v>0</v>
      </c>
      <c r="D37" s="113">
        <f>+Bosc!G37</f>
        <v>0</v>
      </c>
      <c r="E37" s="113">
        <f>+Chartres!G37</f>
        <v>0</v>
      </c>
      <c r="F37" s="113">
        <f>+Chalette!G37</f>
        <v>0</v>
      </c>
      <c r="G37" s="160">
        <f>+Orléans!E37+Château!E37+Chartres!E37+Bosc!E37</f>
        <v>0</v>
      </c>
      <c r="H37" s="270"/>
      <c r="I37" s="270"/>
      <c r="J37" s="341"/>
      <c r="K37" s="149"/>
      <c r="L37" s="271"/>
      <c r="M37" s="18"/>
    </row>
    <row r="38" spans="1:13" s="2" customFormat="1" ht="11.25">
      <c r="A38" s="5" t="s">
        <v>99</v>
      </c>
      <c r="B38" s="160">
        <f>+Orléans!G38</f>
        <v>0</v>
      </c>
      <c r="C38" s="113">
        <f>+Château!G38</f>
        <v>0</v>
      </c>
      <c r="D38" s="113">
        <f>+Bosc!G38</f>
        <v>0</v>
      </c>
      <c r="E38" s="113">
        <f>+Chartres!G38</f>
        <v>0</v>
      </c>
      <c r="F38" s="113">
        <f>+Chalette!G38</f>
        <v>0</v>
      </c>
      <c r="G38" s="160">
        <f>+Orléans!E38+Château!E38+Chartres!E38+Bosc!E38</f>
        <v>13318.545800000007</v>
      </c>
      <c r="H38" s="270"/>
      <c r="I38" s="270"/>
      <c r="J38" s="341"/>
      <c r="K38" s="149"/>
      <c r="L38" s="271"/>
      <c r="M38" s="18"/>
    </row>
    <row r="39" spans="1:13" s="2" customFormat="1" ht="11.25">
      <c r="A39" s="5" t="s">
        <v>177</v>
      </c>
      <c r="B39" s="160">
        <f>+Orléans!G39</f>
        <v>0</v>
      </c>
      <c r="C39" s="113">
        <f>+Château!G39</f>
        <v>0</v>
      </c>
      <c r="D39" s="113">
        <f>+Bosc!G39</f>
        <v>0</v>
      </c>
      <c r="E39" s="113">
        <f>+Chartres!G39</f>
        <v>0</v>
      </c>
      <c r="F39" s="113">
        <f>+Chalette!G39</f>
        <v>0</v>
      </c>
      <c r="G39" s="160">
        <f>+Orléans!E39+Château!E39+Chartres!E39+Bosc!E39</f>
        <v>26835.05</v>
      </c>
      <c r="H39" s="270"/>
      <c r="I39" s="270"/>
      <c r="J39" s="341"/>
      <c r="K39" s="149"/>
      <c r="L39" s="271"/>
      <c r="M39" s="18"/>
    </row>
    <row r="40" spans="1:13" s="2" customFormat="1" ht="11.25">
      <c r="A40" s="5" t="s">
        <v>176</v>
      </c>
      <c r="B40" s="160">
        <f>+Orléans!G40</f>
        <v>0</v>
      </c>
      <c r="C40" s="113">
        <f>+Château!G40</f>
        <v>0</v>
      </c>
      <c r="D40" s="113">
        <f>+Bosc!G40</f>
        <v>0</v>
      </c>
      <c r="E40" s="113">
        <f>+Chartres!G40</f>
        <v>0</v>
      </c>
      <c r="F40" s="113">
        <f>+Chalette!G40</f>
        <v>0</v>
      </c>
      <c r="G40" s="160">
        <f>+Orléans!E40+Château!E40+Chartres!E40+Bosc!E40</f>
        <v>-23820.239999999998</v>
      </c>
      <c r="H40" s="270"/>
      <c r="I40" s="270"/>
      <c r="J40" s="341"/>
      <c r="K40" s="149"/>
      <c r="L40" s="271"/>
      <c r="M40" s="18"/>
    </row>
    <row r="41" spans="1:13" s="2" customFormat="1" ht="11.25">
      <c r="A41" s="5" t="s">
        <v>317</v>
      </c>
      <c r="B41" s="160">
        <f>+Orléans!G41</f>
        <v>0</v>
      </c>
      <c r="C41" s="113">
        <f>+Château!G41</f>
        <v>0</v>
      </c>
      <c r="D41" s="113">
        <f>+Bosc!G41</f>
        <v>0</v>
      </c>
      <c r="E41" s="113">
        <f>+Chartres!G41</f>
        <v>0</v>
      </c>
      <c r="F41" s="113">
        <f>+Chalette!G41</f>
        <v>0</v>
      </c>
      <c r="G41" s="160">
        <f>+Orléans!E41+Château!E41+Chartres!E41+Bosc!E41</f>
        <v>-39454.17</v>
      </c>
      <c r="H41" s="270"/>
      <c r="I41" s="270"/>
      <c r="J41" s="341"/>
      <c r="K41" s="149"/>
      <c r="L41" s="271"/>
      <c r="M41" s="18"/>
    </row>
    <row r="42" spans="1:13" s="2" customFormat="1" ht="11.25">
      <c r="A42" s="5" t="s">
        <v>318</v>
      </c>
      <c r="B42" s="160">
        <f>+Orléans!G42</f>
        <v>0</v>
      </c>
      <c r="C42" s="113">
        <f>+Château!G42</f>
        <v>0</v>
      </c>
      <c r="D42" s="113">
        <f>+Bosc!G42</f>
        <v>0</v>
      </c>
      <c r="E42" s="113">
        <f>+Chartres!G42</f>
        <v>0</v>
      </c>
      <c r="F42" s="113">
        <f>+Chalette!G42</f>
        <v>0</v>
      </c>
      <c r="G42" s="160">
        <f>+Orléans!E42+Château!E42+Chartres!E42+Bosc!E42</f>
        <v>-60747.19</v>
      </c>
      <c r="H42" s="270"/>
      <c r="I42" s="270"/>
      <c r="J42" s="341"/>
      <c r="K42" s="149"/>
      <c r="L42" s="271"/>
      <c r="M42" s="18"/>
    </row>
    <row r="43" spans="1:13" s="2" customFormat="1" ht="11.25">
      <c r="A43" s="5"/>
      <c r="B43" s="160"/>
      <c r="C43" s="113"/>
      <c r="D43" s="113"/>
      <c r="E43" s="113"/>
      <c r="F43" s="113"/>
      <c r="G43" s="160"/>
      <c r="H43" s="113"/>
      <c r="I43" s="113"/>
      <c r="J43" s="162"/>
      <c r="K43" s="149"/>
      <c r="L43" s="254"/>
      <c r="M43" s="18"/>
    </row>
    <row r="44" spans="1:13" s="2" customFormat="1" ht="11.25">
      <c r="A44" s="13" t="s">
        <v>291</v>
      </c>
      <c r="B44" s="163">
        <f t="shared" ref="B44:H44" si="7">+B30+SUM(B34:B43)</f>
        <v>250000</v>
      </c>
      <c r="C44" s="204">
        <f t="shared" si="7"/>
        <v>105000</v>
      </c>
      <c r="D44" s="204">
        <f t="shared" si="7"/>
        <v>330000</v>
      </c>
      <c r="E44" s="204">
        <f t="shared" si="7"/>
        <v>200000</v>
      </c>
      <c r="F44" s="204">
        <f>+F30+SUM(F34:F43)</f>
        <v>140000</v>
      </c>
      <c r="G44" s="163">
        <f t="shared" si="7"/>
        <v>2361187.5758000002</v>
      </c>
      <c r="H44" s="204">
        <f t="shared" si="7"/>
        <v>0</v>
      </c>
      <c r="I44" s="204">
        <v>0</v>
      </c>
      <c r="J44" s="168">
        <f>+J30+SUM(J34:J43)</f>
        <v>0</v>
      </c>
      <c r="K44" s="272"/>
      <c r="L44" s="188"/>
      <c r="M44" s="305"/>
    </row>
    <row r="45" spans="1:13" s="2" customFormat="1" ht="11.25">
      <c r="A45" s="5"/>
      <c r="B45" s="160"/>
      <c r="C45" s="113"/>
      <c r="D45" s="113"/>
      <c r="E45" s="113"/>
      <c r="F45" s="113"/>
      <c r="G45" s="160"/>
      <c r="H45" s="113"/>
      <c r="I45" s="113"/>
      <c r="J45" s="162"/>
      <c r="K45" s="149"/>
      <c r="L45" s="254"/>
      <c r="M45" s="18"/>
    </row>
    <row r="46" spans="1:13" s="2" customFormat="1" ht="11.25">
      <c r="A46" s="56" t="s">
        <v>339</v>
      </c>
      <c r="B46" s="166">
        <f t="shared" ref="B46:G46" si="8">+B21-B44</f>
        <v>850050</v>
      </c>
      <c r="C46" s="221">
        <f t="shared" si="8"/>
        <v>390500</v>
      </c>
      <c r="D46" s="221">
        <f t="shared" si="8"/>
        <v>1172600</v>
      </c>
      <c r="E46" s="221">
        <f t="shared" si="8"/>
        <v>970550</v>
      </c>
      <c r="F46" s="221">
        <f t="shared" si="8"/>
        <v>349700</v>
      </c>
      <c r="G46" s="166">
        <f t="shared" si="8"/>
        <v>1467268.794199999</v>
      </c>
      <c r="H46" s="221"/>
      <c r="I46" s="221">
        <v>2590000</v>
      </c>
      <c r="J46" s="167">
        <f>+J21-J44</f>
        <v>4758400</v>
      </c>
      <c r="K46" s="273"/>
      <c r="L46" s="274"/>
      <c r="M46" s="307"/>
    </row>
    <row r="47" spans="1:13" s="2" customFormat="1" ht="11.25">
      <c r="A47" s="56" t="s">
        <v>340</v>
      </c>
      <c r="B47" s="196">
        <f t="shared" ref="B47:G47" si="9">+B46/B21</f>
        <v>0.77273760283623472</v>
      </c>
      <c r="C47" s="222">
        <f t="shared" si="9"/>
        <v>0.78809283551967713</v>
      </c>
      <c r="D47" s="222">
        <f t="shared" si="9"/>
        <v>0.78038067349926798</v>
      </c>
      <c r="E47" s="222">
        <f t="shared" si="9"/>
        <v>0.82914014779377221</v>
      </c>
      <c r="F47" s="222">
        <f t="shared" si="9"/>
        <v>0.71411068000816824</v>
      </c>
      <c r="G47" s="196">
        <f t="shared" si="9"/>
        <v>0.38325336699605622</v>
      </c>
      <c r="H47" s="222"/>
      <c r="I47" s="222">
        <v>1</v>
      </c>
      <c r="J47" s="189">
        <f>+J46/J21</f>
        <v>1</v>
      </c>
      <c r="K47" s="273"/>
      <c r="L47" s="274"/>
      <c r="M47" s="308"/>
    </row>
    <row r="48" spans="1:13" s="2" customFormat="1" ht="15" customHeight="1">
      <c r="A48" s="5"/>
      <c r="B48" s="160"/>
      <c r="C48" s="113"/>
      <c r="D48" s="113"/>
      <c r="E48" s="113"/>
      <c r="F48" s="113"/>
      <c r="G48" s="160"/>
      <c r="H48" s="113"/>
      <c r="I48" s="113"/>
      <c r="J48" s="162"/>
      <c r="K48" s="149"/>
      <c r="L48" s="271"/>
      <c r="M48" s="18"/>
    </row>
    <row r="49" spans="1:14" s="2" customFormat="1" ht="11.25">
      <c r="A49" s="5" t="s">
        <v>91</v>
      </c>
      <c r="B49" s="160">
        <f>+Orléans!G49</f>
        <v>15000</v>
      </c>
      <c r="C49" s="113">
        <f>+Château!G49</f>
        <v>12000</v>
      </c>
      <c r="D49" s="113">
        <f>+Bosc!G49</f>
        <v>28000</v>
      </c>
      <c r="E49" s="113">
        <f>+Chartres!G49</f>
        <v>10000</v>
      </c>
      <c r="F49" s="113">
        <f>+Chalette!G49</f>
        <v>5000</v>
      </c>
      <c r="G49" s="160">
        <f>+Orléans!E49+Château!E49+Chartres!E49+Bosc!E49</f>
        <v>57842.16</v>
      </c>
      <c r="H49" s="270">
        <f>+Orléans!F49+Château!F49+Chartres!F49+Bosc!F49+Chalette!F49</f>
        <v>63000</v>
      </c>
      <c r="I49" s="270">
        <v>37000</v>
      </c>
      <c r="J49" s="341">
        <f>SUM(B49:F49)</f>
        <v>70000</v>
      </c>
      <c r="K49" s="149">
        <f>+IF((G49)=0,,(H49-G49)/G49)</f>
        <v>8.9170943823674576E-2</v>
      </c>
      <c r="L49" s="271">
        <f>+IF((H49)=0,,(J49-H49)/H49)</f>
        <v>0.1111111111111111</v>
      </c>
      <c r="M49" s="18">
        <v>34000</v>
      </c>
    </row>
    <row r="50" spans="1:14" s="2" customFormat="1" ht="15" customHeight="1">
      <c r="A50" s="5"/>
      <c r="B50" s="160"/>
      <c r="C50" s="113"/>
      <c r="D50" s="113"/>
      <c r="E50" s="113"/>
      <c r="F50" s="113"/>
      <c r="G50" s="160"/>
      <c r="H50" s="113"/>
      <c r="I50" s="113"/>
      <c r="J50" s="162"/>
      <c r="K50" s="149"/>
      <c r="L50" s="271"/>
      <c r="M50" s="18"/>
    </row>
    <row r="51" spans="1:14" s="2" customFormat="1" ht="11.25">
      <c r="A51" s="13" t="s">
        <v>223</v>
      </c>
      <c r="B51" s="163">
        <f t="shared" ref="B51:H51" si="10">+B21-B49</f>
        <v>1085050</v>
      </c>
      <c r="C51" s="204">
        <f t="shared" si="10"/>
        <v>483500</v>
      </c>
      <c r="D51" s="204">
        <f t="shared" si="10"/>
        <v>1474600</v>
      </c>
      <c r="E51" s="204">
        <f t="shared" si="10"/>
        <v>1160550</v>
      </c>
      <c r="F51" s="204">
        <f>+F21-F49</f>
        <v>484700</v>
      </c>
      <c r="G51" s="163">
        <f t="shared" si="10"/>
        <v>3770614.209999999</v>
      </c>
      <c r="H51" s="204">
        <f t="shared" si="10"/>
        <v>4193060.9000000004</v>
      </c>
      <c r="I51" s="204">
        <v>2553000</v>
      </c>
      <c r="J51" s="168">
        <f>+J21-J49</f>
        <v>4688400</v>
      </c>
      <c r="K51" s="272"/>
      <c r="L51" s="188"/>
      <c r="M51" s="305">
        <f>+M21-M49</f>
        <v>2426000</v>
      </c>
    </row>
    <row r="52" spans="1:14" s="2" customFormat="1" ht="15" customHeight="1">
      <c r="A52" s="5"/>
      <c r="B52" s="160"/>
      <c r="C52" s="113"/>
      <c r="D52" s="113"/>
      <c r="E52" s="113"/>
      <c r="F52" s="113"/>
      <c r="G52" s="160"/>
      <c r="H52" s="113"/>
      <c r="I52" s="113"/>
      <c r="J52" s="162"/>
      <c r="K52" s="149"/>
      <c r="L52" s="254"/>
      <c r="M52" s="18"/>
    </row>
    <row r="53" spans="1:14" s="2" customFormat="1" ht="11.25">
      <c r="A53" s="16" t="s">
        <v>3</v>
      </c>
      <c r="B53" s="169">
        <f t="shared" ref="B53:G53" si="11">+B51-B44</f>
        <v>835050</v>
      </c>
      <c r="C53" s="223">
        <f t="shared" si="11"/>
        <v>378500</v>
      </c>
      <c r="D53" s="223">
        <f t="shared" si="11"/>
        <v>1144600</v>
      </c>
      <c r="E53" s="223">
        <f t="shared" si="11"/>
        <v>960550</v>
      </c>
      <c r="F53" s="223">
        <f t="shared" si="11"/>
        <v>344700</v>
      </c>
      <c r="G53" s="169">
        <f t="shared" si="11"/>
        <v>1409426.6341999988</v>
      </c>
      <c r="H53" s="223"/>
      <c r="I53" s="223">
        <v>2553000</v>
      </c>
      <c r="J53" s="170"/>
      <c r="K53" s="224"/>
      <c r="L53" s="123"/>
      <c r="M53" s="309"/>
    </row>
    <row r="54" spans="1:14" s="2" customFormat="1" ht="15" customHeight="1">
      <c r="A54" s="16" t="s">
        <v>4</v>
      </c>
      <c r="B54" s="197">
        <f t="shared" ref="B54:G54" si="12">+B53/B51</f>
        <v>0.7695958711580112</v>
      </c>
      <c r="C54" s="224">
        <f t="shared" si="12"/>
        <v>0.78283350568769394</v>
      </c>
      <c r="D54" s="224">
        <f t="shared" si="12"/>
        <v>0.77621049776210493</v>
      </c>
      <c r="E54" s="224">
        <f t="shared" si="12"/>
        <v>0.82766791607427515</v>
      </c>
      <c r="F54" s="224">
        <f t="shared" si="12"/>
        <v>0.71116154322261194</v>
      </c>
      <c r="G54" s="197">
        <f t="shared" si="12"/>
        <v>0.37379232021724101</v>
      </c>
      <c r="H54" s="224"/>
      <c r="I54" s="224">
        <v>1</v>
      </c>
      <c r="J54" s="191"/>
      <c r="K54" s="224"/>
      <c r="L54" s="123"/>
      <c r="M54" s="15"/>
    </row>
    <row r="55" spans="1:14" s="2" customFormat="1" ht="11.25">
      <c r="A55" s="5"/>
      <c r="B55" s="160"/>
      <c r="C55" s="113"/>
      <c r="D55" s="113"/>
      <c r="E55" s="113"/>
      <c r="F55" s="113"/>
      <c r="G55" s="160"/>
      <c r="H55" s="113"/>
      <c r="I55" s="113"/>
      <c r="J55" s="162"/>
      <c r="K55" s="149"/>
      <c r="L55" s="271"/>
      <c r="M55" s="18"/>
    </row>
    <row r="56" spans="1:14" s="2" customFormat="1" ht="11.25">
      <c r="A56" s="5" t="s">
        <v>290</v>
      </c>
      <c r="B56" s="160">
        <f>+Orléans!G56</f>
        <v>0</v>
      </c>
      <c r="C56" s="113">
        <f>+Château!G56</f>
        <v>0</v>
      </c>
      <c r="D56" s="113">
        <f>+Bosc!G56</f>
        <v>0</v>
      </c>
      <c r="E56" s="113">
        <f>+Chartres!G56</f>
        <v>0</v>
      </c>
      <c r="F56" s="113">
        <f>+Chalette!G56</f>
        <v>0</v>
      </c>
      <c r="G56" s="160">
        <f>+Orléans!E56+Château!E56+Chartres!E56+Bosc!E56</f>
        <v>515690.48140000005</v>
      </c>
      <c r="H56" s="270"/>
      <c r="I56" s="270">
        <v>0</v>
      </c>
      <c r="J56" s="341">
        <f>SUM(B56:F56)</f>
        <v>0</v>
      </c>
      <c r="K56" s="149"/>
      <c r="L56" s="271"/>
      <c r="M56" s="18"/>
    </row>
    <row r="57" spans="1:14" s="2" customFormat="1" ht="11.25">
      <c r="A57" s="5" t="s">
        <v>100</v>
      </c>
      <c r="B57" s="160">
        <f>+Orléans!G57</f>
        <v>0</v>
      </c>
      <c r="C57" s="113">
        <f>+Château!G57</f>
        <v>0</v>
      </c>
      <c r="D57" s="113">
        <f>+Bosc!G57</f>
        <v>0</v>
      </c>
      <c r="E57" s="113">
        <f>+Chartres!G57</f>
        <v>0</v>
      </c>
      <c r="F57" s="113">
        <f>+Chalette!G57</f>
        <v>0</v>
      </c>
      <c r="G57" s="160">
        <f>+Orléans!E57+Château!E57+Chartres!E57+Bosc!E57</f>
        <v>502371.93559999997</v>
      </c>
      <c r="H57" s="270"/>
      <c r="I57" s="270">
        <v>0</v>
      </c>
      <c r="J57" s="341">
        <f>SUM(B57:F57)</f>
        <v>0</v>
      </c>
      <c r="K57" s="149"/>
      <c r="L57" s="271"/>
      <c r="M57" s="18"/>
    </row>
    <row r="58" spans="1:14" s="2" customFormat="1" ht="12" thickBot="1">
      <c r="A58" s="21"/>
      <c r="B58" s="171"/>
      <c r="C58" s="205"/>
      <c r="D58" s="205"/>
      <c r="E58" s="205"/>
      <c r="F58" s="205"/>
      <c r="G58" s="171"/>
      <c r="H58" s="205"/>
      <c r="I58" s="205"/>
      <c r="J58" s="172"/>
      <c r="K58" s="236"/>
      <c r="L58" s="275"/>
      <c r="M58" s="310"/>
    </row>
    <row r="59" spans="1:14" s="2" customFormat="1" ht="12" thickTop="1">
      <c r="A59" s="5"/>
      <c r="B59" s="160"/>
      <c r="C59" s="113"/>
      <c r="D59" s="113"/>
      <c r="E59" s="113"/>
      <c r="F59" s="113"/>
      <c r="G59" s="160"/>
      <c r="H59" s="113"/>
      <c r="I59" s="113"/>
      <c r="J59" s="162"/>
      <c r="K59" s="149"/>
      <c r="L59" s="254"/>
      <c r="M59" s="18"/>
    </row>
    <row r="60" spans="1:14" s="2" customFormat="1" ht="15" customHeight="1">
      <c r="A60" s="16" t="s">
        <v>295</v>
      </c>
      <c r="B60" s="197">
        <f>+Orléans!G60</f>
        <v>0.41</v>
      </c>
      <c r="C60" s="224">
        <f>+Château!G60</f>
        <v>0.35</v>
      </c>
      <c r="D60" s="224">
        <f>+Bosc!G60</f>
        <v>0.37</v>
      </c>
      <c r="E60" s="224">
        <f>+Chartres!G60</f>
        <v>0.35499999999999998</v>
      </c>
      <c r="F60" s="224">
        <f>+Chalette!G60</f>
        <v>0.36</v>
      </c>
      <c r="G60" s="197">
        <f>+G62/G51</f>
        <v>0.23234012683572852</v>
      </c>
      <c r="H60" s="224">
        <f>+H62/H51</f>
        <v>0.36554799955326189</v>
      </c>
      <c r="I60" s="224">
        <v>0.37222875048962006</v>
      </c>
      <c r="J60" s="191">
        <f>+J62/J51</f>
        <v>0.37244790333589284</v>
      </c>
      <c r="K60" s="224"/>
      <c r="L60" s="123"/>
      <c r="M60" s="15">
        <f>+M62/M51</f>
        <v>0.36417147568013192</v>
      </c>
    </row>
    <row r="61" spans="1:14" s="2" customFormat="1" ht="11.25">
      <c r="A61" s="5" t="s">
        <v>75</v>
      </c>
      <c r="B61" s="92">
        <f>+Orléans!G61</f>
        <v>0</v>
      </c>
      <c r="C61" s="149">
        <f>+Château!G61</f>
        <v>0</v>
      </c>
      <c r="D61" s="149">
        <f>+Bosc!G61</f>
        <v>0</v>
      </c>
      <c r="E61" s="149">
        <f>+Chartres!G61</f>
        <v>0</v>
      </c>
      <c r="F61" s="149">
        <f>+Chalette!G61</f>
        <v>0</v>
      </c>
      <c r="G61" s="160"/>
      <c r="H61" s="113"/>
      <c r="I61" s="113"/>
      <c r="J61" s="162"/>
      <c r="K61" s="149"/>
      <c r="L61" s="254"/>
      <c r="M61" s="18"/>
    </row>
    <row r="62" spans="1:14" s="2" customFormat="1" ht="15" customHeight="1">
      <c r="A62" s="16" t="s">
        <v>296</v>
      </c>
      <c r="B62" s="169">
        <f>+B51*B60</f>
        <v>444870.5</v>
      </c>
      <c r="C62" s="223">
        <f>+C51*C60</f>
        <v>169225</v>
      </c>
      <c r="D62" s="223">
        <f>+D51*D60</f>
        <v>545602</v>
      </c>
      <c r="E62" s="223">
        <f>+E51*E60</f>
        <v>411995.25</v>
      </c>
      <c r="F62" s="223">
        <f>+F51*F60</f>
        <v>174492</v>
      </c>
      <c r="G62" s="169">
        <f>+Orléans!E62+Château!E62+Chartres!E62</f>
        <v>876064.98380000005</v>
      </c>
      <c r="H62" s="223">
        <f>+Orléans!F62+Château!F62+Chartres!F62+Bosc!F62+Chalette!F62</f>
        <v>1532765.024</v>
      </c>
      <c r="I62" s="223">
        <v>950300</v>
      </c>
      <c r="J62" s="170">
        <f>SUM(B62:F62)</f>
        <v>1746184.75</v>
      </c>
      <c r="K62" s="224">
        <f>+IF((G62)=0,,(H62-G62)/G62)</f>
        <v>0.74960197284853503</v>
      </c>
      <c r="L62" s="123">
        <f>+IF((H62)=0,,(J62-H62)/H62)</f>
        <v>0.13923838465666868</v>
      </c>
      <c r="M62" s="309">
        <v>883480</v>
      </c>
    </row>
    <row r="63" spans="1:14" s="2" customFormat="1" ht="11.25">
      <c r="A63" s="5"/>
      <c r="B63" s="160"/>
      <c r="C63" s="113"/>
      <c r="D63" s="113"/>
      <c r="E63" s="113"/>
      <c r="F63" s="113"/>
      <c r="G63" s="160"/>
      <c r="H63" s="113"/>
      <c r="I63" s="113"/>
      <c r="J63" s="162"/>
      <c r="K63" s="149"/>
      <c r="L63" s="271"/>
      <c r="M63" s="18"/>
    </row>
    <row r="64" spans="1:14" s="2" customFormat="1">
      <c r="A64" s="5" t="s">
        <v>104</v>
      </c>
      <c r="B64" s="160">
        <f>+Orléans!G64</f>
        <v>4169.0320000000011</v>
      </c>
      <c r="C64" s="113">
        <f>+Château!G64</f>
        <v>2769.6288</v>
      </c>
      <c r="D64" s="113">
        <f>+Bosc!G64</f>
        <v>6270</v>
      </c>
      <c r="E64" s="113">
        <f>+Chartres!G64</f>
        <v>7643.1600000000008</v>
      </c>
      <c r="F64" s="113">
        <f>+Chalette!G64</f>
        <v>3360</v>
      </c>
      <c r="G64" s="160">
        <f>+Orléans!E64+Château!E64+Chartres!E64+Bosc!E64</f>
        <v>20199.990000000002</v>
      </c>
      <c r="H64" s="270">
        <f>+Orléans!F64+Château!F64+Chartres!F64+Bosc!F64+Chalette!F64</f>
        <v>19498.436666666668</v>
      </c>
      <c r="I64" s="270">
        <v>13032.68</v>
      </c>
      <c r="J64" s="341">
        <f>SUM(B64:F64)</f>
        <v>24211.820800000001</v>
      </c>
      <c r="K64" s="149">
        <f>+IF((G64)=0,,(H64-G64)/G64)</f>
        <v>-3.4730380229561167E-2</v>
      </c>
      <c r="L64" s="271">
        <f>+IF((H64)=0,,(J64-H64)/H64)</f>
        <v>0.24173138667014496</v>
      </c>
      <c r="M64" s="18">
        <v>14226</v>
      </c>
      <c r="N64" s="26"/>
    </row>
    <row r="65" spans="1:14" s="2" customFormat="1">
      <c r="A65" s="5" t="s">
        <v>314</v>
      </c>
      <c r="B65" s="160">
        <f>+Orléans!G65</f>
        <v>0</v>
      </c>
      <c r="C65" s="113">
        <f>+Château!G65</f>
        <v>0</v>
      </c>
      <c r="D65" s="113">
        <f>+Bosc!G65</f>
        <v>0</v>
      </c>
      <c r="E65" s="113">
        <f>+Chartres!G65</f>
        <v>0</v>
      </c>
      <c r="F65" s="113">
        <f>+Chalette!G65</f>
        <v>0</v>
      </c>
      <c r="G65" s="160">
        <f>+Orléans!E65+Château!E65+Chartres!E65+Bosc!E65</f>
        <v>0</v>
      </c>
      <c r="H65" s="270">
        <f>+Orléans!F65+Château!F65+Chartres!F65+Bosc!F65+Chalette!F65</f>
        <v>0</v>
      </c>
      <c r="I65" s="270">
        <v>0</v>
      </c>
      <c r="J65" s="341">
        <f>SUM(B65:F65)</f>
        <v>0</v>
      </c>
      <c r="K65" s="149">
        <f>+IF((G65)=0,,(H65-G65)/G65)</f>
        <v>0</v>
      </c>
      <c r="L65" s="271">
        <f>+IF((H65)=0,,(J65-H65)/H65)</f>
        <v>0</v>
      </c>
      <c r="M65" s="18">
        <v>0</v>
      </c>
      <c r="N65" s="26"/>
    </row>
    <row r="66" spans="1:14" s="2" customFormat="1" ht="15" customHeight="1">
      <c r="A66" s="5" t="s">
        <v>110</v>
      </c>
      <c r="B66" s="160">
        <f>+Orléans!G66</f>
        <v>2210.3620000000001</v>
      </c>
      <c r="C66" s="113">
        <f>+Château!G66</f>
        <v>687.45600000000002</v>
      </c>
      <c r="D66" s="113">
        <f>+Bosc!G66</f>
        <v>2164.3020000000001</v>
      </c>
      <c r="E66" s="113">
        <f>+Chartres!G66</f>
        <v>2400</v>
      </c>
      <c r="F66" s="113">
        <f>+Chalette!G66</f>
        <v>0</v>
      </c>
      <c r="G66" s="160">
        <f>+Orléans!E66+Château!E66+Chartres!E66+Bosc!E66</f>
        <v>4968.8900000000003</v>
      </c>
      <c r="H66" s="270">
        <f>+Orléans!F66+Château!F66+Chartres!F66+Bosc!F66+Chalette!F66</f>
        <v>6728.1466666666674</v>
      </c>
      <c r="I66" s="270">
        <v>2350</v>
      </c>
      <c r="J66" s="341">
        <f>SUM(B66:F66)</f>
        <v>7462.1200000000008</v>
      </c>
      <c r="K66" s="149">
        <f>+IF((G66)=0,,(H66-G66)/G66)</f>
        <v>0.35405425893241088</v>
      </c>
      <c r="L66" s="271">
        <f>+IF((H66)=0,,(J66-H66)/H66)</f>
        <v>0.10908997227567373</v>
      </c>
      <c r="M66" s="18">
        <v>2618</v>
      </c>
      <c r="N66" s="26"/>
    </row>
    <row r="67" spans="1:14" s="2" customFormat="1">
      <c r="A67" s="5" t="s">
        <v>107</v>
      </c>
      <c r="B67" s="160">
        <f>+Orléans!G67</f>
        <v>2000</v>
      </c>
      <c r="C67" s="113">
        <f>+Château!G67</f>
        <v>600</v>
      </c>
      <c r="D67" s="113">
        <f>+Bosc!G67</f>
        <v>3900</v>
      </c>
      <c r="E67" s="113">
        <f>+Chartres!G67</f>
        <v>3100</v>
      </c>
      <c r="F67" s="113">
        <f>+Chalette!G67</f>
        <v>321.36</v>
      </c>
      <c r="G67" s="160">
        <f>+Orléans!E67+Château!E67+Chartres!E67+Bosc!E67</f>
        <v>9198.35</v>
      </c>
      <c r="H67" s="270">
        <f>+Orléans!F67+Château!F67+Chartres!F67+Bosc!F67+Chalette!F67</f>
        <v>16223.48</v>
      </c>
      <c r="I67" s="270">
        <v>2800</v>
      </c>
      <c r="J67" s="341">
        <f>SUM(B67:F67)</f>
        <v>9921.36</v>
      </c>
      <c r="K67" s="149">
        <f>+IF((G67)=0,,(H67-G67)/G67)</f>
        <v>0.76373806171759051</v>
      </c>
      <c r="L67" s="271">
        <f>+IF((H67)=0,,(J67-H67)/H67)</f>
        <v>-0.38845673061513308</v>
      </c>
      <c r="M67" s="18">
        <v>4300</v>
      </c>
      <c r="N67" s="26"/>
    </row>
    <row r="68" spans="1:14" s="2" customFormat="1" ht="18.75" customHeight="1">
      <c r="A68" s="5" t="s">
        <v>125</v>
      </c>
      <c r="B68" s="160">
        <f>+Orléans!G68</f>
        <v>3961.2289333333333</v>
      </c>
      <c r="C68" s="113">
        <f>+Château!G68</f>
        <v>1000</v>
      </c>
      <c r="D68" s="113">
        <f>+Bosc!G68</f>
        <v>4120</v>
      </c>
      <c r="E68" s="113">
        <f>+Chartres!G68</f>
        <v>5500</v>
      </c>
      <c r="F68" s="113">
        <f>+Chalette!G68</f>
        <v>1279.3835999999999</v>
      </c>
      <c r="G68" s="160">
        <f>+Orléans!E68+Château!E68+Chartres!E68+Bosc!E68</f>
        <v>11319.53</v>
      </c>
      <c r="H68" s="270">
        <f>+Orléans!F68+Château!F68+Chartres!F68+Bosc!F68+Chalette!F68</f>
        <v>14120.83</v>
      </c>
      <c r="I68" s="270">
        <v>9180</v>
      </c>
      <c r="J68" s="341">
        <f>SUM(B68:F68)</f>
        <v>15860.612533333333</v>
      </c>
      <c r="K68" s="149">
        <f>+IF((G68)=0,,(H68-G68)/G68)</f>
        <v>0.24747493933051984</v>
      </c>
      <c r="L68" s="271">
        <f>+IF((H68)=0,,(J68-H68)/H68)</f>
        <v>0.12320681810724533</v>
      </c>
      <c r="M68" s="18">
        <v>9680</v>
      </c>
      <c r="N68" s="26"/>
    </row>
    <row r="69" spans="1:14" s="2" customFormat="1">
      <c r="A69" s="5"/>
      <c r="B69" s="160"/>
      <c r="C69" s="113"/>
      <c r="D69" s="113"/>
      <c r="E69" s="113"/>
      <c r="F69" s="113"/>
      <c r="G69" s="160"/>
      <c r="H69" s="270"/>
      <c r="I69" s="270"/>
      <c r="J69" s="161"/>
      <c r="K69" s="149"/>
      <c r="L69" s="271"/>
      <c r="M69" s="18"/>
      <c r="N69" s="26"/>
    </row>
    <row r="70" spans="1:14" s="2" customFormat="1">
      <c r="A70" s="11" t="s">
        <v>128</v>
      </c>
      <c r="B70" s="173">
        <f t="shared" ref="B70:H70" si="13">SUM(B64:B69)</f>
        <v>12340.622933333334</v>
      </c>
      <c r="C70" s="227">
        <f t="shared" si="13"/>
        <v>5057.0848000000005</v>
      </c>
      <c r="D70" s="227">
        <f t="shared" si="13"/>
        <v>16454.302</v>
      </c>
      <c r="E70" s="227">
        <f t="shared" si="13"/>
        <v>18643.16</v>
      </c>
      <c r="F70" s="227">
        <f>SUM(F64:F69)</f>
        <v>4960.7435999999998</v>
      </c>
      <c r="G70" s="276">
        <f t="shared" si="13"/>
        <v>45686.76</v>
      </c>
      <c r="H70" s="343">
        <f t="shared" si="13"/>
        <v>56570.893333333341</v>
      </c>
      <c r="I70" s="343">
        <v>27362.68</v>
      </c>
      <c r="J70" s="277">
        <f>SUM(J64:J69)</f>
        <v>57455.913333333338</v>
      </c>
      <c r="K70" s="278">
        <f>+IF((G70)=0,,(H70-G70)/G70)</f>
        <v>0.23823386323156509</v>
      </c>
      <c r="L70" s="279">
        <f>+IF((H70)=0,,(J70-H70)/H70)</f>
        <v>1.5644440945720674E-2</v>
      </c>
      <c r="M70" s="311">
        <f>SUM(M64:M69)</f>
        <v>30824</v>
      </c>
      <c r="N70" s="26"/>
    </row>
    <row r="71" spans="1:14" s="2" customFormat="1">
      <c r="A71" s="5"/>
      <c r="B71" s="160"/>
      <c r="C71" s="113"/>
      <c r="D71" s="113"/>
      <c r="E71" s="113"/>
      <c r="F71" s="113"/>
      <c r="G71" s="160"/>
      <c r="H71" s="270"/>
      <c r="I71" s="270"/>
      <c r="J71" s="161"/>
      <c r="K71" s="149"/>
      <c r="L71" s="271"/>
      <c r="M71" s="18"/>
      <c r="N71" s="26"/>
    </row>
    <row r="72" spans="1:14" s="2" customFormat="1">
      <c r="A72" s="5" t="s">
        <v>1</v>
      </c>
      <c r="B72" s="160">
        <f>+Orléans!G72</f>
        <v>0</v>
      </c>
      <c r="C72" s="113">
        <f>+Château!G72</f>
        <v>16.740933333333331</v>
      </c>
      <c r="D72" s="113">
        <f>+Bosc!G72</f>
        <v>0</v>
      </c>
      <c r="E72" s="113">
        <f>+Chartres!G72</f>
        <v>0</v>
      </c>
      <c r="F72" s="113">
        <f>+Chalette!G72</f>
        <v>0</v>
      </c>
      <c r="G72" s="160">
        <f>+Orléans!E72+Château!E72+Chartres!E72+Bosc!E72</f>
        <v>18.64</v>
      </c>
      <c r="H72" s="270">
        <f>+Orléans!F72+Château!F72+Chartres!F72+Bosc!F72+Chalette!F72</f>
        <v>16.25333333333333</v>
      </c>
      <c r="I72" s="270">
        <v>1215.4180552991666</v>
      </c>
      <c r="J72" s="341">
        <f t="shared" ref="J72:J101" si="14">SUM(B72:F72)</f>
        <v>16.740933333333331</v>
      </c>
      <c r="K72" s="149">
        <f>+IF((G72)=0,,(H72-G72)/G72)</f>
        <v>-0.12804005722460676</v>
      </c>
      <c r="L72" s="271">
        <f>+IF((H72)=0,,(J72-H72)/H72)</f>
        <v>3.0000000000000034E-2</v>
      </c>
      <c r="M72" s="18">
        <v>114.39011766666667</v>
      </c>
      <c r="N72" s="26"/>
    </row>
    <row r="73" spans="1:14" s="2" customFormat="1">
      <c r="A73" s="5" t="s">
        <v>123</v>
      </c>
      <c r="B73" s="160">
        <f>+Orléans!G73</f>
        <v>4250</v>
      </c>
      <c r="C73" s="113">
        <f>+Château!G73</f>
        <v>5567.9877333333334</v>
      </c>
      <c r="D73" s="113">
        <f>+Bosc!G73</f>
        <v>3090</v>
      </c>
      <c r="E73" s="113">
        <f>+Chartres!G73</f>
        <v>1887.1934666666671</v>
      </c>
      <c r="F73" s="113">
        <f>+Chalette!G73</f>
        <v>1074.1870000000001</v>
      </c>
      <c r="G73" s="160">
        <f>+Orléans!E73+Château!E73+Chartres!E73+Bosc!E73</f>
        <v>19626.310000000001</v>
      </c>
      <c r="H73" s="270">
        <f>+Orléans!F73+Château!F73+Chartres!F73+Bosc!F73+Chalette!F73</f>
        <v>15020.215</v>
      </c>
      <c r="I73" s="270">
        <v>13233.533181484307</v>
      </c>
      <c r="J73" s="341">
        <f t="shared" si="14"/>
        <v>15869.368200000001</v>
      </c>
      <c r="K73" s="149">
        <f t="shared" ref="K73:K101" si="15">+IF((G73)=0,,(H73-G73)/G73)</f>
        <v>-0.23468981178835965</v>
      </c>
      <c r="L73" s="271">
        <f t="shared" ref="L73:L101" si="16">+IF((H73)=0,,(J73-H73)/H73)</f>
        <v>5.6534024313233906E-2</v>
      </c>
      <c r="M73" s="18">
        <v>9740.7479726666679</v>
      </c>
      <c r="N73" s="26"/>
    </row>
    <row r="74" spans="1:14" s="2" customFormat="1">
      <c r="A74" s="5" t="s">
        <v>124</v>
      </c>
      <c r="B74" s="160">
        <f>+Orléans!G74</f>
        <v>0</v>
      </c>
      <c r="C74" s="113">
        <f>+Château!G74</f>
        <v>0</v>
      </c>
      <c r="D74" s="113">
        <f>+Bosc!G74</f>
        <v>1983.0383999999999</v>
      </c>
      <c r="E74" s="113">
        <f>+Chartres!G74</f>
        <v>5197.8881333333329</v>
      </c>
      <c r="F74" s="113">
        <f>+Chalette!G74</f>
        <v>2479.2512000000002</v>
      </c>
      <c r="G74" s="160">
        <f>+Orléans!E74+Château!E74+Chartres!E74+Bosc!E74</f>
        <v>10158.02</v>
      </c>
      <c r="H74" s="270">
        <f>+Orléans!F74+Château!F74+Chartres!F74+Bosc!F74+Chalette!F74</f>
        <v>8777.0533333333333</v>
      </c>
      <c r="I74" s="270">
        <v>1620.1749770351389</v>
      </c>
      <c r="J74" s="341">
        <f t="shared" si="14"/>
        <v>9660.1777333333339</v>
      </c>
      <c r="K74" s="149">
        <f t="shared" si="15"/>
        <v>-0.13594840989352916</v>
      </c>
      <c r="L74" s="271">
        <f t="shared" si="16"/>
        <v>0.10061741298142587</v>
      </c>
      <c r="M74" s="18">
        <v>2801.9016583888892</v>
      </c>
      <c r="N74" s="26"/>
    </row>
    <row r="75" spans="1:14" s="2" customFormat="1">
      <c r="A75" s="5" t="s">
        <v>360</v>
      </c>
      <c r="B75" s="160">
        <f>+Orléans!G75</f>
        <v>0</v>
      </c>
      <c r="C75" s="113">
        <f>+Château!G75</f>
        <v>0</v>
      </c>
      <c r="D75" s="113">
        <f>+Bosc!G75</f>
        <v>0</v>
      </c>
      <c r="E75" s="113">
        <f>+Chartres!G75</f>
        <v>0</v>
      </c>
      <c r="F75" s="113">
        <f>+Chalette!G75</f>
        <v>0</v>
      </c>
      <c r="G75" s="160">
        <f>+Orléans!E75+Château!E75+Chartres!E75+Bosc!E75</f>
        <v>0</v>
      </c>
      <c r="H75" s="270">
        <f>+Orléans!F75+Château!F75+Chartres!F75+Bosc!F75+Chalette!F75</f>
        <v>0</v>
      </c>
      <c r="I75" s="270">
        <v>0</v>
      </c>
      <c r="J75" s="341">
        <f t="shared" si="14"/>
        <v>0</v>
      </c>
      <c r="K75" s="149">
        <f t="shared" si="15"/>
        <v>0</v>
      </c>
      <c r="L75" s="271">
        <f t="shared" si="16"/>
        <v>0</v>
      </c>
      <c r="M75" s="18">
        <v>0</v>
      </c>
      <c r="N75" s="26"/>
    </row>
    <row r="76" spans="1:14" s="2" customFormat="1">
      <c r="A76" s="5" t="s">
        <v>126</v>
      </c>
      <c r="B76" s="160">
        <f>+Orléans!G76</f>
        <v>238.82266666666669</v>
      </c>
      <c r="C76" s="113">
        <f>+Château!G76</f>
        <v>0</v>
      </c>
      <c r="D76" s="113">
        <f>+Bosc!G76</f>
        <v>10.286266666666666</v>
      </c>
      <c r="E76" s="113">
        <f>+Chartres!G76</f>
        <v>45.471066666666673</v>
      </c>
      <c r="F76" s="113">
        <f>+Chalette!G76</f>
        <v>312.64620000000002</v>
      </c>
      <c r="G76" s="160">
        <f>+Orléans!E76+Château!E76+Chartres!E76+Bosc!E76</f>
        <v>34.5</v>
      </c>
      <c r="H76" s="270">
        <f>+Orléans!F76+Château!F76+Chartres!F76+Bosc!F76+Chalette!F76</f>
        <v>513.65499999999997</v>
      </c>
      <c r="I76" s="270">
        <v>57.588107648749997</v>
      </c>
      <c r="J76" s="341">
        <f t="shared" si="14"/>
        <v>607.22620000000006</v>
      </c>
      <c r="K76" s="149">
        <f t="shared" si="15"/>
        <v>13.88855072463768</v>
      </c>
      <c r="L76" s="271">
        <f t="shared" si="16"/>
        <v>0.18216740808519355</v>
      </c>
      <c r="M76" s="18">
        <v>53.683136499999996</v>
      </c>
      <c r="N76" s="26"/>
    </row>
    <row r="77" spans="1:14" s="2" customFormat="1">
      <c r="A77" s="5" t="s">
        <v>127</v>
      </c>
      <c r="B77" s="160">
        <f>+Orléans!G77</f>
        <v>2871.2417333333333</v>
      </c>
      <c r="C77" s="113">
        <f>+Château!G77</f>
        <v>893.88893333333328</v>
      </c>
      <c r="D77" s="113">
        <f>+Bosc!G77</f>
        <v>1767.5761333333332</v>
      </c>
      <c r="E77" s="113">
        <f>+Chartres!G77</f>
        <v>2500</v>
      </c>
      <c r="F77" s="113">
        <f>+Chalette!G77</f>
        <v>1300</v>
      </c>
      <c r="G77" s="160">
        <f>+Orléans!E77+Château!E77+Chartres!E77+Bosc!E77</f>
        <v>8810.34</v>
      </c>
      <c r="H77" s="270">
        <f>+Orléans!F77+Château!F77+Chartres!F77+Bosc!F77+Chalette!F77</f>
        <v>10631.773333333333</v>
      </c>
      <c r="I77" s="270">
        <v>8463.6772756295832</v>
      </c>
      <c r="J77" s="341">
        <f t="shared" si="14"/>
        <v>9332.7067999999999</v>
      </c>
      <c r="K77" s="149">
        <f t="shared" si="15"/>
        <v>0.20673814328769746</v>
      </c>
      <c r="L77" s="271">
        <f t="shared" si="16"/>
        <v>-0.12218719235298466</v>
      </c>
      <c r="M77" s="18">
        <v>6626.2314377222219</v>
      </c>
      <c r="N77" s="26"/>
    </row>
    <row r="78" spans="1:14" s="2" customFormat="1">
      <c r="A78" s="5" t="s">
        <v>101</v>
      </c>
      <c r="B78" s="160">
        <f>+Orléans!G78</f>
        <v>0</v>
      </c>
      <c r="C78" s="113">
        <f>+Château!G78</f>
        <v>0</v>
      </c>
      <c r="D78" s="113">
        <f>+Bosc!G78</f>
        <v>0</v>
      </c>
      <c r="E78" s="113">
        <f>+Chartres!G78</f>
        <v>0</v>
      </c>
      <c r="F78" s="113">
        <f>+Chalette!G78</f>
        <v>0</v>
      </c>
      <c r="G78" s="160">
        <f>+Orléans!E78+Château!E78+Chartres!E78+Bosc!E78</f>
        <v>302.5</v>
      </c>
      <c r="H78" s="270">
        <f>+Orléans!F78+Château!F78+Chartres!F78+Bosc!F78+Chalette!F78</f>
        <v>0</v>
      </c>
      <c r="I78" s="270">
        <v>6.3419143262500004</v>
      </c>
      <c r="J78" s="341">
        <f t="shared" si="14"/>
        <v>0</v>
      </c>
      <c r="K78" s="149">
        <f t="shared" si="15"/>
        <v>-1</v>
      </c>
      <c r="L78" s="271">
        <f t="shared" si="16"/>
        <v>0</v>
      </c>
      <c r="M78" s="18">
        <v>24.6287935</v>
      </c>
      <c r="N78" s="26"/>
    </row>
    <row r="79" spans="1:14" s="2" customFormat="1">
      <c r="A79" s="5" t="s">
        <v>102</v>
      </c>
      <c r="B79" s="160">
        <f>+Orléans!G79</f>
        <v>34079.282000000007</v>
      </c>
      <c r="C79" s="113">
        <f>+Château!G79</f>
        <v>16953.3</v>
      </c>
      <c r="D79" s="113">
        <f>+Bosc!G79</f>
        <v>40228.65</v>
      </c>
      <c r="E79" s="113">
        <f>+Chartres!G79</f>
        <v>21661.220720961301</v>
      </c>
      <c r="F79" s="113">
        <f>+Chalette!G79</f>
        <v>19908.633102285501</v>
      </c>
      <c r="G79" s="160">
        <f>+Orléans!E79+Château!E79+Chartres!E79+Bosc!E79</f>
        <v>111524.1</v>
      </c>
      <c r="H79" s="270">
        <f>+Orléans!F79+Château!F79+Chartres!F79+Bosc!F79+Chalette!F79</f>
        <v>131060.66747845635</v>
      </c>
      <c r="I79" s="270">
        <v>71697.637600000002</v>
      </c>
      <c r="J79" s="341">
        <f t="shared" si="14"/>
        <v>132831.0858232468</v>
      </c>
      <c r="K79" s="149">
        <f t="shared" si="15"/>
        <v>0.17517798824161185</v>
      </c>
      <c r="L79" s="271">
        <f t="shared" si="16"/>
        <v>1.3508387976747261E-2</v>
      </c>
      <c r="M79" s="18">
        <v>63888.732199999999</v>
      </c>
      <c r="N79" s="26"/>
    </row>
    <row r="80" spans="1:14" s="2" customFormat="1">
      <c r="A80" s="5" t="s">
        <v>325</v>
      </c>
      <c r="B80" s="160">
        <f>+Orléans!G80</f>
        <v>0</v>
      </c>
      <c r="C80" s="113">
        <f>+Château!G80</f>
        <v>164.8</v>
      </c>
      <c r="D80" s="113">
        <f>+Bosc!G80</f>
        <v>0</v>
      </c>
      <c r="E80" s="113">
        <f>+Chartres!G80</f>
        <v>2500</v>
      </c>
      <c r="F80" s="113">
        <f>+Chalette!G80</f>
        <v>0</v>
      </c>
      <c r="G80" s="160">
        <f>+Orléans!E80+Château!E80+Chartres!E80+Bosc!E80</f>
        <v>1459.46</v>
      </c>
      <c r="H80" s="270">
        <f>+Orléans!F80+Château!F80+Chartres!F80+Bosc!F80+Chalette!F80</f>
        <v>1853.8133333333333</v>
      </c>
      <c r="I80" s="270">
        <v>1427.5974573555554</v>
      </c>
      <c r="J80" s="341">
        <f t="shared" si="14"/>
        <v>2664.8</v>
      </c>
      <c r="K80" s="149">
        <f t="shared" si="15"/>
        <v>0.27020496165248326</v>
      </c>
      <c r="L80" s="271">
        <f t="shared" si="16"/>
        <v>0.43746943237722619</v>
      </c>
      <c r="M80" s="18">
        <v>2074.1077955555556</v>
      </c>
      <c r="N80" s="26"/>
    </row>
    <row r="81" spans="1:14" s="2" customFormat="1">
      <c r="A81" s="5" t="s">
        <v>103</v>
      </c>
      <c r="B81" s="160">
        <f>+Orléans!G81</f>
        <v>0</v>
      </c>
      <c r="C81" s="113">
        <f>+Château!G81</f>
        <v>0</v>
      </c>
      <c r="D81" s="113">
        <f>+Bosc!G81</f>
        <v>0</v>
      </c>
      <c r="E81" s="113">
        <f>+Chartres!G81</f>
        <v>0</v>
      </c>
      <c r="F81" s="113">
        <f>+Chalette!G81</f>
        <v>0</v>
      </c>
      <c r="G81" s="160">
        <f>+Orléans!E81+Château!E81+Chartres!E81+Bosc!E81</f>
        <v>552.03</v>
      </c>
      <c r="H81" s="270">
        <f>+Orléans!F81+Château!F81+Chartres!F81+Bosc!F81+Chalette!F81</f>
        <v>0</v>
      </c>
      <c r="I81" s="270">
        <v>0</v>
      </c>
      <c r="J81" s="341">
        <f t="shared" si="14"/>
        <v>0</v>
      </c>
      <c r="K81" s="149">
        <f t="shared" si="15"/>
        <v>-1</v>
      </c>
      <c r="L81" s="271">
        <f t="shared" si="16"/>
        <v>0</v>
      </c>
      <c r="M81" s="18">
        <v>0</v>
      </c>
      <c r="N81" s="26"/>
    </row>
    <row r="82" spans="1:14" s="2" customFormat="1">
      <c r="A82" s="5" t="s">
        <v>105</v>
      </c>
      <c r="B82" s="160">
        <f>+Orléans!G82</f>
        <v>185.4</v>
      </c>
      <c r="C82" s="113">
        <f>+Château!G82</f>
        <v>185.4</v>
      </c>
      <c r="D82" s="113">
        <f>+Bosc!G82</f>
        <v>185.4</v>
      </c>
      <c r="E82" s="113">
        <f>+Chartres!G82</f>
        <v>185.4</v>
      </c>
      <c r="F82" s="113">
        <f>+Chalette!G82</f>
        <v>240</v>
      </c>
      <c r="G82" s="160">
        <f>+Orléans!E82+Château!E82+Chartres!E82+Bosc!E82</f>
        <v>720</v>
      </c>
      <c r="H82" s="270">
        <f>+Orléans!F82+Château!F82+Chartres!F82+Bosc!F82+Chalette!F82</f>
        <v>900</v>
      </c>
      <c r="I82" s="270">
        <v>587.45097250000003</v>
      </c>
      <c r="J82" s="341">
        <f t="shared" si="14"/>
        <v>981.6</v>
      </c>
      <c r="K82" s="149">
        <f t="shared" si="15"/>
        <v>0.25</v>
      </c>
      <c r="L82" s="271">
        <f t="shared" si="16"/>
        <v>9.0666666666666687E-2</v>
      </c>
      <c r="M82" s="18">
        <v>661.36300000000006</v>
      </c>
      <c r="N82" s="26"/>
    </row>
    <row r="83" spans="1:14" s="2" customFormat="1">
      <c r="A83" s="5" t="s">
        <v>287</v>
      </c>
      <c r="B83" s="160">
        <f>+Orléans!G83</f>
        <v>0</v>
      </c>
      <c r="C83" s="113">
        <f>+Château!G83</f>
        <v>52.186666666666675</v>
      </c>
      <c r="D83" s="113">
        <f>+Bosc!G83</f>
        <v>0</v>
      </c>
      <c r="E83" s="113">
        <f>+Chartres!G83</f>
        <v>0</v>
      </c>
      <c r="F83" s="113">
        <f>+Chalette!G83</f>
        <v>0</v>
      </c>
      <c r="G83" s="160">
        <f>+Orléans!E83+Château!E83+Chartres!E83+Bosc!E83</f>
        <v>1347.8899999999999</v>
      </c>
      <c r="H83" s="270">
        <f>+Orléans!F83+Château!F83+Chartres!F83+Bosc!F83+Chalette!F83</f>
        <v>50.666666666666671</v>
      </c>
      <c r="I83" s="270">
        <v>93.881066666666669</v>
      </c>
      <c r="J83" s="341">
        <f t="shared" si="14"/>
        <v>52.186666666666675</v>
      </c>
      <c r="K83" s="149">
        <f t="shared" si="15"/>
        <v>-0.96241038462584727</v>
      </c>
      <c r="L83" s="271">
        <f t="shared" si="16"/>
        <v>3.0000000000000058E-2</v>
      </c>
      <c r="M83" s="18">
        <v>68.666666666666671</v>
      </c>
      <c r="N83" s="26"/>
    </row>
    <row r="84" spans="1:14" s="2" customFormat="1">
      <c r="A84" s="5" t="s">
        <v>108</v>
      </c>
      <c r="B84" s="160">
        <f>+Orléans!G84</f>
        <v>7609.9558666666662</v>
      </c>
      <c r="C84" s="113">
        <f>+Château!G84</f>
        <v>1400.182</v>
      </c>
      <c r="D84" s="113">
        <f>+Bosc!G84</f>
        <v>254.32760000000002</v>
      </c>
      <c r="E84" s="113">
        <f>+Chartres!G84</f>
        <v>3909.4268000000006</v>
      </c>
      <c r="F84" s="113">
        <f>+Chalette!G84</f>
        <v>1000</v>
      </c>
      <c r="G84" s="160">
        <f>+Orléans!E84+Château!E84+Chartres!E84+Bosc!E84</f>
        <v>11186.759999999998</v>
      </c>
      <c r="H84" s="270">
        <f>+Orléans!F84+Château!F84+Chartres!F84+Bosc!F84+Chalette!F84</f>
        <v>13283.536666666667</v>
      </c>
      <c r="I84" s="270">
        <v>8782.0227941177764</v>
      </c>
      <c r="J84" s="341">
        <f t="shared" si="14"/>
        <v>14173.892266666668</v>
      </c>
      <c r="K84" s="149">
        <f t="shared" si="15"/>
        <v>0.18743377588029678</v>
      </c>
      <c r="L84" s="271">
        <f t="shared" si="16"/>
        <v>6.7026999084832131E-2</v>
      </c>
      <c r="M84" s="18">
        <v>6669.1828897777777</v>
      </c>
      <c r="N84" s="26"/>
    </row>
    <row r="85" spans="1:14" s="2" customFormat="1">
      <c r="A85" s="5" t="s">
        <v>109</v>
      </c>
      <c r="B85" s="160">
        <f>+Orléans!G85</f>
        <v>0</v>
      </c>
      <c r="C85" s="113">
        <f>+Château!G85</f>
        <v>0</v>
      </c>
      <c r="D85" s="113">
        <f>+Bosc!G85</f>
        <v>1476.2646666666669</v>
      </c>
      <c r="E85" s="113">
        <f>+Chartres!G85</f>
        <v>1282.6933333333334</v>
      </c>
      <c r="F85" s="113">
        <f>+Chalette!G85</f>
        <v>1000</v>
      </c>
      <c r="G85" s="160">
        <f>+Orléans!E85+Château!E85+Chartres!E85+Bosc!E85</f>
        <v>3195.06</v>
      </c>
      <c r="H85" s="270">
        <f>+Orléans!F85+Château!F85+Chartres!F85+Bosc!F85+Chalette!F85</f>
        <v>3624.6000000000004</v>
      </c>
      <c r="I85" s="270">
        <v>1943.6304197499999</v>
      </c>
      <c r="J85" s="341">
        <f t="shared" si="14"/>
        <v>3758.9580000000005</v>
      </c>
      <c r="K85" s="149">
        <f t="shared" si="15"/>
        <v>0.13443878988188029</v>
      </c>
      <c r="L85" s="271">
        <f t="shared" si="16"/>
        <v>3.7068366164542337E-2</v>
      </c>
      <c r="M85" s="18">
        <v>2303.3993</v>
      </c>
      <c r="N85" s="26"/>
    </row>
    <row r="86" spans="1:14" s="2" customFormat="1">
      <c r="A86" s="5" t="s">
        <v>106</v>
      </c>
      <c r="B86" s="160">
        <f>+Orléans!G86</f>
        <v>979.85960000000011</v>
      </c>
      <c r="C86" s="113">
        <f>+Château!G86</f>
        <v>491.88679999999999</v>
      </c>
      <c r="D86" s="113">
        <f>+Bosc!G86</f>
        <v>730.13266666666664</v>
      </c>
      <c r="E86" s="113">
        <f>+Chartres!G86</f>
        <v>0</v>
      </c>
      <c r="F86" s="113">
        <f>+Chalette!G86</f>
        <v>800</v>
      </c>
      <c r="G86" s="160">
        <f>+Orléans!E86+Château!E86+Chartres!E86+Bosc!E86</f>
        <v>1610.48</v>
      </c>
      <c r="H86" s="270">
        <f>+Orléans!F86+Château!F86+Chartres!F86+Bosc!F86+Chalette!F86</f>
        <v>2687.7466666666669</v>
      </c>
      <c r="I86" s="270">
        <v>5085.7939278108333</v>
      </c>
      <c r="J86" s="341">
        <f t="shared" si="14"/>
        <v>3001.8790666666664</v>
      </c>
      <c r="K86" s="149">
        <f t="shared" si="15"/>
        <v>0.66891030417432495</v>
      </c>
      <c r="L86" s="271">
        <f t="shared" si="16"/>
        <v>0.11687574721823962</v>
      </c>
      <c r="M86" s="18">
        <v>3646.2960303333334</v>
      </c>
      <c r="N86" s="26"/>
    </row>
    <row r="87" spans="1:14" s="2" customFormat="1">
      <c r="A87" s="5" t="s">
        <v>363</v>
      </c>
      <c r="B87" s="160">
        <f>+Orléans!G87</f>
        <v>0</v>
      </c>
      <c r="C87" s="113">
        <f>+Château!G87</f>
        <v>0</v>
      </c>
      <c r="D87" s="113">
        <f>+Bosc!G87</f>
        <v>0</v>
      </c>
      <c r="E87" s="113">
        <f>+Chartres!G87</f>
        <v>0</v>
      </c>
      <c r="F87" s="113">
        <f>+Chalette!G87</f>
        <v>0</v>
      </c>
      <c r="G87" s="160">
        <f>+Orléans!E87+Château!E87+Chartres!E87+Bosc!E87</f>
        <v>0</v>
      </c>
      <c r="H87" s="270">
        <f>+Orléans!F87+Château!F87+Chartres!F87+Bosc!F87+Chalette!F87</f>
        <v>0</v>
      </c>
      <c r="I87" s="270">
        <v>0</v>
      </c>
      <c r="J87" s="341">
        <f t="shared" si="14"/>
        <v>0</v>
      </c>
      <c r="K87" s="149">
        <f t="shared" si="15"/>
        <v>0</v>
      </c>
      <c r="L87" s="271">
        <f t="shared" si="16"/>
        <v>0</v>
      </c>
      <c r="M87" s="18">
        <v>0</v>
      </c>
      <c r="N87" s="26"/>
    </row>
    <row r="88" spans="1:14" s="2" customFormat="1">
      <c r="A88" s="5" t="s">
        <v>111</v>
      </c>
      <c r="B88" s="160">
        <f>+Orléans!G88</f>
        <v>3000</v>
      </c>
      <c r="C88" s="113">
        <f>+Château!G88</f>
        <v>2408.1120000000001</v>
      </c>
      <c r="D88" s="113">
        <f>+Bosc!G88</f>
        <v>3737.9160000000002</v>
      </c>
      <c r="E88" s="113">
        <f>+Chartres!G88</f>
        <v>2827.44</v>
      </c>
      <c r="F88" s="113">
        <f>+Chalette!G88</f>
        <v>2486.1109999999999</v>
      </c>
      <c r="G88" s="160">
        <f>+Orléans!E88+Château!E88+Chartres!E88+Bosc!E88</f>
        <v>9835.7999999999993</v>
      </c>
      <c r="H88" s="270">
        <f>+Orléans!F88+Château!F88+Chartres!F88+Bosc!F88+Chalette!F88</f>
        <v>13356.434999999999</v>
      </c>
      <c r="I88" s="270">
        <v>7271.7764644621247</v>
      </c>
      <c r="J88" s="341">
        <f t="shared" si="14"/>
        <v>14459.579000000002</v>
      </c>
      <c r="K88" s="149">
        <f t="shared" si="15"/>
        <v>0.35794088940401397</v>
      </c>
      <c r="L88" s="271">
        <f t="shared" si="16"/>
        <v>8.2592697826927783E-2</v>
      </c>
      <c r="M88" s="18">
        <v>7271.1058578485008</v>
      </c>
      <c r="N88" s="26"/>
    </row>
    <row r="89" spans="1:14" s="2" customFormat="1">
      <c r="A89" s="5" t="s">
        <v>315</v>
      </c>
      <c r="B89" s="160">
        <f>+Orléans!G89</f>
        <v>0</v>
      </c>
      <c r="C89" s="113">
        <f>+Château!G89</f>
        <v>0</v>
      </c>
      <c r="D89" s="113">
        <f>+Bosc!G89</f>
        <v>0</v>
      </c>
      <c r="E89" s="113">
        <f>+Chartres!G89</f>
        <v>0</v>
      </c>
      <c r="F89" s="113">
        <f>+Chalette!G89</f>
        <v>0</v>
      </c>
      <c r="G89" s="160">
        <f>+Orléans!E89+Château!E89+Chartres!E89+Bosc!E89</f>
        <v>0</v>
      </c>
      <c r="H89" s="270">
        <f>+Orléans!F89+Château!F89+Chartres!F89+Bosc!F89+Chalette!F89</f>
        <v>0</v>
      </c>
      <c r="I89" s="270">
        <v>0</v>
      </c>
      <c r="J89" s="341">
        <f t="shared" si="14"/>
        <v>0</v>
      </c>
      <c r="K89" s="149">
        <f t="shared" si="15"/>
        <v>0</v>
      </c>
      <c r="L89" s="271">
        <f t="shared" si="16"/>
        <v>0</v>
      </c>
      <c r="M89" s="18">
        <v>0</v>
      </c>
      <c r="N89" s="26"/>
    </row>
    <row r="90" spans="1:14" s="2" customFormat="1">
      <c r="A90" s="5" t="s">
        <v>112</v>
      </c>
      <c r="B90" s="160">
        <f>+Orléans!G90</f>
        <v>336.27440000000001</v>
      </c>
      <c r="C90" s="113">
        <f>+Château!G90</f>
        <v>362.43640000000005</v>
      </c>
      <c r="D90" s="113">
        <f>+Bosc!G90</f>
        <v>0</v>
      </c>
      <c r="E90" s="113">
        <f>+Chartres!G90</f>
        <v>286.60093333333333</v>
      </c>
      <c r="F90" s="113">
        <f>+Chalette!G90</f>
        <v>200</v>
      </c>
      <c r="G90" s="160">
        <f>+Orléans!E90+Château!E90+Chartres!E90+Bosc!E90</f>
        <v>1174.18</v>
      </c>
      <c r="H90" s="270">
        <f>+Orléans!F90+Château!F90+Chartres!F90+Bosc!F90+Chalette!F90</f>
        <v>956.61333333333346</v>
      </c>
      <c r="I90" s="270">
        <v>894.71117722625002</v>
      </c>
      <c r="J90" s="341">
        <f t="shared" si="14"/>
        <v>1185.3117333333334</v>
      </c>
      <c r="K90" s="149">
        <f t="shared" si="15"/>
        <v>-0.18529243102988177</v>
      </c>
      <c r="L90" s="271">
        <f t="shared" si="16"/>
        <v>0.23907088896941986</v>
      </c>
      <c r="M90" s="18">
        <v>843.60651350000012</v>
      </c>
      <c r="N90" s="26"/>
    </row>
    <row r="91" spans="1:14" s="2" customFormat="1">
      <c r="A91" s="5" t="s">
        <v>113</v>
      </c>
      <c r="B91" s="160">
        <f>+Orléans!G91</f>
        <v>901.53840000000002</v>
      </c>
      <c r="C91" s="113">
        <f>+Château!G91</f>
        <v>92.425333333333342</v>
      </c>
      <c r="D91" s="113">
        <f>+Bosc!G91</f>
        <v>1058.6752000000001</v>
      </c>
      <c r="E91" s="113">
        <f>+Chartres!G91</f>
        <v>1099.8065333333336</v>
      </c>
      <c r="F91" s="113">
        <f>+Chalette!G91</f>
        <v>500</v>
      </c>
      <c r="G91" s="160">
        <f>+Orléans!E91+Château!E91+Chartres!E91+Bosc!E91</f>
        <v>2023.9</v>
      </c>
      <c r="H91" s="270">
        <f>+Orléans!F91+Château!F91+Chartres!F91+Bosc!F91+Chalette!F91</f>
        <v>3060.626666666667</v>
      </c>
      <c r="I91" s="270">
        <v>2508.533642833333</v>
      </c>
      <c r="J91" s="341">
        <f t="shared" si="14"/>
        <v>3652.445466666667</v>
      </c>
      <c r="K91" s="149">
        <f t="shared" si="15"/>
        <v>0.51224204094405201</v>
      </c>
      <c r="L91" s="271">
        <f t="shared" si="16"/>
        <v>0.19336523674890108</v>
      </c>
      <c r="M91" s="18">
        <v>3630.6479333333332</v>
      </c>
      <c r="N91" s="26"/>
    </row>
    <row r="92" spans="1:14" s="2" customFormat="1">
      <c r="A92" s="5" t="s">
        <v>309</v>
      </c>
      <c r="B92" s="160">
        <f>+Orléans!G92</f>
        <v>0</v>
      </c>
      <c r="C92" s="113">
        <f>+Château!G92</f>
        <v>0</v>
      </c>
      <c r="D92" s="113">
        <f>+Bosc!G92</f>
        <v>0</v>
      </c>
      <c r="E92" s="113">
        <f>+Chartres!G92</f>
        <v>0</v>
      </c>
      <c r="F92" s="113">
        <f>+Chalette!G92</f>
        <v>0</v>
      </c>
      <c r="G92" s="160">
        <f>+Orléans!E92+Château!E92+Chartres!E92+Bosc!E92</f>
        <v>0</v>
      </c>
      <c r="H92" s="270">
        <f>+Orléans!F92+Château!F92+Chartres!F92+Bosc!F92+Chalette!F92</f>
        <v>0</v>
      </c>
      <c r="I92" s="270">
        <v>0</v>
      </c>
      <c r="J92" s="341">
        <f t="shared" si="14"/>
        <v>0</v>
      </c>
      <c r="K92" s="149">
        <f t="shared" si="15"/>
        <v>0</v>
      </c>
      <c r="L92" s="271">
        <f t="shared" si="16"/>
        <v>0</v>
      </c>
      <c r="M92" s="18">
        <v>0</v>
      </c>
      <c r="N92" s="26"/>
    </row>
    <row r="93" spans="1:14" s="2" customFormat="1">
      <c r="A93" s="5" t="s">
        <v>115</v>
      </c>
      <c r="B93" s="160">
        <f>+Orléans!G93</f>
        <v>0</v>
      </c>
      <c r="C93" s="113">
        <f>+Château!G93</f>
        <v>0</v>
      </c>
      <c r="D93" s="113">
        <f>+Bosc!G93</f>
        <v>0</v>
      </c>
      <c r="E93" s="113">
        <f>+Chartres!G93</f>
        <v>0</v>
      </c>
      <c r="F93" s="113">
        <f>+Chalette!G93</f>
        <v>0</v>
      </c>
      <c r="G93" s="160">
        <f>+Orléans!E93+Château!E93+Chartres!E93+Bosc!E93</f>
        <v>167.85</v>
      </c>
      <c r="H93" s="270">
        <f>+Orléans!F93+Château!F93+Chartres!F93+Bosc!F93+Chalette!F93</f>
        <v>3855</v>
      </c>
      <c r="I93" s="270">
        <v>4.5530291666666676</v>
      </c>
      <c r="J93" s="341">
        <f t="shared" si="14"/>
        <v>0</v>
      </c>
      <c r="K93" s="149">
        <f t="shared" si="15"/>
        <v>21.966934763181413</v>
      </c>
      <c r="L93" s="271">
        <f t="shared" si="16"/>
        <v>-1</v>
      </c>
      <c r="M93" s="18">
        <v>17.681666666666668</v>
      </c>
      <c r="N93" s="26"/>
    </row>
    <row r="94" spans="1:14" s="2" customFormat="1">
      <c r="A94" s="5" t="s">
        <v>42</v>
      </c>
      <c r="B94" s="160">
        <f>+Orléans!G94</f>
        <v>0</v>
      </c>
      <c r="C94" s="113">
        <f>+Château!G94</f>
        <v>0</v>
      </c>
      <c r="D94" s="113">
        <f>+Bosc!G94</f>
        <v>0</v>
      </c>
      <c r="E94" s="113">
        <f>+Chartres!G94</f>
        <v>0</v>
      </c>
      <c r="F94" s="113">
        <f>+Chalette!G94</f>
        <v>0</v>
      </c>
      <c r="G94" s="160">
        <f>+Orléans!E94+Château!E94+Chartres!E94+Bosc!E94</f>
        <v>63.1</v>
      </c>
      <c r="H94" s="270">
        <f>+Orléans!F94+Château!F94+Chartres!F94+Bosc!F94+Chalette!F94</f>
        <v>0</v>
      </c>
      <c r="I94" s="270">
        <v>0</v>
      </c>
      <c r="J94" s="341">
        <f t="shared" si="14"/>
        <v>0</v>
      </c>
      <c r="K94" s="149">
        <f t="shared" si="15"/>
        <v>-1</v>
      </c>
      <c r="L94" s="271">
        <f t="shared" si="16"/>
        <v>0</v>
      </c>
      <c r="M94" s="18">
        <v>0</v>
      </c>
      <c r="N94" s="26"/>
    </row>
    <row r="95" spans="1:14" s="2" customFormat="1">
      <c r="A95" s="5" t="s">
        <v>117</v>
      </c>
      <c r="B95" s="160">
        <f>+Orléans!G95</f>
        <v>7845.2490666666681</v>
      </c>
      <c r="C95" s="113">
        <f>+Château!G95</f>
        <v>4643.7755999999999</v>
      </c>
      <c r="D95" s="113">
        <f>+Bosc!G95</f>
        <v>15705.742133333331</v>
      </c>
      <c r="E95" s="113">
        <f>+Chartres!G95</f>
        <v>10000</v>
      </c>
      <c r="F95" s="113">
        <f>+Chalette!G95</f>
        <v>0</v>
      </c>
      <c r="G95" s="160">
        <f>+Orléans!E95+Château!E95+Chartres!E95+Bosc!E95</f>
        <v>46938.19</v>
      </c>
      <c r="H95" s="270">
        <f>+Orléans!F95+Château!F95+Chartres!F95+Bosc!F95+Chalette!F95</f>
        <v>34680.426666666666</v>
      </c>
      <c r="I95" s="270">
        <v>25855.682893749996</v>
      </c>
      <c r="J95" s="341">
        <f t="shared" si="14"/>
        <v>38194.766799999998</v>
      </c>
      <c r="K95" s="149">
        <f t="shared" si="15"/>
        <v>-0.26114691114704969</v>
      </c>
      <c r="L95" s="271">
        <f t="shared" si="16"/>
        <v>0.10133497396418031</v>
      </c>
      <c r="M95" s="18">
        <v>24491.641500000002</v>
      </c>
      <c r="N95" s="26"/>
    </row>
    <row r="96" spans="1:14" s="2" customFormat="1">
      <c r="A96" s="5" t="s">
        <v>118</v>
      </c>
      <c r="B96" s="160">
        <f>+Orléans!G96</f>
        <v>14000</v>
      </c>
      <c r="C96" s="113">
        <f>+Château!G96</f>
        <v>4500</v>
      </c>
      <c r="D96" s="113">
        <f>+Bosc!G96</f>
        <v>16000</v>
      </c>
      <c r="E96" s="113">
        <f>+Chartres!G96</f>
        <v>7000</v>
      </c>
      <c r="F96" s="113">
        <f>+Chalette!G96</f>
        <v>3000</v>
      </c>
      <c r="G96" s="160">
        <f>+Orléans!E96+Château!E96+Chartres!E96+Bosc!E96</f>
        <v>43105.919999999998</v>
      </c>
      <c r="H96" s="270">
        <f>+Orléans!F96+Château!F96+Chartres!F96+Bosc!F96+Chalette!F96</f>
        <v>37631.786666666667</v>
      </c>
      <c r="I96" s="270">
        <v>25200</v>
      </c>
      <c r="J96" s="341">
        <f t="shared" si="14"/>
        <v>44500</v>
      </c>
      <c r="K96" s="149">
        <f t="shared" si="15"/>
        <v>-0.12699261106904414</v>
      </c>
      <c r="L96" s="271">
        <f t="shared" si="16"/>
        <v>0.18251095527752426</v>
      </c>
      <c r="M96" s="18">
        <v>21055.620333333332</v>
      </c>
      <c r="N96" s="26"/>
    </row>
    <row r="97" spans="1:14" s="2" customFormat="1">
      <c r="A97" s="5" t="s">
        <v>7</v>
      </c>
      <c r="B97" s="160">
        <f>+Orléans!G97</f>
        <v>0</v>
      </c>
      <c r="C97" s="113">
        <f>+Château!G97</f>
        <v>200</v>
      </c>
      <c r="D97" s="113">
        <f>+Bosc!G97</f>
        <v>200</v>
      </c>
      <c r="E97" s="113">
        <f>+Chartres!G97</f>
        <v>0</v>
      </c>
      <c r="F97" s="113">
        <f>+Chalette!G97</f>
        <v>0</v>
      </c>
      <c r="G97" s="160">
        <f>+Orléans!E97+Château!E97+Chartres!E97+Bosc!E97</f>
        <v>574.55999999999995</v>
      </c>
      <c r="H97" s="270">
        <f>+Orléans!F97+Château!F97+Chartres!F97+Bosc!F97+Chalette!F97</f>
        <v>493.2399999999999</v>
      </c>
      <c r="I97" s="270">
        <v>159.85599999999999</v>
      </c>
      <c r="J97" s="341">
        <f t="shared" si="14"/>
        <v>400</v>
      </c>
      <c r="K97" s="149">
        <f t="shared" si="15"/>
        <v>-0.14153439153439162</v>
      </c>
      <c r="L97" s="271">
        <f t="shared" si="16"/>
        <v>-0.18903576352282847</v>
      </c>
      <c r="M97" s="18">
        <v>0</v>
      </c>
      <c r="N97" s="26"/>
    </row>
    <row r="98" spans="1:14" s="2" customFormat="1">
      <c r="A98" s="5" t="s">
        <v>307</v>
      </c>
      <c r="B98" s="160">
        <f>+Orléans!G98</f>
        <v>0</v>
      </c>
      <c r="C98" s="113">
        <f>+Château!G98</f>
        <v>0</v>
      </c>
      <c r="D98" s="113">
        <f>+Bosc!G98</f>
        <v>0</v>
      </c>
      <c r="E98" s="113">
        <f>+Chartres!G98</f>
        <v>0</v>
      </c>
      <c r="F98" s="113">
        <f>+Chalette!G98</f>
        <v>0</v>
      </c>
      <c r="G98" s="160">
        <f>+Orléans!E98+Château!E98+Chartres!E98+Bosc!E98</f>
        <v>0</v>
      </c>
      <c r="H98" s="270">
        <f>+Orléans!F98+Château!F98+Chartres!F98+Bosc!F98+Chalette!F98</f>
        <v>0</v>
      </c>
      <c r="I98" s="270">
        <v>0</v>
      </c>
      <c r="J98" s="341">
        <f t="shared" si="14"/>
        <v>0</v>
      </c>
      <c r="K98" s="149">
        <f t="shared" si="15"/>
        <v>0</v>
      </c>
      <c r="L98" s="271">
        <f t="shared" si="16"/>
        <v>0</v>
      </c>
      <c r="M98" s="18">
        <v>0</v>
      </c>
      <c r="N98" s="26"/>
    </row>
    <row r="99" spans="1:14" s="2" customFormat="1">
      <c r="A99" s="5" t="s">
        <v>119</v>
      </c>
      <c r="B99" s="160">
        <f>+Orléans!G99</f>
        <v>5882.5733333333337</v>
      </c>
      <c r="C99" s="113">
        <f>+Château!G99</f>
        <v>4057.44</v>
      </c>
      <c r="D99" s="113">
        <f>+Bosc!G99</f>
        <v>5844.88</v>
      </c>
      <c r="E99" s="113">
        <f>+Chartres!G99</f>
        <v>5500</v>
      </c>
      <c r="F99" s="113">
        <f>+Chalette!G99</f>
        <v>1800</v>
      </c>
      <c r="G99" s="160">
        <f>+Orléans!E99+Château!E99+Chartres!E99+Bosc!E99</f>
        <v>19070.150000000001</v>
      </c>
      <c r="H99" s="270">
        <f>+Orléans!F99+Château!F99+Chartres!F99+Bosc!F99+Chalette!F99</f>
        <v>19974.52</v>
      </c>
      <c r="I99" s="270">
        <v>15020.025917465695</v>
      </c>
      <c r="J99" s="341">
        <f t="shared" si="14"/>
        <v>23084.893333333333</v>
      </c>
      <c r="K99" s="149">
        <f t="shared" si="15"/>
        <v>4.7423329129555818E-2</v>
      </c>
      <c r="L99" s="271">
        <f t="shared" si="16"/>
        <v>0.15571705018860693</v>
      </c>
      <c r="M99" s="18">
        <v>15853.906863944443</v>
      </c>
      <c r="N99" s="26"/>
    </row>
    <row r="100" spans="1:14" s="2" customFormat="1">
      <c r="A100" s="5" t="s">
        <v>120</v>
      </c>
      <c r="B100" s="160">
        <f>+Orléans!G100</f>
        <v>909.77840000000003</v>
      </c>
      <c r="C100" s="113">
        <f>+Château!G100</f>
        <v>942.62853333333339</v>
      </c>
      <c r="D100" s="113">
        <f>+Bosc!G100</f>
        <v>1302.8401333333331</v>
      </c>
      <c r="E100" s="113">
        <f>+Chartres!G100</f>
        <v>1431.2056000000002</v>
      </c>
      <c r="F100" s="113">
        <f>+Chalette!G100</f>
        <v>650.69220000000007</v>
      </c>
      <c r="G100" s="160">
        <f>+Orléans!E100+Château!E100+Chartres!E100+Bosc!E100</f>
        <v>3788.2799999999997</v>
      </c>
      <c r="H100" s="270">
        <f>+Orléans!F100+Château!F100+Chartres!F100+Bosc!F100+Chalette!F100</f>
        <v>4926.6716666666671</v>
      </c>
      <c r="I100" s="270">
        <v>2174.6409905608334</v>
      </c>
      <c r="J100" s="341">
        <f t="shared" si="14"/>
        <v>5237.1448666666674</v>
      </c>
      <c r="K100" s="149">
        <f t="shared" si="15"/>
        <v>0.30050357066179567</v>
      </c>
      <c r="L100" s="271">
        <f t="shared" si="16"/>
        <v>6.3018853499133859E-2</v>
      </c>
      <c r="M100" s="18">
        <v>2947.3277303333334</v>
      </c>
      <c r="N100" s="26"/>
    </row>
    <row r="101" spans="1:14" s="2" customFormat="1">
      <c r="A101" s="5" t="s">
        <v>121</v>
      </c>
      <c r="B101" s="160">
        <f>+Orléans!G101</f>
        <v>0</v>
      </c>
      <c r="C101" s="113">
        <f>+Château!G101</f>
        <v>0</v>
      </c>
      <c r="D101" s="113">
        <f>+Bosc!G101</f>
        <v>0</v>
      </c>
      <c r="E101" s="113">
        <f>+Chartres!G101</f>
        <v>0</v>
      </c>
      <c r="F101" s="113">
        <f>+Chalette!G101</f>
        <v>0</v>
      </c>
      <c r="G101" s="160">
        <f>+Orléans!E101+Château!E101+Chartres!E101+Bosc!E101</f>
        <v>0</v>
      </c>
      <c r="H101" s="270">
        <f>+Orléans!F101+Château!F101+Chartres!F101+Bosc!F101+Chalette!F101</f>
        <v>0</v>
      </c>
      <c r="I101" s="270">
        <v>500</v>
      </c>
      <c r="J101" s="341">
        <f t="shared" si="14"/>
        <v>0</v>
      </c>
      <c r="K101" s="149">
        <f t="shared" si="15"/>
        <v>0</v>
      </c>
      <c r="L101" s="271">
        <f t="shared" si="16"/>
        <v>0</v>
      </c>
      <c r="M101" s="18">
        <v>500</v>
      </c>
      <c r="N101" s="26"/>
    </row>
    <row r="102" spans="1:14" s="2" customFormat="1">
      <c r="A102" s="5"/>
      <c r="B102" s="160"/>
      <c r="C102" s="113"/>
      <c r="D102" s="113"/>
      <c r="E102" s="113"/>
      <c r="F102" s="113"/>
      <c r="G102" s="160"/>
      <c r="H102" s="113"/>
      <c r="I102" s="113"/>
      <c r="J102" s="162"/>
      <c r="K102" s="149"/>
      <c r="L102" s="254"/>
      <c r="M102" s="18"/>
      <c r="N102" s="26"/>
    </row>
    <row r="103" spans="1:14" s="2" customFormat="1">
      <c r="A103" s="13" t="s">
        <v>122</v>
      </c>
      <c r="B103" s="163">
        <f t="shared" ref="B103:H103" si="17">SUM(B70:B102)</f>
        <v>95430.598400000017</v>
      </c>
      <c r="C103" s="204">
        <f t="shared" si="17"/>
        <v>47990.275733333336</v>
      </c>
      <c r="D103" s="204">
        <f t="shared" si="17"/>
        <v>110030.0312</v>
      </c>
      <c r="E103" s="204">
        <f t="shared" si="17"/>
        <v>85957.506587627984</v>
      </c>
      <c r="F103" s="204">
        <f>SUM(F70:F102)</f>
        <v>41712.264302285497</v>
      </c>
      <c r="G103" s="163">
        <f t="shared" si="17"/>
        <v>342974.78</v>
      </c>
      <c r="H103" s="204">
        <f t="shared" si="17"/>
        <v>363926.19414512301</v>
      </c>
      <c r="I103" s="204">
        <v>221167.20786508895</v>
      </c>
      <c r="J103" s="168">
        <f>SUM(J70:J102)</f>
        <v>381120.67622324679</v>
      </c>
      <c r="K103" s="272">
        <f>+IF((G103)=0,,(H103-G103)/G103)</f>
        <v>6.1087331684046793E-2</v>
      </c>
      <c r="L103" s="188">
        <f>+IF((H103)=0,,(J103-H103)/H103)</f>
        <v>4.7247168120212658E-2</v>
      </c>
      <c r="M103" s="305">
        <f>SUM(M72:M102)+M70</f>
        <v>206108.86939773738</v>
      </c>
      <c r="N103" s="26"/>
    </row>
    <row r="104" spans="1:14" s="2" customFormat="1">
      <c r="A104" s="5"/>
      <c r="B104" s="160"/>
      <c r="C104" s="113"/>
      <c r="D104" s="113"/>
      <c r="E104" s="113"/>
      <c r="F104" s="113"/>
      <c r="G104" s="160"/>
      <c r="H104" s="113"/>
      <c r="I104" s="113"/>
      <c r="J104" s="162"/>
      <c r="K104" s="149"/>
      <c r="L104" s="254"/>
      <c r="M104" s="18"/>
      <c r="N104" s="26"/>
    </row>
    <row r="105" spans="1:14" s="2" customFormat="1">
      <c r="A105" s="5" t="s">
        <v>129</v>
      </c>
      <c r="B105" s="160">
        <f>+Orléans!G105</f>
        <v>1000</v>
      </c>
      <c r="C105" s="113">
        <f>+Château!G105</f>
        <v>1000</v>
      </c>
      <c r="D105" s="113">
        <f>+Bosc!G105</f>
        <v>1300</v>
      </c>
      <c r="E105" s="113">
        <f>+Chartres!G105</f>
        <v>1000</v>
      </c>
      <c r="F105" s="113">
        <f>+Chalette!G105</f>
        <v>1400</v>
      </c>
      <c r="G105" s="160">
        <f>+Orléans!E105+Château!E105+Chartres!E105+Bosc!E105</f>
        <v>3388.8</v>
      </c>
      <c r="H105" s="270">
        <f>+Orléans!F105+Château!F105+Chartres!F105+Bosc!F105+Chalette!F105</f>
        <v>3204</v>
      </c>
      <c r="I105" s="270">
        <v>2600</v>
      </c>
      <c r="J105" s="341">
        <f t="shared" ref="J105:J114" si="18">SUM(B105:F105)</f>
        <v>5700</v>
      </c>
      <c r="K105" s="149">
        <f>+IF((G105)=0,,(H105-G105)/G105)</f>
        <v>-5.4532577903682773E-2</v>
      </c>
      <c r="L105" s="271">
        <f>+IF((H105)=0,,(J105-H105)/H105)</f>
        <v>0.77902621722846443</v>
      </c>
      <c r="M105" s="18">
        <v>2150</v>
      </c>
      <c r="N105" s="26"/>
    </row>
    <row r="106" spans="1:14" s="2" customFormat="1">
      <c r="A106" s="5" t="s">
        <v>130</v>
      </c>
      <c r="B106" s="160">
        <f>+Orléans!G106</f>
        <v>5000</v>
      </c>
      <c r="C106" s="113">
        <f>+Château!G106</f>
        <v>2500</v>
      </c>
      <c r="D106" s="113">
        <f>+Bosc!G106</f>
        <v>6500</v>
      </c>
      <c r="E106" s="113">
        <f>+Chartres!G106</f>
        <v>6000</v>
      </c>
      <c r="F106" s="113">
        <f>+Chalette!G106</f>
        <v>2000</v>
      </c>
      <c r="G106" s="160">
        <f>+Orléans!E106+Château!E106+Chartres!E106+Bosc!E106</f>
        <v>29522.739999999998</v>
      </c>
      <c r="H106" s="270">
        <f>+Orléans!F106+Château!F106+Chartres!F106+Bosc!F106+Chalette!F106</f>
        <v>30102.48</v>
      </c>
      <c r="I106" s="270">
        <v>9500</v>
      </c>
      <c r="J106" s="341">
        <f t="shared" si="18"/>
        <v>22000</v>
      </c>
      <c r="K106" s="149">
        <f t="shared" ref="K106:K114" si="19">+IF((G106)=0,,(H106-G106)/G106)</f>
        <v>1.9637066207269436E-2</v>
      </c>
      <c r="L106" s="271">
        <f t="shared" ref="L106:L114" si="20">+IF((H106)=0,,(J106-H106)/H106)</f>
        <v>-0.26916320515784747</v>
      </c>
      <c r="M106" s="18">
        <v>10600</v>
      </c>
      <c r="N106" s="26"/>
    </row>
    <row r="107" spans="1:14" s="2" customFormat="1">
      <c r="A107" s="5" t="s">
        <v>131</v>
      </c>
      <c r="B107" s="160">
        <f>+Orléans!G107</f>
        <v>0</v>
      </c>
      <c r="C107" s="113">
        <f>+Château!G107</f>
        <v>0</v>
      </c>
      <c r="D107" s="113">
        <f>+Bosc!G107</f>
        <v>0</v>
      </c>
      <c r="E107" s="113">
        <f>+Chartres!G107</f>
        <v>0</v>
      </c>
      <c r="F107" s="113">
        <f>+Chalette!G107</f>
        <v>0</v>
      </c>
      <c r="G107" s="160">
        <f>+Orléans!E107+Château!E107+Chartres!E107+Bosc!E107</f>
        <v>0</v>
      </c>
      <c r="H107" s="270">
        <f>+Orléans!F107+Château!F107+Chartres!F107+Bosc!F107+Chalette!F107</f>
        <v>0</v>
      </c>
      <c r="I107" s="270">
        <v>0</v>
      </c>
      <c r="J107" s="341">
        <f t="shared" si="18"/>
        <v>0</v>
      </c>
      <c r="K107" s="149">
        <f t="shared" si="19"/>
        <v>0</v>
      </c>
      <c r="L107" s="271">
        <f t="shared" si="20"/>
        <v>0</v>
      </c>
      <c r="M107" s="18">
        <v>0</v>
      </c>
      <c r="N107" s="26"/>
    </row>
    <row r="108" spans="1:14" s="2" customFormat="1">
      <c r="A108" s="5" t="s">
        <v>132</v>
      </c>
      <c r="B108" s="160">
        <f>+Orléans!G108</f>
        <v>0</v>
      </c>
      <c r="C108" s="113">
        <f>+Château!G108</f>
        <v>150</v>
      </c>
      <c r="D108" s="113">
        <f>+Bosc!G108</f>
        <v>200</v>
      </c>
      <c r="E108" s="113">
        <f>+Chartres!G108</f>
        <v>0</v>
      </c>
      <c r="F108" s="113">
        <f>+Chalette!G108</f>
        <v>0</v>
      </c>
      <c r="G108" s="160">
        <f>+Orléans!E108+Château!E108+Chartres!E108+Bosc!E108</f>
        <v>1122.2</v>
      </c>
      <c r="H108" s="270">
        <f>+Orléans!F108+Château!F108+Chartres!F108+Bosc!F108+Chalette!F108</f>
        <v>2860.6400000000003</v>
      </c>
      <c r="I108" s="270">
        <v>59.420699999999997</v>
      </c>
      <c r="J108" s="341">
        <f t="shared" si="18"/>
        <v>350</v>
      </c>
      <c r="K108" s="149">
        <f t="shared" si="19"/>
        <v>1.5491356264480487</v>
      </c>
      <c r="L108" s="271">
        <f t="shared" si="20"/>
        <v>-0.87764975669780187</v>
      </c>
      <c r="M108" s="18">
        <v>0</v>
      </c>
      <c r="N108" s="26"/>
    </row>
    <row r="109" spans="1:14" s="2" customFormat="1">
      <c r="A109" s="5" t="s">
        <v>133</v>
      </c>
      <c r="B109" s="160">
        <f>+Orléans!G109</f>
        <v>5500</v>
      </c>
      <c r="C109" s="113">
        <f>+Château!G109</f>
        <v>2500</v>
      </c>
      <c r="D109" s="113">
        <f>+Bosc!G109</f>
        <v>4500</v>
      </c>
      <c r="E109" s="113">
        <f>+Chartres!G109</f>
        <v>4500</v>
      </c>
      <c r="F109" s="113">
        <f>+Chalette!G109</f>
        <v>1500</v>
      </c>
      <c r="G109" s="160">
        <f>+Orléans!E109+Château!E109+Chartres!E109+Bosc!E109</f>
        <v>8548</v>
      </c>
      <c r="H109" s="270">
        <f>+Orléans!F109+Château!F109+Chartres!F109+Bosc!F109+Chalette!F109</f>
        <v>14051.346666666666</v>
      </c>
      <c r="I109" s="270">
        <v>19500</v>
      </c>
      <c r="J109" s="341">
        <f t="shared" si="18"/>
        <v>18500</v>
      </c>
      <c r="K109" s="149">
        <f t="shared" si="19"/>
        <v>0.6438168772422399</v>
      </c>
      <c r="L109" s="271">
        <f t="shared" si="20"/>
        <v>0.31659978497909103</v>
      </c>
      <c r="M109" s="18">
        <v>20677.191299999999</v>
      </c>
      <c r="N109" s="26"/>
    </row>
    <row r="110" spans="1:14" s="2" customFormat="1">
      <c r="A110" s="5" t="s">
        <v>134</v>
      </c>
      <c r="B110" s="160">
        <f>+Orléans!G110</f>
        <v>20000</v>
      </c>
      <c r="C110" s="113">
        <f>+Château!G110</f>
        <v>10000</v>
      </c>
      <c r="D110" s="113">
        <f>+Bosc!G110</f>
        <v>40000</v>
      </c>
      <c r="E110" s="113">
        <f>+Chartres!G110</f>
        <v>10000</v>
      </c>
      <c r="F110" s="113">
        <f>+Chalette!G110</f>
        <v>2000</v>
      </c>
      <c r="G110" s="160">
        <f>+Orléans!E110+Château!E110+Chartres!E110+Bosc!E110</f>
        <v>80073.95</v>
      </c>
      <c r="H110" s="270">
        <f>+Orléans!F110+Château!F110+Chartres!F110+Bosc!F110+Chalette!F110</f>
        <v>79662.346666666679</v>
      </c>
      <c r="I110" s="270">
        <v>34000</v>
      </c>
      <c r="J110" s="341">
        <f t="shared" si="18"/>
        <v>82000</v>
      </c>
      <c r="K110" s="149">
        <f t="shared" si="19"/>
        <v>-5.1402901109951242E-3</v>
      </c>
      <c r="L110" s="271">
        <f t="shared" si="20"/>
        <v>2.9344520104520988E-2</v>
      </c>
      <c r="M110" s="18">
        <v>26000</v>
      </c>
      <c r="N110" s="26"/>
    </row>
    <row r="111" spans="1:14" s="2" customFormat="1">
      <c r="A111" s="5" t="s">
        <v>135</v>
      </c>
      <c r="B111" s="160">
        <f>+Orléans!G111</f>
        <v>150</v>
      </c>
      <c r="C111" s="113">
        <f>+Château!G111</f>
        <v>20</v>
      </c>
      <c r="D111" s="113">
        <f>+Bosc!G111</f>
        <v>100</v>
      </c>
      <c r="E111" s="113">
        <f>+Chartres!G111</f>
        <v>100</v>
      </c>
      <c r="F111" s="113">
        <f>+Chalette!G111</f>
        <v>200</v>
      </c>
      <c r="G111" s="160">
        <f>+Orléans!E111+Château!E111+Chartres!E111+Bosc!E111</f>
        <v>620</v>
      </c>
      <c r="H111" s="270">
        <f>+Orléans!F111+Château!F111+Chartres!F111+Bosc!F111+Chalette!F111</f>
        <v>869.80000000000007</v>
      </c>
      <c r="I111" s="270">
        <v>404.6541083333334</v>
      </c>
      <c r="J111" s="341">
        <f t="shared" si="18"/>
        <v>570</v>
      </c>
      <c r="K111" s="149">
        <f t="shared" si="19"/>
        <v>0.40290322580645171</v>
      </c>
      <c r="L111" s="271">
        <f t="shared" si="20"/>
        <v>-0.34467693722694875</v>
      </c>
      <c r="M111" s="18">
        <v>805.38333333333344</v>
      </c>
      <c r="N111" s="26"/>
    </row>
    <row r="112" spans="1:14" s="2" customFormat="1">
      <c r="A112" s="5" t="s">
        <v>136</v>
      </c>
      <c r="B112" s="160">
        <f>+Orléans!G112</f>
        <v>1000</v>
      </c>
      <c r="C112" s="113">
        <f>+Château!G112</f>
        <v>500</v>
      </c>
      <c r="D112" s="113">
        <f>+Bosc!G112</f>
        <v>500</v>
      </c>
      <c r="E112" s="113">
        <f>+Chartres!G112</f>
        <v>0</v>
      </c>
      <c r="F112" s="113">
        <f>+Chalette!G112</f>
        <v>0</v>
      </c>
      <c r="G112" s="160">
        <f>+Orléans!E112+Château!E112+Chartres!E112+Bosc!E112</f>
        <v>100.92</v>
      </c>
      <c r="H112" s="270">
        <f>+Orléans!F112+Château!F112+Chartres!F112+Bosc!F112+Chalette!F112</f>
        <v>1050.23</v>
      </c>
      <c r="I112" s="270">
        <v>7000</v>
      </c>
      <c r="J112" s="341">
        <f t="shared" si="18"/>
        <v>2000</v>
      </c>
      <c r="K112" s="149">
        <f t="shared" si="19"/>
        <v>9.4065596512088785</v>
      </c>
      <c r="L112" s="271">
        <f t="shared" si="20"/>
        <v>0.90434476257581664</v>
      </c>
      <c r="M112" s="18">
        <v>7000</v>
      </c>
      <c r="N112" s="26"/>
    </row>
    <row r="113" spans="1:14" s="2" customFormat="1">
      <c r="A113" s="5" t="s">
        <v>137</v>
      </c>
      <c r="B113" s="160">
        <f>+Orléans!G113</f>
        <v>7200</v>
      </c>
      <c r="C113" s="113">
        <f>+Château!G113</f>
        <v>4500</v>
      </c>
      <c r="D113" s="113">
        <f>+Bosc!G113</f>
        <v>18000</v>
      </c>
      <c r="E113" s="113">
        <f>+Chartres!G113</f>
        <v>7500</v>
      </c>
      <c r="F113" s="113">
        <f>+Chalette!G113</f>
        <v>2000</v>
      </c>
      <c r="G113" s="160">
        <f>+Orléans!E113+Château!E113+Chartres!E113+Bosc!E113</f>
        <v>49960.930000000008</v>
      </c>
      <c r="H113" s="270">
        <f>+Orléans!F113+Château!F113+Chartres!F113+Bosc!F113+Chalette!F113</f>
        <v>34771.53</v>
      </c>
      <c r="I113" s="270">
        <v>21000</v>
      </c>
      <c r="J113" s="341">
        <f t="shared" si="18"/>
        <v>39200</v>
      </c>
      <c r="K113" s="149">
        <f t="shared" si="19"/>
        <v>-0.30402556557694194</v>
      </c>
      <c r="L113" s="271">
        <f t="shared" si="20"/>
        <v>0.12735907795831825</v>
      </c>
      <c r="M113" s="18">
        <v>21000</v>
      </c>
      <c r="N113" s="26"/>
    </row>
    <row r="114" spans="1:14" s="2" customFormat="1">
      <c r="A114" s="5" t="s">
        <v>138</v>
      </c>
      <c r="B114" s="160">
        <f>+Orléans!G114</f>
        <v>0</v>
      </c>
      <c r="C114" s="113">
        <f>+Château!G114</f>
        <v>0</v>
      </c>
      <c r="D114" s="113">
        <f>+Bosc!G114</f>
        <v>0</v>
      </c>
      <c r="E114" s="113">
        <f>+Chartres!G114</f>
        <v>0</v>
      </c>
      <c r="F114" s="113">
        <f>+Chalette!G114</f>
        <v>0</v>
      </c>
      <c r="G114" s="160">
        <f>+Orléans!E114+Château!E114+Chartres!E114+Bosc!E114</f>
        <v>0</v>
      </c>
      <c r="H114" s="270">
        <f>+Orléans!F114+Château!F114+Chartres!F114+Bosc!F114+Chalette!F114</f>
        <v>0</v>
      </c>
      <c r="I114" s="270">
        <v>0</v>
      </c>
      <c r="J114" s="341">
        <f t="shared" si="18"/>
        <v>0</v>
      </c>
      <c r="K114" s="149">
        <f t="shared" si="19"/>
        <v>0</v>
      </c>
      <c r="L114" s="271">
        <f t="shared" si="20"/>
        <v>0</v>
      </c>
      <c r="M114" s="18">
        <v>0</v>
      </c>
      <c r="N114" s="26"/>
    </row>
    <row r="115" spans="1:14" s="2" customFormat="1">
      <c r="A115" s="5"/>
      <c r="B115" s="160"/>
      <c r="C115" s="113"/>
      <c r="D115" s="113"/>
      <c r="E115" s="113"/>
      <c r="F115" s="113"/>
      <c r="G115" s="160"/>
      <c r="H115" s="113"/>
      <c r="I115" s="113"/>
      <c r="J115" s="162"/>
      <c r="K115" s="149"/>
      <c r="L115" s="254"/>
      <c r="M115" s="18"/>
      <c r="N115" s="26"/>
    </row>
    <row r="116" spans="1:14" s="2" customFormat="1">
      <c r="A116" s="13" t="s">
        <v>133</v>
      </c>
      <c r="B116" s="163">
        <f t="shared" ref="B116:H116" si="21">SUM(B104:B115)</f>
        <v>39850</v>
      </c>
      <c r="C116" s="204">
        <f t="shared" si="21"/>
        <v>21170</v>
      </c>
      <c r="D116" s="204">
        <f t="shared" si="21"/>
        <v>71100</v>
      </c>
      <c r="E116" s="204">
        <f t="shared" si="21"/>
        <v>29100</v>
      </c>
      <c r="F116" s="204">
        <f>SUM(F104:F115)</f>
        <v>9100</v>
      </c>
      <c r="G116" s="163">
        <f t="shared" si="21"/>
        <v>173337.54</v>
      </c>
      <c r="H116" s="204">
        <f t="shared" si="21"/>
        <v>166572.37333333335</v>
      </c>
      <c r="I116" s="204">
        <v>94064.074808333331</v>
      </c>
      <c r="J116" s="168">
        <f>SUM(J104:J115)</f>
        <v>170320</v>
      </c>
      <c r="K116" s="272">
        <f>+IF((G116)=0,,(H116-G116)/G116)</f>
        <v>-3.9028860491885697E-2</v>
      </c>
      <c r="L116" s="188">
        <f>+IF((H116)=0,,(J116-H116)/H116)</f>
        <v>2.2498488744992256E-2</v>
      </c>
      <c r="M116" s="305">
        <f>SUM(M105:M115)</f>
        <v>88232.574633333337</v>
      </c>
      <c r="N116" s="26"/>
    </row>
    <row r="117" spans="1:14" s="2" customFormat="1">
      <c r="A117" s="5"/>
      <c r="B117" s="160"/>
      <c r="C117" s="113"/>
      <c r="D117" s="113"/>
      <c r="E117" s="113"/>
      <c r="F117" s="113"/>
      <c r="G117" s="160"/>
      <c r="H117" s="113"/>
      <c r="I117" s="113"/>
      <c r="J117" s="162"/>
      <c r="K117" s="149"/>
      <c r="L117" s="254"/>
      <c r="M117" s="18"/>
      <c r="N117" s="26"/>
    </row>
    <row r="118" spans="1:14" s="2" customFormat="1">
      <c r="A118" s="5" t="s">
        <v>139</v>
      </c>
      <c r="B118" s="160">
        <f>+Orléans!G118</f>
        <v>734.99999999999989</v>
      </c>
      <c r="C118" s="113">
        <f>+Château!G118</f>
        <v>377.99999999999994</v>
      </c>
      <c r="D118" s="113">
        <f>+Bosc!G118</f>
        <v>944.99999999999989</v>
      </c>
      <c r="E118" s="113">
        <f>+Chartres!G118</f>
        <v>909.99999999999989</v>
      </c>
      <c r="F118" s="113">
        <f>+Chalette!G118</f>
        <v>407.4</v>
      </c>
      <c r="G118" s="160">
        <f>+Orléans!E118+Château!E118+Chartres!E118+Bosc!E118</f>
        <v>2457</v>
      </c>
      <c r="H118" s="270">
        <f>+Orléans!F118+Château!F118+Chartres!F118+Bosc!F118+Chalette!F118</f>
        <v>6588.32</v>
      </c>
      <c r="I118" s="270">
        <v>1648.4299999999998</v>
      </c>
      <c r="J118" s="341">
        <f t="shared" ref="J118:J127" si="22">SUM(B118:F118)</f>
        <v>3375.3999999999996</v>
      </c>
      <c r="K118" s="149">
        <f>+IF((G118)=0,,(H118-G118)/G118)</f>
        <v>1.6814489214489214</v>
      </c>
      <c r="L118" s="271">
        <f>+IF((H118)=0,,(J118-H118)/H118)</f>
        <v>-0.48766908711173718</v>
      </c>
      <c r="M118" s="18">
        <v>1553.9299999999998</v>
      </c>
      <c r="N118" s="26"/>
    </row>
    <row r="119" spans="1:14" s="2" customFormat="1">
      <c r="A119" s="5" t="s">
        <v>140</v>
      </c>
      <c r="B119" s="160">
        <f>+Orléans!G119</f>
        <v>472.50000000000006</v>
      </c>
      <c r="C119" s="113">
        <f>+Château!G119</f>
        <v>243.00000000000003</v>
      </c>
      <c r="D119" s="113">
        <f>+Bosc!G119</f>
        <v>607.50000000000011</v>
      </c>
      <c r="E119" s="113">
        <f>+Chartres!G119</f>
        <v>585.00000000000011</v>
      </c>
      <c r="F119" s="113">
        <f>+Chalette!G119</f>
        <v>261.90000000000003</v>
      </c>
      <c r="G119" s="160">
        <f>+Orléans!E119+Château!E119+Chartres!E119+Bosc!E119</f>
        <v>1353</v>
      </c>
      <c r="H119" s="270">
        <f>+Orléans!F119+Château!F119+Chartres!F119+Bosc!F119+Chalette!F119</f>
        <v>211.50000000000003</v>
      </c>
      <c r="I119" s="270">
        <v>1059.7050000000002</v>
      </c>
      <c r="J119" s="341">
        <f t="shared" si="22"/>
        <v>2169.9000000000005</v>
      </c>
      <c r="K119" s="149">
        <f t="shared" ref="K119:K127" si="23">+IF((G119)=0,,(H119-G119)/G119)</f>
        <v>-0.84368070953436802</v>
      </c>
      <c r="L119" s="271">
        <f t="shared" ref="L119:L127" si="24">+IF((H119)=0,,(J119-H119)/H119)</f>
        <v>9.2595744680851073</v>
      </c>
      <c r="M119" s="18">
        <v>998.95500000000015</v>
      </c>
      <c r="N119" s="26"/>
    </row>
    <row r="120" spans="1:14" s="2" customFormat="1">
      <c r="A120" s="5" t="s">
        <v>141</v>
      </c>
      <c r="B120" s="160">
        <f>+Orléans!G120</f>
        <v>819</v>
      </c>
      <c r="C120" s="113">
        <f>+Château!G120</f>
        <v>421.20000000000005</v>
      </c>
      <c r="D120" s="113">
        <f>+Bosc!G120</f>
        <v>1053</v>
      </c>
      <c r="E120" s="113">
        <f>+Chartres!G120</f>
        <v>1014.0000000000001</v>
      </c>
      <c r="F120" s="113">
        <f>+Chalette!G120</f>
        <v>453.96000000000004</v>
      </c>
      <c r="G120" s="160">
        <f>+Orléans!E120+Château!E120+Chartres!E120+Bosc!E120</f>
        <v>2046</v>
      </c>
      <c r="H120" s="270">
        <f>+Orléans!F120+Château!F120+Chartres!F120+Bosc!F120+Chalette!F120</f>
        <v>366.6</v>
      </c>
      <c r="I120" s="270">
        <v>1836.8220000000001</v>
      </c>
      <c r="J120" s="341">
        <f t="shared" si="22"/>
        <v>3761.16</v>
      </c>
      <c r="K120" s="149">
        <f t="shared" si="23"/>
        <v>-0.82082111436950156</v>
      </c>
      <c r="L120" s="271">
        <f t="shared" si="24"/>
        <v>9.2595744680851055</v>
      </c>
      <c r="M120" s="18">
        <v>1731.5220000000002</v>
      </c>
      <c r="N120" s="26"/>
    </row>
    <row r="121" spans="1:14" s="2" customFormat="1">
      <c r="A121" s="5" t="s">
        <v>142</v>
      </c>
      <c r="B121" s="160">
        <f>+Orléans!G121</f>
        <v>1376.55</v>
      </c>
      <c r="C121" s="113">
        <f>+Château!G121</f>
        <v>691.95</v>
      </c>
      <c r="D121" s="113">
        <f>+Bosc!G121</f>
        <v>1184.4000000000001</v>
      </c>
      <c r="E121" s="113">
        <f>+Chartres!G121</f>
        <v>609</v>
      </c>
      <c r="F121" s="113">
        <f>+Chalette!G121</f>
        <v>1387.0666666666668</v>
      </c>
      <c r="G121" s="160">
        <f>+Orléans!E121+Château!E121+Chartres!E121+Bosc!E121</f>
        <v>12178</v>
      </c>
      <c r="H121" s="270">
        <f>+Orléans!F121+Château!F121+Chartres!F121+Bosc!F121+Chalette!F121</f>
        <v>4688</v>
      </c>
      <c r="I121" s="270">
        <v>9553</v>
      </c>
      <c r="J121" s="341">
        <f t="shared" si="22"/>
        <v>5248.9666666666672</v>
      </c>
      <c r="K121" s="149">
        <f t="shared" si="23"/>
        <v>-0.61504352110362948</v>
      </c>
      <c r="L121" s="271">
        <f t="shared" si="24"/>
        <v>0.11966012514220715</v>
      </c>
      <c r="M121" s="18">
        <v>9898</v>
      </c>
      <c r="N121" s="26"/>
    </row>
    <row r="122" spans="1:14" s="2" customFormat="1">
      <c r="A122" s="5" t="s">
        <v>143</v>
      </c>
      <c r="B122" s="160">
        <f>+Orléans!G122</f>
        <v>6262.2</v>
      </c>
      <c r="C122" s="113">
        <f>+Château!G122</f>
        <v>1880.5500000000002</v>
      </c>
      <c r="D122" s="113">
        <f>+Bosc!G122</f>
        <v>2938.9500000000003</v>
      </c>
      <c r="E122" s="113">
        <f>+Chartres!G122</f>
        <v>1797.0120000000002</v>
      </c>
      <c r="F122" s="113">
        <f>+Chalette!G122</f>
        <v>2474.666666666667</v>
      </c>
      <c r="G122" s="160">
        <f>+Orléans!E122+Château!E122+Chartres!E122+Bosc!E122</f>
        <v>11537.59</v>
      </c>
      <c r="H122" s="270">
        <f>+Orléans!F122+Château!F122+Chartres!F122+Bosc!F122+Chalette!F122</f>
        <v>14121.44</v>
      </c>
      <c r="I122" s="270">
        <v>7496.7417000000005</v>
      </c>
      <c r="J122" s="341">
        <f t="shared" si="22"/>
        <v>15353.378666666667</v>
      </c>
      <c r="K122" s="149">
        <f t="shared" si="23"/>
        <v>0.22395058240065735</v>
      </c>
      <c r="L122" s="271">
        <f t="shared" si="24"/>
        <v>8.7238884042042941E-2</v>
      </c>
      <c r="M122" s="18">
        <v>7472.0217000000002</v>
      </c>
      <c r="N122" s="26"/>
    </row>
    <row r="123" spans="1:14" s="2" customFormat="1">
      <c r="A123" s="5" t="s">
        <v>144</v>
      </c>
      <c r="B123" s="160">
        <f>+Orléans!G123</f>
        <v>200</v>
      </c>
      <c r="C123" s="113">
        <f>+Château!G123</f>
        <v>50</v>
      </c>
      <c r="D123" s="113">
        <f>+Bosc!G123</f>
        <v>200</v>
      </c>
      <c r="E123" s="113">
        <f>+Chartres!G123</f>
        <v>200</v>
      </c>
      <c r="F123" s="113">
        <f>+Chalette!G123</f>
        <v>200</v>
      </c>
      <c r="G123" s="160">
        <f>+Orléans!E123+Château!E123+Chartres!E123+Bosc!E123</f>
        <v>0</v>
      </c>
      <c r="H123" s="270">
        <f>+Orléans!F123+Château!F123+Chartres!F123+Bosc!F123+Chalette!F123</f>
        <v>0</v>
      </c>
      <c r="I123" s="270">
        <v>0</v>
      </c>
      <c r="J123" s="341">
        <f t="shared" si="22"/>
        <v>850</v>
      </c>
      <c r="K123" s="149">
        <f t="shared" si="23"/>
        <v>0</v>
      </c>
      <c r="L123" s="271">
        <f t="shared" si="24"/>
        <v>0</v>
      </c>
      <c r="M123" s="18">
        <v>0</v>
      </c>
      <c r="N123" s="26"/>
    </row>
    <row r="124" spans="1:14" s="2" customFormat="1">
      <c r="A124" s="5" t="s">
        <v>145</v>
      </c>
      <c r="B124" s="160">
        <f>+Orléans!G124</f>
        <v>0</v>
      </c>
      <c r="C124" s="113">
        <f>+Château!G124</f>
        <v>0</v>
      </c>
      <c r="D124" s="113">
        <f>+Bosc!G124</f>
        <v>0</v>
      </c>
      <c r="E124" s="113">
        <f>+Chartres!G124</f>
        <v>0</v>
      </c>
      <c r="F124" s="113">
        <f>+Chalette!G124</f>
        <v>0</v>
      </c>
      <c r="G124" s="160">
        <f>+Orléans!E124+Château!E124+Chartres!E124+Bosc!E124</f>
        <v>36</v>
      </c>
      <c r="H124" s="270">
        <f>+Orléans!F124+Château!F124+Chartres!F124+Bosc!F124+Chalette!F124</f>
        <v>352.66666666666669</v>
      </c>
      <c r="I124" s="270">
        <v>23.870250000000002</v>
      </c>
      <c r="J124" s="341">
        <f t="shared" si="22"/>
        <v>0</v>
      </c>
      <c r="K124" s="149">
        <f t="shared" si="23"/>
        <v>8.7962962962962976</v>
      </c>
      <c r="L124" s="271">
        <f t="shared" si="24"/>
        <v>-1</v>
      </c>
      <c r="M124" s="18">
        <v>92.7</v>
      </c>
      <c r="N124" s="26"/>
    </row>
    <row r="125" spans="1:14" s="2" customFormat="1">
      <c r="A125" s="5" t="s">
        <v>286</v>
      </c>
      <c r="B125" s="160">
        <f>+Orléans!G125</f>
        <v>0</v>
      </c>
      <c r="C125" s="113">
        <f>+Château!G125</f>
        <v>0</v>
      </c>
      <c r="D125" s="113">
        <f>+Bosc!G125</f>
        <v>0</v>
      </c>
      <c r="E125" s="113">
        <f>+Chartres!G125</f>
        <v>0</v>
      </c>
      <c r="F125" s="113">
        <f>+Chalette!G125</f>
        <v>0</v>
      </c>
      <c r="G125" s="160">
        <f>+Orléans!E125+Château!E125+Chartres!E125+Bosc!E125</f>
        <v>0</v>
      </c>
      <c r="H125" s="270">
        <f>+Orléans!F125+Château!F125+Chartres!F125+Bosc!F125+Chalette!F125</f>
        <v>0</v>
      </c>
      <c r="I125" s="270">
        <v>0</v>
      </c>
      <c r="J125" s="341">
        <f t="shared" si="22"/>
        <v>0</v>
      </c>
      <c r="K125" s="149">
        <f t="shared" si="23"/>
        <v>0</v>
      </c>
      <c r="L125" s="271">
        <f t="shared" si="24"/>
        <v>0</v>
      </c>
      <c r="M125" s="18">
        <v>0</v>
      </c>
      <c r="N125" s="26"/>
    </row>
    <row r="126" spans="1:14" s="2" customFormat="1">
      <c r="A126" s="5" t="s">
        <v>361</v>
      </c>
      <c r="B126" s="160">
        <f>+Orléans!G126</f>
        <v>0</v>
      </c>
      <c r="C126" s="113">
        <f>+Château!G126</f>
        <v>0</v>
      </c>
      <c r="D126" s="113">
        <f>+Bosc!G126</f>
        <v>0</v>
      </c>
      <c r="E126" s="113">
        <f>+Chartres!G126</f>
        <v>0</v>
      </c>
      <c r="F126" s="113">
        <f>+Chalette!G126</f>
        <v>0</v>
      </c>
      <c r="G126" s="160">
        <f>+Orléans!E126+Château!E126+Chartres!E126+Bosc!E126</f>
        <v>0</v>
      </c>
      <c r="H126" s="270">
        <f>+Orléans!F126+Château!F126+Chartres!F126+Bosc!F126+Chalette!F126</f>
        <v>578</v>
      </c>
      <c r="I126" s="270">
        <v>0</v>
      </c>
      <c r="J126" s="341">
        <f t="shared" si="22"/>
        <v>0</v>
      </c>
      <c r="K126" s="149">
        <f t="shared" si="23"/>
        <v>0</v>
      </c>
      <c r="L126" s="271">
        <f t="shared" si="24"/>
        <v>-1</v>
      </c>
      <c r="M126" s="18">
        <v>0</v>
      </c>
      <c r="N126" s="26"/>
    </row>
    <row r="127" spans="1:14" s="2" customFormat="1">
      <c r="A127" s="5" t="s">
        <v>146</v>
      </c>
      <c r="B127" s="160">
        <f>+Orléans!G127</f>
        <v>1736.0800000000002</v>
      </c>
      <c r="C127" s="113">
        <f>+Château!G127</f>
        <v>773.6</v>
      </c>
      <c r="D127" s="113">
        <f>+Bosc!G127</f>
        <v>2359.36</v>
      </c>
      <c r="E127" s="113">
        <f>+Chartres!G127</f>
        <v>1856.88</v>
      </c>
      <c r="F127" s="113">
        <f>+Chalette!G127</f>
        <v>783.52</v>
      </c>
      <c r="G127" s="160">
        <f>+Orléans!E127+Château!E127+Chartres!E127+Bosc!E127</f>
        <v>6032.45</v>
      </c>
      <c r="H127" s="270">
        <f>+Orléans!F127+Château!F127+Chartres!F127+Bosc!F127+Chalette!F127</f>
        <v>7397.8266666666659</v>
      </c>
      <c r="I127" s="270">
        <v>4144</v>
      </c>
      <c r="J127" s="341">
        <f t="shared" si="22"/>
        <v>7509.4400000000005</v>
      </c>
      <c r="K127" s="149">
        <f t="shared" si="23"/>
        <v>0.22633866284290233</v>
      </c>
      <c r="L127" s="271">
        <f t="shared" si="24"/>
        <v>1.5087313931839614E-2</v>
      </c>
      <c r="M127" s="18">
        <v>3936</v>
      </c>
      <c r="N127" s="26"/>
    </row>
    <row r="128" spans="1:14" s="2" customFormat="1">
      <c r="A128" s="5"/>
      <c r="B128" s="160"/>
      <c r="C128" s="113"/>
      <c r="D128" s="113"/>
      <c r="E128" s="113"/>
      <c r="F128" s="113"/>
      <c r="G128" s="160"/>
      <c r="H128" s="113"/>
      <c r="I128" s="113"/>
      <c r="J128" s="162"/>
      <c r="K128" s="149"/>
      <c r="L128" s="254"/>
      <c r="M128" s="18"/>
      <c r="N128" s="26"/>
    </row>
    <row r="129" spans="1:14" s="2" customFormat="1">
      <c r="A129" s="13" t="s">
        <v>147</v>
      </c>
      <c r="B129" s="163">
        <f t="shared" ref="B129:H129" si="25">SUM(B117:B128)</f>
        <v>11601.33</v>
      </c>
      <c r="C129" s="204">
        <f t="shared" si="25"/>
        <v>4438.3</v>
      </c>
      <c r="D129" s="204">
        <f t="shared" si="25"/>
        <v>9288.2100000000009</v>
      </c>
      <c r="E129" s="204">
        <f t="shared" si="25"/>
        <v>6971.8920000000007</v>
      </c>
      <c r="F129" s="204">
        <f>SUM(F117:F128)</f>
        <v>5968.5133333333342</v>
      </c>
      <c r="G129" s="163">
        <f t="shared" si="25"/>
        <v>35640.04</v>
      </c>
      <c r="H129" s="204">
        <f t="shared" si="25"/>
        <v>34304.353333333333</v>
      </c>
      <c r="I129" s="204">
        <v>25762.568950000001</v>
      </c>
      <c r="J129" s="168">
        <f>SUM(J117:J128)</f>
        <v>38268.245333333332</v>
      </c>
      <c r="K129" s="272">
        <f>+IF((G129)=0,,(H129-G129)/G129)</f>
        <v>-3.7477137137519156E-2</v>
      </c>
      <c r="L129" s="188">
        <f>+IF((H129)=0,,(J129-H129)/H129)</f>
        <v>0.11555069881315355</v>
      </c>
      <c r="M129" s="305">
        <f>SUM(M117:M128)</f>
        <v>25683.128700000001</v>
      </c>
      <c r="N129" s="26"/>
    </row>
    <row r="130" spans="1:14" s="2" customFormat="1">
      <c r="A130" s="5"/>
      <c r="B130" s="160"/>
      <c r="C130" s="113"/>
      <c r="D130" s="113"/>
      <c r="E130" s="113"/>
      <c r="F130" s="113"/>
      <c r="G130" s="160"/>
      <c r="H130" s="113"/>
      <c r="I130" s="113"/>
      <c r="J130" s="162"/>
      <c r="K130" s="149"/>
      <c r="L130" s="254"/>
      <c r="M130" s="18"/>
      <c r="N130" s="26"/>
    </row>
    <row r="131" spans="1:14" s="2" customFormat="1">
      <c r="A131" s="5" t="s">
        <v>148</v>
      </c>
      <c r="B131" s="160">
        <f>+Orléans!G131</f>
        <v>105000</v>
      </c>
      <c r="C131" s="113">
        <f>+Château!G131</f>
        <v>54000</v>
      </c>
      <c r="D131" s="113">
        <f>+Bosc!G131</f>
        <v>135000</v>
      </c>
      <c r="E131" s="113">
        <f>+Chartres!G131</f>
        <v>130000</v>
      </c>
      <c r="F131" s="113">
        <f>+Chalette!G131</f>
        <v>58200</v>
      </c>
      <c r="G131" s="160">
        <f>+Orléans!E131+Château!E131+Chartres!E131+Bosc!E131</f>
        <v>334585.98</v>
      </c>
      <c r="H131" s="270">
        <f>+Orléans!F131+Château!F131+Chartres!F131+Bosc!F131+Chalette!F131</f>
        <v>406648.2</v>
      </c>
      <c r="I131" s="270">
        <v>235490</v>
      </c>
      <c r="J131" s="341">
        <f t="shared" ref="J131:J150" si="26">SUM(B131:F131)</f>
        <v>482200</v>
      </c>
      <c r="K131" s="149">
        <f>+IF((G131)=0,,(H131-G131)/G131)</f>
        <v>0.2153772850852867</v>
      </c>
      <c r="L131" s="271">
        <f>+IF((H131)=0,,(J131-H131)/H131)</f>
        <v>0.18579155151799512</v>
      </c>
      <c r="M131" s="18">
        <v>221990</v>
      </c>
      <c r="N131" s="26"/>
    </row>
    <row r="132" spans="1:14" s="2" customFormat="1">
      <c r="A132" s="5" t="s">
        <v>149</v>
      </c>
      <c r="B132" s="160">
        <f>+Orléans!G132</f>
        <v>0</v>
      </c>
      <c r="C132" s="113">
        <f>+Château!G132</f>
        <v>0</v>
      </c>
      <c r="D132" s="113">
        <f>+Bosc!G132</f>
        <v>0</v>
      </c>
      <c r="E132" s="113">
        <f>+Chartres!G132</f>
        <v>0</v>
      </c>
      <c r="F132" s="113">
        <f>+Chalette!G132</f>
        <v>0</v>
      </c>
      <c r="G132" s="160">
        <f>+Orléans!E132+Château!E132+Chartres!E132+Bosc!E132</f>
        <v>142.80000000000001</v>
      </c>
      <c r="H132" s="270">
        <f>+Orléans!F132+Château!F132+Chartres!F132+Bosc!F132+Chalette!F132</f>
        <v>-3009.5466666666662</v>
      </c>
      <c r="I132" s="270">
        <v>0</v>
      </c>
      <c r="J132" s="341">
        <f t="shared" si="26"/>
        <v>0</v>
      </c>
      <c r="K132" s="149">
        <f t="shared" ref="K132:K150" si="27">+IF((G132)=0,,(H132-G132)/G132)</f>
        <v>-22.075256769374413</v>
      </c>
      <c r="L132" s="271">
        <f t="shared" ref="L132:L150" si="28">+IF((H132)=0,,(J132-H132)/H132)</f>
        <v>-1</v>
      </c>
      <c r="M132" s="18">
        <v>0</v>
      </c>
      <c r="N132" s="26"/>
    </row>
    <row r="133" spans="1:14" s="2" customFormat="1">
      <c r="A133" s="5" t="s">
        <v>150</v>
      </c>
      <c r="B133" s="160">
        <f>+Orléans!G133</f>
        <v>0</v>
      </c>
      <c r="C133" s="113">
        <f>+Château!G133</f>
        <v>0</v>
      </c>
      <c r="D133" s="113">
        <f>+Bosc!G133</f>
        <v>0</v>
      </c>
      <c r="E133" s="113">
        <f>+Chartres!G133</f>
        <v>0</v>
      </c>
      <c r="F133" s="113">
        <f>+Chalette!G133</f>
        <v>0</v>
      </c>
      <c r="G133" s="160">
        <f>+Orléans!E133+Château!E133+Chartres!E133+Bosc!E133</f>
        <v>200</v>
      </c>
      <c r="H133" s="270">
        <f>+Orléans!F133+Château!F133+Chartres!F133+Bosc!F133+Chalette!F133</f>
        <v>362.66666666666663</v>
      </c>
      <c r="I133" s="270">
        <v>0</v>
      </c>
      <c r="J133" s="341">
        <f t="shared" si="26"/>
        <v>0</v>
      </c>
      <c r="K133" s="149">
        <f t="shared" si="27"/>
        <v>0.81333333333333313</v>
      </c>
      <c r="L133" s="271">
        <f t="shared" si="28"/>
        <v>-1</v>
      </c>
      <c r="M133" s="18">
        <v>0</v>
      </c>
      <c r="N133" s="26"/>
    </row>
    <row r="134" spans="1:14" s="2" customFormat="1">
      <c r="A134" s="5" t="s">
        <v>151</v>
      </c>
      <c r="B134" s="160">
        <f>+Orléans!G134</f>
        <v>0</v>
      </c>
      <c r="C134" s="113">
        <f>+Château!G134</f>
        <v>0</v>
      </c>
      <c r="D134" s="113">
        <f>+Bosc!G134</f>
        <v>0</v>
      </c>
      <c r="E134" s="113">
        <f>+Chartres!G134</f>
        <v>0</v>
      </c>
      <c r="F134" s="113">
        <f>+Chalette!G134</f>
        <v>0</v>
      </c>
      <c r="G134" s="160">
        <f>+Orléans!E134+Château!E134+Chartres!E134+Bosc!E134</f>
        <v>-1103.3599999999997</v>
      </c>
      <c r="H134" s="270">
        <f>+Orléans!F134+Château!F134+Chartres!F134+Bosc!F134+Chalette!F134</f>
        <v>-3723.1333333333332</v>
      </c>
      <c r="I134" s="270">
        <v>0</v>
      </c>
      <c r="J134" s="341">
        <f t="shared" si="26"/>
        <v>0</v>
      </c>
      <c r="K134" s="149">
        <f t="shared" si="27"/>
        <v>2.3743595320959021</v>
      </c>
      <c r="L134" s="271">
        <f t="shared" si="28"/>
        <v>-1</v>
      </c>
      <c r="M134" s="18">
        <v>0</v>
      </c>
      <c r="N134" s="26"/>
    </row>
    <row r="135" spans="1:14" s="2" customFormat="1">
      <c r="A135" s="5" t="s">
        <v>114</v>
      </c>
      <c r="B135" s="160">
        <f>+Orléans!G135</f>
        <v>0</v>
      </c>
      <c r="C135" s="113">
        <f>+Château!G135</f>
        <v>2500</v>
      </c>
      <c r="D135" s="113">
        <f>+Bosc!G135</f>
        <v>0</v>
      </c>
      <c r="E135" s="113">
        <f>+Chartres!G135</f>
        <v>0</v>
      </c>
      <c r="F135" s="113">
        <f>+Chalette!G135</f>
        <v>0</v>
      </c>
      <c r="G135" s="160">
        <f>+Orléans!E135+Château!E135+Chartres!E135+Bosc!E135</f>
        <v>8549.49</v>
      </c>
      <c r="H135" s="270">
        <f>+Orléans!F135+Château!F135+Chartres!F135+Bosc!F135+Chalette!F135</f>
        <v>6730.8266666666659</v>
      </c>
      <c r="I135" s="270">
        <v>2844.7158000000004</v>
      </c>
      <c r="J135" s="341">
        <f t="shared" si="26"/>
        <v>2500</v>
      </c>
      <c r="K135" s="149">
        <f t="shared" si="27"/>
        <v>-0.21272185046515452</v>
      </c>
      <c r="L135" s="271">
        <f t="shared" si="28"/>
        <v>-0.62857459806819171</v>
      </c>
      <c r="M135" s="18">
        <v>0</v>
      </c>
      <c r="N135" s="26"/>
    </row>
    <row r="136" spans="1:14" s="2" customFormat="1">
      <c r="A136" s="5" t="s">
        <v>338</v>
      </c>
      <c r="B136" s="160">
        <f>+Orléans!G136</f>
        <v>0</v>
      </c>
      <c r="C136" s="113">
        <f>+Château!G136</f>
        <v>0</v>
      </c>
      <c r="D136" s="113">
        <f>+Bosc!G136</f>
        <v>0</v>
      </c>
      <c r="E136" s="113">
        <f>+Chartres!G136</f>
        <v>0</v>
      </c>
      <c r="F136" s="113">
        <f>+Chalette!G136</f>
        <v>0</v>
      </c>
      <c r="G136" s="160">
        <f>+Orléans!E136+Château!E136+Chartres!E136+Bosc!E136</f>
        <v>0</v>
      </c>
      <c r="H136" s="270">
        <f>+Orléans!F136+Château!F136+Chartres!F136+Bosc!F136+Chalette!F136</f>
        <v>0</v>
      </c>
      <c r="I136" s="270">
        <v>0</v>
      </c>
      <c r="J136" s="341">
        <f t="shared" si="26"/>
        <v>0</v>
      </c>
      <c r="K136" s="149">
        <f t="shared" si="27"/>
        <v>0</v>
      </c>
      <c r="L136" s="271">
        <f t="shared" si="28"/>
        <v>0</v>
      </c>
      <c r="M136" s="18">
        <v>0</v>
      </c>
      <c r="N136" s="26"/>
    </row>
    <row r="137" spans="1:14" s="2" customFormat="1">
      <c r="A137" s="5" t="s">
        <v>87</v>
      </c>
      <c r="B137" s="160">
        <f>+Orléans!G137</f>
        <v>0</v>
      </c>
      <c r="C137" s="113">
        <f>+Château!G137</f>
        <v>0</v>
      </c>
      <c r="D137" s="113">
        <f>+Bosc!G137</f>
        <v>0</v>
      </c>
      <c r="E137" s="113">
        <f>+Chartres!G137</f>
        <v>0</v>
      </c>
      <c r="F137" s="113">
        <f>+Chalette!G137</f>
        <v>0</v>
      </c>
      <c r="G137" s="160">
        <f>+Orléans!E137+Château!E137+Chartres!E137+Bosc!E137</f>
        <v>0</v>
      </c>
      <c r="H137" s="270">
        <f>+Orléans!F137+Château!F137+Chartres!F137+Bosc!F137+Chalette!F137</f>
        <v>0</v>
      </c>
      <c r="I137" s="270">
        <v>0</v>
      </c>
      <c r="J137" s="341">
        <f t="shared" si="26"/>
        <v>0</v>
      </c>
      <c r="K137" s="149">
        <f t="shared" si="27"/>
        <v>0</v>
      </c>
      <c r="L137" s="271">
        <f t="shared" si="28"/>
        <v>0</v>
      </c>
      <c r="M137" s="18">
        <v>0</v>
      </c>
      <c r="N137" s="26"/>
    </row>
    <row r="138" spans="1:14" s="2" customFormat="1">
      <c r="A138" s="5" t="s">
        <v>152</v>
      </c>
      <c r="B138" s="160">
        <f>+Orléans!G138</f>
        <v>0</v>
      </c>
      <c r="C138" s="113">
        <f>+Château!G138</f>
        <v>0</v>
      </c>
      <c r="D138" s="113">
        <f>+Bosc!G138</f>
        <v>0</v>
      </c>
      <c r="E138" s="113">
        <f>+Chartres!G138</f>
        <v>0</v>
      </c>
      <c r="F138" s="113">
        <f>+Chalette!G138</f>
        <v>0</v>
      </c>
      <c r="G138" s="160">
        <f>+Orléans!E138+Château!E138+Chartres!E138+Bosc!E138</f>
        <v>-553.33999999999946</v>
      </c>
      <c r="H138" s="270">
        <f>+Orléans!F138+Château!F138+Chartres!F138+Bosc!F138+Chalette!F138</f>
        <v>-1312.7866666666666</v>
      </c>
      <c r="I138" s="270">
        <v>0</v>
      </c>
      <c r="J138" s="341">
        <f t="shared" si="26"/>
        <v>0</v>
      </c>
      <c r="K138" s="149">
        <f t="shared" si="27"/>
        <v>1.3724774400308453</v>
      </c>
      <c r="L138" s="271">
        <f t="shared" si="28"/>
        <v>-1</v>
      </c>
      <c r="M138" s="18">
        <v>0</v>
      </c>
      <c r="N138" s="26"/>
    </row>
    <row r="139" spans="1:14" s="2" customFormat="1">
      <c r="A139" s="5" t="s">
        <v>153</v>
      </c>
      <c r="B139" s="160">
        <f>+Orléans!G139</f>
        <v>0</v>
      </c>
      <c r="C139" s="113">
        <f>+Château!G139</f>
        <v>0</v>
      </c>
      <c r="D139" s="113">
        <f>+Bosc!G139</f>
        <v>0</v>
      </c>
      <c r="E139" s="113">
        <f>+Chartres!G139</f>
        <v>0</v>
      </c>
      <c r="F139" s="113">
        <f>+Chalette!G139</f>
        <v>0</v>
      </c>
      <c r="G139" s="160">
        <f>+Orléans!E139+Château!E139+Chartres!E139+Bosc!E139</f>
        <v>0</v>
      </c>
      <c r="H139" s="270">
        <f>+Orléans!F139+Château!F139+Chartres!F139+Bosc!F139+Chalette!F139</f>
        <v>0</v>
      </c>
      <c r="I139" s="270">
        <v>0</v>
      </c>
      <c r="J139" s="341">
        <f t="shared" si="26"/>
        <v>0</v>
      </c>
      <c r="K139" s="149">
        <f t="shared" si="27"/>
        <v>0</v>
      </c>
      <c r="L139" s="271">
        <f t="shared" si="28"/>
        <v>0</v>
      </c>
      <c r="M139" s="18">
        <v>0</v>
      </c>
      <c r="N139" s="26"/>
    </row>
    <row r="140" spans="1:14" s="2" customFormat="1">
      <c r="A140" s="5" t="s">
        <v>154</v>
      </c>
      <c r="B140" s="160">
        <f>+Orléans!G140</f>
        <v>0</v>
      </c>
      <c r="C140" s="113">
        <f>+Château!G140</f>
        <v>0</v>
      </c>
      <c r="D140" s="113">
        <f>+Bosc!G140</f>
        <v>0</v>
      </c>
      <c r="E140" s="113">
        <f>+Chartres!G140</f>
        <v>0</v>
      </c>
      <c r="F140" s="113">
        <f>+Chalette!G140</f>
        <v>0</v>
      </c>
      <c r="G140" s="160">
        <f>+Orléans!E140+Château!E140+Chartres!E140+Bosc!E140</f>
        <v>0</v>
      </c>
      <c r="H140" s="270">
        <f>+Orléans!F140+Château!F140+Chartres!F140+Bosc!F140+Chalette!F140</f>
        <v>0</v>
      </c>
      <c r="I140" s="270">
        <v>0</v>
      </c>
      <c r="J140" s="341">
        <f t="shared" si="26"/>
        <v>0</v>
      </c>
      <c r="K140" s="149">
        <f t="shared" si="27"/>
        <v>0</v>
      </c>
      <c r="L140" s="271">
        <f t="shared" si="28"/>
        <v>0</v>
      </c>
      <c r="M140" s="18">
        <v>0</v>
      </c>
      <c r="N140" s="26"/>
    </row>
    <row r="141" spans="1:14" s="2" customFormat="1">
      <c r="A141" s="5" t="s">
        <v>155</v>
      </c>
      <c r="B141" s="160">
        <f>+Orléans!G141</f>
        <v>25577.945351312992</v>
      </c>
      <c r="C141" s="113">
        <f>+Château!G141</f>
        <v>13821.92555326802</v>
      </c>
      <c r="D141" s="113">
        <f>+Bosc!G141</f>
        <v>34310.388569850584</v>
      </c>
      <c r="E141" s="113">
        <f>+Chartres!G141</f>
        <v>31894.143700123877</v>
      </c>
      <c r="F141" s="113">
        <f>+Chalette!G141</f>
        <v>15790.571388584014</v>
      </c>
      <c r="G141" s="160">
        <f>+Orléans!E141+Château!E141+Chartres!E141+Bosc!E141</f>
        <v>88948.03</v>
      </c>
      <c r="H141" s="270">
        <f>+Orléans!F141+Château!F141+Chartres!F141+Bosc!F141+Chalette!F141</f>
        <v>100593.62666666666</v>
      </c>
      <c r="I141" s="270">
        <v>60866.891243067366</v>
      </c>
      <c r="J141" s="341">
        <f t="shared" si="26"/>
        <v>121394.97456313949</v>
      </c>
      <c r="K141" s="149">
        <f t="shared" si="27"/>
        <v>0.13092585262053205</v>
      </c>
      <c r="L141" s="271">
        <f t="shared" si="28"/>
        <v>0.20678594246732426</v>
      </c>
      <c r="M141" s="18">
        <v>60652.323660669361</v>
      </c>
      <c r="N141" s="26"/>
    </row>
    <row r="142" spans="1:14" s="2" customFormat="1">
      <c r="A142" s="5" t="s">
        <v>156</v>
      </c>
      <c r="B142" s="160">
        <f>+Orléans!G142</f>
        <v>3709.7718968022282</v>
      </c>
      <c r="C142" s="113">
        <f>+Château!G142</f>
        <v>1591.5408490014306</v>
      </c>
      <c r="D142" s="113">
        <f>+Bosc!G142</f>
        <v>4952.278941462685</v>
      </c>
      <c r="E142" s="113">
        <f>+Chartres!G142</f>
        <v>3330.6543136691589</v>
      </c>
      <c r="F142" s="113">
        <f>+Chalette!G142</f>
        <v>0</v>
      </c>
      <c r="G142" s="160">
        <f>+Orléans!E142+Château!E142+Chartres!E142+Bosc!E142</f>
        <v>10610.329999999998</v>
      </c>
      <c r="H142" s="270">
        <f>+Orléans!F142+Château!F142+Chartres!F142+Bosc!F142+Chalette!F142</f>
        <v>11587.173333333334</v>
      </c>
      <c r="I142" s="270">
        <v>6545.4567247365303</v>
      </c>
      <c r="J142" s="341">
        <f t="shared" si="26"/>
        <v>13584.246000935502</v>
      </c>
      <c r="K142" s="149">
        <f t="shared" si="27"/>
        <v>9.2065311195159455E-2</v>
      </c>
      <c r="L142" s="271">
        <f t="shared" si="28"/>
        <v>0.17235201460714328</v>
      </c>
      <c r="M142" s="18">
        <v>5611.8886316275948</v>
      </c>
      <c r="N142" s="26"/>
    </row>
    <row r="143" spans="1:14" s="2" customFormat="1">
      <c r="A143" s="5" t="s">
        <v>157</v>
      </c>
      <c r="B143" s="160">
        <f>+Orléans!G143</f>
        <v>6698.4207403216533</v>
      </c>
      <c r="C143" s="113">
        <f>+Château!G143</f>
        <v>3500.0002895244279</v>
      </c>
      <c r="D143" s="113">
        <f>+Bosc!G143</f>
        <v>8256.209222140762</v>
      </c>
      <c r="E143" s="113">
        <f>+Chartres!G143</f>
        <v>7879.2290869027775</v>
      </c>
      <c r="F143" s="113">
        <f>+Chalette!G143</f>
        <v>3683.3091479629043</v>
      </c>
      <c r="G143" s="160">
        <f>+Orléans!E143+Château!E143+Chartres!E143+Bosc!E143</f>
        <v>20388.900000000001</v>
      </c>
      <c r="H143" s="270">
        <f>+Orléans!F143+Château!F143+Chartres!F143+Bosc!F143+Chalette!F143</f>
        <v>24910.866666666665</v>
      </c>
      <c r="I143" s="270">
        <v>14646.364043474885</v>
      </c>
      <c r="J143" s="341">
        <f t="shared" si="26"/>
        <v>30017.168486852526</v>
      </c>
      <c r="K143" s="149">
        <f t="shared" si="27"/>
        <v>0.22178571019852289</v>
      </c>
      <c r="L143" s="271">
        <f t="shared" si="28"/>
        <v>0.20498290519207929</v>
      </c>
      <c r="M143" s="18">
        <v>12572.212652064551</v>
      </c>
      <c r="N143" s="26"/>
    </row>
    <row r="144" spans="1:14" s="2" customFormat="1">
      <c r="A144" s="5" t="s">
        <v>326</v>
      </c>
      <c r="B144" s="160">
        <f>+Orléans!G144</f>
        <v>0</v>
      </c>
      <c r="C144" s="113">
        <f>+Château!G144</f>
        <v>0</v>
      </c>
      <c r="D144" s="113">
        <f>+Bosc!G144</f>
        <v>0</v>
      </c>
      <c r="E144" s="113">
        <f>+Chartres!G144</f>
        <v>0</v>
      </c>
      <c r="F144" s="113">
        <f>+Chalette!G144</f>
        <v>0</v>
      </c>
      <c r="G144" s="160">
        <f>+Orléans!E144+Château!E144+Chartres!E144+Bosc!E144</f>
        <v>0</v>
      </c>
      <c r="H144" s="270">
        <f>+Orléans!F144+Château!F144+Chartres!F144+Bosc!F144+Chalette!F144</f>
        <v>0</v>
      </c>
      <c r="I144" s="270">
        <v>0</v>
      </c>
      <c r="J144" s="341">
        <f t="shared" si="26"/>
        <v>0</v>
      </c>
      <c r="K144" s="149">
        <f t="shared" si="27"/>
        <v>0</v>
      </c>
      <c r="L144" s="271">
        <f t="shared" si="28"/>
        <v>0</v>
      </c>
      <c r="M144" s="18">
        <v>0</v>
      </c>
      <c r="N144" s="26"/>
    </row>
    <row r="145" spans="1:14" s="2" customFormat="1">
      <c r="A145" s="5" t="s">
        <v>158</v>
      </c>
      <c r="B145" s="160">
        <f>+Orléans!G145</f>
        <v>4266.0579478956042</v>
      </c>
      <c r="C145" s="113">
        <f>+Château!G145</f>
        <v>2259.6437691448027</v>
      </c>
      <c r="D145" s="113">
        <f>+Bosc!G145</f>
        <v>5466.4966677621796</v>
      </c>
      <c r="E145" s="113">
        <f>+Chartres!G145</f>
        <v>5493.7149771674203</v>
      </c>
      <c r="F145" s="113">
        <f>+Chalette!G145</f>
        <v>1316.2382050281017</v>
      </c>
      <c r="G145" s="160">
        <f>+Orléans!E145+Château!E145+Chartres!E145+Bosc!E145</f>
        <v>12802.07</v>
      </c>
      <c r="H145" s="270">
        <f>+Orléans!F145+Château!F145+Chartres!F145+Bosc!F145+Chalette!F145</f>
        <v>15639.56</v>
      </c>
      <c r="I145" s="270">
        <v>9162.4595030939508</v>
      </c>
      <c r="J145" s="341">
        <f t="shared" si="26"/>
        <v>18802.151566998109</v>
      </c>
      <c r="K145" s="149">
        <f t="shared" si="27"/>
        <v>0.22164306241100071</v>
      </c>
      <c r="L145" s="271">
        <f t="shared" si="28"/>
        <v>0.20221742600163364</v>
      </c>
      <c r="M145" s="18">
        <v>8512.191933203796</v>
      </c>
      <c r="N145" s="26"/>
    </row>
    <row r="146" spans="1:14" s="2" customFormat="1">
      <c r="A146" s="5" t="s">
        <v>159</v>
      </c>
      <c r="B146" s="160">
        <f>+Orléans!G146</f>
        <v>0</v>
      </c>
      <c r="C146" s="113">
        <f>+Château!G146</f>
        <v>0</v>
      </c>
      <c r="D146" s="113">
        <f>+Bosc!G146</f>
        <v>0</v>
      </c>
      <c r="E146" s="113">
        <f>+Chartres!G146</f>
        <v>0</v>
      </c>
      <c r="F146" s="113">
        <f>+Chalette!G146</f>
        <v>0</v>
      </c>
      <c r="G146" s="160">
        <f>+Orléans!E146+Château!E146+Chartres!E146+Bosc!E146</f>
        <v>-138.34</v>
      </c>
      <c r="H146" s="270">
        <f>+Orléans!F146+Château!F146+Chartres!F146+Bosc!F146+Chalette!F146</f>
        <v>0</v>
      </c>
      <c r="I146" s="270">
        <v>46.898148437134708</v>
      </c>
      <c r="J146" s="341">
        <f t="shared" si="26"/>
        <v>0</v>
      </c>
      <c r="K146" s="149">
        <f t="shared" si="27"/>
        <v>-1</v>
      </c>
      <c r="L146" s="271">
        <f t="shared" si="28"/>
        <v>0</v>
      </c>
      <c r="M146" s="18">
        <v>69.547667977126522</v>
      </c>
      <c r="N146" s="26"/>
    </row>
    <row r="147" spans="1:14" s="2" customFormat="1">
      <c r="A147" s="5" t="s">
        <v>160</v>
      </c>
      <c r="B147" s="160">
        <f>+Orléans!G147</f>
        <v>177.29733333333334</v>
      </c>
      <c r="C147" s="113">
        <f>+Château!G147</f>
        <v>482.7541333333333</v>
      </c>
      <c r="D147" s="113">
        <f>+Bosc!G147</f>
        <v>1889.0337333333334</v>
      </c>
      <c r="E147" s="113">
        <f>+Chartres!G147</f>
        <v>2946.2944000000002</v>
      </c>
      <c r="F147" s="113">
        <f>+Chalette!G147</f>
        <v>0</v>
      </c>
      <c r="G147" s="160">
        <f>+Orléans!E147+Château!E147+Chartres!E147+Bosc!E147</f>
        <v>44.32</v>
      </c>
      <c r="H147" s="270">
        <f>+Orléans!F147+Château!F147+Chartres!F147+Bosc!F147+Chalette!F147</f>
        <v>5335.32</v>
      </c>
      <c r="I147" s="270">
        <v>1438.69939075</v>
      </c>
      <c r="J147" s="341">
        <f t="shared" si="26"/>
        <v>5495.3796000000002</v>
      </c>
      <c r="K147" s="149">
        <f t="shared" si="27"/>
        <v>119.38176895306859</v>
      </c>
      <c r="L147" s="271">
        <f t="shared" si="28"/>
        <v>3.0000000000000096E-2</v>
      </c>
      <c r="M147" s="18">
        <v>1451.3421000000001</v>
      </c>
      <c r="N147" s="26"/>
    </row>
    <row r="148" spans="1:14" s="2" customFormat="1">
      <c r="A148" s="5" t="s">
        <v>161</v>
      </c>
      <c r="B148" s="160">
        <f>+Orléans!G148</f>
        <v>0</v>
      </c>
      <c r="C148" s="113">
        <f>+Château!G148</f>
        <v>0</v>
      </c>
      <c r="D148" s="113">
        <f>+Bosc!G148</f>
        <v>0</v>
      </c>
      <c r="E148" s="113">
        <f>+Chartres!G148</f>
        <v>10.272533333333334</v>
      </c>
      <c r="F148" s="113">
        <f>+Chalette!G148</f>
        <v>0</v>
      </c>
      <c r="G148" s="160">
        <f>+Orléans!E148+Château!E148+Chartres!E148+Bosc!E148</f>
        <v>207.39000000000001</v>
      </c>
      <c r="H148" s="270">
        <f>+Orléans!F148+Château!F148+Chartres!F148+Bosc!F148+Chalette!F148</f>
        <v>9.9733333333333327</v>
      </c>
      <c r="I148" s="270">
        <v>307.83852050000002</v>
      </c>
      <c r="J148" s="341">
        <f t="shared" si="26"/>
        <v>10.272533333333334</v>
      </c>
      <c r="K148" s="149">
        <f t="shared" si="27"/>
        <v>-0.95191024961023518</v>
      </c>
      <c r="L148" s="271">
        <f t="shared" si="28"/>
        <v>3.0000000000000082E-2</v>
      </c>
      <c r="M148" s="18">
        <v>132.8494</v>
      </c>
      <c r="N148" s="26"/>
    </row>
    <row r="149" spans="1:14" s="2" customFormat="1">
      <c r="A149" s="5" t="s">
        <v>162</v>
      </c>
      <c r="B149" s="160">
        <f>+Orléans!G149</f>
        <v>0</v>
      </c>
      <c r="C149" s="113">
        <f>+Château!G149</f>
        <v>0</v>
      </c>
      <c r="D149" s="113">
        <f>+Bosc!G149</f>
        <v>0</v>
      </c>
      <c r="E149" s="113">
        <f>+Chartres!G149</f>
        <v>0</v>
      </c>
      <c r="F149" s="113">
        <f>+Chalette!G149</f>
        <v>0</v>
      </c>
      <c r="G149" s="160">
        <f>+Orléans!E149+Château!E149+Chartres!E149+Bosc!E149</f>
        <v>59.21</v>
      </c>
      <c r="H149" s="270">
        <f>+Orléans!F149+Château!F149+Chartres!F149+Bosc!F149+Chalette!F149</f>
        <v>0</v>
      </c>
      <c r="I149" s="270">
        <v>332.64684299999999</v>
      </c>
      <c r="J149" s="341">
        <f t="shared" si="26"/>
        <v>0</v>
      </c>
      <c r="K149" s="149">
        <f t="shared" si="27"/>
        <v>-1</v>
      </c>
      <c r="L149" s="271">
        <f t="shared" si="28"/>
        <v>0</v>
      </c>
      <c r="M149" s="18">
        <v>34.072400000000002</v>
      </c>
      <c r="N149" s="26"/>
    </row>
    <row r="150" spans="1:14" s="2" customFormat="1">
      <c r="A150" s="5" t="s">
        <v>163</v>
      </c>
      <c r="B150" s="160">
        <f>+Orléans!G150</f>
        <v>137.33333333333331</v>
      </c>
      <c r="C150" s="113">
        <f>+Château!G150</f>
        <v>160.74866666666668</v>
      </c>
      <c r="D150" s="113">
        <f>+Bosc!G150</f>
        <v>699.02666666666676</v>
      </c>
      <c r="E150" s="113">
        <f>+Chartres!G150</f>
        <v>230.52773333333337</v>
      </c>
      <c r="F150" s="113">
        <f>+Chalette!G150</f>
        <v>136.38115555555558</v>
      </c>
      <c r="G150" s="160">
        <f>+Orléans!E150+Château!E150+Chartres!E150+Bosc!E150</f>
        <v>978.4</v>
      </c>
      <c r="H150" s="270">
        <f>+Orléans!F150+Château!F150+Chartres!F150+Bosc!F150+Chalette!F150</f>
        <v>1291.1866666666667</v>
      </c>
      <c r="I150" s="270">
        <v>692.44959226791673</v>
      </c>
      <c r="J150" s="341">
        <f t="shared" si="26"/>
        <v>1364.0175555555556</v>
      </c>
      <c r="K150" s="149">
        <f t="shared" si="27"/>
        <v>0.31969201417279924</v>
      </c>
      <c r="L150" s="271">
        <f t="shared" si="28"/>
        <v>5.6406165560018887E-2</v>
      </c>
      <c r="M150" s="18">
        <v>666.32463016666668</v>
      </c>
      <c r="N150" s="26"/>
    </row>
    <row r="151" spans="1:14" s="2" customFormat="1">
      <c r="A151" s="5" t="s">
        <v>570</v>
      </c>
      <c r="B151" s="160">
        <f>+Orléans!G151</f>
        <v>0</v>
      </c>
      <c r="C151" s="113">
        <f>+Château!G151</f>
        <v>0</v>
      </c>
      <c r="D151" s="113">
        <f>+Bosc!G151</f>
        <v>0</v>
      </c>
      <c r="E151" s="113">
        <f>+Chartres!G151</f>
        <v>0</v>
      </c>
      <c r="F151" s="113">
        <f>+Chalette!G151</f>
        <v>0</v>
      </c>
      <c r="G151" s="160">
        <f>+Orléans!E151+Château!E151+Chartres!E151+Bosc!E151</f>
        <v>0</v>
      </c>
      <c r="H151" s="270">
        <f>+Orléans!F151+Château!F151+Chartres!F151+Bosc!F151+Chalette!F151</f>
        <v>0</v>
      </c>
      <c r="I151" s="270">
        <v>693.44959226791696</v>
      </c>
      <c r="J151" s="341">
        <f>SUM(B151:F151)</f>
        <v>0</v>
      </c>
      <c r="K151" s="149"/>
      <c r="L151" s="271"/>
      <c r="M151" s="18"/>
      <c r="N151" s="26"/>
    </row>
    <row r="152" spans="1:14" s="2" customFormat="1">
      <c r="A152" s="5" t="s">
        <v>58</v>
      </c>
      <c r="B152" s="160">
        <f>+Orléans!G152</f>
        <v>0</v>
      </c>
      <c r="C152" s="113">
        <f>+Château!G152</f>
        <v>0</v>
      </c>
      <c r="D152" s="113">
        <f>+Bosc!G152</f>
        <v>0</v>
      </c>
      <c r="E152" s="113">
        <f>+Chartres!G152</f>
        <v>0</v>
      </c>
      <c r="F152" s="113">
        <f>+Chalette!G152</f>
        <v>0</v>
      </c>
      <c r="G152" s="160">
        <f>+Orléans!E152+Château!E152+Chartres!E152+Bosc!E152</f>
        <v>16205.915199999999</v>
      </c>
      <c r="H152" s="270">
        <f>+Orléans!F152+Château!F152+Chartres!F152+Bosc!F152+Chalette!F152</f>
        <v>0</v>
      </c>
      <c r="I152" s="270">
        <v>676.13319999999999</v>
      </c>
      <c r="J152" s="341">
        <f>SUM(B152:F152)</f>
        <v>0</v>
      </c>
      <c r="K152" s="149">
        <f>+IF((G153)=0,,(H153-G153)/G153)</f>
        <v>0</v>
      </c>
      <c r="L152" s="271">
        <f>+IF((H153)=0,,(J153-H153)/H153)</f>
        <v>0</v>
      </c>
      <c r="M152" s="18">
        <v>0</v>
      </c>
      <c r="N152" s="26"/>
    </row>
    <row r="153" spans="1:14" s="2" customFormat="1">
      <c r="A153" s="5"/>
      <c r="B153" s="160"/>
      <c r="C153" s="113"/>
      <c r="D153" s="113"/>
      <c r="E153" s="113"/>
      <c r="F153" s="113"/>
      <c r="G153" s="160"/>
      <c r="H153" s="113"/>
      <c r="I153" s="113"/>
      <c r="J153" s="162"/>
      <c r="K153" s="149"/>
      <c r="L153" s="254"/>
      <c r="M153" s="18"/>
      <c r="N153" s="26"/>
    </row>
    <row r="154" spans="1:14" s="2" customFormat="1">
      <c r="A154" s="13" t="s">
        <v>164</v>
      </c>
      <c r="B154" s="163">
        <f t="shared" ref="B154:H154" si="29">SUM(B130:B153)</f>
        <v>145566.82660299915</v>
      </c>
      <c r="C154" s="204">
        <f t="shared" si="29"/>
        <v>78316.613260938699</v>
      </c>
      <c r="D154" s="204">
        <f t="shared" si="29"/>
        <v>190573.43380121622</v>
      </c>
      <c r="E154" s="204">
        <f t="shared" si="29"/>
        <v>181784.83674452992</v>
      </c>
      <c r="F154" s="204">
        <f>SUM(F130:F153)</f>
        <v>79126.499897130576</v>
      </c>
      <c r="G154" s="163">
        <f t="shared" si="29"/>
        <v>491927.79520000005</v>
      </c>
      <c r="H154" s="204">
        <f t="shared" si="29"/>
        <v>565063.93333333335</v>
      </c>
      <c r="I154" s="204">
        <v>333050.55300932779</v>
      </c>
      <c r="J154" s="168">
        <f>SUM(J130:J153)</f>
        <v>675368.21030681452</v>
      </c>
      <c r="K154" s="272">
        <f>+IF((G154)=0,,(H154-G154)/G154)</f>
        <v>0.14867250610142652</v>
      </c>
      <c r="L154" s="188">
        <f>+IF((H154)=0,,(J154-H154)/H154)</f>
        <v>0.19520671992422539</v>
      </c>
      <c r="M154" s="305">
        <f>SUM(M130:M153)</f>
        <v>311692.75307570916</v>
      </c>
      <c r="N154" s="26"/>
    </row>
    <row r="155" spans="1:14" s="2" customFormat="1">
      <c r="A155" s="5"/>
      <c r="B155" s="160"/>
      <c r="C155" s="113"/>
      <c r="D155" s="113"/>
      <c r="E155" s="113"/>
      <c r="F155" s="113"/>
      <c r="G155" s="160"/>
      <c r="H155" s="113"/>
      <c r="I155" s="113"/>
      <c r="J155" s="162"/>
      <c r="K155" s="149"/>
      <c r="L155" s="254"/>
      <c r="M155" s="18"/>
      <c r="N155" s="26"/>
    </row>
    <row r="156" spans="1:14" s="2" customFormat="1">
      <c r="A156" s="5" t="s">
        <v>227</v>
      </c>
      <c r="B156" s="160">
        <f>+Orléans!G156</f>
        <v>15411.436488000003</v>
      </c>
      <c r="C156" s="113">
        <f>+Château!G156</f>
        <v>7180.2409500000012</v>
      </c>
      <c r="D156" s="113">
        <f>+Bosc!G156</f>
        <v>21087.578556</v>
      </c>
      <c r="E156" s="113">
        <f>+Chartres!G156</f>
        <v>15227.216730000002</v>
      </c>
      <c r="F156" s="113">
        <f>+Chalette!G156</f>
        <v>5849.8974360000011</v>
      </c>
      <c r="G156" s="160">
        <f>+Orléans!E156+Château!E156+Chartres!E156+Bosc!E156</f>
        <v>25065.690000000002</v>
      </c>
      <c r="H156" s="270">
        <f>+Orléans!F156+Château!F156+Chartres!F156+Bosc!F156+Chalette!F156</f>
        <v>27573.200000000001</v>
      </c>
      <c r="I156" s="270">
        <v>32375</v>
      </c>
      <c r="J156" s="341">
        <f t="shared" ref="J156:J166" si="30">SUM(B156:F156)</f>
        <v>64756.370160000006</v>
      </c>
      <c r="K156" s="149">
        <f>+IF((G156)=0,,(H156-G156)/G156)</f>
        <v>0.10003754135633203</v>
      </c>
      <c r="L156" s="271">
        <f>+IF((H156)=0,,(J156-H156)/H156)</f>
        <v>1.3485257481902719</v>
      </c>
      <c r="M156" s="18">
        <v>24600</v>
      </c>
      <c r="N156" s="26"/>
    </row>
    <row r="157" spans="1:14" s="2" customFormat="1">
      <c r="A157" s="5" t="s">
        <v>165</v>
      </c>
      <c r="B157" s="160">
        <f>+Orléans!G157</f>
        <v>0</v>
      </c>
      <c r="C157" s="113">
        <f>+Château!G157</f>
        <v>0</v>
      </c>
      <c r="D157" s="113">
        <f>+Bosc!G157</f>
        <v>0</v>
      </c>
      <c r="E157" s="113">
        <f>+Chartres!G157</f>
        <v>0</v>
      </c>
      <c r="F157" s="113">
        <f>+Chalette!G157</f>
        <v>0</v>
      </c>
      <c r="G157" s="160">
        <f>+Orléans!E157+Château!E157+Chartres!E157+Bosc!E157</f>
        <v>-6425.880000000001</v>
      </c>
      <c r="H157" s="270">
        <f>+Orléans!F157+Château!F157+Chartres!F157+Bosc!F157+Chalette!F157</f>
        <v>-54258.306666666671</v>
      </c>
      <c r="I157" s="270">
        <v>0</v>
      </c>
      <c r="J157" s="341">
        <f t="shared" si="30"/>
        <v>0</v>
      </c>
      <c r="K157" s="149">
        <f t="shared" ref="K157:K166" si="31">+IF((G157)=0,,(H157-G157)/G157)</f>
        <v>7.4437161395274511</v>
      </c>
      <c r="L157" s="271">
        <f t="shared" ref="L157:L166" si="32">+IF((H157)=0,,(J157-H157)/H157)</f>
        <v>-1</v>
      </c>
      <c r="M157" s="18">
        <v>0</v>
      </c>
      <c r="N157" s="26"/>
    </row>
    <row r="158" spans="1:14" s="2" customFormat="1">
      <c r="A158" s="5" t="s">
        <v>166</v>
      </c>
      <c r="B158" s="160">
        <f>+Orléans!G158</f>
        <v>0</v>
      </c>
      <c r="C158" s="113">
        <f>+Château!G158</f>
        <v>0</v>
      </c>
      <c r="D158" s="113">
        <f>+Bosc!G158</f>
        <v>0</v>
      </c>
      <c r="E158" s="113">
        <f>+Chartres!G158</f>
        <v>0</v>
      </c>
      <c r="F158" s="113">
        <f>+Chalette!G158</f>
        <v>0</v>
      </c>
      <c r="G158" s="160">
        <f>+Orléans!E158+Château!E158+Chartres!E158+Bosc!E158</f>
        <v>4360.84</v>
      </c>
      <c r="H158" s="270">
        <f>+Orléans!F158+Château!F158+Chartres!F158+Bosc!F158+Chalette!F158</f>
        <v>54883.026666666672</v>
      </c>
      <c r="I158" s="270">
        <v>0</v>
      </c>
      <c r="J158" s="341">
        <f t="shared" si="30"/>
        <v>0</v>
      </c>
      <c r="K158" s="149">
        <f t="shared" si="31"/>
        <v>11.585425437912575</v>
      </c>
      <c r="L158" s="271">
        <f t="shared" si="32"/>
        <v>-1</v>
      </c>
      <c r="M158" s="18">
        <v>0</v>
      </c>
      <c r="N158" s="26"/>
    </row>
    <row r="159" spans="1:14" s="2" customFormat="1">
      <c r="A159" s="5" t="s">
        <v>60</v>
      </c>
      <c r="B159" s="160">
        <f>+Orléans!G159</f>
        <v>0</v>
      </c>
      <c r="C159" s="113">
        <f>+Château!G159</f>
        <v>0</v>
      </c>
      <c r="D159" s="113">
        <f>+Bosc!G159</f>
        <v>0</v>
      </c>
      <c r="E159" s="113">
        <f>+Chartres!G159</f>
        <v>0</v>
      </c>
      <c r="F159" s="113">
        <f>+Chalette!G159</f>
        <v>0</v>
      </c>
      <c r="G159" s="160">
        <f>+Orléans!E159+Château!E159+Chartres!E159+Bosc!E159</f>
        <v>-7746.91</v>
      </c>
      <c r="H159" s="270">
        <f>+Orléans!F159+Château!F159+Chartres!F159+Bosc!F159+Chalette!F159</f>
        <v>4423.3599999999997</v>
      </c>
      <c r="I159" s="270">
        <v>0</v>
      </c>
      <c r="J159" s="341">
        <f t="shared" si="30"/>
        <v>0</v>
      </c>
      <c r="K159" s="149">
        <f t="shared" si="31"/>
        <v>-1.5709837857933036</v>
      </c>
      <c r="L159" s="271">
        <f t="shared" si="32"/>
        <v>-1</v>
      </c>
      <c r="M159" s="18">
        <v>0</v>
      </c>
      <c r="N159" s="26"/>
    </row>
    <row r="160" spans="1:14" s="2" customFormat="1">
      <c r="A160" s="5" t="s">
        <v>199</v>
      </c>
      <c r="B160" s="160">
        <f>+Orléans!G160</f>
        <v>0</v>
      </c>
      <c r="C160" s="113">
        <f>+Château!G160</f>
        <v>0</v>
      </c>
      <c r="D160" s="113">
        <f>+Bosc!G160</f>
        <v>0</v>
      </c>
      <c r="E160" s="113">
        <f>+Chartres!G160</f>
        <v>0</v>
      </c>
      <c r="F160" s="113">
        <f>+Chalette!G160</f>
        <v>0</v>
      </c>
      <c r="G160" s="160">
        <f>+Orléans!E160+Château!E160+Chartres!E160+Bosc!E160</f>
        <v>8.8500000000000014</v>
      </c>
      <c r="H160" s="270">
        <f>+Orléans!F160+Château!F160+Chartres!F160+Bosc!F160+Chalette!F160</f>
        <v>7.5733333333333341</v>
      </c>
      <c r="I160" s="270">
        <v>0</v>
      </c>
      <c r="J160" s="341">
        <f t="shared" si="30"/>
        <v>0</v>
      </c>
      <c r="K160" s="149">
        <f t="shared" si="31"/>
        <v>-0.14425612052730702</v>
      </c>
      <c r="L160" s="271">
        <f t="shared" si="32"/>
        <v>-1</v>
      </c>
      <c r="M160" s="18">
        <v>0</v>
      </c>
      <c r="N160" s="26"/>
    </row>
    <row r="161" spans="1:14" s="2" customFormat="1">
      <c r="A161" s="5" t="s">
        <v>41</v>
      </c>
      <c r="B161" s="160">
        <f>+Orléans!G161</f>
        <v>115.26386666666669</v>
      </c>
      <c r="C161" s="113">
        <f>+Château!G161</f>
        <v>0</v>
      </c>
      <c r="D161" s="113">
        <f>+Bosc!G161</f>
        <v>155.36520000000002</v>
      </c>
      <c r="E161" s="113">
        <f>+Chartres!G161</f>
        <v>878.23293333333334</v>
      </c>
      <c r="F161" s="113">
        <f>+Chalette!G161</f>
        <v>0</v>
      </c>
      <c r="G161" s="160">
        <f>+Orléans!E161+Château!E161+Chartres!E161+Bosc!E161</f>
        <v>939.38000000000011</v>
      </c>
      <c r="H161" s="270">
        <f>+Orléans!F161+Château!F161+Chartres!F161+Bosc!F161+Chalette!F161</f>
        <v>1115.3999999999999</v>
      </c>
      <c r="I161" s="270">
        <v>1085.6212414075001</v>
      </c>
      <c r="J161" s="341">
        <f t="shared" si="30"/>
        <v>1148.8620000000001</v>
      </c>
      <c r="K161" s="149">
        <f t="shared" si="31"/>
        <v>0.18737890949349542</v>
      </c>
      <c r="L161" s="271">
        <f t="shared" si="32"/>
        <v>3.0000000000000197E-2</v>
      </c>
      <c r="M161" s="18">
        <v>494.88482100000004</v>
      </c>
      <c r="N161" s="26"/>
    </row>
    <row r="162" spans="1:14" s="2" customFormat="1">
      <c r="A162" s="5" t="s">
        <v>355</v>
      </c>
      <c r="B162" s="160">
        <f>+Orléans!G162</f>
        <v>4.9302666666666664</v>
      </c>
      <c r="C162" s="113">
        <f>+Château!G162</f>
        <v>0</v>
      </c>
      <c r="D162" s="113">
        <f>+Bosc!G162</f>
        <v>19.707333333333334</v>
      </c>
      <c r="E162" s="113">
        <f>+Chartres!G162</f>
        <v>9.0502666666666673</v>
      </c>
      <c r="F162" s="113">
        <f>+Chalette!G162</f>
        <v>0</v>
      </c>
      <c r="G162" s="160">
        <f>+Orléans!E162+Château!E162+Chartres!E162+Bosc!E162</f>
        <v>0</v>
      </c>
      <c r="H162" s="270">
        <f>+Orléans!F162+Château!F162+Chartres!F162+Bosc!F162+Chalette!F162</f>
        <v>32.706666666666663</v>
      </c>
      <c r="I162" s="270">
        <v>1.2556552181944447</v>
      </c>
      <c r="J162" s="341">
        <f t="shared" si="30"/>
        <v>33.687866666666665</v>
      </c>
      <c r="K162" s="149">
        <f t="shared" si="31"/>
        <v>0</v>
      </c>
      <c r="L162" s="271">
        <f t="shared" si="32"/>
        <v>3.0000000000000041E-2</v>
      </c>
      <c r="M162" s="18">
        <v>9.6363309444444454</v>
      </c>
      <c r="N162" s="26"/>
    </row>
    <row r="163" spans="1:14" s="2" customFormat="1">
      <c r="A163" s="5" t="s">
        <v>200</v>
      </c>
      <c r="B163" s="160">
        <f>+Orléans!G163</f>
        <v>861.10746666666671</v>
      </c>
      <c r="C163" s="113">
        <f>+Château!G163</f>
        <v>18.814666666666668</v>
      </c>
      <c r="D163" s="113">
        <f>+Bosc!G163</f>
        <v>0</v>
      </c>
      <c r="E163" s="113">
        <f>+Chartres!G163</f>
        <v>345.00880000000006</v>
      </c>
      <c r="F163" s="113">
        <f>+Chalette!G163</f>
        <v>0</v>
      </c>
      <c r="G163" s="160">
        <f>+Orléans!E163+Château!E163+Chartres!E163+Bosc!E163</f>
        <v>2377.1999999999998</v>
      </c>
      <c r="H163" s="270">
        <f>+Orléans!F163+Château!F163+Chartres!F163+Bosc!F163+Chalette!F163</f>
        <v>1189.2533333333333</v>
      </c>
      <c r="I163" s="270">
        <v>1408.1294433205555</v>
      </c>
      <c r="J163" s="341">
        <f t="shared" si="30"/>
        <v>1224.9309333333335</v>
      </c>
      <c r="K163" s="149">
        <f t="shared" si="31"/>
        <v>-0.49972516686297602</v>
      </c>
      <c r="L163" s="271">
        <f t="shared" si="32"/>
        <v>3.0000000000000179E-2</v>
      </c>
      <c r="M163" s="18">
        <v>1490.4638575555555</v>
      </c>
      <c r="N163" s="26"/>
    </row>
    <row r="164" spans="1:14" s="2" customFormat="1">
      <c r="A164" s="5" t="s">
        <v>271</v>
      </c>
      <c r="B164" s="160">
        <f>+Orléans!G164</f>
        <v>-12.36</v>
      </c>
      <c r="C164" s="113">
        <f>+Château!G164</f>
        <v>-47.38</v>
      </c>
      <c r="D164" s="113">
        <f>+Bosc!G164</f>
        <v>0</v>
      </c>
      <c r="E164" s="113">
        <f>+Chartres!G164</f>
        <v>-12.36</v>
      </c>
      <c r="F164" s="113">
        <f>+Chalette!G164</f>
        <v>0</v>
      </c>
      <c r="G164" s="160">
        <f>+Orléans!E164+Château!E164+Chartres!E164+Bosc!E164</f>
        <v>-112.5</v>
      </c>
      <c r="H164" s="270">
        <f>+Orléans!F164+Château!F164+Chartres!F164+Bosc!F164+Chalette!F164</f>
        <v>-70</v>
      </c>
      <c r="I164" s="270">
        <v>-87.619385649583336</v>
      </c>
      <c r="J164" s="341">
        <f t="shared" si="30"/>
        <v>-72.099999999999994</v>
      </c>
      <c r="K164" s="149">
        <f t="shared" si="31"/>
        <v>-0.37777777777777777</v>
      </c>
      <c r="L164" s="271">
        <f t="shared" si="32"/>
        <v>2.9999999999999919E-2</v>
      </c>
      <c r="M164" s="18">
        <v>-105.06945883333333</v>
      </c>
      <c r="N164" s="26"/>
    </row>
    <row r="165" spans="1:14" s="2" customFormat="1">
      <c r="A165" s="5" t="s">
        <v>242</v>
      </c>
      <c r="B165" s="160">
        <f>+Orléans!G165</f>
        <v>401.7</v>
      </c>
      <c r="C165" s="113">
        <f>+Château!G165</f>
        <v>146.26</v>
      </c>
      <c r="D165" s="113">
        <f>+Bosc!G165</f>
        <v>401.5626666666667</v>
      </c>
      <c r="E165" s="113">
        <f>+Chartres!G165</f>
        <v>269.86</v>
      </c>
      <c r="F165" s="113">
        <f>+Chalette!G165</f>
        <v>0</v>
      </c>
      <c r="G165" s="160">
        <f>+Orléans!E165+Château!E165+Chartres!E165+Bosc!E165</f>
        <v>916.5</v>
      </c>
      <c r="H165" s="270">
        <f>+Orléans!F165+Château!F165+Chartres!F165+Bosc!F165+Chalette!F165</f>
        <v>1183.8666666666668</v>
      </c>
      <c r="I165" s="270">
        <v>365.2923636575</v>
      </c>
      <c r="J165" s="341">
        <f t="shared" si="30"/>
        <v>1219.3826666666669</v>
      </c>
      <c r="K165" s="149">
        <f t="shared" si="31"/>
        <v>0.29172576832151315</v>
      </c>
      <c r="L165" s="271">
        <f t="shared" si="32"/>
        <v>3.0000000000000061E-2</v>
      </c>
      <c r="M165" s="18">
        <v>471.41112099999998</v>
      </c>
      <c r="N165" s="26"/>
    </row>
    <row r="166" spans="1:14" s="2" customFormat="1">
      <c r="A166" s="5" t="s">
        <v>201</v>
      </c>
      <c r="B166" s="160">
        <f>+Orléans!G166</f>
        <v>0</v>
      </c>
      <c r="C166" s="113">
        <f>+Château!G166</f>
        <v>0</v>
      </c>
      <c r="D166" s="113">
        <f>+Bosc!G166</f>
        <v>0</v>
      </c>
      <c r="E166" s="113">
        <f>+Chartres!G166</f>
        <v>0</v>
      </c>
      <c r="F166" s="113">
        <f>+Chalette!G166</f>
        <v>0</v>
      </c>
      <c r="G166" s="160">
        <f>+Orléans!E166+Château!E166+Chartres!E166+Bosc!E166</f>
        <v>0</v>
      </c>
      <c r="H166" s="270">
        <f>+Orléans!F166+Château!F166+Chartres!F166+Bosc!F166+Chalette!F166</f>
        <v>0</v>
      </c>
      <c r="I166" s="270">
        <v>0</v>
      </c>
      <c r="J166" s="341">
        <f t="shared" si="30"/>
        <v>0</v>
      </c>
      <c r="K166" s="149">
        <f t="shared" si="31"/>
        <v>0</v>
      </c>
      <c r="L166" s="271">
        <f t="shared" si="32"/>
        <v>0</v>
      </c>
      <c r="M166" s="18">
        <v>0</v>
      </c>
      <c r="N166" s="26"/>
    </row>
    <row r="167" spans="1:14" s="2" customFormat="1">
      <c r="A167" s="5"/>
      <c r="B167" s="160"/>
      <c r="C167" s="113"/>
      <c r="D167" s="113"/>
      <c r="E167" s="113"/>
      <c r="F167" s="113"/>
      <c r="G167" s="160"/>
      <c r="H167" s="113"/>
      <c r="I167" s="113"/>
      <c r="J167" s="162"/>
      <c r="K167" s="149"/>
      <c r="L167" s="254"/>
      <c r="M167" s="18"/>
      <c r="N167" s="26"/>
    </row>
    <row r="168" spans="1:14" s="2" customFormat="1">
      <c r="A168" s="13" t="s">
        <v>74</v>
      </c>
      <c r="B168" s="163">
        <f t="shared" ref="B168:H168" si="33">SUM(B155:B167)</f>
        <v>16782.078088000002</v>
      </c>
      <c r="C168" s="204">
        <f t="shared" si="33"/>
        <v>7297.9356166666685</v>
      </c>
      <c r="D168" s="204">
        <f t="shared" si="33"/>
        <v>21664.213755999997</v>
      </c>
      <c r="E168" s="204">
        <f t="shared" si="33"/>
        <v>16717.008730000001</v>
      </c>
      <c r="F168" s="204">
        <f>SUM(F155:F167)</f>
        <v>5849.8974360000011</v>
      </c>
      <c r="G168" s="163">
        <f t="shared" si="33"/>
        <v>19383.170000000002</v>
      </c>
      <c r="H168" s="204">
        <f t="shared" si="33"/>
        <v>36080.080000000002</v>
      </c>
      <c r="I168" s="204">
        <v>35147.679317954164</v>
      </c>
      <c r="J168" s="168">
        <f>SUM(J155:J167)</f>
        <v>68311.133626666662</v>
      </c>
      <c r="K168" s="272">
        <f>+IF((G168)=0,,(H168-G168)/G168)</f>
        <v>0.86141276168965131</v>
      </c>
      <c r="L168" s="188">
        <f>+IF((H168)=0,,(J168-H168)/H168)</f>
        <v>0.89331990468609435</v>
      </c>
      <c r="M168" s="305">
        <f>SUM(M155:M167)</f>
        <v>26961.326671666669</v>
      </c>
      <c r="N168" s="26"/>
    </row>
    <row r="169" spans="1:14" s="2" customFormat="1">
      <c r="A169" s="5"/>
      <c r="B169" s="160"/>
      <c r="C169" s="113"/>
      <c r="D169" s="113"/>
      <c r="E169" s="113"/>
      <c r="F169" s="113"/>
      <c r="G169" s="160"/>
      <c r="H169" s="113"/>
      <c r="I169" s="113"/>
      <c r="J169" s="162"/>
      <c r="K169" s="149"/>
      <c r="L169" s="271"/>
      <c r="M169" s="18"/>
      <c r="N169" s="26"/>
    </row>
    <row r="170" spans="1:14" s="2" customFormat="1">
      <c r="A170" s="5" t="s">
        <v>167</v>
      </c>
      <c r="B170" s="160">
        <f>+Orléans!G170</f>
        <v>0</v>
      </c>
      <c r="C170" s="113">
        <f>+Château!G170</f>
        <v>0</v>
      </c>
      <c r="D170" s="113">
        <f>+Bosc!G170</f>
        <v>0</v>
      </c>
      <c r="E170" s="113">
        <f>+Chartres!G170</f>
        <v>0</v>
      </c>
      <c r="F170" s="113">
        <f>+Chalette!G170</f>
        <v>0</v>
      </c>
      <c r="G170" s="160">
        <f>+Orléans!E170+Château!E170+Chartres!E170+Bosc!E170</f>
        <v>0</v>
      </c>
      <c r="H170" s="270">
        <f>+Orléans!F170+Château!F170+Chartres!F170+Bosc!F170+Chalette!F170</f>
        <v>1667</v>
      </c>
      <c r="I170" s="270">
        <v>0</v>
      </c>
      <c r="J170" s="341">
        <f t="shared" ref="J170:J183" si="34">SUM(B170:F170)</f>
        <v>0</v>
      </c>
      <c r="K170" s="149">
        <f>+IF((G170)=0,,(H170-G170)/G170)</f>
        <v>0</v>
      </c>
      <c r="L170" s="271">
        <f>+IF((H170)=0,,(J170-H170)/H170)</f>
        <v>-1</v>
      </c>
      <c r="M170" s="18">
        <v>0</v>
      </c>
      <c r="N170" s="26"/>
    </row>
    <row r="171" spans="1:14" s="2" customFormat="1">
      <c r="A171" s="5" t="s">
        <v>168</v>
      </c>
      <c r="B171" s="160">
        <f>+Orléans!G171</f>
        <v>0</v>
      </c>
      <c r="C171" s="113">
        <f>+Château!G171</f>
        <v>0</v>
      </c>
      <c r="D171" s="113">
        <f>+Bosc!G171</f>
        <v>0</v>
      </c>
      <c r="E171" s="113">
        <f>+Chartres!G171</f>
        <v>0</v>
      </c>
      <c r="F171" s="113">
        <f>+Chalette!G171</f>
        <v>0</v>
      </c>
      <c r="G171" s="160">
        <f>+Orléans!E171+Château!E171+Chartres!E171+Bosc!E171</f>
        <v>0</v>
      </c>
      <c r="H171" s="270">
        <f>+Orléans!F171+Château!F171+Chartres!F171+Bosc!F171+Chalette!F171</f>
        <v>0</v>
      </c>
      <c r="I171" s="270">
        <v>0</v>
      </c>
      <c r="J171" s="341">
        <f t="shared" si="34"/>
        <v>0</v>
      </c>
      <c r="K171" s="149">
        <f t="shared" ref="K171:K183" si="35">+IF((G171)=0,,(H171-G171)/G171)</f>
        <v>0</v>
      </c>
      <c r="L171" s="271">
        <f t="shared" ref="L171:L183" si="36">+IF((H171)=0,,(J171-H171)/H171)</f>
        <v>0</v>
      </c>
      <c r="M171" s="18">
        <v>0</v>
      </c>
      <c r="N171" s="26"/>
    </row>
    <row r="172" spans="1:14" s="2" customFormat="1">
      <c r="A172" s="5" t="s">
        <v>169</v>
      </c>
      <c r="B172" s="160">
        <f>+Orléans!G172</f>
        <v>0</v>
      </c>
      <c r="C172" s="113">
        <f>+Château!G172</f>
        <v>0</v>
      </c>
      <c r="D172" s="113">
        <f>+Bosc!G172</f>
        <v>0</v>
      </c>
      <c r="E172" s="113">
        <f>+Chartres!G172</f>
        <v>0</v>
      </c>
      <c r="F172" s="113">
        <f>+Chalette!G172</f>
        <v>0</v>
      </c>
      <c r="G172" s="160">
        <f>+Orléans!E172+Château!E172+Chartres!E172+Bosc!E172</f>
        <v>0</v>
      </c>
      <c r="H172" s="270">
        <f>+Orléans!F172+Château!F172+Chartres!F172+Bosc!F172+Chalette!F172</f>
        <v>173</v>
      </c>
      <c r="I172" s="270">
        <v>92.7</v>
      </c>
      <c r="J172" s="341">
        <f t="shared" si="34"/>
        <v>0</v>
      </c>
      <c r="K172" s="149">
        <f t="shared" si="35"/>
        <v>0</v>
      </c>
      <c r="L172" s="271">
        <f t="shared" si="36"/>
        <v>-1</v>
      </c>
      <c r="M172" s="18">
        <v>0</v>
      </c>
      <c r="N172" s="26"/>
    </row>
    <row r="173" spans="1:14" s="2" customFormat="1">
      <c r="A173" s="5" t="s">
        <v>170</v>
      </c>
      <c r="B173" s="160">
        <f>+Orléans!G173</f>
        <v>4699.079733333333</v>
      </c>
      <c r="C173" s="113">
        <f>+Château!G173</f>
        <v>46.528533333333343</v>
      </c>
      <c r="D173" s="113">
        <f>+Bosc!G173</f>
        <v>0.30213333333333336</v>
      </c>
      <c r="E173" s="113">
        <f>+Chartres!G173</f>
        <v>0</v>
      </c>
      <c r="F173" s="113">
        <f>+Chalette!G173</f>
        <v>0</v>
      </c>
      <c r="G173" s="160">
        <f>+Orléans!E173+Château!E173+Chartres!E173+Bosc!E173</f>
        <v>6163.6</v>
      </c>
      <c r="H173" s="270">
        <f>+Orléans!F173+Château!F173+Chartres!F173+Bosc!F173+Chalette!F173</f>
        <v>4611.8399999999992</v>
      </c>
      <c r="I173" s="270">
        <v>0</v>
      </c>
      <c r="J173" s="341">
        <f t="shared" si="34"/>
        <v>4745.9103999999998</v>
      </c>
      <c r="K173" s="149">
        <f t="shared" si="35"/>
        <v>-0.25176195729768336</v>
      </c>
      <c r="L173" s="271">
        <f t="shared" si="36"/>
        <v>2.9070913127949047E-2</v>
      </c>
      <c r="M173" s="18">
        <v>0</v>
      </c>
      <c r="N173" s="26"/>
    </row>
    <row r="174" spans="1:14" s="2" customFormat="1">
      <c r="A174" s="5" t="s">
        <v>171</v>
      </c>
      <c r="B174" s="160">
        <f>+Orléans!G174</f>
        <v>0</v>
      </c>
      <c r="C174" s="113">
        <f>+Château!G174</f>
        <v>0</v>
      </c>
      <c r="D174" s="113">
        <f>+Bosc!G174</f>
        <v>0</v>
      </c>
      <c r="E174" s="113">
        <f>+Chartres!G174</f>
        <v>0</v>
      </c>
      <c r="F174" s="113">
        <f>+Chalette!G174</f>
        <v>0</v>
      </c>
      <c r="G174" s="160">
        <f>+Orléans!E174+Château!E174+Chartres!E174+Bosc!E174</f>
        <v>0</v>
      </c>
      <c r="H174" s="270">
        <f>+Orléans!F174+Château!F174+Chartres!F174+Bosc!F174+Chalette!F174</f>
        <v>0</v>
      </c>
      <c r="I174" s="270">
        <v>0</v>
      </c>
      <c r="J174" s="341">
        <f t="shared" si="34"/>
        <v>0</v>
      </c>
      <c r="K174" s="149">
        <f t="shared" si="35"/>
        <v>0</v>
      </c>
      <c r="L174" s="271">
        <f t="shared" si="36"/>
        <v>0</v>
      </c>
      <c r="M174" s="18">
        <v>0</v>
      </c>
      <c r="N174" s="26"/>
    </row>
    <row r="175" spans="1:14" s="2" customFormat="1">
      <c r="A175" s="5" t="s">
        <v>308</v>
      </c>
      <c r="B175" s="160">
        <f>+Orléans!G175</f>
        <v>0</v>
      </c>
      <c r="C175" s="113">
        <f>+Château!G175</f>
        <v>0</v>
      </c>
      <c r="D175" s="113">
        <f>+Bosc!G175</f>
        <v>0</v>
      </c>
      <c r="E175" s="113">
        <f>+Chartres!G175</f>
        <v>0</v>
      </c>
      <c r="F175" s="113">
        <f>+Chalette!G175</f>
        <v>0</v>
      </c>
      <c r="G175" s="160">
        <f>+Orléans!E175+Château!E175+Chartres!E175+Bosc!E175</f>
        <v>0</v>
      </c>
      <c r="H175" s="270">
        <f>+Orléans!F175+Château!F175+Chartres!F175+Bosc!F175+Chalette!F175</f>
        <v>0</v>
      </c>
      <c r="I175" s="270">
        <v>0</v>
      </c>
      <c r="J175" s="341">
        <f t="shared" si="34"/>
        <v>0</v>
      </c>
      <c r="K175" s="149">
        <f t="shared" si="35"/>
        <v>0</v>
      </c>
      <c r="L175" s="271">
        <f t="shared" si="36"/>
        <v>0</v>
      </c>
      <c r="M175" s="18">
        <v>0</v>
      </c>
      <c r="N175" s="26"/>
    </row>
    <row r="176" spans="1:14" s="2" customFormat="1">
      <c r="A176" s="5" t="s">
        <v>172</v>
      </c>
      <c r="B176" s="160">
        <f>+Orléans!G176</f>
        <v>0</v>
      </c>
      <c r="C176" s="113">
        <f>+Château!G176</f>
        <v>0</v>
      </c>
      <c r="D176" s="113">
        <f>+Bosc!G176</f>
        <v>0</v>
      </c>
      <c r="E176" s="113">
        <f>+Chartres!G176</f>
        <v>0</v>
      </c>
      <c r="F176" s="113">
        <f>+Chalette!G176</f>
        <v>0</v>
      </c>
      <c r="G176" s="160">
        <f>+Orléans!E176+Château!E176+Chartres!E176+Bosc!E176</f>
        <v>0</v>
      </c>
      <c r="H176" s="270">
        <f>+Orléans!F176+Château!F176+Chartres!F176+Bosc!F176+Chalette!F176</f>
        <v>0</v>
      </c>
      <c r="I176" s="270">
        <v>0</v>
      </c>
      <c r="J176" s="341">
        <f t="shared" si="34"/>
        <v>0</v>
      </c>
      <c r="K176" s="149">
        <f t="shared" si="35"/>
        <v>0</v>
      </c>
      <c r="L176" s="271">
        <f t="shared" si="36"/>
        <v>0</v>
      </c>
      <c r="M176" s="18">
        <v>0</v>
      </c>
      <c r="N176" s="26"/>
    </row>
    <row r="177" spans="1:14" s="2" customFormat="1">
      <c r="A177" s="5" t="s">
        <v>173</v>
      </c>
      <c r="B177" s="160">
        <f>+Orléans!G177</f>
        <v>0</v>
      </c>
      <c r="C177" s="113">
        <f>+Château!G177</f>
        <v>0</v>
      </c>
      <c r="D177" s="113">
        <f>+Bosc!G177</f>
        <v>0</v>
      </c>
      <c r="E177" s="113">
        <f>+Chartres!G177</f>
        <v>0</v>
      </c>
      <c r="F177" s="113">
        <f>+Chalette!G177</f>
        <v>0</v>
      </c>
      <c r="G177" s="160">
        <f>+Orléans!E177+Château!E177+Chartres!E177+Bosc!E177</f>
        <v>1509.48</v>
      </c>
      <c r="H177" s="270">
        <f>+Orléans!F177+Château!F177+Chartres!F177+Bosc!F177+Chalette!F177</f>
        <v>0</v>
      </c>
      <c r="I177" s="270">
        <v>0</v>
      </c>
      <c r="J177" s="341">
        <f t="shared" si="34"/>
        <v>0</v>
      </c>
      <c r="K177" s="149">
        <f t="shared" si="35"/>
        <v>-1</v>
      </c>
      <c r="L177" s="271">
        <f t="shared" si="36"/>
        <v>0</v>
      </c>
      <c r="M177" s="18">
        <v>0</v>
      </c>
      <c r="N177" s="26"/>
    </row>
    <row r="178" spans="1:14" s="2" customFormat="1">
      <c r="A178" s="5" t="s">
        <v>174</v>
      </c>
      <c r="B178" s="160">
        <f>+Orléans!G178</f>
        <v>0</v>
      </c>
      <c r="C178" s="113">
        <f>+Château!G178</f>
        <v>0</v>
      </c>
      <c r="D178" s="113">
        <f>+Bosc!G178</f>
        <v>0</v>
      </c>
      <c r="E178" s="113">
        <f>+Chartres!G178</f>
        <v>0</v>
      </c>
      <c r="F178" s="113">
        <f>+Chalette!G178</f>
        <v>0</v>
      </c>
      <c r="G178" s="160">
        <f>+Orléans!E178+Château!E178+Chartres!E178+Bosc!E178</f>
        <v>0</v>
      </c>
      <c r="H178" s="270">
        <f>+Orléans!F178+Château!F178+Chartres!F178+Bosc!F178+Chalette!F178</f>
        <v>0</v>
      </c>
      <c r="I178" s="270">
        <v>0</v>
      </c>
      <c r="J178" s="341">
        <f t="shared" si="34"/>
        <v>0</v>
      </c>
      <c r="K178" s="149">
        <f t="shared" si="35"/>
        <v>0</v>
      </c>
      <c r="L178" s="271">
        <f t="shared" si="36"/>
        <v>0</v>
      </c>
      <c r="M178" s="18">
        <v>0</v>
      </c>
      <c r="N178" s="26"/>
    </row>
    <row r="179" spans="1:14" s="2" customFormat="1">
      <c r="A179" s="5" t="s">
        <v>175</v>
      </c>
      <c r="B179" s="160">
        <f>+Orléans!G179</f>
        <v>18281.55</v>
      </c>
      <c r="C179" s="113">
        <f>+Château!G179</f>
        <v>1123.19</v>
      </c>
      <c r="D179" s="113">
        <f>+Bosc!G179</f>
        <v>9781.2200000000012</v>
      </c>
      <c r="E179" s="113">
        <f>+Chartres!G179</f>
        <v>2721.73</v>
      </c>
      <c r="F179" s="113">
        <f>+Chalette!G179</f>
        <v>4250</v>
      </c>
      <c r="G179" s="160">
        <f>+Orléans!E179+Château!E179+Chartres!E179+Bosc!E179</f>
        <v>28122.880000000001</v>
      </c>
      <c r="H179" s="270">
        <f>+Orléans!F179+Château!F179+Chartres!F179+Bosc!F179+Chalette!F179</f>
        <v>30974.760000000002</v>
      </c>
      <c r="I179" s="270">
        <v>25770</v>
      </c>
      <c r="J179" s="341">
        <f t="shared" si="34"/>
        <v>36157.69</v>
      </c>
      <c r="K179" s="149">
        <f t="shared" si="35"/>
        <v>0.10140782167402489</v>
      </c>
      <c r="L179" s="271">
        <f t="shared" si="36"/>
        <v>0.16732752731578873</v>
      </c>
      <c r="M179" s="18">
        <v>11500</v>
      </c>
      <c r="N179" s="26"/>
    </row>
    <row r="180" spans="1:14" s="2" customFormat="1">
      <c r="A180" s="5" t="s">
        <v>78</v>
      </c>
      <c r="B180" s="160">
        <f>+Orléans!G180</f>
        <v>0</v>
      </c>
      <c r="C180" s="113">
        <f>+Château!G180</f>
        <v>0</v>
      </c>
      <c r="D180" s="113">
        <f>+Bosc!G180</f>
        <v>0</v>
      </c>
      <c r="E180" s="113">
        <f>+Chartres!G180</f>
        <v>0</v>
      </c>
      <c r="F180" s="113">
        <f>+Chalette!G180</f>
        <v>0</v>
      </c>
      <c r="G180" s="160">
        <f>+Orléans!E180+Château!E180+Chartres!E180+Bosc!E180</f>
        <v>1632.75</v>
      </c>
      <c r="H180" s="270">
        <f>+Orléans!F180+Château!F180+Chartres!F180+Bosc!F180+Chalette!F180</f>
        <v>0</v>
      </c>
      <c r="I180" s="270">
        <v>0</v>
      </c>
      <c r="J180" s="341">
        <f t="shared" si="34"/>
        <v>0</v>
      </c>
      <c r="K180" s="149">
        <f t="shared" si="35"/>
        <v>-1</v>
      </c>
      <c r="L180" s="271">
        <f t="shared" si="36"/>
        <v>0</v>
      </c>
      <c r="M180" s="18">
        <v>0</v>
      </c>
      <c r="N180" s="26"/>
    </row>
    <row r="181" spans="1:14" s="2" customFormat="1">
      <c r="A181" s="5" t="s">
        <v>327</v>
      </c>
      <c r="B181" s="160">
        <f>+Orléans!G181</f>
        <v>0</v>
      </c>
      <c r="C181" s="113">
        <f>+Château!G181</f>
        <v>0</v>
      </c>
      <c r="D181" s="113">
        <f>+Bosc!G181</f>
        <v>0</v>
      </c>
      <c r="E181" s="113">
        <f>+Chartres!G181</f>
        <v>0</v>
      </c>
      <c r="F181" s="113">
        <f>+Chalette!G181</f>
        <v>0</v>
      </c>
      <c r="G181" s="160">
        <f>+Orléans!E181+Château!E181+Chartres!E181+Bosc!E181</f>
        <v>0</v>
      </c>
      <c r="H181" s="270">
        <f>+Orléans!F181+Château!F181+Chartres!F181+Bosc!F181+Chalette!F181</f>
        <v>0</v>
      </c>
      <c r="I181" s="270">
        <v>0</v>
      </c>
      <c r="J181" s="341">
        <f t="shared" si="34"/>
        <v>0</v>
      </c>
      <c r="K181" s="149">
        <f t="shared" si="35"/>
        <v>0</v>
      </c>
      <c r="L181" s="271">
        <f t="shared" si="36"/>
        <v>0</v>
      </c>
      <c r="M181" s="18">
        <v>0</v>
      </c>
      <c r="N181" s="26"/>
    </row>
    <row r="182" spans="1:14" s="2" customFormat="1">
      <c r="A182" s="5" t="s">
        <v>82</v>
      </c>
      <c r="B182" s="160">
        <f>+Orléans!G182</f>
        <v>0</v>
      </c>
      <c r="C182" s="113">
        <f>+Château!G182</f>
        <v>0</v>
      </c>
      <c r="D182" s="113">
        <f>+Bosc!G182</f>
        <v>0</v>
      </c>
      <c r="E182" s="113">
        <f>+Chartres!G182</f>
        <v>0</v>
      </c>
      <c r="F182" s="113">
        <f>+Chalette!G182</f>
        <v>0</v>
      </c>
      <c r="G182" s="160">
        <f>+Orléans!E182+Château!E182+Chartres!E182+Bosc!E182</f>
        <v>1168.48</v>
      </c>
      <c r="H182" s="270">
        <f>+Orléans!F182+Château!F182+Chartres!F182+Bosc!F182+Chalette!F182</f>
        <v>0</v>
      </c>
      <c r="I182" s="270">
        <v>17.443848249999999</v>
      </c>
      <c r="J182" s="341">
        <f t="shared" si="34"/>
        <v>0</v>
      </c>
      <c r="K182" s="149">
        <f t="shared" si="35"/>
        <v>-1</v>
      </c>
      <c r="L182" s="271">
        <f t="shared" si="36"/>
        <v>0</v>
      </c>
      <c r="M182" s="18">
        <v>67.743099999999998</v>
      </c>
      <c r="N182" s="26"/>
    </row>
    <row r="183" spans="1:14" s="2" customFormat="1">
      <c r="A183" s="5" t="s">
        <v>331</v>
      </c>
      <c r="B183" s="160">
        <f>+Orléans!G183</f>
        <v>0</v>
      </c>
      <c r="C183" s="113">
        <f>+Château!G183</f>
        <v>0</v>
      </c>
      <c r="D183" s="113">
        <f>+Bosc!G183</f>
        <v>0</v>
      </c>
      <c r="E183" s="113">
        <f>+Chartres!G183</f>
        <v>0</v>
      </c>
      <c r="F183" s="113">
        <f>+Chalette!G183</f>
        <v>0</v>
      </c>
      <c r="G183" s="160">
        <f>+Orléans!E183+Château!E183+Chartres!E183+Bosc!E183</f>
        <v>15821</v>
      </c>
      <c r="H183" s="270">
        <f>+Orléans!F183+Château!F183+Chartres!F183+Bosc!F183+Chalette!F183</f>
        <v>0</v>
      </c>
      <c r="I183" s="270">
        <v>0</v>
      </c>
      <c r="J183" s="341">
        <f t="shared" si="34"/>
        <v>0</v>
      </c>
      <c r="K183" s="149">
        <f t="shared" si="35"/>
        <v>-1</v>
      </c>
      <c r="L183" s="271">
        <f t="shared" si="36"/>
        <v>0</v>
      </c>
      <c r="M183" s="18">
        <v>0</v>
      </c>
      <c r="N183" s="26"/>
    </row>
    <row r="184" spans="1:14" s="2" customFormat="1">
      <c r="A184" s="5"/>
      <c r="B184" s="160"/>
      <c r="C184" s="113"/>
      <c r="D184" s="113"/>
      <c r="E184" s="113"/>
      <c r="F184" s="113"/>
      <c r="G184" s="160"/>
      <c r="H184" s="113"/>
      <c r="I184" s="113"/>
      <c r="J184" s="162"/>
      <c r="K184" s="149"/>
      <c r="L184" s="254"/>
      <c r="M184" s="18"/>
      <c r="N184" s="26"/>
    </row>
    <row r="185" spans="1:14" s="2" customFormat="1">
      <c r="A185" s="13" t="s">
        <v>178</v>
      </c>
      <c r="B185" s="163">
        <f t="shared" ref="B185:H185" si="37">SUM(B169:B184)</f>
        <v>22980.629733333331</v>
      </c>
      <c r="C185" s="204">
        <f t="shared" si="37"/>
        <v>1169.7185333333334</v>
      </c>
      <c r="D185" s="204">
        <f t="shared" si="37"/>
        <v>9781.5221333333338</v>
      </c>
      <c r="E185" s="204">
        <f t="shared" si="37"/>
        <v>2721.73</v>
      </c>
      <c r="F185" s="204">
        <f>SUM(F169:F184)</f>
        <v>4250</v>
      </c>
      <c r="G185" s="280">
        <f t="shared" si="37"/>
        <v>54418.19</v>
      </c>
      <c r="H185" s="136">
        <f t="shared" si="37"/>
        <v>37426.6</v>
      </c>
      <c r="I185" s="136">
        <v>25880.143848250002</v>
      </c>
      <c r="J185" s="118">
        <f>SUM(J169:J184)</f>
        <v>40903.600400000003</v>
      </c>
      <c r="K185" s="272">
        <f>+IF((G185)=0,,(H185-G185)/G185)</f>
        <v>-0.31224099882778172</v>
      </c>
      <c r="L185" s="188">
        <f>+IF((H185)=0,,(J185-H185)/H185)</f>
        <v>9.29018505554874E-2</v>
      </c>
      <c r="M185" s="312">
        <f>SUM(M169:M184)</f>
        <v>11567.7431</v>
      </c>
      <c r="N185" s="26"/>
    </row>
    <row r="186" spans="1:14" s="2" customFormat="1">
      <c r="A186" s="5"/>
      <c r="B186" s="160"/>
      <c r="C186" s="113"/>
      <c r="D186" s="113"/>
      <c r="E186" s="113"/>
      <c r="F186" s="113"/>
      <c r="G186" s="160"/>
      <c r="H186" s="113"/>
      <c r="I186" s="113"/>
      <c r="J186" s="162"/>
      <c r="K186" s="149"/>
      <c r="L186" s="271"/>
      <c r="M186" s="18"/>
      <c r="N186" s="26"/>
    </row>
    <row r="187" spans="1:14" s="2" customFormat="1">
      <c r="A187" s="5" t="s">
        <v>179</v>
      </c>
      <c r="B187" s="160">
        <f>+Orléans!G187</f>
        <v>0</v>
      </c>
      <c r="C187" s="113">
        <f>+Château!G187</f>
        <v>0</v>
      </c>
      <c r="D187" s="113">
        <f>+Bosc!G187</f>
        <v>0</v>
      </c>
      <c r="E187" s="113">
        <f>+Chartres!G187</f>
        <v>0</v>
      </c>
      <c r="F187" s="113">
        <f>+Chalette!G187</f>
        <v>0</v>
      </c>
      <c r="G187" s="160">
        <f>+Orléans!E187+Château!E187+Chartres!E187+Bosc!E187</f>
        <v>2000</v>
      </c>
      <c r="H187" s="270">
        <f>+Orléans!F187+Château!F187+Chartres!F187+Bosc!F187+Chalette!F187</f>
        <v>0</v>
      </c>
      <c r="I187" s="270">
        <v>0</v>
      </c>
      <c r="J187" s="341">
        <f t="shared" ref="J187:J199" si="38">SUM(B187:F187)</f>
        <v>0</v>
      </c>
      <c r="K187" s="149">
        <f>+IF((G187)=0,,(H187-G187)/G187)</f>
        <v>-1</v>
      </c>
      <c r="L187" s="271">
        <f>+IF((H187)=0,,(J187-H187)/H187)</f>
        <v>0</v>
      </c>
      <c r="M187" s="18">
        <v>0</v>
      </c>
      <c r="N187" s="26"/>
    </row>
    <row r="188" spans="1:14" s="2" customFormat="1">
      <c r="A188" s="5" t="s">
        <v>167</v>
      </c>
      <c r="B188" s="160">
        <f>+Orléans!G188</f>
        <v>0</v>
      </c>
      <c r="C188" s="113">
        <f>+Château!G188</f>
        <v>0</v>
      </c>
      <c r="D188" s="113">
        <f>+Bosc!G188</f>
        <v>0</v>
      </c>
      <c r="E188" s="113">
        <f>+Chartres!G188</f>
        <v>0</v>
      </c>
      <c r="F188" s="113">
        <f>+Chalette!G188</f>
        <v>0</v>
      </c>
      <c r="G188" s="160">
        <f>+Orléans!E188+Château!E188+Chartres!E188+Bosc!E188</f>
        <v>0</v>
      </c>
      <c r="H188" s="270">
        <f>+Orléans!F188+Château!F188+Chartres!F188+Bosc!F188+Chalette!F188</f>
        <v>0</v>
      </c>
      <c r="I188" s="270">
        <v>0</v>
      </c>
      <c r="J188" s="341">
        <f t="shared" si="38"/>
        <v>0</v>
      </c>
      <c r="K188" s="149">
        <f t="shared" ref="K188:K199" si="39">+IF((G188)=0,,(H188-G188)/G188)</f>
        <v>0</v>
      </c>
      <c r="L188" s="271">
        <f t="shared" ref="L188:L199" si="40">+IF((H188)=0,,(J188-H188)/H188)</f>
        <v>0</v>
      </c>
      <c r="M188" s="18">
        <v>0</v>
      </c>
      <c r="N188" s="26"/>
    </row>
    <row r="189" spans="1:14" s="2" customFormat="1">
      <c r="A189" s="5" t="s">
        <v>180</v>
      </c>
      <c r="B189" s="160">
        <f>+Orléans!G189</f>
        <v>0</v>
      </c>
      <c r="C189" s="113">
        <f>+Château!G189</f>
        <v>0</v>
      </c>
      <c r="D189" s="113">
        <f>+Bosc!G189</f>
        <v>0</v>
      </c>
      <c r="E189" s="113">
        <f>+Chartres!G189</f>
        <v>0</v>
      </c>
      <c r="F189" s="113">
        <f>+Chalette!G189</f>
        <v>0</v>
      </c>
      <c r="G189" s="160">
        <f>+Orléans!E189+Château!E189+Chartres!E189+Bosc!E189</f>
        <v>1331.39</v>
      </c>
      <c r="H189" s="270">
        <f>+Orléans!F189+Château!F189+Chartres!F189+Bosc!F189+Chalette!F189</f>
        <v>7131.0933333333332</v>
      </c>
      <c r="I189" s="270">
        <v>0</v>
      </c>
      <c r="J189" s="341">
        <f t="shared" si="38"/>
        <v>0</v>
      </c>
      <c r="K189" s="149">
        <f t="shared" si="39"/>
        <v>4.3561265544531151</v>
      </c>
      <c r="L189" s="271">
        <f t="shared" si="40"/>
        <v>-1</v>
      </c>
      <c r="M189" s="18">
        <v>0</v>
      </c>
      <c r="N189" s="26"/>
    </row>
    <row r="190" spans="1:14" s="2" customFormat="1">
      <c r="A190" s="5" t="s">
        <v>181</v>
      </c>
      <c r="B190" s="160">
        <f>+Orléans!G190</f>
        <v>0</v>
      </c>
      <c r="C190" s="113">
        <f>+Château!G190</f>
        <v>0</v>
      </c>
      <c r="D190" s="113">
        <f>+Bosc!G190</f>
        <v>0</v>
      </c>
      <c r="E190" s="113">
        <f>+Chartres!G190</f>
        <v>0</v>
      </c>
      <c r="F190" s="113">
        <f>+Chalette!G190</f>
        <v>0</v>
      </c>
      <c r="G190" s="160">
        <f>+Orléans!E190+Château!E190+Chartres!E190+Bosc!E190</f>
        <v>0</v>
      </c>
      <c r="H190" s="270">
        <f>+Orléans!F190+Château!F190+Chartres!F190+Bosc!F190+Chalette!F190</f>
        <v>0</v>
      </c>
      <c r="I190" s="270">
        <v>0</v>
      </c>
      <c r="J190" s="341">
        <f t="shared" si="38"/>
        <v>0</v>
      </c>
      <c r="K190" s="149">
        <f t="shared" si="39"/>
        <v>0</v>
      </c>
      <c r="L190" s="271">
        <f t="shared" si="40"/>
        <v>0</v>
      </c>
      <c r="M190" s="18">
        <v>0</v>
      </c>
      <c r="N190" s="26"/>
    </row>
    <row r="191" spans="1:14" s="2" customFormat="1">
      <c r="A191" s="5" t="s">
        <v>182</v>
      </c>
      <c r="B191" s="160">
        <f>+Orléans!G191</f>
        <v>0</v>
      </c>
      <c r="C191" s="113">
        <f>+Château!G191</f>
        <v>0</v>
      </c>
      <c r="D191" s="113">
        <f>+Bosc!G191</f>
        <v>0</v>
      </c>
      <c r="E191" s="113">
        <f>+Chartres!G191</f>
        <v>0</v>
      </c>
      <c r="F191" s="113">
        <f>+Chalette!G191</f>
        <v>0</v>
      </c>
      <c r="G191" s="160">
        <f>+Orléans!E191+Château!E191+Chartres!E191+Bosc!E191</f>
        <v>0</v>
      </c>
      <c r="H191" s="270">
        <f>+Orléans!F191+Château!F191+Chartres!F191+Bosc!F191+Chalette!F191</f>
        <v>0</v>
      </c>
      <c r="I191" s="270">
        <v>0</v>
      </c>
      <c r="J191" s="341">
        <f t="shared" si="38"/>
        <v>0</v>
      </c>
      <c r="K191" s="149">
        <f t="shared" si="39"/>
        <v>0</v>
      </c>
      <c r="L191" s="271">
        <f t="shared" si="40"/>
        <v>0</v>
      </c>
      <c r="M191" s="18">
        <v>0</v>
      </c>
      <c r="N191" s="26"/>
    </row>
    <row r="192" spans="1:14" s="2" customFormat="1">
      <c r="A192" s="5" t="s">
        <v>183</v>
      </c>
      <c r="B192" s="160">
        <f>+Orléans!G192</f>
        <v>0</v>
      </c>
      <c r="C192" s="113">
        <f>+Château!G192</f>
        <v>0</v>
      </c>
      <c r="D192" s="113">
        <f>+Bosc!G192</f>
        <v>0</v>
      </c>
      <c r="E192" s="113">
        <f>+Chartres!G192</f>
        <v>0</v>
      </c>
      <c r="F192" s="113">
        <f>+Chalette!G192</f>
        <v>0</v>
      </c>
      <c r="G192" s="160">
        <f>+Orléans!E192+Château!E192+Chartres!E192+Bosc!E192</f>
        <v>0</v>
      </c>
      <c r="H192" s="270">
        <f>+Orléans!F192+Château!F192+Chartres!F192+Bosc!F192+Chalette!F192</f>
        <v>0</v>
      </c>
      <c r="I192" s="270">
        <v>0</v>
      </c>
      <c r="J192" s="341">
        <f t="shared" si="38"/>
        <v>0</v>
      </c>
      <c r="K192" s="149">
        <f t="shared" si="39"/>
        <v>0</v>
      </c>
      <c r="L192" s="271">
        <f t="shared" si="40"/>
        <v>0</v>
      </c>
      <c r="M192" s="18">
        <v>0</v>
      </c>
      <c r="N192" s="26"/>
    </row>
    <row r="193" spans="1:14" s="2" customFormat="1">
      <c r="A193" s="5" t="s">
        <v>184</v>
      </c>
      <c r="B193" s="160">
        <f>+Orléans!G193</f>
        <v>0</v>
      </c>
      <c r="C193" s="113">
        <f>+Château!G193</f>
        <v>0</v>
      </c>
      <c r="D193" s="113">
        <f>+Bosc!G193</f>
        <v>0</v>
      </c>
      <c r="E193" s="113">
        <f>+Chartres!G193</f>
        <v>0</v>
      </c>
      <c r="F193" s="113">
        <f>+Chalette!G193</f>
        <v>0</v>
      </c>
      <c r="G193" s="160">
        <f>+Orléans!E193+Château!E193+Chartres!E193+Bosc!E193</f>
        <v>4751</v>
      </c>
      <c r="H193" s="270">
        <f>+Orléans!F193+Château!F193+Chartres!F193+Bosc!F193+Chalette!F193</f>
        <v>184.05333333333334</v>
      </c>
      <c r="I193" s="270">
        <v>0</v>
      </c>
      <c r="J193" s="341">
        <f t="shared" si="38"/>
        <v>0</v>
      </c>
      <c r="K193" s="149">
        <f t="shared" si="39"/>
        <v>-0.96126008559601483</v>
      </c>
      <c r="L193" s="271">
        <f t="shared" si="40"/>
        <v>-1</v>
      </c>
      <c r="M193" s="18">
        <v>0</v>
      </c>
      <c r="N193" s="26"/>
    </row>
    <row r="194" spans="1:14" s="2" customFormat="1">
      <c r="A194" s="5" t="s">
        <v>342</v>
      </c>
      <c r="B194" s="160">
        <f>+Orléans!G194</f>
        <v>0</v>
      </c>
      <c r="C194" s="113">
        <f>+Château!G194</f>
        <v>0</v>
      </c>
      <c r="D194" s="113">
        <f>+Bosc!G194</f>
        <v>0</v>
      </c>
      <c r="E194" s="113">
        <f>+Chartres!G194</f>
        <v>0</v>
      </c>
      <c r="F194" s="113">
        <f>+Chalette!G194</f>
        <v>0</v>
      </c>
      <c r="G194" s="160">
        <f>+Orléans!E194+Château!E194+Chartres!E194+Bosc!E194</f>
        <v>973.61</v>
      </c>
      <c r="H194" s="270">
        <f>+Orléans!F194+Château!F194+Chartres!F194+Bosc!F194+Chalette!F194</f>
        <v>0</v>
      </c>
      <c r="I194" s="270">
        <v>0</v>
      </c>
      <c r="J194" s="341">
        <f t="shared" si="38"/>
        <v>0</v>
      </c>
      <c r="K194" s="149">
        <f t="shared" si="39"/>
        <v>-1</v>
      </c>
      <c r="L194" s="271">
        <f t="shared" si="40"/>
        <v>0</v>
      </c>
      <c r="M194" s="18">
        <v>0</v>
      </c>
      <c r="N194" s="26"/>
    </row>
    <row r="195" spans="1:14" s="2" customFormat="1">
      <c r="A195" s="5" t="s">
        <v>186</v>
      </c>
      <c r="B195" s="160">
        <f>+Orléans!G195</f>
        <v>0</v>
      </c>
      <c r="C195" s="113">
        <f>+Château!G195</f>
        <v>0</v>
      </c>
      <c r="D195" s="113">
        <f>+Bosc!G195</f>
        <v>0</v>
      </c>
      <c r="E195" s="113">
        <f>+Chartres!G195</f>
        <v>0</v>
      </c>
      <c r="F195" s="113">
        <f>+Chalette!G195</f>
        <v>0</v>
      </c>
      <c r="G195" s="160">
        <f>+Orléans!E195+Château!E195+Chartres!E195+Bosc!E195</f>
        <v>0</v>
      </c>
      <c r="H195" s="270">
        <f>+Orléans!F195+Château!F195+Chartres!F195+Bosc!F195+Chalette!F195</f>
        <v>0</v>
      </c>
      <c r="I195" s="270">
        <v>0</v>
      </c>
      <c r="J195" s="341">
        <f t="shared" si="38"/>
        <v>0</v>
      </c>
      <c r="K195" s="149">
        <f t="shared" si="39"/>
        <v>0</v>
      </c>
      <c r="L195" s="271">
        <f t="shared" si="40"/>
        <v>0</v>
      </c>
      <c r="M195" s="18">
        <v>0</v>
      </c>
      <c r="N195" s="26"/>
    </row>
    <row r="196" spans="1:14" s="2" customFormat="1">
      <c r="A196" s="5" t="s">
        <v>187</v>
      </c>
      <c r="B196" s="160">
        <f>+Orléans!G196</f>
        <v>0</v>
      </c>
      <c r="C196" s="113">
        <f>+Château!G196</f>
        <v>0</v>
      </c>
      <c r="D196" s="113">
        <f>+Bosc!G196</f>
        <v>0</v>
      </c>
      <c r="E196" s="113">
        <f>+Chartres!G196</f>
        <v>0</v>
      </c>
      <c r="F196" s="113">
        <f>+Chalette!G196</f>
        <v>0</v>
      </c>
      <c r="G196" s="160">
        <f>+Orléans!E196+Château!E196+Chartres!E196+Bosc!E196</f>
        <v>0</v>
      </c>
      <c r="H196" s="270">
        <f>+Orléans!F196+Château!F196+Chartres!F196+Bosc!F196+Chalette!F196</f>
        <v>0</v>
      </c>
      <c r="I196" s="270">
        <v>0</v>
      </c>
      <c r="J196" s="341">
        <f t="shared" si="38"/>
        <v>0</v>
      </c>
      <c r="K196" s="149">
        <f t="shared" si="39"/>
        <v>0</v>
      </c>
      <c r="L196" s="271">
        <f t="shared" si="40"/>
        <v>0</v>
      </c>
      <c r="M196" s="18">
        <v>0</v>
      </c>
      <c r="N196" s="26"/>
    </row>
    <row r="197" spans="1:14" s="2" customFormat="1">
      <c r="A197" s="5" t="s">
        <v>328</v>
      </c>
      <c r="B197" s="160">
        <f>+Orléans!G197</f>
        <v>0</v>
      </c>
      <c r="C197" s="113">
        <f>+Château!G197</f>
        <v>0</v>
      </c>
      <c r="D197" s="113">
        <f>+Bosc!G197</f>
        <v>0</v>
      </c>
      <c r="E197" s="113">
        <f>+Chartres!G197</f>
        <v>0</v>
      </c>
      <c r="F197" s="113">
        <f>+Chalette!G197</f>
        <v>0</v>
      </c>
      <c r="G197" s="160">
        <f>+Orléans!E197+Château!E197+Chartres!E197+Bosc!E197</f>
        <v>-3590</v>
      </c>
      <c r="H197" s="270">
        <f>+Orléans!F197+Château!F197+Chartres!F197+Bosc!F197+Chalette!F197</f>
        <v>0</v>
      </c>
      <c r="I197" s="270">
        <v>0</v>
      </c>
      <c r="J197" s="341">
        <f t="shared" si="38"/>
        <v>0</v>
      </c>
      <c r="K197" s="149">
        <f t="shared" si="39"/>
        <v>-1</v>
      </c>
      <c r="L197" s="271">
        <f t="shared" si="40"/>
        <v>0</v>
      </c>
      <c r="M197" s="18">
        <v>0</v>
      </c>
      <c r="N197" s="26"/>
    </row>
    <row r="198" spans="1:14" s="2" customFormat="1">
      <c r="A198" s="5" t="s">
        <v>344</v>
      </c>
      <c r="B198" s="160">
        <f>+Orléans!G198</f>
        <v>0</v>
      </c>
      <c r="C198" s="113">
        <f>+Château!G198</f>
        <v>0</v>
      </c>
      <c r="D198" s="113">
        <f>+Bosc!G198</f>
        <v>0</v>
      </c>
      <c r="E198" s="113">
        <f>+Chartres!G198</f>
        <v>0</v>
      </c>
      <c r="F198" s="113">
        <f>+Chalette!G198</f>
        <v>0</v>
      </c>
      <c r="G198" s="160">
        <f>+Orléans!E198+Château!E198+Chartres!E198+Bosc!E198</f>
        <v>1082</v>
      </c>
      <c r="H198" s="270">
        <f>+Orléans!F198+Château!F198+Chartres!F198+Bosc!F198+Chalette!F198</f>
        <v>0</v>
      </c>
      <c r="I198" s="270">
        <v>0</v>
      </c>
      <c r="J198" s="341">
        <f t="shared" si="38"/>
        <v>0</v>
      </c>
      <c r="K198" s="149">
        <f t="shared" si="39"/>
        <v>-1</v>
      </c>
      <c r="L198" s="271">
        <f t="shared" si="40"/>
        <v>0</v>
      </c>
      <c r="M198" s="18">
        <v>0</v>
      </c>
      <c r="N198" s="26"/>
    </row>
    <row r="199" spans="1:14" s="2" customFormat="1">
      <c r="A199" s="5" t="s">
        <v>77</v>
      </c>
      <c r="B199" s="160">
        <f>+Orléans!G199</f>
        <v>0</v>
      </c>
      <c r="C199" s="113">
        <f>+Château!G199</f>
        <v>0</v>
      </c>
      <c r="D199" s="113">
        <f>+Bosc!G199</f>
        <v>0</v>
      </c>
      <c r="E199" s="113">
        <f>+Chartres!G199</f>
        <v>0</v>
      </c>
      <c r="F199" s="113">
        <f>+Chalette!G199</f>
        <v>0</v>
      </c>
      <c r="G199" s="160">
        <f>+Orléans!E199+Château!E199+Chartres!E199+Bosc!E199</f>
        <v>1822.5100000000002</v>
      </c>
      <c r="H199" s="270">
        <f>+Orléans!F199+Château!F199+Chartres!F199+Bosc!F199+Chalette!F199</f>
        <v>0</v>
      </c>
      <c r="I199" s="270">
        <v>0</v>
      </c>
      <c r="J199" s="341">
        <f t="shared" si="38"/>
        <v>0</v>
      </c>
      <c r="K199" s="149">
        <f t="shared" si="39"/>
        <v>-1</v>
      </c>
      <c r="L199" s="271">
        <f t="shared" si="40"/>
        <v>0</v>
      </c>
      <c r="M199" s="18">
        <v>0</v>
      </c>
      <c r="N199" s="26"/>
    </row>
    <row r="200" spans="1:14" s="2" customFormat="1">
      <c r="A200" s="5"/>
      <c r="B200" s="160"/>
      <c r="C200" s="113"/>
      <c r="D200" s="113"/>
      <c r="E200" s="113"/>
      <c r="F200" s="113"/>
      <c r="G200" s="160"/>
      <c r="H200" s="113"/>
      <c r="I200" s="113"/>
      <c r="J200" s="162"/>
      <c r="K200" s="149"/>
      <c r="L200" s="254"/>
      <c r="M200" s="18"/>
      <c r="N200" s="26"/>
    </row>
    <row r="201" spans="1:14" s="2" customFormat="1">
      <c r="A201" s="13" t="s">
        <v>188</v>
      </c>
      <c r="B201" s="163">
        <f t="shared" ref="B201:H201" si="41">SUM(B186:B200)</f>
        <v>0</v>
      </c>
      <c r="C201" s="204">
        <f t="shared" si="41"/>
        <v>0</v>
      </c>
      <c r="D201" s="204">
        <f t="shared" si="41"/>
        <v>0</v>
      </c>
      <c r="E201" s="204">
        <f t="shared" si="41"/>
        <v>0</v>
      </c>
      <c r="F201" s="204">
        <f>SUM(F186:F200)</f>
        <v>0</v>
      </c>
      <c r="G201" s="163">
        <f t="shared" si="41"/>
        <v>8370.51</v>
      </c>
      <c r="H201" s="204">
        <f t="shared" si="41"/>
        <v>7315.1466666666665</v>
      </c>
      <c r="I201" s="204">
        <v>0</v>
      </c>
      <c r="J201" s="168">
        <f>SUM(J186:J200)</f>
        <v>0</v>
      </c>
      <c r="K201" s="272">
        <f>+IF((G201)=0,,(H201-G201)/G201)</f>
        <v>-0.12608112687677736</v>
      </c>
      <c r="L201" s="188">
        <f>+IF((H201)=0,,(J201-H201)/H201)</f>
        <v>-1</v>
      </c>
      <c r="M201" s="305">
        <f>SUM(M186:M200)</f>
        <v>0</v>
      </c>
      <c r="N201" s="26"/>
    </row>
    <row r="202" spans="1:14" s="2" customFormat="1">
      <c r="A202" s="5"/>
      <c r="B202" s="160"/>
      <c r="C202" s="113"/>
      <c r="D202" s="113"/>
      <c r="E202" s="113"/>
      <c r="F202" s="113"/>
      <c r="G202" s="276"/>
      <c r="H202" s="113"/>
      <c r="I202" s="113"/>
      <c r="J202" s="162"/>
      <c r="K202" s="149"/>
      <c r="L202" s="254"/>
      <c r="M202" s="311"/>
      <c r="N202" s="26"/>
    </row>
    <row r="203" spans="1:14" s="2" customFormat="1">
      <c r="A203" s="14" t="s">
        <v>189</v>
      </c>
      <c r="B203" s="175">
        <f t="shared" ref="B203:H203" si="42">+B103+B116+B129+B154+B168+B185-B201</f>
        <v>332211.46282433247</v>
      </c>
      <c r="C203" s="206">
        <f t="shared" si="42"/>
        <v>160382.84314427202</v>
      </c>
      <c r="D203" s="206">
        <f t="shared" si="42"/>
        <v>412437.41089054954</v>
      </c>
      <c r="E203" s="206">
        <f t="shared" si="42"/>
        <v>323252.97406215791</v>
      </c>
      <c r="F203" s="206">
        <f>+F103+F116+F129+F154+F168+F185-F201</f>
        <v>146007.1749687494</v>
      </c>
      <c r="G203" s="175">
        <f t="shared" si="42"/>
        <v>1109311.0052</v>
      </c>
      <c r="H203" s="206">
        <f t="shared" si="42"/>
        <v>1196058.3874784564</v>
      </c>
      <c r="I203" s="206">
        <v>735072.22779895412</v>
      </c>
      <c r="J203" s="176">
        <f>+J103+J116+J129+J154+J168+J185-J201</f>
        <v>1374291.8658900615</v>
      </c>
      <c r="K203" s="281">
        <f>+IF((G203)=0,,(H203-G203)/G203)</f>
        <v>7.8199334426341943E-2</v>
      </c>
      <c r="L203" s="282">
        <f>+IF((H203)=0,,(J203-H203)/H203)</f>
        <v>0.14901737262790232</v>
      </c>
      <c r="M203" s="313">
        <f>+M103+M116+M129+M154+M168+M185-M201</f>
        <v>670246.39557844645</v>
      </c>
      <c r="N203" s="26"/>
    </row>
    <row r="204" spans="1:14" s="2" customFormat="1">
      <c r="A204" s="5"/>
      <c r="B204" s="160"/>
      <c r="C204" s="113"/>
      <c r="D204" s="113"/>
      <c r="E204" s="113"/>
      <c r="F204" s="113"/>
      <c r="G204" s="160"/>
      <c r="H204" s="25"/>
      <c r="I204" s="25"/>
      <c r="J204" s="162"/>
      <c r="K204" s="149"/>
      <c r="L204" s="254"/>
      <c r="M204" s="18"/>
      <c r="N204" s="26"/>
    </row>
    <row r="205" spans="1:14" s="2" customFormat="1">
      <c r="A205" s="12" t="s">
        <v>228</v>
      </c>
      <c r="B205" s="177">
        <f t="shared" ref="B205:H205" si="43">+B62-B203</f>
        <v>112659.03717566753</v>
      </c>
      <c r="C205" s="177">
        <f t="shared" si="43"/>
        <v>8842.1568557279825</v>
      </c>
      <c r="D205" s="177">
        <f t="shared" si="43"/>
        <v>133164.58910945046</v>
      </c>
      <c r="E205" s="177">
        <f t="shared" si="43"/>
        <v>88742.275937842089</v>
      </c>
      <c r="F205" s="177">
        <f>+F62-F203</f>
        <v>28484.825031250599</v>
      </c>
      <c r="G205" s="177">
        <f>+G53-G203</f>
        <v>300115.62899999879</v>
      </c>
      <c r="H205" s="228">
        <f t="shared" si="43"/>
        <v>336706.63652154361</v>
      </c>
      <c r="I205" s="228">
        <v>215227.77220104588</v>
      </c>
      <c r="J205" s="178">
        <f>+J62-J203</f>
        <v>371892.88410993852</v>
      </c>
      <c r="K205" s="226">
        <f>+IF((G205)=0,,(H205-G205)/G205)</f>
        <v>0.12192303227748583</v>
      </c>
      <c r="L205" s="283">
        <f>+IF((H205)=0,,(J205-H205)/H205)</f>
        <v>0.1045012000710701</v>
      </c>
      <c r="M205" s="314">
        <f>+M62-M203</f>
        <v>213233.60442155355</v>
      </c>
      <c r="N205" s="26"/>
    </row>
    <row r="206" spans="1:14" s="2" customFormat="1">
      <c r="A206" s="5"/>
      <c r="B206" s="160"/>
      <c r="C206" s="113"/>
      <c r="D206" s="113"/>
      <c r="E206" s="113"/>
      <c r="F206" s="113"/>
      <c r="G206" s="160"/>
      <c r="H206" s="113"/>
      <c r="I206" s="113"/>
      <c r="J206" s="162"/>
      <c r="K206" s="149"/>
      <c r="L206" s="254"/>
      <c r="M206" s="18"/>
      <c r="N206" s="26"/>
    </row>
    <row r="207" spans="1:14" s="2" customFormat="1">
      <c r="A207" s="63" t="s">
        <v>251</v>
      </c>
      <c r="B207" s="179">
        <f>+Orléans!G207</f>
        <v>4163.9122145986539</v>
      </c>
      <c r="C207" s="229">
        <f>+Château!G207</f>
        <v>1875.5679308519004</v>
      </c>
      <c r="D207" s="229">
        <f>+Bosc!G207</f>
        <v>5687.6455557983163</v>
      </c>
      <c r="E207" s="229">
        <f>+Chartres!G207</f>
        <v>4430.7690039529607</v>
      </c>
      <c r="F207" s="229">
        <f>+Chalette!G207</f>
        <v>1853.6137552738155</v>
      </c>
      <c r="G207" s="284">
        <f>+Orléans!E207+Château!E207+Chartres!E207+Bosc!E207</f>
        <v>8946.202534982971</v>
      </c>
      <c r="H207" s="150">
        <f>+Orléans!F207+Château!F207+Chartres!F207+Bosc!F207+Chalette!F207</f>
        <v>14159.425325196276</v>
      </c>
      <c r="I207" s="150">
        <v>14911.17934967532</v>
      </c>
      <c r="J207" s="128">
        <f>SUM(B207:F207)</f>
        <v>18011.508460475648</v>
      </c>
      <c r="K207" s="285">
        <f>+IF((G207)=0,,(H207-G207)/G207)</f>
        <v>0.58273024446156574</v>
      </c>
      <c r="L207" s="194">
        <f>+IF((H207)=0,,(J207-H207)/H207)</f>
        <v>0.27205081045377633</v>
      </c>
      <c r="M207" s="315">
        <v>11180.675033912719</v>
      </c>
      <c r="N207" s="26"/>
    </row>
    <row r="208" spans="1:14" s="2" customFormat="1">
      <c r="A208" s="5"/>
      <c r="B208" s="160"/>
      <c r="C208" s="113"/>
      <c r="D208" s="113"/>
      <c r="E208" s="113"/>
      <c r="F208" s="113"/>
      <c r="G208" s="160"/>
      <c r="H208" s="113"/>
      <c r="I208" s="113"/>
      <c r="J208" s="162"/>
      <c r="K208" s="149"/>
      <c r="L208" s="254"/>
      <c r="M208" s="18"/>
      <c r="N208" s="26"/>
    </row>
    <row r="209" spans="1:15" s="2" customFormat="1">
      <c r="A209" s="12" t="s">
        <v>190</v>
      </c>
      <c r="B209" s="177">
        <f t="shared" ref="B209:H209" si="44">+B205-B207</f>
        <v>108495.12496106888</v>
      </c>
      <c r="C209" s="228">
        <f t="shared" si="44"/>
        <v>6966.5889248760823</v>
      </c>
      <c r="D209" s="228">
        <f t="shared" si="44"/>
        <v>127476.94355365215</v>
      </c>
      <c r="E209" s="228">
        <f t="shared" si="44"/>
        <v>84311.506933889134</v>
      </c>
      <c r="F209" s="228">
        <f>+F205-F207</f>
        <v>26631.211275976784</v>
      </c>
      <c r="G209" s="177">
        <f t="shared" si="44"/>
        <v>291169.4264650158</v>
      </c>
      <c r="H209" s="228">
        <f t="shared" si="44"/>
        <v>322547.21119634731</v>
      </c>
      <c r="I209" s="228">
        <v>200316.59285137057</v>
      </c>
      <c r="J209" s="178">
        <f>+J205-J207</f>
        <v>353881.37564946286</v>
      </c>
      <c r="K209" s="226">
        <f>+IF((G209)=0,,(H209-G209)/G209)</f>
        <v>0.10776469601317011</v>
      </c>
      <c r="L209" s="283">
        <f>+IF((H209)=0,,(J209-H209)/H209)</f>
        <v>9.7145978527903604E-2</v>
      </c>
      <c r="M209" s="314">
        <f>+M205-M207</f>
        <v>202052.92938764082</v>
      </c>
      <c r="N209" s="26"/>
    </row>
    <row r="210" spans="1:15" s="2" customFormat="1">
      <c r="A210" s="5"/>
      <c r="B210" s="160"/>
      <c r="C210" s="113"/>
      <c r="D210" s="113"/>
      <c r="E210" s="113"/>
      <c r="F210" s="113"/>
      <c r="G210" s="160"/>
      <c r="H210" s="113"/>
      <c r="I210" s="113"/>
      <c r="J210" s="162"/>
      <c r="K210" s="149"/>
      <c r="L210" s="254"/>
      <c r="M210" s="18"/>
      <c r="N210" s="26"/>
    </row>
    <row r="211" spans="1:15" s="2" customFormat="1">
      <c r="A211" s="5" t="s">
        <v>191</v>
      </c>
      <c r="B211" s="160">
        <f>+Orléans!G211</f>
        <v>9644.6846793104778</v>
      </c>
      <c r="C211" s="113">
        <f>+Château!G211</f>
        <v>9644.6846793104778</v>
      </c>
      <c r="D211" s="113">
        <f>+Bosc!G211</f>
        <v>9644.6846793104778</v>
      </c>
      <c r="E211" s="113">
        <f>+Chartres!G211</f>
        <v>9644.6846793104778</v>
      </c>
      <c r="F211" s="113">
        <f>+Chalette!G211</f>
        <v>9644.6846793104778</v>
      </c>
      <c r="G211" s="160">
        <f>+Orléans!E211+Château!E211+Chartres!E211+Bosc!E211</f>
        <v>32380.344287999997</v>
      </c>
      <c r="H211" s="270">
        <f>+Orléans!F211+Château!F211+Chartres!F211+Bosc!F211+Chalette!F211</f>
        <v>38454.741397849444</v>
      </c>
      <c r="I211" s="270">
        <v>27978.517986510054</v>
      </c>
      <c r="J211" s="341">
        <f>SUM(B211:F211)</f>
        <v>48223.423396552389</v>
      </c>
      <c r="K211" s="149">
        <f>+IF((G211)=0,,(H211-G211)/G211)</f>
        <v>0.18759519836546612</v>
      </c>
      <c r="L211" s="271">
        <f>+IF((H211)=0,,(J211-H211)/H211)</f>
        <v>0.25403062518707387</v>
      </c>
      <c r="M211" s="18">
        <v>58395.040296803549</v>
      </c>
      <c r="N211" s="26"/>
    </row>
    <row r="212" spans="1:15">
      <c r="A212" s="5" t="s">
        <v>192</v>
      </c>
      <c r="B212" s="160">
        <f>+Orléans!G212</f>
        <v>44862.999301121999</v>
      </c>
      <c r="C212" s="113">
        <f>+Château!G212</f>
        <v>20207.823420486297</v>
      </c>
      <c r="D212" s="113">
        <f>+Bosc!G212</f>
        <v>61280.071587533217</v>
      </c>
      <c r="E212" s="113">
        <f>+Chartres!G212</f>
        <v>47738.179020888463</v>
      </c>
      <c r="F212" s="113">
        <f>+Chalette!G212</f>
        <v>19971.283812335296</v>
      </c>
      <c r="G212" s="160">
        <f>+Orléans!E212+Château!E212+Chartres!E212+Bosc!E212</f>
        <v>137301.75452441705</v>
      </c>
      <c r="H212" s="270">
        <f>+Orléans!F212+Château!F212+Chartres!F212+Bosc!F212+Chalette!F212</f>
        <v>165610.67573849342</v>
      </c>
      <c r="I212" s="270">
        <v>97093.344405039097</v>
      </c>
      <c r="J212" s="341">
        <f>SUM(B212:F212)</f>
        <v>194060.35714236525</v>
      </c>
      <c r="K212" s="149">
        <f>+IF((G212)=0,,(H212-G212)/G212)</f>
        <v>0.20618033114094006</v>
      </c>
      <c r="L212" s="271">
        <f>+IF((H212)=0,,(J212-H212)/H212)</f>
        <v>0.17178651845364809</v>
      </c>
      <c r="M212" s="18">
        <v>70692.409614595759</v>
      </c>
      <c r="N212" s="26"/>
    </row>
    <row r="213" spans="1:15">
      <c r="A213" s="5" t="s">
        <v>193</v>
      </c>
      <c r="B213" s="160">
        <f>+Orléans!G213</f>
        <v>-10000</v>
      </c>
      <c r="C213" s="113">
        <f>+Château!G213</f>
        <v>-4200</v>
      </c>
      <c r="D213" s="113">
        <f>+Bosc!G213</f>
        <v>-13200</v>
      </c>
      <c r="E213" s="113">
        <f>+Chartres!G213</f>
        <v>-8000</v>
      </c>
      <c r="F213" s="113">
        <f>+Chalette!G213</f>
        <v>-5600</v>
      </c>
      <c r="G213" s="160">
        <f>+Orléans!E213+Château!E213+Chartres!E213+Bosc!E213</f>
        <v>-34712.67</v>
      </c>
      <c r="H213" s="270">
        <f>+Orléans!F213+Château!F213+Chartres!F213+Bosc!F213+Chalette!F213</f>
        <v>-42299.146666666667</v>
      </c>
      <c r="I213" s="270">
        <v>-23200</v>
      </c>
      <c r="J213" s="341">
        <f>SUM(B213:F213)</f>
        <v>-41000</v>
      </c>
      <c r="K213" s="149">
        <f>+IF((G213)=0,,(H213-G213)/G213)</f>
        <v>0.21855065215861152</v>
      </c>
      <c r="L213" s="271">
        <f>+IF((H213)=0,,(J213-H213)/H213)</f>
        <v>-3.0713306745983229E-2</v>
      </c>
      <c r="M213" s="18">
        <v>-20400</v>
      </c>
      <c r="N213" s="26"/>
    </row>
    <row r="214" spans="1:15">
      <c r="A214" s="5"/>
      <c r="B214" s="160"/>
      <c r="C214" s="113"/>
      <c r="D214" s="113"/>
      <c r="E214" s="113"/>
      <c r="F214" s="113"/>
      <c r="G214" s="160"/>
      <c r="H214" s="113"/>
      <c r="I214" s="113"/>
      <c r="J214" s="162"/>
      <c r="K214" s="149"/>
      <c r="L214" s="254"/>
      <c r="M214" s="18"/>
      <c r="N214" s="26"/>
    </row>
    <row r="215" spans="1:15">
      <c r="A215" s="20" t="s">
        <v>194</v>
      </c>
      <c r="B215" s="180">
        <f t="shared" ref="B215:H215" si="45">SUM(B210:B213)</f>
        <v>44507.683980432477</v>
      </c>
      <c r="C215" s="230">
        <f t="shared" si="45"/>
        <v>25652.508099796774</v>
      </c>
      <c r="D215" s="230">
        <f t="shared" si="45"/>
        <v>57724.756266843702</v>
      </c>
      <c r="E215" s="230">
        <f t="shared" si="45"/>
        <v>49382.863700198941</v>
      </c>
      <c r="F215" s="230">
        <f>SUM(F210:F213)</f>
        <v>24015.968491645774</v>
      </c>
      <c r="G215" s="180">
        <f t="shared" si="45"/>
        <v>134969.42881241703</v>
      </c>
      <c r="H215" s="230">
        <f t="shared" si="45"/>
        <v>161766.27046967618</v>
      </c>
      <c r="I215" s="230">
        <v>101871.86239154915</v>
      </c>
      <c r="J215" s="181">
        <f>SUM(J210:J213)</f>
        <v>201283.78053891764</v>
      </c>
      <c r="K215" s="285">
        <f>+IF((G215)=0,,(H215-G215)/G215)</f>
        <v>0.1985400834325371</v>
      </c>
      <c r="L215" s="194">
        <f>+IF((H215)=0,,(J215-H215)/H215)</f>
        <v>0.24428769949696771</v>
      </c>
      <c r="M215" s="316">
        <f>SUM(M210:M213)</f>
        <v>108687.44991139931</v>
      </c>
      <c r="N215" s="26"/>
    </row>
    <row r="216" spans="1:15">
      <c r="A216" s="5"/>
      <c r="B216" s="160"/>
      <c r="C216" s="113"/>
      <c r="D216" s="113"/>
      <c r="E216" s="113"/>
      <c r="F216" s="113"/>
      <c r="G216" s="160"/>
      <c r="H216" s="113"/>
      <c r="I216" s="113"/>
      <c r="J216" s="162"/>
      <c r="K216" s="149"/>
      <c r="L216" s="254"/>
      <c r="M216" s="18"/>
      <c r="N216" s="26"/>
    </row>
    <row r="217" spans="1:15">
      <c r="A217" s="12" t="s">
        <v>332</v>
      </c>
      <c r="B217" s="177">
        <f t="shared" ref="B217:H217" si="46">+B209-B215</f>
        <v>63987.440980636406</v>
      </c>
      <c r="C217" s="228">
        <f t="shared" si="46"/>
        <v>-18685.919174920691</v>
      </c>
      <c r="D217" s="228">
        <f t="shared" si="46"/>
        <v>69752.187286808447</v>
      </c>
      <c r="E217" s="228">
        <f t="shared" si="46"/>
        <v>34928.643233690193</v>
      </c>
      <c r="F217" s="228">
        <f>+F209-F215</f>
        <v>2615.2427843310106</v>
      </c>
      <c r="G217" s="177">
        <f t="shared" si="46"/>
        <v>156199.99765259877</v>
      </c>
      <c r="H217" s="228">
        <f t="shared" si="46"/>
        <v>160780.94072667114</v>
      </c>
      <c r="I217" s="228">
        <v>98444.730459821425</v>
      </c>
      <c r="J217" s="178">
        <f>+J209-J215</f>
        <v>152597.59511054523</v>
      </c>
      <c r="K217" s="226">
        <f>+IF((G217)=0,,(H217-G217)/G217)</f>
        <v>2.9327420889344338E-2</v>
      </c>
      <c r="L217" s="283">
        <f>+IF((H217)=0,,(J217-H217)/H217)</f>
        <v>-5.0897485604575861E-2</v>
      </c>
      <c r="M217" s="314">
        <f>+M209-M215</f>
        <v>93365.479476241511</v>
      </c>
      <c r="N217" s="26"/>
    </row>
    <row r="218" spans="1:15">
      <c r="A218" s="88" t="s">
        <v>44</v>
      </c>
      <c r="B218" s="160">
        <f>+Orléans!G217</f>
        <v>63987.440980636406</v>
      </c>
      <c r="C218" s="113">
        <f>+Château!G217</f>
        <v>-18685.919174920691</v>
      </c>
      <c r="D218" s="113">
        <f>+Bosc!G217</f>
        <v>69752.187286808447</v>
      </c>
      <c r="E218" s="113">
        <f>+Chartres!G217</f>
        <v>34928.643233690193</v>
      </c>
      <c r="F218" s="113">
        <f>+Chalette!G217</f>
        <v>2615.2427843310106</v>
      </c>
      <c r="G218" s="160">
        <f>+Orléans!E217+Château!E217+Chartres!E217+Bosc!E217</f>
        <v>156199.99765260011</v>
      </c>
      <c r="H218" s="270">
        <f>+Orléans!F217+Château!F217+Chartres!F217+Bosc!F217+Chalette!F217</f>
        <v>160780.94072667116</v>
      </c>
      <c r="I218" s="270">
        <v>98444.730459821294</v>
      </c>
      <c r="J218" s="341">
        <f>SUM(B218:F218)</f>
        <v>152597.59511054537</v>
      </c>
      <c r="M218" s="160">
        <v>93365.479476241497</v>
      </c>
    </row>
    <row r="219" spans="1:15">
      <c r="A219" s="87"/>
      <c r="B219" s="110"/>
      <c r="C219" s="110"/>
      <c r="D219" s="110"/>
      <c r="E219" s="110"/>
      <c r="F219" s="110"/>
      <c r="G219" s="110"/>
      <c r="H219" s="110"/>
      <c r="I219" s="110"/>
      <c r="J219" s="110"/>
      <c r="M219" s="113"/>
    </row>
    <row r="220" spans="1:15" s="2" customFormat="1" ht="11.25">
      <c r="B220" s="17"/>
      <c r="C220" s="17"/>
      <c r="D220" s="17"/>
      <c r="E220" s="17"/>
      <c r="F220" s="17"/>
      <c r="G220" s="17"/>
      <c r="H220" s="17"/>
      <c r="I220" s="17"/>
      <c r="J220" s="17"/>
      <c r="K220" s="66"/>
      <c r="L220" s="66"/>
      <c r="M220" s="113"/>
    </row>
    <row r="221" spans="1:15" s="2" customFormat="1" ht="11.25">
      <c r="B221" s="17"/>
      <c r="C221" s="17"/>
      <c r="D221" s="17"/>
      <c r="E221" s="17"/>
      <c r="F221" s="17"/>
      <c r="G221" s="17"/>
      <c r="H221" s="17"/>
      <c r="I221" s="17"/>
      <c r="J221" s="17"/>
      <c r="K221" s="66"/>
      <c r="L221" s="66"/>
      <c r="M221" s="17"/>
    </row>
    <row r="222" spans="1:15" s="2" customFormat="1" ht="11.25">
      <c r="B222" s="17"/>
      <c r="C222" s="17"/>
      <c r="D222" s="17"/>
      <c r="E222" s="17"/>
      <c r="F222" s="17"/>
      <c r="G222" s="17"/>
      <c r="H222" s="17"/>
      <c r="I222" s="17"/>
      <c r="J222" s="17"/>
      <c r="M222" s="17"/>
    </row>
    <row r="223" spans="1:15" s="2" customFormat="1" ht="11.25">
      <c r="A223" s="264" t="s">
        <v>67</v>
      </c>
      <c r="B223" s="265">
        <f>+(B215+B207+B203)/B54</f>
        <v>494913.07489247405</v>
      </c>
      <c r="C223" s="265">
        <f>+(C215+C207+C203)/C54</f>
        <v>240039.44364880884</v>
      </c>
      <c r="D223" s="265">
        <f>+(D215+D207+D203)/D54</f>
        <v>613042.22770126886</v>
      </c>
      <c r="E223" s="265">
        <f>+(E215+E207+E203)/E54</f>
        <v>455577.16983253433</v>
      </c>
      <c r="F223" s="265">
        <f>+(F215+F207+F203)/F54</f>
        <v>241684.54952838633</v>
      </c>
      <c r="G223" s="265">
        <f>+(G215+G207+G203)/G60</f>
        <v>5393931.1027124859</v>
      </c>
      <c r="H223" s="265">
        <f>+(H215+H207+H203)/H60</f>
        <v>3753225.5270170751</v>
      </c>
      <c r="I223" s="265">
        <f>+(I215+I207+I203)/I60</f>
        <v>2288526.2581669744</v>
      </c>
      <c r="J223" s="265">
        <f>+(J215+J207+J203)/J60</f>
        <v>4278684.7250748929</v>
      </c>
      <c r="K223" s="265"/>
      <c r="L223" s="265"/>
      <c r="M223" s="265">
        <f>+(M215+M207+M203)/M60</f>
        <v>2169622.2062645876</v>
      </c>
      <c r="N223" s="264"/>
      <c r="O223" s="264"/>
    </row>
    <row r="224" spans="1:15" s="2" customFormat="1" ht="11.25">
      <c r="A224" s="264" t="s">
        <v>66</v>
      </c>
      <c r="B224" s="265">
        <f t="shared" ref="B224:J224" si="47">+B223/12</f>
        <v>41242.756241039504</v>
      </c>
      <c r="C224" s="265">
        <f t="shared" si="47"/>
        <v>20003.286970734069</v>
      </c>
      <c r="D224" s="265">
        <f>+D223/12</f>
        <v>51086.852308439069</v>
      </c>
      <c r="E224" s="265">
        <f t="shared" si="47"/>
        <v>37964.764152711192</v>
      </c>
      <c r="F224" s="265">
        <f>+F223/12</f>
        <v>20140.379127365526</v>
      </c>
      <c r="G224" s="265">
        <f t="shared" si="47"/>
        <v>449494.25855937385</v>
      </c>
      <c r="H224" s="265">
        <f t="shared" si="47"/>
        <v>312768.79391808959</v>
      </c>
      <c r="I224" s="265">
        <f t="shared" si="47"/>
        <v>190710.52151391454</v>
      </c>
      <c r="J224" s="265">
        <f t="shared" si="47"/>
        <v>356557.06042290776</v>
      </c>
      <c r="K224" s="265"/>
      <c r="L224" s="265"/>
      <c r="M224" s="265">
        <f>+M223/12</f>
        <v>180801.85052204898</v>
      </c>
      <c r="N224" s="264"/>
      <c r="O224" s="264"/>
    </row>
    <row r="225" spans="1:13">
      <c r="M225" s="17"/>
    </row>
    <row r="226" spans="1:13">
      <c r="M226" s="17"/>
    </row>
    <row r="227" spans="1:13">
      <c r="M227" s="17"/>
    </row>
    <row r="228" spans="1:13" s="2" customFormat="1" ht="12.75" customHeight="1">
      <c r="A228" s="6"/>
      <c r="B228" s="155"/>
      <c r="C228" s="211"/>
      <c r="D228" s="211"/>
      <c r="E228" s="211"/>
      <c r="F228" s="211"/>
      <c r="G228" s="267" t="s">
        <v>55</v>
      </c>
      <c r="H228" s="130" t="s">
        <v>364</v>
      </c>
      <c r="I228" s="130" t="s">
        <v>543</v>
      </c>
      <c r="J228" s="104" t="s">
        <v>196</v>
      </c>
      <c r="K228" s="151" t="s">
        <v>225</v>
      </c>
      <c r="L228" s="183" t="s">
        <v>225</v>
      </c>
      <c r="M228" s="8" t="s">
        <v>196</v>
      </c>
    </row>
    <row r="229" spans="1:13" s="2" customFormat="1" ht="20.25" customHeight="1">
      <c r="A229" s="7" t="s">
        <v>434</v>
      </c>
      <c r="B229" s="1428" t="s">
        <v>204</v>
      </c>
      <c r="C229" s="1430" t="s">
        <v>207</v>
      </c>
      <c r="D229" s="331"/>
      <c r="E229" s="1426" t="s">
        <v>322</v>
      </c>
      <c r="F229" s="1426" t="s">
        <v>550</v>
      </c>
      <c r="G229" s="260" t="s">
        <v>366</v>
      </c>
      <c r="H229" s="131" t="s">
        <v>366</v>
      </c>
      <c r="I229" s="131" t="s">
        <v>432</v>
      </c>
      <c r="J229" s="105" t="s">
        <v>197</v>
      </c>
      <c r="K229" s="152" t="s">
        <v>55</v>
      </c>
      <c r="L229" s="131" t="s">
        <v>432</v>
      </c>
      <c r="M229" s="9" t="s">
        <v>197</v>
      </c>
    </row>
    <row r="230" spans="1:13" s="2" customFormat="1" ht="20.25" customHeight="1">
      <c r="A230" s="7"/>
      <c r="B230" s="1429"/>
      <c r="C230" s="1431"/>
      <c r="D230" s="375" t="s">
        <v>68</v>
      </c>
      <c r="E230" s="1427"/>
      <c r="F230" s="1427"/>
      <c r="G230" s="157"/>
      <c r="H230" s="157"/>
      <c r="I230" s="157"/>
      <c r="J230" s="157"/>
      <c r="K230" s="152"/>
      <c r="L230" s="132" t="s">
        <v>433</v>
      </c>
      <c r="M230" s="10"/>
    </row>
    <row r="231" spans="1:13" s="2" customFormat="1" ht="18">
      <c r="A231" s="68"/>
      <c r="B231" s="158"/>
      <c r="C231" s="216"/>
      <c r="D231" s="216"/>
      <c r="E231" s="216"/>
      <c r="F231" s="216"/>
      <c r="G231" s="269">
        <v>2009</v>
      </c>
      <c r="H231" s="133">
        <v>2010</v>
      </c>
      <c r="I231" s="133">
        <v>2009</v>
      </c>
      <c r="J231" s="159">
        <v>2011</v>
      </c>
      <c r="K231" s="153" t="s">
        <v>544</v>
      </c>
      <c r="L231" s="185" t="s">
        <v>368</v>
      </c>
      <c r="M231" s="4">
        <v>2010</v>
      </c>
    </row>
    <row r="232" spans="1:13" s="2" customFormat="1" ht="11.25" customHeight="1">
      <c r="B232" s="288"/>
      <c r="C232" s="249"/>
      <c r="D232" s="249"/>
      <c r="E232" s="286"/>
      <c r="F232" s="286"/>
      <c r="G232" s="248"/>
      <c r="H232" s="287"/>
      <c r="I232" s="287"/>
      <c r="J232" s="250"/>
      <c r="K232" s="288"/>
      <c r="L232" s="289"/>
      <c r="M232" s="332"/>
    </row>
    <row r="233" spans="1:13" s="33" customFormat="1" ht="15" customHeight="1">
      <c r="A233" s="245" t="s">
        <v>223</v>
      </c>
      <c r="B233" s="175">
        <f>+B51</f>
        <v>1085050</v>
      </c>
      <c r="C233" s="206">
        <f t="shared" ref="C233:M233" si="48">+C51</f>
        <v>483500</v>
      </c>
      <c r="D233" s="206">
        <f>+D51</f>
        <v>1474600</v>
      </c>
      <c r="E233" s="176">
        <f t="shared" si="48"/>
        <v>1160550</v>
      </c>
      <c r="F233" s="176">
        <f>+F51</f>
        <v>484700</v>
      </c>
      <c r="G233" s="175">
        <f t="shared" si="48"/>
        <v>3770614.209999999</v>
      </c>
      <c r="H233" s="206">
        <f t="shared" si="48"/>
        <v>4193060.9000000004</v>
      </c>
      <c r="I233" s="206"/>
      <c r="J233" s="176">
        <f t="shared" si="48"/>
        <v>4688400</v>
      </c>
      <c r="K233" s="208">
        <f t="shared" si="48"/>
        <v>0</v>
      </c>
      <c r="L233" s="192">
        <f t="shared" si="48"/>
        <v>0</v>
      </c>
      <c r="M233" s="176">
        <f t="shared" si="48"/>
        <v>2426000</v>
      </c>
    </row>
    <row r="234" spans="1:13" s="2" customFormat="1" ht="11.25" customHeight="1">
      <c r="B234" s="160"/>
      <c r="C234" s="113"/>
      <c r="D234" s="113"/>
      <c r="E234" s="162"/>
      <c r="F234" s="162"/>
      <c r="G234" s="160"/>
      <c r="H234" s="113"/>
      <c r="I234" s="113"/>
      <c r="J234" s="162"/>
      <c r="K234" s="92"/>
      <c r="L234" s="186"/>
      <c r="M234" s="162"/>
    </row>
    <row r="235" spans="1:13" s="33" customFormat="1" ht="15" customHeight="1">
      <c r="A235" s="246" t="s">
        <v>295</v>
      </c>
      <c r="B235" s="197">
        <f t="shared" ref="B235:J235" si="49">+B60</f>
        <v>0.41</v>
      </c>
      <c r="C235" s="224">
        <f t="shared" si="49"/>
        <v>0.35</v>
      </c>
      <c r="D235" s="224">
        <f>+D60</f>
        <v>0.37</v>
      </c>
      <c r="E235" s="191">
        <f t="shared" si="49"/>
        <v>0.35499999999999998</v>
      </c>
      <c r="F235" s="191">
        <f>+F60</f>
        <v>0.36</v>
      </c>
      <c r="G235" s="197">
        <f t="shared" si="49"/>
        <v>0.23234012683572852</v>
      </c>
      <c r="H235" s="224">
        <f t="shared" si="49"/>
        <v>0.36554799955326189</v>
      </c>
      <c r="I235" s="224"/>
      <c r="J235" s="191">
        <f t="shared" si="49"/>
        <v>0.37244790333589284</v>
      </c>
      <c r="K235" s="197"/>
      <c r="L235" s="191"/>
      <c r="M235" s="191"/>
    </row>
    <row r="236" spans="1:13" s="33" customFormat="1" ht="15" customHeight="1">
      <c r="A236" s="246" t="s">
        <v>296</v>
      </c>
      <c r="B236" s="169">
        <f>+B62</f>
        <v>444870.5</v>
      </c>
      <c r="C236" s="223">
        <f>+C62</f>
        <v>169225</v>
      </c>
      <c r="D236" s="223">
        <f>+D62</f>
        <v>545602</v>
      </c>
      <c r="E236" s="170">
        <f t="shared" ref="E236:M236" si="50">+E62</f>
        <v>411995.25</v>
      </c>
      <c r="F236" s="170">
        <f>+F62</f>
        <v>174492</v>
      </c>
      <c r="G236" s="169">
        <f t="shared" si="50"/>
        <v>876064.98380000005</v>
      </c>
      <c r="H236" s="223">
        <f t="shared" si="50"/>
        <v>1532765.024</v>
      </c>
      <c r="I236" s="223"/>
      <c r="J236" s="170">
        <f t="shared" si="50"/>
        <v>1746184.75</v>
      </c>
      <c r="K236" s="290">
        <f t="shared" si="50"/>
        <v>0.74960197284853503</v>
      </c>
      <c r="L236" s="291">
        <f t="shared" si="50"/>
        <v>0.13923838465666868</v>
      </c>
      <c r="M236" s="170">
        <f t="shared" si="50"/>
        <v>883480</v>
      </c>
    </row>
    <row r="237" spans="1:13" s="25" customFormat="1" ht="11.25" customHeight="1">
      <c r="B237" s="160"/>
      <c r="C237" s="113"/>
      <c r="D237" s="113"/>
      <c r="E237" s="162"/>
      <c r="F237" s="162"/>
      <c r="G237" s="160"/>
      <c r="H237" s="113"/>
      <c r="I237" s="113"/>
      <c r="J237" s="162"/>
      <c r="K237" s="92"/>
      <c r="L237" s="186"/>
      <c r="M237" s="162"/>
    </row>
    <row r="238" spans="1:13" s="298" customFormat="1" ht="15" customHeight="1">
      <c r="A238" s="292" t="s">
        <v>122</v>
      </c>
      <c r="B238" s="293">
        <f>+B103</f>
        <v>95430.598400000017</v>
      </c>
      <c r="C238" s="295">
        <f t="shared" ref="C238:M238" si="51">+C103</f>
        <v>47990.275733333336</v>
      </c>
      <c r="D238" s="295">
        <f>+D103</f>
        <v>110030.0312</v>
      </c>
      <c r="E238" s="294">
        <f t="shared" si="51"/>
        <v>85957.506587627984</v>
      </c>
      <c r="F238" s="294">
        <f>+F103</f>
        <v>41712.264302285497</v>
      </c>
      <c r="G238" s="293">
        <f t="shared" si="51"/>
        <v>342974.78</v>
      </c>
      <c r="H238" s="295">
        <f t="shared" si="51"/>
        <v>363926.19414512301</v>
      </c>
      <c r="I238" s="295"/>
      <c r="J238" s="294">
        <f t="shared" si="51"/>
        <v>381120.67622324679</v>
      </c>
      <c r="K238" s="296">
        <f t="shared" si="51"/>
        <v>6.1087331684046793E-2</v>
      </c>
      <c r="L238" s="297">
        <f t="shared" si="51"/>
        <v>4.7247168120212658E-2</v>
      </c>
      <c r="M238" s="294">
        <f t="shared" si="51"/>
        <v>206108.86939773738</v>
      </c>
    </row>
    <row r="239" spans="1:13" s="298" customFormat="1" ht="15" customHeight="1">
      <c r="A239" s="292" t="s">
        <v>133</v>
      </c>
      <c r="B239" s="293">
        <f>+B116</f>
        <v>39850</v>
      </c>
      <c r="C239" s="295">
        <f t="shared" ref="C239:M239" si="52">+C116</f>
        <v>21170</v>
      </c>
      <c r="D239" s="295">
        <f>+D116</f>
        <v>71100</v>
      </c>
      <c r="E239" s="294">
        <f t="shared" si="52"/>
        <v>29100</v>
      </c>
      <c r="F239" s="294">
        <f>+F116</f>
        <v>9100</v>
      </c>
      <c r="G239" s="293">
        <f t="shared" si="52"/>
        <v>173337.54</v>
      </c>
      <c r="H239" s="295">
        <f t="shared" si="52"/>
        <v>166572.37333333335</v>
      </c>
      <c r="I239" s="295"/>
      <c r="J239" s="294">
        <f t="shared" si="52"/>
        <v>170320</v>
      </c>
      <c r="K239" s="296">
        <f t="shared" si="52"/>
        <v>-3.9028860491885697E-2</v>
      </c>
      <c r="L239" s="297">
        <f t="shared" si="52"/>
        <v>2.2498488744992256E-2</v>
      </c>
      <c r="M239" s="294">
        <f t="shared" si="52"/>
        <v>88232.574633333337</v>
      </c>
    </row>
    <row r="240" spans="1:13" s="298" customFormat="1" ht="15" customHeight="1">
      <c r="A240" s="292" t="s">
        <v>147</v>
      </c>
      <c r="B240" s="293">
        <f>+B129</f>
        <v>11601.33</v>
      </c>
      <c r="C240" s="295">
        <f t="shared" ref="C240:M240" si="53">+C129</f>
        <v>4438.3</v>
      </c>
      <c r="D240" s="295">
        <f>+D129</f>
        <v>9288.2100000000009</v>
      </c>
      <c r="E240" s="294">
        <f t="shared" si="53"/>
        <v>6971.8920000000007</v>
      </c>
      <c r="F240" s="294">
        <f>+F129</f>
        <v>5968.5133333333342</v>
      </c>
      <c r="G240" s="293">
        <f t="shared" si="53"/>
        <v>35640.04</v>
      </c>
      <c r="H240" s="295">
        <f t="shared" si="53"/>
        <v>34304.353333333333</v>
      </c>
      <c r="I240" s="295"/>
      <c r="J240" s="294">
        <f t="shared" si="53"/>
        <v>38268.245333333332</v>
      </c>
      <c r="K240" s="296">
        <f t="shared" si="53"/>
        <v>-3.7477137137519156E-2</v>
      </c>
      <c r="L240" s="297">
        <f t="shared" si="53"/>
        <v>0.11555069881315355</v>
      </c>
      <c r="M240" s="294">
        <f t="shared" si="53"/>
        <v>25683.128700000001</v>
      </c>
    </row>
    <row r="241" spans="1:13" s="298" customFormat="1" ht="15" customHeight="1">
      <c r="A241" s="292" t="s">
        <v>164</v>
      </c>
      <c r="B241" s="293">
        <f>+B154</f>
        <v>145566.82660299915</v>
      </c>
      <c r="C241" s="295">
        <f t="shared" ref="C241:M241" si="54">+C154</f>
        <v>78316.613260938699</v>
      </c>
      <c r="D241" s="295">
        <f>+D154</f>
        <v>190573.43380121622</v>
      </c>
      <c r="E241" s="294">
        <f t="shared" si="54"/>
        <v>181784.83674452992</v>
      </c>
      <c r="F241" s="294">
        <f>+F154</f>
        <v>79126.499897130576</v>
      </c>
      <c r="G241" s="293">
        <f t="shared" si="54"/>
        <v>491927.79520000005</v>
      </c>
      <c r="H241" s="295">
        <f t="shared" si="54"/>
        <v>565063.93333333335</v>
      </c>
      <c r="I241" s="295"/>
      <c r="J241" s="294">
        <f t="shared" si="54"/>
        <v>675368.21030681452</v>
      </c>
      <c r="K241" s="296">
        <f t="shared" si="54"/>
        <v>0.14867250610142652</v>
      </c>
      <c r="L241" s="297">
        <f t="shared" si="54"/>
        <v>0.19520671992422539</v>
      </c>
      <c r="M241" s="294">
        <f t="shared" si="54"/>
        <v>311692.75307570916</v>
      </c>
    </row>
    <row r="242" spans="1:13" s="298" customFormat="1" ht="15" customHeight="1">
      <c r="A242" s="292" t="s">
        <v>74</v>
      </c>
      <c r="B242" s="293">
        <f>+B168</f>
        <v>16782.078088000002</v>
      </c>
      <c r="C242" s="295">
        <f t="shared" ref="C242:M242" si="55">+C168</f>
        <v>7297.9356166666685</v>
      </c>
      <c r="D242" s="295">
        <f>+D168</f>
        <v>21664.213755999997</v>
      </c>
      <c r="E242" s="294">
        <f t="shared" si="55"/>
        <v>16717.008730000001</v>
      </c>
      <c r="F242" s="294">
        <f>+F168</f>
        <v>5849.8974360000011</v>
      </c>
      <c r="G242" s="293">
        <f t="shared" si="55"/>
        <v>19383.170000000002</v>
      </c>
      <c r="H242" s="295">
        <f t="shared" si="55"/>
        <v>36080.080000000002</v>
      </c>
      <c r="I242" s="295"/>
      <c r="J242" s="294">
        <f t="shared" si="55"/>
        <v>68311.133626666662</v>
      </c>
      <c r="K242" s="296">
        <f t="shared" si="55"/>
        <v>0.86141276168965131</v>
      </c>
      <c r="L242" s="297">
        <f t="shared" si="55"/>
        <v>0.89331990468609435</v>
      </c>
      <c r="M242" s="294">
        <f t="shared" si="55"/>
        <v>26961.326671666669</v>
      </c>
    </row>
    <row r="243" spans="1:13" s="298" customFormat="1" ht="15" customHeight="1">
      <c r="A243" s="292" t="s">
        <v>369</v>
      </c>
      <c r="B243" s="293">
        <f>+B185-B201</f>
        <v>22980.629733333331</v>
      </c>
      <c r="C243" s="295">
        <f t="shared" ref="C243:M243" si="56">+C185-C201</f>
        <v>1169.7185333333334</v>
      </c>
      <c r="D243" s="295">
        <f>+D185-D201</f>
        <v>9781.5221333333338</v>
      </c>
      <c r="E243" s="294">
        <f t="shared" si="56"/>
        <v>2721.73</v>
      </c>
      <c r="F243" s="294">
        <f>+F185-F201</f>
        <v>4250</v>
      </c>
      <c r="G243" s="293">
        <f t="shared" si="56"/>
        <v>46047.68</v>
      </c>
      <c r="H243" s="295">
        <f t="shared" si="56"/>
        <v>30111.453333333331</v>
      </c>
      <c r="I243" s="295"/>
      <c r="J243" s="294">
        <f t="shared" si="56"/>
        <v>40903.600400000003</v>
      </c>
      <c r="K243" s="296">
        <f t="shared" si="56"/>
        <v>-0.18615987195100436</v>
      </c>
      <c r="L243" s="297">
        <f t="shared" si="56"/>
        <v>1.0929018505554875</v>
      </c>
      <c r="M243" s="294">
        <f t="shared" si="56"/>
        <v>11567.7431</v>
      </c>
    </row>
    <row r="244" spans="1:13" s="25" customFormat="1" ht="11.25">
      <c r="B244" s="160"/>
      <c r="C244" s="113"/>
      <c r="D244" s="113"/>
      <c r="E244" s="162"/>
      <c r="F244" s="162"/>
      <c r="G244" s="160"/>
      <c r="H244" s="113"/>
      <c r="I244" s="113"/>
      <c r="J244" s="162"/>
      <c r="K244" s="92"/>
      <c r="L244" s="186"/>
      <c r="M244" s="162"/>
    </row>
    <row r="245" spans="1:13" s="33" customFormat="1" ht="15" customHeight="1">
      <c r="A245" s="245" t="s">
        <v>189</v>
      </c>
      <c r="B245" s="299">
        <f>+B203</f>
        <v>332211.46282433247</v>
      </c>
      <c r="C245" s="301">
        <f t="shared" ref="C245:M245" si="57">+C203</f>
        <v>160382.84314427202</v>
      </c>
      <c r="D245" s="301">
        <f>+D203</f>
        <v>412437.41089054954</v>
      </c>
      <c r="E245" s="300">
        <f t="shared" si="57"/>
        <v>323252.97406215791</v>
      </c>
      <c r="F245" s="300">
        <f>+F203</f>
        <v>146007.1749687494</v>
      </c>
      <c r="G245" s="299">
        <f t="shared" si="57"/>
        <v>1109311.0052</v>
      </c>
      <c r="H245" s="301">
        <f t="shared" si="57"/>
        <v>1196058.3874784564</v>
      </c>
      <c r="I245" s="301"/>
      <c r="J245" s="300">
        <f t="shared" si="57"/>
        <v>1374291.8658900615</v>
      </c>
      <c r="K245" s="302">
        <f t="shared" si="57"/>
        <v>7.8199334426341943E-2</v>
      </c>
      <c r="L245" s="303">
        <f t="shared" si="57"/>
        <v>0.14901737262790232</v>
      </c>
      <c r="M245" s="300">
        <f t="shared" si="57"/>
        <v>670246.39557844645</v>
      </c>
    </row>
    <row r="246" spans="1:13" s="2" customFormat="1" ht="11.25">
      <c r="B246" s="160"/>
      <c r="C246" s="113"/>
      <c r="D246" s="113"/>
      <c r="E246" s="162"/>
      <c r="F246" s="162"/>
      <c r="G246" s="160"/>
      <c r="H246" s="113"/>
      <c r="I246" s="113"/>
      <c r="J246" s="162"/>
      <c r="K246" s="92"/>
      <c r="L246" s="186"/>
      <c r="M246" s="162"/>
    </row>
    <row r="247" spans="1:13" s="33" customFormat="1" ht="15" customHeight="1">
      <c r="A247" s="246" t="s">
        <v>228</v>
      </c>
      <c r="B247" s="177">
        <f>+B205</f>
        <v>112659.03717566753</v>
      </c>
      <c r="C247" s="228">
        <f t="shared" ref="C247:M247" si="58">+C205</f>
        <v>8842.1568557279825</v>
      </c>
      <c r="D247" s="228">
        <f>+D205</f>
        <v>133164.58910945046</v>
      </c>
      <c r="E247" s="178">
        <f t="shared" si="58"/>
        <v>88742.275937842089</v>
      </c>
      <c r="F247" s="178">
        <f>+F205</f>
        <v>28484.825031250599</v>
      </c>
      <c r="G247" s="177">
        <f t="shared" si="58"/>
        <v>300115.62899999879</v>
      </c>
      <c r="H247" s="228">
        <f t="shared" si="58"/>
        <v>336706.63652154361</v>
      </c>
      <c r="I247" s="228"/>
      <c r="J247" s="178">
        <f t="shared" si="58"/>
        <v>371892.88410993852</v>
      </c>
      <c r="K247" s="225">
        <f t="shared" si="58"/>
        <v>0.12192303227748583</v>
      </c>
      <c r="L247" s="193">
        <f t="shared" si="58"/>
        <v>0.1045012000710701</v>
      </c>
      <c r="M247" s="178">
        <f t="shared" si="58"/>
        <v>213233.60442155355</v>
      </c>
    </row>
    <row r="248" spans="1:13" s="2" customFormat="1" ht="11.25">
      <c r="B248" s="160"/>
      <c r="C248" s="113"/>
      <c r="D248" s="113"/>
      <c r="E248" s="162"/>
      <c r="F248" s="162"/>
      <c r="G248" s="160"/>
      <c r="H248" s="113"/>
      <c r="I248" s="113"/>
      <c r="J248" s="162"/>
      <c r="K248" s="92"/>
      <c r="L248" s="186"/>
      <c r="M248" s="162"/>
    </row>
    <row r="249" spans="1:13" s="33" customFormat="1" ht="15" customHeight="1">
      <c r="A249" s="247" t="s">
        <v>370</v>
      </c>
      <c r="B249" s="180">
        <f>+B207+B215</f>
        <v>48671.596195031132</v>
      </c>
      <c r="C249" s="230">
        <f t="shared" ref="C249:M249" si="59">+C207+C215</f>
        <v>27528.076030648674</v>
      </c>
      <c r="D249" s="230">
        <f>+D207+D215</f>
        <v>63412.401822642016</v>
      </c>
      <c r="E249" s="181">
        <f t="shared" si="59"/>
        <v>53813.632704151903</v>
      </c>
      <c r="F249" s="181">
        <f>+F207+F215</f>
        <v>25869.582246919588</v>
      </c>
      <c r="G249" s="180">
        <f t="shared" si="59"/>
        <v>143915.63134739999</v>
      </c>
      <c r="H249" s="230">
        <f t="shared" si="59"/>
        <v>175925.69579487244</v>
      </c>
      <c r="I249" s="230"/>
      <c r="J249" s="181">
        <f t="shared" si="59"/>
        <v>219295.28899939329</v>
      </c>
      <c r="K249" s="304">
        <f t="shared" si="59"/>
        <v>0.78127032789410289</v>
      </c>
      <c r="L249" s="195">
        <f t="shared" si="59"/>
        <v>0.51633850995074404</v>
      </c>
      <c r="M249" s="181">
        <f t="shared" si="59"/>
        <v>119868.12494531203</v>
      </c>
    </row>
    <row r="250" spans="1:13" s="2" customFormat="1" ht="11.25">
      <c r="B250" s="160"/>
      <c r="C250" s="113"/>
      <c r="D250" s="113"/>
      <c r="E250" s="162"/>
      <c r="F250" s="162"/>
      <c r="G250" s="160"/>
      <c r="H250" s="113"/>
      <c r="I250" s="113"/>
      <c r="J250" s="162"/>
      <c r="K250" s="92"/>
      <c r="L250" s="186"/>
      <c r="M250" s="162"/>
    </row>
    <row r="251" spans="1:13" s="33" customFormat="1" ht="20.100000000000001" customHeight="1">
      <c r="A251" s="246" t="s">
        <v>86</v>
      </c>
      <c r="B251" s="177">
        <f>+B217</f>
        <v>63987.440980636406</v>
      </c>
      <c r="C251" s="228">
        <f t="shared" ref="C251:M251" si="60">+C217</f>
        <v>-18685.919174920691</v>
      </c>
      <c r="D251" s="228">
        <f>+D217</f>
        <v>69752.187286808447</v>
      </c>
      <c r="E251" s="178">
        <f t="shared" si="60"/>
        <v>34928.643233690193</v>
      </c>
      <c r="F251" s="178">
        <f>+F217</f>
        <v>2615.2427843310106</v>
      </c>
      <c r="G251" s="177">
        <f t="shared" si="60"/>
        <v>156199.99765259877</v>
      </c>
      <c r="H251" s="228">
        <f t="shared" si="60"/>
        <v>160780.94072667114</v>
      </c>
      <c r="I251" s="228"/>
      <c r="J251" s="178">
        <f t="shared" si="60"/>
        <v>152597.59511054523</v>
      </c>
      <c r="K251" s="225">
        <f t="shared" si="60"/>
        <v>2.9327420889344338E-2</v>
      </c>
      <c r="L251" s="193">
        <f t="shared" si="60"/>
        <v>-5.0897485604575861E-2</v>
      </c>
      <c r="M251" s="178">
        <f t="shared" si="60"/>
        <v>93365.479476241511</v>
      </c>
    </row>
    <row r="252" spans="1:13" s="2" customFormat="1" ht="11.25">
      <c r="B252" s="17"/>
      <c r="C252" s="113"/>
      <c r="D252" s="113"/>
      <c r="H252" s="58"/>
      <c r="I252" s="58"/>
      <c r="K252" s="66"/>
      <c r="L252" s="66"/>
      <c r="M252" s="182"/>
    </row>
    <row r="253" spans="1:13" s="298" customFormat="1" ht="15" customHeight="1">
      <c r="A253" s="292" t="s">
        <v>95</v>
      </c>
      <c r="B253" s="293">
        <f>+Orléans!G253</f>
        <v>250000</v>
      </c>
      <c r="C253" s="295">
        <f>+Château!G253</f>
        <v>105000</v>
      </c>
      <c r="D253" s="295">
        <f>+Bosc!G253</f>
        <v>330000</v>
      </c>
      <c r="E253" s="294">
        <f>+Chartres!G253</f>
        <v>200000</v>
      </c>
      <c r="F253" s="294">
        <f>+Chalette!G253</f>
        <v>0</v>
      </c>
      <c r="G253" s="293">
        <f>+G28</f>
        <v>857782.63</v>
      </c>
      <c r="H253" s="295"/>
      <c r="I253" s="295"/>
      <c r="J253" s="294">
        <f>SUM(B253:F253)</f>
        <v>885000</v>
      </c>
      <c r="K253" s="296"/>
      <c r="L253" s="297"/>
      <c r="M253" s="294"/>
    </row>
    <row r="254" spans="1:13" s="298" customFormat="1" ht="15" customHeight="1">
      <c r="A254" s="292" t="s">
        <v>371</v>
      </c>
      <c r="B254" s="293">
        <f>+Orléans!G254</f>
        <v>928983.07077893568</v>
      </c>
      <c r="C254" s="295">
        <f>+Château!G254</f>
        <v>536888.34049977339</v>
      </c>
      <c r="D254" s="295">
        <f>+Bosc!G254</f>
        <v>1286080.5749005177</v>
      </c>
      <c r="E254" s="294">
        <f>+Chartres!G254</f>
        <v>1062159.4556797461</v>
      </c>
      <c r="F254" s="294">
        <f>+Chalette!G254</f>
        <v>477435.43671019166</v>
      </c>
      <c r="G254" s="293">
        <f>+G223</f>
        <v>5393931.1027124859</v>
      </c>
      <c r="H254" s="295">
        <f>+H223</f>
        <v>3753225.5270170751</v>
      </c>
      <c r="I254" s="295"/>
      <c r="J254" s="294">
        <f>+J223</f>
        <v>4278684.7250748929</v>
      </c>
      <c r="K254" s="296"/>
      <c r="L254" s="297"/>
      <c r="M254" s="294">
        <f>+M223</f>
        <v>2169622.2062645876</v>
      </c>
    </row>
    <row r="255" spans="1:13" s="298" customFormat="1" ht="15" customHeight="1">
      <c r="A255" s="292" t="s">
        <v>372</v>
      </c>
      <c r="B255" s="293">
        <f>+Orléans!G255</f>
        <v>0</v>
      </c>
      <c r="C255" s="295">
        <f>+Château!G255</f>
        <v>0</v>
      </c>
      <c r="D255" s="295">
        <f>+Bosc!G255</f>
        <v>7000</v>
      </c>
      <c r="E255" s="294">
        <f>+Chartres!G255</f>
        <v>0</v>
      </c>
      <c r="F255" s="294">
        <f>+Chalette!G255</f>
        <v>0</v>
      </c>
      <c r="G255" s="293"/>
      <c r="H255" s="333"/>
      <c r="I255" s="333"/>
      <c r="J255" s="294">
        <f>SUM(B255:F255)</f>
        <v>7000</v>
      </c>
      <c r="K255" s="296"/>
      <c r="L255" s="297"/>
      <c r="M255" s="334">
        <v>10000</v>
      </c>
    </row>
    <row r="256" spans="1:13" s="2" customFormat="1" ht="11.25">
      <c r="B256" s="24"/>
      <c r="C256" s="113"/>
      <c r="D256" s="113"/>
      <c r="H256" s="58"/>
      <c r="I256" s="58"/>
      <c r="K256" s="66"/>
      <c r="L256" s="66"/>
    </row>
  </sheetData>
  <mergeCells count="8">
    <mergeCell ref="F4:F5"/>
    <mergeCell ref="F229:F230"/>
    <mergeCell ref="B4:B5"/>
    <mergeCell ref="C4:C5"/>
    <mergeCell ref="E4:E5"/>
    <mergeCell ref="B229:B230"/>
    <mergeCell ref="C229:C230"/>
    <mergeCell ref="E229:E230"/>
  </mergeCells>
  <phoneticPr fontId="33" type="noConversion"/>
  <hyperlinks>
    <hyperlink ref="G1" location="Sommaire!A1" display="Retour au sommaire"/>
  </hyperlinks>
  <pageMargins left="0" right="0" top="0" bottom="0" header="0.51181102362204722" footer="0.51181102362204722"/>
  <pageSetup paperSize="9" scale="69" orientation="landscape" horizontalDpi="4294967293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1"/>
  </sheetPr>
  <dimension ref="A1:M255"/>
  <sheetViews>
    <sheetView topLeftCell="A215" workbookViewId="0">
      <selection activeCell="L1" sqref="L1"/>
    </sheetView>
  </sheetViews>
  <sheetFormatPr baseColWidth="10" defaultRowHeight="12.75"/>
  <cols>
    <col min="1" max="1" width="72.85546875" bestFit="1" customWidth="1"/>
    <col min="2" max="2" width="12.28515625" style="26" customWidth="1"/>
    <col min="3" max="3" width="14.28515625" style="26" customWidth="1"/>
    <col min="4" max="4" width="14.7109375" style="26" bestFit="1" customWidth="1"/>
    <col min="5" max="5" width="12.28515625" style="26" customWidth="1"/>
    <col min="6" max="6" width="12.28515625" style="26" bestFit="1" customWidth="1"/>
    <col min="7" max="7" width="12.28515625" style="26" hidden="1" customWidth="1"/>
    <col min="8" max="8" width="12.28515625" style="26" customWidth="1"/>
    <col min="9" max="9" width="9.7109375" style="66" customWidth="1"/>
    <col min="10" max="10" width="9.140625" style="66" bestFit="1" customWidth="1"/>
    <col min="11" max="11" width="12.7109375" style="28" customWidth="1"/>
    <col min="12" max="12" width="14.7109375" bestFit="1" customWidth="1"/>
  </cols>
  <sheetData>
    <row r="1" spans="1:11">
      <c r="A1" s="1" t="s">
        <v>515</v>
      </c>
      <c r="K1" s="45"/>
    </row>
    <row r="2" spans="1:11">
      <c r="D2" s="86"/>
    </row>
    <row r="3" spans="1:11" s="2" customFormat="1" ht="12.75" customHeight="1">
      <c r="A3" s="6"/>
      <c r="B3" s="155"/>
      <c r="C3" s="211"/>
      <c r="D3" s="211"/>
      <c r="E3" s="267" t="s">
        <v>55</v>
      </c>
      <c r="F3" s="130" t="s">
        <v>364</v>
      </c>
      <c r="G3" s="130" t="s">
        <v>543</v>
      </c>
      <c r="H3" s="104" t="s">
        <v>196</v>
      </c>
      <c r="I3" s="151" t="s">
        <v>225</v>
      </c>
      <c r="J3" s="183" t="s">
        <v>225</v>
      </c>
      <c r="K3" s="8" t="s">
        <v>196</v>
      </c>
    </row>
    <row r="4" spans="1:11" s="2" customFormat="1" ht="20.25" customHeight="1">
      <c r="A4" s="7" t="s">
        <v>423</v>
      </c>
      <c r="B4" s="1432" t="s">
        <v>210</v>
      </c>
      <c r="C4" s="1434" t="s">
        <v>209</v>
      </c>
      <c r="D4" s="1436" t="s">
        <v>334</v>
      </c>
      <c r="E4" s="260" t="s">
        <v>366</v>
      </c>
      <c r="F4" s="131" t="s">
        <v>366</v>
      </c>
      <c r="G4" s="131" t="s">
        <v>432</v>
      </c>
      <c r="H4" s="105" t="s">
        <v>197</v>
      </c>
      <c r="I4" s="152" t="s">
        <v>55</v>
      </c>
      <c r="J4" s="131" t="s">
        <v>432</v>
      </c>
      <c r="K4" s="9" t="s">
        <v>197</v>
      </c>
    </row>
    <row r="5" spans="1:11" s="2" customFormat="1" ht="20.25" customHeight="1">
      <c r="A5" s="7"/>
      <c r="B5" s="1433"/>
      <c r="C5" s="1435"/>
      <c r="D5" s="1437"/>
      <c r="E5" s="157">
        <f>E216</f>
        <v>102516.92447247297</v>
      </c>
      <c r="F5" s="157">
        <f>F216</f>
        <v>44733.505108350437</v>
      </c>
      <c r="G5" s="157">
        <f>G216</f>
        <v>36789.533345378135</v>
      </c>
      <c r="H5" s="157">
        <f>H216</f>
        <v>125895.0123605527</v>
      </c>
      <c r="I5" s="152"/>
      <c r="J5" s="132" t="s">
        <v>433</v>
      </c>
      <c r="K5" s="10"/>
    </row>
    <row r="6" spans="1:11" s="2" customFormat="1" ht="18">
      <c r="A6" s="68"/>
      <c r="B6" s="158"/>
      <c r="C6" s="216"/>
      <c r="D6" s="216"/>
      <c r="E6" s="269">
        <v>2009</v>
      </c>
      <c r="F6" s="133">
        <v>2010</v>
      </c>
      <c r="G6" s="133">
        <v>2009</v>
      </c>
      <c r="H6" s="159">
        <v>2011</v>
      </c>
      <c r="I6" s="153" t="s">
        <v>544</v>
      </c>
      <c r="J6" s="185" t="s">
        <v>368</v>
      </c>
      <c r="K6" s="4">
        <v>2010</v>
      </c>
    </row>
    <row r="7" spans="1:11" s="2" customFormat="1" ht="18">
      <c r="A7" s="67"/>
      <c r="B7" s="160"/>
      <c r="C7" s="113"/>
      <c r="D7" s="113"/>
      <c r="E7" s="237"/>
      <c r="F7" s="25"/>
      <c r="G7" s="25"/>
      <c r="H7" s="154"/>
      <c r="I7" s="149"/>
      <c r="J7" s="186"/>
      <c r="K7" s="5"/>
    </row>
    <row r="8" spans="1:11" s="2" customFormat="1" ht="11.25">
      <c r="A8" s="5" t="s">
        <v>221</v>
      </c>
      <c r="B8" s="160">
        <f>+Amiens!$G8</f>
        <v>516851</v>
      </c>
      <c r="C8" s="113">
        <f>+Compiègne!$G8</f>
        <v>810810</v>
      </c>
      <c r="D8" s="113">
        <f>+Eu!$G8</f>
        <v>1272071</v>
      </c>
      <c r="E8" s="160">
        <f>+Amiens!E8+Compiègne!E8+Eu!E8</f>
        <v>1357156.8900000001</v>
      </c>
      <c r="F8" s="135">
        <f>+Amiens!F8+Compiègne!F8+Eu!F8</f>
        <v>2326419.927544917</v>
      </c>
      <c r="G8" s="135">
        <v>2540486.7908999999</v>
      </c>
      <c r="H8" s="161">
        <f>+Amiens!G8+Compiègne!G8+Eu!G8</f>
        <v>2599732</v>
      </c>
      <c r="I8" s="149">
        <f>+IF((E8)=0,,(F8-E8)/E8)</f>
        <v>0.71418643245064817</v>
      </c>
      <c r="J8" s="271">
        <f>+IF((F8)=0,,(H8-F8)/F8)</f>
        <v>0.11748183086770181</v>
      </c>
      <c r="K8" s="18">
        <f>+Amiens!D8+Compiègne!D8+Eu!D8</f>
        <v>2695212</v>
      </c>
    </row>
    <row r="9" spans="1:11" s="2" customFormat="1" ht="11.25">
      <c r="A9" s="5" t="s">
        <v>422</v>
      </c>
      <c r="B9" s="160">
        <f>+Amiens!$G9</f>
        <v>0</v>
      </c>
      <c r="C9" s="113">
        <f>+Compiègne!$G9</f>
        <v>0</v>
      </c>
      <c r="D9" s="113">
        <f>+Eu!$G9</f>
        <v>0</v>
      </c>
      <c r="E9" s="160">
        <f>+Amiens!E9+Compiègne!E9+Eu!E9</f>
        <v>958278.47</v>
      </c>
      <c r="F9" s="135">
        <f>+Amiens!F9+Compiègne!F9+Eu!F9</f>
        <v>0</v>
      </c>
      <c r="G9" s="135">
        <v>0</v>
      </c>
      <c r="H9" s="161">
        <f>+Amiens!G9+Compiègne!G9+Eu!G9</f>
        <v>0</v>
      </c>
      <c r="I9" s="149">
        <f t="shared" ref="I9:I19" si="0">+IF((E9)=0,,(F9-E9)/E9)</f>
        <v>-1</v>
      </c>
      <c r="J9" s="271">
        <f t="shared" ref="J9:J19" si="1">+IF((F9)=0,,(H9-F9)/F9)</f>
        <v>0</v>
      </c>
      <c r="K9" s="18">
        <f>+Amiens!D9+Compiègne!D9+Eu!D9</f>
        <v>0</v>
      </c>
    </row>
    <row r="10" spans="1:11" s="2" customFormat="1" ht="11.25">
      <c r="A10" s="5" t="s">
        <v>84</v>
      </c>
      <c r="B10" s="160">
        <f>+Amiens!$G10</f>
        <v>0</v>
      </c>
      <c r="C10" s="113">
        <f>+Compiègne!$G10</f>
        <v>0</v>
      </c>
      <c r="D10" s="113">
        <f>+Eu!$G10</f>
        <v>0</v>
      </c>
      <c r="E10" s="160">
        <f>+Amiens!E10+Compiègne!E10+Eu!E10</f>
        <v>0</v>
      </c>
      <c r="F10" s="135">
        <f>+Amiens!F10+Compiègne!F10+Eu!F10</f>
        <v>0</v>
      </c>
      <c r="G10" s="317">
        <v>0</v>
      </c>
      <c r="H10" s="161">
        <f>+Amiens!G10+Compiègne!G10+Eu!G10</f>
        <v>0</v>
      </c>
      <c r="I10" s="149">
        <f t="shared" si="0"/>
        <v>0</v>
      </c>
      <c r="J10" s="271">
        <f t="shared" si="1"/>
        <v>0</v>
      </c>
      <c r="K10" s="18">
        <f>+Amiens!D10+Compiègne!D10+Eu!D10</f>
        <v>0</v>
      </c>
    </row>
    <row r="11" spans="1:11" s="2" customFormat="1" ht="11.25">
      <c r="A11" s="5" t="s">
        <v>267</v>
      </c>
      <c r="B11" s="160">
        <f>+Amiens!$G11</f>
        <v>292.93199999999996</v>
      </c>
      <c r="C11" s="113">
        <f>+Compiègne!$G11</f>
        <v>0</v>
      </c>
      <c r="D11" s="113">
        <f>+Eu!$G11</f>
        <v>0</v>
      </c>
      <c r="E11" s="160">
        <f>+Amiens!E11+Compiègne!E11+Eu!E11</f>
        <v>2513.0700000000002</v>
      </c>
      <c r="F11" s="135">
        <f>+Amiens!F11+Compiègne!F11+Eu!F11</f>
        <v>2367.08</v>
      </c>
      <c r="G11" s="317">
        <v>1971.7393000000002</v>
      </c>
      <c r="H11" s="161">
        <f>+Amiens!G11+Compiègne!G11+Eu!G11</f>
        <v>292.93199999999996</v>
      </c>
      <c r="I11" s="149">
        <f t="shared" si="0"/>
        <v>-5.8092293489636272E-2</v>
      </c>
      <c r="J11" s="271">
        <f t="shared" si="1"/>
        <v>-0.87624752860063881</v>
      </c>
      <c r="K11" s="18">
        <f>+Amiens!D11+Compiègne!D11+Eu!D11</f>
        <v>0</v>
      </c>
    </row>
    <row r="12" spans="1:11" s="2" customFormat="1" ht="11.25">
      <c r="A12" s="5" t="s">
        <v>46</v>
      </c>
      <c r="B12" s="160">
        <f>+Amiens!$G12</f>
        <v>0</v>
      </c>
      <c r="C12" s="113">
        <f>+Compiègne!$G12</f>
        <v>0</v>
      </c>
      <c r="D12" s="113">
        <f>+Eu!$G12</f>
        <v>0</v>
      </c>
      <c r="E12" s="160">
        <f>+Amiens!E12+Compiègne!E12+Eu!E12</f>
        <v>0</v>
      </c>
      <c r="F12" s="135">
        <f>+Amiens!F12+Compiègne!F12+Eu!F12</f>
        <v>0</v>
      </c>
      <c r="G12" s="317">
        <v>0</v>
      </c>
      <c r="H12" s="161">
        <f>+Amiens!G12+Compiègne!G12+Eu!G12</f>
        <v>0</v>
      </c>
      <c r="I12" s="149">
        <f t="shared" si="0"/>
        <v>0</v>
      </c>
      <c r="J12" s="271">
        <f t="shared" si="1"/>
        <v>0</v>
      </c>
      <c r="K12" s="18">
        <f>+Amiens!D12+Compiègne!D12+Eu!D12</f>
        <v>0</v>
      </c>
    </row>
    <row r="13" spans="1:11" s="2" customFormat="1" ht="11.25">
      <c r="A13" s="5" t="s">
        <v>268</v>
      </c>
      <c r="B13" s="160">
        <f>+Amiens!$G13</f>
        <v>0</v>
      </c>
      <c r="C13" s="113">
        <f>+Compiègne!$G13</f>
        <v>0</v>
      </c>
      <c r="D13" s="113">
        <f>+Eu!$G13</f>
        <v>0</v>
      </c>
      <c r="E13" s="160">
        <f>+Amiens!E13+Compiègne!E13+Eu!E13</f>
        <v>102059.30000000002</v>
      </c>
      <c r="F13" s="135">
        <f>+Amiens!F13+Compiègne!F13+Eu!F13</f>
        <v>55220.04</v>
      </c>
      <c r="G13" s="317">
        <v>70757.374400000001</v>
      </c>
      <c r="H13" s="161">
        <f>+Amiens!G13+Compiègne!G13+Eu!G13</f>
        <v>0</v>
      </c>
      <c r="I13" s="149">
        <f t="shared" si="0"/>
        <v>-0.4589416153158018</v>
      </c>
      <c r="J13" s="271">
        <f t="shared" si="1"/>
        <v>-1</v>
      </c>
      <c r="K13" s="18">
        <f>+Amiens!D13+Compiègne!D13+Eu!D13</f>
        <v>0</v>
      </c>
    </row>
    <row r="14" spans="1:11" s="2" customFormat="1" ht="11.25">
      <c r="A14" s="5" t="s">
        <v>269</v>
      </c>
      <c r="B14" s="160">
        <f>+Amiens!$G14</f>
        <v>0</v>
      </c>
      <c r="C14" s="113">
        <f>+Compiègne!$G14</f>
        <v>542.81000000000006</v>
      </c>
      <c r="D14" s="113">
        <f>+Eu!$G14</f>
        <v>0</v>
      </c>
      <c r="E14" s="160">
        <f>+Amiens!E14+Compiègne!E14+Eu!E14</f>
        <v>341.84</v>
      </c>
      <c r="F14" s="135">
        <f>+Amiens!F14+Compiègne!F14+Eu!F14</f>
        <v>537</v>
      </c>
      <c r="G14" s="317">
        <v>196.63730000000001</v>
      </c>
      <c r="H14" s="161">
        <f>+Amiens!G14+Compiègne!G14+Eu!G14</f>
        <v>542.81000000000006</v>
      </c>
      <c r="I14" s="149">
        <f t="shared" si="0"/>
        <v>0.5709103674233561</v>
      </c>
      <c r="J14" s="271">
        <f t="shared" si="1"/>
        <v>1.0819366852886515E-2</v>
      </c>
      <c r="K14" s="18">
        <f>+Amiens!D14+Compiègne!D14+Eu!D14</f>
        <v>0</v>
      </c>
    </row>
    <row r="15" spans="1:11" s="2" customFormat="1" ht="11.25">
      <c r="A15" s="5" t="s">
        <v>270</v>
      </c>
      <c r="B15" s="160">
        <f>+Amiens!$G15</f>
        <v>0</v>
      </c>
      <c r="C15" s="113">
        <f>+Compiègne!$G15</f>
        <v>0</v>
      </c>
      <c r="D15" s="113">
        <f>+Eu!$G15</f>
        <v>0</v>
      </c>
      <c r="E15" s="160">
        <f>+Amiens!E15+Compiègne!E15+Eu!E15</f>
        <v>4890</v>
      </c>
      <c r="F15" s="135">
        <f>+Amiens!F15+Compiègne!F15+Eu!F15</f>
        <v>3327</v>
      </c>
      <c r="G15" s="317">
        <v>3828.51</v>
      </c>
      <c r="H15" s="161">
        <f>+Amiens!G15+Compiègne!G15+Eu!G15</f>
        <v>0</v>
      </c>
      <c r="I15" s="149">
        <f t="shared" si="0"/>
        <v>-0.31963190184049078</v>
      </c>
      <c r="J15" s="271">
        <f t="shared" si="1"/>
        <v>-1</v>
      </c>
      <c r="K15" s="18">
        <f>+Amiens!D15+Compiègne!D15+Eu!D15</f>
        <v>0</v>
      </c>
    </row>
    <row r="16" spans="1:11" s="2" customFormat="1" ht="11.25">
      <c r="A16" s="5" t="s">
        <v>85</v>
      </c>
      <c r="B16" s="160">
        <f>+Amiens!$G16</f>
        <v>0</v>
      </c>
      <c r="C16" s="113">
        <f>+Compiègne!$G16</f>
        <v>0</v>
      </c>
      <c r="D16" s="113">
        <f>+Eu!$G16</f>
        <v>0</v>
      </c>
      <c r="E16" s="160">
        <f>+Amiens!E16+Compiègne!E16+Eu!E16</f>
        <v>292.64</v>
      </c>
      <c r="F16" s="135">
        <f>+Amiens!F16+Compiègne!F16+Eu!F16</f>
        <v>0</v>
      </c>
      <c r="G16" s="317">
        <v>301.41919999999999</v>
      </c>
      <c r="H16" s="161">
        <f>+Amiens!G16+Compiègne!G16+Eu!G16</f>
        <v>0</v>
      </c>
      <c r="I16" s="149">
        <f t="shared" si="0"/>
        <v>-1</v>
      </c>
      <c r="J16" s="271">
        <f t="shared" si="1"/>
        <v>0</v>
      </c>
      <c r="K16" s="18">
        <f>+Amiens!D16+Compiègne!D16+Eu!D16</f>
        <v>0</v>
      </c>
    </row>
    <row r="17" spans="1:12" s="2" customFormat="1" ht="11.25">
      <c r="A17" s="5" t="s">
        <v>88</v>
      </c>
      <c r="B17" s="160">
        <f>+Amiens!$G17</f>
        <v>0</v>
      </c>
      <c r="C17" s="113">
        <f>+Compiègne!$G17</f>
        <v>0</v>
      </c>
      <c r="D17" s="113">
        <f>+Eu!$G17</f>
        <v>0</v>
      </c>
      <c r="E17" s="160">
        <f>+Amiens!E17+Compiègne!E17+Eu!E17</f>
        <v>0</v>
      </c>
      <c r="F17" s="135">
        <f>+Amiens!F17+Compiègne!F17+Eu!F17</f>
        <v>0</v>
      </c>
      <c r="G17" s="317">
        <v>0</v>
      </c>
      <c r="H17" s="161">
        <f>+Amiens!G17+Compiègne!G17+Eu!G17</f>
        <v>0</v>
      </c>
      <c r="I17" s="149">
        <f t="shared" si="0"/>
        <v>0</v>
      </c>
      <c r="J17" s="271">
        <f t="shared" si="1"/>
        <v>0</v>
      </c>
      <c r="K17" s="18">
        <f>+Amiens!D17+Compiègne!D17+Eu!D17</f>
        <v>0</v>
      </c>
    </row>
    <row r="18" spans="1:12" s="2" customFormat="1" ht="11.25">
      <c r="A18" s="5" t="s">
        <v>89</v>
      </c>
      <c r="B18" s="160">
        <f>+Amiens!$G18</f>
        <v>0</v>
      </c>
      <c r="C18" s="113">
        <f>+Compiègne!$G18</f>
        <v>0</v>
      </c>
      <c r="D18" s="113">
        <f>+Eu!$G18</f>
        <v>0</v>
      </c>
      <c r="E18" s="160">
        <f>+Amiens!E18+Compiègne!E18+Eu!E18</f>
        <v>0</v>
      </c>
      <c r="F18" s="135">
        <f>+Amiens!F18+Compiègne!F18+Eu!F18</f>
        <v>0</v>
      </c>
      <c r="G18" s="317">
        <v>0</v>
      </c>
      <c r="H18" s="161">
        <f>+Amiens!G18+Compiègne!G18+Eu!G18</f>
        <v>0</v>
      </c>
      <c r="I18" s="149">
        <f t="shared" si="0"/>
        <v>0</v>
      </c>
      <c r="J18" s="271">
        <f t="shared" si="1"/>
        <v>0</v>
      </c>
      <c r="K18" s="18">
        <f>+Amiens!D18+Compiègne!D18+Eu!D18</f>
        <v>0</v>
      </c>
    </row>
    <row r="19" spans="1:12" s="2" customFormat="1" ht="11.25">
      <c r="A19" s="5" t="s">
        <v>90</v>
      </c>
      <c r="B19" s="160">
        <f>+Amiens!$G19</f>
        <v>0</v>
      </c>
      <c r="C19" s="113">
        <f>+Compiègne!$G19</f>
        <v>0</v>
      </c>
      <c r="D19" s="113">
        <f>+Eu!$G19</f>
        <v>0</v>
      </c>
      <c r="E19" s="160">
        <f>+Amiens!E19+Compiègne!E19+Eu!E19</f>
        <v>0</v>
      </c>
      <c r="F19" s="135">
        <f>+Amiens!F19+Compiègne!F19+Eu!F19</f>
        <v>0</v>
      </c>
      <c r="G19" s="317">
        <v>0</v>
      </c>
      <c r="H19" s="161">
        <f>+Amiens!G19+Compiègne!G19+Eu!G19</f>
        <v>0</v>
      </c>
      <c r="I19" s="149">
        <f t="shared" si="0"/>
        <v>0</v>
      </c>
      <c r="J19" s="271">
        <f t="shared" si="1"/>
        <v>0</v>
      </c>
      <c r="K19" s="18">
        <f>+Amiens!D19+Compiègne!D19+Eu!D19</f>
        <v>0</v>
      </c>
    </row>
    <row r="20" spans="1:12" s="2" customFormat="1" ht="11.25">
      <c r="A20" s="5"/>
      <c r="B20" s="160"/>
      <c r="C20" s="113"/>
      <c r="D20" s="113"/>
      <c r="E20" s="160"/>
      <c r="F20" s="113"/>
      <c r="G20" s="113"/>
      <c r="H20" s="162"/>
      <c r="I20" s="149"/>
      <c r="J20" s="254"/>
      <c r="K20" s="18"/>
    </row>
    <row r="21" spans="1:12" s="57" customFormat="1" ht="15" customHeight="1">
      <c r="A21" s="13" t="s">
        <v>222</v>
      </c>
      <c r="B21" s="163">
        <f t="shared" ref="B21:H21" si="2">SUM(B7:B20)</f>
        <v>517143.93199999997</v>
      </c>
      <c r="C21" s="204">
        <f t="shared" si="2"/>
        <v>811352.81</v>
      </c>
      <c r="D21" s="204">
        <f t="shared" si="2"/>
        <v>1272071</v>
      </c>
      <c r="E21" s="163">
        <f>SUM(E7:E20)</f>
        <v>2425532.21</v>
      </c>
      <c r="F21" s="204">
        <f t="shared" si="2"/>
        <v>2387871.0475449171</v>
      </c>
      <c r="G21" s="204">
        <v>2617542.4710999997</v>
      </c>
      <c r="H21" s="168">
        <f t="shared" si="2"/>
        <v>2600567.7420000001</v>
      </c>
      <c r="I21" s="272">
        <f>+IF((E21)=0,,(F21-E21)/E21)</f>
        <v>-1.5526968596752988E-2</v>
      </c>
      <c r="J21" s="188">
        <f>+IF((F21)=0,,(H21-F21)/F21)</f>
        <v>8.9073777528215561E-2</v>
      </c>
      <c r="K21" s="305">
        <f>SUM(K7:K20)</f>
        <v>2695212</v>
      </c>
      <c r="L21" s="111"/>
    </row>
    <row r="22" spans="1:12" s="57" customFormat="1" ht="15" customHeight="1">
      <c r="A22" s="5"/>
      <c r="B22" s="160"/>
      <c r="C22" s="113"/>
      <c r="D22" s="113"/>
      <c r="E22" s="135"/>
      <c r="F22" s="113"/>
      <c r="G22" s="113"/>
      <c r="H22" s="162"/>
      <c r="I22" s="149"/>
      <c r="J22" s="271"/>
      <c r="K22" s="18"/>
      <c r="L22" s="111"/>
    </row>
    <row r="23" spans="1:12" s="2" customFormat="1" ht="11.25">
      <c r="A23" s="5" t="s">
        <v>92</v>
      </c>
      <c r="B23" s="160">
        <f>+Amiens!$G23</f>
        <v>0</v>
      </c>
      <c r="C23" s="113">
        <f>+Compiègne!$G23</f>
        <v>0</v>
      </c>
      <c r="D23" s="113">
        <f>+Eu!$G23</f>
        <v>0</v>
      </c>
      <c r="E23" s="160">
        <f>+Amiens!E23+Compiègne!E23+Eu!E23</f>
        <v>54.9</v>
      </c>
      <c r="F23" s="270"/>
      <c r="G23" s="270">
        <v>0</v>
      </c>
      <c r="H23" s="161">
        <f>+Amiens!G23+Compiègne!G23+Eu!G23</f>
        <v>0</v>
      </c>
      <c r="I23" s="149"/>
      <c r="J23" s="271"/>
      <c r="K23" s="18"/>
      <c r="L23" s="111"/>
    </row>
    <row r="24" spans="1:12" s="2" customFormat="1" ht="11.25">
      <c r="A24" s="5" t="s">
        <v>93</v>
      </c>
      <c r="B24" s="160">
        <f>+Amiens!$G24</f>
        <v>171795.21421040001</v>
      </c>
      <c r="C24" s="113">
        <f>+Compiègne!$G24</f>
        <v>342796.56222500006</v>
      </c>
      <c r="D24" s="113">
        <f>+Eu!$G24</f>
        <v>386518.77335000009</v>
      </c>
      <c r="E24" s="160">
        <f>+Amiens!E24+Compiègne!E24+Eu!E24</f>
        <v>761593.7</v>
      </c>
      <c r="F24" s="270"/>
      <c r="G24" s="270">
        <v>0</v>
      </c>
      <c r="H24" s="161">
        <f>+Amiens!G24+Compiègne!G24+Eu!G24</f>
        <v>901110.54978540016</v>
      </c>
      <c r="I24" s="149"/>
      <c r="J24" s="271"/>
      <c r="K24" s="18"/>
      <c r="L24" s="111"/>
    </row>
    <row r="25" spans="1:12" s="2" customFormat="1" ht="11.25">
      <c r="A25" s="5" t="s">
        <v>94</v>
      </c>
      <c r="B25" s="160">
        <f>+Amiens!$G25</f>
        <v>0</v>
      </c>
      <c r="C25" s="113">
        <f>+Compiègne!$G25</f>
        <v>0</v>
      </c>
      <c r="D25" s="113">
        <f>+Eu!$G25</f>
        <v>0</v>
      </c>
      <c r="E25" s="160">
        <f>+Amiens!E25+Compiègne!E25+Eu!E25</f>
        <v>117183.62</v>
      </c>
      <c r="F25" s="270"/>
      <c r="G25" s="270">
        <v>0</v>
      </c>
      <c r="H25" s="161">
        <f>+Amiens!G25+Compiègne!G25+Eu!G25</f>
        <v>0</v>
      </c>
      <c r="I25" s="149"/>
      <c r="J25" s="271"/>
      <c r="K25" s="18"/>
      <c r="L25" s="111"/>
    </row>
    <row r="26" spans="1:12" s="57" customFormat="1" ht="15" customHeight="1">
      <c r="A26" s="5" t="s">
        <v>288</v>
      </c>
      <c r="B26" s="160">
        <f>+Amiens!$G26</f>
        <v>0</v>
      </c>
      <c r="C26" s="113">
        <f>+Compiègne!$G26</f>
        <v>0</v>
      </c>
      <c r="D26" s="113">
        <f>+Eu!$G26</f>
        <v>0</v>
      </c>
      <c r="E26" s="160">
        <f>+Amiens!E26+Compiègne!E26+Eu!E26</f>
        <v>151869</v>
      </c>
      <c r="F26" s="270"/>
      <c r="G26" s="270">
        <v>0</v>
      </c>
      <c r="H26" s="161">
        <f>+Amiens!G26+Compiègne!G26+Eu!G26</f>
        <v>0</v>
      </c>
      <c r="I26" s="149"/>
      <c r="J26" s="271"/>
      <c r="K26" s="18"/>
      <c r="L26" s="111"/>
    </row>
    <row r="27" spans="1:12" s="57" customFormat="1" ht="15" customHeight="1">
      <c r="A27" s="5" t="s">
        <v>289</v>
      </c>
      <c r="B27" s="160">
        <f>+Amiens!$G27</f>
        <v>0</v>
      </c>
      <c r="C27" s="113">
        <f>+Compiègne!$G27</f>
        <v>0</v>
      </c>
      <c r="D27" s="113">
        <f>+Eu!$G27</f>
        <v>0</v>
      </c>
      <c r="E27" s="160">
        <f>+Amiens!E27+Compiègne!E27+Eu!E27</f>
        <v>-244934</v>
      </c>
      <c r="F27" s="270"/>
      <c r="G27" s="270">
        <v>0</v>
      </c>
      <c r="H27" s="161">
        <f>+Amiens!G27+Compiègne!G27+Eu!G27</f>
        <v>0</v>
      </c>
      <c r="I27" s="149"/>
      <c r="J27" s="271"/>
      <c r="K27" s="18"/>
      <c r="L27" s="111"/>
    </row>
    <row r="28" spans="1:12" s="2" customFormat="1" ht="11.25">
      <c r="A28" s="5" t="s">
        <v>95</v>
      </c>
      <c r="B28" s="160">
        <f>+Amiens!$G28</f>
        <v>140559.72071759999</v>
      </c>
      <c r="C28" s="113">
        <f>+Compiègne!$G28</f>
        <v>184582.76427500002</v>
      </c>
      <c r="D28" s="113">
        <f>+Eu!$G28</f>
        <v>268597.79165000003</v>
      </c>
      <c r="E28" s="160">
        <f>+Amiens!E28+Compiègne!E28+Eu!E28</f>
        <v>598741.80000000005</v>
      </c>
      <c r="F28" s="270"/>
      <c r="G28" s="270">
        <v>0</v>
      </c>
      <c r="H28" s="161">
        <f>+Amiens!G28+Compiègne!G28+Eu!G28</f>
        <v>593740.27664260007</v>
      </c>
      <c r="I28" s="149"/>
      <c r="J28" s="271"/>
      <c r="K28" s="18"/>
      <c r="L28" s="111"/>
    </row>
    <row r="29" spans="1:12" s="2" customFormat="1" ht="11.25">
      <c r="A29" s="5" t="s">
        <v>293</v>
      </c>
      <c r="B29" s="160">
        <f>+Amiens!$G29</f>
        <v>0</v>
      </c>
      <c r="C29" s="113">
        <f>+Compiègne!$G29</f>
        <v>0</v>
      </c>
      <c r="D29" s="113">
        <f>+Eu!$G29</f>
        <v>0</v>
      </c>
      <c r="E29" s="160">
        <f>+Amiens!E29+Compiègne!E29+Eu!E29</f>
        <v>0</v>
      </c>
      <c r="F29" s="270"/>
      <c r="G29" s="270">
        <v>0</v>
      </c>
      <c r="H29" s="161">
        <f>+Amiens!G29+Compiègne!G29+Eu!G29</f>
        <v>0</v>
      </c>
      <c r="I29" s="149"/>
      <c r="J29" s="271"/>
      <c r="K29" s="18"/>
      <c r="L29" s="111"/>
    </row>
    <row r="30" spans="1:12" s="2" customFormat="1" ht="11.25">
      <c r="A30" s="42" t="s">
        <v>292</v>
      </c>
      <c r="B30" s="164">
        <f t="shared" ref="B30:H30" si="3">SUM(B23:B29)</f>
        <v>312354.93492799997</v>
      </c>
      <c r="C30" s="220">
        <f t="shared" si="3"/>
        <v>527379.32650000008</v>
      </c>
      <c r="D30" s="220">
        <f t="shared" si="3"/>
        <v>655116.56500000018</v>
      </c>
      <c r="E30" s="164">
        <f t="shared" si="3"/>
        <v>1384509.02</v>
      </c>
      <c r="F30" s="220"/>
      <c r="G30" s="220">
        <v>0</v>
      </c>
      <c r="H30" s="165">
        <f t="shared" si="3"/>
        <v>1494850.8264280003</v>
      </c>
      <c r="I30" s="273"/>
      <c r="J30" s="342"/>
      <c r="K30" s="306"/>
      <c r="L30" s="111"/>
    </row>
    <row r="31" spans="1:12" s="2" customFormat="1" ht="15" customHeight="1">
      <c r="A31" s="5"/>
      <c r="B31" s="160"/>
      <c r="C31" s="113"/>
      <c r="D31" s="113"/>
      <c r="E31" s="160"/>
      <c r="F31" s="113"/>
      <c r="G31" s="113"/>
      <c r="H31" s="162"/>
      <c r="I31" s="149"/>
      <c r="J31" s="254"/>
      <c r="K31" s="18"/>
      <c r="L31" s="111"/>
    </row>
    <row r="32" spans="1:12" s="2" customFormat="1" ht="15" customHeight="1">
      <c r="A32" s="56" t="s">
        <v>336</v>
      </c>
      <c r="B32" s="166">
        <f>+B21-B30-B38</f>
        <v>204788.997072</v>
      </c>
      <c r="C32" s="221">
        <f>+C21-C30-C38</f>
        <v>283973.48349999997</v>
      </c>
      <c r="D32" s="221">
        <f>+D21-D30-D38</f>
        <v>616954.43499999982</v>
      </c>
      <c r="E32" s="166">
        <f>+E21-E30-E38</f>
        <v>1018752.3413</v>
      </c>
      <c r="F32" s="221"/>
      <c r="G32" s="221"/>
      <c r="H32" s="167"/>
      <c r="I32" s="273"/>
      <c r="J32" s="274"/>
      <c r="K32" s="307"/>
      <c r="L32" s="111"/>
    </row>
    <row r="33" spans="1:12" s="2" customFormat="1" ht="11.25">
      <c r="A33" s="56" t="s">
        <v>337</v>
      </c>
      <c r="B33" s="196">
        <f>+B32/B21</f>
        <v>0.39600000000000002</v>
      </c>
      <c r="C33" s="222">
        <f>+C32/C21</f>
        <v>0.34999999999999992</v>
      </c>
      <c r="D33" s="222">
        <f>+D32/D21</f>
        <v>0.48499999999999988</v>
      </c>
      <c r="E33" s="196">
        <f>+E32/E21</f>
        <v>0.4200118790836424</v>
      </c>
      <c r="F33" s="222"/>
      <c r="G33" s="222"/>
      <c r="H33" s="189"/>
      <c r="I33" s="273"/>
      <c r="J33" s="274"/>
      <c r="K33" s="308"/>
      <c r="L33" s="111"/>
    </row>
    <row r="34" spans="1:12" s="2" customFormat="1" ht="11.25">
      <c r="A34" s="5"/>
      <c r="B34" s="160"/>
      <c r="C34" s="113"/>
      <c r="D34" s="113"/>
      <c r="E34" s="160"/>
      <c r="F34" s="113"/>
      <c r="G34" s="113"/>
      <c r="H34" s="162"/>
      <c r="I34" s="149"/>
      <c r="J34" s="271"/>
      <c r="K34" s="18"/>
      <c r="L34" s="111"/>
    </row>
    <row r="35" spans="1:12" s="33" customFormat="1" ht="15" customHeight="1">
      <c r="A35" s="5" t="s">
        <v>96</v>
      </c>
      <c r="B35" s="160">
        <f>+Amiens!$G35</f>
        <v>6958.4452431795826</v>
      </c>
      <c r="C35" s="113">
        <f>+Compiègne!$G35</f>
        <v>7235.7118462177868</v>
      </c>
      <c r="D35" s="113">
        <f>+Eu!$G35</f>
        <v>3079.3433767610368</v>
      </c>
      <c r="E35" s="160">
        <f>+Amiens!E35+Compiègne!E35+Eu!E35</f>
        <v>14875.16</v>
      </c>
      <c r="F35" s="270"/>
      <c r="G35" s="270">
        <v>0</v>
      </c>
      <c r="H35" s="161">
        <f>+Amiens!G35+Compiègne!G35+Eu!G35</f>
        <v>17273.500466158406</v>
      </c>
      <c r="I35" s="149"/>
      <c r="J35" s="271"/>
      <c r="K35" s="18"/>
      <c r="L35" s="111"/>
    </row>
    <row r="36" spans="1:12" s="2" customFormat="1" ht="11.25">
      <c r="A36" s="5" t="s">
        <v>97</v>
      </c>
      <c r="B36" s="160">
        <f>+Amiens!$G36</f>
        <v>2506.4824495495664</v>
      </c>
      <c r="C36" s="113">
        <f>+Compiègne!$G36</f>
        <v>1735.1266287794824</v>
      </c>
      <c r="D36" s="113">
        <f>+Eu!$G36</f>
        <v>646.93726532858966</v>
      </c>
      <c r="E36" s="160">
        <f>+Amiens!E36+Compiègne!E36+Eu!E36</f>
        <v>4090.2200000000003</v>
      </c>
      <c r="F36" s="270"/>
      <c r="G36" s="270">
        <v>0</v>
      </c>
      <c r="H36" s="161">
        <f>+Amiens!G36+Compiègne!G36+Eu!G36</f>
        <v>4888.5463436576392</v>
      </c>
      <c r="I36" s="149"/>
      <c r="J36" s="271"/>
      <c r="K36" s="18"/>
      <c r="L36" s="111"/>
    </row>
    <row r="37" spans="1:12" s="33" customFormat="1" ht="15.75" customHeight="1">
      <c r="A37" s="5" t="s">
        <v>98</v>
      </c>
      <c r="B37" s="160">
        <f>+Amiens!$G37</f>
        <v>0</v>
      </c>
      <c r="C37" s="113">
        <f>+Compiègne!$G37</f>
        <v>0</v>
      </c>
      <c r="D37" s="113">
        <f>+Eu!$G37</f>
        <v>0</v>
      </c>
      <c r="E37" s="160">
        <f>+Amiens!E37+Compiègne!E37+Eu!E37</f>
        <v>0</v>
      </c>
      <c r="F37" s="270"/>
      <c r="G37" s="270">
        <v>0</v>
      </c>
      <c r="H37" s="161">
        <f>+Amiens!G37+Compiègne!G37+Eu!G37</f>
        <v>0</v>
      </c>
      <c r="I37" s="149"/>
      <c r="J37" s="271"/>
      <c r="K37" s="18"/>
      <c r="L37" s="111"/>
    </row>
    <row r="38" spans="1:12" s="2" customFormat="1" ht="11.25">
      <c r="A38" s="5" t="s">
        <v>99</v>
      </c>
      <c r="B38" s="160">
        <f>+Amiens!$G38</f>
        <v>0</v>
      </c>
      <c r="C38" s="113">
        <f>+Compiègne!$G38</f>
        <v>0</v>
      </c>
      <c r="D38" s="113">
        <f>+Eu!$G38</f>
        <v>0</v>
      </c>
      <c r="E38" s="160">
        <f>+Amiens!E38+Compiègne!E38+Eu!E38</f>
        <v>22270.848700000017</v>
      </c>
      <c r="F38" s="270"/>
      <c r="G38" s="270">
        <v>0</v>
      </c>
      <c r="H38" s="161">
        <f>+Amiens!G38+Compiègne!G38+Eu!G38</f>
        <v>0</v>
      </c>
      <c r="I38" s="149"/>
      <c r="J38" s="271"/>
      <c r="K38" s="18"/>
      <c r="L38" s="111"/>
    </row>
    <row r="39" spans="1:12" s="2" customFormat="1" ht="11.25">
      <c r="A39" s="5" t="s">
        <v>177</v>
      </c>
      <c r="B39" s="160">
        <f>+Amiens!$G39</f>
        <v>0</v>
      </c>
      <c r="C39" s="113">
        <f>+Compiègne!$G39</f>
        <v>0</v>
      </c>
      <c r="D39" s="113">
        <f>+Eu!$G39</f>
        <v>0</v>
      </c>
      <c r="E39" s="160">
        <f>+Amiens!E39+Compiègne!E39+Eu!E39</f>
        <v>20292.04</v>
      </c>
      <c r="F39" s="270"/>
      <c r="G39" s="270">
        <v>0</v>
      </c>
      <c r="H39" s="161">
        <f>+Amiens!G39+Compiègne!G39+Eu!G39</f>
        <v>0</v>
      </c>
      <c r="I39" s="149"/>
      <c r="J39" s="271"/>
      <c r="K39" s="18"/>
      <c r="L39" s="111"/>
    </row>
    <row r="40" spans="1:12" s="2" customFormat="1" ht="11.25">
      <c r="A40" s="5" t="s">
        <v>176</v>
      </c>
      <c r="B40" s="160">
        <f>+Amiens!$G40</f>
        <v>0</v>
      </c>
      <c r="C40" s="113">
        <f>+Compiègne!$G40</f>
        <v>0</v>
      </c>
      <c r="D40" s="113">
        <f>+Eu!$G40</f>
        <v>0</v>
      </c>
      <c r="E40" s="160">
        <f>+Amiens!E40+Compiègne!E40+Eu!E40</f>
        <v>-24704.57</v>
      </c>
      <c r="F40" s="270"/>
      <c r="G40" s="270">
        <v>0</v>
      </c>
      <c r="H40" s="161">
        <f>+Amiens!G40+Compiègne!G40+Eu!G40</f>
        <v>0</v>
      </c>
      <c r="I40" s="149"/>
      <c r="J40" s="271"/>
      <c r="K40" s="18"/>
      <c r="L40" s="111"/>
    </row>
    <row r="41" spans="1:12" s="2" customFormat="1" ht="11.25">
      <c r="A41" s="5" t="s">
        <v>317</v>
      </c>
      <c r="B41" s="160">
        <f>+Amiens!$G41</f>
        <v>-3435.9042842080003</v>
      </c>
      <c r="C41" s="113">
        <f>+Compiègne!$G41</f>
        <v>-6855.9312445000014</v>
      </c>
      <c r="D41" s="113">
        <f>+Eu!$G41</f>
        <v>-7730.3754670000017</v>
      </c>
      <c r="E41" s="160">
        <f>+Amiens!E41+Compiègne!E41+Eu!E41</f>
        <v>-18923.830000000002</v>
      </c>
      <c r="F41" s="270"/>
      <c r="G41" s="270">
        <v>0</v>
      </c>
      <c r="H41" s="161">
        <f>+Amiens!G41+Compiègne!G41+Eu!G41</f>
        <v>-18022.210995708003</v>
      </c>
      <c r="I41" s="149"/>
      <c r="J41" s="271"/>
      <c r="K41" s="18"/>
      <c r="L41" s="111"/>
    </row>
    <row r="42" spans="1:12" s="2" customFormat="1" ht="11.25">
      <c r="A42" s="5" t="s">
        <v>318</v>
      </c>
      <c r="B42" s="160">
        <f>+Amiens!$G42</f>
        <v>-9839.180450232001</v>
      </c>
      <c r="C42" s="113">
        <f>+Compiègne!$G42</f>
        <v>-12920.793499250003</v>
      </c>
      <c r="D42" s="113">
        <f>+Eu!$G42</f>
        <v>-18801.845415500004</v>
      </c>
      <c r="E42" s="160">
        <f>+Amiens!E42+Compiègne!E42+Eu!E42</f>
        <v>-41674.22</v>
      </c>
      <c r="F42" s="270"/>
      <c r="G42" s="270">
        <v>0</v>
      </c>
      <c r="H42" s="161">
        <f>+Amiens!G42+Compiègne!G42+Eu!G42</f>
        <v>-41561.819364982002</v>
      </c>
      <c r="I42" s="149"/>
      <c r="J42" s="271"/>
      <c r="K42" s="18"/>
      <c r="L42" s="111"/>
    </row>
    <row r="43" spans="1:12" s="2" customFormat="1" ht="11.25">
      <c r="A43" s="5"/>
      <c r="B43" s="160"/>
      <c r="C43" s="113"/>
      <c r="D43" s="113"/>
      <c r="E43" s="160"/>
      <c r="F43" s="113"/>
      <c r="G43" s="113"/>
      <c r="H43" s="162"/>
      <c r="I43" s="149"/>
      <c r="J43" s="254"/>
      <c r="K43" s="18"/>
      <c r="L43" s="111"/>
    </row>
    <row r="44" spans="1:12" s="2" customFormat="1" ht="11.25">
      <c r="A44" s="13" t="s">
        <v>291</v>
      </c>
      <c r="B44" s="163">
        <f t="shared" ref="B44:H44" si="4">+B30+SUM(B34:B43)</f>
        <v>308544.77788628911</v>
      </c>
      <c r="C44" s="204">
        <f t="shared" si="4"/>
        <v>516573.44023124734</v>
      </c>
      <c r="D44" s="204">
        <f t="shared" si="4"/>
        <v>632310.62475958979</v>
      </c>
      <c r="E44" s="163">
        <f t="shared" si="4"/>
        <v>1360734.6687</v>
      </c>
      <c r="F44" s="204"/>
      <c r="G44" s="204">
        <v>0</v>
      </c>
      <c r="H44" s="168">
        <f t="shared" si="4"/>
        <v>1457428.8428771263</v>
      </c>
      <c r="I44" s="272"/>
      <c r="J44" s="188"/>
      <c r="K44" s="305"/>
      <c r="L44" s="111"/>
    </row>
    <row r="45" spans="1:12" s="2" customFormat="1" ht="11.25">
      <c r="A45" s="5"/>
      <c r="B45" s="160"/>
      <c r="C45" s="113"/>
      <c r="D45" s="113"/>
      <c r="E45" s="160"/>
      <c r="F45" s="113"/>
      <c r="G45" s="113"/>
      <c r="H45" s="162"/>
      <c r="I45" s="149"/>
      <c r="J45" s="254"/>
      <c r="K45" s="18"/>
      <c r="L45" s="111"/>
    </row>
    <row r="46" spans="1:12" s="2" customFormat="1" ht="11.25">
      <c r="A46" s="56" t="s">
        <v>339</v>
      </c>
      <c r="B46" s="166">
        <f>+B21-B44</f>
        <v>208599.15411371086</v>
      </c>
      <c r="C46" s="221">
        <f>+C21-C44</f>
        <v>294779.36976875272</v>
      </c>
      <c r="D46" s="221">
        <f>+D21-D44</f>
        <v>639760.37524041021</v>
      </c>
      <c r="E46" s="166">
        <f>+E21-E44</f>
        <v>1064797.5412999999</v>
      </c>
      <c r="F46" s="166">
        <f>+F21-F44</f>
        <v>2387871.0475449171</v>
      </c>
      <c r="G46" s="221">
        <v>2617542.4710999997</v>
      </c>
      <c r="H46" s="167">
        <f>+H21-H44</f>
        <v>1143138.8991228738</v>
      </c>
      <c r="I46" s="273"/>
      <c r="J46" s="274"/>
      <c r="K46" s="307"/>
      <c r="L46" s="111"/>
    </row>
    <row r="47" spans="1:12" s="2" customFormat="1" ht="11.25">
      <c r="A47" s="56" t="s">
        <v>340</v>
      </c>
      <c r="B47" s="196">
        <f>+B46/B21</f>
        <v>0.40336769167333258</v>
      </c>
      <c r="C47" s="222">
        <f>+C46/C21</f>
        <v>0.36331835686715958</v>
      </c>
      <c r="D47" s="222">
        <f>+D46/D21</f>
        <v>0.50292819759306695</v>
      </c>
      <c r="E47" s="196">
        <f>+E46/E21</f>
        <v>0.43899542414239878</v>
      </c>
      <c r="F47" s="196">
        <f>+F46/F21</f>
        <v>1</v>
      </c>
      <c r="G47" s="222">
        <v>1</v>
      </c>
      <c r="H47" s="189">
        <f>+H46/H21</f>
        <v>0.43957282121931118</v>
      </c>
      <c r="I47" s="273"/>
      <c r="J47" s="274"/>
      <c r="K47" s="308"/>
      <c r="L47" s="111"/>
    </row>
    <row r="48" spans="1:12" s="2" customFormat="1" ht="15" customHeight="1">
      <c r="A48" s="5"/>
      <c r="B48" s="160"/>
      <c r="C48" s="113"/>
      <c r="D48" s="113"/>
      <c r="E48" s="160"/>
      <c r="F48" s="113"/>
      <c r="G48" s="113"/>
      <c r="H48" s="162"/>
      <c r="I48" s="149"/>
      <c r="J48" s="271"/>
      <c r="K48" s="18"/>
      <c r="L48" s="111"/>
    </row>
    <row r="49" spans="1:12" s="2" customFormat="1" ht="11.25">
      <c r="A49" s="5" t="s">
        <v>91</v>
      </c>
      <c r="B49" s="160">
        <f>+Amiens!$G49</f>
        <v>13158</v>
      </c>
      <c r="C49" s="113">
        <f>+Compiègne!$G49</f>
        <v>10670</v>
      </c>
      <c r="D49" s="113">
        <f>+Eu!$G49</f>
        <v>2706</v>
      </c>
      <c r="E49" s="160">
        <f>+Amiens!E49+Compiègne!E49+Eu!E49</f>
        <v>10755.8</v>
      </c>
      <c r="F49" s="135">
        <f>+K49/12*Clients!$I$13</f>
        <v>22706.25</v>
      </c>
      <c r="G49" s="135">
        <v>41092.0766</v>
      </c>
      <c r="H49" s="161">
        <f>+Amiens!G49+Compiègne!G49+Eu!G49</f>
        <v>26534</v>
      </c>
      <c r="I49" s="149">
        <f>+IF((E49)=0,,(F49-E49)/E49)</f>
        <v>1.1110703062533704</v>
      </c>
      <c r="J49" s="271">
        <f>+IF((F49)=0,,(H49-F49)/F49)</f>
        <v>0.16857693366363888</v>
      </c>
      <c r="K49" s="18">
        <f>+Amiens!D49+Compiègne!D49+Eu!D49</f>
        <v>30275</v>
      </c>
      <c r="L49" s="111"/>
    </row>
    <row r="50" spans="1:12" s="2" customFormat="1" ht="15" customHeight="1">
      <c r="A50" s="5"/>
      <c r="B50" s="160"/>
      <c r="C50" s="113"/>
      <c r="D50" s="113"/>
      <c r="E50" s="160"/>
      <c r="F50" s="134"/>
      <c r="G50" s="134"/>
      <c r="H50" s="162"/>
      <c r="I50" s="149"/>
      <c r="J50" s="271"/>
      <c r="K50" s="18"/>
      <c r="L50" s="111"/>
    </row>
    <row r="51" spans="1:12" s="2" customFormat="1" ht="11.25">
      <c r="A51" s="13" t="s">
        <v>223</v>
      </c>
      <c r="B51" s="163">
        <f t="shared" ref="B51:H51" si="5">+B21-B49</f>
        <v>503985.93199999997</v>
      </c>
      <c r="C51" s="204">
        <f t="shared" si="5"/>
        <v>800682.81</v>
      </c>
      <c r="D51" s="204">
        <f t="shared" si="5"/>
        <v>1269365</v>
      </c>
      <c r="E51" s="163">
        <f>+E21-E49</f>
        <v>2414776.41</v>
      </c>
      <c r="F51" s="136">
        <f>+F21-F49</f>
        <v>2365164.7975449171</v>
      </c>
      <c r="G51" s="136">
        <v>2576450.3944999999</v>
      </c>
      <c r="H51" s="168">
        <f t="shared" si="5"/>
        <v>2574033.7420000001</v>
      </c>
      <c r="I51" s="272"/>
      <c r="J51" s="188"/>
      <c r="K51" s="305">
        <f>+K21-K49</f>
        <v>2664937</v>
      </c>
      <c r="L51" s="111"/>
    </row>
    <row r="52" spans="1:12" s="2" customFormat="1" ht="15" customHeight="1">
      <c r="A52" s="5"/>
      <c r="B52" s="160"/>
      <c r="C52" s="113"/>
      <c r="D52" s="113"/>
      <c r="E52" s="160"/>
      <c r="F52" s="134"/>
      <c r="G52" s="134"/>
      <c r="H52" s="162"/>
      <c r="I52" s="149"/>
      <c r="J52" s="254"/>
      <c r="K52" s="18"/>
      <c r="L52" s="111"/>
    </row>
    <row r="53" spans="1:12" s="2" customFormat="1" ht="11.25">
      <c r="A53" s="16" t="s">
        <v>3</v>
      </c>
      <c r="B53" s="169">
        <f>+B51-B44</f>
        <v>195441.15411371086</v>
      </c>
      <c r="C53" s="223">
        <f>+C51-C44</f>
        <v>284109.36976875272</v>
      </c>
      <c r="D53" s="223">
        <f>+D51-D44</f>
        <v>637054.37524041021</v>
      </c>
      <c r="E53" s="169">
        <f>+E51-E44</f>
        <v>1054041.7413000001</v>
      </c>
      <c r="F53" s="140"/>
      <c r="G53" s="140">
        <v>0</v>
      </c>
      <c r="H53" s="170"/>
      <c r="I53" s="224"/>
      <c r="J53" s="123"/>
      <c r="K53" s="309"/>
      <c r="L53" s="111"/>
    </row>
    <row r="54" spans="1:12" s="2" customFormat="1" ht="15" customHeight="1">
      <c r="A54" s="16" t="s">
        <v>4</v>
      </c>
      <c r="B54" s="197">
        <f>+B53/B51</f>
        <v>0.38779089197614919</v>
      </c>
      <c r="C54" s="224">
        <f>+C53/C51</f>
        <v>0.35483385707850118</v>
      </c>
      <c r="D54" s="224">
        <f>+D53/D51</f>
        <v>0.50186855257582352</v>
      </c>
      <c r="E54" s="197">
        <f>+E53/E51</f>
        <v>0.43649662011564871</v>
      </c>
      <c r="F54" s="141"/>
      <c r="G54" s="141">
        <v>0</v>
      </c>
      <c r="H54" s="191"/>
      <c r="I54" s="224"/>
      <c r="J54" s="123"/>
      <c r="K54" s="15"/>
      <c r="L54" s="111"/>
    </row>
    <row r="55" spans="1:12" s="2" customFormat="1" ht="11.25">
      <c r="A55" s="5"/>
      <c r="B55" s="160"/>
      <c r="C55" s="113"/>
      <c r="D55" s="113"/>
      <c r="E55" s="160"/>
      <c r="F55" s="134"/>
      <c r="G55" s="134"/>
      <c r="H55" s="162"/>
      <c r="I55" s="149"/>
      <c r="J55" s="271"/>
      <c r="K55" s="18"/>
      <c r="L55" s="111"/>
    </row>
    <row r="56" spans="1:12" s="2" customFormat="1" ht="11.25">
      <c r="A56" s="5" t="s">
        <v>290</v>
      </c>
      <c r="B56" s="160">
        <f>+Amiens!$G56</f>
        <v>0</v>
      </c>
      <c r="C56" s="113">
        <f>+Compiègne!$G56</f>
        <v>0</v>
      </c>
      <c r="D56" s="113">
        <f>+Eu!$G56</f>
        <v>0</v>
      </c>
      <c r="E56" s="160">
        <f>+Amiens!E56+Compiègne!E56+Eu!E56</f>
        <v>382792.29129999998</v>
      </c>
      <c r="F56" s="134"/>
      <c r="G56" s="134">
        <v>0</v>
      </c>
      <c r="H56" s="161">
        <f>+Amiens!G56+Compiègne!G56+Eu!G56</f>
        <v>0</v>
      </c>
      <c r="I56" s="149"/>
      <c r="J56" s="271"/>
      <c r="K56" s="18"/>
      <c r="L56" s="111"/>
    </row>
    <row r="57" spans="1:12" s="2" customFormat="1" ht="11.25">
      <c r="A57" s="5" t="s">
        <v>100</v>
      </c>
      <c r="B57" s="160">
        <f>+Amiens!$G57</f>
        <v>0</v>
      </c>
      <c r="C57" s="113">
        <f>+Compiègne!$G57</f>
        <v>0</v>
      </c>
      <c r="D57" s="113">
        <f>+Eu!$G57</f>
        <v>0</v>
      </c>
      <c r="E57" s="160">
        <f>+Amiens!E57+Compiègne!E57+Eu!E57</f>
        <v>360521.44259999995</v>
      </c>
      <c r="F57" s="134"/>
      <c r="G57" s="134">
        <v>0</v>
      </c>
      <c r="H57" s="161">
        <f>+Amiens!G57+Compiègne!G57+Eu!G57</f>
        <v>0</v>
      </c>
      <c r="I57" s="149"/>
      <c r="J57" s="271"/>
      <c r="K57" s="18"/>
      <c r="L57" s="111"/>
    </row>
    <row r="58" spans="1:12" s="2" customFormat="1" ht="12" thickBot="1">
      <c r="A58" s="21"/>
      <c r="B58" s="171"/>
      <c r="C58" s="205"/>
      <c r="D58" s="205"/>
      <c r="E58" s="171"/>
      <c r="F58" s="142"/>
      <c r="G58" s="142"/>
      <c r="H58" s="172"/>
      <c r="I58" s="236"/>
      <c r="J58" s="275"/>
      <c r="K58" s="310"/>
      <c r="L58" s="111"/>
    </row>
    <row r="59" spans="1:12" s="2" customFormat="1" ht="12" thickTop="1">
      <c r="A59" s="5"/>
      <c r="B59" s="160"/>
      <c r="C59" s="113"/>
      <c r="D59" s="113"/>
      <c r="E59" s="160"/>
      <c r="F59" s="134"/>
      <c r="G59" s="134"/>
      <c r="H59" s="162"/>
      <c r="I59" s="149"/>
      <c r="J59" s="254"/>
      <c r="K59" s="18"/>
      <c r="L59" s="111"/>
    </row>
    <row r="60" spans="1:12" s="2" customFormat="1" ht="15" customHeight="1">
      <c r="A60" s="16" t="s">
        <v>295</v>
      </c>
      <c r="B60" s="197">
        <f>+Amiens!$G60</f>
        <v>0.38779089197614919</v>
      </c>
      <c r="C60" s="224">
        <f>+Compiègne!$G60</f>
        <v>0.35483385707850118</v>
      </c>
      <c r="D60" s="224">
        <f>+Eu!$G60</f>
        <v>0.50186855257582363</v>
      </c>
      <c r="E60" s="197">
        <f>+E62/E51</f>
        <v>0.43649662011564866</v>
      </c>
      <c r="F60" s="224">
        <f>+F62/F51</f>
        <v>0.42282013735177759</v>
      </c>
      <c r="G60" s="224">
        <v>0.42487894536563331</v>
      </c>
      <c r="H60" s="191">
        <f>+H62/H51</f>
        <v>0.43379575057756714</v>
      </c>
      <c r="I60" s="224"/>
      <c r="J60" s="123"/>
      <c r="K60" s="15">
        <f>+K62/K51</f>
        <v>0.42824689664333526</v>
      </c>
      <c r="L60" s="111"/>
    </row>
    <row r="61" spans="1:12" s="2" customFormat="1" ht="11.25">
      <c r="A61" s="5" t="s">
        <v>75</v>
      </c>
      <c r="B61" s="92">
        <f>+Amiens!$G61</f>
        <v>0</v>
      </c>
      <c r="C61" s="149">
        <f>+Compiègne!$G61</f>
        <v>0</v>
      </c>
      <c r="D61" s="149">
        <f>+Eu!$G61</f>
        <v>0</v>
      </c>
      <c r="E61" s="160"/>
      <c r="F61" s="135"/>
      <c r="G61" s="135"/>
      <c r="H61" s="162"/>
      <c r="I61" s="149"/>
      <c r="J61" s="254"/>
      <c r="K61" s="18"/>
      <c r="L61" s="111"/>
    </row>
    <row r="62" spans="1:12" s="2" customFormat="1" ht="15" customHeight="1">
      <c r="A62" s="16" t="s">
        <v>296</v>
      </c>
      <c r="B62" s="169">
        <f>+B51*B60</f>
        <v>195441.15411371086</v>
      </c>
      <c r="C62" s="223">
        <f>+C51*C60</f>
        <v>284109.36976875272</v>
      </c>
      <c r="D62" s="223">
        <f>+D51*D60</f>
        <v>637054.37524041033</v>
      </c>
      <c r="E62" s="169">
        <f>+Amiens!E62+Compiègne!E62+Eu!E62</f>
        <v>1054041.7412999999</v>
      </c>
      <c r="F62" s="140">
        <f>+Amiens!F62+Compiègne!F62+Eu!F62</f>
        <v>1000039.3045575311</v>
      </c>
      <c r="G62" s="140">
        <v>1094679.5264020299</v>
      </c>
      <c r="H62" s="170">
        <f>+Amiens!G62+Compiègne!G62+Eu!G62</f>
        <v>1116604.8991228738</v>
      </c>
      <c r="I62" s="224">
        <f>+IF((E62)=0,,(F62-E62)/E62)</f>
        <v>-5.1233679489642373E-2</v>
      </c>
      <c r="J62" s="123">
        <f>+IF((F62)=0,,(H62-F62)/F62)</f>
        <v>0.11656101318629397</v>
      </c>
      <c r="K62" s="309">
        <f>+Amiens!D62+Compiègne!D62+Eu!D62</f>
        <v>1141251</v>
      </c>
      <c r="L62" s="111"/>
    </row>
    <row r="63" spans="1:12" s="2" customFormat="1" ht="11.25">
      <c r="A63" s="5"/>
      <c r="B63" s="160"/>
      <c r="C63" s="113"/>
      <c r="D63" s="113"/>
      <c r="E63" s="160"/>
      <c r="F63" s="134"/>
      <c r="G63" s="134"/>
      <c r="H63" s="162"/>
      <c r="I63" s="149"/>
      <c r="J63" s="271"/>
      <c r="K63" s="18"/>
      <c r="L63" s="111"/>
    </row>
    <row r="64" spans="1:12" s="2" customFormat="1" ht="11.25">
      <c r="A64" s="5" t="s">
        <v>104</v>
      </c>
      <c r="B64" s="160">
        <f>+Amiens!$G64</f>
        <v>0</v>
      </c>
      <c r="C64" s="113">
        <f>+Compiègne!$G64</f>
        <v>4971.3979999999992</v>
      </c>
      <c r="D64" s="113">
        <f>+Eu!$G64</f>
        <v>0</v>
      </c>
      <c r="E64" s="160">
        <f>+Amiens!E64+Compiègne!E64+Eu!E64</f>
        <v>5692.44</v>
      </c>
      <c r="F64" s="135">
        <f>+Amiens!F64+Compiègne!F64+Eu!F64</f>
        <v>4826.5999999999995</v>
      </c>
      <c r="G64" s="135">
        <v>7408.0731962843747</v>
      </c>
      <c r="H64" s="161">
        <f>+Amiens!G64+Compiègne!G64+Eu!G64</f>
        <v>4971.3979999999992</v>
      </c>
      <c r="I64" s="149">
        <f>+IF((E64)=0,,(F64-E64)/E64)</f>
        <v>-0.15210349164857254</v>
      </c>
      <c r="J64" s="271">
        <f>+IF((F64)=0,,(H64-F64)/F64)</f>
        <v>2.9999999999999957E-2</v>
      </c>
      <c r="K64" s="18">
        <f>+Amiens!D64+Compiègne!D64+Eu!D64</f>
        <v>7408.0731962843747</v>
      </c>
      <c r="L64" s="111"/>
    </row>
    <row r="65" spans="1:12" s="2" customFormat="1" ht="11.25">
      <c r="A65" s="5" t="s">
        <v>314</v>
      </c>
      <c r="B65" s="160">
        <f>+Amiens!$G65</f>
        <v>0</v>
      </c>
      <c r="C65" s="113">
        <f>+Compiègne!$G65</f>
        <v>0</v>
      </c>
      <c r="D65" s="113">
        <f>+Eu!$G65</f>
        <v>0</v>
      </c>
      <c r="E65" s="160">
        <f>+Amiens!E65+Compiègne!E65+Eu!E65</f>
        <v>0</v>
      </c>
      <c r="F65" s="135">
        <f>+Amiens!F65+Compiègne!F65+Eu!F65</f>
        <v>0</v>
      </c>
      <c r="G65" s="135">
        <v>0</v>
      </c>
      <c r="H65" s="161">
        <f>+Amiens!G65+Compiègne!G65+Eu!G65</f>
        <v>0</v>
      </c>
      <c r="I65" s="149">
        <f>+IF((E65)=0,,(F65-E65)/E65)</f>
        <v>0</v>
      </c>
      <c r="J65" s="271">
        <f>+IF((F65)=0,,(H65-F65)/F65)</f>
        <v>0</v>
      </c>
      <c r="K65" s="18">
        <f>+Amiens!D65+Compiègne!D65+Eu!D65</f>
        <v>0</v>
      </c>
      <c r="L65" s="111"/>
    </row>
    <row r="66" spans="1:12" s="2" customFormat="1" ht="15" customHeight="1">
      <c r="A66" s="5" t="s">
        <v>110</v>
      </c>
      <c r="B66" s="160">
        <f>+Amiens!$G66</f>
        <v>47.320199999999993</v>
      </c>
      <c r="C66" s="113">
        <f>+Compiègne!$G66</f>
        <v>646.92240000000004</v>
      </c>
      <c r="D66" s="113">
        <f>+Eu!$G66</f>
        <v>1056.6563999999998</v>
      </c>
      <c r="E66" s="160">
        <f>+Amiens!E66+Compiègne!E66+Eu!E66</f>
        <v>2365.19</v>
      </c>
      <c r="F66" s="135">
        <f>+Amiens!F66+Compiègne!F66+Eu!F66</f>
        <v>1699.6799999999998</v>
      </c>
      <c r="G66" s="135">
        <v>2517.0526037943337</v>
      </c>
      <c r="H66" s="161">
        <f>+Amiens!G66+Compiègne!G66+Eu!G66</f>
        <v>1750.8989999999999</v>
      </c>
      <c r="I66" s="149">
        <f>+IF((E66)=0,,(F66-E66)/E66)</f>
        <v>-0.28137697182890176</v>
      </c>
      <c r="J66" s="271">
        <f>+IF((F66)=0,,(H66-F66)/F66)</f>
        <v>3.0134495905111584E-2</v>
      </c>
      <c r="K66" s="18">
        <f>+Amiens!D66+Compiègne!D66+Eu!D66</f>
        <v>2517.0526037943337</v>
      </c>
      <c r="L66" s="111"/>
    </row>
    <row r="67" spans="1:12" s="2" customFormat="1" ht="11.25">
      <c r="A67" s="5" t="s">
        <v>107</v>
      </c>
      <c r="B67" s="160">
        <f>+Amiens!$G67</f>
        <v>0</v>
      </c>
      <c r="C67" s="113">
        <f>+Compiègne!$G67</f>
        <v>908.46</v>
      </c>
      <c r="D67" s="113">
        <f>+Eu!$G67</f>
        <v>565.15413333333345</v>
      </c>
      <c r="E67" s="160">
        <f>+Amiens!E67+Compiègne!E67+Eu!E67</f>
        <v>11605.5</v>
      </c>
      <c r="F67" s="135">
        <f>+Amiens!F67+Compiègne!F67+Eu!F67</f>
        <v>1430.6933333333334</v>
      </c>
      <c r="G67" s="135">
        <v>5424.9872030743754</v>
      </c>
      <c r="H67" s="161">
        <f>+Amiens!G67+Compiègne!G67+Eu!G67</f>
        <v>1473.6141333333335</v>
      </c>
      <c r="I67" s="149">
        <f>+IF((E67)=0,,(F67-E67)/E67)</f>
        <v>-0.87672281820401254</v>
      </c>
      <c r="J67" s="271">
        <f>+IF((F67)=0,,(H67-F67)/F67)</f>
        <v>3.0000000000000068E-2</v>
      </c>
      <c r="K67" s="18">
        <f>+Amiens!D67+Compiègne!D67+Eu!D67</f>
        <v>5424.9872030743754</v>
      </c>
      <c r="L67" s="111"/>
    </row>
    <row r="68" spans="1:12" s="2" customFormat="1" ht="18.75" customHeight="1">
      <c r="A68" s="5" t="s">
        <v>125</v>
      </c>
      <c r="B68" s="160">
        <f>+Amiens!$G68</f>
        <v>0</v>
      </c>
      <c r="C68" s="113">
        <f>+Compiègne!$G68</f>
        <v>2873.7412000000004</v>
      </c>
      <c r="D68" s="113">
        <f>+Eu!$G68</f>
        <v>1710.3493333333336</v>
      </c>
      <c r="E68" s="160">
        <f>+Amiens!E68+Compiègne!E68+Eu!E68</f>
        <v>3814.22</v>
      </c>
      <c r="F68" s="135">
        <f>+Amiens!F68+Compiègne!F68+Eu!F68</f>
        <v>4450.5733333333337</v>
      </c>
      <c r="G68" s="135">
        <v>5574.1365278203129</v>
      </c>
      <c r="H68" s="161">
        <f>+Amiens!G68+Compiègne!G68+Eu!G68</f>
        <v>4584.090533333334</v>
      </c>
      <c r="I68" s="149">
        <f>+IF((E68)=0,,(F68-E68)/E68)</f>
        <v>0.16683708158767296</v>
      </c>
      <c r="J68" s="271">
        <f>+IF((F68)=0,,(H68-F68)/F68)</f>
        <v>3.0000000000000047E-2</v>
      </c>
      <c r="K68" s="18">
        <f>+Amiens!D68+Compiègne!D68+Eu!D68</f>
        <v>5574.1365278203129</v>
      </c>
      <c r="L68" s="111"/>
    </row>
    <row r="69" spans="1:12" s="2" customFormat="1" ht="11.25">
      <c r="A69" s="5"/>
      <c r="B69" s="160"/>
      <c r="C69" s="113"/>
      <c r="D69" s="113"/>
      <c r="E69" s="160"/>
      <c r="F69" s="143"/>
      <c r="G69" s="143"/>
      <c r="H69" s="161"/>
      <c r="I69" s="149"/>
      <c r="J69" s="271"/>
      <c r="K69" s="18"/>
      <c r="L69" s="111"/>
    </row>
    <row r="70" spans="1:12" s="2" customFormat="1" ht="11.25">
      <c r="A70" s="11" t="s">
        <v>128</v>
      </c>
      <c r="B70" s="173">
        <f t="shared" ref="B70:H70" si="6">SUM(B64:B69)</f>
        <v>47.320199999999993</v>
      </c>
      <c r="C70" s="227">
        <f t="shared" si="6"/>
        <v>9400.5216</v>
      </c>
      <c r="D70" s="227">
        <f t="shared" si="6"/>
        <v>3332.1598666666669</v>
      </c>
      <c r="E70" s="276">
        <f>SUM(E64:E69)</f>
        <v>23477.35</v>
      </c>
      <c r="F70" s="144">
        <f>SUM(F64:F69)</f>
        <v>12407.546666666665</v>
      </c>
      <c r="G70" s="144">
        <v>20924.249530973397</v>
      </c>
      <c r="H70" s="277">
        <f t="shared" si="6"/>
        <v>12780.001666666665</v>
      </c>
      <c r="I70" s="278">
        <f>+IF((E70)=0,,(F70-E70)/E70)</f>
        <v>-0.47150991629520939</v>
      </c>
      <c r="J70" s="279">
        <f>+IF((F70)=0,,(H70-F70)/F70)</f>
        <v>3.0018424270820122E-2</v>
      </c>
      <c r="K70" s="311">
        <f>SUM(K64:K69)</f>
        <v>20924.249530973397</v>
      </c>
      <c r="L70" s="111"/>
    </row>
    <row r="71" spans="1:12" s="2" customFormat="1" ht="11.25">
      <c r="A71" s="5"/>
      <c r="B71" s="160"/>
      <c r="C71" s="113"/>
      <c r="D71" s="113"/>
      <c r="E71" s="160"/>
      <c r="F71" s="143"/>
      <c r="G71" s="143"/>
      <c r="H71" s="161"/>
      <c r="I71" s="149"/>
      <c r="J71" s="271"/>
      <c r="K71" s="18"/>
      <c r="L71" s="111"/>
    </row>
    <row r="72" spans="1:12" s="2" customFormat="1" ht="11.25">
      <c r="A72" s="5" t="s">
        <v>1</v>
      </c>
      <c r="B72" s="160">
        <f>+Amiens!$G72</f>
        <v>0</v>
      </c>
      <c r="C72" s="113">
        <f>+Compiègne!$G72</f>
        <v>11.137733333333333</v>
      </c>
      <c r="D72" s="113">
        <f>+Eu!$G72</f>
        <v>39.14</v>
      </c>
      <c r="E72" s="160">
        <f>+Amiens!E72+Compiègne!E72+Eu!E72</f>
        <v>377.37</v>
      </c>
      <c r="F72" s="135">
        <f>+Amiens!F72+Compiègne!F72+Eu!F72</f>
        <v>48.813333333333333</v>
      </c>
      <c r="G72" s="135">
        <v>420.39942572822918</v>
      </c>
      <c r="H72" s="161">
        <f>+Amiens!G72+Compiègne!G72+Eu!G72</f>
        <v>50.27773333333333</v>
      </c>
      <c r="I72" s="149">
        <f>+IF((E72)=0,,(F72-E72)/E72)</f>
        <v>-0.87064861188400422</v>
      </c>
      <c r="J72" s="271">
        <f>+IF((F72)=0,,(H72-F72)/F72)</f>
        <v>2.9999999999999954E-2</v>
      </c>
      <c r="K72" s="18">
        <f>+Amiens!D72+Compiègne!D72+Eu!D72</f>
        <v>420.39942572822918</v>
      </c>
      <c r="L72" s="111"/>
    </row>
    <row r="73" spans="1:12" s="2" customFormat="1" ht="11.25">
      <c r="A73" s="5" t="s">
        <v>123</v>
      </c>
      <c r="B73" s="160">
        <f>+Amiens!$G73</f>
        <v>9497.3690666666662</v>
      </c>
      <c r="C73" s="113">
        <f>+Compiègne!$G73</f>
        <v>5153.5432000000001</v>
      </c>
      <c r="D73" s="113">
        <f>+Eu!$G73</f>
        <v>6778.2789333333349</v>
      </c>
      <c r="E73" s="160">
        <f>+Amiens!E73+Compiègne!E73+Eu!E73</f>
        <v>13550.170000000002</v>
      </c>
      <c r="F73" s="135">
        <f>+Amiens!F73+Compiègne!F73+Eu!F73</f>
        <v>20805.04</v>
      </c>
      <c r="G73" s="135">
        <v>11963.787499617152</v>
      </c>
      <c r="H73" s="161">
        <f>+Amiens!G73+Compiègne!G73+Eu!G73</f>
        <v>21429.191200000001</v>
      </c>
      <c r="I73" s="149">
        <f t="shared" ref="I73:I101" si="7">+IF((E73)=0,,(F73-E73)/E73)</f>
        <v>0.53540804285112276</v>
      </c>
      <c r="J73" s="271">
        <f t="shared" ref="J73:J101" si="8">+IF((F73)=0,,(H73-F73)/F73)</f>
        <v>3.0000000000000009E-2</v>
      </c>
      <c r="K73" s="18">
        <f>+Amiens!D73+Compiègne!D73+Eu!D73</f>
        <v>11963.787499617152</v>
      </c>
      <c r="L73" s="111"/>
    </row>
    <row r="74" spans="1:12" s="2" customFormat="1" ht="11.25">
      <c r="A74" s="5" t="s">
        <v>124</v>
      </c>
      <c r="B74" s="160">
        <f>+Amiens!$G74</f>
        <v>0</v>
      </c>
      <c r="C74" s="113">
        <f>+Compiègne!$G74</f>
        <v>1595.0580000000002</v>
      </c>
      <c r="D74" s="113">
        <f>+Eu!$G74</f>
        <v>16641.874800000001</v>
      </c>
      <c r="E74" s="160">
        <f>+Amiens!E74+Compiègne!E74+Eu!E74</f>
        <v>20402.14</v>
      </c>
      <c r="F74" s="135">
        <f>+Amiens!F74+Compiègne!F74+Eu!F74</f>
        <v>17705.759999999998</v>
      </c>
      <c r="G74" s="135">
        <v>17696.024109387778</v>
      </c>
      <c r="H74" s="161">
        <f>+Amiens!G74+Compiègne!G74+Eu!G74</f>
        <v>18236.932800000002</v>
      </c>
      <c r="I74" s="149">
        <f t="shared" si="7"/>
        <v>-0.1321616261823515</v>
      </c>
      <c r="J74" s="271">
        <f t="shared" si="8"/>
        <v>3.0000000000000224E-2</v>
      </c>
      <c r="K74" s="18">
        <f>+Amiens!D74+Compiègne!D74+Eu!D74</f>
        <v>17696.024109387778</v>
      </c>
      <c r="L74" s="111"/>
    </row>
    <row r="75" spans="1:12" s="2" customFormat="1" ht="11.25">
      <c r="A75" s="5" t="s">
        <v>360</v>
      </c>
      <c r="B75" s="160">
        <f>+Amiens!$G75</f>
        <v>0</v>
      </c>
      <c r="C75" s="113">
        <f>+Compiègne!$G75</f>
        <v>0</v>
      </c>
      <c r="D75" s="113">
        <f>+Eu!$G75</f>
        <v>0</v>
      </c>
      <c r="E75" s="160">
        <f>+Amiens!E75+Compiègne!E75+Eu!E75</f>
        <v>0</v>
      </c>
      <c r="F75" s="135">
        <f>+Amiens!F75+Compiègne!F75+Eu!F75</f>
        <v>0</v>
      </c>
      <c r="G75" s="135">
        <v>0</v>
      </c>
      <c r="H75" s="161">
        <f>+Amiens!G75+Compiègne!G75+Eu!G75</f>
        <v>0</v>
      </c>
      <c r="I75" s="149">
        <f t="shared" si="7"/>
        <v>0</v>
      </c>
      <c r="J75" s="271">
        <f t="shared" si="8"/>
        <v>0</v>
      </c>
      <c r="K75" s="18">
        <f>+Amiens!D75+Compiègne!D75+Eu!D75</f>
        <v>0</v>
      </c>
      <c r="L75" s="111"/>
    </row>
    <row r="76" spans="1:12" s="2" customFormat="1" ht="11.25">
      <c r="A76" s="5" t="s">
        <v>126</v>
      </c>
      <c r="B76" s="160">
        <f>+Amiens!$G76</f>
        <v>14.145333333333335</v>
      </c>
      <c r="C76" s="113">
        <f>+Compiègne!$G76</f>
        <v>0</v>
      </c>
      <c r="D76" s="113">
        <f>+Eu!$G76</f>
        <v>0</v>
      </c>
      <c r="E76" s="160">
        <f>+Amiens!E76+Compiègne!E76+Eu!E76</f>
        <v>179.19</v>
      </c>
      <c r="F76" s="135">
        <f>+Amiens!F76+Compiègne!F76+Eu!F76</f>
        <v>13.733333333333334</v>
      </c>
      <c r="G76" s="135">
        <v>323.69614999048122</v>
      </c>
      <c r="H76" s="161">
        <f>+Amiens!G76+Compiègne!G76+Eu!G76</f>
        <v>14.145333333333335</v>
      </c>
      <c r="I76" s="149">
        <f t="shared" si="7"/>
        <v>-0.92335881838644263</v>
      </c>
      <c r="J76" s="271">
        <f t="shared" si="8"/>
        <v>3.0000000000000058E-2</v>
      </c>
      <c r="K76" s="18">
        <f>+Amiens!D76+Compiègne!D76+Eu!D76</f>
        <v>323.69614999048122</v>
      </c>
      <c r="L76" s="111"/>
    </row>
    <row r="77" spans="1:12" s="2" customFormat="1" ht="11.25">
      <c r="A77" s="5" t="s">
        <v>127</v>
      </c>
      <c r="B77" s="160">
        <f>+Amiens!$G77</f>
        <v>774.57373333333339</v>
      </c>
      <c r="C77" s="113">
        <f>+Compiègne!$G77</f>
        <v>2413.29</v>
      </c>
      <c r="D77" s="113">
        <f>+Eu!$G77</f>
        <v>1905.9257333333335</v>
      </c>
      <c r="E77" s="160">
        <f>+Amiens!E77+Compiègne!E77+Eu!E77</f>
        <v>9118.35</v>
      </c>
      <c r="F77" s="135">
        <f>+Amiens!F77+Compiègne!F77+Eu!F77</f>
        <v>4945.4266666666663</v>
      </c>
      <c r="G77" s="135">
        <v>7000.844581230258</v>
      </c>
      <c r="H77" s="161">
        <f>+Amiens!G77+Compiègne!G77+Eu!G77</f>
        <v>5093.7894666666671</v>
      </c>
      <c r="I77" s="149">
        <f t="shared" si="7"/>
        <v>-0.45764017978398874</v>
      </c>
      <c r="J77" s="271">
        <f t="shared" si="8"/>
        <v>3.0000000000000162E-2</v>
      </c>
      <c r="K77" s="18">
        <f>+Amiens!D77+Compiègne!D77+Eu!D77</f>
        <v>7000.844581230258</v>
      </c>
      <c r="L77" s="111"/>
    </row>
    <row r="78" spans="1:12" s="2" customFormat="1" ht="11.25">
      <c r="A78" s="5" t="s">
        <v>101</v>
      </c>
      <c r="B78" s="160">
        <f>+Amiens!$G78</f>
        <v>0</v>
      </c>
      <c r="C78" s="113">
        <f>+Compiègne!$G78</f>
        <v>1435.5453333333335</v>
      </c>
      <c r="D78" s="113">
        <f>+Eu!$G78</f>
        <v>130.46666666666667</v>
      </c>
      <c r="E78" s="160">
        <f>+Amiens!E78+Compiègne!E78+Eu!E78</f>
        <v>0</v>
      </c>
      <c r="F78" s="135">
        <f>+Amiens!F78+Compiègne!F78+Eu!F78</f>
        <v>1520.4</v>
      </c>
      <c r="G78" s="135">
        <v>778.90572053060191</v>
      </c>
      <c r="H78" s="161">
        <f>+Amiens!G78+Compiègne!G78+Eu!G78</f>
        <v>1566.0120000000002</v>
      </c>
      <c r="I78" s="149">
        <f t="shared" si="7"/>
        <v>0</v>
      </c>
      <c r="J78" s="271">
        <f t="shared" si="8"/>
        <v>3.0000000000000051E-2</v>
      </c>
      <c r="K78" s="18">
        <f>+Amiens!D78+Compiègne!D78+Eu!D78</f>
        <v>778.90572053060191</v>
      </c>
      <c r="L78" s="111"/>
    </row>
    <row r="79" spans="1:12" s="2" customFormat="1" ht="11.25">
      <c r="A79" s="5" t="s">
        <v>102</v>
      </c>
      <c r="B79" s="160">
        <f>+Amiens!$G79</f>
        <v>25591.186462630292</v>
      </c>
      <c r="C79" s="113">
        <f>+Compiègne!$G79</f>
        <v>18750</v>
      </c>
      <c r="D79" s="113">
        <f>+Eu!$G79</f>
        <v>42072</v>
      </c>
      <c r="E79" s="160">
        <f>+Amiens!E79+Compiègne!E79+Eu!E79</f>
        <v>77351.63</v>
      </c>
      <c r="F79" s="135">
        <f>+Amiens!F79+Compiègne!F79+Eu!F79</f>
        <v>81226.5</v>
      </c>
      <c r="G79" s="135">
        <v>80037.198939124995</v>
      </c>
      <c r="H79" s="161">
        <f>+Amiens!G79+Compiègne!G79+Eu!G79</f>
        <v>86413.186462630285</v>
      </c>
      <c r="I79" s="149">
        <f t="shared" si="7"/>
        <v>5.0094225551549403E-2</v>
      </c>
      <c r="J79" s="271">
        <f t="shared" si="8"/>
        <v>6.3854609796436937E-2</v>
      </c>
      <c r="K79" s="18">
        <f>+Amiens!D79+Compiègne!D79+Eu!D79</f>
        <v>82842.49271586306</v>
      </c>
      <c r="L79" s="111"/>
    </row>
    <row r="80" spans="1:12" s="2" customFormat="1" ht="11.25">
      <c r="A80" s="5" t="s">
        <v>325</v>
      </c>
      <c r="B80" s="160">
        <f>+Amiens!$G80</f>
        <v>0</v>
      </c>
      <c r="C80" s="113">
        <f>+Compiègne!$G80</f>
        <v>0</v>
      </c>
      <c r="D80" s="113">
        <f>+Eu!$G80</f>
        <v>0</v>
      </c>
      <c r="E80" s="160">
        <f>+Amiens!E80+Compiègne!E80+Eu!E80</f>
        <v>0</v>
      </c>
      <c r="F80" s="135">
        <f>+Amiens!F80+Compiègne!F80+Eu!F80</f>
        <v>0</v>
      </c>
      <c r="G80" s="135">
        <v>2.5961907289260417</v>
      </c>
      <c r="H80" s="161">
        <f>+Amiens!G80+Compiègne!G80+Eu!G80</f>
        <v>0</v>
      </c>
      <c r="I80" s="149">
        <f t="shared" si="7"/>
        <v>0</v>
      </c>
      <c r="J80" s="271">
        <f t="shared" si="8"/>
        <v>0</v>
      </c>
      <c r="K80" s="18">
        <f>+Amiens!D80+Compiègne!D80+Eu!D80</f>
        <v>2.5961907289260417</v>
      </c>
      <c r="L80" s="111"/>
    </row>
    <row r="81" spans="1:12" s="2" customFormat="1" ht="11.25">
      <c r="A81" s="5" t="s">
        <v>103</v>
      </c>
      <c r="B81" s="160">
        <f>+Amiens!$G81</f>
        <v>0</v>
      </c>
      <c r="C81" s="113">
        <f>+Compiègne!$G81</f>
        <v>0</v>
      </c>
      <c r="D81" s="113">
        <f>+Eu!$G81</f>
        <v>0</v>
      </c>
      <c r="E81" s="160">
        <f>+Amiens!E81+Compiègne!E81+Eu!E81</f>
        <v>0</v>
      </c>
      <c r="F81" s="135">
        <f>+Amiens!F81+Compiègne!F81+Eu!F81</f>
        <v>0</v>
      </c>
      <c r="G81" s="135">
        <v>0</v>
      </c>
      <c r="H81" s="161">
        <f>+Amiens!G81+Compiègne!G81+Eu!G81</f>
        <v>0</v>
      </c>
      <c r="I81" s="149">
        <f t="shared" si="7"/>
        <v>0</v>
      </c>
      <c r="J81" s="271">
        <f t="shared" si="8"/>
        <v>0</v>
      </c>
      <c r="K81" s="18">
        <f>+Amiens!D81+Compiègne!D81+Eu!D81</f>
        <v>0</v>
      </c>
      <c r="L81" s="111"/>
    </row>
    <row r="82" spans="1:12" s="2" customFormat="1" ht="11.25">
      <c r="A82" s="5" t="s">
        <v>105</v>
      </c>
      <c r="B82" s="160">
        <f>+Amiens!$G82</f>
        <v>185.4</v>
      </c>
      <c r="C82" s="113">
        <f>+Compiègne!$G82</f>
        <v>61.800000000000004</v>
      </c>
      <c r="D82" s="113">
        <f>+Eu!$G82</f>
        <v>185.4</v>
      </c>
      <c r="E82" s="160">
        <f>+Amiens!E82+Compiègne!E82+Eu!E82</f>
        <v>900</v>
      </c>
      <c r="F82" s="135">
        <f>+Amiens!F82+Compiègne!F82+Eu!F82</f>
        <v>420</v>
      </c>
      <c r="G82" s="135">
        <v>464.4616022813542</v>
      </c>
      <c r="H82" s="161">
        <f>+Amiens!G82+Compiègne!G82+Eu!G82</f>
        <v>432.6</v>
      </c>
      <c r="I82" s="149">
        <f t="shared" si="7"/>
        <v>-0.53333333333333333</v>
      </c>
      <c r="J82" s="271">
        <f t="shared" si="8"/>
        <v>3.0000000000000054E-2</v>
      </c>
      <c r="K82" s="18">
        <f>+Amiens!D82+Compiègne!D82+Eu!D82</f>
        <v>464.4616022813542</v>
      </c>
      <c r="L82" s="111"/>
    </row>
    <row r="83" spans="1:12" s="2" customFormat="1" ht="11.25">
      <c r="A83" s="5" t="s">
        <v>287</v>
      </c>
      <c r="B83" s="160">
        <f>+Amiens!$G83</f>
        <v>0</v>
      </c>
      <c r="C83" s="113">
        <f>+Compiègne!$G83</f>
        <v>209.63933333333335</v>
      </c>
      <c r="D83" s="113">
        <f>+Eu!$G83</f>
        <v>1190.1856</v>
      </c>
      <c r="E83" s="160">
        <f>+Amiens!E83+Compiègne!E83+Eu!E83</f>
        <v>1439.6799999999998</v>
      </c>
      <c r="F83" s="135">
        <f>+Amiens!F83+Compiègne!F83+Eu!F83</f>
        <v>1359.0533333333333</v>
      </c>
      <c r="G83" s="135">
        <v>1202.1809974658318</v>
      </c>
      <c r="H83" s="161">
        <f>+Amiens!G83+Compiègne!G83+Eu!G83</f>
        <v>1399.8249333333333</v>
      </c>
      <c r="I83" s="149">
        <f t="shared" si="7"/>
        <v>-5.6003185893161368E-2</v>
      </c>
      <c r="J83" s="271">
        <f t="shared" si="8"/>
        <v>3.0000000000000027E-2</v>
      </c>
      <c r="K83" s="18">
        <f>+Amiens!D83+Compiègne!D83+Eu!D83</f>
        <v>1202.1809974658318</v>
      </c>
      <c r="L83" s="111"/>
    </row>
    <row r="84" spans="1:12" s="2" customFormat="1" ht="11.25">
      <c r="A84" s="5" t="s">
        <v>108</v>
      </c>
      <c r="B84" s="160">
        <f>+Amiens!$G84</f>
        <v>3679.0226666666667</v>
      </c>
      <c r="C84" s="113">
        <f>+Compiègne!$G84</f>
        <v>8287.0229333333336</v>
      </c>
      <c r="D84" s="113">
        <f>+Eu!$G84</f>
        <v>1332.7513333333334</v>
      </c>
      <c r="E84" s="160">
        <f>+Amiens!E84+Compiègne!E84+Eu!E84</f>
        <v>5566.54</v>
      </c>
      <c r="F84" s="135">
        <f>+Amiens!F84+Compiègne!F84+Eu!F84</f>
        <v>12911.453333333335</v>
      </c>
      <c r="G84" s="135">
        <v>5600.6886746307928</v>
      </c>
      <c r="H84" s="161">
        <f>+Amiens!G84+Compiègne!G84+Eu!G84</f>
        <v>13298.796933333335</v>
      </c>
      <c r="I84" s="149">
        <f t="shared" si="7"/>
        <v>1.3194755329761998</v>
      </c>
      <c r="J84" s="271">
        <f t="shared" si="8"/>
        <v>3.0000000000000009E-2</v>
      </c>
      <c r="K84" s="18">
        <f>+Amiens!D84+Compiègne!D84+Eu!D84</f>
        <v>5600.6886746307928</v>
      </c>
      <c r="L84" s="111"/>
    </row>
    <row r="85" spans="1:12" s="2" customFormat="1" ht="11.25">
      <c r="A85" s="5" t="s">
        <v>109</v>
      </c>
      <c r="B85" s="160">
        <f>+Amiens!$G85</f>
        <v>1282.6933333333334</v>
      </c>
      <c r="C85" s="113">
        <f>+Compiègne!$G85</f>
        <v>0</v>
      </c>
      <c r="D85" s="113">
        <f>+Eu!$G85</f>
        <v>1965.24</v>
      </c>
      <c r="E85" s="160">
        <f>+Amiens!E85+Compiègne!E85+Eu!E85</f>
        <v>2889.58</v>
      </c>
      <c r="F85" s="135">
        <f>+Amiens!F85+Compiègne!F85+Eu!F85</f>
        <v>3153.333333333333</v>
      </c>
      <c r="G85" s="135">
        <v>4010.5473940513293</v>
      </c>
      <c r="H85" s="161">
        <f>+Amiens!G85+Compiègne!G85+Eu!G85</f>
        <v>3247.9333333333334</v>
      </c>
      <c r="I85" s="149">
        <f t="shared" si="7"/>
        <v>9.12773944079531E-2</v>
      </c>
      <c r="J85" s="271">
        <f t="shared" si="8"/>
        <v>3.0000000000000117E-2</v>
      </c>
      <c r="K85" s="18">
        <f>+Amiens!D85+Compiègne!D85+Eu!D85</f>
        <v>4010.5473940513293</v>
      </c>
      <c r="L85" s="111"/>
    </row>
    <row r="86" spans="1:12" s="2" customFormat="1" ht="11.25">
      <c r="A86" s="5" t="s">
        <v>106</v>
      </c>
      <c r="B86" s="160">
        <f>+Amiens!$G86</f>
        <v>662.09773333333328</v>
      </c>
      <c r="C86" s="113">
        <f>+Compiègne!$G86</f>
        <v>109.35853333333333</v>
      </c>
      <c r="D86" s="113">
        <f>+Eu!$G86</f>
        <v>5392.5306666666675</v>
      </c>
      <c r="E86" s="160">
        <f>+Amiens!E86+Compiègne!E86+Eu!E86</f>
        <v>4809.2700000000004</v>
      </c>
      <c r="F86" s="135">
        <f>+Amiens!F86+Compiègne!F86+Eu!F86</f>
        <v>5984.4533333333338</v>
      </c>
      <c r="G86" s="135">
        <v>5836.7462623344845</v>
      </c>
      <c r="H86" s="161">
        <f>+Amiens!G86+Compiègne!G86+Eu!G86</f>
        <v>6163.9869333333336</v>
      </c>
      <c r="I86" s="149">
        <f t="shared" si="7"/>
        <v>0.24435794483015785</v>
      </c>
      <c r="J86" s="271">
        <f t="shared" si="8"/>
        <v>2.9999999999999957E-2</v>
      </c>
      <c r="K86" s="18">
        <f>+Amiens!D86+Compiègne!D86+Eu!D86</f>
        <v>5836.7462623344845</v>
      </c>
      <c r="L86" s="111"/>
    </row>
    <row r="87" spans="1:12" s="2" customFormat="1" ht="11.25">
      <c r="A87" s="5" t="s">
        <v>363</v>
      </c>
      <c r="B87" s="160">
        <f>+Amiens!$G87</f>
        <v>0</v>
      </c>
      <c r="C87" s="113">
        <f>+Compiègne!$G87</f>
        <v>0</v>
      </c>
      <c r="D87" s="113">
        <f>+Eu!$G87</f>
        <v>0</v>
      </c>
      <c r="E87" s="160">
        <f>+Amiens!E87+Compiègne!E87+Eu!E87</f>
        <v>0</v>
      </c>
      <c r="F87" s="135">
        <f>+Amiens!F87+Compiègne!F87+Eu!F87</f>
        <v>0</v>
      </c>
      <c r="G87" s="135">
        <v>0</v>
      </c>
      <c r="H87" s="161">
        <f>+Amiens!G87+Compiègne!G87+Eu!G87</f>
        <v>0</v>
      </c>
      <c r="I87" s="149">
        <f t="shared" si="7"/>
        <v>0</v>
      </c>
      <c r="J87" s="271">
        <f t="shared" si="8"/>
        <v>0</v>
      </c>
      <c r="K87" s="18">
        <f>+Amiens!D87+Compiègne!D87+Eu!D87</f>
        <v>0</v>
      </c>
      <c r="L87" s="111"/>
    </row>
    <row r="88" spans="1:12" s="2" customFormat="1" ht="11.25">
      <c r="A88" s="5" t="s">
        <v>111</v>
      </c>
      <c r="B88" s="160">
        <f>+Amiens!$G88</f>
        <v>2693.7603000000004</v>
      </c>
      <c r="C88" s="113">
        <f>+Compiègne!$G88</f>
        <v>2792.9191500000002</v>
      </c>
      <c r="D88" s="113">
        <f>+Eu!$G88</f>
        <v>5028.524550000001</v>
      </c>
      <c r="E88" s="160">
        <f>+Amiens!E88+Compiègne!E88+Eu!E88</f>
        <v>9537.6</v>
      </c>
      <c r="F88" s="135">
        <f>+Amiens!F88+Compiègne!F88+Eu!F88</f>
        <v>10913.150000000001</v>
      </c>
      <c r="G88" s="135">
        <v>11996.685557995152</v>
      </c>
      <c r="H88" s="161">
        <f>+Amiens!G88+Compiègne!G88+Eu!G88</f>
        <v>10515.204000000002</v>
      </c>
      <c r="I88" s="149">
        <f t="shared" si="7"/>
        <v>0.14422391377285701</v>
      </c>
      <c r="J88" s="271">
        <f t="shared" si="8"/>
        <v>-3.6464815383276124E-2</v>
      </c>
      <c r="K88" s="18">
        <f>+Amiens!D88+Compiègne!D88+Eu!D88</f>
        <v>11336.290875000002</v>
      </c>
      <c r="L88" s="111"/>
    </row>
    <row r="89" spans="1:12" s="2" customFormat="1" ht="11.25">
      <c r="A89" s="5" t="s">
        <v>315</v>
      </c>
      <c r="B89" s="160">
        <f>+Amiens!$G89</f>
        <v>0</v>
      </c>
      <c r="C89" s="113">
        <f>+Compiègne!$G89</f>
        <v>0</v>
      </c>
      <c r="D89" s="113">
        <f>+Eu!$G89</f>
        <v>0</v>
      </c>
      <c r="E89" s="160">
        <f>+Amiens!E89+Compiègne!E89+Eu!E89</f>
        <v>0</v>
      </c>
      <c r="F89" s="135">
        <f>+Amiens!F89+Compiègne!F89+Eu!F89</f>
        <v>0</v>
      </c>
      <c r="G89" s="135">
        <v>0</v>
      </c>
      <c r="H89" s="161">
        <f>+Amiens!G89+Compiègne!G89+Eu!G89</f>
        <v>0</v>
      </c>
      <c r="I89" s="149">
        <f t="shared" si="7"/>
        <v>0</v>
      </c>
      <c r="J89" s="271">
        <f t="shared" si="8"/>
        <v>0</v>
      </c>
      <c r="K89" s="18">
        <f>+Amiens!D89+Compiègne!D89+Eu!D89</f>
        <v>0</v>
      </c>
      <c r="L89" s="111"/>
    </row>
    <row r="90" spans="1:12" s="2" customFormat="1" ht="11.25">
      <c r="A90" s="5" t="s">
        <v>112</v>
      </c>
      <c r="B90" s="160">
        <f>+Amiens!$G90</f>
        <v>182.11773333333335</v>
      </c>
      <c r="C90" s="113">
        <f>+Compiègne!$G90</f>
        <v>0</v>
      </c>
      <c r="D90" s="113">
        <f>+Eu!$G90</f>
        <v>0</v>
      </c>
      <c r="E90" s="160">
        <f>+Amiens!E90+Compiègne!E90+Eu!E90</f>
        <v>818.54000000000008</v>
      </c>
      <c r="F90" s="135">
        <f>+Amiens!F90+Compiègne!F90+Eu!F90</f>
        <v>176.81333333333333</v>
      </c>
      <c r="G90" s="135">
        <v>923.04932738366881</v>
      </c>
      <c r="H90" s="161">
        <f>+Amiens!G90+Compiègne!G90+Eu!G90</f>
        <v>182.11773333333335</v>
      </c>
      <c r="I90" s="149">
        <f t="shared" si="7"/>
        <v>-0.78398937946424929</v>
      </c>
      <c r="J90" s="271">
        <f t="shared" si="8"/>
        <v>3.0000000000000086E-2</v>
      </c>
      <c r="K90" s="18">
        <f>+Amiens!D90+Compiègne!D90+Eu!D90</f>
        <v>923.04932738366881</v>
      </c>
      <c r="L90" s="111"/>
    </row>
    <row r="91" spans="1:12" s="2" customFormat="1" ht="11.25">
      <c r="A91" s="5" t="s">
        <v>113</v>
      </c>
      <c r="B91" s="160">
        <f>+Amiens!$G91</f>
        <v>2716.9752000000003</v>
      </c>
      <c r="C91" s="113">
        <f>+Compiègne!$G91</f>
        <v>164.29186666666666</v>
      </c>
      <c r="D91" s="113">
        <f>+Eu!$G91</f>
        <v>63.708933333333341</v>
      </c>
      <c r="E91" s="160">
        <f>+Amiens!E91+Compiègne!E91+Eu!E91</f>
        <v>1238.1299999999999</v>
      </c>
      <c r="F91" s="135">
        <f>+Amiens!F91+Compiègne!F91+Eu!F91</f>
        <v>2859.2000000000003</v>
      </c>
      <c r="G91" s="135">
        <v>1784.953189405906</v>
      </c>
      <c r="H91" s="161">
        <f>+Amiens!G91+Compiègne!G91+Eu!G91</f>
        <v>2944.9760000000001</v>
      </c>
      <c r="I91" s="149">
        <f t="shared" si="7"/>
        <v>1.3092890084239948</v>
      </c>
      <c r="J91" s="271">
        <f t="shared" si="8"/>
        <v>2.999999999999994E-2</v>
      </c>
      <c r="K91" s="18">
        <f>+Amiens!D91+Compiègne!D91+Eu!D91</f>
        <v>1784.953189405906</v>
      </c>
      <c r="L91" s="111"/>
    </row>
    <row r="92" spans="1:12" s="2" customFormat="1" ht="11.25">
      <c r="A92" s="5" t="s">
        <v>309</v>
      </c>
      <c r="B92" s="160">
        <f>+Amiens!$G92</f>
        <v>0</v>
      </c>
      <c r="C92" s="113">
        <f>+Compiègne!$G92</f>
        <v>0</v>
      </c>
      <c r="D92" s="113">
        <f>+Eu!$G92</f>
        <v>0</v>
      </c>
      <c r="E92" s="160">
        <f>+Amiens!E92+Compiègne!E92+Eu!E92</f>
        <v>0</v>
      </c>
      <c r="F92" s="135">
        <f>+Amiens!F92+Compiègne!F92+Eu!F92</f>
        <v>0</v>
      </c>
      <c r="G92" s="135">
        <v>0</v>
      </c>
      <c r="H92" s="161">
        <f>+Amiens!G92+Compiègne!G92+Eu!G92</f>
        <v>0</v>
      </c>
      <c r="I92" s="149">
        <f t="shared" si="7"/>
        <v>0</v>
      </c>
      <c r="J92" s="271">
        <f t="shared" si="8"/>
        <v>0</v>
      </c>
      <c r="K92" s="18">
        <f>+Amiens!D92+Compiègne!D92+Eu!D92</f>
        <v>0</v>
      </c>
      <c r="L92" s="111"/>
    </row>
    <row r="93" spans="1:12" s="2" customFormat="1" ht="11.25">
      <c r="A93" s="5" t="s">
        <v>115</v>
      </c>
      <c r="B93" s="160">
        <f>+Amiens!$G93</f>
        <v>0</v>
      </c>
      <c r="C93" s="113">
        <f>+Compiègne!$G93</f>
        <v>4394.6666666666661</v>
      </c>
      <c r="D93" s="113">
        <f>+Eu!$G93</f>
        <v>0</v>
      </c>
      <c r="E93" s="160">
        <f>+Amiens!E93+Compiègne!E93+Eu!E93</f>
        <v>0</v>
      </c>
      <c r="F93" s="135">
        <f>+Amiens!F93+Compiègne!F93+Eu!F93</f>
        <v>4266.6666666666661</v>
      </c>
      <c r="G93" s="135">
        <v>1.7586075156250005</v>
      </c>
      <c r="H93" s="161">
        <f>+Amiens!G93+Compiègne!G93+Eu!G93</f>
        <v>4394.6666666666661</v>
      </c>
      <c r="I93" s="149">
        <f t="shared" si="7"/>
        <v>0</v>
      </c>
      <c r="J93" s="271">
        <f t="shared" si="8"/>
        <v>3.0000000000000006E-2</v>
      </c>
      <c r="K93" s="18">
        <f>+Amiens!D93+Compiègne!D93+Eu!D93</f>
        <v>1.7586075156250005</v>
      </c>
      <c r="L93" s="111"/>
    </row>
    <row r="94" spans="1:12" s="2" customFormat="1" ht="11.25">
      <c r="A94" s="5" t="s">
        <v>42</v>
      </c>
      <c r="B94" s="160">
        <f>+Amiens!$G94</f>
        <v>0</v>
      </c>
      <c r="C94" s="113">
        <f>+Compiègne!$G94</f>
        <v>0</v>
      </c>
      <c r="D94" s="113">
        <f>+Eu!$G94</f>
        <v>0</v>
      </c>
      <c r="E94" s="160">
        <f>+Amiens!E94+Compiègne!E94+Eu!E94</f>
        <v>0</v>
      </c>
      <c r="F94" s="135">
        <f>+Amiens!F94+Compiègne!F94+Eu!F94</f>
        <v>0</v>
      </c>
      <c r="G94" s="135">
        <v>2.212772175</v>
      </c>
      <c r="H94" s="161">
        <f>+Amiens!G94+Compiègne!G94+Eu!G94</f>
        <v>0</v>
      </c>
      <c r="I94" s="149">
        <f t="shared" si="7"/>
        <v>0</v>
      </c>
      <c r="J94" s="271">
        <f t="shared" si="8"/>
        <v>0</v>
      </c>
      <c r="K94" s="18">
        <f>+Amiens!D94+Compiègne!D94+Eu!D94</f>
        <v>2.212772175</v>
      </c>
      <c r="L94" s="111"/>
    </row>
    <row r="95" spans="1:12" s="2" customFormat="1" ht="11.25">
      <c r="A95" s="5" t="s">
        <v>117</v>
      </c>
      <c r="B95" s="160">
        <f>+Amiens!$G95</f>
        <v>9060.4867599643003</v>
      </c>
      <c r="C95" s="113">
        <f>+Compiègne!$G95</f>
        <v>9246.1143390594843</v>
      </c>
      <c r="D95" s="113">
        <f>+Eu!$G95</f>
        <v>3031.1172034557521</v>
      </c>
      <c r="E95" s="160">
        <f>+Amiens!E95+Compiègne!E95+Eu!E95</f>
        <v>20693.97</v>
      </c>
      <c r="F95" s="135">
        <f>+Amiens!F95+Compiègne!F95+Eu!F95</f>
        <v>18449.653333333332</v>
      </c>
      <c r="G95" s="135">
        <v>19311.805598299412</v>
      </c>
      <c r="H95" s="161">
        <f>+Amiens!G95+Compiègne!G95+Eu!G95</f>
        <v>21337.718302479538</v>
      </c>
      <c r="I95" s="149">
        <f t="shared" si="7"/>
        <v>-0.10845268774752594</v>
      </c>
      <c r="J95" s="271">
        <f t="shared" si="8"/>
        <v>0.15653762794167439</v>
      </c>
      <c r="K95" s="18">
        <f>+Amiens!D95+Compiègne!D95+Eu!D95</f>
        <v>19311.805598299412</v>
      </c>
      <c r="L95" s="111"/>
    </row>
    <row r="96" spans="1:12" s="2" customFormat="1" ht="11.25">
      <c r="A96" s="5" t="s">
        <v>118</v>
      </c>
      <c r="B96" s="160">
        <f>+Amiens!$G96</f>
        <v>10605.388133333332</v>
      </c>
      <c r="C96" s="113">
        <f>+Compiègne!$G96</f>
        <v>9233.8538666666682</v>
      </c>
      <c r="D96" s="113">
        <f>+Eu!$G96</f>
        <v>3668.1183999999998</v>
      </c>
      <c r="E96" s="160">
        <f>+Amiens!E96+Compiègne!E96+Eu!E96</f>
        <v>33808.710000000006</v>
      </c>
      <c r="F96" s="135">
        <f>+Amiens!F96+Compiègne!F96+Eu!F96</f>
        <v>22822.68</v>
      </c>
      <c r="G96" s="135">
        <v>36463.611569026609</v>
      </c>
      <c r="H96" s="161">
        <f>+Amiens!G96+Compiègne!G96+Eu!G96</f>
        <v>23507.360399999998</v>
      </c>
      <c r="I96" s="149">
        <f t="shared" si="7"/>
        <v>-0.32494673709822125</v>
      </c>
      <c r="J96" s="271">
        <f t="shared" si="8"/>
        <v>2.9999999999999888E-2</v>
      </c>
      <c r="K96" s="18">
        <f>+Amiens!D96+Compiègne!D96+Eu!D96</f>
        <v>36463.611569026609</v>
      </c>
      <c r="L96" s="111"/>
    </row>
    <row r="97" spans="1:12" s="2" customFormat="1" ht="11.25">
      <c r="A97" s="5" t="s">
        <v>7</v>
      </c>
      <c r="B97" s="160">
        <f>+Amiens!$G97</f>
        <v>0</v>
      </c>
      <c r="C97" s="113">
        <f>+Compiègne!$G97</f>
        <v>1686.6318666666668</v>
      </c>
      <c r="D97" s="113">
        <f>+Eu!$G97</f>
        <v>80.147733333333335</v>
      </c>
      <c r="E97" s="160">
        <f>+Amiens!E97+Compiègne!E97+Eu!E97</f>
        <v>2179.7999999999997</v>
      </c>
      <c r="F97" s="135">
        <f>+Amiens!F97+Compiègne!F97+Eu!F97</f>
        <v>1715.3200000000002</v>
      </c>
      <c r="G97" s="135">
        <v>2410.2378315109604</v>
      </c>
      <c r="H97" s="161">
        <f>+Amiens!G97+Compiègne!G97+Eu!G97</f>
        <v>1766.7796000000001</v>
      </c>
      <c r="I97" s="149">
        <f t="shared" si="7"/>
        <v>-0.21308376915313315</v>
      </c>
      <c r="J97" s="271">
        <f t="shared" si="8"/>
        <v>2.9999999999999943E-2</v>
      </c>
      <c r="K97" s="18">
        <f>+Amiens!D97+Compiègne!D97+Eu!D97</f>
        <v>2410.2378315109604</v>
      </c>
      <c r="L97" s="111"/>
    </row>
    <row r="98" spans="1:12" s="2" customFormat="1" ht="11.25">
      <c r="A98" s="5" t="s">
        <v>307</v>
      </c>
      <c r="B98" s="160">
        <f>+Amiens!$G98</f>
        <v>0</v>
      </c>
      <c r="C98" s="113">
        <f>+Compiègne!$G98</f>
        <v>1000</v>
      </c>
      <c r="D98" s="113">
        <f>+Eu!$G98</f>
        <v>0</v>
      </c>
      <c r="E98" s="160">
        <f>+Amiens!E98+Compiègne!E98+Eu!E98</f>
        <v>0</v>
      </c>
      <c r="F98" s="135">
        <f>+Amiens!F98+Compiègne!F98+Eu!F98</f>
        <v>383.4666666666667</v>
      </c>
      <c r="G98" s="135">
        <v>0</v>
      </c>
      <c r="H98" s="161">
        <f>+Amiens!G98+Compiègne!G98+Eu!G98</f>
        <v>1000</v>
      </c>
      <c r="I98" s="149">
        <f t="shared" si="7"/>
        <v>0</v>
      </c>
      <c r="J98" s="271">
        <f t="shared" si="8"/>
        <v>1.6077885952712099</v>
      </c>
      <c r="K98" s="18">
        <f>+Amiens!D98+Compiègne!D98+Eu!D98</f>
        <v>1000</v>
      </c>
      <c r="L98" s="111"/>
    </row>
    <row r="99" spans="1:12" s="2" customFormat="1" ht="11.25">
      <c r="A99" s="5" t="s">
        <v>119</v>
      </c>
      <c r="B99" s="160">
        <f>+Amiens!$G99</f>
        <v>6190.6933333333345</v>
      </c>
      <c r="C99" s="113">
        <f>+Compiègne!$G99</f>
        <v>3300.6800000000003</v>
      </c>
      <c r="D99" s="113">
        <f>+Eu!$G99</f>
        <v>3259.92</v>
      </c>
      <c r="E99" s="160">
        <f>+Amiens!E99+Compiègne!E99+Eu!E99</f>
        <v>14032.699999999999</v>
      </c>
      <c r="F99" s="135">
        <f>+Amiens!F99+Compiègne!F99+Eu!F99</f>
        <v>12751.293333333335</v>
      </c>
      <c r="G99" s="135">
        <v>15077.881017466119</v>
      </c>
      <c r="H99" s="161">
        <f>+Amiens!G99+Compiègne!G99+Eu!G99</f>
        <v>12751.293333333335</v>
      </c>
      <c r="I99" s="149">
        <f t="shared" si="7"/>
        <v>-9.1315760093685763E-2</v>
      </c>
      <c r="J99" s="271">
        <f t="shared" si="8"/>
        <v>0</v>
      </c>
      <c r="K99" s="18">
        <f>+Amiens!D99+Compiègne!D99+Eu!D99</f>
        <v>15077.881017466119</v>
      </c>
      <c r="L99" s="111"/>
    </row>
    <row r="100" spans="1:12" s="2" customFormat="1" ht="11.25">
      <c r="A100" s="5" t="s">
        <v>120</v>
      </c>
      <c r="B100" s="160">
        <f>+Amiens!$G100</f>
        <v>731.69826666666665</v>
      </c>
      <c r="C100" s="113">
        <f>+Compiègne!$G100</f>
        <v>404.76253333333335</v>
      </c>
      <c r="D100" s="113">
        <f>+Eu!$G100</f>
        <v>4828.0769333333337</v>
      </c>
      <c r="E100" s="160">
        <f>+Amiens!E100+Compiègne!E100+Eu!E100</f>
        <v>2966.29</v>
      </c>
      <c r="F100" s="135">
        <f>+Amiens!F100+Compiègne!F100+Eu!F100</f>
        <v>5790.8133333333335</v>
      </c>
      <c r="G100" s="135">
        <v>3039.0353104558772</v>
      </c>
      <c r="H100" s="161">
        <f>+Amiens!G100+Compiègne!G100+Eu!G100</f>
        <v>5964.5377333333336</v>
      </c>
      <c r="I100" s="149">
        <f t="shared" si="7"/>
        <v>0.95220741509877105</v>
      </c>
      <c r="J100" s="271">
        <f t="shared" si="8"/>
        <v>3.0000000000000009E-2</v>
      </c>
      <c r="K100" s="18">
        <f>+Amiens!D100+Compiègne!D100+Eu!D100</f>
        <v>3039.0353104558772</v>
      </c>
      <c r="L100" s="111"/>
    </row>
    <row r="101" spans="1:12" s="2" customFormat="1" ht="11.25">
      <c r="A101" s="5" t="s">
        <v>121</v>
      </c>
      <c r="B101" s="160">
        <f>+Amiens!$G101</f>
        <v>0</v>
      </c>
      <c r="C101" s="113">
        <f>+Compiègne!$G101</f>
        <v>0</v>
      </c>
      <c r="D101" s="113">
        <f>+Eu!$G101</f>
        <v>0</v>
      </c>
      <c r="E101" s="160">
        <f>+Amiens!E101+Compiègne!E101+Eu!E101</f>
        <v>0</v>
      </c>
      <c r="F101" s="135">
        <f>+Amiens!F101+Compiègne!F101+Eu!F101</f>
        <v>0</v>
      </c>
      <c r="G101" s="135">
        <v>25.75</v>
      </c>
      <c r="H101" s="161">
        <f>+Amiens!G101+Compiègne!G101+Eu!G101</f>
        <v>0</v>
      </c>
      <c r="I101" s="149">
        <f t="shared" si="7"/>
        <v>0</v>
      </c>
      <c r="J101" s="271">
        <f t="shared" si="8"/>
        <v>0</v>
      </c>
      <c r="K101" s="18">
        <f>+Amiens!D101+Compiègne!D101+Eu!D101</f>
        <v>25.75</v>
      </c>
      <c r="L101" s="111"/>
    </row>
    <row r="102" spans="1:12" s="2" customFormat="1" ht="11.25">
      <c r="A102" s="5"/>
      <c r="B102" s="160"/>
      <c r="C102" s="113"/>
      <c r="D102" s="113"/>
      <c r="E102" s="160"/>
      <c r="F102" s="143"/>
      <c r="G102" s="143"/>
      <c r="H102" s="162"/>
      <c r="I102" s="149"/>
      <c r="J102" s="254"/>
      <c r="K102" s="18"/>
      <c r="L102" s="111"/>
    </row>
    <row r="103" spans="1:12" s="2" customFormat="1" ht="11.25">
      <c r="A103" s="13" t="s">
        <v>122</v>
      </c>
      <c r="B103" s="163">
        <f t="shared" ref="B103:H103" si="9">SUM(B70:B102)</f>
        <v>73914.928255927924</v>
      </c>
      <c r="C103" s="204">
        <f t="shared" si="9"/>
        <v>79650.836955726147</v>
      </c>
      <c r="D103" s="204">
        <f t="shared" si="9"/>
        <v>100925.56735345576</v>
      </c>
      <c r="E103" s="163">
        <f>SUM(E70:E102)</f>
        <v>245337.01000000004</v>
      </c>
      <c r="F103" s="136">
        <f>SUM(F70:F102)</f>
        <v>242630.57</v>
      </c>
      <c r="G103" s="136">
        <v>247299.30785930989</v>
      </c>
      <c r="H103" s="168">
        <f t="shared" si="9"/>
        <v>254491.33256510983</v>
      </c>
      <c r="I103" s="272">
        <f>+IF((E103)=0,,(F103-E103)/E103)</f>
        <v>-1.1031519459701702E-2</v>
      </c>
      <c r="J103" s="188">
        <f>+IF((F103)=0,,(H103-F103)/F103)</f>
        <v>4.8884040313262343E-2</v>
      </c>
      <c r="K103" s="305">
        <f>SUM(K72:K102)+K70</f>
        <v>250444.20695305287</v>
      </c>
      <c r="L103" s="111"/>
    </row>
    <row r="104" spans="1:12" s="2" customFormat="1" ht="11.25">
      <c r="A104" s="5"/>
      <c r="B104" s="160"/>
      <c r="C104" s="113"/>
      <c r="D104" s="113"/>
      <c r="E104" s="160"/>
      <c r="F104" s="143"/>
      <c r="G104" s="143"/>
      <c r="H104" s="162"/>
      <c r="I104" s="149"/>
      <c r="J104" s="254"/>
      <c r="K104" s="18"/>
      <c r="L104" s="111"/>
    </row>
    <row r="105" spans="1:12" s="2" customFormat="1" ht="11.25">
      <c r="A105" s="5" t="s">
        <v>129</v>
      </c>
      <c r="B105" s="160">
        <f>+Amiens!$G105</f>
        <v>0</v>
      </c>
      <c r="C105" s="113">
        <f>+Compiègne!$G105</f>
        <v>0</v>
      </c>
      <c r="D105" s="113">
        <f>+Eu!$G105</f>
        <v>0</v>
      </c>
      <c r="E105" s="160">
        <f>+Amiens!E105+Compiègne!E105+Eu!E105</f>
        <v>3092.3999999999996</v>
      </c>
      <c r="F105" s="135">
        <f>+Amiens!F105+Compiègne!F105+Eu!F105</f>
        <v>0</v>
      </c>
      <c r="G105" s="135">
        <v>3644.5520000000006</v>
      </c>
      <c r="H105" s="161">
        <f>+Amiens!G105+Compiègne!G105+Eu!G105</f>
        <v>0</v>
      </c>
      <c r="I105" s="149">
        <f>+IF((E105)=0,,(F105-E105)/E105)</f>
        <v>-1</v>
      </c>
      <c r="J105" s="271">
        <f>+IF((F105)=0,,(H105-F105)/F105)</f>
        <v>0</v>
      </c>
      <c r="K105" s="18">
        <f>+Amiens!D105+Compiègne!D105+Eu!D105</f>
        <v>3644.5520000000006</v>
      </c>
      <c r="L105" s="111"/>
    </row>
    <row r="106" spans="1:12" s="2" customFormat="1" ht="11.25">
      <c r="A106" s="5" t="s">
        <v>130</v>
      </c>
      <c r="B106" s="160">
        <f>+Amiens!$G106</f>
        <v>2283.5649333333336</v>
      </c>
      <c r="C106" s="113">
        <f>+Compiègne!$G106</f>
        <v>2450.7820000000002</v>
      </c>
      <c r="D106" s="113">
        <f>+Eu!$G106</f>
        <v>2032.9727999999998</v>
      </c>
      <c r="E106" s="160">
        <f>+Amiens!E106+Compiègne!E106+Eu!E106</f>
        <v>11149.64</v>
      </c>
      <c r="F106" s="135">
        <f>+Amiens!F106+Compiègne!F106+Eu!F106</f>
        <v>6570.2133333333331</v>
      </c>
      <c r="G106" s="135">
        <v>11498.7552</v>
      </c>
      <c r="H106" s="161">
        <f>+Amiens!G106+Compiègne!G106+Eu!G106</f>
        <v>6767.3197333333337</v>
      </c>
      <c r="I106" s="149">
        <f t="shared" ref="I106:I114" si="10">+IF((E106)=0,,(F106-E106)/E106)</f>
        <v>-0.4107241728581969</v>
      </c>
      <c r="J106" s="271">
        <f t="shared" ref="J106:J114" si="11">+IF((F106)=0,,(H106-F106)/F106)</f>
        <v>3.0000000000000089E-2</v>
      </c>
      <c r="K106" s="18">
        <f>+Amiens!D106+Compiègne!D106+Eu!D106</f>
        <v>11498.7552</v>
      </c>
      <c r="L106" s="111"/>
    </row>
    <row r="107" spans="1:12" s="2" customFormat="1" ht="11.25">
      <c r="A107" s="5" t="s">
        <v>131</v>
      </c>
      <c r="B107" s="160">
        <f>+Amiens!$G107</f>
        <v>0</v>
      </c>
      <c r="C107" s="113">
        <f>+Compiègne!$G107</f>
        <v>0</v>
      </c>
      <c r="D107" s="113">
        <f>+Eu!$G107</f>
        <v>0</v>
      </c>
      <c r="E107" s="160">
        <f>+Amiens!E107+Compiègne!E107+Eu!E107</f>
        <v>0</v>
      </c>
      <c r="F107" s="135">
        <f>+Amiens!F107+Compiègne!F107+Eu!F107</f>
        <v>0</v>
      </c>
      <c r="G107" s="135">
        <v>0</v>
      </c>
      <c r="H107" s="161">
        <f>+Amiens!G107+Compiègne!G107+Eu!G107</f>
        <v>0</v>
      </c>
      <c r="I107" s="149">
        <f t="shared" si="10"/>
        <v>0</v>
      </c>
      <c r="J107" s="271">
        <f t="shared" si="11"/>
        <v>0</v>
      </c>
      <c r="K107" s="18">
        <f>+Amiens!D107+Compiègne!D107+Eu!D107</f>
        <v>0</v>
      </c>
      <c r="L107" s="111"/>
    </row>
    <row r="108" spans="1:12" s="2" customFormat="1" ht="11.25">
      <c r="A108" s="5" t="s">
        <v>132</v>
      </c>
      <c r="B108" s="160">
        <f>+Amiens!$G108</f>
        <v>450</v>
      </c>
      <c r="C108" s="113">
        <f>+Compiègne!$G108</f>
        <v>450</v>
      </c>
      <c r="D108" s="113">
        <f>+Eu!$G108</f>
        <v>450</v>
      </c>
      <c r="E108" s="160">
        <f>+Amiens!E108+Compiègne!E108+Eu!E108</f>
        <v>392.71999999999991</v>
      </c>
      <c r="F108" s="135">
        <f>+Amiens!F108+Compiègne!F108+Eu!F108</f>
        <v>5565.2133333333331</v>
      </c>
      <c r="G108" s="135">
        <v>855.93200849999994</v>
      </c>
      <c r="H108" s="161">
        <f>+Amiens!G108+Compiègne!G108+Eu!G108</f>
        <v>1350</v>
      </c>
      <c r="I108" s="149">
        <f t="shared" si="10"/>
        <v>13.170944523664021</v>
      </c>
      <c r="J108" s="271">
        <f t="shared" si="11"/>
        <v>-0.75742169811998816</v>
      </c>
      <c r="K108" s="18">
        <f>+Amiens!D108+Compiègne!D108+Eu!D108</f>
        <v>1350</v>
      </c>
      <c r="L108" s="111"/>
    </row>
    <row r="109" spans="1:12" s="2" customFormat="1" ht="11.25">
      <c r="A109" s="5" t="s">
        <v>133</v>
      </c>
      <c r="B109" s="160">
        <f>+Amiens!$G109</f>
        <v>2298.1771999999996</v>
      </c>
      <c r="C109" s="113">
        <f>+Compiègne!$G109</f>
        <v>2987.2471999999998</v>
      </c>
      <c r="D109" s="113">
        <f>+Eu!$G109</f>
        <v>13419.5404</v>
      </c>
      <c r="E109" s="160">
        <f>+Amiens!E109+Compiègne!E109+Eu!E109</f>
        <v>9362.24</v>
      </c>
      <c r="F109" s="135">
        <f>+Amiens!F109+Compiègne!F109+Eu!F109</f>
        <v>18160.16</v>
      </c>
      <c r="G109" s="135">
        <v>19913.577100000002</v>
      </c>
      <c r="H109" s="161">
        <f>+Amiens!G109+Compiègne!G109+Eu!G109</f>
        <v>18704.964800000002</v>
      </c>
      <c r="I109" s="149">
        <f t="shared" si="10"/>
        <v>0.93972382677649802</v>
      </c>
      <c r="J109" s="271">
        <f t="shared" si="11"/>
        <v>3.0000000000000093E-2</v>
      </c>
      <c r="K109" s="18">
        <f>+Amiens!D109+Compiègne!D109+Eu!D109</f>
        <v>19913.577100000002</v>
      </c>
      <c r="L109" s="111"/>
    </row>
    <row r="110" spans="1:12" s="2" customFormat="1" ht="11.25">
      <c r="A110" s="5" t="s">
        <v>134</v>
      </c>
      <c r="B110" s="160">
        <f>+Amiens!$G110</f>
        <v>5076.8974666666663</v>
      </c>
      <c r="C110" s="113">
        <f>+Compiègne!$G110</f>
        <v>16000</v>
      </c>
      <c r="D110" s="113">
        <f>+Eu!$G110</f>
        <v>3358.2120000000004</v>
      </c>
      <c r="E110" s="160">
        <f>+Amiens!E110+Compiègne!E110+Eu!E110</f>
        <v>25298.47</v>
      </c>
      <c r="F110" s="135">
        <f>+Amiens!F110+Compiègne!F110+Eu!F110</f>
        <v>30991.893333333333</v>
      </c>
      <c r="G110" s="135">
        <v>23645.761500000001</v>
      </c>
      <c r="H110" s="161">
        <f>+Amiens!G110+Compiègne!G110+Eu!G110</f>
        <v>24435.109466666665</v>
      </c>
      <c r="I110" s="149">
        <f t="shared" si="10"/>
        <v>0.22505010513811041</v>
      </c>
      <c r="J110" s="271">
        <f t="shared" si="11"/>
        <v>-0.21156448223879626</v>
      </c>
      <c r="K110" s="18">
        <f>+Amiens!D110+Compiègne!D110+Eu!D110</f>
        <v>23645.761500000001</v>
      </c>
      <c r="L110" s="111"/>
    </row>
    <row r="111" spans="1:12" s="2" customFormat="1" ht="11.25">
      <c r="A111" s="5" t="s">
        <v>135</v>
      </c>
      <c r="B111" s="160">
        <f>+Amiens!$G111</f>
        <v>0</v>
      </c>
      <c r="C111" s="113">
        <f>+Compiègne!$G111</f>
        <v>5.4933333333333332</v>
      </c>
      <c r="D111" s="113">
        <f>+Eu!$G111</f>
        <v>27.466666666666669</v>
      </c>
      <c r="E111" s="160">
        <f>+Amiens!E111+Compiègne!E111+Eu!E111</f>
        <v>135</v>
      </c>
      <c r="F111" s="135">
        <f>+Amiens!F111+Compiègne!F111+Eu!F111</f>
        <v>32</v>
      </c>
      <c r="G111" s="135">
        <v>192.61</v>
      </c>
      <c r="H111" s="161">
        <f>+Amiens!G111+Compiègne!G111+Eu!G111</f>
        <v>32.96</v>
      </c>
      <c r="I111" s="149">
        <f t="shared" si="10"/>
        <v>-0.76296296296296295</v>
      </c>
      <c r="J111" s="271">
        <f t="shared" si="11"/>
        <v>3.0000000000000027E-2</v>
      </c>
      <c r="K111" s="18">
        <f>+Amiens!D111+Compiègne!D111+Eu!D111</f>
        <v>192.61</v>
      </c>
      <c r="L111" s="111"/>
    </row>
    <row r="112" spans="1:12" s="2" customFormat="1" ht="11.25">
      <c r="A112" s="5" t="s">
        <v>136</v>
      </c>
      <c r="B112" s="160">
        <f>+Amiens!$G112</f>
        <v>8172.7890666666681</v>
      </c>
      <c r="C112" s="113">
        <f>+Compiègne!$G112</f>
        <v>1060.9000000000001</v>
      </c>
      <c r="D112" s="113">
        <f>+Eu!$G112</f>
        <v>26.78</v>
      </c>
      <c r="E112" s="160">
        <f>+Amiens!E112+Compiègne!E112+Eu!E112</f>
        <v>75.7</v>
      </c>
      <c r="F112" s="135">
        <f>+Amiens!F112+Compiègne!F112+Eu!F112</f>
        <v>8990.7466666666678</v>
      </c>
      <c r="G112" s="135">
        <v>1081.9841000000001</v>
      </c>
      <c r="H112" s="161">
        <f>+Amiens!G112+Compiègne!G112+Eu!G112</f>
        <v>9260.4690666666684</v>
      </c>
      <c r="I112" s="149">
        <f t="shared" si="10"/>
        <v>117.76811977102598</v>
      </c>
      <c r="J112" s="271">
        <f t="shared" si="11"/>
        <v>3.0000000000000058E-2</v>
      </c>
      <c r="K112" s="18">
        <f>+Amiens!D112+Compiègne!D112+Eu!D112</f>
        <v>1081.9841000000001</v>
      </c>
      <c r="L112" s="111"/>
    </row>
    <row r="113" spans="1:12" s="2" customFormat="1" ht="11.25">
      <c r="A113" s="5" t="s">
        <v>137</v>
      </c>
      <c r="B113" s="160">
        <f>+Amiens!$G113</f>
        <v>2000</v>
      </c>
      <c r="C113" s="113">
        <f>+Compiègne!$G113</f>
        <v>2000</v>
      </c>
      <c r="D113" s="113">
        <f>+Eu!$G113</f>
        <v>2000</v>
      </c>
      <c r="E113" s="160">
        <f>+Amiens!E113+Compiègne!E113+Eu!E113</f>
        <v>7668.4699999999993</v>
      </c>
      <c r="F113" s="135">
        <f>+Amiens!F113+Compiègne!F113+Eu!F113</f>
        <v>8745.66</v>
      </c>
      <c r="G113" s="135">
        <v>16894.059999999998</v>
      </c>
      <c r="H113" s="161">
        <f>+Amiens!G113+Compiègne!G113+Eu!G113</f>
        <v>6000</v>
      </c>
      <c r="I113" s="149">
        <f t="shared" si="10"/>
        <v>0.14047000249071856</v>
      </c>
      <c r="J113" s="271">
        <f t="shared" si="11"/>
        <v>-0.31394543121959917</v>
      </c>
      <c r="K113" s="18">
        <f>+Amiens!D113+Compiègne!D113+Eu!D113</f>
        <v>18394.059999999998</v>
      </c>
      <c r="L113" s="111"/>
    </row>
    <row r="114" spans="1:12" s="2" customFormat="1" ht="11.25">
      <c r="A114" s="5" t="s">
        <v>138</v>
      </c>
      <c r="B114" s="160">
        <f>+Amiens!$G114</f>
        <v>0</v>
      </c>
      <c r="C114" s="113">
        <f>+Compiègne!$G114</f>
        <v>0</v>
      </c>
      <c r="D114" s="113">
        <f>+Eu!$G114</f>
        <v>0</v>
      </c>
      <c r="E114" s="160">
        <f>+Amiens!E114+Compiègne!E114+Eu!E114</f>
        <v>-8599.2800000000007</v>
      </c>
      <c r="F114" s="135">
        <f>+Amiens!F114+Compiègne!F114+Eu!F114</f>
        <v>0</v>
      </c>
      <c r="G114" s="135">
        <v>0</v>
      </c>
      <c r="H114" s="161">
        <f>+Amiens!G114+Compiègne!G114+Eu!G114</f>
        <v>0</v>
      </c>
      <c r="I114" s="149">
        <f t="shared" si="10"/>
        <v>-1</v>
      </c>
      <c r="J114" s="271">
        <f t="shared" si="11"/>
        <v>0</v>
      </c>
      <c r="K114" s="18">
        <f>+Amiens!D114+Compiègne!D114+Eu!D114</f>
        <v>0</v>
      </c>
      <c r="L114" s="111"/>
    </row>
    <row r="115" spans="1:12" s="2" customFormat="1" ht="11.25">
      <c r="A115" s="5"/>
      <c r="B115" s="160"/>
      <c r="C115" s="113"/>
      <c r="D115" s="113"/>
      <c r="E115" s="160"/>
      <c r="F115" s="143"/>
      <c r="G115" s="143"/>
      <c r="H115" s="162"/>
      <c r="I115" s="149"/>
      <c r="J115" s="254"/>
      <c r="K115" s="18"/>
      <c r="L115" s="111"/>
    </row>
    <row r="116" spans="1:12" s="2" customFormat="1" ht="11.25">
      <c r="A116" s="13" t="s">
        <v>133</v>
      </c>
      <c r="B116" s="163">
        <f t="shared" ref="B116:H116" si="12">SUM(B104:B115)</f>
        <v>20281.428666666667</v>
      </c>
      <c r="C116" s="204">
        <f t="shared" si="12"/>
        <v>24954.422533333334</v>
      </c>
      <c r="D116" s="204">
        <f t="shared" si="12"/>
        <v>21314.971866666667</v>
      </c>
      <c r="E116" s="163">
        <f>SUM(E104:E115)</f>
        <v>48575.360000000001</v>
      </c>
      <c r="F116" s="136">
        <f>SUM(F104:F115)</f>
        <v>79055.886666666673</v>
      </c>
      <c r="G116" s="136">
        <v>77727.231908499991</v>
      </c>
      <c r="H116" s="168">
        <f t="shared" si="12"/>
        <v>66550.823066666664</v>
      </c>
      <c r="I116" s="272">
        <f>+IF((E116)=0,,(F116-E116)/E116)</f>
        <v>0.62748946516642745</v>
      </c>
      <c r="J116" s="188">
        <f>+IF((F116)=0,,(H116-F116)/F116)</f>
        <v>-0.15818004360290952</v>
      </c>
      <c r="K116" s="305">
        <f>SUM(K105:K115)</f>
        <v>79721.299900000013</v>
      </c>
      <c r="L116" s="111"/>
    </row>
    <row r="117" spans="1:12" s="2" customFormat="1" ht="11.25">
      <c r="A117" s="5"/>
      <c r="B117" s="160"/>
      <c r="C117" s="113"/>
      <c r="D117" s="113"/>
      <c r="E117" s="160"/>
      <c r="F117" s="143"/>
      <c r="G117" s="143"/>
      <c r="H117" s="162"/>
      <c r="I117" s="149"/>
      <c r="J117" s="254"/>
      <c r="K117" s="18"/>
      <c r="L117" s="111"/>
    </row>
    <row r="118" spans="1:12" s="2" customFormat="1" ht="11.25">
      <c r="A118" s="5" t="s">
        <v>139</v>
      </c>
      <c r="B118" s="160">
        <f>+Amiens!$G118</f>
        <v>393.38599999999997</v>
      </c>
      <c r="C118" s="113">
        <f>+Compiègne!$G118</f>
        <v>617.92499999999995</v>
      </c>
      <c r="D118" s="113">
        <f>+Eu!$G118</f>
        <v>1284.2339999999999</v>
      </c>
      <c r="E118" s="160">
        <f>+Amiens!E118+Compiègne!E118+Eu!E118</f>
        <v>3307</v>
      </c>
      <c r="F118" s="135">
        <f>+Amiens!F118+Compiègne!F118+Eu!F118</f>
        <v>7037.6666666666679</v>
      </c>
      <c r="G118" s="135">
        <v>0</v>
      </c>
      <c r="H118" s="161">
        <f>+Amiens!G118+Compiègne!G118+Eu!G118</f>
        <v>2295.5450000000001</v>
      </c>
      <c r="I118" s="149">
        <f>+IF((E118)=0,,(F118-E118)/E118)</f>
        <v>1.1281120854752549</v>
      </c>
      <c r="J118" s="271">
        <f>+IF((F118)=0,,(H118-F118)/F118)</f>
        <v>-0.67382015819637198</v>
      </c>
      <c r="K118" s="18">
        <f>+Amiens!D118+Compiègne!D118+Eu!D118</f>
        <v>2468.4589999999998</v>
      </c>
      <c r="L118" s="111"/>
    </row>
    <row r="119" spans="1:12" s="2" customFormat="1" ht="11.25">
      <c r="A119" s="5" t="s">
        <v>140</v>
      </c>
      <c r="B119" s="160">
        <f>+Amiens!$G119</f>
        <v>252.89100000000002</v>
      </c>
      <c r="C119" s="113">
        <f>+Compiègne!$G119</f>
        <v>397.23750000000007</v>
      </c>
      <c r="D119" s="113">
        <f>+Eu!$G119</f>
        <v>825.57900000000006</v>
      </c>
      <c r="E119" s="160">
        <f>+Amiens!E119+Compiègne!E119+Eu!E119</f>
        <v>1821</v>
      </c>
      <c r="F119" s="135">
        <f>+Amiens!F119+Compiègne!F119+Eu!F119</f>
        <v>0</v>
      </c>
      <c r="G119" s="135">
        <v>0</v>
      </c>
      <c r="H119" s="161">
        <f>+Amiens!G119+Compiègne!G119+Eu!G119</f>
        <v>1475.7075</v>
      </c>
      <c r="I119" s="149">
        <f t="shared" ref="I119:I127" si="13">+IF((E119)=0,,(F119-E119)/E119)</f>
        <v>-1</v>
      </c>
      <c r="J119" s="271">
        <f t="shared" ref="J119:J127" si="14">+IF((F119)=0,,(H119-F119)/F119)</f>
        <v>0</v>
      </c>
      <c r="K119" s="18">
        <f>+Amiens!D119+Compiègne!D119+Eu!D119</f>
        <v>1586.8665000000001</v>
      </c>
      <c r="L119" s="111"/>
    </row>
    <row r="120" spans="1:12" s="2" customFormat="1" ht="11.25">
      <c r="A120" s="5" t="s">
        <v>141</v>
      </c>
      <c r="B120" s="160">
        <f>+Amiens!$G120</f>
        <v>438.34440000000001</v>
      </c>
      <c r="C120" s="113">
        <f>+Compiègne!$G120</f>
        <v>688.54500000000007</v>
      </c>
      <c r="D120" s="113">
        <f>+Eu!$G120</f>
        <v>1431.0036</v>
      </c>
      <c r="E120" s="160">
        <f>+Amiens!E120+Compiègne!E120+Eu!E120</f>
        <v>2753</v>
      </c>
      <c r="F120" s="135">
        <f>+Amiens!F120+Compiègne!F120+Eu!F120</f>
        <v>0</v>
      </c>
      <c r="G120" s="135">
        <v>0</v>
      </c>
      <c r="H120" s="161">
        <f>+Amiens!G120+Compiègne!G120+Eu!G120</f>
        <v>2557.893</v>
      </c>
      <c r="I120" s="149">
        <f t="shared" si="13"/>
        <v>-1</v>
      </c>
      <c r="J120" s="271">
        <f t="shared" si="14"/>
        <v>0</v>
      </c>
      <c r="K120" s="18">
        <f>+Amiens!D120+Compiègne!D120+Eu!D120</f>
        <v>2750.5686000000001</v>
      </c>
      <c r="L120" s="111"/>
    </row>
    <row r="121" spans="1:12" s="2" customFormat="1" ht="11.25">
      <c r="A121" s="5" t="s">
        <v>142</v>
      </c>
      <c r="B121" s="160">
        <f>+Amiens!$G121</f>
        <v>2285.85</v>
      </c>
      <c r="C121" s="113">
        <f>+Compiègne!$G121</f>
        <v>2216.5500000000002</v>
      </c>
      <c r="D121" s="113">
        <f>+Eu!$G121</f>
        <v>4248.3</v>
      </c>
      <c r="E121" s="160">
        <f>+Amiens!E121+Compiègne!E121+Eu!E121</f>
        <v>16875</v>
      </c>
      <c r="F121" s="135">
        <f>+Amiens!F121+Compiègne!F121+Eu!F121</f>
        <v>8334</v>
      </c>
      <c r="G121" s="135">
        <v>16782.5625</v>
      </c>
      <c r="H121" s="161">
        <f>+Amiens!G121+Compiègne!G121+Eu!G121</f>
        <v>8750.7000000000007</v>
      </c>
      <c r="I121" s="149">
        <f t="shared" si="13"/>
        <v>-0.50613333333333332</v>
      </c>
      <c r="J121" s="271">
        <f t="shared" si="14"/>
        <v>5.0000000000000086E-2</v>
      </c>
      <c r="K121" s="18">
        <f>+Amiens!D121+Compiègne!D121+Eu!D121</f>
        <v>17718.75</v>
      </c>
      <c r="L121" s="111"/>
    </row>
    <row r="122" spans="1:12" s="2" customFormat="1" ht="11.25">
      <c r="A122" s="5" t="s">
        <v>143</v>
      </c>
      <c r="B122" s="160">
        <f>+Amiens!$G122</f>
        <v>4767</v>
      </c>
      <c r="C122" s="113">
        <f>+Compiègne!$G122</f>
        <v>3443.9580000000014</v>
      </c>
      <c r="D122" s="113">
        <f>+Eu!$G122</f>
        <v>10662.75</v>
      </c>
      <c r="E122" s="160">
        <f>+Amiens!E122+Compiègne!E122+Eu!E122</f>
        <v>14347.2</v>
      </c>
      <c r="F122" s="135">
        <f>+Amiens!F122+Compiègne!F122+Eu!F122</f>
        <v>18029.3</v>
      </c>
      <c r="G122" s="135">
        <v>17300.677937559354</v>
      </c>
      <c r="H122" s="161">
        <f>+Amiens!G122+Compiègne!G122+Eu!G122</f>
        <v>18873.708000000002</v>
      </c>
      <c r="I122" s="149">
        <f t="shared" si="13"/>
        <v>0.25664241106278568</v>
      </c>
      <c r="J122" s="271">
        <f t="shared" si="14"/>
        <v>4.68353180655934E-2</v>
      </c>
      <c r="K122" s="18">
        <f>+Amiens!D122+Compiègne!D122+Eu!D122</f>
        <v>18190.047431492545</v>
      </c>
      <c r="L122" s="111"/>
    </row>
    <row r="123" spans="1:12" s="2" customFormat="1" ht="11.25">
      <c r="A123" s="5" t="s">
        <v>144</v>
      </c>
      <c r="B123" s="160">
        <f>+Amiens!$G123</f>
        <v>446.04</v>
      </c>
      <c r="C123" s="113">
        <f>+Compiègne!$G123</f>
        <v>50</v>
      </c>
      <c r="D123" s="113">
        <f>+Eu!$G123</f>
        <v>567</v>
      </c>
      <c r="E123" s="160">
        <f>+Amiens!E123+Compiègne!E123+Eu!E123</f>
        <v>0</v>
      </c>
      <c r="F123" s="135">
        <f>+Amiens!F123+Compiègne!F123+Eu!F123</f>
        <v>964.8</v>
      </c>
      <c r="G123" s="135">
        <v>0</v>
      </c>
      <c r="H123" s="161">
        <f>+Amiens!G123+Compiègne!G123+Eu!G123</f>
        <v>1063.04</v>
      </c>
      <c r="I123" s="149">
        <f t="shared" si="13"/>
        <v>0</v>
      </c>
      <c r="J123" s="271">
        <f t="shared" si="14"/>
        <v>0.10182421227197348</v>
      </c>
      <c r="K123" s="18">
        <f>+Amiens!D123+Compiègne!D123+Eu!D123</f>
        <v>150</v>
      </c>
      <c r="L123" s="111"/>
    </row>
    <row r="124" spans="1:12" s="2" customFormat="1" ht="11.25">
      <c r="A124" s="5" t="s">
        <v>145</v>
      </c>
      <c r="B124" s="160">
        <f>+Amiens!$G124</f>
        <v>0</v>
      </c>
      <c r="C124" s="113">
        <f>+Compiègne!$G124</f>
        <v>0</v>
      </c>
      <c r="D124" s="113">
        <f>+Eu!$G124</f>
        <v>0</v>
      </c>
      <c r="E124" s="160">
        <f>+Amiens!E124+Compiègne!E124+Eu!E124</f>
        <v>11</v>
      </c>
      <c r="F124" s="135">
        <f>+Amiens!F124+Compiègne!F124+Eu!F124</f>
        <v>278</v>
      </c>
      <c r="G124" s="135">
        <v>30.896187540833338</v>
      </c>
      <c r="H124" s="161">
        <f>+Amiens!G124+Compiègne!G124+Eu!G124</f>
        <v>0</v>
      </c>
      <c r="I124" s="149">
        <f t="shared" si="13"/>
        <v>24.272727272727273</v>
      </c>
      <c r="J124" s="271">
        <f t="shared" si="14"/>
        <v>-1</v>
      </c>
      <c r="K124" s="18">
        <f>+Amiens!D124+Compiègne!D124+Eu!D124</f>
        <v>0.37516960333333338</v>
      </c>
      <c r="L124" s="111"/>
    </row>
    <row r="125" spans="1:12" s="2" customFormat="1" ht="11.25">
      <c r="A125" s="5" t="s">
        <v>286</v>
      </c>
      <c r="B125" s="160">
        <f>+Amiens!$G125</f>
        <v>0</v>
      </c>
      <c r="C125" s="113">
        <f>+Compiègne!$G125</f>
        <v>0</v>
      </c>
      <c r="D125" s="113">
        <f>+Eu!$G125</f>
        <v>0</v>
      </c>
      <c r="E125" s="160">
        <f>+Amiens!E125+Compiègne!E125+Eu!E125</f>
        <v>0</v>
      </c>
      <c r="F125" s="135">
        <f>+Amiens!F125+Compiègne!F125+Eu!F125</f>
        <v>0</v>
      </c>
      <c r="G125" s="135">
        <v>0</v>
      </c>
      <c r="H125" s="161">
        <f>+Amiens!G125+Compiègne!G125+Eu!G125</f>
        <v>0</v>
      </c>
      <c r="I125" s="149">
        <f t="shared" si="13"/>
        <v>0</v>
      </c>
      <c r="J125" s="271">
        <f t="shared" si="14"/>
        <v>0</v>
      </c>
      <c r="K125" s="18">
        <f>+Amiens!D125+Compiègne!D125+Eu!D125</f>
        <v>0</v>
      </c>
      <c r="L125" s="111"/>
    </row>
    <row r="126" spans="1:12" s="2" customFormat="1" ht="11.25">
      <c r="A126" s="5" t="s">
        <v>361</v>
      </c>
      <c r="B126" s="160">
        <f>+Amiens!$G126</f>
        <v>0</v>
      </c>
      <c r="C126" s="113">
        <f>+Compiègne!$G126</f>
        <v>0</v>
      </c>
      <c r="D126" s="113">
        <f>+Eu!$G126</f>
        <v>0</v>
      </c>
      <c r="E126" s="160">
        <f>+Amiens!E126+Compiègne!E126+Eu!E126</f>
        <v>0</v>
      </c>
      <c r="F126" s="135">
        <f>+Amiens!F126+Compiègne!F126+Eu!F126</f>
        <v>0</v>
      </c>
      <c r="G126" s="135">
        <v>0</v>
      </c>
      <c r="H126" s="161">
        <f>+Amiens!G126+Compiègne!G126+Eu!G126</f>
        <v>0</v>
      </c>
      <c r="I126" s="149">
        <f t="shared" si="13"/>
        <v>0</v>
      </c>
      <c r="J126" s="271">
        <f t="shared" si="14"/>
        <v>0</v>
      </c>
      <c r="K126" s="18">
        <f>+Amiens!D126+Compiègne!D126+Eu!D126</f>
        <v>0</v>
      </c>
      <c r="L126" s="111"/>
    </row>
    <row r="127" spans="1:12" s="2" customFormat="1" ht="11.25">
      <c r="A127" s="5" t="s">
        <v>146</v>
      </c>
      <c r="B127" s="160">
        <f>+Amiens!$G127</f>
        <v>806.37749120000001</v>
      </c>
      <c r="C127" s="113">
        <f>+Compiègne!$G127</f>
        <v>1281.0924960000002</v>
      </c>
      <c r="D127" s="113">
        <f>+Eu!$G127</f>
        <v>6997.6440000000002</v>
      </c>
      <c r="E127" s="160">
        <f>+Amiens!E127+Compiègne!E127+Eu!E127</f>
        <v>8721.69</v>
      </c>
      <c r="F127" s="135">
        <f>+Amiens!F127+Compiègne!F127+Eu!F127</f>
        <v>9107.7466666666678</v>
      </c>
      <c r="G127" s="135">
        <v>4122.3206312000002</v>
      </c>
      <c r="H127" s="161">
        <f>+Amiens!G127+Compiègne!G127+Eu!G127</f>
        <v>9085.1139872000003</v>
      </c>
      <c r="I127" s="149">
        <f t="shared" si="13"/>
        <v>4.4263974833623675E-2</v>
      </c>
      <c r="J127" s="271">
        <f t="shared" si="14"/>
        <v>-2.484992204438507E-3</v>
      </c>
      <c r="K127" s="18">
        <f>+Amiens!D127+Compiègne!D127+Eu!D127</f>
        <v>9230.5591999999997</v>
      </c>
      <c r="L127" s="111"/>
    </row>
    <row r="128" spans="1:12" s="2" customFormat="1" ht="11.25">
      <c r="A128" s="5"/>
      <c r="B128" s="160"/>
      <c r="C128" s="113"/>
      <c r="D128" s="113"/>
      <c r="E128" s="160"/>
      <c r="F128" s="143"/>
      <c r="G128" s="143"/>
      <c r="H128" s="162"/>
      <c r="I128" s="149"/>
      <c r="J128" s="254"/>
      <c r="K128" s="18"/>
      <c r="L128" s="111"/>
    </row>
    <row r="129" spans="1:12" s="2" customFormat="1" ht="11.25">
      <c r="A129" s="13" t="s">
        <v>147</v>
      </c>
      <c r="B129" s="163">
        <f t="shared" ref="B129:H129" si="15">SUM(B117:B128)</f>
        <v>9389.888891200002</v>
      </c>
      <c r="C129" s="204">
        <f t="shared" si="15"/>
        <v>8695.3079960000032</v>
      </c>
      <c r="D129" s="204">
        <f t="shared" si="15"/>
        <v>26016.510600000001</v>
      </c>
      <c r="E129" s="163">
        <f>SUM(E117:E128)</f>
        <v>47835.89</v>
      </c>
      <c r="F129" s="136">
        <f>SUM(F117:F128)</f>
        <v>43751.513333333336</v>
      </c>
      <c r="G129" s="136">
        <v>38236.457256300186</v>
      </c>
      <c r="H129" s="168">
        <f t="shared" si="15"/>
        <v>44101.707487200001</v>
      </c>
      <c r="I129" s="272">
        <f>+IF((E129)=0,,(F129-E129)/E129)</f>
        <v>-8.538310182305929E-2</v>
      </c>
      <c r="J129" s="188">
        <f>+IF((F129)=0,,(H129-F129)/F129)</f>
        <v>8.0041609349283862E-3</v>
      </c>
      <c r="K129" s="305">
        <f>SUM(K117:K128)</f>
        <v>52095.625901095875</v>
      </c>
      <c r="L129" s="111"/>
    </row>
    <row r="130" spans="1:12" s="2" customFormat="1" ht="11.25">
      <c r="A130" s="5"/>
      <c r="B130" s="160"/>
      <c r="C130" s="113"/>
      <c r="D130" s="113"/>
      <c r="E130" s="160"/>
      <c r="F130" s="143"/>
      <c r="G130" s="143"/>
      <c r="H130" s="162"/>
      <c r="I130" s="149"/>
      <c r="J130" s="254"/>
      <c r="K130" s="18"/>
      <c r="L130" s="111"/>
    </row>
    <row r="131" spans="1:12" s="2" customFormat="1" ht="11.25">
      <c r="A131" s="5" t="s">
        <v>148</v>
      </c>
      <c r="B131" s="160">
        <f>+Amiens!$G131</f>
        <v>56198</v>
      </c>
      <c r="C131" s="113">
        <f>+Compiègne!$G131</f>
        <v>88275</v>
      </c>
      <c r="D131" s="113">
        <f>+Eu!$G131</f>
        <v>183462</v>
      </c>
      <c r="E131" s="160">
        <f>+Amiens!E131+Compiègne!E131+Eu!E131</f>
        <v>350150.20999999996</v>
      </c>
      <c r="F131" s="135">
        <f>+Amiens!F131+Compiègne!F131+Eu!F131</f>
        <v>320461.24</v>
      </c>
      <c r="G131" s="135">
        <v>368111.19530000002</v>
      </c>
      <c r="H131" s="161">
        <f>+Amiens!G131+Compiègne!G131+Eu!G131</f>
        <v>327935</v>
      </c>
      <c r="I131" s="149">
        <f>+IF((E131)=0,,(F131-E131)/E131)</f>
        <v>-8.4789239452405227E-2</v>
      </c>
      <c r="J131" s="271">
        <f>+IF((F131)=0,,(H131-F131)/F131)</f>
        <v>2.3321884418845817E-2</v>
      </c>
      <c r="K131" s="18">
        <f>+Amiens!D131+Compiègne!D131+Eu!D131</f>
        <v>352637</v>
      </c>
      <c r="L131" s="111"/>
    </row>
    <row r="132" spans="1:12" s="2" customFormat="1" ht="11.25">
      <c r="A132" s="5" t="s">
        <v>149</v>
      </c>
      <c r="B132" s="160">
        <f>+Amiens!$G132</f>
        <v>0</v>
      </c>
      <c r="C132" s="113">
        <f>+Compiègne!$G132</f>
        <v>0</v>
      </c>
      <c r="D132" s="113">
        <f>+Eu!$G132</f>
        <v>0</v>
      </c>
      <c r="E132" s="160">
        <f>+Amiens!E132+Compiègne!E132+Eu!E132</f>
        <v>62.5</v>
      </c>
      <c r="F132" s="135">
        <f>+Amiens!F132+Compiègne!F132+Eu!F132</f>
        <v>-7950</v>
      </c>
      <c r="G132" s="135">
        <v>-515</v>
      </c>
      <c r="H132" s="161">
        <f>+Amiens!G132+Compiègne!G132+Eu!G132</f>
        <v>0</v>
      </c>
      <c r="I132" s="149">
        <f t="shared" ref="I132:I151" si="16">+IF((E132)=0,,(F132-E132)/E132)</f>
        <v>-128.19999999999999</v>
      </c>
      <c r="J132" s="271">
        <f t="shared" ref="J132:J151" si="17">+IF((F132)=0,,(H132-F132)/F132)</f>
        <v>-1</v>
      </c>
      <c r="K132" s="18">
        <f>+Amiens!D132+Compiègne!D132+Eu!D132</f>
        <v>0</v>
      </c>
      <c r="L132" s="111"/>
    </row>
    <row r="133" spans="1:12" s="2" customFormat="1" ht="11.25">
      <c r="A133" s="5" t="s">
        <v>150</v>
      </c>
      <c r="B133" s="160">
        <f>+Amiens!$G133</f>
        <v>0</v>
      </c>
      <c r="C133" s="113">
        <f>+Compiègne!$G133</f>
        <v>0</v>
      </c>
      <c r="D133" s="113">
        <f>+Eu!$G133</f>
        <v>0</v>
      </c>
      <c r="E133" s="160">
        <f>+Amiens!E133+Compiègne!E133+Eu!E133</f>
        <v>0</v>
      </c>
      <c r="F133" s="135">
        <f>+Amiens!F133+Compiègne!F133+Eu!F133</f>
        <v>100</v>
      </c>
      <c r="G133" s="135">
        <v>0</v>
      </c>
      <c r="H133" s="161">
        <f>+Amiens!G133+Compiègne!G133+Eu!G133</f>
        <v>0</v>
      </c>
      <c r="I133" s="149">
        <f t="shared" si="16"/>
        <v>0</v>
      </c>
      <c r="J133" s="271">
        <f t="shared" si="17"/>
        <v>-1</v>
      </c>
      <c r="K133" s="18">
        <f>+Amiens!D133+Compiègne!D133+Eu!D133</f>
        <v>0</v>
      </c>
      <c r="L133" s="111"/>
    </row>
    <row r="134" spans="1:12" s="2" customFormat="1" ht="11.25">
      <c r="A134" s="5" t="s">
        <v>151</v>
      </c>
      <c r="B134" s="160">
        <f>+Amiens!$G134</f>
        <v>0</v>
      </c>
      <c r="C134" s="113">
        <f>+Compiègne!$G134</f>
        <v>0</v>
      </c>
      <c r="D134" s="113">
        <f>+Eu!$G134</f>
        <v>0</v>
      </c>
      <c r="E134" s="160">
        <f>+Amiens!E134+Compiègne!E134+Eu!E134</f>
        <v>-3897.7699999999977</v>
      </c>
      <c r="F134" s="135">
        <f>+Amiens!F134+Compiègne!F134+Eu!F134</f>
        <v>0</v>
      </c>
      <c r="G134" s="135">
        <v>0</v>
      </c>
      <c r="H134" s="161">
        <f>+Amiens!G134+Compiègne!G134+Eu!G134</f>
        <v>0</v>
      </c>
      <c r="I134" s="149">
        <f t="shared" si="16"/>
        <v>-1</v>
      </c>
      <c r="J134" s="271">
        <f t="shared" si="17"/>
        <v>0</v>
      </c>
      <c r="K134" s="18">
        <f>+Amiens!D134+Compiègne!D134+Eu!D134</f>
        <v>0</v>
      </c>
      <c r="L134" s="111"/>
    </row>
    <row r="135" spans="1:12" s="2" customFormat="1" ht="11.25">
      <c r="A135" s="5" t="s">
        <v>114</v>
      </c>
      <c r="B135" s="160">
        <f>+Amiens!$G135</f>
        <v>0</v>
      </c>
      <c r="C135" s="113">
        <f>+Compiègne!$G135</f>
        <v>0</v>
      </c>
      <c r="D135" s="113">
        <f>+Eu!$G135</f>
        <v>0</v>
      </c>
      <c r="E135" s="160">
        <f>+Amiens!E135+Compiègne!E135+Eu!E135</f>
        <v>0</v>
      </c>
      <c r="F135" s="135">
        <f>+Amiens!F135+Compiègne!F135+Eu!F135</f>
        <v>9186.9733333333352</v>
      </c>
      <c r="G135" s="135">
        <v>1163.0715459581252</v>
      </c>
      <c r="H135" s="161">
        <f>+Amiens!G135+Compiègne!G135+Eu!G135</f>
        <v>0</v>
      </c>
      <c r="I135" s="149">
        <f t="shared" si="16"/>
        <v>0</v>
      </c>
      <c r="J135" s="271">
        <f t="shared" si="17"/>
        <v>-1</v>
      </c>
      <c r="K135" s="18">
        <f>+Amiens!D135+Compiègne!D135+Eu!D135</f>
        <v>1092.7559294168752</v>
      </c>
      <c r="L135" s="111"/>
    </row>
    <row r="136" spans="1:12" s="2" customFormat="1" ht="11.25">
      <c r="A136" s="5" t="s">
        <v>338</v>
      </c>
      <c r="B136" s="160">
        <f>+Amiens!$G136</f>
        <v>0</v>
      </c>
      <c r="C136" s="113">
        <f>+Compiègne!$G136</f>
        <v>0</v>
      </c>
      <c r="D136" s="113">
        <f>+Eu!$G136</f>
        <v>0</v>
      </c>
      <c r="E136" s="160">
        <f>+Amiens!E136+Compiègne!E136+Eu!E136</f>
        <v>0</v>
      </c>
      <c r="F136" s="135">
        <f>+Amiens!F136+Compiègne!F136+Eu!F136</f>
        <v>0</v>
      </c>
      <c r="G136" s="135">
        <v>0</v>
      </c>
      <c r="H136" s="161">
        <f>+Amiens!G136+Compiègne!G136+Eu!G136</f>
        <v>0</v>
      </c>
      <c r="I136" s="149">
        <f t="shared" si="16"/>
        <v>0</v>
      </c>
      <c r="J136" s="271">
        <f t="shared" si="17"/>
        <v>0</v>
      </c>
      <c r="K136" s="18">
        <f>+Amiens!D136+Compiègne!D136+Eu!D136</f>
        <v>0</v>
      </c>
      <c r="L136" s="111"/>
    </row>
    <row r="137" spans="1:12" s="2" customFormat="1" ht="11.25">
      <c r="A137" s="5" t="s">
        <v>87</v>
      </c>
      <c r="B137" s="160">
        <f>+Amiens!$G137</f>
        <v>0</v>
      </c>
      <c r="C137" s="113">
        <f>+Compiègne!$G137</f>
        <v>0</v>
      </c>
      <c r="D137" s="113">
        <f>+Eu!$G137</f>
        <v>0</v>
      </c>
      <c r="E137" s="160">
        <f>+Amiens!E137+Compiègne!E137+Eu!E137</f>
        <v>-22777.360000000001</v>
      </c>
      <c r="F137" s="135">
        <f>+Amiens!F137+Compiègne!F137+Eu!F137</f>
        <v>-7463.4933333333338</v>
      </c>
      <c r="G137" s="135">
        <v>-8789.248015000001</v>
      </c>
      <c r="H137" s="161">
        <f>+Amiens!G137+Compiègne!G137+Eu!G137</f>
        <v>0</v>
      </c>
      <c r="I137" s="149">
        <f t="shared" si="16"/>
        <v>-0.67232842904825962</v>
      </c>
      <c r="J137" s="271">
        <f t="shared" si="17"/>
        <v>-1</v>
      </c>
      <c r="K137" s="18">
        <f>+Amiens!D137+Compiègne!D137+Eu!D137</f>
        <v>-8789.248015000001</v>
      </c>
      <c r="L137" s="111"/>
    </row>
    <row r="138" spans="1:12" s="2" customFormat="1" ht="11.25">
      <c r="A138" s="5" t="s">
        <v>152</v>
      </c>
      <c r="B138" s="160">
        <f>+Amiens!$G138</f>
        <v>0</v>
      </c>
      <c r="C138" s="113">
        <f>+Compiègne!$G138</f>
        <v>0</v>
      </c>
      <c r="D138" s="113">
        <f>+Eu!$G138</f>
        <v>0</v>
      </c>
      <c r="E138" s="160">
        <f>+Amiens!E138+Compiègne!E138+Eu!E138</f>
        <v>-1400.5300000000007</v>
      </c>
      <c r="F138" s="135">
        <f>+Amiens!F138+Compiègne!F138+Eu!F138</f>
        <v>0</v>
      </c>
      <c r="G138" s="135">
        <v>0</v>
      </c>
      <c r="H138" s="161">
        <f>+Amiens!G138+Compiègne!G138+Eu!G138</f>
        <v>0</v>
      </c>
      <c r="I138" s="149">
        <f t="shared" si="16"/>
        <v>-1</v>
      </c>
      <c r="J138" s="271">
        <f t="shared" si="17"/>
        <v>0</v>
      </c>
      <c r="K138" s="18">
        <f>+Amiens!D138+Compiègne!D138+Eu!D138</f>
        <v>0</v>
      </c>
      <c r="L138" s="111"/>
    </row>
    <row r="139" spans="1:12" s="2" customFormat="1" ht="11.25">
      <c r="A139" s="5" t="s">
        <v>153</v>
      </c>
      <c r="B139" s="160">
        <f>+Amiens!$G139</f>
        <v>0</v>
      </c>
      <c r="C139" s="113">
        <f>+Compiègne!$G139</f>
        <v>0</v>
      </c>
      <c r="D139" s="113">
        <f>+Eu!$G139</f>
        <v>0</v>
      </c>
      <c r="E139" s="160">
        <f>+Amiens!E139+Compiègne!E139+Eu!E139</f>
        <v>0</v>
      </c>
      <c r="F139" s="135">
        <f>+Amiens!F139+Compiègne!F139+Eu!F139</f>
        <v>0</v>
      </c>
      <c r="G139" s="135">
        <v>0</v>
      </c>
      <c r="H139" s="161">
        <f>+Amiens!G139+Compiègne!G139+Eu!G139</f>
        <v>0</v>
      </c>
      <c r="I139" s="149">
        <f t="shared" si="16"/>
        <v>0</v>
      </c>
      <c r="J139" s="271">
        <f t="shared" si="17"/>
        <v>0</v>
      </c>
      <c r="K139" s="18">
        <f>+Amiens!D139+Compiègne!D139+Eu!D139</f>
        <v>0</v>
      </c>
      <c r="L139" s="111"/>
    </row>
    <row r="140" spans="1:12" s="2" customFormat="1" ht="11.25">
      <c r="A140" s="5" t="s">
        <v>154</v>
      </c>
      <c r="B140" s="160">
        <f>+Amiens!$G140</f>
        <v>0</v>
      </c>
      <c r="C140" s="113">
        <f>+Compiègne!$G140</f>
        <v>0</v>
      </c>
      <c r="D140" s="113">
        <f>+Eu!$G140</f>
        <v>0</v>
      </c>
      <c r="E140" s="160">
        <f>+Amiens!E140+Compiègne!E140+Eu!E140</f>
        <v>2645.93</v>
      </c>
      <c r="F140" s="135">
        <f>+Amiens!F140+Compiègne!F140+Eu!F140</f>
        <v>9328.0533333333333</v>
      </c>
      <c r="G140" s="135">
        <v>0</v>
      </c>
      <c r="H140" s="161">
        <f>+Amiens!G140+Compiègne!G140+Eu!G140</f>
        <v>0</v>
      </c>
      <c r="I140" s="149">
        <f t="shared" si="16"/>
        <v>2.525434661284816</v>
      </c>
      <c r="J140" s="271">
        <f t="shared" si="17"/>
        <v>-1</v>
      </c>
      <c r="K140" s="18">
        <f>+Amiens!D140+Compiègne!D140+Eu!D140</f>
        <v>0</v>
      </c>
      <c r="L140" s="111"/>
    </row>
    <row r="141" spans="1:12" s="2" customFormat="1" ht="11.25">
      <c r="A141" s="5" t="s">
        <v>155</v>
      </c>
      <c r="B141" s="160">
        <f>+Amiens!$G141</f>
        <v>-2471.3047662991198</v>
      </c>
      <c r="C141" s="113">
        <f>+Compiègne!$G141</f>
        <v>25983.068193541596</v>
      </c>
      <c r="D141" s="113">
        <f>+Eu!$G141</f>
        <v>38969.821086263939</v>
      </c>
      <c r="E141" s="160">
        <f>+Amiens!E141+Compiègne!E141+Eu!E141</f>
        <v>66692.240000000005</v>
      </c>
      <c r="F141" s="135">
        <f>+Amiens!F141+Compiègne!F141+Eu!F141</f>
        <v>59385.039999999994</v>
      </c>
      <c r="G141" s="135">
        <v>69489.131724310631</v>
      </c>
      <c r="H141" s="161">
        <f>+Amiens!G141+Compiègne!G141+Eu!G141</f>
        <v>62481.584513506416</v>
      </c>
      <c r="I141" s="149">
        <f t="shared" si="16"/>
        <v>-0.10956597049371877</v>
      </c>
      <c r="J141" s="271">
        <f t="shared" si="17"/>
        <v>5.2143511455181681E-2</v>
      </c>
      <c r="K141" s="18">
        <f>+Amiens!D141+Compiègne!D141+Eu!D141</f>
        <v>61661.456312839466</v>
      </c>
      <c r="L141" s="111"/>
    </row>
    <row r="142" spans="1:12" s="2" customFormat="1" ht="11.25">
      <c r="A142" s="5" t="s">
        <v>156</v>
      </c>
      <c r="B142" s="160">
        <f>+Amiens!$G142</f>
        <v>3823.5171508535159</v>
      </c>
      <c r="C142" s="113">
        <f>+Compiègne!$G142</f>
        <v>4386.3443644208519</v>
      </c>
      <c r="D142" s="113">
        <f>+Eu!$G142</f>
        <v>6553.1692420595009</v>
      </c>
      <c r="E142" s="160">
        <f>+Amiens!E142+Compiègne!E142+Eu!E142</f>
        <v>13245.77</v>
      </c>
      <c r="F142" s="135">
        <f>+Amiens!F142+Compiègne!F142+Eu!F142</f>
        <v>14275.786666666667</v>
      </c>
      <c r="G142" s="135">
        <v>14077.837667181549</v>
      </c>
      <c r="H142" s="161">
        <f>+Amiens!G142+Compiègne!G142+Eu!G142</f>
        <v>14763.030757333869</v>
      </c>
      <c r="I142" s="149">
        <f t="shared" si="16"/>
        <v>7.7761932048243804E-2</v>
      </c>
      <c r="J142" s="271">
        <f t="shared" si="17"/>
        <v>3.4130804980778771E-2</v>
      </c>
      <c r="K142" s="18">
        <f>+Amiens!D142+Compiègne!D142+Eu!D142</f>
        <v>14338.461758769117</v>
      </c>
      <c r="L142" s="111"/>
    </row>
    <row r="143" spans="1:12" s="2" customFormat="1" ht="11.25">
      <c r="A143" s="5" t="s">
        <v>157</v>
      </c>
      <c r="B143" s="160">
        <f>+Amiens!$G143</f>
        <v>11921.306545632959</v>
      </c>
      <c r="C143" s="113">
        <f>+Compiègne!$G143</f>
        <v>5436.4703668088068</v>
      </c>
      <c r="D143" s="113">
        <f>+Eu!$G143</f>
        <v>10455.460185729396</v>
      </c>
      <c r="E143" s="160">
        <f>+Amiens!E143+Compiègne!E143+Eu!E143</f>
        <v>28961.809999999998</v>
      </c>
      <c r="F143" s="135">
        <f>+Amiens!F143+Compiègne!F143+Eu!F143</f>
        <v>27238.653333333328</v>
      </c>
      <c r="G143" s="135">
        <v>30656.300810374305</v>
      </c>
      <c r="H143" s="161">
        <f>+Amiens!G143+Compiègne!G143+Eu!G143</f>
        <v>27813.237098171161</v>
      </c>
      <c r="I143" s="149">
        <f t="shared" si="16"/>
        <v>-5.9497547517460739E-2</v>
      </c>
      <c r="J143" s="271">
        <f t="shared" si="17"/>
        <v>2.1094426284822436E-2</v>
      </c>
      <c r="K143" s="18">
        <f>+Amiens!D143+Compiègne!D143+Eu!D143</f>
        <v>31758.031691588061</v>
      </c>
      <c r="L143" s="111"/>
    </row>
    <row r="144" spans="1:12" s="2" customFormat="1" ht="11.25">
      <c r="A144" s="5" t="s">
        <v>326</v>
      </c>
      <c r="B144" s="160">
        <f>+Amiens!$G144</f>
        <v>343.35248017206607</v>
      </c>
      <c r="C144" s="113">
        <f>+Compiègne!$G144</f>
        <v>0</v>
      </c>
      <c r="D144" s="113">
        <f>+Eu!$G144</f>
        <v>0</v>
      </c>
      <c r="E144" s="160">
        <f>+Amiens!E144+Compiègne!E144+Eu!E144</f>
        <v>1900.76</v>
      </c>
      <c r="F144" s="135">
        <f>+Amiens!F144+Compiègne!F144+Eu!F144</f>
        <v>346.2</v>
      </c>
      <c r="G144" s="135">
        <v>371.44979126730129</v>
      </c>
      <c r="H144" s="161">
        <f>+Amiens!G144+Compiègne!G144+Eu!G144</f>
        <v>343.35248017206607</v>
      </c>
      <c r="I144" s="149">
        <f t="shared" si="16"/>
        <v>-0.81786232875270937</v>
      </c>
      <c r="J144" s="271">
        <f t="shared" si="17"/>
        <v>-8.2250717155803663E-3</v>
      </c>
      <c r="K144" s="18">
        <f>+Amiens!D144+Compiègne!D144+Eu!D144</f>
        <v>448.5359588287879</v>
      </c>
      <c r="L144" s="111"/>
    </row>
    <row r="145" spans="1:12" s="2" customFormat="1" ht="11.25">
      <c r="A145" s="5" t="s">
        <v>158</v>
      </c>
      <c r="B145" s="160">
        <f>+Amiens!$G145</f>
        <v>5835.5904543598153</v>
      </c>
      <c r="C145" s="113">
        <f>+Compiègne!$G145</f>
        <v>3384.4578362643656</v>
      </c>
      <c r="D145" s="113">
        <f>+Eu!$G145</f>
        <v>7723.7065809645837</v>
      </c>
      <c r="E145" s="160">
        <f>+Amiens!E145+Compiègne!E145+Eu!E145</f>
        <v>17203.63</v>
      </c>
      <c r="F145" s="135">
        <f>+Amiens!F145+Compiègne!F145+Eu!F145</f>
        <v>16557.146666666667</v>
      </c>
      <c r="G145" s="135">
        <v>18044.32118265083</v>
      </c>
      <c r="H145" s="161">
        <f>+Amiens!G145+Compiègne!G145+Eu!G145</f>
        <v>16943.754871588764</v>
      </c>
      <c r="I145" s="149">
        <f t="shared" si="16"/>
        <v>-3.7578309538936462E-2</v>
      </c>
      <c r="J145" s="271">
        <f t="shared" si="17"/>
        <v>2.3349929351077606E-2</v>
      </c>
      <c r="K145" s="18">
        <f>+Amiens!D145+Compiègne!D145+Eu!D145</f>
        <v>18418.669498533982</v>
      </c>
      <c r="L145" s="111"/>
    </row>
    <row r="146" spans="1:12" s="2" customFormat="1" ht="11.25">
      <c r="A146" s="5" t="s">
        <v>159</v>
      </c>
      <c r="B146" s="160">
        <f>+Amiens!$G146</f>
        <v>0</v>
      </c>
      <c r="C146" s="113">
        <f>+Compiègne!$G146</f>
        <v>0</v>
      </c>
      <c r="D146" s="113">
        <f>+Eu!$G146</f>
        <v>0</v>
      </c>
      <c r="E146" s="160">
        <f>+Amiens!E146+Compiègne!E146+Eu!E146</f>
        <v>0</v>
      </c>
      <c r="F146" s="135">
        <f>+Amiens!F146+Compiègne!F146+Eu!F146</f>
        <v>0</v>
      </c>
      <c r="G146" s="135">
        <v>0</v>
      </c>
      <c r="H146" s="161">
        <f>+Amiens!G146+Compiègne!G146+Eu!G146</f>
        <v>0</v>
      </c>
      <c r="I146" s="149">
        <f t="shared" si="16"/>
        <v>0</v>
      </c>
      <c r="J146" s="271">
        <f t="shared" si="17"/>
        <v>0</v>
      </c>
      <c r="K146" s="18">
        <f>+Amiens!D146+Compiègne!D146+Eu!D146</f>
        <v>0</v>
      </c>
      <c r="L146" s="111"/>
    </row>
    <row r="147" spans="1:12" s="2" customFormat="1" ht="11.25">
      <c r="A147" s="5" t="s">
        <v>160</v>
      </c>
      <c r="B147" s="160">
        <f>+Amiens!$G147</f>
        <v>-3404.3422666666665</v>
      </c>
      <c r="C147" s="113">
        <f>+Compiègne!$G147</f>
        <v>454.84799999999996</v>
      </c>
      <c r="D147" s="113">
        <f>+Eu!$G147</f>
        <v>159.91093333333333</v>
      </c>
      <c r="E147" s="160">
        <f>+Amiens!E147+Compiègne!E147+Eu!E147</f>
        <v>26.510000000000005</v>
      </c>
      <c r="F147" s="135">
        <f>+Amiens!F147+Compiègne!F147+Eu!F147</f>
        <v>-2708.333333333333</v>
      </c>
      <c r="G147" s="135">
        <v>7.139872771874991</v>
      </c>
      <c r="H147" s="161">
        <f>+Amiens!G147+Compiègne!G147+Eu!G147</f>
        <v>-2789.583333333333</v>
      </c>
      <c r="I147" s="149">
        <f t="shared" si="16"/>
        <v>-103.16270589714571</v>
      </c>
      <c r="J147" s="271">
        <f t="shared" si="17"/>
        <v>3.0000000000000002E-2</v>
      </c>
      <c r="K147" s="18">
        <f>+Amiens!D147+Compiègne!D147+Eu!D147</f>
        <v>7.139872771874991</v>
      </c>
      <c r="L147" s="111"/>
    </row>
    <row r="148" spans="1:12" s="2" customFormat="1" ht="11.25">
      <c r="A148" s="5" t="s">
        <v>161</v>
      </c>
      <c r="B148" s="160">
        <f>+Amiens!$G148</f>
        <v>0</v>
      </c>
      <c r="C148" s="113">
        <f>+Compiègne!$G148</f>
        <v>0</v>
      </c>
      <c r="D148" s="113">
        <f>+Eu!$G148</f>
        <v>0</v>
      </c>
      <c r="E148" s="160">
        <f>+Amiens!E148+Compiègne!E148+Eu!E148</f>
        <v>122.34</v>
      </c>
      <c r="F148" s="135">
        <f>+Amiens!F148+Compiègne!F148+Eu!F148</f>
        <v>0</v>
      </c>
      <c r="G148" s="135">
        <v>122.03127510874999</v>
      </c>
      <c r="H148" s="161">
        <f>+Amiens!G148+Compiègne!G148+Eu!G148</f>
        <v>0</v>
      </c>
      <c r="I148" s="149">
        <f t="shared" si="16"/>
        <v>-1</v>
      </c>
      <c r="J148" s="271">
        <f t="shared" si="17"/>
        <v>0</v>
      </c>
      <c r="K148" s="18">
        <f>+Amiens!D148+Compiègne!D148+Eu!D148</f>
        <v>122.03127510874999</v>
      </c>
      <c r="L148" s="111"/>
    </row>
    <row r="149" spans="1:12" s="2" customFormat="1" ht="11.25">
      <c r="A149" s="5" t="s">
        <v>162</v>
      </c>
      <c r="B149" s="160">
        <f>+Amiens!$G149</f>
        <v>0</v>
      </c>
      <c r="C149" s="113">
        <f>+Compiègne!$G149</f>
        <v>0</v>
      </c>
      <c r="D149" s="113">
        <f>+Eu!$G149</f>
        <v>0</v>
      </c>
      <c r="E149" s="160">
        <f>+Amiens!E149+Compiègne!E149+Eu!E149</f>
        <v>245.86</v>
      </c>
      <c r="F149" s="135">
        <f>+Amiens!F149+Compiègne!F149+Eu!F149</f>
        <v>0</v>
      </c>
      <c r="G149" s="135">
        <v>260.39525275</v>
      </c>
      <c r="H149" s="161">
        <f>+Amiens!G149+Compiègne!G149+Eu!G149</f>
        <v>0</v>
      </c>
      <c r="I149" s="149">
        <f t="shared" si="16"/>
        <v>-1</v>
      </c>
      <c r="J149" s="271">
        <f t="shared" si="17"/>
        <v>0</v>
      </c>
      <c r="K149" s="18">
        <f>+Amiens!D149+Compiègne!D149+Eu!D149</f>
        <v>260.39525275</v>
      </c>
      <c r="L149" s="111"/>
    </row>
    <row r="150" spans="1:12" s="2" customFormat="1" ht="11.25">
      <c r="A150" s="5" t="s">
        <v>163</v>
      </c>
      <c r="B150" s="160">
        <f>+Amiens!$G150</f>
        <v>0</v>
      </c>
      <c r="C150" s="113">
        <f>+Compiègne!$G150</f>
        <v>280.16000000000003</v>
      </c>
      <c r="D150" s="113">
        <f>+Eu!$G150</f>
        <v>982.34533333333343</v>
      </c>
      <c r="E150" s="160">
        <f>+Amiens!E150+Compiègne!E150+Eu!E150</f>
        <v>1152.6500000000001</v>
      </c>
      <c r="F150" s="135">
        <f>+Amiens!F150+Compiègne!F150+Eu!F150</f>
        <v>1225.7333333333333</v>
      </c>
      <c r="G150" s="135">
        <v>1559.8108921995927</v>
      </c>
      <c r="H150" s="161">
        <f>+Amiens!G150+Compiègne!G150+Eu!G150</f>
        <v>1262.5053333333335</v>
      </c>
      <c r="I150" s="149">
        <f t="shared" si="16"/>
        <v>6.3404618343237976E-2</v>
      </c>
      <c r="J150" s="271">
        <f t="shared" si="17"/>
        <v>3.0000000000000131E-2</v>
      </c>
      <c r="K150" s="18">
        <f>+Amiens!D150+Compiègne!D150+Eu!D150</f>
        <v>1559.8108921995927</v>
      </c>
      <c r="L150" s="111"/>
    </row>
    <row r="151" spans="1:12" s="2" customFormat="1" ht="11.25">
      <c r="A151" s="5" t="s">
        <v>58</v>
      </c>
      <c r="B151" s="160">
        <f>+Amiens!$G152</f>
        <v>0</v>
      </c>
      <c r="C151" s="113">
        <f>+Compiègne!$G152</f>
        <v>0</v>
      </c>
      <c r="D151" s="113">
        <f>+Eu!$G152</f>
        <v>0</v>
      </c>
      <c r="E151" s="160">
        <f>+Amiens!E152+Compiègne!E152+Eu!E152</f>
        <v>28501.662959999998</v>
      </c>
      <c r="F151" s="135">
        <f>+Amiens!F152+Compiègne!F152+Eu!F152</f>
        <v>0</v>
      </c>
      <c r="G151" s="135">
        <v>6034.4671285000004</v>
      </c>
      <c r="H151" s="161">
        <f>+Amiens!G152+Compiègne!G152+Eu!G152</f>
        <v>0</v>
      </c>
      <c r="I151" s="149">
        <f t="shared" si="16"/>
        <v>-1</v>
      </c>
      <c r="J151" s="271">
        <f t="shared" si="17"/>
        <v>0</v>
      </c>
      <c r="K151" s="18">
        <f>+Amiens!D152+Compiègne!D152+Eu!D152</f>
        <v>6034.4671285000004</v>
      </c>
      <c r="L151" s="111"/>
    </row>
    <row r="152" spans="1:12" s="2" customFormat="1" ht="11.25">
      <c r="A152" s="5"/>
      <c r="B152" s="160"/>
      <c r="C152" s="113"/>
      <c r="D152" s="113"/>
      <c r="E152" s="160"/>
      <c r="F152" s="143"/>
      <c r="G152" s="143"/>
      <c r="H152" s="162"/>
      <c r="I152" s="149"/>
      <c r="J152" s="254"/>
      <c r="K152" s="18"/>
      <c r="L152" s="111"/>
    </row>
    <row r="153" spans="1:12" s="2" customFormat="1" ht="11.25">
      <c r="A153" s="13" t="s">
        <v>164</v>
      </c>
      <c r="B153" s="163">
        <f t="shared" ref="B153:H153" si="18">SUM(B130:B152)</f>
        <v>72246.119598052552</v>
      </c>
      <c r="C153" s="204">
        <f t="shared" si="18"/>
        <v>128200.34876103561</v>
      </c>
      <c r="D153" s="204">
        <f t="shared" si="18"/>
        <v>248306.41336168407</v>
      </c>
      <c r="E153" s="163">
        <f>SUM(E130:E152)</f>
        <v>482836.21295999998</v>
      </c>
      <c r="F153" s="136">
        <f>SUM(F130:F152)</f>
        <v>439983</v>
      </c>
      <c r="G153" s="136">
        <v>500592.90442807291</v>
      </c>
      <c r="H153" s="168">
        <f t="shared" si="18"/>
        <v>448752.88172077225</v>
      </c>
      <c r="I153" s="272">
        <f>+IF((E153)=0,,(F153-E153)/E153)</f>
        <v>-8.8753104696291912E-2</v>
      </c>
      <c r="J153" s="188">
        <f>+IF((F153)=0,,(H153-F153)/F153)</f>
        <v>1.9932319477734925E-2</v>
      </c>
      <c r="K153" s="305">
        <f>SUM(K130:K152)</f>
        <v>479549.50755630649</v>
      </c>
      <c r="L153" s="111"/>
    </row>
    <row r="154" spans="1:12" s="2" customFormat="1" ht="11.25">
      <c r="A154" s="5"/>
      <c r="B154" s="160"/>
      <c r="C154" s="113"/>
      <c r="D154" s="113"/>
      <c r="E154" s="160"/>
      <c r="F154" s="143"/>
      <c r="G154" s="143"/>
      <c r="H154" s="162"/>
      <c r="I154" s="149"/>
      <c r="J154" s="254"/>
      <c r="K154" s="18"/>
      <c r="L154" s="111"/>
    </row>
    <row r="155" spans="1:12" s="2" customFormat="1" ht="11.25">
      <c r="A155" s="5" t="s">
        <v>227</v>
      </c>
      <c r="B155" s="160">
        <f>+Amiens!$G156</f>
        <v>6677.0521636248013</v>
      </c>
      <c r="C155" s="113">
        <f>+Compiègne!$G156</f>
        <v>12148.921116984602</v>
      </c>
      <c r="D155" s="113">
        <f>+Eu!$G156</f>
        <v>7107.5440639800008</v>
      </c>
      <c r="E155" s="160">
        <f>+Amiens!E156+Compiègne!E156+Eu!E156</f>
        <v>1237.0999999999999</v>
      </c>
      <c r="F155" s="135">
        <f>+Amiens!F156+Compiègne!F156+Eu!F156</f>
        <v>14765.706666666669</v>
      </c>
      <c r="G155" s="135">
        <v>32719.28088875</v>
      </c>
      <c r="H155" s="161">
        <f>+Amiens!G156+Compiègne!G156+Eu!G156</f>
        <v>25933.517344589403</v>
      </c>
      <c r="I155" s="149">
        <f>+IF((E155)=0,,(F155-E155)/E155)</f>
        <v>10.935742192762646</v>
      </c>
      <c r="J155" s="271">
        <f>+IF((F155)=0,,(H155-F155)/F155)</f>
        <v>0.75633431775628301</v>
      </c>
      <c r="K155" s="18">
        <f>+Amiens!D156+Compiègne!D156+Eu!D156</f>
        <v>26433.219323279998</v>
      </c>
      <c r="L155" s="111"/>
    </row>
    <row r="156" spans="1:12" s="2" customFormat="1" ht="11.25">
      <c r="A156" s="5" t="s">
        <v>165</v>
      </c>
      <c r="B156" s="160">
        <f>+Amiens!$G157</f>
        <v>0</v>
      </c>
      <c r="C156" s="113">
        <f>+Compiègne!$G157</f>
        <v>0</v>
      </c>
      <c r="D156" s="113">
        <f>+Eu!$G157</f>
        <v>0</v>
      </c>
      <c r="E156" s="160">
        <f>+Amiens!E157+Compiègne!E157+Eu!E157</f>
        <v>-9891.7799999999988</v>
      </c>
      <c r="F156" s="135">
        <f>+Amiens!F157+Compiègne!F157+Eu!F157</f>
        <v>-7089.253333333334</v>
      </c>
      <c r="G156" s="135">
        <v>0</v>
      </c>
      <c r="H156" s="161">
        <f>+Amiens!G157+Compiègne!G157+Eu!G157</f>
        <v>0</v>
      </c>
      <c r="I156" s="149">
        <f t="shared" ref="I156:I165" si="19">+IF((E156)=0,,(F156-E156)/E156)</f>
        <v>-0.28331874209360347</v>
      </c>
      <c r="J156" s="271">
        <f t="shared" ref="J156:J165" si="20">+IF((F156)=0,,(H156-F156)/F156)</f>
        <v>-1</v>
      </c>
      <c r="K156" s="18">
        <f>+Amiens!D157+Compiègne!D157+Eu!D157</f>
        <v>0</v>
      </c>
      <c r="L156" s="111"/>
    </row>
    <row r="157" spans="1:12" s="2" customFormat="1" ht="11.25">
      <c r="A157" s="5" t="s">
        <v>166</v>
      </c>
      <c r="B157" s="160">
        <f>+Amiens!$G158</f>
        <v>0</v>
      </c>
      <c r="C157" s="113">
        <f>+Compiègne!$G158</f>
        <v>0</v>
      </c>
      <c r="D157" s="113">
        <f>+Eu!$G158</f>
        <v>0</v>
      </c>
      <c r="E157" s="160">
        <f>+Amiens!E158+Compiègne!E158+Eu!E158</f>
        <v>16070.75</v>
      </c>
      <c r="F157" s="135">
        <f>+Amiens!F158+Compiègne!F158+Eu!F158</f>
        <v>8425.6666666666661</v>
      </c>
      <c r="G157" s="135">
        <v>0</v>
      </c>
      <c r="H157" s="161">
        <f>+Amiens!G158+Compiègne!G158+Eu!G158</f>
        <v>0</v>
      </c>
      <c r="I157" s="149">
        <f t="shared" si="19"/>
        <v>-0.47571415978304271</v>
      </c>
      <c r="J157" s="271">
        <f t="shared" si="20"/>
        <v>-1</v>
      </c>
      <c r="K157" s="18">
        <f>+Amiens!D158+Compiègne!D158+Eu!D158</f>
        <v>0</v>
      </c>
      <c r="L157" s="111"/>
    </row>
    <row r="158" spans="1:12" s="2" customFormat="1" ht="11.25">
      <c r="A158" s="5" t="s">
        <v>60</v>
      </c>
      <c r="B158" s="160">
        <f>+Amiens!$G159</f>
        <v>0</v>
      </c>
      <c r="C158" s="113">
        <f>+Compiègne!$G159</f>
        <v>0</v>
      </c>
      <c r="D158" s="113">
        <f>+Eu!$G159</f>
        <v>0</v>
      </c>
      <c r="E158" s="160">
        <f>+Amiens!E159+Compiègne!E159+Eu!E159</f>
        <v>-2392.38</v>
      </c>
      <c r="F158" s="135">
        <f>+Amiens!F159+Compiègne!F159+Eu!F159</f>
        <v>0</v>
      </c>
      <c r="G158" s="135">
        <v>0</v>
      </c>
      <c r="H158" s="161">
        <f>+Amiens!G159+Compiègne!G159+Eu!G159</f>
        <v>0</v>
      </c>
      <c r="I158" s="149">
        <f t="shared" si="19"/>
        <v>-1</v>
      </c>
      <c r="J158" s="271">
        <f t="shared" si="20"/>
        <v>0</v>
      </c>
      <c r="K158" s="18">
        <f>+Amiens!D159+Compiègne!D159+Eu!D159</f>
        <v>0</v>
      </c>
      <c r="L158" s="111"/>
    </row>
    <row r="159" spans="1:12" s="2" customFormat="1" ht="11.25">
      <c r="A159" s="5" t="s">
        <v>199</v>
      </c>
      <c r="B159" s="160">
        <f>+Amiens!$G160</f>
        <v>0</v>
      </c>
      <c r="C159" s="113">
        <f>+Compiègne!$G160</f>
        <v>0</v>
      </c>
      <c r="D159" s="113">
        <f>+Eu!$G160</f>
        <v>0</v>
      </c>
      <c r="E159" s="160">
        <f>+Amiens!E160+Compiègne!E160+Eu!E160</f>
        <v>-1.2600000000000002</v>
      </c>
      <c r="F159" s="135">
        <f>+Amiens!F160+Compiègne!F160+Eu!F160</f>
        <v>123.74666666666666</v>
      </c>
      <c r="G159" s="135">
        <v>0</v>
      </c>
      <c r="H159" s="161">
        <f>+Amiens!G160+Compiègne!G160+Eu!G160</f>
        <v>0</v>
      </c>
      <c r="I159" s="149">
        <f t="shared" si="19"/>
        <v>-99.211640211640187</v>
      </c>
      <c r="J159" s="271">
        <f t="shared" si="20"/>
        <v>-1</v>
      </c>
      <c r="K159" s="18">
        <f>+Amiens!D160+Compiègne!D160+Eu!D160</f>
        <v>0</v>
      </c>
      <c r="L159" s="111"/>
    </row>
    <row r="160" spans="1:12" s="2" customFormat="1" ht="11.25">
      <c r="A160" s="5" t="s">
        <v>41</v>
      </c>
      <c r="B160" s="160">
        <f>+Amiens!$G161</f>
        <v>538.81360000000006</v>
      </c>
      <c r="C160" s="113">
        <f>+Compiègne!$G161</f>
        <v>137.33333333333331</v>
      </c>
      <c r="D160" s="113">
        <f>+Eu!$G161</f>
        <v>53.381466666666668</v>
      </c>
      <c r="E160" s="160">
        <f>+Amiens!E161+Compiègne!E161+Eu!E161</f>
        <v>1326.44</v>
      </c>
      <c r="F160" s="135">
        <f>+Amiens!F161+Compiègne!F161+Eu!F161</f>
        <v>708.28000000000009</v>
      </c>
      <c r="G160" s="135">
        <v>407.60957830770388</v>
      </c>
      <c r="H160" s="161">
        <f>+Amiens!G161+Compiègne!G161+Eu!G161</f>
        <v>729.52840000000015</v>
      </c>
      <c r="I160" s="149">
        <f t="shared" si="19"/>
        <v>-0.46602937185247728</v>
      </c>
      <c r="J160" s="271">
        <f t="shared" si="20"/>
        <v>3.0000000000000082E-2</v>
      </c>
      <c r="K160" s="18">
        <f>+Amiens!D161+Compiègne!D161+Eu!D161</f>
        <v>407.60957830770388</v>
      </c>
      <c r="L160" s="111"/>
    </row>
    <row r="161" spans="1:12" s="2" customFormat="1" ht="11.25">
      <c r="A161" s="5" t="s">
        <v>355</v>
      </c>
      <c r="B161" s="160">
        <f>+Amiens!$G162</f>
        <v>24.678800000000003</v>
      </c>
      <c r="C161" s="113">
        <f>+Compiègne!$G162</f>
        <v>19.721066666666665</v>
      </c>
      <c r="D161" s="113">
        <f>+Eu!$G162</f>
        <v>29.581599999999998</v>
      </c>
      <c r="E161" s="160">
        <f>+Amiens!E162+Compiègne!E162+Eu!E162</f>
        <v>40.67</v>
      </c>
      <c r="F161" s="135">
        <f>+Amiens!F162+Compiègne!F162+Eu!F162</f>
        <v>71.826666666666668</v>
      </c>
      <c r="G161" s="135">
        <v>27.379668073876388</v>
      </c>
      <c r="H161" s="161">
        <f>+Amiens!G162+Compiègne!G162+Eu!G162</f>
        <v>73.981466666666662</v>
      </c>
      <c r="I161" s="149">
        <f t="shared" si="19"/>
        <v>0.7660847471518728</v>
      </c>
      <c r="J161" s="271">
        <f t="shared" si="20"/>
        <v>2.9999999999999923E-2</v>
      </c>
      <c r="K161" s="18">
        <f>+Amiens!D162+Compiègne!D162+Eu!D162</f>
        <v>27.379668073876388</v>
      </c>
      <c r="L161" s="111"/>
    </row>
    <row r="162" spans="1:12" s="2" customFormat="1" ht="11.25">
      <c r="A162" s="5" t="s">
        <v>200</v>
      </c>
      <c r="B162" s="160">
        <f>+Amiens!$G163</f>
        <v>0</v>
      </c>
      <c r="C162" s="113">
        <f>+Compiègne!$G163</f>
        <v>397.55253333333337</v>
      </c>
      <c r="D162" s="113">
        <f>+Eu!$G163</f>
        <v>138.41826666666668</v>
      </c>
      <c r="E162" s="160">
        <f>+Amiens!E163+Compiègne!E163+Eu!E163</f>
        <v>563.79999999999995</v>
      </c>
      <c r="F162" s="135">
        <f>+Amiens!F163+Compiègne!F163+Eu!F163</f>
        <v>520.36</v>
      </c>
      <c r="G162" s="135">
        <v>672.86727191218756</v>
      </c>
      <c r="H162" s="161">
        <f>+Amiens!G163+Compiègne!G163+Eu!G163</f>
        <v>535.97080000000005</v>
      </c>
      <c r="I162" s="149">
        <f t="shared" si="19"/>
        <v>-7.7048598793898443E-2</v>
      </c>
      <c r="J162" s="271">
        <f t="shared" si="20"/>
        <v>3.0000000000000075E-2</v>
      </c>
      <c r="K162" s="18">
        <f>+Amiens!D163+Compiègne!D163+Eu!D163</f>
        <v>672.86727191218756</v>
      </c>
      <c r="L162" s="111"/>
    </row>
    <row r="163" spans="1:12" s="2" customFormat="1" ht="11.25">
      <c r="A163" s="5" t="s">
        <v>271</v>
      </c>
      <c r="B163" s="160">
        <f>+Amiens!$G164</f>
        <v>-37.08</v>
      </c>
      <c r="C163" s="113">
        <f>+Compiègne!$G164</f>
        <v>0</v>
      </c>
      <c r="D163" s="113">
        <f>+Eu!$G164</f>
        <v>-12.36</v>
      </c>
      <c r="E163" s="160">
        <f>+Amiens!E164+Compiègne!E164+Eu!E164</f>
        <v>-54</v>
      </c>
      <c r="F163" s="135">
        <f>+Amiens!F164+Compiègne!F164+Eu!F164</f>
        <v>-48</v>
      </c>
      <c r="G163" s="135">
        <v>-91.183140034531249</v>
      </c>
      <c r="H163" s="161">
        <f>+Amiens!G164+Compiègne!G164+Eu!G164</f>
        <v>-49.44</v>
      </c>
      <c r="I163" s="149">
        <f t="shared" si="19"/>
        <v>-0.1111111111111111</v>
      </c>
      <c r="J163" s="271">
        <f t="shared" si="20"/>
        <v>2.9999999999999954E-2</v>
      </c>
      <c r="K163" s="18">
        <f>+Amiens!D164+Compiègne!D164+Eu!D164</f>
        <v>-91.183140034531249</v>
      </c>
      <c r="L163" s="111"/>
    </row>
    <row r="164" spans="1:12" s="2" customFormat="1" ht="11.25">
      <c r="A164" s="5" t="s">
        <v>242</v>
      </c>
      <c r="B164" s="160">
        <f>+Amiens!$G165</f>
        <v>210.12</v>
      </c>
      <c r="C164" s="113">
        <f>+Compiègne!$G165</f>
        <v>86.52</v>
      </c>
      <c r="D164" s="113">
        <f>+Eu!$G165</f>
        <v>79.021600000000007</v>
      </c>
      <c r="E164" s="160">
        <f>+Amiens!E165+Compiègne!E165+Eu!E165</f>
        <v>428.2</v>
      </c>
      <c r="F164" s="135">
        <f>+Amiens!F165+Compiègne!F165+Eu!F165</f>
        <v>364.72</v>
      </c>
      <c r="G164" s="135">
        <v>509.19140086337507</v>
      </c>
      <c r="H164" s="161">
        <f>+Amiens!G165+Compiègne!G165+Eu!G165</f>
        <v>375.66160000000002</v>
      </c>
      <c r="I164" s="149">
        <f t="shared" si="19"/>
        <v>-0.14824848201774862</v>
      </c>
      <c r="J164" s="271">
        <f t="shared" si="20"/>
        <v>2.9999999999999982E-2</v>
      </c>
      <c r="K164" s="18">
        <f>+Amiens!D165+Compiègne!D165+Eu!D165</f>
        <v>509.19140086337507</v>
      </c>
      <c r="L164" s="111"/>
    </row>
    <row r="165" spans="1:12" s="2" customFormat="1" ht="11.25">
      <c r="A165" s="5" t="s">
        <v>201</v>
      </c>
      <c r="B165" s="160">
        <f>+Amiens!$G166</f>
        <v>0</v>
      </c>
      <c r="C165" s="113">
        <f>+Compiègne!$G166</f>
        <v>0</v>
      </c>
      <c r="D165" s="113">
        <f>+Eu!$G166</f>
        <v>0</v>
      </c>
      <c r="E165" s="160">
        <f>+Amiens!E166+Compiègne!E166+Eu!E166</f>
        <v>0</v>
      </c>
      <c r="F165" s="135">
        <f>+Amiens!F166+Compiègne!F166+Eu!F166</f>
        <v>0</v>
      </c>
      <c r="G165" s="135">
        <v>0</v>
      </c>
      <c r="H165" s="161">
        <f>+Amiens!G166+Compiègne!G166+Eu!G166</f>
        <v>0</v>
      </c>
      <c r="I165" s="149">
        <f t="shared" si="19"/>
        <v>0</v>
      </c>
      <c r="J165" s="271">
        <f t="shared" si="20"/>
        <v>0</v>
      </c>
      <c r="K165" s="18">
        <f>+Amiens!D166+Compiègne!D166+Eu!D166</f>
        <v>0</v>
      </c>
      <c r="L165" s="111"/>
    </row>
    <row r="166" spans="1:12" s="2" customFormat="1" ht="11.25">
      <c r="A166" s="5"/>
      <c r="B166" s="160"/>
      <c r="C166" s="113"/>
      <c r="D166" s="113"/>
      <c r="E166" s="160"/>
      <c r="F166" s="143"/>
      <c r="G166" s="143"/>
      <c r="H166" s="162"/>
      <c r="I166" s="149"/>
      <c r="J166" s="254"/>
      <c r="K166" s="18"/>
      <c r="L166" s="111"/>
    </row>
    <row r="167" spans="1:12" s="2" customFormat="1" ht="11.25">
      <c r="A167" s="13" t="s">
        <v>74</v>
      </c>
      <c r="B167" s="163">
        <f t="shared" ref="B167:H167" si="21">SUM(B154:B166)</f>
        <v>7413.5845636248014</v>
      </c>
      <c r="C167" s="204">
        <f t="shared" si="21"/>
        <v>12790.048050317937</v>
      </c>
      <c r="D167" s="204">
        <f t="shared" si="21"/>
        <v>7395.5869973133349</v>
      </c>
      <c r="E167" s="163">
        <f>SUM(E154:E166)</f>
        <v>7327.5400000000009</v>
      </c>
      <c r="F167" s="136">
        <f>SUM(F154:F166)</f>
        <v>17843.053333333337</v>
      </c>
      <c r="G167" s="136">
        <v>34245.14566787261</v>
      </c>
      <c r="H167" s="168">
        <f t="shared" si="21"/>
        <v>27599.21961125607</v>
      </c>
      <c r="I167" s="272">
        <f>+IF((E167)=0,,(F167-E167)/E167)</f>
        <v>1.4350673395618905</v>
      </c>
      <c r="J167" s="188">
        <f>+IF((F167)=0,,(H167-F167)/F167)</f>
        <v>0.54677672569059921</v>
      </c>
      <c r="K167" s="305">
        <f>SUM(K154:K166)</f>
        <v>27959.084102402609</v>
      </c>
      <c r="L167" s="111"/>
    </row>
    <row r="168" spans="1:12" s="2" customFormat="1" ht="11.25">
      <c r="A168" s="5"/>
      <c r="B168" s="160"/>
      <c r="C168" s="113"/>
      <c r="D168" s="113"/>
      <c r="E168" s="160"/>
      <c r="F168" s="143"/>
      <c r="G168" s="143"/>
      <c r="H168" s="162"/>
      <c r="I168" s="149"/>
      <c r="J168" s="271"/>
      <c r="K168" s="18"/>
      <c r="L168" s="111"/>
    </row>
    <row r="169" spans="1:12" s="2" customFormat="1" ht="11.25">
      <c r="A169" s="5" t="s">
        <v>167</v>
      </c>
      <c r="B169" s="160">
        <f>+Amiens!$G170</f>
        <v>0</v>
      </c>
      <c r="C169" s="113">
        <f>+Compiègne!$G170</f>
        <v>0</v>
      </c>
      <c r="D169" s="113">
        <f>+Eu!$G170</f>
        <v>0</v>
      </c>
      <c r="E169" s="160">
        <f>+Amiens!E170+Compiègne!E170+Eu!E170</f>
        <v>0</v>
      </c>
      <c r="F169" s="135">
        <f>+Amiens!F170+Compiègne!F170+Eu!F170</f>
        <v>0</v>
      </c>
      <c r="G169" s="135">
        <v>0</v>
      </c>
      <c r="H169" s="161">
        <f>+Amiens!G170+Compiègne!G170+Eu!G170</f>
        <v>0</v>
      </c>
      <c r="I169" s="149">
        <f>+IF((E169)=0,,(F169-E169)/E169)</f>
        <v>0</v>
      </c>
      <c r="J169" s="271">
        <f>+IF((F169)=0,,(H169-F169)/F169)</f>
        <v>0</v>
      </c>
      <c r="K169" s="18">
        <f>+Amiens!D170+Compiègne!D170+Eu!D170</f>
        <v>0</v>
      </c>
      <c r="L169" s="111"/>
    </row>
    <row r="170" spans="1:12" s="2" customFormat="1" ht="11.25">
      <c r="A170" s="5" t="s">
        <v>168</v>
      </c>
      <c r="B170" s="160">
        <f>+Amiens!$G171</f>
        <v>255.2202666666667</v>
      </c>
      <c r="C170" s="113">
        <f>+Compiègne!$G171</f>
        <v>0</v>
      </c>
      <c r="D170" s="113">
        <f>+Eu!$G171</f>
        <v>813.63133333333337</v>
      </c>
      <c r="E170" s="160">
        <f>+Amiens!E171+Compiègne!E171+Eu!E171</f>
        <v>624.91000000000008</v>
      </c>
      <c r="F170" s="135">
        <f>+Amiens!F171+Compiègne!F171+Eu!F171</f>
        <v>1037.72</v>
      </c>
      <c r="G170" s="135">
        <v>844.91839052190949</v>
      </c>
      <c r="H170" s="161">
        <f>+Amiens!G171+Compiègne!G171+Eu!G171</f>
        <v>1068.8516</v>
      </c>
      <c r="I170" s="149">
        <f t="shared" ref="I170:I182" si="22">+IF((E170)=0,,(F170-E170)/E170)</f>
        <v>0.66059112512201734</v>
      </c>
      <c r="J170" s="271">
        <f t="shared" ref="J170:J182" si="23">+IF((F170)=0,,(H170-F170)/F170)</f>
        <v>2.9999999999999936E-2</v>
      </c>
      <c r="K170" s="18">
        <f>+Amiens!D171+Compiègne!D171+Eu!D171</f>
        <v>844.91839052190949</v>
      </c>
      <c r="L170" s="111"/>
    </row>
    <row r="171" spans="1:12" s="2" customFormat="1" ht="11.25">
      <c r="A171" s="5" t="s">
        <v>169</v>
      </c>
      <c r="B171" s="160">
        <f>+Amiens!$G172</f>
        <v>0</v>
      </c>
      <c r="C171" s="113">
        <f>+Compiègne!$G172</f>
        <v>0</v>
      </c>
      <c r="D171" s="113">
        <f>+Eu!$G172</f>
        <v>0</v>
      </c>
      <c r="E171" s="160">
        <f>+Amiens!E172+Compiègne!E172+Eu!E172</f>
        <v>0</v>
      </c>
      <c r="F171" s="135">
        <f>+Amiens!F172+Compiègne!F172+Eu!F172</f>
        <v>0</v>
      </c>
      <c r="G171" s="135">
        <v>0</v>
      </c>
      <c r="H171" s="161">
        <f>+Amiens!G172+Compiègne!G172+Eu!G172</f>
        <v>0</v>
      </c>
      <c r="I171" s="149">
        <f t="shared" si="22"/>
        <v>0</v>
      </c>
      <c r="J171" s="271">
        <f t="shared" si="23"/>
        <v>0</v>
      </c>
      <c r="K171" s="18">
        <f>+Amiens!D172+Compiègne!D172+Eu!D172</f>
        <v>0</v>
      </c>
      <c r="L171" s="111"/>
    </row>
    <row r="172" spans="1:12" s="2" customFormat="1" ht="11.25">
      <c r="A172" s="5" t="s">
        <v>170</v>
      </c>
      <c r="B172" s="160">
        <f>+Amiens!$G173</f>
        <v>0</v>
      </c>
      <c r="C172" s="113">
        <f>+Compiègne!$G173</f>
        <v>1980.9509333333333</v>
      </c>
      <c r="D172" s="113">
        <f>+Eu!$G173</f>
        <v>0</v>
      </c>
      <c r="E172" s="160">
        <f>+Amiens!E173+Compiègne!E173+Eu!E173</f>
        <v>14662.64</v>
      </c>
      <c r="F172" s="135">
        <f>+Amiens!F173+Compiègne!F173+Eu!F173</f>
        <v>1923.2533333333333</v>
      </c>
      <c r="G172" s="135">
        <v>8622.6578750000008</v>
      </c>
      <c r="H172" s="161">
        <f>+Amiens!G173+Compiègne!G173+Eu!G173</f>
        <v>1980.9509333333333</v>
      </c>
      <c r="I172" s="149">
        <f t="shared" si="22"/>
        <v>-0.86883307962731582</v>
      </c>
      <c r="J172" s="271">
        <f t="shared" si="23"/>
        <v>2.9999999999999982E-2</v>
      </c>
      <c r="K172" s="18">
        <f>+Amiens!D173+Compiègne!D173+Eu!D173</f>
        <v>8622.6578750000008</v>
      </c>
      <c r="L172" s="111"/>
    </row>
    <row r="173" spans="1:12" s="2" customFormat="1" ht="11.25">
      <c r="A173" s="5" t="s">
        <v>171</v>
      </c>
      <c r="B173" s="160">
        <f>+Amiens!$G174</f>
        <v>0</v>
      </c>
      <c r="C173" s="113">
        <f>+Compiègne!$G174</f>
        <v>0</v>
      </c>
      <c r="D173" s="113">
        <f>+Eu!$G174</f>
        <v>0</v>
      </c>
      <c r="E173" s="160">
        <f>+Amiens!E174+Compiègne!E174+Eu!E174</f>
        <v>0</v>
      </c>
      <c r="F173" s="135">
        <f>+Amiens!F174+Compiègne!F174+Eu!F174</f>
        <v>0</v>
      </c>
      <c r="G173" s="135">
        <v>0</v>
      </c>
      <c r="H173" s="161">
        <f>+Amiens!G174+Compiègne!G174+Eu!G174</f>
        <v>0</v>
      </c>
      <c r="I173" s="149">
        <f t="shared" si="22"/>
        <v>0</v>
      </c>
      <c r="J173" s="271">
        <f t="shared" si="23"/>
        <v>0</v>
      </c>
      <c r="K173" s="18">
        <f>+Amiens!D174+Compiègne!D174+Eu!D174</f>
        <v>0</v>
      </c>
      <c r="L173" s="111"/>
    </row>
    <row r="174" spans="1:12" s="2" customFormat="1" ht="11.25">
      <c r="A174" s="5" t="s">
        <v>308</v>
      </c>
      <c r="B174" s="160">
        <f>+Amiens!$G175</f>
        <v>0</v>
      </c>
      <c r="C174" s="113">
        <f>+Compiègne!$G175</f>
        <v>0</v>
      </c>
      <c r="D174" s="113">
        <f>+Eu!$G175</f>
        <v>0</v>
      </c>
      <c r="E174" s="160">
        <f>+Amiens!E175+Compiègne!E175+Eu!E175</f>
        <v>0</v>
      </c>
      <c r="F174" s="135">
        <f>+Amiens!F175+Compiègne!F175+Eu!F175</f>
        <v>0</v>
      </c>
      <c r="G174" s="135">
        <v>0</v>
      </c>
      <c r="H174" s="161">
        <f>+Amiens!G175+Compiègne!G175+Eu!G175</f>
        <v>0</v>
      </c>
      <c r="I174" s="149">
        <f t="shared" si="22"/>
        <v>0</v>
      </c>
      <c r="J174" s="271">
        <f t="shared" si="23"/>
        <v>0</v>
      </c>
      <c r="K174" s="18">
        <f>+Amiens!D175+Compiègne!D175+Eu!D175</f>
        <v>0</v>
      </c>
      <c r="L174" s="111"/>
    </row>
    <row r="175" spans="1:12" s="2" customFormat="1" ht="11.25">
      <c r="A175" s="5" t="s">
        <v>172</v>
      </c>
      <c r="B175" s="160">
        <f>+Amiens!$G176</f>
        <v>0</v>
      </c>
      <c r="C175" s="113">
        <f>+Compiègne!$G176</f>
        <v>0</v>
      </c>
      <c r="D175" s="113">
        <f>+Eu!$G176</f>
        <v>0</v>
      </c>
      <c r="E175" s="160">
        <f>+Amiens!E176+Compiègne!E176+Eu!E176</f>
        <v>0</v>
      </c>
      <c r="F175" s="135">
        <f>+Amiens!F176+Compiègne!F176+Eu!F176</f>
        <v>0</v>
      </c>
      <c r="G175" s="135">
        <v>0</v>
      </c>
      <c r="H175" s="161">
        <f>+Amiens!G176+Compiègne!G176+Eu!G176</f>
        <v>0</v>
      </c>
      <c r="I175" s="149">
        <f t="shared" si="22"/>
        <v>0</v>
      </c>
      <c r="J175" s="271">
        <f t="shared" si="23"/>
        <v>0</v>
      </c>
      <c r="K175" s="18">
        <f>+Amiens!D176+Compiègne!D176+Eu!D176</f>
        <v>0</v>
      </c>
      <c r="L175" s="111"/>
    </row>
    <row r="176" spans="1:12" s="2" customFormat="1" ht="11.25">
      <c r="A176" s="5" t="s">
        <v>173</v>
      </c>
      <c r="B176" s="160">
        <f>+Amiens!$G177</f>
        <v>0</v>
      </c>
      <c r="C176" s="113">
        <f>+Compiègne!$G177</f>
        <v>0</v>
      </c>
      <c r="D176" s="113">
        <f>+Eu!$G177</f>
        <v>0</v>
      </c>
      <c r="E176" s="160">
        <f>+Amiens!E177+Compiègne!E177+Eu!E177</f>
        <v>0</v>
      </c>
      <c r="F176" s="135">
        <f>+Amiens!F177+Compiègne!F177+Eu!F177</f>
        <v>16712.77</v>
      </c>
      <c r="G176" s="135">
        <v>0</v>
      </c>
      <c r="H176" s="161">
        <f>+Amiens!G177+Compiègne!G177+Eu!G177</f>
        <v>0</v>
      </c>
      <c r="I176" s="149">
        <f t="shared" si="22"/>
        <v>0</v>
      </c>
      <c r="J176" s="271">
        <f t="shared" si="23"/>
        <v>-1</v>
      </c>
      <c r="K176" s="18">
        <f>+Amiens!D177+Compiègne!D177+Eu!D177</f>
        <v>0</v>
      </c>
      <c r="L176" s="111"/>
    </row>
    <row r="177" spans="1:12" s="2" customFormat="1" ht="11.25">
      <c r="A177" s="5" t="s">
        <v>174</v>
      </c>
      <c r="B177" s="160">
        <f>+Amiens!$G178</f>
        <v>0</v>
      </c>
      <c r="C177" s="113">
        <f>+Compiègne!$G178</f>
        <v>0</v>
      </c>
      <c r="D177" s="113">
        <f>+Eu!$G178</f>
        <v>0</v>
      </c>
      <c r="E177" s="160">
        <f>+Amiens!E178+Compiègne!E178+Eu!E178</f>
        <v>0</v>
      </c>
      <c r="F177" s="135">
        <f>+Amiens!F178+Compiègne!F178+Eu!F178</f>
        <v>0</v>
      </c>
      <c r="G177" s="135">
        <v>0</v>
      </c>
      <c r="H177" s="161">
        <f>+Amiens!G178+Compiègne!G178+Eu!G178</f>
        <v>0</v>
      </c>
      <c r="I177" s="149">
        <f t="shared" si="22"/>
        <v>0</v>
      </c>
      <c r="J177" s="271">
        <f t="shared" si="23"/>
        <v>0</v>
      </c>
      <c r="K177" s="18">
        <f>+Amiens!D178+Compiègne!D178+Eu!D178</f>
        <v>0</v>
      </c>
      <c r="L177" s="111"/>
    </row>
    <row r="178" spans="1:12" s="2" customFormat="1" ht="11.25">
      <c r="A178" s="5" t="s">
        <v>175</v>
      </c>
      <c r="B178" s="160">
        <f>+Amiens!$G179</f>
        <v>4246.2299999999996</v>
      </c>
      <c r="C178" s="113">
        <f>+Compiègne!$G179</f>
        <v>5755.77</v>
      </c>
      <c r="D178" s="113">
        <f>+Eu!$G179</f>
        <v>15075.85</v>
      </c>
      <c r="E178" s="160">
        <f>+Amiens!E179+Compiègne!E179+Eu!E179</f>
        <v>22048.35</v>
      </c>
      <c r="F178" s="135">
        <f>+Amiens!F179+Compiègne!F179+Eu!F179</f>
        <v>19563.550000000003</v>
      </c>
      <c r="G178" s="135">
        <v>26782.232524999999</v>
      </c>
      <c r="H178" s="161">
        <f>+Amiens!G179+Compiègne!G179+Eu!G179</f>
        <v>25077.85</v>
      </c>
      <c r="I178" s="149">
        <f t="shared" si="22"/>
        <v>-0.11269777557050735</v>
      </c>
      <c r="J178" s="271">
        <f t="shared" si="23"/>
        <v>0.28186602124869947</v>
      </c>
      <c r="K178" s="18">
        <f>+Amiens!D179+Compiègne!D179+Eu!D179</f>
        <v>22900</v>
      </c>
      <c r="L178" s="111"/>
    </row>
    <row r="179" spans="1:12" s="2" customFormat="1" ht="11.25">
      <c r="A179" s="5" t="s">
        <v>78</v>
      </c>
      <c r="B179" s="160">
        <f>+Amiens!$G180</f>
        <v>0</v>
      </c>
      <c r="C179" s="113">
        <f>+Compiègne!$G180</f>
        <v>0</v>
      </c>
      <c r="D179" s="113">
        <f>+Eu!$G180</f>
        <v>0</v>
      </c>
      <c r="E179" s="160">
        <f>+Amiens!E180+Compiègne!E180+Eu!E180</f>
        <v>1780.6599999999999</v>
      </c>
      <c r="F179" s="135">
        <f>+Amiens!F180+Compiègne!F180+Eu!F180</f>
        <v>0</v>
      </c>
      <c r="G179" s="135">
        <v>0</v>
      </c>
      <c r="H179" s="161">
        <f>+Amiens!G180+Compiègne!G180+Eu!G180</f>
        <v>0</v>
      </c>
      <c r="I179" s="149">
        <f t="shared" si="22"/>
        <v>-1</v>
      </c>
      <c r="J179" s="271">
        <f t="shared" si="23"/>
        <v>0</v>
      </c>
      <c r="K179" s="18">
        <f>+Amiens!D180+Compiègne!D180+Eu!D180</f>
        <v>0</v>
      </c>
      <c r="L179" s="111"/>
    </row>
    <row r="180" spans="1:12" s="2" customFormat="1" ht="11.25">
      <c r="A180" s="5" t="s">
        <v>327</v>
      </c>
      <c r="B180" s="160">
        <f>+Amiens!$G181</f>
        <v>0</v>
      </c>
      <c r="C180" s="113">
        <f>+Compiègne!$G181</f>
        <v>0</v>
      </c>
      <c r="D180" s="113">
        <f>+Eu!$G181</f>
        <v>0</v>
      </c>
      <c r="E180" s="160">
        <f>+Amiens!E181+Compiègne!E181+Eu!E181</f>
        <v>0</v>
      </c>
      <c r="F180" s="135">
        <f>+Amiens!F181+Compiègne!F181+Eu!F181</f>
        <v>0</v>
      </c>
      <c r="G180" s="135">
        <v>0</v>
      </c>
      <c r="H180" s="161">
        <f>+Amiens!G181+Compiègne!G181+Eu!G181</f>
        <v>0</v>
      </c>
      <c r="I180" s="149">
        <f t="shared" si="22"/>
        <v>0</v>
      </c>
      <c r="J180" s="271">
        <f t="shared" si="23"/>
        <v>0</v>
      </c>
      <c r="K180" s="18">
        <f>+Amiens!D181+Compiègne!D181+Eu!D181</f>
        <v>0</v>
      </c>
      <c r="L180" s="111"/>
    </row>
    <row r="181" spans="1:12" s="2" customFormat="1" ht="11.25">
      <c r="A181" s="5" t="s">
        <v>82</v>
      </c>
      <c r="B181" s="160">
        <f>+Amiens!$G182</f>
        <v>0</v>
      </c>
      <c r="C181" s="113">
        <f>+Compiègne!$G182</f>
        <v>0</v>
      </c>
      <c r="D181" s="113">
        <f>+Eu!$G182</f>
        <v>0</v>
      </c>
      <c r="E181" s="160">
        <f>+Amiens!E182+Compiègne!E182+Eu!E182</f>
        <v>0</v>
      </c>
      <c r="F181" s="135">
        <f>+Amiens!F182+Compiègne!F182+Eu!F182</f>
        <v>0</v>
      </c>
      <c r="G181" s="135">
        <v>0</v>
      </c>
      <c r="H181" s="161">
        <f>+Amiens!G182+Compiègne!G182+Eu!G182</f>
        <v>0</v>
      </c>
      <c r="I181" s="149">
        <f t="shared" si="22"/>
        <v>0</v>
      </c>
      <c r="J181" s="271">
        <f t="shared" si="23"/>
        <v>0</v>
      </c>
      <c r="K181" s="18">
        <f>+Amiens!D182+Compiègne!D182+Eu!D182</f>
        <v>0</v>
      </c>
      <c r="L181" s="111"/>
    </row>
    <row r="182" spans="1:12" s="2" customFormat="1" ht="11.25">
      <c r="A182" s="5" t="s">
        <v>331</v>
      </c>
      <c r="B182" s="160">
        <f>+Amiens!$G183</f>
        <v>0</v>
      </c>
      <c r="C182" s="113">
        <f>+Compiègne!$G183</f>
        <v>0</v>
      </c>
      <c r="D182" s="113">
        <f>+Eu!$G183</f>
        <v>0</v>
      </c>
      <c r="E182" s="160">
        <f>+Amiens!E183+Compiègne!E183+Eu!E183</f>
        <v>16800</v>
      </c>
      <c r="F182" s="135">
        <f>+Amiens!F183+Compiègne!F183+Eu!F183</f>
        <v>0</v>
      </c>
      <c r="G182" s="135">
        <v>0</v>
      </c>
      <c r="H182" s="161">
        <f>+Amiens!G183+Compiègne!G183+Eu!G183</f>
        <v>0</v>
      </c>
      <c r="I182" s="149">
        <f t="shared" si="22"/>
        <v>-1</v>
      </c>
      <c r="J182" s="271">
        <f t="shared" si="23"/>
        <v>0</v>
      </c>
      <c r="K182" s="18">
        <f>+Amiens!D183+Compiègne!D183+Eu!D183</f>
        <v>0</v>
      </c>
      <c r="L182" s="111"/>
    </row>
    <row r="183" spans="1:12" s="2" customFormat="1" ht="11.25">
      <c r="A183" s="5"/>
      <c r="B183" s="160"/>
      <c r="C183" s="113"/>
      <c r="D183" s="113"/>
      <c r="E183" s="160"/>
      <c r="F183" s="143"/>
      <c r="G183" s="143"/>
      <c r="H183" s="162"/>
      <c r="I183" s="149"/>
      <c r="J183" s="254"/>
      <c r="K183" s="18"/>
      <c r="L183" s="111"/>
    </row>
    <row r="184" spans="1:12" s="2" customFormat="1" ht="11.25">
      <c r="A184" s="13" t="s">
        <v>178</v>
      </c>
      <c r="B184" s="163">
        <f t="shared" ref="B184:H184" si="24">SUM(B168:B183)</f>
        <v>4501.4502666666667</v>
      </c>
      <c r="C184" s="204">
        <f t="shared" si="24"/>
        <v>7736.720933333334</v>
      </c>
      <c r="D184" s="204">
        <f t="shared" si="24"/>
        <v>15889.481333333333</v>
      </c>
      <c r="E184" s="280">
        <f>SUM(E168:E183)</f>
        <v>55916.56</v>
      </c>
      <c r="F184" s="136">
        <f>SUM(F168:F183)</f>
        <v>39237.293333333335</v>
      </c>
      <c r="G184" s="136">
        <v>36249.808790521907</v>
      </c>
      <c r="H184" s="118">
        <f t="shared" si="24"/>
        <v>28127.652533333334</v>
      </c>
      <c r="I184" s="272">
        <f>+IF((E184)=0,,(F184-E184)/E184)</f>
        <v>-0.29828849748029318</v>
      </c>
      <c r="J184" s="188">
        <f>+IF((F184)=0,,(H184-F184)/F184)</f>
        <v>-0.28313983601315351</v>
      </c>
      <c r="K184" s="312">
        <f>SUM(K168:K183)</f>
        <v>32367.576265521908</v>
      </c>
      <c r="L184" s="111"/>
    </row>
    <row r="185" spans="1:12" s="2" customFormat="1" ht="11.25">
      <c r="A185" s="5"/>
      <c r="B185" s="160"/>
      <c r="C185" s="113"/>
      <c r="D185" s="113"/>
      <c r="E185" s="160"/>
      <c r="F185" s="143"/>
      <c r="G185" s="143"/>
      <c r="H185" s="162"/>
      <c r="I185" s="149"/>
      <c r="J185" s="271"/>
      <c r="K185" s="18"/>
      <c r="L185" s="111"/>
    </row>
    <row r="186" spans="1:12" s="2" customFormat="1" ht="11.25">
      <c r="A186" s="5" t="s">
        <v>179</v>
      </c>
      <c r="B186" s="160">
        <f>+Amiens!$G187</f>
        <v>0</v>
      </c>
      <c r="C186" s="113">
        <f>+Compiègne!$G187</f>
        <v>0</v>
      </c>
      <c r="D186" s="113">
        <f>+Eu!$G187</f>
        <v>0</v>
      </c>
      <c r="E186" s="160">
        <f>+Amiens!E187+Compiègne!E187+Eu!E187</f>
        <v>3400</v>
      </c>
      <c r="F186" s="135">
        <f>+Amiens!F187+Compiègne!F187+Eu!F187</f>
        <v>533.33333333333326</v>
      </c>
      <c r="G186" s="135">
        <v>0</v>
      </c>
      <c r="H186" s="161">
        <f>+Amiens!G187+Compiègne!G187+Eu!G187</f>
        <v>0</v>
      </c>
      <c r="I186" s="149">
        <f>+IF((E186)=0,,(F186-E186)/E186)</f>
        <v>-0.8431372549019609</v>
      </c>
      <c r="J186" s="271">
        <f>+IF((F186)=0,,(H186-F186)/F186)</f>
        <v>-1</v>
      </c>
      <c r="K186" s="18">
        <f>+Amiens!D187+Compiègne!D187+Eu!D187</f>
        <v>0</v>
      </c>
      <c r="L186" s="111"/>
    </row>
    <row r="187" spans="1:12" s="2" customFormat="1" ht="11.25">
      <c r="A187" s="5" t="s">
        <v>167</v>
      </c>
      <c r="B187" s="160">
        <f>+Amiens!$G188</f>
        <v>0</v>
      </c>
      <c r="C187" s="113">
        <f>+Compiègne!$G188</f>
        <v>0</v>
      </c>
      <c r="D187" s="113">
        <f>+Eu!$G188</f>
        <v>0</v>
      </c>
      <c r="E187" s="160">
        <f>+Amiens!E188+Compiègne!E188+Eu!E188</f>
        <v>0</v>
      </c>
      <c r="F187" s="135">
        <f>+Amiens!F188+Compiègne!F188+Eu!F188</f>
        <v>0</v>
      </c>
      <c r="G187" s="135">
        <v>0</v>
      </c>
      <c r="H187" s="161">
        <f>+Amiens!G188+Compiègne!G188+Eu!G188</f>
        <v>0</v>
      </c>
      <c r="I187" s="149">
        <f t="shared" ref="I187:I198" si="25">+IF((E187)=0,,(F187-E187)/E187)</f>
        <v>0</v>
      </c>
      <c r="J187" s="271">
        <f t="shared" ref="J187:J198" si="26">+IF((F187)=0,,(H187-F187)/F187)</f>
        <v>0</v>
      </c>
      <c r="K187" s="18">
        <f>+Amiens!D188+Compiègne!D188+Eu!D188</f>
        <v>0</v>
      </c>
      <c r="L187" s="111"/>
    </row>
    <row r="188" spans="1:12" s="2" customFormat="1" ht="11.25">
      <c r="A188" s="5" t="s">
        <v>180</v>
      </c>
      <c r="B188" s="160">
        <f>+Amiens!$G189</f>
        <v>0</v>
      </c>
      <c r="C188" s="113">
        <f>+Compiègne!$G189</f>
        <v>0</v>
      </c>
      <c r="D188" s="113">
        <f>+Eu!$G189</f>
        <v>0</v>
      </c>
      <c r="E188" s="160">
        <f>+Amiens!E189+Compiègne!E189+Eu!E189</f>
        <v>13838.15</v>
      </c>
      <c r="F188" s="135">
        <f>+Amiens!F189+Compiègne!F189+Eu!F189</f>
        <v>9798.6</v>
      </c>
      <c r="G188" s="135">
        <v>0</v>
      </c>
      <c r="H188" s="161">
        <f>+Amiens!G189+Compiègne!G189+Eu!G189</f>
        <v>0</v>
      </c>
      <c r="I188" s="149">
        <f t="shared" si="25"/>
        <v>-0.29191402029895608</v>
      </c>
      <c r="J188" s="271">
        <f t="shared" si="26"/>
        <v>-1</v>
      </c>
      <c r="K188" s="18">
        <f>+Amiens!D189+Compiègne!D189+Eu!D189</f>
        <v>0</v>
      </c>
      <c r="L188" s="111"/>
    </row>
    <row r="189" spans="1:12" s="2" customFormat="1" ht="11.25">
      <c r="A189" s="5" t="s">
        <v>181</v>
      </c>
      <c r="B189" s="160">
        <f>+Amiens!$G190</f>
        <v>0</v>
      </c>
      <c r="C189" s="113">
        <f>+Compiègne!$G190</f>
        <v>0</v>
      </c>
      <c r="D189" s="113">
        <f>+Eu!$G190</f>
        <v>0</v>
      </c>
      <c r="E189" s="160">
        <f>+Amiens!E190+Compiègne!E190+Eu!E190</f>
        <v>0</v>
      </c>
      <c r="F189" s="135">
        <f>+Amiens!F190+Compiègne!F190+Eu!F190</f>
        <v>0</v>
      </c>
      <c r="G189" s="135">
        <v>0</v>
      </c>
      <c r="H189" s="161">
        <f>+Amiens!G190+Compiègne!G190+Eu!G190</f>
        <v>0</v>
      </c>
      <c r="I189" s="149">
        <f t="shared" si="25"/>
        <v>0</v>
      </c>
      <c r="J189" s="271">
        <f t="shared" si="26"/>
        <v>0</v>
      </c>
      <c r="K189" s="18">
        <f>+Amiens!D190+Compiègne!D190+Eu!D190</f>
        <v>0</v>
      </c>
      <c r="L189" s="111"/>
    </row>
    <row r="190" spans="1:12" s="2" customFormat="1" ht="11.25">
      <c r="A190" s="5" t="s">
        <v>182</v>
      </c>
      <c r="B190" s="160">
        <f>+Amiens!$G191</f>
        <v>0</v>
      </c>
      <c r="C190" s="113">
        <f>+Compiègne!$G191</f>
        <v>0</v>
      </c>
      <c r="D190" s="113">
        <f>+Eu!$G191</f>
        <v>0</v>
      </c>
      <c r="E190" s="160">
        <f>+Amiens!E191+Compiègne!E191+Eu!E191</f>
        <v>0</v>
      </c>
      <c r="F190" s="135">
        <f>+Amiens!F191+Compiègne!F191+Eu!F191</f>
        <v>0</v>
      </c>
      <c r="G190" s="135">
        <v>0</v>
      </c>
      <c r="H190" s="161">
        <f>+Amiens!G191+Compiègne!G191+Eu!G191</f>
        <v>0</v>
      </c>
      <c r="I190" s="149">
        <f t="shared" si="25"/>
        <v>0</v>
      </c>
      <c r="J190" s="271">
        <f t="shared" si="26"/>
        <v>0</v>
      </c>
      <c r="K190" s="18">
        <f>+Amiens!D191+Compiègne!D191+Eu!D191</f>
        <v>0</v>
      </c>
      <c r="L190" s="111"/>
    </row>
    <row r="191" spans="1:12" s="2" customFormat="1" ht="11.25">
      <c r="A191" s="5" t="s">
        <v>183</v>
      </c>
      <c r="B191" s="160">
        <f>+Amiens!$G192</f>
        <v>0</v>
      </c>
      <c r="C191" s="113">
        <f>+Compiègne!$G192</f>
        <v>0</v>
      </c>
      <c r="D191" s="113">
        <f>+Eu!$G192</f>
        <v>0</v>
      </c>
      <c r="E191" s="160">
        <f>+Amiens!E192+Compiègne!E192+Eu!E192</f>
        <v>0</v>
      </c>
      <c r="F191" s="135">
        <f>+Amiens!F192+Compiègne!F192+Eu!F192</f>
        <v>0</v>
      </c>
      <c r="G191" s="135">
        <v>0</v>
      </c>
      <c r="H191" s="161">
        <f>+Amiens!G192+Compiègne!G192+Eu!G192</f>
        <v>0</v>
      </c>
      <c r="I191" s="149">
        <f t="shared" si="25"/>
        <v>0</v>
      </c>
      <c r="J191" s="271">
        <f t="shared" si="26"/>
        <v>0</v>
      </c>
      <c r="K191" s="18">
        <f>+Amiens!D192+Compiègne!D192+Eu!D192</f>
        <v>0</v>
      </c>
      <c r="L191" s="111"/>
    </row>
    <row r="192" spans="1:12" s="2" customFormat="1" ht="11.25">
      <c r="A192" s="5" t="s">
        <v>184</v>
      </c>
      <c r="B192" s="160">
        <f>+Amiens!$G193</f>
        <v>0</v>
      </c>
      <c r="C192" s="113">
        <f>+Compiègne!$G193</f>
        <v>0</v>
      </c>
      <c r="D192" s="113">
        <f>+Eu!$G193</f>
        <v>0</v>
      </c>
      <c r="E192" s="160">
        <f>+Amiens!E193+Compiègne!E193+Eu!E193</f>
        <v>9950.5499999999993</v>
      </c>
      <c r="F192" s="135">
        <f>+Amiens!F193+Compiègne!F193+Eu!F193</f>
        <v>874.66666666666663</v>
      </c>
      <c r="G192" s="135">
        <v>0</v>
      </c>
      <c r="H192" s="161">
        <f>+Amiens!G193+Compiègne!G193+Eu!G193</f>
        <v>0</v>
      </c>
      <c r="I192" s="149">
        <f t="shared" si="25"/>
        <v>-0.91209866121303185</v>
      </c>
      <c r="J192" s="271">
        <f t="shared" si="26"/>
        <v>-1</v>
      </c>
      <c r="K192" s="18">
        <f>+Amiens!D193+Compiègne!D193+Eu!D193</f>
        <v>0</v>
      </c>
      <c r="L192" s="111"/>
    </row>
    <row r="193" spans="1:12" s="2" customFormat="1" ht="11.25">
      <c r="A193" s="5" t="s">
        <v>342</v>
      </c>
      <c r="B193" s="160">
        <f>+Amiens!$G194</f>
        <v>0</v>
      </c>
      <c r="C193" s="113">
        <f>+Compiègne!$G194</f>
        <v>0</v>
      </c>
      <c r="D193" s="113">
        <f>+Eu!$G194</f>
        <v>0</v>
      </c>
      <c r="E193" s="160">
        <f>+Amiens!E194+Compiègne!E194+Eu!E194</f>
        <v>785.99</v>
      </c>
      <c r="F193" s="135">
        <f>+Amiens!F194+Compiègne!F194+Eu!F194</f>
        <v>0</v>
      </c>
      <c r="G193" s="135">
        <v>0</v>
      </c>
      <c r="H193" s="161">
        <f>+Amiens!G194+Compiègne!G194+Eu!G194</f>
        <v>0</v>
      </c>
      <c r="I193" s="149">
        <f t="shared" si="25"/>
        <v>-1</v>
      </c>
      <c r="J193" s="271">
        <f t="shared" si="26"/>
        <v>0</v>
      </c>
      <c r="K193" s="18">
        <f>+Amiens!D194+Compiègne!D194+Eu!D194</f>
        <v>0</v>
      </c>
      <c r="L193" s="111"/>
    </row>
    <row r="194" spans="1:12" s="2" customFormat="1" ht="11.25">
      <c r="A194" s="5" t="s">
        <v>186</v>
      </c>
      <c r="B194" s="160">
        <f>+Amiens!$G195</f>
        <v>0</v>
      </c>
      <c r="C194" s="113">
        <f>+Compiègne!$G195</f>
        <v>0</v>
      </c>
      <c r="D194" s="113">
        <f>+Eu!$G195</f>
        <v>0</v>
      </c>
      <c r="E194" s="160">
        <f>+Amiens!E195+Compiègne!E195+Eu!E195</f>
        <v>0</v>
      </c>
      <c r="F194" s="135">
        <f>+Amiens!F195+Compiègne!F195+Eu!F195</f>
        <v>0</v>
      </c>
      <c r="G194" s="135">
        <v>0</v>
      </c>
      <c r="H194" s="161">
        <f>+Amiens!G195+Compiègne!G195+Eu!G195</f>
        <v>0</v>
      </c>
      <c r="I194" s="149">
        <f t="shared" si="25"/>
        <v>0</v>
      </c>
      <c r="J194" s="271">
        <f t="shared" si="26"/>
        <v>0</v>
      </c>
      <c r="K194" s="18">
        <f>+Amiens!D195+Compiègne!D195+Eu!D195</f>
        <v>0</v>
      </c>
      <c r="L194" s="111"/>
    </row>
    <row r="195" spans="1:12" s="2" customFormat="1" ht="11.25">
      <c r="A195" s="5" t="s">
        <v>187</v>
      </c>
      <c r="B195" s="160">
        <f>+Amiens!$G196</f>
        <v>0</v>
      </c>
      <c r="C195" s="113">
        <f>+Compiègne!$G196</f>
        <v>0</v>
      </c>
      <c r="D195" s="113">
        <f>+Eu!$G196</f>
        <v>0</v>
      </c>
      <c r="E195" s="160">
        <f>+Amiens!E196+Compiègne!E196+Eu!E196</f>
        <v>0</v>
      </c>
      <c r="F195" s="135">
        <f>+Amiens!F196+Compiègne!F196+Eu!F196</f>
        <v>0</v>
      </c>
      <c r="G195" s="135">
        <v>0</v>
      </c>
      <c r="H195" s="161">
        <f>+Amiens!G196+Compiègne!G196+Eu!G196</f>
        <v>0</v>
      </c>
      <c r="I195" s="149">
        <f t="shared" si="25"/>
        <v>0</v>
      </c>
      <c r="J195" s="271">
        <f t="shared" si="26"/>
        <v>0</v>
      </c>
      <c r="K195" s="18">
        <f>+Amiens!D196+Compiègne!D196+Eu!D196</f>
        <v>0</v>
      </c>
      <c r="L195" s="111"/>
    </row>
    <row r="196" spans="1:12" s="2" customFormat="1" ht="11.25">
      <c r="A196" s="5" t="s">
        <v>328</v>
      </c>
      <c r="B196" s="160">
        <f>+Amiens!$G197</f>
        <v>0</v>
      </c>
      <c r="C196" s="113">
        <f>+Compiègne!$G197</f>
        <v>0</v>
      </c>
      <c r="D196" s="113">
        <f>+Eu!$G197</f>
        <v>0</v>
      </c>
      <c r="E196" s="160">
        <f>+Amiens!E197+Compiègne!E197+Eu!E197</f>
        <v>0</v>
      </c>
      <c r="F196" s="135">
        <f>+Amiens!F197+Compiègne!F197+Eu!F197</f>
        <v>1795.8400000000001</v>
      </c>
      <c r="G196" s="135">
        <v>0</v>
      </c>
      <c r="H196" s="161">
        <f>+Amiens!G197+Compiègne!G197+Eu!G197</f>
        <v>0</v>
      </c>
      <c r="I196" s="149">
        <f t="shared" si="25"/>
        <v>0</v>
      </c>
      <c r="J196" s="271">
        <f t="shared" si="26"/>
        <v>-1</v>
      </c>
      <c r="K196" s="18">
        <f>+Amiens!D197+Compiègne!D197+Eu!D197</f>
        <v>0</v>
      </c>
      <c r="L196" s="111"/>
    </row>
    <row r="197" spans="1:12" s="2" customFormat="1" ht="11.25">
      <c r="A197" s="5" t="s">
        <v>344</v>
      </c>
      <c r="B197" s="160">
        <f>+Amiens!$G198</f>
        <v>0</v>
      </c>
      <c r="C197" s="113">
        <f>+Compiègne!$G198</f>
        <v>0</v>
      </c>
      <c r="D197" s="113">
        <f>+Eu!$G198</f>
        <v>0</v>
      </c>
      <c r="E197" s="160">
        <f>+Amiens!E198+Compiègne!E198+Eu!E198</f>
        <v>0</v>
      </c>
      <c r="F197" s="135">
        <f>+Amiens!F198+Compiègne!F198+Eu!F198</f>
        <v>0</v>
      </c>
      <c r="G197" s="135">
        <v>0</v>
      </c>
      <c r="H197" s="161">
        <f>+Amiens!G198+Compiègne!G198+Eu!G198</f>
        <v>0</v>
      </c>
      <c r="I197" s="149">
        <f t="shared" si="25"/>
        <v>0</v>
      </c>
      <c r="J197" s="271">
        <f t="shared" si="26"/>
        <v>0</v>
      </c>
      <c r="K197" s="18">
        <f>+Amiens!D198+Compiègne!D198+Eu!D198</f>
        <v>0</v>
      </c>
      <c r="L197" s="111"/>
    </row>
    <row r="198" spans="1:12" s="2" customFormat="1" ht="11.25">
      <c r="A198" s="5" t="s">
        <v>77</v>
      </c>
      <c r="B198" s="160">
        <f>+Amiens!$G199</f>
        <v>0</v>
      </c>
      <c r="C198" s="113">
        <f>+Compiègne!$G199</f>
        <v>0</v>
      </c>
      <c r="D198" s="113">
        <f>+Eu!$G199</f>
        <v>0</v>
      </c>
      <c r="E198" s="160">
        <f>+Amiens!E199+Compiègne!E199+Eu!E199</f>
        <v>1456.4</v>
      </c>
      <c r="F198" s="135">
        <f>+Amiens!F199+Compiègne!F199+Eu!F199</f>
        <v>0</v>
      </c>
      <c r="G198" s="135">
        <v>0</v>
      </c>
      <c r="H198" s="161">
        <f>+Amiens!G199+Compiègne!G199+Eu!G199</f>
        <v>0</v>
      </c>
      <c r="I198" s="149">
        <f t="shared" si="25"/>
        <v>-1</v>
      </c>
      <c r="J198" s="271">
        <f t="shared" si="26"/>
        <v>0</v>
      </c>
      <c r="K198" s="18">
        <f>+Amiens!D199+Compiègne!D199+Eu!D199</f>
        <v>0</v>
      </c>
      <c r="L198" s="111"/>
    </row>
    <row r="199" spans="1:12" s="2" customFormat="1" ht="11.25">
      <c r="A199" s="5"/>
      <c r="B199" s="160"/>
      <c r="C199" s="113"/>
      <c r="D199" s="113"/>
      <c r="E199" s="160"/>
      <c r="F199" s="134"/>
      <c r="G199" s="134"/>
      <c r="H199" s="162"/>
      <c r="I199" s="149"/>
      <c r="J199" s="254"/>
      <c r="K199" s="18"/>
      <c r="L199" s="111"/>
    </row>
    <row r="200" spans="1:12" s="2" customFormat="1" ht="11.25">
      <c r="A200" s="13" t="s">
        <v>188</v>
      </c>
      <c r="B200" s="163">
        <f t="shared" ref="B200:H200" si="27">SUM(B185:B199)</f>
        <v>0</v>
      </c>
      <c r="C200" s="204">
        <f t="shared" si="27"/>
        <v>0</v>
      </c>
      <c r="D200" s="204">
        <f t="shared" si="27"/>
        <v>0</v>
      </c>
      <c r="E200" s="163">
        <f>SUM(E185:E199)</f>
        <v>29431.090000000004</v>
      </c>
      <c r="F200" s="136">
        <f>SUM(F185:F199)</f>
        <v>13002.44</v>
      </c>
      <c r="G200" s="136">
        <v>0</v>
      </c>
      <c r="H200" s="168">
        <f t="shared" si="27"/>
        <v>0</v>
      </c>
      <c r="I200" s="272">
        <f>+IF((E200)=0,,(F200-E200)/E200)</f>
        <v>-0.55820732429549835</v>
      </c>
      <c r="J200" s="188">
        <f>+IF((F200)=0,,(H200-F200)/F200)</f>
        <v>-1</v>
      </c>
      <c r="K200" s="305">
        <f>SUM(K185:K199)</f>
        <v>0</v>
      </c>
      <c r="L200" s="111"/>
    </row>
    <row r="201" spans="1:12" s="2" customFormat="1" ht="11.25">
      <c r="A201" s="5"/>
      <c r="B201" s="160"/>
      <c r="C201" s="113"/>
      <c r="D201" s="113"/>
      <c r="E201" s="276"/>
      <c r="F201" s="134"/>
      <c r="G201" s="134"/>
      <c r="H201" s="162"/>
      <c r="I201" s="149"/>
      <c r="J201" s="254"/>
      <c r="K201" s="311"/>
      <c r="L201" s="111"/>
    </row>
    <row r="202" spans="1:12" s="2" customFormat="1" ht="11.25">
      <c r="A202" s="14" t="s">
        <v>189</v>
      </c>
      <c r="B202" s="175">
        <f t="shared" ref="B202:H202" si="28">+B103+B116+B129+B153+B167+B184-B200</f>
        <v>187747.4002421386</v>
      </c>
      <c r="C202" s="206">
        <f t="shared" si="28"/>
        <v>262027.68522974636</v>
      </c>
      <c r="D202" s="206">
        <f t="shared" si="28"/>
        <v>419848.53151245316</v>
      </c>
      <c r="E202" s="175">
        <f>+E103+E116+E129+E153+E167+E184-E200</f>
        <v>858397.48296000005</v>
      </c>
      <c r="F202" s="145">
        <f>+F103+F116+F129+F153+F167+F184-F200</f>
        <v>849498.87666666671</v>
      </c>
      <c r="G202" s="145">
        <v>934350.85591057758</v>
      </c>
      <c r="H202" s="176">
        <f t="shared" si="28"/>
        <v>869623.61698433803</v>
      </c>
      <c r="I202" s="281">
        <f>+IF((E202)=0,,(F202-E202)/E202)</f>
        <v>-1.0366533534847289E-2</v>
      </c>
      <c r="J202" s="282">
        <f>+IF((F202)=0,,(H202-F202)/F202)</f>
        <v>2.3690131759371399E-2</v>
      </c>
      <c r="K202" s="313">
        <f>+K103+K116+K129+K153+K167+K184-K200</f>
        <v>922137.30067837972</v>
      </c>
      <c r="L202" s="111"/>
    </row>
    <row r="203" spans="1:12" s="2" customFormat="1" ht="11.25">
      <c r="A203" s="5"/>
      <c r="B203" s="160"/>
      <c r="C203" s="113"/>
      <c r="D203" s="113"/>
      <c r="E203" s="160"/>
      <c r="F203" s="134"/>
      <c r="G203" s="134"/>
      <c r="H203" s="162"/>
      <c r="I203" s="149"/>
      <c r="J203" s="254"/>
      <c r="K203" s="18"/>
      <c r="L203" s="111"/>
    </row>
    <row r="204" spans="1:12" s="2" customFormat="1" ht="11.25">
      <c r="A204" s="12" t="s">
        <v>228</v>
      </c>
      <c r="B204" s="177">
        <f t="shared" ref="B204:H204" si="29">+B62-B202</f>
        <v>7693.7538715722621</v>
      </c>
      <c r="C204" s="177">
        <f t="shared" si="29"/>
        <v>22081.684539006354</v>
      </c>
      <c r="D204" s="177">
        <f t="shared" si="29"/>
        <v>217205.84372795717</v>
      </c>
      <c r="E204" s="177">
        <f>+E53-E202</f>
        <v>195644.25834000006</v>
      </c>
      <c r="F204" s="146">
        <f>+F62-F202</f>
        <v>150540.42789086443</v>
      </c>
      <c r="G204" s="146">
        <v>160328.67049145233</v>
      </c>
      <c r="H204" s="178">
        <f t="shared" si="29"/>
        <v>246981.28213853575</v>
      </c>
      <c r="I204" s="226">
        <f>+IF((E204)=0,,(F204-E204)/E204)</f>
        <v>-0.2305400160057445</v>
      </c>
      <c r="J204" s="283">
        <f>+IF((F204)=0,,(H204-F204)/F204)</f>
        <v>0.6406309295041126</v>
      </c>
      <c r="K204" s="314">
        <f>+K62-K202</f>
        <v>219113.69932162028</v>
      </c>
      <c r="L204" s="111"/>
    </row>
    <row r="205" spans="1:12" s="2" customFormat="1" ht="11.25">
      <c r="A205" s="5"/>
      <c r="B205" s="160"/>
      <c r="C205" s="113"/>
      <c r="D205" s="113"/>
      <c r="E205" s="160"/>
      <c r="F205" s="134"/>
      <c r="G205" s="134"/>
      <c r="H205" s="162"/>
      <c r="I205" s="149"/>
      <c r="J205" s="254"/>
      <c r="K205" s="18"/>
      <c r="L205" s="111"/>
    </row>
    <row r="206" spans="1:12" s="2" customFormat="1" ht="11.25">
      <c r="A206" s="63" t="s">
        <v>251</v>
      </c>
      <c r="B206" s="232">
        <f>+Amiens!$G207</f>
        <v>1957.4946003912328</v>
      </c>
      <c r="C206" s="233">
        <f>+Compiègne!$G207</f>
        <v>3071.134835605601</v>
      </c>
      <c r="D206" s="233">
        <f>+Eu!$G207</f>
        <v>4815.0465658258481</v>
      </c>
      <c r="E206" s="284">
        <f>+Amiens!E207+Compiègne!E207+Eu!E207</f>
        <v>5667.898575473343</v>
      </c>
      <c r="F206" s="150">
        <f>+Amiens!F207+Compiègne!F207+Eu!F207</f>
        <v>6456.6593604316095</v>
      </c>
      <c r="G206" s="150">
        <v>15543.529712452342</v>
      </c>
      <c r="H206" s="128">
        <f>+Amiens!G207+Compiègne!G207+Eu!G207</f>
        <v>9843.6760018226814</v>
      </c>
      <c r="I206" s="285">
        <f>+IF((E206)=0,,(F206-E206)/E206)</f>
        <v>0.13916282630240867</v>
      </c>
      <c r="J206" s="194">
        <f>+IF((F206)=0,,(H206-F206)/F206)</f>
        <v>0.52457725463228699</v>
      </c>
      <c r="K206" s="315">
        <f>+Amiens!D207+Compiègne!D207+Eu!D207</f>
        <v>16070.829877156539</v>
      </c>
      <c r="L206" s="111"/>
    </row>
    <row r="207" spans="1:12" s="2" customFormat="1" ht="11.25">
      <c r="A207" s="5"/>
      <c r="B207" s="160"/>
      <c r="C207" s="113"/>
      <c r="D207" s="113"/>
      <c r="E207" s="160"/>
      <c r="F207" s="134"/>
      <c r="G207" s="134"/>
      <c r="H207" s="162"/>
      <c r="I207" s="149"/>
      <c r="J207" s="254"/>
      <c r="K207" s="18"/>
      <c r="L207" s="111"/>
    </row>
    <row r="208" spans="1:12" s="2" customFormat="1" ht="11.25">
      <c r="A208" s="12" t="s">
        <v>190</v>
      </c>
      <c r="B208" s="177">
        <f t="shared" ref="B208:H208" si="30">+B204-B206</f>
        <v>5736.2592711810294</v>
      </c>
      <c r="C208" s="228">
        <f t="shared" si="30"/>
        <v>19010.549703400753</v>
      </c>
      <c r="D208" s="228">
        <f t="shared" si="30"/>
        <v>212390.79716213132</v>
      </c>
      <c r="E208" s="177">
        <f>+E204-E206</f>
        <v>189976.35976452671</v>
      </c>
      <c r="F208" s="146">
        <f>+F204-F206</f>
        <v>144083.76853043283</v>
      </c>
      <c r="G208" s="146">
        <v>144785.14077899998</v>
      </c>
      <c r="H208" s="178">
        <f t="shared" si="30"/>
        <v>237137.60613671306</v>
      </c>
      <c r="I208" s="226">
        <f>+IF((E208)=0,,(F208-E208)/E208)</f>
        <v>-0.24157001055803556</v>
      </c>
      <c r="J208" s="283">
        <f>+IF((F208)=0,,(H208-F208)/F208)</f>
        <v>0.64583150867979788</v>
      </c>
      <c r="K208" s="314">
        <f>+K204-K206</f>
        <v>203042.86944446375</v>
      </c>
      <c r="L208" s="111"/>
    </row>
    <row r="209" spans="1:13" s="2" customFormat="1" ht="11.25">
      <c r="A209" s="5"/>
      <c r="B209" s="160"/>
      <c r="C209" s="113"/>
      <c r="D209" s="113"/>
      <c r="E209" s="160"/>
      <c r="F209" s="134"/>
      <c r="G209" s="134"/>
      <c r="H209" s="162"/>
      <c r="I209" s="149"/>
      <c r="J209" s="254"/>
      <c r="K209" s="18"/>
      <c r="L209" s="111"/>
    </row>
    <row r="210" spans="1:13" s="2" customFormat="1" ht="11.25">
      <c r="A210" s="5" t="s">
        <v>191</v>
      </c>
      <c r="B210" s="160">
        <f>+Amiens!$G211</f>
        <v>9644.6846793104778</v>
      </c>
      <c r="C210" s="113">
        <f>+Compiègne!$G211</f>
        <v>9644.6846793104778</v>
      </c>
      <c r="D210" s="113">
        <f>+Eu!$G211</f>
        <v>9644.6846793104778</v>
      </c>
      <c r="E210" s="160">
        <f>+Amiens!E211+Compiègne!E211+Eu!E211</f>
        <v>24285.258215999998</v>
      </c>
      <c r="F210" s="135">
        <f>+Amiens!F211+Compiègne!F211+Eu!F211</f>
        <v>26993.88229032257</v>
      </c>
      <c r="G210" s="135">
        <v>27276.501528394656</v>
      </c>
      <c r="H210" s="161">
        <f>+Amiens!G211+Compiègne!G211+Eu!G211</f>
        <v>28934.054037931433</v>
      </c>
      <c r="I210" s="149">
        <f>+IF((E210)=0,,(F210-E210)/E210)</f>
        <v>0.11153367405984727</v>
      </c>
      <c r="J210" s="271">
        <f>+IF((F210)=0,,(H210-F210)/F210)</f>
        <v>7.1874498330476308E-2</v>
      </c>
      <c r="K210" s="18">
        <f>+Amiens!D211+Compiègne!D211+Eu!D211</f>
        <v>27078.111664621531</v>
      </c>
      <c r="L210" s="111"/>
    </row>
    <row r="211" spans="1:13">
      <c r="A211" s="5" t="s">
        <v>192</v>
      </c>
      <c r="B211" s="160">
        <f>+Amiens!$G212</f>
        <v>21090.52121257714</v>
      </c>
      <c r="C211" s="113">
        <f>+Compiègne!$G212</f>
        <v>33089.150991312548</v>
      </c>
      <c r="D211" s="113">
        <f>+Eu!$G212</f>
        <v>51878.478600043236</v>
      </c>
      <c r="E211" s="160">
        <f>+Amiens!E212+Compiègne!E212+Eu!E212</f>
        <v>86988.017076053744</v>
      </c>
      <c r="F211" s="135">
        <f>+Amiens!F212+Compiègne!F212+Eu!F212</f>
        <v>97301.234465093163</v>
      </c>
      <c r="G211" s="135">
        <v>103728.66590522719</v>
      </c>
      <c r="H211" s="161">
        <f>+Amiens!G212+Compiègne!G212+Eu!G212</f>
        <v>106058.15080393292</v>
      </c>
      <c r="I211" s="149">
        <f>+IF((E211)=0,,(F211-E211)/E211)</f>
        <v>0.11855905831285427</v>
      </c>
      <c r="J211" s="271">
        <f>+IF((F211)=0,,(H211-F211)/F211)</f>
        <v>8.9997998349972658E-2</v>
      </c>
      <c r="K211" s="18">
        <f>+Amiens!D212+Compiègne!D212+Eu!D212</f>
        <v>101793.62010684924</v>
      </c>
      <c r="L211" s="111"/>
    </row>
    <row r="212" spans="1:13">
      <c r="A212" s="5" t="s">
        <v>193</v>
      </c>
      <c r="B212" s="160">
        <f>+Amiens!$G213</f>
        <v>-5622.3888287039999</v>
      </c>
      <c r="C212" s="113">
        <f>+Compiègne!$G213</f>
        <v>-7383.3105710000009</v>
      </c>
      <c r="D212" s="113">
        <f>+Eu!$G213</f>
        <v>-10743.911666000002</v>
      </c>
      <c r="E212" s="160">
        <f>+Amiens!E213+Compiègne!E213+Eu!E213</f>
        <v>-23813.84</v>
      </c>
      <c r="F212" s="135">
        <f>+Amiens!F213+Compiègne!F213+Eu!F213</f>
        <v>-24944.853333333333</v>
      </c>
      <c r="G212" s="135">
        <v>-23009.559999999998</v>
      </c>
      <c r="H212" s="161">
        <f>+Amiens!G213+Compiègne!G213+Eu!G213</f>
        <v>-23749.611065704004</v>
      </c>
      <c r="I212" s="149">
        <f>+IF((E212)=0,,(F212-E212)/E212)</f>
        <v>4.7493950296690179E-2</v>
      </c>
      <c r="J212" s="271">
        <f>+IF((F212)=0,,(H212-F212)/F212)</f>
        <v>-4.7915385657214857E-2</v>
      </c>
      <c r="K212" s="18">
        <f>+Amiens!D213+Compiègne!D213+Eu!D213</f>
        <v>-25504.720000000001</v>
      </c>
      <c r="L212" s="111"/>
    </row>
    <row r="213" spans="1:13">
      <c r="A213" s="5"/>
      <c r="B213" s="160"/>
      <c r="C213" s="113"/>
      <c r="D213" s="113"/>
      <c r="E213" s="160"/>
      <c r="F213" s="134"/>
      <c r="G213" s="134"/>
      <c r="H213" s="162"/>
      <c r="I213" s="149"/>
      <c r="J213" s="254"/>
      <c r="K213" s="18"/>
      <c r="L213" s="111"/>
    </row>
    <row r="214" spans="1:13">
      <c r="A214" s="20" t="s">
        <v>194</v>
      </c>
      <c r="B214" s="180">
        <f t="shared" ref="B214:H214" si="31">SUM(B209:B212)</f>
        <v>25112.817063183618</v>
      </c>
      <c r="C214" s="230">
        <f t="shared" si="31"/>
        <v>35350.525099623024</v>
      </c>
      <c r="D214" s="230">
        <f t="shared" si="31"/>
        <v>50779.251613353714</v>
      </c>
      <c r="E214" s="180">
        <f>SUM(E209:E212)</f>
        <v>87459.435292053749</v>
      </c>
      <c r="F214" s="148">
        <f>SUM(F209:F212)</f>
        <v>99350.263422082397</v>
      </c>
      <c r="G214" s="148">
        <v>107995.60743362184</v>
      </c>
      <c r="H214" s="181">
        <f t="shared" si="31"/>
        <v>111242.59377616036</v>
      </c>
      <c r="I214" s="285">
        <f>+IF((E214)=0,,(F214-E214)/E214)</f>
        <v>0.13595820840051781</v>
      </c>
      <c r="J214" s="194">
        <f>+IF((F214)=0,,(H214-F214)/F214)</f>
        <v>0.11970104501438769</v>
      </c>
      <c r="K214" s="316">
        <f>SUM(K209:K212)</f>
        <v>103367.01177147077</v>
      </c>
      <c r="L214" s="111"/>
    </row>
    <row r="215" spans="1:13">
      <c r="A215" s="5"/>
      <c r="B215" s="160"/>
      <c r="C215" s="113"/>
      <c r="D215" s="113"/>
      <c r="E215" s="160"/>
      <c r="F215" s="134"/>
      <c r="G215" s="134"/>
      <c r="H215" s="162"/>
      <c r="I215" s="149"/>
      <c r="J215" s="254"/>
      <c r="K215" s="18"/>
      <c r="L215" s="111"/>
    </row>
    <row r="216" spans="1:13">
      <c r="A216" s="12" t="s">
        <v>332</v>
      </c>
      <c r="B216" s="177">
        <f t="shared" ref="B216:H216" si="32">+B208-B214</f>
        <v>-19376.55779200259</v>
      </c>
      <c r="C216" s="228">
        <f t="shared" si="32"/>
        <v>-16339.975396222271</v>
      </c>
      <c r="D216" s="228">
        <f t="shared" si="32"/>
        <v>161611.54554877762</v>
      </c>
      <c r="E216" s="177">
        <f>+E208-E214</f>
        <v>102516.92447247297</v>
      </c>
      <c r="F216" s="146">
        <f>+F208-F214</f>
        <v>44733.505108350437</v>
      </c>
      <c r="G216" s="146">
        <v>36789.533345378135</v>
      </c>
      <c r="H216" s="178">
        <f t="shared" si="32"/>
        <v>125895.0123605527</v>
      </c>
      <c r="I216" s="226">
        <f>+IF((E216)=0,,(F216-E216)/E216)</f>
        <v>-0.56364760903101496</v>
      </c>
      <c r="J216" s="283">
        <f>+IF((F216)=0,,(H216-F216)/F216)</f>
        <v>1.8143337316317694</v>
      </c>
      <c r="K216" s="314">
        <f>+K208-K214</f>
        <v>99675.857672992977</v>
      </c>
      <c r="L216" s="111"/>
    </row>
    <row r="217" spans="1:13">
      <c r="A217" s="88" t="s">
        <v>44</v>
      </c>
      <c r="B217" s="160">
        <f>+Amiens!$G217</f>
        <v>-19376.55779200259</v>
      </c>
      <c r="C217" s="113">
        <f>+Compiègne!$G217</f>
        <v>-16339.975396222271</v>
      </c>
      <c r="D217" s="113">
        <f>+Eu!$G217</f>
        <v>161611.54554877762</v>
      </c>
      <c r="E217" s="135">
        <f>+Amiens!E217+Compiègne!E217+Eu!E217</f>
        <v>102516.92447247283</v>
      </c>
      <c r="F217" s="135">
        <f>+Amiens!F217+Compiègne!F217+Eu!F217</f>
        <v>44733.50510835051</v>
      </c>
      <c r="G217" s="135">
        <v>36789.533345378164</v>
      </c>
      <c r="H217" s="135">
        <f>+Amiens!G217+Compiègne!G217+Eu!G217</f>
        <v>125895.01236055276</v>
      </c>
      <c r="K217" s="18">
        <f>+Amiens!D218+Compiègne!D218+Eu!D218</f>
        <v>99675.85767299305</v>
      </c>
      <c r="L217" s="111"/>
    </row>
    <row r="218" spans="1:13">
      <c r="A218" s="87"/>
      <c r="B218" s="110"/>
      <c r="C218" s="110"/>
      <c r="D218" s="110"/>
      <c r="E218" s="110"/>
      <c r="F218" s="110"/>
      <c r="G218" s="110"/>
      <c r="H218" s="110"/>
      <c r="K218" s="113"/>
      <c r="L218" s="111"/>
    </row>
    <row r="219" spans="1:13" s="2" customFormat="1" ht="11.25">
      <c r="B219" s="17"/>
      <c r="C219" s="17"/>
      <c r="D219" s="17"/>
      <c r="E219" s="17"/>
      <c r="F219" s="17"/>
      <c r="G219" s="17"/>
      <c r="H219" s="17"/>
      <c r="I219" s="66"/>
      <c r="J219" s="66"/>
      <c r="K219" s="113"/>
      <c r="L219" s="111"/>
    </row>
    <row r="220" spans="1:13" s="2" customFormat="1" ht="11.25">
      <c r="B220" s="17"/>
      <c r="C220" s="17"/>
      <c r="D220" s="17"/>
      <c r="E220" s="17"/>
      <c r="F220" s="17"/>
      <c r="G220" s="17"/>
      <c r="H220" s="17"/>
      <c r="K220" s="17"/>
      <c r="L220" s="111"/>
    </row>
    <row r="221" spans="1:13" s="2" customFormat="1" ht="11.25">
      <c r="A221" s="264" t="s">
        <v>67</v>
      </c>
      <c r="B221" s="265">
        <f>+Amiens!$G222</f>
        <v>553952.44279983162</v>
      </c>
      <c r="C221" s="265">
        <f>+Compiègne!$G222</f>
        <v>846732.46132345672</v>
      </c>
      <c r="D221" s="265">
        <f>+Eu!$G222</f>
        <v>947345.33026912773</v>
      </c>
      <c r="E221" s="265">
        <f>+(E214+E206+E202)/E60</f>
        <v>2179913.3669704548</v>
      </c>
      <c r="F221" s="265">
        <f>+(F214+F206+F202)/F60</f>
        <v>2259366.8443335895</v>
      </c>
      <c r="G221" s="265">
        <f>+(G214+G206+G202)/G60</f>
        <v>2489862.1233073226</v>
      </c>
      <c r="H221" s="265">
        <f>+(H214+H206+H202)/H60</f>
        <v>2283816.4860842084</v>
      </c>
      <c r="I221" s="265"/>
      <c r="J221" s="265"/>
      <c r="K221" s="265">
        <f>+(K214+K206+K202)/K60</f>
        <v>2432183.7484195037</v>
      </c>
      <c r="L221" s="111"/>
      <c r="M221" s="264"/>
    </row>
    <row r="222" spans="1:13" s="2" customFormat="1" ht="11.25">
      <c r="A222" s="264" t="s">
        <v>66</v>
      </c>
      <c r="B222" s="265">
        <f>+Amiens!$G223</f>
        <v>46162.703566652635</v>
      </c>
      <c r="C222" s="265">
        <f>+Compiègne!$G223</f>
        <v>70561.038443621394</v>
      </c>
      <c r="D222" s="265">
        <f>+Eu!$G223</f>
        <v>78945.444189093978</v>
      </c>
      <c r="E222" s="265">
        <f>+E221/12</f>
        <v>181659.4472475379</v>
      </c>
      <c r="F222" s="265">
        <f>+F221/12</f>
        <v>188280.57036113247</v>
      </c>
      <c r="G222" s="265">
        <f>+G221/12</f>
        <v>207488.51027561023</v>
      </c>
      <c r="H222" s="265">
        <f>+H221/12</f>
        <v>190318.04050701737</v>
      </c>
      <c r="I222" s="265"/>
      <c r="J222" s="265"/>
      <c r="K222" s="265">
        <f>+K221/12</f>
        <v>202681.97903495864</v>
      </c>
      <c r="L222" s="111"/>
      <c r="M222" s="264"/>
    </row>
    <row r="223" spans="1:13">
      <c r="K223" s="17"/>
      <c r="L223" s="111"/>
    </row>
    <row r="224" spans="1:13">
      <c r="K224" s="17"/>
      <c r="L224" s="111"/>
    </row>
    <row r="225" spans="1:12">
      <c r="K225" s="17"/>
      <c r="L225" s="111"/>
    </row>
    <row r="226" spans="1:12" s="2" customFormat="1" ht="12.75" customHeight="1">
      <c r="A226" s="6"/>
      <c r="B226" s="155"/>
      <c r="C226" s="211"/>
      <c r="D226" s="211"/>
      <c r="E226" s="267" t="s">
        <v>195</v>
      </c>
      <c r="F226" s="130" t="s">
        <v>364</v>
      </c>
      <c r="G226" s="130"/>
      <c r="H226" s="104" t="s">
        <v>196</v>
      </c>
      <c r="I226" s="151" t="s">
        <v>225</v>
      </c>
      <c r="J226" s="183" t="s">
        <v>225</v>
      </c>
      <c r="K226" s="8" t="s">
        <v>196</v>
      </c>
      <c r="L226" s="111"/>
    </row>
    <row r="227" spans="1:12" s="2" customFormat="1" ht="20.25" customHeight="1">
      <c r="A227" s="7" t="str">
        <f>+A4</f>
        <v>PICARDIE</v>
      </c>
      <c r="B227" s="1432" t="s">
        <v>210</v>
      </c>
      <c r="C227" s="1434" t="s">
        <v>209</v>
      </c>
      <c r="D227" s="1436" t="s">
        <v>334</v>
      </c>
      <c r="E227" s="260" t="s">
        <v>366</v>
      </c>
      <c r="F227" s="131" t="s">
        <v>366</v>
      </c>
      <c r="G227" s="131"/>
      <c r="H227" s="105" t="s">
        <v>197</v>
      </c>
      <c r="I227" s="152"/>
      <c r="J227" s="184"/>
      <c r="K227" s="9" t="s">
        <v>197</v>
      </c>
      <c r="L227" s="111"/>
    </row>
    <row r="228" spans="1:12" s="2" customFormat="1" ht="11.25" customHeight="1">
      <c r="A228" s="3"/>
      <c r="B228" s="1433"/>
      <c r="C228" s="1435"/>
      <c r="D228" s="1437"/>
      <c r="E228" s="268"/>
      <c r="F228" s="132"/>
      <c r="G228" s="132"/>
      <c r="H228" s="106"/>
      <c r="I228" s="152"/>
      <c r="J228" s="184"/>
      <c r="K228" s="10"/>
      <c r="L228" s="111"/>
    </row>
    <row r="229" spans="1:12" s="2" customFormat="1" ht="11.25">
      <c r="A229" s="4"/>
      <c r="B229" s="158"/>
      <c r="C229" s="216"/>
      <c r="D229" s="216"/>
      <c r="E229" s="269">
        <v>2006</v>
      </c>
      <c r="F229" s="133">
        <v>2007</v>
      </c>
      <c r="G229" s="133"/>
      <c r="H229" s="159">
        <v>2008</v>
      </c>
      <c r="I229" s="153" t="s">
        <v>367</v>
      </c>
      <c r="J229" s="185" t="s">
        <v>368</v>
      </c>
      <c r="K229" s="4">
        <v>2008</v>
      </c>
      <c r="L229" s="111"/>
    </row>
    <row r="230" spans="1:12" s="2" customFormat="1" ht="11.25" customHeight="1">
      <c r="B230" s="288"/>
      <c r="C230" s="249"/>
      <c r="D230" s="286"/>
      <c r="E230" s="248"/>
      <c r="F230" s="287"/>
      <c r="G230" s="287"/>
      <c r="H230" s="250"/>
      <c r="I230" s="288"/>
      <c r="J230" s="289"/>
      <c r="K230" s="332"/>
      <c r="L230" s="111"/>
    </row>
    <row r="231" spans="1:12" s="33" customFormat="1" ht="15" customHeight="1">
      <c r="A231" s="245" t="s">
        <v>223</v>
      </c>
      <c r="B231" s="175">
        <f>+B51</f>
        <v>503985.93199999997</v>
      </c>
      <c r="C231" s="206">
        <f t="shared" ref="C231:K231" si="33">+C51</f>
        <v>800682.81</v>
      </c>
      <c r="D231" s="176">
        <f t="shared" si="33"/>
        <v>1269365</v>
      </c>
      <c r="E231" s="175">
        <f t="shared" si="33"/>
        <v>2414776.41</v>
      </c>
      <c r="F231" s="206">
        <f t="shared" si="33"/>
        <v>2365164.7975449171</v>
      </c>
      <c r="G231" s="206"/>
      <c r="H231" s="176">
        <f t="shared" si="33"/>
        <v>2574033.7420000001</v>
      </c>
      <c r="I231" s="208">
        <f t="shared" si="33"/>
        <v>0</v>
      </c>
      <c r="J231" s="192">
        <f t="shared" si="33"/>
        <v>0</v>
      </c>
      <c r="K231" s="176">
        <f t="shared" si="33"/>
        <v>2664937</v>
      </c>
      <c r="L231" s="111"/>
    </row>
    <row r="232" spans="1:12" s="2" customFormat="1" ht="11.25" customHeight="1">
      <c r="B232" s="160"/>
      <c r="C232" s="113"/>
      <c r="D232" s="162"/>
      <c r="E232" s="160"/>
      <c r="F232" s="113"/>
      <c r="G232" s="113"/>
      <c r="H232" s="162"/>
      <c r="I232" s="92"/>
      <c r="J232" s="186"/>
      <c r="K232" s="162"/>
      <c r="L232" s="111"/>
    </row>
    <row r="233" spans="1:12" s="33" customFormat="1" ht="15" customHeight="1">
      <c r="A233" s="246" t="s">
        <v>295</v>
      </c>
      <c r="B233" s="197">
        <f t="shared" ref="B233:H233" si="34">+B60</f>
        <v>0.38779089197614919</v>
      </c>
      <c r="C233" s="224">
        <f t="shared" si="34"/>
        <v>0.35483385707850118</v>
      </c>
      <c r="D233" s="191">
        <f t="shared" si="34"/>
        <v>0.50186855257582363</v>
      </c>
      <c r="E233" s="197">
        <f t="shared" si="34"/>
        <v>0.43649662011564866</v>
      </c>
      <c r="F233" s="224">
        <f t="shared" si="34"/>
        <v>0.42282013735177759</v>
      </c>
      <c r="G233" s="224"/>
      <c r="H233" s="191">
        <f t="shared" si="34"/>
        <v>0.43379575057756714</v>
      </c>
      <c r="I233" s="197"/>
      <c r="J233" s="191"/>
      <c r="K233" s="191">
        <f>+K60</f>
        <v>0.42824689664333526</v>
      </c>
      <c r="L233" s="111"/>
    </row>
    <row r="234" spans="1:12" s="33" customFormat="1" ht="15" customHeight="1">
      <c r="A234" s="246" t="s">
        <v>296</v>
      </c>
      <c r="B234" s="169">
        <f>+B62</f>
        <v>195441.15411371086</v>
      </c>
      <c r="C234" s="223">
        <f>+C62</f>
        <v>284109.36976875272</v>
      </c>
      <c r="D234" s="170">
        <f t="shared" ref="D234:K234" si="35">+D62</f>
        <v>637054.37524041033</v>
      </c>
      <c r="E234" s="169">
        <f t="shared" si="35"/>
        <v>1054041.7412999999</v>
      </c>
      <c r="F234" s="223">
        <f t="shared" si="35"/>
        <v>1000039.3045575311</v>
      </c>
      <c r="G234" s="223"/>
      <c r="H234" s="170">
        <f t="shared" si="35"/>
        <v>1116604.8991228738</v>
      </c>
      <c r="I234" s="290">
        <f t="shared" si="35"/>
        <v>-5.1233679489642373E-2</v>
      </c>
      <c r="J234" s="291">
        <f t="shared" si="35"/>
        <v>0.11656101318629397</v>
      </c>
      <c r="K234" s="170">
        <f t="shared" si="35"/>
        <v>1141251</v>
      </c>
      <c r="L234" s="111"/>
    </row>
    <row r="235" spans="1:12" s="25" customFormat="1" ht="11.25" customHeight="1">
      <c r="B235" s="160"/>
      <c r="C235" s="113"/>
      <c r="D235" s="162"/>
      <c r="E235" s="160"/>
      <c r="F235" s="113"/>
      <c r="G235" s="113"/>
      <c r="H235" s="162"/>
      <c r="I235" s="92"/>
      <c r="J235" s="186"/>
      <c r="K235" s="162"/>
      <c r="L235" s="111"/>
    </row>
    <row r="236" spans="1:12" s="298" customFormat="1" ht="15" customHeight="1">
      <c r="A236" s="292" t="s">
        <v>122</v>
      </c>
      <c r="B236" s="293">
        <f>+B103</f>
        <v>73914.928255927924</v>
      </c>
      <c r="C236" s="295">
        <f t="shared" ref="C236:K236" si="36">+C103</f>
        <v>79650.836955726147</v>
      </c>
      <c r="D236" s="294">
        <f t="shared" si="36"/>
        <v>100925.56735345576</v>
      </c>
      <c r="E236" s="293">
        <f t="shared" si="36"/>
        <v>245337.01000000004</v>
      </c>
      <c r="F236" s="295">
        <f t="shared" si="36"/>
        <v>242630.57</v>
      </c>
      <c r="G236" s="295"/>
      <c r="H236" s="294">
        <f t="shared" si="36"/>
        <v>254491.33256510983</v>
      </c>
      <c r="I236" s="296">
        <f t="shared" si="36"/>
        <v>-1.1031519459701702E-2</v>
      </c>
      <c r="J236" s="297">
        <f t="shared" si="36"/>
        <v>4.8884040313262343E-2</v>
      </c>
      <c r="K236" s="294">
        <f t="shared" si="36"/>
        <v>250444.20695305287</v>
      </c>
      <c r="L236" s="111"/>
    </row>
    <row r="237" spans="1:12" s="298" customFormat="1" ht="15" customHeight="1">
      <c r="A237" s="292" t="s">
        <v>133</v>
      </c>
      <c r="B237" s="293">
        <f>+B116</f>
        <v>20281.428666666667</v>
      </c>
      <c r="C237" s="295">
        <f t="shared" ref="C237:K237" si="37">+C116</f>
        <v>24954.422533333334</v>
      </c>
      <c r="D237" s="294">
        <f t="shared" si="37"/>
        <v>21314.971866666667</v>
      </c>
      <c r="E237" s="293">
        <f t="shared" si="37"/>
        <v>48575.360000000001</v>
      </c>
      <c r="F237" s="295">
        <f t="shared" si="37"/>
        <v>79055.886666666673</v>
      </c>
      <c r="G237" s="295"/>
      <c r="H237" s="294">
        <f t="shared" si="37"/>
        <v>66550.823066666664</v>
      </c>
      <c r="I237" s="296">
        <f t="shared" si="37"/>
        <v>0.62748946516642745</v>
      </c>
      <c r="J237" s="297">
        <f t="shared" si="37"/>
        <v>-0.15818004360290952</v>
      </c>
      <c r="K237" s="294">
        <f t="shared" si="37"/>
        <v>79721.299900000013</v>
      </c>
      <c r="L237" s="111"/>
    </row>
    <row r="238" spans="1:12" s="298" customFormat="1" ht="15" customHeight="1">
      <c r="A238" s="292" t="s">
        <v>147</v>
      </c>
      <c r="B238" s="293">
        <f>+B129</f>
        <v>9389.888891200002</v>
      </c>
      <c r="C238" s="295">
        <f t="shared" ref="C238:K238" si="38">+C129</f>
        <v>8695.3079960000032</v>
      </c>
      <c r="D238" s="294">
        <f t="shared" si="38"/>
        <v>26016.510600000001</v>
      </c>
      <c r="E238" s="293">
        <f t="shared" si="38"/>
        <v>47835.89</v>
      </c>
      <c r="F238" s="295">
        <f t="shared" si="38"/>
        <v>43751.513333333336</v>
      </c>
      <c r="G238" s="295"/>
      <c r="H238" s="294">
        <f t="shared" si="38"/>
        <v>44101.707487200001</v>
      </c>
      <c r="I238" s="296">
        <f t="shared" si="38"/>
        <v>-8.538310182305929E-2</v>
      </c>
      <c r="J238" s="297">
        <f t="shared" si="38"/>
        <v>8.0041609349283862E-3</v>
      </c>
      <c r="K238" s="294">
        <f t="shared" si="38"/>
        <v>52095.625901095875</v>
      </c>
      <c r="L238" s="111"/>
    </row>
    <row r="239" spans="1:12" s="298" customFormat="1" ht="15" customHeight="1">
      <c r="A239" s="292" t="s">
        <v>164</v>
      </c>
      <c r="B239" s="293">
        <f>+B153</f>
        <v>72246.119598052552</v>
      </c>
      <c r="C239" s="295">
        <f t="shared" ref="C239:K239" si="39">+C153</f>
        <v>128200.34876103561</v>
      </c>
      <c r="D239" s="294">
        <f t="shared" si="39"/>
        <v>248306.41336168407</v>
      </c>
      <c r="E239" s="293">
        <f t="shared" si="39"/>
        <v>482836.21295999998</v>
      </c>
      <c r="F239" s="295">
        <f t="shared" si="39"/>
        <v>439983</v>
      </c>
      <c r="G239" s="295"/>
      <c r="H239" s="294">
        <f t="shared" si="39"/>
        <v>448752.88172077225</v>
      </c>
      <c r="I239" s="296">
        <f t="shared" si="39"/>
        <v>-8.8753104696291912E-2</v>
      </c>
      <c r="J239" s="297">
        <f t="shared" si="39"/>
        <v>1.9932319477734925E-2</v>
      </c>
      <c r="K239" s="294">
        <f t="shared" si="39"/>
        <v>479549.50755630649</v>
      </c>
      <c r="L239" s="111"/>
    </row>
    <row r="240" spans="1:12" s="298" customFormat="1" ht="15" customHeight="1">
      <c r="A240" s="292" t="s">
        <v>74</v>
      </c>
      <c r="B240" s="293">
        <f>+B167</f>
        <v>7413.5845636248014</v>
      </c>
      <c r="C240" s="295">
        <f t="shared" ref="C240:K240" si="40">+C167</f>
        <v>12790.048050317937</v>
      </c>
      <c r="D240" s="294">
        <f t="shared" si="40"/>
        <v>7395.5869973133349</v>
      </c>
      <c r="E240" s="293">
        <f t="shared" si="40"/>
        <v>7327.5400000000009</v>
      </c>
      <c r="F240" s="295">
        <f t="shared" si="40"/>
        <v>17843.053333333337</v>
      </c>
      <c r="G240" s="295"/>
      <c r="H240" s="294">
        <f t="shared" si="40"/>
        <v>27599.21961125607</v>
      </c>
      <c r="I240" s="296">
        <f t="shared" si="40"/>
        <v>1.4350673395618905</v>
      </c>
      <c r="J240" s="297">
        <f t="shared" si="40"/>
        <v>0.54677672569059921</v>
      </c>
      <c r="K240" s="294">
        <f t="shared" si="40"/>
        <v>27959.084102402609</v>
      </c>
      <c r="L240" s="111"/>
    </row>
    <row r="241" spans="1:12" s="298" customFormat="1" ht="15" customHeight="1">
      <c r="A241" s="292" t="s">
        <v>369</v>
      </c>
      <c r="B241" s="293">
        <f>+B184-B200</f>
        <v>4501.4502666666667</v>
      </c>
      <c r="C241" s="295">
        <f t="shared" ref="C241:K241" si="41">+C184-C200</f>
        <v>7736.720933333334</v>
      </c>
      <c r="D241" s="294">
        <f t="shared" si="41"/>
        <v>15889.481333333333</v>
      </c>
      <c r="E241" s="293">
        <f t="shared" si="41"/>
        <v>26485.469999999994</v>
      </c>
      <c r="F241" s="295">
        <f t="shared" si="41"/>
        <v>26234.853333333333</v>
      </c>
      <c r="G241" s="295"/>
      <c r="H241" s="294">
        <f t="shared" si="41"/>
        <v>28127.652533333334</v>
      </c>
      <c r="I241" s="296">
        <f t="shared" si="41"/>
        <v>0.25991882681520517</v>
      </c>
      <c r="J241" s="297">
        <f t="shared" si="41"/>
        <v>0.71686016398684649</v>
      </c>
      <c r="K241" s="294">
        <f t="shared" si="41"/>
        <v>32367.576265521908</v>
      </c>
      <c r="L241" s="111"/>
    </row>
    <row r="242" spans="1:12" s="25" customFormat="1" ht="11.25">
      <c r="B242" s="160"/>
      <c r="C242" s="113"/>
      <c r="D242" s="162"/>
      <c r="E242" s="160"/>
      <c r="F242" s="113"/>
      <c r="G242" s="113"/>
      <c r="H242" s="162"/>
      <c r="I242" s="92"/>
      <c r="J242" s="186"/>
      <c r="K242" s="162"/>
      <c r="L242" s="111"/>
    </row>
    <row r="243" spans="1:12" s="33" customFormat="1" ht="15" customHeight="1">
      <c r="A243" s="245" t="s">
        <v>189</v>
      </c>
      <c r="B243" s="299">
        <f>+B202</f>
        <v>187747.4002421386</v>
      </c>
      <c r="C243" s="301">
        <f t="shared" ref="C243:K243" si="42">+C202</f>
        <v>262027.68522974636</v>
      </c>
      <c r="D243" s="300">
        <f t="shared" si="42"/>
        <v>419848.53151245316</v>
      </c>
      <c r="E243" s="299">
        <f t="shared" si="42"/>
        <v>858397.48296000005</v>
      </c>
      <c r="F243" s="301">
        <f t="shared" si="42"/>
        <v>849498.87666666671</v>
      </c>
      <c r="G243" s="301"/>
      <c r="H243" s="300">
        <f t="shared" si="42"/>
        <v>869623.61698433803</v>
      </c>
      <c r="I243" s="302">
        <f t="shared" si="42"/>
        <v>-1.0366533534847289E-2</v>
      </c>
      <c r="J243" s="303">
        <f t="shared" si="42"/>
        <v>2.3690131759371399E-2</v>
      </c>
      <c r="K243" s="300">
        <f t="shared" si="42"/>
        <v>922137.30067837972</v>
      </c>
      <c r="L243" s="111"/>
    </row>
    <row r="244" spans="1:12" s="2" customFormat="1" ht="11.25">
      <c r="B244" s="160"/>
      <c r="C244" s="113"/>
      <c r="D244" s="162"/>
      <c r="E244" s="160"/>
      <c r="F244" s="113"/>
      <c r="G244" s="113"/>
      <c r="H244" s="162"/>
      <c r="I244" s="92"/>
      <c r="J244" s="186"/>
      <c r="K244" s="162"/>
      <c r="L244" s="111"/>
    </row>
    <row r="245" spans="1:12" s="33" customFormat="1" ht="15" customHeight="1">
      <c r="A245" s="246" t="s">
        <v>228</v>
      </c>
      <c r="B245" s="177">
        <f>+B204</f>
        <v>7693.7538715722621</v>
      </c>
      <c r="C245" s="228">
        <f t="shared" ref="C245:K245" si="43">+C204</f>
        <v>22081.684539006354</v>
      </c>
      <c r="D245" s="178">
        <f t="shared" si="43"/>
        <v>217205.84372795717</v>
      </c>
      <c r="E245" s="177">
        <f t="shared" si="43"/>
        <v>195644.25834000006</v>
      </c>
      <c r="F245" s="228">
        <f t="shared" si="43"/>
        <v>150540.42789086443</v>
      </c>
      <c r="G245" s="228"/>
      <c r="H245" s="178">
        <f t="shared" si="43"/>
        <v>246981.28213853575</v>
      </c>
      <c r="I245" s="225">
        <f t="shared" si="43"/>
        <v>-0.2305400160057445</v>
      </c>
      <c r="J245" s="193">
        <f t="shared" si="43"/>
        <v>0.6406309295041126</v>
      </c>
      <c r="K245" s="178">
        <f t="shared" si="43"/>
        <v>219113.69932162028</v>
      </c>
      <c r="L245" s="111"/>
    </row>
    <row r="246" spans="1:12" s="2" customFormat="1" ht="11.25">
      <c r="B246" s="160"/>
      <c r="C246" s="113"/>
      <c r="D246" s="162"/>
      <c r="E246" s="160"/>
      <c r="F246" s="113"/>
      <c r="G246" s="113"/>
      <c r="H246" s="162"/>
      <c r="I246" s="92"/>
      <c r="J246" s="186"/>
      <c r="K246" s="162"/>
      <c r="L246" s="111"/>
    </row>
    <row r="247" spans="1:12" s="33" customFormat="1" ht="15" customHeight="1">
      <c r="A247" s="247" t="s">
        <v>370</v>
      </c>
      <c r="B247" s="180">
        <f>+B206+B214</f>
        <v>27070.311663574852</v>
      </c>
      <c r="C247" s="230">
        <f t="shared" ref="C247:K247" si="44">+C206+C214</f>
        <v>38421.659935228628</v>
      </c>
      <c r="D247" s="181">
        <f t="shared" si="44"/>
        <v>55594.298179179561</v>
      </c>
      <c r="E247" s="180">
        <f t="shared" si="44"/>
        <v>93127.333867527093</v>
      </c>
      <c r="F247" s="230">
        <f t="shared" si="44"/>
        <v>105806.92278251401</v>
      </c>
      <c r="G247" s="230"/>
      <c r="H247" s="181">
        <f t="shared" si="44"/>
        <v>121086.26977798303</v>
      </c>
      <c r="I247" s="304">
        <f t="shared" si="44"/>
        <v>0.27512103470292648</v>
      </c>
      <c r="J247" s="195">
        <f t="shared" si="44"/>
        <v>0.64427829964667471</v>
      </c>
      <c r="K247" s="181">
        <f t="shared" si="44"/>
        <v>119437.84164862731</v>
      </c>
      <c r="L247" s="111"/>
    </row>
    <row r="248" spans="1:12" s="2" customFormat="1" ht="11.25">
      <c r="B248" s="160"/>
      <c r="C248" s="113"/>
      <c r="D248" s="162"/>
      <c r="E248" s="160"/>
      <c r="F248" s="113"/>
      <c r="G248" s="113"/>
      <c r="H248" s="162"/>
      <c r="I248" s="92"/>
      <c r="J248" s="186"/>
      <c r="K248" s="162"/>
      <c r="L248" s="111"/>
    </row>
    <row r="249" spans="1:12" s="33" customFormat="1" ht="20.100000000000001" customHeight="1">
      <c r="A249" s="246" t="s">
        <v>86</v>
      </c>
      <c r="B249" s="177">
        <f>+B216</f>
        <v>-19376.55779200259</v>
      </c>
      <c r="C249" s="228">
        <f t="shared" ref="C249:K249" si="45">+C216</f>
        <v>-16339.975396222271</v>
      </c>
      <c r="D249" s="178">
        <f t="shared" si="45"/>
        <v>161611.54554877762</v>
      </c>
      <c r="E249" s="177">
        <f t="shared" si="45"/>
        <v>102516.92447247297</v>
      </c>
      <c r="F249" s="228">
        <f t="shared" si="45"/>
        <v>44733.505108350437</v>
      </c>
      <c r="G249" s="228"/>
      <c r="H249" s="178">
        <f t="shared" si="45"/>
        <v>125895.0123605527</v>
      </c>
      <c r="I249" s="225">
        <f t="shared" si="45"/>
        <v>-0.56364760903101496</v>
      </c>
      <c r="J249" s="193">
        <f t="shared" si="45"/>
        <v>1.8143337316317694</v>
      </c>
      <c r="K249" s="178">
        <f t="shared" si="45"/>
        <v>99675.857672992977</v>
      </c>
      <c r="L249" s="111"/>
    </row>
    <row r="250" spans="1:12" s="2" customFormat="1" ht="11.25">
      <c r="B250" s="17"/>
      <c r="C250" s="113"/>
      <c r="F250" s="58"/>
      <c r="G250" s="58"/>
      <c r="I250" s="66"/>
      <c r="J250" s="66"/>
      <c r="L250" s="111"/>
    </row>
    <row r="251" spans="1:12" s="298" customFormat="1" ht="18" customHeight="1">
      <c r="A251" s="292" t="s">
        <v>95</v>
      </c>
      <c r="B251" s="293">
        <v>71669</v>
      </c>
      <c r="C251" s="295">
        <v>244542</v>
      </c>
      <c r="D251" s="294">
        <v>130128</v>
      </c>
      <c r="E251" s="293">
        <f>+E28</f>
        <v>598741.80000000005</v>
      </c>
      <c r="F251" s="295"/>
      <c r="G251" s="295"/>
      <c r="H251" s="294">
        <f>SUM(B251:D251)</f>
        <v>446339</v>
      </c>
      <c r="I251" s="296"/>
      <c r="J251" s="297"/>
      <c r="K251" s="294">
        <f>SUM(E251:G251)</f>
        <v>598741.80000000005</v>
      </c>
      <c r="L251" s="111"/>
    </row>
    <row r="252" spans="1:12" s="298" customFormat="1" ht="15" customHeight="1">
      <c r="A252" s="292" t="s">
        <v>371</v>
      </c>
      <c r="B252" s="293">
        <v>282359.08505271981</v>
      </c>
      <c r="C252" s="295">
        <v>1020163.4121492588</v>
      </c>
      <c r="D252" s="294">
        <v>670037.88218592829</v>
      </c>
      <c r="E252" s="293">
        <f>+E221</f>
        <v>2179913.3669704548</v>
      </c>
      <c r="F252" s="295">
        <f>+F221</f>
        <v>2259366.8443335895</v>
      </c>
      <c r="G252" s="295"/>
      <c r="H252" s="294">
        <f>+H221</f>
        <v>2283816.4860842084</v>
      </c>
      <c r="I252" s="296"/>
      <c r="J252" s="297"/>
      <c r="K252" s="294">
        <f>+K221</f>
        <v>2432183.7484195037</v>
      </c>
      <c r="L252" s="111"/>
    </row>
    <row r="253" spans="1:12" s="298" customFormat="1" ht="15" customHeight="1">
      <c r="A253" s="292" t="s">
        <v>372</v>
      </c>
      <c r="B253" s="293">
        <v>0</v>
      </c>
      <c r="C253" s="295">
        <v>0</v>
      </c>
      <c r="D253" s="294">
        <v>0</v>
      </c>
      <c r="E253" s="293"/>
      <c r="F253" s="295"/>
      <c r="G253" s="295"/>
      <c r="H253" s="294">
        <f>SUM(B253:D253)</f>
        <v>0</v>
      </c>
      <c r="I253" s="296"/>
      <c r="J253" s="297"/>
      <c r="K253" s="294">
        <f>SUM(E253:G253)</f>
        <v>0</v>
      </c>
      <c r="L253" s="111"/>
    </row>
    <row r="254" spans="1:12" s="2" customFormat="1" ht="11.25">
      <c r="B254" s="24"/>
      <c r="C254" s="17"/>
      <c r="H254" s="24"/>
      <c r="I254" s="66"/>
    </row>
    <row r="255" spans="1:12">
      <c r="L255" s="111"/>
    </row>
  </sheetData>
  <mergeCells count="6">
    <mergeCell ref="B227:B228"/>
    <mergeCell ref="C227:C228"/>
    <mergeCell ref="D227:D228"/>
    <mergeCell ref="B4:B5"/>
    <mergeCell ref="C4:C5"/>
    <mergeCell ref="D4:D5"/>
  </mergeCells>
  <phoneticPr fontId="33" type="noConversion"/>
  <pageMargins left="0.78740157499999996" right="0.78740157499999996" top="0.984251969" bottom="0.984251969" header="0.4921259845" footer="0.492125984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1"/>
  </sheetPr>
  <dimension ref="A1:M255"/>
  <sheetViews>
    <sheetView workbookViewId="0">
      <pane xSplit="1" ySplit="6" topLeftCell="B212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72.85546875" bestFit="1" customWidth="1"/>
    <col min="2" max="2" width="12.28515625" style="26" customWidth="1"/>
    <col min="3" max="3" width="14.28515625" style="26" customWidth="1"/>
    <col min="4" max="4" width="14.7109375" style="26" bestFit="1" customWidth="1"/>
    <col min="5" max="5" width="12.28515625" style="26" customWidth="1"/>
    <col min="6" max="6" width="12.28515625" style="26" bestFit="1" customWidth="1"/>
    <col min="7" max="7" width="12.28515625" style="26" hidden="1" customWidth="1"/>
    <col min="8" max="8" width="12.28515625" style="26" customWidth="1"/>
    <col min="9" max="9" width="9.5703125" style="66" customWidth="1"/>
    <col min="10" max="10" width="9.140625" style="66" bestFit="1" customWidth="1"/>
    <col min="11" max="11" width="12.7109375" style="28" customWidth="1"/>
    <col min="12" max="12" width="14.7109375" bestFit="1" customWidth="1"/>
  </cols>
  <sheetData>
    <row r="1" spans="1:11">
      <c r="A1" s="1" t="s">
        <v>515</v>
      </c>
      <c r="K1" s="45"/>
    </row>
    <row r="2" spans="1:11">
      <c r="D2" s="86"/>
    </row>
    <row r="3" spans="1:11" s="2" customFormat="1" ht="12.75" customHeight="1">
      <c r="A3" s="6"/>
      <c r="B3" s="155"/>
      <c r="C3" s="211"/>
      <c r="D3" s="211"/>
      <c r="E3" s="267" t="s">
        <v>55</v>
      </c>
      <c r="F3" s="130" t="s">
        <v>364</v>
      </c>
      <c r="G3" s="130" t="s">
        <v>543</v>
      </c>
      <c r="H3" s="104" t="s">
        <v>196</v>
      </c>
      <c r="I3" s="151" t="s">
        <v>225</v>
      </c>
      <c r="J3" s="183" t="s">
        <v>225</v>
      </c>
      <c r="K3" s="8" t="s">
        <v>196</v>
      </c>
    </row>
    <row r="4" spans="1:11" s="2" customFormat="1" ht="20.25" customHeight="1">
      <c r="A4" s="7" t="s">
        <v>377</v>
      </c>
      <c r="B4" s="1432" t="s">
        <v>211</v>
      </c>
      <c r="C4" s="1434" t="s">
        <v>324</v>
      </c>
      <c r="D4" s="1436" t="s">
        <v>17</v>
      </c>
      <c r="E4" s="260" t="s">
        <v>366</v>
      </c>
      <c r="F4" s="131" t="s">
        <v>366</v>
      </c>
      <c r="G4" s="131" t="s">
        <v>432</v>
      </c>
      <c r="H4" s="105" t="s">
        <v>197</v>
      </c>
      <c r="I4" s="152" t="s">
        <v>55</v>
      </c>
      <c r="J4" s="131" t="s">
        <v>432</v>
      </c>
      <c r="K4" s="9" t="s">
        <v>197</v>
      </c>
    </row>
    <row r="5" spans="1:11" s="2" customFormat="1" ht="20.25" customHeight="1">
      <c r="A5" s="7"/>
      <c r="B5" s="1433"/>
      <c r="C5" s="1435"/>
      <c r="D5" s="1437"/>
      <c r="E5" s="157">
        <f>E216</f>
        <v>-17093.745710026844</v>
      </c>
      <c r="F5" s="157">
        <f>F216</f>
        <v>-38905.888584014327</v>
      </c>
      <c r="G5" s="157">
        <f>G216</f>
        <v>-36875.366508156265</v>
      </c>
      <c r="H5" s="157">
        <f>H216</f>
        <v>47404.909629884554</v>
      </c>
      <c r="I5" s="152"/>
      <c r="J5" s="132" t="s">
        <v>433</v>
      </c>
      <c r="K5" s="10"/>
    </row>
    <row r="6" spans="1:11" s="2" customFormat="1" ht="18">
      <c r="A6" s="68"/>
      <c r="B6" s="158"/>
      <c r="C6" s="216"/>
      <c r="D6" s="216"/>
      <c r="E6" s="269">
        <v>2009</v>
      </c>
      <c r="F6" s="133">
        <v>2010</v>
      </c>
      <c r="G6" s="133">
        <v>2009</v>
      </c>
      <c r="H6" s="159">
        <v>2011</v>
      </c>
      <c r="I6" s="153" t="s">
        <v>544</v>
      </c>
      <c r="J6" s="185" t="s">
        <v>368</v>
      </c>
      <c r="K6" s="4">
        <v>2010</v>
      </c>
    </row>
    <row r="7" spans="1:11" s="2" customFormat="1" ht="18">
      <c r="A7" s="67"/>
      <c r="B7" s="160"/>
      <c r="C7" s="113"/>
      <c r="D7" s="113"/>
      <c r="E7" s="237"/>
      <c r="F7" s="25"/>
      <c r="G7" s="25"/>
      <c r="H7" s="154"/>
      <c r="I7" s="149"/>
      <c r="J7" s="186"/>
      <c r="K7" s="5"/>
    </row>
    <row r="8" spans="1:11" s="2" customFormat="1" ht="11.25">
      <c r="A8" s="5" t="s">
        <v>221</v>
      </c>
      <c r="B8" s="160">
        <f>+Cambrai!G8</f>
        <v>670405</v>
      </c>
      <c r="C8" s="113">
        <f>+Caudry!G8</f>
        <v>740739</v>
      </c>
      <c r="D8" s="113">
        <f>+Lens!G8</f>
        <v>581262</v>
      </c>
      <c r="E8" s="160">
        <f>+Cambrai!E8+Caudry!E8+Lens!E8</f>
        <v>1207083.22</v>
      </c>
      <c r="F8" s="135">
        <f>+Cambrai!F8+Caudry!F8+Lens!F8</f>
        <v>1665903.8122832694</v>
      </c>
      <c r="G8" s="161">
        <v>1869486.2766</v>
      </c>
      <c r="H8" s="161">
        <f>+Cambrai!G8+Caudry!G8+Lens!G8</f>
        <v>1992406</v>
      </c>
      <c r="I8" s="149">
        <f>+IF((D8)=0,,(E8-D8)/D8)</f>
        <v>1.0766594410093899</v>
      </c>
      <c r="J8" s="271">
        <f>+IF((E8)=0,,(H8-E8)/E8)</f>
        <v>0.65059539142628464</v>
      </c>
      <c r="K8" s="18">
        <f>+Cambrai!D8+Caudry!D8+Lens!D8</f>
        <v>1855940</v>
      </c>
    </row>
    <row r="9" spans="1:11" s="2" customFormat="1" ht="11.25">
      <c r="A9" s="5" t="s">
        <v>422</v>
      </c>
      <c r="B9" s="160">
        <f>+Cambrai!G9</f>
        <v>0</v>
      </c>
      <c r="C9" s="113">
        <f>+Caudry!G9</f>
        <v>0</v>
      </c>
      <c r="D9" s="113">
        <f>+Lens!G9</f>
        <v>0</v>
      </c>
      <c r="E9" s="160">
        <f>+Cambrai!E9+Caudry!E9+Lens!E9</f>
        <v>495789.45999999996</v>
      </c>
      <c r="F9" s="135">
        <f>+Cambrai!F9+Caudry!F9+Lens!F9</f>
        <v>0</v>
      </c>
      <c r="G9" s="161">
        <v>0</v>
      </c>
      <c r="H9" s="161">
        <f>+Cambrai!G9+Caudry!G9+Lens!G9</f>
        <v>0</v>
      </c>
      <c r="I9" s="149">
        <f t="shared" ref="I9:I19" si="0">+IF((D9)=0,,(E9-D9)/D9)</f>
        <v>0</v>
      </c>
      <c r="J9" s="271">
        <f t="shared" ref="J9:J19" si="1">+IF((E9)=0,,(H9-E9)/E9)</f>
        <v>-1</v>
      </c>
      <c r="K9" s="18">
        <f>+Cambrai!D9+Caudry!D9+Lens!D9</f>
        <v>0</v>
      </c>
    </row>
    <row r="10" spans="1:11" s="2" customFormat="1" ht="11.25">
      <c r="A10" s="5" t="s">
        <v>84</v>
      </c>
      <c r="B10" s="160">
        <f>+Cambrai!G10</f>
        <v>0</v>
      </c>
      <c r="C10" s="113">
        <f>+Caudry!G10</f>
        <v>0</v>
      </c>
      <c r="D10" s="113">
        <f>+Lens!G10</f>
        <v>0</v>
      </c>
      <c r="E10" s="160">
        <f>+Cambrai!E10+Caudry!E10+Lens!E10</f>
        <v>0</v>
      </c>
      <c r="F10" s="135">
        <f>+Cambrai!F10+Caudry!F10+Lens!F10</f>
        <v>0</v>
      </c>
      <c r="G10" s="161">
        <v>0</v>
      </c>
      <c r="H10" s="161">
        <f>+Cambrai!G10+Caudry!G10+Lens!G10</f>
        <v>0</v>
      </c>
      <c r="I10" s="149">
        <f t="shared" si="0"/>
        <v>0</v>
      </c>
      <c r="J10" s="271">
        <f t="shared" si="1"/>
        <v>0</v>
      </c>
      <c r="K10" s="18">
        <f>+Cambrai!D10+Caudry!D10+Lens!D10</f>
        <v>0</v>
      </c>
    </row>
    <row r="11" spans="1:11" s="2" customFormat="1" ht="11.25">
      <c r="A11" s="5" t="s">
        <v>267</v>
      </c>
      <c r="B11" s="160">
        <f>+Cambrai!G11</f>
        <v>0</v>
      </c>
      <c r="C11" s="113">
        <f>+Caudry!G11</f>
        <v>0</v>
      </c>
      <c r="D11" s="113">
        <f>+Lens!G11</f>
        <v>0</v>
      </c>
      <c r="E11" s="160">
        <f>+Cambrai!E11+Caudry!E11+Lens!E11</f>
        <v>0</v>
      </c>
      <c r="F11" s="135">
        <f>+Cambrai!F11+Caudry!F11+Lens!F11</f>
        <v>0</v>
      </c>
      <c r="G11" s="161">
        <v>0</v>
      </c>
      <c r="H11" s="161">
        <f>+Cambrai!G11+Caudry!G11+Lens!G11</f>
        <v>0</v>
      </c>
      <c r="I11" s="149">
        <f t="shared" si="0"/>
        <v>0</v>
      </c>
      <c r="J11" s="271">
        <f t="shared" si="1"/>
        <v>0</v>
      </c>
      <c r="K11" s="18">
        <f>+Cambrai!D11+Caudry!D11+Lens!D11</f>
        <v>0</v>
      </c>
    </row>
    <row r="12" spans="1:11" s="2" customFormat="1" ht="11.25">
      <c r="A12" s="5" t="s">
        <v>46</v>
      </c>
      <c r="B12" s="160">
        <f>+Cambrai!G12</f>
        <v>0</v>
      </c>
      <c r="C12" s="113">
        <f>+Caudry!G12</f>
        <v>0</v>
      </c>
      <c r="D12" s="113">
        <f>+Lens!G12</f>
        <v>0</v>
      </c>
      <c r="E12" s="160">
        <f>+Cambrai!E12+Caudry!E12+Lens!E12</f>
        <v>0</v>
      </c>
      <c r="F12" s="135">
        <f>+Cambrai!F12+Caudry!F12+Lens!F12</f>
        <v>0</v>
      </c>
      <c r="G12" s="161">
        <v>0</v>
      </c>
      <c r="H12" s="161">
        <f>+Cambrai!G12+Caudry!G12+Lens!G12</f>
        <v>0</v>
      </c>
      <c r="I12" s="149">
        <f t="shared" si="0"/>
        <v>0</v>
      </c>
      <c r="J12" s="271">
        <f t="shared" si="1"/>
        <v>0</v>
      </c>
      <c r="K12" s="18">
        <f>+Cambrai!D12+Caudry!D12+Lens!D12</f>
        <v>0</v>
      </c>
    </row>
    <row r="13" spans="1:11" s="2" customFormat="1" ht="11.25">
      <c r="A13" s="5" t="s">
        <v>268</v>
      </c>
      <c r="B13" s="160">
        <f>+Cambrai!G13</f>
        <v>0</v>
      </c>
      <c r="C13" s="113">
        <f>+Caudry!G13</f>
        <v>0</v>
      </c>
      <c r="D13" s="113">
        <f>+Lens!G13</f>
        <v>0</v>
      </c>
      <c r="E13" s="160">
        <f>+Cambrai!E13+Caudry!E13+Lens!E13</f>
        <v>0</v>
      </c>
      <c r="F13" s="135">
        <f>+Cambrai!F13+Caudry!F13+Lens!F13</f>
        <v>0</v>
      </c>
      <c r="G13" s="161">
        <v>0</v>
      </c>
      <c r="H13" s="161">
        <f>+Cambrai!G13+Caudry!G13+Lens!G13</f>
        <v>0</v>
      </c>
      <c r="I13" s="149">
        <f t="shared" si="0"/>
        <v>0</v>
      </c>
      <c r="J13" s="271">
        <f t="shared" si="1"/>
        <v>0</v>
      </c>
      <c r="K13" s="18">
        <f>+Cambrai!D13+Caudry!D13+Lens!D13</f>
        <v>0</v>
      </c>
    </row>
    <row r="14" spans="1:11" s="2" customFormat="1" ht="11.25">
      <c r="A14" s="5" t="s">
        <v>269</v>
      </c>
      <c r="B14" s="160">
        <f>+Cambrai!G14</f>
        <v>13.905000000000001</v>
      </c>
      <c r="C14" s="113">
        <f>+Caudry!G14</f>
        <v>0</v>
      </c>
      <c r="D14" s="113">
        <f>+Lens!G14</f>
        <v>0</v>
      </c>
      <c r="E14" s="160">
        <f>+Cambrai!E14+Caudry!E14+Lens!E14</f>
        <v>15</v>
      </c>
      <c r="F14" s="135">
        <f>+Cambrai!F14+Caudry!F14+Lens!F14</f>
        <v>13.5</v>
      </c>
      <c r="G14" s="161">
        <v>15.450000000000001</v>
      </c>
      <c r="H14" s="161">
        <f>+Cambrai!G14+Caudry!G14+Lens!G14</f>
        <v>13.905000000000001</v>
      </c>
      <c r="I14" s="149">
        <f t="shared" si="0"/>
        <v>0</v>
      </c>
      <c r="J14" s="271">
        <f t="shared" si="1"/>
        <v>-7.2999999999999926E-2</v>
      </c>
      <c r="K14" s="18">
        <f>+Cambrai!D14+Caudry!D14+Lens!D14</f>
        <v>0</v>
      </c>
    </row>
    <row r="15" spans="1:11" s="2" customFormat="1" ht="11.25">
      <c r="A15" s="5" t="s">
        <v>270</v>
      </c>
      <c r="B15" s="160">
        <f>+Cambrai!G15</f>
        <v>0</v>
      </c>
      <c r="C15" s="113">
        <f>+Caudry!G15</f>
        <v>0</v>
      </c>
      <c r="D15" s="113">
        <f>+Lens!G15</f>
        <v>0</v>
      </c>
      <c r="E15" s="160">
        <f>+Cambrai!E15+Caudry!E15+Lens!E15</f>
        <v>4092</v>
      </c>
      <c r="F15" s="135">
        <f>+Cambrai!F15+Caudry!F15+Lens!F15</f>
        <v>2730</v>
      </c>
      <c r="G15" s="161">
        <v>3346.4700000000003</v>
      </c>
      <c r="H15" s="161">
        <f>+Cambrai!G15+Caudry!G15+Lens!G15</f>
        <v>0</v>
      </c>
      <c r="I15" s="149">
        <f t="shared" si="0"/>
        <v>0</v>
      </c>
      <c r="J15" s="271">
        <f t="shared" si="1"/>
        <v>-1</v>
      </c>
      <c r="K15" s="18">
        <f>+Cambrai!D15+Caudry!D15+Lens!D15</f>
        <v>0</v>
      </c>
    </row>
    <row r="16" spans="1:11" s="2" customFormat="1" ht="11.25">
      <c r="A16" s="5" t="s">
        <v>85</v>
      </c>
      <c r="B16" s="160">
        <f>+Cambrai!G16</f>
        <v>0</v>
      </c>
      <c r="C16" s="113">
        <f>+Caudry!G16</f>
        <v>0</v>
      </c>
      <c r="D16" s="113">
        <f>+Lens!G16</f>
        <v>0</v>
      </c>
      <c r="E16" s="160">
        <f>+Cambrai!E16+Caudry!E16+Lens!E16</f>
        <v>0</v>
      </c>
      <c r="F16" s="135">
        <f>+Cambrai!F16+Caudry!F16+Lens!F16</f>
        <v>0</v>
      </c>
      <c r="G16" s="161">
        <v>0</v>
      </c>
      <c r="H16" s="161">
        <f>+Cambrai!G16+Caudry!G16+Lens!G16</f>
        <v>0</v>
      </c>
      <c r="I16" s="149">
        <f t="shared" si="0"/>
        <v>0</v>
      </c>
      <c r="J16" s="271">
        <f t="shared" si="1"/>
        <v>0</v>
      </c>
      <c r="K16" s="18">
        <f>+Cambrai!D16+Caudry!D16+Lens!D16</f>
        <v>0</v>
      </c>
    </row>
    <row r="17" spans="1:11" s="2" customFormat="1" ht="11.25">
      <c r="A17" s="5" t="s">
        <v>88</v>
      </c>
      <c r="B17" s="160">
        <f>+Cambrai!G17</f>
        <v>0</v>
      </c>
      <c r="C17" s="113">
        <f>+Caudry!G17</f>
        <v>0</v>
      </c>
      <c r="D17" s="113">
        <f>+Lens!G17</f>
        <v>0</v>
      </c>
      <c r="E17" s="160">
        <f>+Cambrai!E17+Caudry!E17+Lens!E17</f>
        <v>0</v>
      </c>
      <c r="F17" s="135">
        <f>+Cambrai!F17+Caudry!F17+Lens!F17</f>
        <v>0</v>
      </c>
      <c r="G17" s="161">
        <v>0</v>
      </c>
      <c r="H17" s="161">
        <f>+Cambrai!G17+Caudry!G17+Lens!G17</f>
        <v>0</v>
      </c>
      <c r="I17" s="149">
        <f t="shared" si="0"/>
        <v>0</v>
      </c>
      <c r="J17" s="271">
        <f t="shared" si="1"/>
        <v>0</v>
      </c>
      <c r="K17" s="18">
        <f>+Cambrai!D17+Caudry!D17+Lens!D17</f>
        <v>0</v>
      </c>
    </row>
    <row r="18" spans="1:11" s="2" customFormat="1" ht="11.25">
      <c r="A18" s="5" t="s">
        <v>89</v>
      </c>
      <c r="B18" s="160">
        <f>+Cambrai!G18</f>
        <v>0</v>
      </c>
      <c r="C18" s="113">
        <f>+Caudry!G18</f>
        <v>0</v>
      </c>
      <c r="D18" s="113">
        <f>+Lens!G18</f>
        <v>0</v>
      </c>
      <c r="E18" s="160">
        <f>+Cambrai!E18+Caudry!E18+Lens!E18</f>
        <v>0</v>
      </c>
      <c r="F18" s="135">
        <f>+Cambrai!F18+Caudry!F18+Lens!F18</f>
        <v>0</v>
      </c>
      <c r="G18" s="161">
        <v>0</v>
      </c>
      <c r="H18" s="161">
        <f>+Cambrai!G18+Caudry!G18+Lens!G18</f>
        <v>0</v>
      </c>
      <c r="I18" s="149">
        <f t="shared" si="0"/>
        <v>0</v>
      </c>
      <c r="J18" s="271">
        <f t="shared" si="1"/>
        <v>0</v>
      </c>
      <c r="K18" s="18">
        <f>+Cambrai!D18+Caudry!D18+Lens!D18</f>
        <v>0</v>
      </c>
    </row>
    <row r="19" spans="1:11" s="2" customFormat="1" ht="11.25">
      <c r="A19" s="5" t="s">
        <v>90</v>
      </c>
      <c r="B19" s="160">
        <f>+Cambrai!G19</f>
        <v>0</v>
      </c>
      <c r="C19" s="113">
        <f>+Caudry!G19</f>
        <v>0</v>
      </c>
      <c r="D19" s="113">
        <f>+Lens!G19</f>
        <v>0</v>
      </c>
      <c r="E19" s="160">
        <f>+Cambrai!E19+Caudry!E19+Lens!E19</f>
        <v>0</v>
      </c>
      <c r="F19" s="135">
        <f>+Cambrai!F19+Caudry!F19+Lens!F19</f>
        <v>0</v>
      </c>
      <c r="G19" s="161">
        <v>0</v>
      </c>
      <c r="H19" s="161">
        <f>+Cambrai!G19+Caudry!G19+Lens!G19</f>
        <v>0</v>
      </c>
      <c r="I19" s="149">
        <f t="shared" si="0"/>
        <v>0</v>
      </c>
      <c r="J19" s="271">
        <f t="shared" si="1"/>
        <v>0</v>
      </c>
      <c r="K19" s="18">
        <f>+Cambrai!D19+Caudry!D19+Lens!D19</f>
        <v>0</v>
      </c>
    </row>
    <row r="20" spans="1:11" s="2" customFormat="1" ht="11.25">
      <c r="A20" s="5"/>
      <c r="B20" s="160"/>
      <c r="C20" s="113"/>
      <c r="D20" s="113"/>
      <c r="E20" s="160"/>
      <c r="F20" s="113"/>
      <c r="G20" s="162"/>
      <c r="H20" s="162"/>
      <c r="I20" s="149"/>
      <c r="J20" s="254"/>
      <c r="K20" s="18"/>
    </row>
    <row r="21" spans="1:11" s="57" customFormat="1" ht="15" customHeight="1">
      <c r="A21" s="13" t="s">
        <v>222</v>
      </c>
      <c r="B21" s="163">
        <f t="shared" ref="B21:H21" si="2">SUM(B7:B20)</f>
        <v>670418.90500000003</v>
      </c>
      <c r="C21" s="204">
        <f t="shared" si="2"/>
        <v>740739</v>
      </c>
      <c r="D21" s="204">
        <f t="shared" si="2"/>
        <v>581262</v>
      </c>
      <c r="E21" s="163">
        <f>SUM(E7:E20)</f>
        <v>1706979.68</v>
      </c>
      <c r="F21" s="204">
        <f t="shared" si="2"/>
        <v>1668647.3122832694</v>
      </c>
      <c r="G21" s="168">
        <v>1872848.1965999999</v>
      </c>
      <c r="H21" s="168">
        <f t="shared" si="2"/>
        <v>1992419.905</v>
      </c>
      <c r="I21" s="272">
        <f>+IF((D21)=0,,(E21-D21)/D21)</f>
        <v>1.9366786062051191</v>
      </c>
      <c r="J21" s="188">
        <f>+IF((E21)=0,,(H21-E21)/E21)</f>
        <v>0.16721946274134916</v>
      </c>
      <c r="K21" s="305">
        <f>SUM(K7:K20)</f>
        <v>1855940</v>
      </c>
    </row>
    <row r="22" spans="1:11" s="57" customFormat="1" ht="15" customHeight="1">
      <c r="A22" s="5"/>
      <c r="B22" s="160"/>
      <c r="C22" s="113"/>
      <c r="D22" s="113"/>
      <c r="E22" s="160"/>
      <c r="F22" s="113"/>
      <c r="G22" s="162"/>
      <c r="H22" s="162"/>
      <c r="I22" s="149"/>
      <c r="J22" s="271"/>
      <c r="K22" s="18"/>
    </row>
    <row r="23" spans="1:11" s="2" customFormat="1" ht="11.25">
      <c r="A23" s="5" t="s">
        <v>92</v>
      </c>
      <c r="B23" s="160">
        <f>+Cambrai!G23</f>
        <v>0</v>
      </c>
      <c r="C23" s="113">
        <f>+Caudry!G23</f>
        <v>0</v>
      </c>
      <c r="D23" s="113">
        <f>+Lens!G23</f>
        <v>0</v>
      </c>
      <c r="E23" s="160">
        <f>+Cambrai!E23+Caudry!E23+Lens!E23</f>
        <v>314.31</v>
      </c>
      <c r="F23" s="270"/>
      <c r="G23" s="161">
        <v>0</v>
      </c>
      <c r="H23" s="161">
        <f>+Cambrai!G23+Caudry!G23+Lens!G23</f>
        <v>0</v>
      </c>
      <c r="I23" s="149"/>
      <c r="J23" s="271"/>
      <c r="K23" s="18"/>
    </row>
    <row r="24" spans="1:11" s="2" customFormat="1" ht="11.25">
      <c r="A24" s="5" t="s">
        <v>93</v>
      </c>
      <c r="B24" s="160">
        <f>+Cambrai!G24</f>
        <v>274972.31388575002</v>
      </c>
      <c r="C24" s="113">
        <f>+Caudry!G24</f>
        <v>255110.51160000003</v>
      </c>
      <c r="D24" s="113">
        <f>+Lens!G24</f>
        <v>218670.76439999999</v>
      </c>
      <c r="E24" s="160">
        <f>+Cambrai!E24+Caudry!E24+Lens!E24</f>
        <v>402952.89999999997</v>
      </c>
      <c r="F24" s="270"/>
      <c r="G24" s="161">
        <v>0</v>
      </c>
      <c r="H24" s="161">
        <f>+Cambrai!G24+Caudry!G24+Lens!G24</f>
        <v>748753.58988575009</v>
      </c>
      <c r="I24" s="149"/>
      <c r="J24" s="271"/>
      <c r="K24" s="18"/>
    </row>
    <row r="25" spans="1:11" s="2" customFormat="1" ht="11.25">
      <c r="A25" s="5" t="s">
        <v>94</v>
      </c>
      <c r="B25" s="160">
        <f>+Cambrai!G25</f>
        <v>0</v>
      </c>
      <c r="C25" s="113">
        <f>+Caudry!G25</f>
        <v>0</v>
      </c>
      <c r="D25" s="113">
        <f>+Lens!G25</f>
        <v>0</v>
      </c>
      <c r="E25" s="160">
        <f>+Cambrai!E25+Caudry!E25+Lens!E25</f>
        <v>17654.169999999998</v>
      </c>
      <c r="F25" s="270"/>
      <c r="G25" s="161">
        <v>0</v>
      </c>
      <c r="H25" s="161">
        <f>+Cambrai!G25+Caudry!G25+Lens!G25</f>
        <v>0</v>
      </c>
      <c r="I25" s="149"/>
      <c r="J25" s="271"/>
      <c r="K25" s="18"/>
    </row>
    <row r="26" spans="1:11" s="57" customFormat="1" ht="15" customHeight="1">
      <c r="A26" s="5" t="s">
        <v>288</v>
      </c>
      <c r="B26" s="160">
        <f>+Cambrai!G26</f>
        <v>0</v>
      </c>
      <c r="C26" s="113">
        <f>+Caudry!G26</f>
        <v>0</v>
      </c>
      <c r="D26" s="113">
        <f>+Lens!G26</f>
        <v>0</v>
      </c>
      <c r="E26" s="160">
        <f>+Cambrai!E26+Caudry!E26+Lens!E26</f>
        <v>294714</v>
      </c>
      <c r="F26" s="270"/>
      <c r="G26" s="161">
        <v>0</v>
      </c>
      <c r="H26" s="161">
        <f>+Cambrai!G26+Caudry!G26+Lens!G26</f>
        <v>0</v>
      </c>
      <c r="I26" s="149"/>
      <c r="J26" s="271"/>
      <c r="K26" s="18"/>
    </row>
    <row r="27" spans="1:11" s="57" customFormat="1" ht="15" customHeight="1">
      <c r="A27" s="5" t="s">
        <v>289</v>
      </c>
      <c r="B27" s="160">
        <f>+Cambrai!G27</f>
        <v>0</v>
      </c>
      <c r="C27" s="113">
        <f>+Caudry!G27</f>
        <v>0</v>
      </c>
      <c r="D27" s="113">
        <f>+Lens!G27</f>
        <v>0</v>
      </c>
      <c r="E27" s="160">
        <f>+Cambrai!E27+Caudry!E27+Lens!E27</f>
        <v>-156234</v>
      </c>
      <c r="F27" s="270"/>
      <c r="G27" s="161">
        <v>0</v>
      </c>
      <c r="H27" s="161">
        <f>+Cambrai!G27+Caudry!G27+Lens!G27</f>
        <v>0</v>
      </c>
      <c r="I27" s="149"/>
      <c r="J27" s="271"/>
      <c r="K27" s="18"/>
    </row>
    <row r="28" spans="1:11" s="2" customFormat="1" ht="11.25">
      <c r="A28" s="5" t="s">
        <v>95</v>
      </c>
      <c r="B28" s="160">
        <f>+Cambrai!G28</f>
        <v>148062.01516924999</v>
      </c>
      <c r="C28" s="113">
        <f>+Caudry!G28</f>
        <v>200443.97339999999</v>
      </c>
      <c r="D28" s="113">
        <f>+Lens!G28</f>
        <v>164962.15559999997</v>
      </c>
      <c r="E28" s="160">
        <f>+Cambrai!E28+Caudry!E28+Lens!E28</f>
        <v>500956.82000000007</v>
      </c>
      <c r="F28" s="270"/>
      <c r="G28" s="161">
        <v>0</v>
      </c>
      <c r="H28" s="161">
        <f>+Cambrai!G28+Caudry!G28+Lens!G28</f>
        <v>513468.14416924992</v>
      </c>
      <c r="I28" s="149"/>
      <c r="J28" s="271"/>
      <c r="K28" s="18"/>
    </row>
    <row r="29" spans="1:11" s="2" customFormat="1" ht="11.25">
      <c r="A29" s="5" t="s">
        <v>293</v>
      </c>
      <c r="B29" s="160">
        <f>+Cambrai!G29</f>
        <v>0</v>
      </c>
      <c r="C29" s="113">
        <f>+Caudry!G29</f>
        <v>0</v>
      </c>
      <c r="D29" s="113">
        <f>+Lens!G29</f>
        <v>0</v>
      </c>
      <c r="E29" s="160">
        <f>+Cambrai!E29+Caudry!E29+Lens!E29</f>
        <v>29246.400000000001</v>
      </c>
      <c r="F29" s="270"/>
      <c r="G29" s="161">
        <v>0</v>
      </c>
      <c r="H29" s="161">
        <f>+Cambrai!G29+Caudry!G29+Lens!G29</f>
        <v>0</v>
      </c>
      <c r="I29" s="149"/>
      <c r="J29" s="271"/>
      <c r="K29" s="18"/>
    </row>
    <row r="30" spans="1:11" s="2" customFormat="1" ht="11.25">
      <c r="A30" s="42" t="s">
        <v>292</v>
      </c>
      <c r="B30" s="164">
        <f t="shared" ref="B30:H30" si="3">SUM(B23:B29)</f>
        <v>423034.32905499998</v>
      </c>
      <c r="C30" s="220">
        <f t="shared" si="3"/>
        <v>455554.48499999999</v>
      </c>
      <c r="D30" s="220">
        <f t="shared" si="3"/>
        <v>383632.91999999993</v>
      </c>
      <c r="E30" s="164">
        <f>SUM(E23:E29)</f>
        <v>1089604.5999999999</v>
      </c>
      <c r="F30" s="220"/>
      <c r="G30" s="165">
        <v>0</v>
      </c>
      <c r="H30" s="165">
        <f t="shared" si="3"/>
        <v>1262221.7340549999</v>
      </c>
      <c r="I30" s="273"/>
      <c r="J30" s="342"/>
      <c r="K30" s="306"/>
    </row>
    <row r="31" spans="1:11" s="2" customFormat="1" ht="15" customHeight="1">
      <c r="A31" s="5"/>
      <c r="B31" s="160"/>
      <c r="C31" s="113"/>
      <c r="D31" s="113"/>
      <c r="E31" s="160"/>
      <c r="F31" s="113"/>
      <c r="G31" s="162"/>
      <c r="H31" s="162"/>
      <c r="I31" s="149"/>
      <c r="J31" s="254"/>
      <c r="K31" s="18"/>
    </row>
    <row r="32" spans="1:11" s="2" customFormat="1" ht="15" customHeight="1">
      <c r="A32" s="56" t="s">
        <v>336</v>
      </c>
      <c r="B32" s="166">
        <f>+B21-B30-B38</f>
        <v>247384.57594500005</v>
      </c>
      <c r="C32" s="221">
        <f>+C21-C30-C38</f>
        <v>285184.51500000001</v>
      </c>
      <c r="D32" s="221">
        <f>+D21-D30-D38</f>
        <v>197629.08000000007</v>
      </c>
      <c r="E32" s="166">
        <f>+E21-E30-E38</f>
        <v>617788.80070000002</v>
      </c>
      <c r="F32" s="221"/>
      <c r="G32" s="167">
        <v>1872848.1965999999</v>
      </c>
      <c r="H32" s="167">
        <f>+H21-H30-H38</f>
        <v>730198.17094500014</v>
      </c>
      <c r="I32" s="273"/>
      <c r="J32" s="274"/>
      <c r="K32" s="307"/>
    </row>
    <row r="33" spans="1:11" s="2" customFormat="1" ht="11.25">
      <c r="A33" s="56" t="s">
        <v>337</v>
      </c>
      <c r="B33" s="196">
        <f>+B32/B21</f>
        <v>0.36900000000000005</v>
      </c>
      <c r="C33" s="222">
        <f>+C32/C21</f>
        <v>0.38500000000000001</v>
      </c>
      <c r="D33" s="222">
        <f>+D32/D21</f>
        <v>0.34000000000000014</v>
      </c>
      <c r="E33" s="196">
        <f>+E32/E21</f>
        <v>0.36191924715823215</v>
      </c>
      <c r="F33" s="222"/>
      <c r="G33" s="189">
        <v>1</v>
      </c>
      <c r="H33" s="189">
        <f>+H32/H21</f>
        <v>0.36648809275221539</v>
      </c>
      <c r="I33" s="273"/>
      <c r="J33" s="274"/>
      <c r="K33" s="308"/>
    </row>
    <row r="34" spans="1:11" s="2" customFormat="1" ht="11.25">
      <c r="A34" s="5"/>
      <c r="B34" s="160"/>
      <c r="C34" s="113"/>
      <c r="D34" s="113"/>
      <c r="E34" s="160"/>
      <c r="F34" s="113"/>
      <c r="G34" s="162"/>
      <c r="H34" s="162"/>
      <c r="I34" s="149"/>
      <c r="J34" s="271"/>
      <c r="K34" s="18"/>
    </row>
    <row r="35" spans="1:11" s="33" customFormat="1" ht="15" customHeight="1">
      <c r="A35" s="5" t="s">
        <v>96</v>
      </c>
      <c r="B35" s="160">
        <f>+Cambrai!G35</f>
        <v>6324.3013568595015</v>
      </c>
      <c r="C35" s="113">
        <f>+Caudry!G35</f>
        <v>8304.1741201919576</v>
      </c>
      <c r="D35" s="113">
        <f>+Lens!G35</f>
        <v>2776.0203560708119</v>
      </c>
      <c r="E35" s="160">
        <f>+Cambrai!E35+Caudry!E35+Lens!E35</f>
        <v>14982.630000000001</v>
      </c>
      <c r="F35" s="270"/>
      <c r="G35" s="161">
        <v>0</v>
      </c>
      <c r="H35" s="161">
        <f>+Cambrai!G35+Caudry!G35+Lens!G35</f>
        <v>17404.49583312227</v>
      </c>
      <c r="I35" s="149"/>
      <c r="J35" s="271"/>
      <c r="K35" s="18"/>
    </row>
    <row r="36" spans="1:11" s="2" customFormat="1" ht="11.25">
      <c r="A36" s="5" t="s">
        <v>97</v>
      </c>
      <c r="B36" s="160">
        <f>+Cambrai!G36</f>
        <v>1780.9791631397939</v>
      </c>
      <c r="C36" s="113">
        <f>+Caudry!G36</f>
        <v>1634.4425962726812</v>
      </c>
      <c r="D36" s="113">
        <f>+Lens!G36</f>
        <v>1020.5927369076688</v>
      </c>
      <c r="E36" s="160">
        <f>+Cambrai!E36+Caudry!E36+Lens!E36</f>
        <v>3866.11</v>
      </c>
      <c r="F36" s="270"/>
      <c r="G36" s="161">
        <v>0</v>
      </c>
      <c r="H36" s="161">
        <f>+Cambrai!G36+Caudry!G36+Lens!G36</f>
        <v>4436.0144963201437</v>
      </c>
      <c r="I36" s="149"/>
      <c r="J36" s="271"/>
      <c r="K36" s="18"/>
    </row>
    <row r="37" spans="1:11" s="33" customFormat="1" ht="15.75" customHeight="1">
      <c r="A37" s="5" t="s">
        <v>98</v>
      </c>
      <c r="B37" s="160">
        <f>+Cambrai!G37</f>
        <v>0</v>
      </c>
      <c r="C37" s="113">
        <f>+Caudry!G37</f>
        <v>0</v>
      </c>
      <c r="D37" s="113">
        <f>+Lens!G37</f>
        <v>0</v>
      </c>
      <c r="E37" s="160">
        <f>+Cambrai!E37+Caudry!E37+Lens!E37</f>
        <v>0</v>
      </c>
      <c r="F37" s="270"/>
      <c r="G37" s="161">
        <v>0</v>
      </c>
      <c r="H37" s="161">
        <f>+Cambrai!G37+Caudry!G37+Lens!G37</f>
        <v>0</v>
      </c>
      <c r="I37" s="149"/>
      <c r="J37" s="271"/>
      <c r="K37" s="18"/>
    </row>
    <row r="38" spans="1:11" s="2" customFormat="1" ht="11.25">
      <c r="A38" s="5" t="s">
        <v>99</v>
      </c>
      <c r="B38" s="160">
        <f>+Cambrai!G38</f>
        <v>0</v>
      </c>
      <c r="C38" s="113">
        <f>+Caudry!G38</f>
        <v>0</v>
      </c>
      <c r="D38" s="113">
        <f>+Lens!G38</f>
        <v>0</v>
      </c>
      <c r="E38" s="160">
        <f>+Cambrai!E38+Caudry!E38+Lens!E38</f>
        <v>-413.72070000000531</v>
      </c>
      <c r="F38" s="270"/>
      <c r="G38" s="161">
        <v>0</v>
      </c>
      <c r="H38" s="161">
        <f>+Cambrai!G38+Caudry!G38+Lens!G38</f>
        <v>0</v>
      </c>
      <c r="I38" s="149"/>
      <c r="J38" s="271"/>
      <c r="K38" s="18"/>
    </row>
    <row r="39" spans="1:11" s="2" customFormat="1" ht="11.25">
      <c r="A39" s="5" t="s">
        <v>177</v>
      </c>
      <c r="B39" s="160">
        <f>+Cambrai!G39</f>
        <v>0</v>
      </c>
      <c r="C39" s="113">
        <f>+Caudry!G39</f>
        <v>0</v>
      </c>
      <c r="D39" s="113">
        <f>+Lens!G39</f>
        <v>0</v>
      </c>
      <c r="E39" s="160">
        <f>+Cambrai!E39+Caudry!E39+Lens!E39</f>
        <v>14467.48</v>
      </c>
      <c r="F39" s="270"/>
      <c r="G39" s="161">
        <v>0</v>
      </c>
      <c r="H39" s="161">
        <f>+Cambrai!G39+Caudry!G39+Lens!G39</f>
        <v>0</v>
      </c>
      <c r="I39" s="149"/>
      <c r="J39" s="271"/>
      <c r="K39" s="18"/>
    </row>
    <row r="40" spans="1:11" s="2" customFormat="1" ht="11.25">
      <c r="A40" s="5" t="s">
        <v>176</v>
      </c>
      <c r="B40" s="160">
        <f>+Cambrai!G40</f>
        <v>0</v>
      </c>
      <c r="C40" s="113">
        <f>+Caudry!G40</f>
        <v>0</v>
      </c>
      <c r="D40" s="113">
        <f>+Lens!G40</f>
        <v>0</v>
      </c>
      <c r="E40" s="160">
        <f>+Cambrai!E40+Caudry!E40+Lens!E40</f>
        <v>-13673.98</v>
      </c>
      <c r="F40" s="270"/>
      <c r="G40" s="161">
        <v>0</v>
      </c>
      <c r="H40" s="161">
        <f>+Cambrai!G40+Caudry!G40+Lens!G40</f>
        <v>0</v>
      </c>
      <c r="I40" s="149"/>
      <c r="J40" s="271"/>
      <c r="K40" s="18"/>
    </row>
    <row r="41" spans="1:11" s="2" customFormat="1" ht="11.25">
      <c r="A41" s="5" t="s">
        <v>317</v>
      </c>
      <c r="B41" s="160">
        <f>+Cambrai!G41</f>
        <v>-5499.4462777150002</v>
      </c>
      <c r="C41" s="113">
        <f>+Caudry!G41</f>
        <v>-5102.2102320000004</v>
      </c>
      <c r="D41" s="113">
        <f>+Lens!G41</f>
        <v>-4373.4152880000001</v>
      </c>
      <c r="E41" s="160">
        <f>+Cambrai!E41+Caudry!E41+Lens!E41</f>
        <v>-16921.48</v>
      </c>
      <c r="F41" s="270"/>
      <c r="G41" s="161">
        <v>0</v>
      </c>
      <c r="H41" s="161">
        <f>+Cambrai!G41+Caudry!G41+Lens!G41</f>
        <v>-14975.071797715002</v>
      </c>
      <c r="I41" s="149"/>
      <c r="J41" s="271"/>
      <c r="K41" s="18"/>
    </row>
    <row r="42" spans="1:11" s="2" customFormat="1" ht="11.25">
      <c r="A42" s="5" t="s">
        <v>318</v>
      </c>
      <c r="B42" s="160">
        <f>+Cambrai!G42</f>
        <v>-10364.341061847501</v>
      </c>
      <c r="C42" s="113">
        <f>+Caudry!G42</f>
        <v>-14031.078138000001</v>
      </c>
      <c r="D42" s="113">
        <f>+Lens!G42</f>
        <v>-11547.350891999999</v>
      </c>
      <c r="E42" s="160">
        <f>+Cambrai!E42+Caudry!E42+Lens!E42</f>
        <v>-35274.270000000004</v>
      </c>
      <c r="F42" s="270"/>
      <c r="G42" s="161">
        <v>0</v>
      </c>
      <c r="H42" s="161">
        <f>+Cambrai!G42+Caudry!G42+Lens!G42</f>
        <v>-35942.770091847502</v>
      </c>
      <c r="I42" s="149"/>
      <c r="J42" s="271"/>
      <c r="K42" s="18"/>
    </row>
    <row r="43" spans="1:11" s="2" customFormat="1" ht="11.25">
      <c r="A43" s="5"/>
      <c r="B43" s="160"/>
      <c r="C43" s="113"/>
      <c r="D43" s="113"/>
      <c r="E43" s="160"/>
      <c r="F43" s="113"/>
      <c r="G43" s="162"/>
      <c r="H43" s="162"/>
      <c r="I43" s="149"/>
      <c r="J43" s="254"/>
      <c r="K43" s="18"/>
    </row>
    <row r="44" spans="1:11" s="2" customFormat="1" ht="11.25">
      <c r="A44" s="13" t="s">
        <v>291</v>
      </c>
      <c r="B44" s="163">
        <f t="shared" ref="B44:H44" si="4">+B30+SUM(B34:B43)</f>
        <v>415275.82223543676</v>
      </c>
      <c r="C44" s="204">
        <f t="shared" si="4"/>
        <v>446359.81334646465</v>
      </c>
      <c r="D44" s="204">
        <f t="shared" si="4"/>
        <v>371508.76691297843</v>
      </c>
      <c r="E44" s="163">
        <f>+E30+SUM(E34:E43)</f>
        <v>1056637.3692999999</v>
      </c>
      <c r="F44" s="204"/>
      <c r="G44" s="168">
        <v>0</v>
      </c>
      <c r="H44" s="168">
        <f t="shared" si="4"/>
        <v>1233144.4024948799</v>
      </c>
      <c r="I44" s="272"/>
      <c r="J44" s="188"/>
      <c r="K44" s="305"/>
    </row>
    <row r="45" spans="1:11" s="2" customFormat="1" ht="11.25">
      <c r="A45" s="5"/>
      <c r="B45" s="160"/>
      <c r="C45" s="113"/>
      <c r="D45" s="113"/>
      <c r="E45" s="160"/>
      <c r="F45" s="113"/>
      <c r="G45" s="162"/>
      <c r="H45" s="162"/>
      <c r="I45" s="149"/>
      <c r="J45" s="254"/>
      <c r="K45" s="18"/>
    </row>
    <row r="46" spans="1:11" s="2" customFormat="1" ht="11.25">
      <c r="A46" s="56" t="s">
        <v>339</v>
      </c>
      <c r="B46" s="166">
        <f>+B21-B44</f>
        <v>255143.08276456327</v>
      </c>
      <c r="C46" s="221">
        <f>+C21-C44</f>
        <v>294379.18665353535</v>
      </c>
      <c r="D46" s="221">
        <f>+D21-D44</f>
        <v>209753.23308702157</v>
      </c>
      <c r="E46" s="166">
        <f>+E21-E44</f>
        <v>650342.31070000003</v>
      </c>
      <c r="F46" s="221"/>
      <c r="G46" s="167"/>
      <c r="H46" s="167"/>
      <c r="I46" s="273"/>
      <c r="J46" s="274"/>
      <c r="K46" s="307"/>
    </row>
    <row r="47" spans="1:11" s="2" customFormat="1" ht="11.25">
      <c r="A47" s="56" t="s">
        <v>340</v>
      </c>
      <c r="B47" s="196">
        <f>+B46/B21</f>
        <v>0.38057262535662423</v>
      </c>
      <c r="C47" s="222">
        <f>+C46/C21</f>
        <v>0.39741283590243709</v>
      </c>
      <c r="D47" s="222">
        <f>+D46/D21</f>
        <v>0.36085832737564399</v>
      </c>
      <c r="E47" s="196">
        <f>+E46/E21</f>
        <v>0.38099007171544075</v>
      </c>
      <c r="F47" s="222"/>
      <c r="G47" s="189"/>
      <c r="H47" s="189"/>
      <c r="I47" s="273"/>
      <c r="J47" s="274"/>
      <c r="K47" s="308"/>
    </row>
    <row r="48" spans="1:11" s="2" customFormat="1" ht="15" customHeight="1">
      <c r="A48" s="5"/>
      <c r="B48" s="160"/>
      <c r="C48" s="113"/>
      <c r="D48" s="113"/>
      <c r="E48" s="160"/>
      <c r="F48" s="113"/>
      <c r="G48" s="162"/>
      <c r="H48" s="162"/>
      <c r="I48" s="149"/>
      <c r="J48" s="271"/>
      <c r="K48" s="18"/>
    </row>
    <row r="49" spans="1:11" s="2" customFormat="1" ht="11.25">
      <c r="A49" s="5" t="s">
        <v>91</v>
      </c>
      <c r="B49" s="160">
        <f>+Cambrai!G49</f>
        <v>7077</v>
      </c>
      <c r="C49" s="113">
        <f>+Caudry!G49</f>
        <v>5412</v>
      </c>
      <c r="D49" s="113">
        <f>+Lens!G49</f>
        <v>5889</v>
      </c>
      <c r="E49" s="160">
        <f>+Cambrai!E49+Caudry!E49+Lens!E49</f>
        <v>8467.39</v>
      </c>
      <c r="F49" s="135">
        <f>+Cambrai!F49+Caudry!F49+Lens!F49</f>
        <v>19268</v>
      </c>
      <c r="G49" s="161">
        <v>19615.32</v>
      </c>
      <c r="H49" s="161">
        <f>+Cambrai!G49+Caudry!G49+Lens!G49</f>
        <v>18378</v>
      </c>
      <c r="I49" s="149">
        <f>+IF((D49)=0,,(E49-D49)/D49)</f>
        <v>0.43783155034810656</v>
      </c>
      <c r="J49" s="271">
        <f>+IF((E49)=0,,(H49-E49)/E49)</f>
        <v>1.1704444935216165</v>
      </c>
      <c r="K49" s="18">
        <f>+Cambrai!D49+Caudry!D49+Lens!D49</f>
        <v>19268</v>
      </c>
    </row>
    <row r="50" spans="1:11" s="2" customFormat="1" ht="15" customHeight="1">
      <c r="A50" s="5"/>
      <c r="B50" s="160"/>
      <c r="C50" s="113"/>
      <c r="D50" s="113"/>
      <c r="E50" s="160"/>
      <c r="F50" s="113"/>
      <c r="G50" s="162"/>
      <c r="H50" s="162"/>
      <c r="I50" s="149"/>
      <c r="J50" s="271"/>
      <c r="K50" s="18"/>
    </row>
    <row r="51" spans="1:11" s="2" customFormat="1" ht="11.25">
      <c r="A51" s="13" t="s">
        <v>223</v>
      </c>
      <c r="B51" s="163">
        <f t="shared" ref="B51:H51" si="5">+B21-B49</f>
        <v>663341.90500000003</v>
      </c>
      <c r="C51" s="204">
        <f t="shared" si="5"/>
        <v>735327</v>
      </c>
      <c r="D51" s="204">
        <f t="shared" si="5"/>
        <v>575373</v>
      </c>
      <c r="E51" s="163">
        <f>+E21-E49</f>
        <v>1698512.29</v>
      </c>
      <c r="F51" s="204">
        <f t="shared" si="5"/>
        <v>1649379.3122832694</v>
      </c>
      <c r="G51" s="168">
        <v>1853232.8765999998</v>
      </c>
      <c r="H51" s="168">
        <f t="shared" si="5"/>
        <v>1974041.905</v>
      </c>
      <c r="I51" s="272"/>
      <c r="J51" s="188"/>
      <c r="K51" s="305">
        <f>+K21-K49</f>
        <v>1836672</v>
      </c>
    </row>
    <row r="52" spans="1:11" s="2" customFormat="1" ht="15" customHeight="1">
      <c r="A52" s="5"/>
      <c r="B52" s="160"/>
      <c r="C52" s="113"/>
      <c r="D52" s="113"/>
      <c r="E52" s="160"/>
      <c r="F52" s="113"/>
      <c r="G52" s="162"/>
      <c r="H52" s="162"/>
      <c r="I52" s="149"/>
      <c r="J52" s="254"/>
      <c r="K52" s="18"/>
    </row>
    <row r="53" spans="1:11" s="2" customFormat="1" ht="11.25">
      <c r="A53" s="16" t="s">
        <v>3</v>
      </c>
      <c r="B53" s="169">
        <f>+B51-B44</f>
        <v>248066.08276456327</v>
      </c>
      <c r="C53" s="223">
        <f>+C51-C44</f>
        <v>288967.18665353535</v>
      </c>
      <c r="D53" s="223">
        <f>+D51-D44</f>
        <v>203864.23308702157</v>
      </c>
      <c r="E53" s="169">
        <f>+E51-E44</f>
        <v>641874.92070000013</v>
      </c>
      <c r="F53" s="223"/>
      <c r="G53" s="170">
        <v>1853232.8765999998</v>
      </c>
      <c r="H53" s="170">
        <f>+H51-H44</f>
        <v>740897.50250512012</v>
      </c>
      <c r="I53" s="224"/>
      <c r="J53" s="123"/>
      <c r="K53" s="309"/>
    </row>
    <row r="54" spans="1:11" s="2" customFormat="1" ht="15" customHeight="1">
      <c r="A54" s="16" t="s">
        <v>4</v>
      </c>
      <c r="B54" s="197">
        <f>+B53/B51</f>
        <v>0.37396413658588817</v>
      </c>
      <c r="C54" s="224">
        <f>+C53/C51</f>
        <v>0.39297779988159737</v>
      </c>
      <c r="D54" s="224">
        <f>+D53/D51</f>
        <v>0.35431664865577905</v>
      </c>
      <c r="E54" s="197">
        <f>+E53/E51</f>
        <v>0.3779041956181548</v>
      </c>
      <c r="F54" s="224"/>
      <c r="G54" s="191">
        <v>1</v>
      </c>
      <c r="H54" s="191">
        <f>+H53/H51</f>
        <v>0.37532004798303414</v>
      </c>
      <c r="I54" s="224"/>
      <c r="J54" s="123"/>
      <c r="K54" s="15"/>
    </row>
    <row r="55" spans="1:11" s="2" customFormat="1" ht="11.25">
      <c r="A55" s="5"/>
      <c r="B55" s="160"/>
      <c r="C55" s="113"/>
      <c r="D55" s="113"/>
      <c r="E55" s="160"/>
      <c r="F55" s="113"/>
      <c r="G55" s="162"/>
      <c r="H55" s="162"/>
      <c r="I55" s="149"/>
      <c r="J55" s="271"/>
      <c r="K55" s="18"/>
    </row>
    <row r="56" spans="1:11" s="2" customFormat="1" ht="11.25">
      <c r="A56" s="5" t="s">
        <v>290</v>
      </c>
      <c r="B56" s="160">
        <f>+Cambrai!G56</f>
        <v>0</v>
      </c>
      <c r="C56" s="113">
        <f>+Caudry!G56</f>
        <v>0</v>
      </c>
      <c r="D56" s="113">
        <f>+Lens!G56</f>
        <v>0</v>
      </c>
      <c r="E56" s="160">
        <f>+Cambrai!E56+Caudry!E56+Lens!E56</f>
        <v>226205.2113</v>
      </c>
      <c r="F56" s="270"/>
      <c r="G56" s="161">
        <v>0</v>
      </c>
      <c r="H56" s="161">
        <f>+Cambrai!G56+Caudry!G56+Lens!G56</f>
        <v>0</v>
      </c>
      <c r="I56" s="149"/>
      <c r="J56" s="271"/>
      <c r="K56" s="18"/>
    </row>
    <row r="57" spans="1:11" s="2" customFormat="1" ht="11.25">
      <c r="A57" s="5" t="s">
        <v>100</v>
      </c>
      <c r="B57" s="160">
        <f>+Cambrai!G57</f>
        <v>0</v>
      </c>
      <c r="C57" s="113">
        <f>+Caudry!G57</f>
        <v>0</v>
      </c>
      <c r="D57" s="113">
        <f>+Lens!G57</f>
        <v>0</v>
      </c>
      <c r="E57" s="160">
        <f>+Cambrai!E57+Caudry!E57+Lens!E57</f>
        <v>226618.932</v>
      </c>
      <c r="F57" s="270"/>
      <c r="G57" s="161">
        <v>0</v>
      </c>
      <c r="H57" s="161">
        <f>+Cambrai!G57+Caudry!G57+Lens!G57</f>
        <v>0</v>
      </c>
      <c r="I57" s="149"/>
      <c r="J57" s="271"/>
      <c r="K57" s="18"/>
    </row>
    <row r="58" spans="1:11" s="2" customFormat="1" ht="12" thickBot="1">
      <c r="A58" s="21"/>
      <c r="B58" s="171"/>
      <c r="C58" s="205"/>
      <c r="D58" s="205"/>
      <c r="E58" s="171"/>
      <c r="F58" s="205"/>
      <c r="G58" s="172"/>
      <c r="H58" s="172"/>
      <c r="I58" s="236"/>
      <c r="J58" s="275"/>
      <c r="K58" s="310"/>
    </row>
    <row r="59" spans="1:11" s="2" customFormat="1" ht="12" thickTop="1">
      <c r="A59" s="5"/>
      <c r="B59" s="160"/>
      <c r="C59" s="113"/>
      <c r="D59" s="113"/>
      <c r="E59" s="160"/>
      <c r="F59" s="113"/>
      <c r="G59" s="162"/>
      <c r="H59" s="162"/>
      <c r="I59" s="149"/>
      <c r="J59" s="254"/>
      <c r="K59" s="18"/>
    </row>
    <row r="60" spans="1:11" s="2" customFormat="1" ht="15" customHeight="1">
      <c r="A60" s="16" t="s">
        <v>295</v>
      </c>
      <c r="B60" s="197">
        <f>+Cambrai!G60</f>
        <v>0.37396413658588806</v>
      </c>
      <c r="C60" s="224">
        <f>+Caudry!G60</f>
        <v>0.39297779988159737</v>
      </c>
      <c r="D60" s="224">
        <f>+Lens!G60</f>
        <v>0.35431664865577905</v>
      </c>
      <c r="E60" s="197">
        <f>+E62/E51</f>
        <v>0.37790419561815491</v>
      </c>
      <c r="F60" s="224">
        <f>+F62/F51</f>
        <v>0.37319213447699096</v>
      </c>
      <c r="G60" s="191">
        <v>0.35941210999793571</v>
      </c>
      <c r="H60" s="191">
        <f>+H62/H51</f>
        <v>0.37532004798303414</v>
      </c>
      <c r="I60" s="224"/>
      <c r="J60" s="123"/>
      <c r="K60" s="15">
        <f>+K62/K51</f>
        <v>0.38587510453690155</v>
      </c>
    </row>
    <row r="61" spans="1:11" s="2" customFormat="1" ht="11.25">
      <c r="A61" s="5" t="s">
        <v>75</v>
      </c>
      <c r="B61" s="92">
        <f>+Cambrai!G61</f>
        <v>0</v>
      </c>
      <c r="C61" s="149">
        <f>+Caudry!G61</f>
        <v>0</v>
      </c>
      <c r="D61" s="149">
        <f>+Lens!G61</f>
        <v>0</v>
      </c>
      <c r="E61" s="160"/>
      <c r="F61" s="113"/>
      <c r="G61" s="162"/>
      <c r="H61" s="162"/>
      <c r="I61" s="149"/>
      <c r="J61" s="254"/>
      <c r="K61" s="18"/>
    </row>
    <row r="62" spans="1:11" s="2" customFormat="1" ht="15" customHeight="1">
      <c r="A62" s="16" t="s">
        <v>296</v>
      </c>
      <c r="B62" s="169">
        <f>+B51*B60</f>
        <v>248066.08276456318</v>
      </c>
      <c r="C62" s="223">
        <f>+C51*C60</f>
        <v>288967.18665353535</v>
      </c>
      <c r="D62" s="223">
        <f>+D51*D60</f>
        <v>203864.23308702157</v>
      </c>
      <c r="E62" s="169">
        <f>+Cambrai!E62+Caudry!E62+Lens!E62</f>
        <v>641874.92070000025</v>
      </c>
      <c r="F62" s="223">
        <f>+Cambrai!F62+Caudry!F62+Lens!F62</f>
        <v>615535.38611318474</v>
      </c>
      <c r="G62" s="170">
        <v>666074.33849634998</v>
      </c>
      <c r="H62" s="170">
        <f>+Cambrai!G62+Caudry!G62+Lens!G62</f>
        <v>740897.50250512012</v>
      </c>
      <c r="I62" s="224">
        <f>+IF((D62)=0,,(E62-D62)/D62)</f>
        <v>2.148541119648042</v>
      </c>
      <c r="J62" s="123">
        <f>+IF((E62)=0,,(H62-E62)/E62)</f>
        <v>0.15427083784038523</v>
      </c>
      <c r="K62" s="309">
        <f>+Cambrai!D62+Caudry!D62+Lens!D62</f>
        <v>708726</v>
      </c>
    </row>
    <row r="63" spans="1:11" s="2" customFormat="1" ht="11.25">
      <c r="A63" s="5"/>
      <c r="B63" s="160"/>
      <c r="C63" s="113"/>
      <c r="D63" s="113"/>
      <c r="E63" s="160"/>
      <c r="F63" s="113"/>
      <c r="G63" s="162"/>
      <c r="H63" s="162"/>
      <c r="I63" s="149"/>
      <c r="J63" s="271"/>
      <c r="K63" s="18"/>
    </row>
    <row r="64" spans="1:11" s="2" customFormat="1" ht="11.25">
      <c r="A64" s="5" t="s">
        <v>104</v>
      </c>
      <c r="B64" s="160">
        <f>+Cambrai!G64</f>
        <v>4225.5406666666668</v>
      </c>
      <c r="C64" s="113">
        <f>+Caudry!G64</f>
        <v>2922.3159999999998</v>
      </c>
      <c r="D64" s="113">
        <f>+Lens!G64</f>
        <v>3772.7801333333337</v>
      </c>
      <c r="E64" s="160">
        <f>+Cambrai!E64+Caudry!E64+Lens!E64</f>
        <v>10705.88</v>
      </c>
      <c r="F64" s="135">
        <f>+Cambrai!F64+Caudry!F64+Lens!F64</f>
        <v>10602.56</v>
      </c>
      <c r="G64" s="161">
        <v>11479.404075</v>
      </c>
      <c r="H64" s="161">
        <f>+Cambrai!G64+Caudry!G64+Lens!G64</f>
        <v>10920.6368</v>
      </c>
      <c r="I64" s="149">
        <f>+IF((D64)=0,,(E64-D64)/D64)</f>
        <v>1.8376633733334258</v>
      </c>
      <c r="J64" s="271">
        <f>+IF((E64)=0,,(H64-E64)/E64)</f>
        <v>2.005970550762768E-2</v>
      </c>
      <c r="K64" s="18">
        <f>+Cambrai!D64+Caudry!D64+Lens!D64</f>
        <v>11479.404075</v>
      </c>
    </row>
    <row r="65" spans="1:11" s="2" customFormat="1" ht="11.25">
      <c r="A65" s="5" t="s">
        <v>314</v>
      </c>
      <c r="B65" s="160">
        <f>+Cambrai!G65</f>
        <v>0</v>
      </c>
      <c r="C65" s="113">
        <f>+Caudry!G65</f>
        <v>0</v>
      </c>
      <c r="D65" s="113">
        <f>+Lens!G65</f>
        <v>0</v>
      </c>
      <c r="E65" s="160">
        <f>+Cambrai!E65+Caudry!E65+Lens!E65</f>
        <v>0</v>
      </c>
      <c r="F65" s="135">
        <f>+Cambrai!F65+Caudry!F65+Lens!F65</f>
        <v>0</v>
      </c>
      <c r="G65" s="161">
        <v>0</v>
      </c>
      <c r="H65" s="161">
        <f>+Cambrai!G65+Caudry!G65+Lens!G65</f>
        <v>0</v>
      </c>
      <c r="I65" s="149">
        <f>+IF((D65)=0,,(E65-D65)/D65)</f>
        <v>0</v>
      </c>
      <c r="J65" s="271">
        <f>+IF((E65)=0,,(H65-E65)/E65)</f>
        <v>0</v>
      </c>
      <c r="K65" s="18">
        <f>+Cambrai!D65+Caudry!D65+Lens!D65</f>
        <v>0</v>
      </c>
    </row>
    <row r="66" spans="1:11" s="2" customFormat="1" ht="15" customHeight="1">
      <c r="A66" s="5" t="s">
        <v>110</v>
      </c>
      <c r="B66" s="160">
        <f>+Cambrai!G66</f>
        <v>1637.892266666667</v>
      </c>
      <c r="C66" s="113">
        <f>+Caudry!G66</f>
        <v>751.00733333333335</v>
      </c>
      <c r="D66" s="113">
        <f>+Lens!G66</f>
        <v>669.51373333333333</v>
      </c>
      <c r="E66" s="160">
        <f>+Cambrai!E66+Caudry!E66+Lens!E66</f>
        <v>2450.66</v>
      </c>
      <c r="F66" s="135">
        <f>+Cambrai!F66+Caudry!F66+Lens!F66</f>
        <v>2969.3333333333335</v>
      </c>
      <c r="G66" s="161">
        <v>2211.8220000000001</v>
      </c>
      <c r="H66" s="161">
        <f>+Cambrai!G66+Caudry!G66+Lens!G66</f>
        <v>3058.4133333333334</v>
      </c>
      <c r="I66" s="149">
        <f>+IF((D66)=0,,(E66-D66)/D66)</f>
        <v>2.6603580748057345</v>
      </c>
      <c r="J66" s="271">
        <f>+IF((E66)=0,,(H66-E66)/E66)</f>
        <v>0.24799577800810133</v>
      </c>
      <c r="K66" s="18">
        <f>+Cambrai!D66+Caudry!D66+Lens!D66</f>
        <v>2211.8220000000001</v>
      </c>
    </row>
    <row r="67" spans="1:11" s="2" customFormat="1" ht="11.25">
      <c r="A67" s="5" t="s">
        <v>107</v>
      </c>
      <c r="B67" s="160">
        <f>+Cambrai!G67</f>
        <v>1638.2081333333331</v>
      </c>
      <c r="C67" s="113">
        <f>+Caudry!G67</f>
        <v>819.93493333333333</v>
      </c>
      <c r="D67" s="113">
        <f>+Lens!G67</f>
        <v>1369.6665333333333</v>
      </c>
      <c r="E67" s="160">
        <f>+Cambrai!E67+Caudry!E67+Lens!E67</f>
        <v>4967.8999999999996</v>
      </c>
      <c r="F67" s="135">
        <f>+Cambrai!F67+Caudry!F67+Lens!F67</f>
        <v>3716.3199999999997</v>
      </c>
      <c r="G67" s="161">
        <v>5160.1377750000011</v>
      </c>
      <c r="H67" s="161">
        <f>+Cambrai!G67+Caudry!G67+Lens!G67</f>
        <v>3827.8095999999996</v>
      </c>
      <c r="I67" s="149">
        <f>+IF((D67)=0,,(E67-D67)/D67)</f>
        <v>2.6270872355402517</v>
      </c>
      <c r="J67" s="271">
        <f>+IF((E67)=0,,(H67-E67)/E67)</f>
        <v>-0.22949141488355243</v>
      </c>
      <c r="K67" s="18">
        <f>+Cambrai!D67+Caudry!D67+Lens!D67</f>
        <v>5160.1377750000011</v>
      </c>
    </row>
    <row r="68" spans="1:11" s="2" customFormat="1" ht="18.75" customHeight="1">
      <c r="A68" s="5" t="s">
        <v>125</v>
      </c>
      <c r="B68" s="160">
        <f>+Cambrai!G68</f>
        <v>3807.237066666667</v>
      </c>
      <c r="C68" s="113">
        <f>+Caudry!G68</f>
        <v>2732.4938666666667</v>
      </c>
      <c r="D68" s="113">
        <f>+Lens!G68</f>
        <v>1349.5884000000001</v>
      </c>
      <c r="E68" s="160">
        <f>+Cambrai!E68+Caudry!E68+Lens!E68</f>
        <v>6702.91</v>
      </c>
      <c r="F68" s="135">
        <f>+Cambrai!F68+Caudry!F68+Lens!F68</f>
        <v>7659.5333333333338</v>
      </c>
      <c r="G68" s="161">
        <v>7550.7857999999997</v>
      </c>
      <c r="H68" s="161">
        <f>+Cambrai!G68+Caudry!G68+Lens!G68</f>
        <v>7889.3193333333347</v>
      </c>
      <c r="I68" s="149">
        <f>+IF((D68)=0,,(E68-D68)/D68)</f>
        <v>3.9666327896712796</v>
      </c>
      <c r="J68" s="271">
        <f>+IF((E68)=0,,(H68-E68)/E68)</f>
        <v>0.17699914415281345</v>
      </c>
      <c r="K68" s="18">
        <f>+Cambrai!D68+Caudry!D68+Lens!D68</f>
        <v>7550.7857999999997</v>
      </c>
    </row>
    <row r="69" spans="1:11" s="2" customFormat="1" ht="11.25">
      <c r="A69" s="5"/>
      <c r="B69" s="160"/>
      <c r="C69" s="113"/>
      <c r="D69" s="113"/>
      <c r="E69" s="160"/>
      <c r="F69" s="270"/>
      <c r="G69" s="161"/>
      <c r="H69" s="161"/>
      <c r="I69" s="149"/>
      <c r="J69" s="271"/>
      <c r="K69" s="18"/>
    </row>
    <row r="70" spans="1:11" s="2" customFormat="1" ht="11.25">
      <c r="A70" s="11" t="s">
        <v>128</v>
      </c>
      <c r="B70" s="173">
        <f t="shared" ref="B70:H70" si="6">SUM(B64:B69)</f>
        <v>11308.878133333334</v>
      </c>
      <c r="C70" s="227">
        <f t="shared" si="6"/>
        <v>7225.7521333333334</v>
      </c>
      <c r="D70" s="227">
        <f t="shared" si="6"/>
        <v>7161.5488000000005</v>
      </c>
      <c r="E70" s="276">
        <f>SUM(E64:E69)</f>
        <v>24827.35</v>
      </c>
      <c r="F70" s="318">
        <f>+Cambrai!F70+Caudry!F70+Lens!F70</f>
        <v>24947.746666666666</v>
      </c>
      <c r="G70" s="277">
        <v>26402.149649999999</v>
      </c>
      <c r="H70" s="277">
        <f t="shared" si="6"/>
        <v>25696.179066666671</v>
      </c>
      <c r="I70" s="278">
        <f>+IF((D70)=0,,(E70-D70)/D70)</f>
        <v>2.4667570791390818</v>
      </c>
      <c r="J70" s="279">
        <f>+IF((E70)=0,,(H70-E70)/E70)</f>
        <v>3.4994837011065323E-2</v>
      </c>
      <c r="K70" s="311">
        <f>SUM(K64:K69)</f>
        <v>26402.149649999999</v>
      </c>
    </row>
    <row r="71" spans="1:11" s="2" customFormat="1" ht="11.25">
      <c r="A71" s="5"/>
      <c r="B71" s="160"/>
      <c r="C71" s="113"/>
      <c r="D71" s="113"/>
      <c r="E71" s="160"/>
      <c r="F71" s="270"/>
      <c r="G71" s="161"/>
      <c r="H71" s="161"/>
      <c r="I71" s="149"/>
      <c r="J71" s="271"/>
      <c r="K71" s="18"/>
    </row>
    <row r="72" spans="1:11" s="2" customFormat="1" ht="11.25">
      <c r="A72" s="5" t="s">
        <v>1</v>
      </c>
      <c r="B72" s="160">
        <f>+Cambrai!G72</f>
        <v>19.748533333333334</v>
      </c>
      <c r="C72" s="113">
        <f>+Caudry!G72</f>
        <v>0</v>
      </c>
      <c r="D72" s="113">
        <f>+Lens!G72</f>
        <v>0</v>
      </c>
      <c r="E72" s="160">
        <f>+Cambrai!E72+Caudry!E72+Lens!E72</f>
        <v>0</v>
      </c>
      <c r="F72" s="135">
        <f>+Cambrai!F72+Caudry!F72+Lens!F72</f>
        <v>19.173333333333336</v>
      </c>
      <c r="G72" s="161">
        <v>33.234486371389579</v>
      </c>
      <c r="H72" s="161">
        <f>+Cambrai!G72+Caudry!G72+Lens!G72</f>
        <v>19.748533333333334</v>
      </c>
      <c r="I72" s="149">
        <f>+IF((D72)=0,,(E72-D72)/D72)</f>
        <v>0</v>
      </c>
      <c r="J72" s="271">
        <f>+IF((E72)=0,,(H72-E72)/E72)</f>
        <v>0</v>
      </c>
      <c r="K72" s="18">
        <f>+Cambrai!D72+Caudry!D72+Lens!D72</f>
        <v>33.234486371389579</v>
      </c>
    </row>
    <row r="73" spans="1:11" s="2" customFormat="1" ht="11.25">
      <c r="A73" s="5" t="s">
        <v>123</v>
      </c>
      <c r="B73" s="160">
        <f>+Cambrai!G73</f>
        <v>2702.6925333333334</v>
      </c>
      <c r="C73" s="113">
        <f>+Caudry!G73</f>
        <v>2809.7988</v>
      </c>
      <c r="D73" s="113">
        <f>+Lens!G73</f>
        <v>872.94560000000001</v>
      </c>
      <c r="E73" s="160">
        <f>+Cambrai!E73+Caudry!E73+Lens!E73</f>
        <v>7736.59</v>
      </c>
      <c r="F73" s="135">
        <f>+Cambrai!F73+Caudry!F73+Lens!F73</f>
        <v>6199.4533333333329</v>
      </c>
      <c r="G73" s="161">
        <v>8012.9857405925732</v>
      </c>
      <c r="H73" s="161">
        <f>+Cambrai!G73+Caudry!G73+Lens!G73</f>
        <v>6385.4369333333334</v>
      </c>
      <c r="I73" s="149">
        <f t="shared" ref="I73:I101" si="7">+IF((D73)=0,,(E73-D73)/D73)</f>
        <v>7.862625574835362</v>
      </c>
      <c r="J73" s="271">
        <f t="shared" ref="J73:J101" si="8">+IF((E73)=0,,(H73-E73)/E73)</f>
        <v>-0.17464452254373913</v>
      </c>
      <c r="K73" s="18">
        <f>+Cambrai!D73+Caudry!D73+Lens!D73</f>
        <v>8012.9857405925732</v>
      </c>
    </row>
    <row r="74" spans="1:11" s="2" customFormat="1" ht="11.25">
      <c r="A74" s="5" t="s">
        <v>124</v>
      </c>
      <c r="B74" s="160">
        <f>+Cambrai!G74</f>
        <v>4168.3688000000002</v>
      </c>
      <c r="C74" s="113">
        <f>+Caudry!G74</f>
        <v>5447.7524000000003</v>
      </c>
      <c r="D74" s="113">
        <f>+Lens!G74</f>
        <v>5415.0121333333336</v>
      </c>
      <c r="E74" s="160">
        <f>+Cambrai!E74+Caudry!E74+Lens!E74</f>
        <v>10795.72</v>
      </c>
      <c r="F74" s="135">
        <f>+Cambrai!F74+Caudry!F74+Lens!F74</f>
        <v>14593.333333333334</v>
      </c>
      <c r="G74" s="161">
        <v>11424.769534956808</v>
      </c>
      <c r="H74" s="161">
        <f>+Cambrai!G74+Caudry!G74+Lens!G74</f>
        <v>15031.133333333335</v>
      </c>
      <c r="I74" s="149">
        <f t="shared" si="7"/>
        <v>0.99366496956571893</v>
      </c>
      <c r="J74" s="271">
        <f t="shared" si="8"/>
        <v>0.39232337753603613</v>
      </c>
      <c r="K74" s="18">
        <f>+Cambrai!D74+Caudry!D74+Lens!D74</f>
        <v>11424.769534956808</v>
      </c>
    </row>
    <row r="75" spans="1:11" s="2" customFormat="1" ht="11.25">
      <c r="A75" s="5" t="s">
        <v>360</v>
      </c>
      <c r="B75" s="160">
        <f>+Cambrai!G75</f>
        <v>0</v>
      </c>
      <c r="C75" s="113">
        <f>+Caudry!G75</f>
        <v>0</v>
      </c>
      <c r="D75" s="113">
        <f>+Lens!G75</f>
        <v>0</v>
      </c>
      <c r="E75" s="160">
        <f>+Cambrai!E75+Caudry!E75+Lens!E75</f>
        <v>0</v>
      </c>
      <c r="F75" s="135">
        <f>+Cambrai!F75+Caudry!F75+Lens!F75</f>
        <v>0</v>
      </c>
      <c r="G75" s="161">
        <v>0</v>
      </c>
      <c r="H75" s="161">
        <f>+Cambrai!G75+Caudry!G75+Lens!G75</f>
        <v>0</v>
      </c>
      <c r="I75" s="149">
        <f t="shared" si="7"/>
        <v>0</v>
      </c>
      <c r="J75" s="271">
        <f t="shared" si="8"/>
        <v>0</v>
      </c>
      <c r="K75" s="18">
        <f>+Cambrai!D75+Caudry!D75+Lens!D75</f>
        <v>0</v>
      </c>
    </row>
    <row r="76" spans="1:11" s="2" customFormat="1" ht="11.25">
      <c r="A76" s="5" t="s">
        <v>126</v>
      </c>
      <c r="B76" s="160">
        <f>+Cambrai!G76</f>
        <v>58.298000000000002</v>
      </c>
      <c r="C76" s="113">
        <f>+Caudry!G76</f>
        <v>5.053866666666667</v>
      </c>
      <c r="D76" s="113">
        <f>+Lens!G76</f>
        <v>137.55306666666667</v>
      </c>
      <c r="E76" s="160">
        <f>+Cambrai!E76+Caudry!E76+Lens!E76</f>
        <v>335.11</v>
      </c>
      <c r="F76" s="135">
        <f>+Cambrai!F76+Caudry!F76+Lens!F76</f>
        <v>195.05333333333331</v>
      </c>
      <c r="G76" s="161">
        <v>364.93872993916841</v>
      </c>
      <c r="H76" s="161">
        <f>+Cambrai!G76+Caudry!G76+Lens!G76</f>
        <v>200.90493333333333</v>
      </c>
      <c r="I76" s="149">
        <f t="shared" si="7"/>
        <v>1.4362234017804523</v>
      </c>
      <c r="J76" s="271">
        <f t="shared" si="8"/>
        <v>-0.40048063819840252</v>
      </c>
      <c r="K76" s="18">
        <f>+Cambrai!D76+Caudry!D76+Lens!D76</f>
        <v>364.93872993916841</v>
      </c>
    </row>
    <row r="77" spans="1:11" s="2" customFormat="1" ht="11.25">
      <c r="A77" s="5" t="s">
        <v>127</v>
      </c>
      <c r="B77" s="160">
        <f>+Cambrai!G77</f>
        <v>1396.7074666666667</v>
      </c>
      <c r="C77" s="113">
        <f>+Caudry!G77</f>
        <v>1062.8089333333335</v>
      </c>
      <c r="D77" s="113">
        <f>+Lens!G77</f>
        <v>779.07826666666654</v>
      </c>
      <c r="E77" s="160">
        <f>+Cambrai!E77+Caudry!E77+Lens!E77</f>
        <v>5436.0300000000007</v>
      </c>
      <c r="F77" s="135">
        <f>+Cambrai!F77+Caudry!F77+Lens!F77</f>
        <v>3144.2666666666664</v>
      </c>
      <c r="G77" s="161">
        <v>3714.338256387362</v>
      </c>
      <c r="H77" s="161">
        <f>+Cambrai!G77+Caudry!G77+Lens!G77</f>
        <v>3238.5946666666669</v>
      </c>
      <c r="I77" s="149">
        <f t="shared" si="7"/>
        <v>5.9775146254026357</v>
      </c>
      <c r="J77" s="271">
        <f t="shared" si="8"/>
        <v>-0.4042353212424018</v>
      </c>
      <c r="K77" s="18">
        <f>+Cambrai!D77+Caudry!D77+Lens!D77</f>
        <v>3714.338256387362</v>
      </c>
    </row>
    <row r="78" spans="1:11" s="2" customFormat="1" ht="11.25">
      <c r="A78" s="5" t="s">
        <v>101</v>
      </c>
      <c r="B78" s="160">
        <f>+Cambrai!G78</f>
        <v>0</v>
      </c>
      <c r="C78" s="113">
        <f>+Caudry!G78</f>
        <v>0</v>
      </c>
      <c r="D78" s="113">
        <f>+Lens!G78</f>
        <v>32.135999999999996</v>
      </c>
      <c r="E78" s="160">
        <f>+Cambrai!E78+Caudry!E78+Lens!E78</f>
        <v>7000</v>
      </c>
      <c r="F78" s="135">
        <f>+Cambrai!F78+Caudry!F78+Lens!F78</f>
        <v>31.199999999999996</v>
      </c>
      <c r="G78" s="161">
        <v>7253.7946380376161</v>
      </c>
      <c r="H78" s="161">
        <f>+Cambrai!G78+Caudry!G78+Lens!G78</f>
        <v>32.135999999999996</v>
      </c>
      <c r="I78" s="149">
        <f t="shared" si="7"/>
        <v>216.82424695046055</v>
      </c>
      <c r="J78" s="271">
        <f t="shared" si="8"/>
        <v>-0.99540914285714277</v>
      </c>
      <c r="K78" s="18">
        <f>+Cambrai!D78+Caudry!D78+Lens!D78</f>
        <v>7253.7946380376161</v>
      </c>
    </row>
    <row r="79" spans="1:11" s="2" customFormat="1" ht="11.25">
      <c r="A79" s="5" t="s">
        <v>102</v>
      </c>
      <c r="B79" s="160">
        <f>+Cambrai!G79</f>
        <v>14761.824000000001</v>
      </c>
      <c r="C79" s="113">
        <f>+Caudry!G79</f>
        <v>32315.600000000013</v>
      </c>
      <c r="D79" s="113">
        <f>+Lens!G79</f>
        <v>19992.933333333334</v>
      </c>
      <c r="E79" s="160">
        <f>+Cambrai!E79+Caudry!E79+Lens!E79</f>
        <v>63840.44</v>
      </c>
      <c r="F79" s="135">
        <f>+Cambrai!F79+Caudry!F79+Lens!F79</f>
        <v>64995.39</v>
      </c>
      <c r="G79" s="161">
        <v>66291.27477850001</v>
      </c>
      <c r="H79" s="161">
        <f>+Cambrai!G79+Caudry!G79+Lens!G79</f>
        <v>67070.357333333348</v>
      </c>
      <c r="I79" s="149">
        <f t="shared" si="7"/>
        <v>2.193150246420402</v>
      </c>
      <c r="J79" s="271">
        <f t="shared" si="8"/>
        <v>5.0593594488592894E-2</v>
      </c>
      <c r="K79" s="18">
        <f>+Cambrai!D79+Caudry!D79+Lens!D79</f>
        <v>76924.526400000002</v>
      </c>
    </row>
    <row r="80" spans="1:11" s="2" customFormat="1" ht="11.25">
      <c r="A80" s="5" t="s">
        <v>325</v>
      </c>
      <c r="B80" s="160">
        <f>+Cambrai!G80</f>
        <v>0</v>
      </c>
      <c r="C80" s="113">
        <f>+Caudry!G80</f>
        <v>0</v>
      </c>
      <c r="D80" s="113">
        <f>+Lens!G80</f>
        <v>0</v>
      </c>
      <c r="E80" s="160">
        <f>+Cambrai!E80+Caudry!E80+Lens!E80</f>
        <v>0</v>
      </c>
      <c r="F80" s="135">
        <f>+Cambrai!F80+Caudry!F80+Lens!F80</f>
        <v>0</v>
      </c>
      <c r="G80" s="161">
        <v>0</v>
      </c>
      <c r="H80" s="161">
        <f>+Cambrai!G80+Caudry!G80+Lens!G80</f>
        <v>0</v>
      </c>
      <c r="I80" s="149">
        <f t="shared" si="7"/>
        <v>0</v>
      </c>
      <c r="J80" s="271">
        <f t="shared" si="8"/>
        <v>0</v>
      </c>
      <c r="K80" s="18">
        <f>+Cambrai!D80+Caudry!D80+Lens!D80</f>
        <v>0</v>
      </c>
    </row>
    <row r="81" spans="1:11" s="2" customFormat="1" ht="11.25">
      <c r="A81" s="5" t="s">
        <v>103</v>
      </c>
      <c r="B81" s="160">
        <f>+Cambrai!G81</f>
        <v>0</v>
      </c>
      <c r="C81" s="113">
        <f>+Caudry!G81</f>
        <v>0</v>
      </c>
      <c r="D81" s="113">
        <f>+Lens!G81</f>
        <v>0</v>
      </c>
      <c r="E81" s="160">
        <f>+Cambrai!E81+Caudry!E81+Lens!E81</f>
        <v>0</v>
      </c>
      <c r="F81" s="135">
        <f>+Cambrai!F81+Caudry!F81+Lens!F81</f>
        <v>0</v>
      </c>
      <c r="G81" s="161">
        <v>0</v>
      </c>
      <c r="H81" s="161">
        <f>+Cambrai!G81+Caudry!G81+Lens!G81</f>
        <v>0</v>
      </c>
      <c r="I81" s="149">
        <f t="shared" si="7"/>
        <v>0</v>
      </c>
      <c r="J81" s="271">
        <f t="shared" si="8"/>
        <v>0</v>
      </c>
      <c r="K81" s="18">
        <f>+Cambrai!D81+Caudry!D81+Lens!D81</f>
        <v>0</v>
      </c>
    </row>
    <row r="82" spans="1:11" s="2" customFormat="1" ht="11.25">
      <c r="A82" s="5" t="s">
        <v>105</v>
      </c>
      <c r="B82" s="160">
        <f>+Cambrai!G82</f>
        <v>185.4</v>
      </c>
      <c r="C82" s="113">
        <f>+Caudry!G82</f>
        <v>185.4</v>
      </c>
      <c r="D82" s="113">
        <f>+Lens!G82</f>
        <v>185.4</v>
      </c>
      <c r="E82" s="160">
        <f>+Cambrai!E82+Caudry!E82+Lens!E82</f>
        <v>540</v>
      </c>
      <c r="F82" s="135">
        <f>+Cambrai!F82+Caudry!F82+Lens!F82</f>
        <v>540</v>
      </c>
      <c r="G82" s="161">
        <v>565.893344704323</v>
      </c>
      <c r="H82" s="161">
        <f>+Cambrai!G82+Caudry!G82+Lens!G82</f>
        <v>556.20000000000005</v>
      </c>
      <c r="I82" s="149">
        <f t="shared" si="7"/>
        <v>1.912621359223301</v>
      </c>
      <c r="J82" s="271">
        <f t="shared" si="8"/>
        <v>3.0000000000000086E-2</v>
      </c>
      <c r="K82" s="18">
        <f>+Cambrai!D82+Caudry!D82+Lens!D82</f>
        <v>565.893344704323</v>
      </c>
    </row>
    <row r="83" spans="1:11" s="2" customFormat="1" ht="11.25">
      <c r="A83" s="5" t="s">
        <v>287</v>
      </c>
      <c r="B83" s="160">
        <f>+Cambrai!G83</f>
        <v>0</v>
      </c>
      <c r="C83" s="113">
        <f>+Caudry!G83</f>
        <v>0</v>
      </c>
      <c r="D83" s="113">
        <f>+Lens!G83</f>
        <v>0</v>
      </c>
      <c r="E83" s="160">
        <f>+Cambrai!E83+Caudry!E83+Lens!E83</f>
        <v>0</v>
      </c>
      <c r="F83" s="135">
        <f>+Cambrai!F83+Caudry!F83+Lens!F83</f>
        <v>0</v>
      </c>
      <c r="G83" s="161">
        <v>11.486968423611112</v>
      </c>
      <c r="H83" s="161">
        <f>+Cambrai!G83+Caudry!G83+Lens!G83</f>
        <v>0</v>
      </c>
      <c r="I83" s="149">
        <f t="shared" si="7"/>
        <v>0</v>
      </c>
      <c r="J83" s="271">
        <f t="shared" si="8"/>
        <v>0</v>
      </c>
      <c r="K83" s="18">
        <f>+Cambrai!D83+Caudry!D83+Lens!D83</f>
        <v>11.486968423611112</v>
      </c>
    </row>
    <row r="84" spans="1:11" s="2" customFormat="1" ht="11.25">
      <c r="A84" s="5" t="s">
        <v>108</v>
      </c>
      <c r="B84" s="160">
        <f>+Cambrai!G84</f>
        <v>5111.3955999999998</v>
      </c>
      <c r="C84" s="113">
        <f>+Caudry!G84</f>
        <v>203.25333333333333</v>
      </c>
      <c r="D84" s="113">
        <f>+Lens!G84</f>
        <v>2318.6810666666665</v>
      </c>
      <c r="E84" s="160">
        <f>+Cambrai!E84+Caudry!E84+Lens!E84</f>
        <v>7596.65</v>
      </c>
      <c r="F84" s="135">
        <f>+Cambrai!F84+Caudry!F84+Lens!F84</f>
        <v>7410.9999999999991</v>
      </c>
      <c r="G84" s="161">
        <v>7966.0932524547325</v>
      </c>
      <c r="H84" s="161">
        <f>+Cambrai!G84+Caudry!G84+Lens!G84</f>
        <v>7633.33</v>
      </c>
      <c r="I84" s="149">
        <f t="shared" si="7"/>
        <v>2.2762806878485171</v>
      </c>
      <c r="J84" s="271">
        <f t="shared" si="8"/>
        <v>4.8284441168146867E-3</v>
      </c>
      <c r="K84" s="18">
        <f>+Cambrai!D84+Caudry!D84+Lens!D84</f>
        <v>7966.0932524547325</v>
      </c>
    </row>
    <row r="85" spans="1:11" s="2" customFormat="1" ht="11.25">
      <c r="A85" s="5" t="s">
        <v>109</v>
      </c>
      <c r="B85" s="160">
        <f>+Cambrai!G85</f>
        <v>294.4426666666667</v>
      </c>
      <c r="C85" s="113">
        <f>+Caudry!G85</f>
        <v>1282.6933333333334</v>
      </c>
      <c r="D85" s="113">
        <f>+Lens!G85</f>
        <v>1011.8719999999998</v>
      </c>
      <c r="E85" s="160">
        <f>+Cambrai!E85+Caudry!E85+Lens!E85</f>
        <v>2217.1799999999998</v>
      </c>
      <c r="F85" s="135">
        <f>+Cambrai!F85+Caudry!F85+Lens!F85</f>
        <v>2513.5999999999995</v>
      </c>
      <c r="G85" s="161">
        <v>3010.5245702690872</v>
      </c>
      <c r="H85" s="161">
        <f>+Cambrai!G85+Caudry!G85+Lens!G85</f>
        <v>2589.0079999999998</v>
      </c>
      <c r="I85" s="149">
        <f t="shared" si="7"/>
        <v>1.1911664716485881</v>
      </c>
      <c r="J85" s="271">
        <f t="shared" si="8"/>
        <v>0.16770311837559423</v>
      </c>
      <c r="K85" s="18">
        <f>+Cambrai!D85+Caudry!D85+Lens!D85</f>
        <v>3010.5245702690872</v>
      </c>
    </row>
    <row r="86" spans="1:11" s="2" customFormat="1" ht="11.25">
      <c r="A86" s="5" t="s">
        <v>106</v>
      </c>
      <c r="B86" s="160">
        <f>+Cambrai!G86</f>
        <v>584.60053333333337</v>
      </c>
      <c r="C86" s="113">
        <f>+Caudry!G86</f>
        <v>1882.0572000000002</v>
      </c>
      <c r="D86" s="113">
        <f>+Lens!G86</f>
        <v>132.62279999999998</v>
      </c>
      <c r="E86" s="160">
        <f>+Cambrai!E86+Caudry!E86+Lens!E86</f>
        <v>3078.84</v>
      </c>
      <c r="F86" s="135">
        <f>+Cambrai!F86+Caudry!F86+Lens!F86</f>
        <v>2523.5733333333337</v>
      </c>
      <c r="G86" s="161">
        <v>3628.1116879755214</v>
      </c>
      <c r="H86" s="161">
        <f>+Cambrai!G86+Caudry!G86+Lens!G86</f>
        <v>2599.2805333333336</v>
      </c>
      <c r="I86" s="149">
        <f t="shared" si="7"/>
        <v>22.215012803228408</v>
      </c>
      <c r="J86" s="271">
        <f t="shared" si="8"/>
        <v>-0.15575978831854417</v>
      </c>
      <c r="K86" s="18">
        <f>+Cambrai!D86+Caudry!D86+Lens!D86</f>
        <v>3628.1116879755214</v>
      </c>
    </row>
    <row r="87" spans="1:11" s="2" customFormat="1" ht="11.25">
      <c r="A87" s="5" t="s">
        <v>363</v>
      </c>
      <c r="B87" s="160">
        <f>+Cambrai!G87</f>
        <v>0</v>
      </c>
      <c r="C87" s="113">
        <f>+Caudry!G87</f>
        <v>0</v>
      </c>
      <c r="D87" s="113">
        <f>+Lens!G87</f>
        <v>0</v>
      </c>
      <c r="E87" s="160">
        <f>+Cambrai!E87+Caudry!E87+Lens!E87</f>
        <v>0</v>
      </c>
      <c r="F87" s="135">
        <f>+Cambrai!F87+Caudry!F87+Lens!F87</f>
        <v>0</v>
      </c>
      <c r="G87" s="161">
        <v>0</v>
      </c>
      <c r="H87" s="161">
        <f>+Cambrai!G87+Caudry!G87+Lens!G87</f>
        <v>0</v>
      </c>
      <c r="I87" s="149">
        <f t="shared" si="7"/>
        <v>0</v>
      </c>
      <c r="J87" s="271">
        <f t="shared" si="8"/>
        <v>0</v>
      </c>
      <c r="K87" s="18">
        <f>+Cambrai!D87+Caudry!D87+Lens!D87</f>
        <v>0</v>
      </c>
    </row>
    <row r="88" spans="1:11" s="2" customFormat="1" ht="11.25">
      <c r="A88" s="5" t="s">
        <v>111</v>
      </c>
      <c r="B88" s="160">
        <f>+Cambrai!G88</f>
        <v>2532.4314750000003</v>
      </c>
      <c r="C88" s="113">
        <f>+Caudry!G88</f>
        <v>2811.6285750000002</v>
      </c>
      <c r="D88" s="113">
        <f>+Lens!G88</f>
        <v>2221.0744500000005</v>
      </c>
      <c r="E88" s="160">
        <f>+Cambrai!E88+Caudry!E88+Lens!E88</f>
        <v>6861.7999999999993</v>
      </c>
      <c r="F88" s="135">
        <f>+Cambrai!F88+Caudry!F88+Lens!F88</f>
        <v>7647.7199999999993</v>
      </c>
      <c r="G88" s="161">
        <v>8911.5512973752666</v>
      </c>
      <c r="H88" s="161">
        <f>+Cambrai!G88+Caudry!G88+Lens!G88</f>
        <v>7565.1345000000001</v>
      </c>
      <c r="I88" s="149">
        <f t="shared" si="7"/>
        <v>2.0894056703051977</v>
      </c>
      <c r="J88" s="271">
        <f t="shared" si="8"/>
        <v>0.10250000000000013</v>
      </c>
      <c r="K88" s="18">
        <f>+Cambrai!D88+Caudry!D88+Lens!D88</f>
        <v>7647.6235500000012</v>
      </c>
    </row>
    <row r="89" spans="1:11" s="2" customFormat="1" ht="11.25">
      <c r="A89" s="5" t="s">
        <v>315</v>
      </c>
      <c r="B89" s="160">
        <f>+Cambrai!G89</f>
        <v>0</v>
      </c>
      <c r="C89" s="113">
        <f>+Caudry!G89</f>
        <v>0</v>
      </c>
      <c r="D89" s="113">
        <f>+Lens!G89</f>
        <v>0</v>
      </c>
      <c r="E89" s="160">
        <f>+Cambrai!E89+Caudry!E89+Lens!E89</f>
        <v>0</v>
      </c>
      <c r="F89" s="135">
        <f>+Cambrai!F89+Caudry!F89+Lens!F89</f>
        <v>0</v>
      </c>
      <c r="G89" s="161">
        <v>0</v>
      </c>
      <c r="H89" s="161">
        <f>+Cambrai!G89+Caudry!G89+Lens!G89</f>
        <v>0</v>
      </c>
      <c r="I89" s="149">
        <f t="shared" si="7"/>
        <v>0</v>
      </c>
      <c r="J89" s="271">
        <f t="shared" si="8"/>
        <v>0</v>
      </c>
      <c r="K89" s="18">
        <f>+Cambrai!D89+Caudry!D89+Lens!D89</f>
        <v>0</v>
      </c>
    </row>
    <row r="90" spans="1:11" s="2" customFormat="1" ht="11.25">
      <c r="A90" s="5" t="s">
        <v>112</v>
      </c>
      <c r="B90" s="160">
        <f>+Cambrai!G90</f>
        <v>341.82266666666669</v>
      </c>
      <c r="C90" s="113">
        <f>+Caudry!G90</f>
        <v>477.0136</v>
      </c>
      <c r="D90" s="113">
        <f>+Lens!G90</f>
        <v>83.842000000000013</v>
      </c>
      <c r="E90" s="160">
        <f>+Cambrai!E90+Caudry!E90+Lens!E90</f>
        <v>844.54</v>
      </c>
      <c r="F90" s="135">
        <f>+Cambrai!F90+Caudry!F90+Lens!F90</f>
        <v>876.38666666666666</v>
      </c>
      <c r="G90" s="161">
        <v>955.55268944022714</v>
      </c>
      <c r="H90" s="161">
        <f>+Cambrai!G90+Caudry!G90+Lens!G90</f>
        <v>902.67826666666667</v>
      </c>
      <c r="I90" s="149">
        <f t="shared" si="7"/>
        <v>9.072994441926479</v>
      </c>
      <c r="J90" s="271">
        <f t="shared" si="8"/>
        <v>6.8840157561118137E-2</v>
      </c>
      <c r="K90" s="18">
        <f>+Cambrai!D90+Caudry!D90+Lens!D90</f>
        <v>955.55268944022714</v>
      </c>
    </row>
    <row r="91" spans="1:11" s="2" customFormat="1" ht="11.25">
      <c r="A91" s="5" t="s">
        <v>113</v>
      </c>
      <c r="B91" s="160">
        <f>+Cambrai!G91</f>
        <v>1183.3876</v>
      </c>
      <c r="C91" s="113">
        <f>+Caudry!G91</f>
        <v>1095.9474666666667</v>
      </c>
      <c r="D91" s="113">
        <f>+Lens!G91</f>
        <v>105.32093333333333</v>
      </c>
      <c r="E91" s="160">
        <f>+Cambrai!E91+Caudry!E91+Lens!E91</f>
        <v>1506.09</v>
      </c>
      <c r="F91" s="135">
        <f>+Cambrai!F91+Caudry!F91+Lens!F91</f>
        <v>2315.1999999999998</v>
      </c>
      <c r="G91" s="161">
        <v>1895.2424938905422</v>
      </c>
      <c r="H91" s="161">
        <f>+Cambrai!G91+Caudry!G91+Lens!G91</f>
        <v>2384.6559999999999</v>
      </c>
      <c r="I91" s="149">
        <f t="shared" si="7"/>
        <v>13.300006203261901</v>
      </c>
      <c r="J91" s="271">
        <f t="shared" si="8"/>
        <v>0.58334229694108586</v>
      </c>
      <c r="K91" s="18">
        <f>+Cambrai!D91+Caudry!D91+Lens!D91</f>
        <v>1895.2424938905422</v>
      </c>
    </row>
    <row r="92" spans="1:11" s="2" customFormat="1" ht="11.25">
      <c r="A92" s="5" t="s">
        <v>309</v>
      </c>
      <c r="B92" s="160">
        <f>+Cambrai!G92</f>
        <v>0</v>
      </c>
      <c r="C92" s="113">
        <f>+Caudry!G92</f>
        <v>0</v>
      </c>
      <c r="D92" s="113">
        <f>+Lens!G92</f>
        <v>0</v>
      </c>
      <c r="E92" s="160">
        <f>+Cambrai!E92+Caudry!E92+Lens!E92</f>
        <v>0</v>
      </c>
      <c r="F92" s="135">
        <f>+Cambrai!F92+Caudry!F92+Lens!F92</f>
        <v>0</v>
      </c>
      <c r="G92" s="161">
        <v>0</v>
      </c>
      <c r="H92" s="161">
        <f>+Cambrai!G92+Caudry!G92+Lens!G92</f>
        <v>0</v>
      </c>
      <c r="I92" s="149">
        <f t="shared" si="7"/>
        <v>0</v>
      </c>
      <c r="J92" s="271">
        <f t="shared" si="8"/>
        <v>0</v>
      </c>
      <c r="K92" s="18">
        <f>+Cambrai!D92+Caudry!D92+Lens!D92</f>
        <v>0</v>
      </c>
    </row>
    <row r="93" spans="1:11" s="2" customFormat="1" ht="11.25">
      <c r="A93" s="5" t="s">
        <v>115</v>
      </c>
      <c r="B93" s="160">
        <f>+Cambrai!G93</f>
        <v>0</v>
      </c>
      <c r="C93" s="113">
        <f>+Caudry!G93</f>
        <v>0</v>
      </c>
      <c r="D93" s="113">
        <f>+Lens!G93</f>
        <v>0</v>
      </c>
      <c r="E93" s="160">
        <f>+Cambrai!E93+Caudry!E93+Lens!E93</f>
        <v>0</v>
      </c>
      <c r="F93" s="135">
        <f>+Cambrai!F93+Caudry!F93+Lens!F93</f>
        <v>0</v>
      </c>
      <c r="G93" s="161">
        <v>1.7586075156250005</v>
      </c>
      <c r="H93" s="161">
        <f>+Cambrai!G93+Caudry!G93+Lens!G93</f>
        <v>0</v>
      </c>
      <c r="I93" s="149">
        <f t="shared" si="7"/>
        <v>0</v>
      </c>
      <c r="J93" s="271">
        <f t="shared" si="8"/>
        <v>0</v>
      </c>
      <c r="K93" s="18">
        <f>+Cambrai!D93+Caudry!D93+Lens!D93</f>
        <v>1.7586075156250005</v>
      </c>
    </row>
    <row r="94" spans="1:11" s="2" customFormat="1" ht="11.25">
      <c r="A94" s="5" t="s">
        <v>42</v>
      </c>
      <c r="B94" s="160">
        <f>+Cambrai!G94</f>
        <v>0</v>
      </c>
      <c r="C94" s="113">
        <f>+Caudry!G94</f>
        <v>0</v>
      </c>
      <c r="D94" s="113">
        <f>+Lens!G94</f>
        <v>0</v>
      </c>
      <c r="E94" s="160">
        <f>+Cambrai!E94+Caudry!E94+Lens!E94</f>
        <v>0</v>
      </c>
      <c r="F94" s="135">
        <f>+Cambrai!F94+Caudry!F94+Lens!F94</f>
        <v>0</v>
      </c>
      <c r="G94" s="161">
        <v>0</v>
      </c>
      <c r="H94" s="161">
        <f>+Cambrai!G94+Caudry!G94+Lens!G94</f>
        <v>0</v>
      </c>
      <c r="I94" s="149">
        <f t="shared" si="7"/>
        <v>0</v>
      </c>
      <c r="J94" s="271">
        <f t="shared" si="8"/>
        <v>0</v>
      </c>
      <c r="K94" s="18">
        <f>+Cambrai!D94+Caudry!D94+Lens!D94</f>
        <v>0</v>
      </c>
    </row>
    <row r="95" spans="1:11" s="2" customFormat="1" ht="11.25">
      <c r="A95" s="5" t="s">
        <v>117</v>
      </c>
      <c r="B95" s="160">
        <f>+Cambrai!G95</f>
        <v>1386.7813612207642</v>
      </c>
      <c r="C95" s="113">
        <f>+Caudry!G95</f>
        <v>11095.20475352297</v>
      </c>
      <c r="D95" s="113">
        <f>+Lens!G95</f>
        <v>3983.0745906714374</v>
      </c>
      <c r="E95" s="160">
        <f>+Cambrai!E95+Caudry!E95+Lens!E95</f>
        <v>15752.96</v>
      </c>
      <c r="F95" s="135">
        <f>+Cambrai!F95+Caudry!F95+Lens!F95</f>
        <v>14644.213333333333</v>
      </c>
      <c r="G95" s="161">
        <v>15803.397237982925</v>
      </c>
      <c r="H95" s="161">
        <f>+Cambrai!G95+Caudry!G95+Lens!G95</f>
        <v>16465.060705415173</v>
      </c>
      <c r="I95" s="149">
        <f t="shared" si="7"/>
        <v>2.9549748922338113</v>
      </c>
      <c r="J95" s="271">
        <f t="shared" si="8"/>
        <v>4.5204247672511973E-2</v>
      </c>
      <c r="K95" s="18">
        <f>+Cambrai!D95+Caudry!D95+Lens!D95</f>
        <v>15803.397237982925</v>
      </c>
    </row>
    <row r="96" spans="1:11" s="2" customFormat="1" ht="11.25">
      <c r="A96" s="5" t="s">
        <v>118</v>
      </c>
      <c r="B96" s="160">
        <f>+Cambrai!G96</f>
        <v>3624.6936000000001</v>
      </c>
      <c r="C96" s="113">
        <f>+Caudry!G96</f>
        <v>5410.974533333334</v>
      </c>
      <c r="D96" s="113">
        <f>+Lens!G96</f>
        <v>4484.9084000000012</v>
      </c>
      <c r="E96" s="160">
        <f>+Cambrai!E96+Caudry!E96+Lens!E96</f>
        <v>12872.77</v>
      </c>
      <c r="F96" s="135">
        <f>+Cambrai!F96+Caudry!F96+Lens!F96</f>
        <v>13126.773333333334</v>
      </c>
      <c r="G96" s="161">
        <v>14367.135249999999</v>
      </c>
      <c r="H96" s="161">
        <f>+Cambrai!G96+Caudry!G96+Lens!G96</f>
        <v>13520.576533333337</v>
      </c>
      <c r="I96" s="149">
        <f t="shared" si="7"/>
        <v>1.8702414524229742</v>
      </c>
      <c r="J96" s="271">
        <f t="shared" si="8"/>
        <v>5.032378682547238E-2</v>
      </c>
      <c r="K96" s="18">
        <f>+Cambrai!D96+Caudry!D96+Lens!D96</f>
        <v>14367.135249999999</v>
      </c>
    </row>
    <row r="97" spans="1:11" s="2" customFormat="1" ht="11.25">
      <c r="A97" s="5" t="s">
        <v>7</v>
      </c>
      <c r="B97" s="160">
        <f>+Cambrai!G97</f>
        <v>0</v>
      </c>
      <c r="C97" s="113">
        <f>+Caudry!G97</f>
        <v>65.109733333333324</v>
      </c>
      <c r="D97" s="113">
        <f>+Lens!G97</f>
        <v>0</v>
      </c>
      <c r="E97" s="160">
        <f>+Cambrai!E97+Caudry!E97+Lens!E97</f>
        <v>36.33</v>
      </c>
      <c r="F97" s="135">
        <f>+Cambrai!F97+Caudry!F97+Lens!F97</f>
        <v>63.213333333333324</v>
      </c>
      <c r="G97" s="161">
        <v>55.700960059570839</v>
      </c>
      <c r="H97" s="161">
        <f>+Cambrai!G97+Caudry!G97+Lens!G97</f>
        <v>65.109733333333324</v>
      </c>
      <c r="I97" s="149">
        <f t="shared" si="7"/>
        <v>0</v>
      </c>
      <c r="J97" s="271">
        <f t="shared" si="8"/>
        <v>0.79217542893843451</v>
      </c>
      <c r="K97" s="18">
        <f>+Cambrai!D97+Caudry!D97+Lens!D97</f>
        <v>55.700960059570839</v>
      </c>
    </row>
    <row r="98" spans="1:11" s="2" customFormat="1" ht="11.25">
      <c r="A98" s="5" t="s">
        <v>307</v>
      </c>
      <c r="B98" s="160">
        <f>+Cambrai!G98</f>
        <v>0</v>
      </c>
      <c r="C98" s="113">
        <f>+Caudry!G98</f>
        <v>0</v>
      </c>
      <c r="D98" s="113">
        <f>+Lens!G98</f>
        <v>0</v>
      </c>
      <c r="E98" s="160">
        <f>+Cambrai!E98+Caudry!E98+Lens!E98</f>
        <v>0</v>
      </c>
      <c r="F98" s="135">
        <f>+Cambrai!F98+Caudry!F98+Lens!F98</f>
        <v>0</v>
      </c>
      <c r="G98" s="161">
        <v>0</v>
      </c>
      <c r="H98" s="161">
        <f>+Cambrai!G98+Caudry!G98+Lens!G98</f>
        <v>0</v>
      </c>
      <c r="I98" s="149">
        <f t="shared" si="7"/>
        <v>0</v>
      </c>
      <c r="J98" s="271">
        <f t="shared" si="8"/>
        <v>0</v>
      </c>
      <c r="K98" s="18">
        <f>+Cambrai!D98+Caudry!D98+Lens!D98</f>
        <v>0</v>
      </c>
    </row>
    <row r="99" spans="1:11" s="2" customFormat="1" ht="11.25">
      <c r="A99" s="5" t="s">
        <v>119</v>
      </c>
      <c r="B99" s="160">
        <f>+Cambrai!G99</f>
        <v>3866.2666666666664</v>
      </c>
      <c r="C99" s="113">
        <f>+Caudry!G99</f>
        <v>4549.4666666666662</v>
      </c>
      <c r="D99" s="113">
        <f>+Lens!G99</f>
        <v>2629.2000000000003</v>
      </c>
      <c r="E99" s="160">
        <f>+Cambrai!E99+Caudry!E99+Lens!E99</f>
        <v>11188.58</v>
      </c>
      <c r="F99" s="135">
        <f>+Cambrai!F99+Caudry!F99+Lens!F99</f>
        <v>11044.933333333334</v>
      </c>
      <c r="G99" s="161">
        <v>12050.316422492131</v>
      </c>
      <c r="H99" s="161">
        <f>+Cambrai!G99+Caudry!G99+Lens!G99</f>
        <v>11044.933333333334</v>
      </c>
      <c r="I99" s="149">
        <f t="shared" si="7"/>
        <v>3.2555073786703175</v>
      </c>
      <c r="J99" s="271">
        <f t="shared" si="8"/>
        <v>-1.2838686112685044E-2</v>
      </c>
      <c r="K99" s="18">
        <f>+Cambrai!D99+Caudry!D99+Lens!D99</f>
        <v>12050.316422492131</v>
      </c>
    </row>
    <row r="100" spans="1:11" s="2" customFormat="1" ht="11.25">
      <c r="A100" s="5" t="s">
        <v>120</v>
      </c>
      <c r="B100" s="160">
        <f>+Cambrai!G100</f>
        <v>1765.1728000000001</v>
      </c>
      <c r="C100" s="113">
        <f>+Caudry!G100</f>
        <v>1529.2478666666668</v>
      </c>
      <c r="D100" s="113">
        <f>+Lens!G100</f>
        <v>396.67360000000002</v>
      </c>
      <c r="E100" s="160">
        <f>+Cambrai!E100+Caudry!E100+Lens!E100</f>
        <v>2165.9100000000003</v>
      </c>
      <c r="F100" s="135">
        <f>+Cambrai!F100+Caudry!F100+Lens!F100</f>
        <v>3583.5866666666666</v>
      </c>
      <c r="G100" s="161">
        <v>2348.2763053011204</v>
      </c>
      <c r="H100" s="161">
        <f>+Cambrai!G100+Caudry!G100+Lens!G100</f>
        <v>3691.094266666667</v>
      </c>
      <c r="I100" s="149">
        <f t="shared" si="7"/>
        <v>4.4601818724513054</v>
      </c>
      <c r="J100" s="271">
        <f t="shared" si="8"/>
        <v>0.70417712031740309</v>
      </c>
      <c r="K100" s="18">
        <f>+Cambrai!D100+Caudry!D100+Lens!D100</f>
        <v>2348.2763053011204</v>
      </c>
    </row>
    <row r="101" spans="1:11" s="2" customFormat="1" ht="11.25">
      <c r="A101" s="5" t="s">
        <v>121</v>
      </c>
      <c r="B101" s="160">
        <f>+Cambrai!G101</f>
        <v>0</v>
      </c>
      <c r="C101" s="113">
        <f>+Caudry!G101</f>
        <v>0</v>
      </c>
      <c r="D101" s="113">
        <f>+Lens!G101</f>
        <v>0</v>
      </c>
      <c r="E101" s="160">
        <f>+Cambrai!E101+Caudry!E101+Lens!E101</f>
        <v>0</v>
      </c>
      <c r="F101" s="135">
        <f>+Cambrai!F101+Caudry!F101+Lens!F101</f>
        <v>0</v>
      </c>
      <c r="G101" s="161">
        <v>7.9723540708333349</v>
      </c>
      <c r="H101" s="161">
        <f>+Cambrai!G101+Caudry!G101+Lens!G101</f>
        <v>0</v>
      </c>
      <c r="I101" s="149">
        <f t="shared" si="7"/>
        <v>0</v>
      </c>
      <c r="J101" s="271">
        <f t="shared" si="8"/>
        <v>0</v>
      </c>
      <c r="K101" s="18">
        <f>+Cambrai!D101+Caudry!D101+Lens!D101</f>
        <v>7.9723540708333349</v>
      </c>
    </row>
    <row r="102" spans="1:11" s="2" customFormat="1" ht="11.25">
      <c r="A102" s="5"/>
      <c r="B102" s="160"/>
      <c r="C102" s="113"/>
      <c r="D102" s="113"/>
      <c r="E102" s="160"/>
      <c r="F102" s="113"/>
      <c r="G102" s="162"/>
      <c r="H102" s="162"/>
      <c r="I102" s="149"/>
      <c r="J102" s="254"/>
      <c r="K102" s="18"/>
    </row>
    <row r="103" spans="1:11" s="2" customFormat="1" ht="11.25">
      <c r="A103" s="13" t="s">
        <v>122</v>
      </c>
      <c r="B103" s="163">
        <f t="shared" ref="B103:H103" si="9">SUM(B70:B102)</f>
        <v>55292.912436220766</v>
      </c>
      <c r="C103" s="204">
        <f t="shared" si="9"/>
        <v>79454.763195189647</v>
      </c>
      <c r="D103" s="204">
        <f t="shared" si="9"/>
        <v>51943.877040671439</v>
      </c>
      <c r="E103" s="163">
        <f>SUM(E70:E102)</f>
        <v>184632.88999999993</v>
      </c>
      <c r="F103" s="204">
        <f t="shared" si="9"/>
        <v>180415.81666666671</v>
      </c>
      <c r="G103" s="168">
        <v>195076.49925674041</v>
      </c>
      <c r="H103" s="168">
        <f t="shared" si="9"/>
        <v>186691.55267208186</v>
      </c>
      <c r="I103" s="272">
        <f>+IF((D103)=0,,(E103-D103)/D103)</f>
        <v>2.5544687943765645</v>
      </c>
      <c r="J103" s="188">
        <f>+IF((E103)=0,,(H103-E103)/E103)</f>
        <v>1.1150032218430497E-2</v>
      </c>
      <c r="K103" s="305">
        <f>SUM(K72:K102)+K70</f>
        <v>204445.82313086517</v>
      </c>
    </row>
    <row r="104" spans="1:11" s="2" customFormat="1" ht="11.25">
      <c r="A104" s="5"/>
      <c r="B104" s="160"/>
      <c r="C104" s="113"/>
      <c r="D104" s="113"/>
      <c r="E104" s="160"/>
      <c r="F104" s="113"/>
      <c r="G104" s="162"/>
      <c r="H104" s="162"/>
      <c r="I104" s="149"/>
      <c r="J104" s="254"/>
      <c r="K104" s="18"/>
    </row>
    <row r="105" spans="1:11" s="2" customFormat="1" ht="11.25">
      <c r="A105" s="5" t="s">
        <v>129</v>
      </c>
      <c r="B105" s="160">
        <f>+Cambrai!G105</f>
        <v>0</v>
      </c>
      <c r="C105" s="113">
        <f>+Caudry!G105</f>
        <v>0</v>
      </c>
      <c r="D105" s="113">
        <f>+Lens!G105</f>
        <v>0</v>
      </c>
      <c r="E105" s="160">
        <f>+Cambrai!E105+Caudry!E105+Lens!E105</f>
        <v>2322.8999999999996</v>
      </c>
      <c r="F105" s="135">
        <f>+Cambrai!F105+Caudry!F105+Lens!F105</f>
        <v>0</v>
      </c>
      <c r="G105" s="161">
        <v>2950.3319999999999</v>
      </c>
      <c r="H105" s="161">
        <f>+Cambrai!G105+Caudry!G105+Lens!G105</f>
        <v>0</v>
      </c>
      <c r="I105" s="149">
        <f>+IF((D105)=0,,(E105-D105)/D105)</f>
        <v>0</v>
      </c>
      <c r="J105" s="271">
        <f>+IF((E105)=0,,(H105-E105)/E105)</f>
        <v>-1</v>
      </c>
      <c r="K105" s="18">
        <f>+Cambrai!D105+Caudry!D105+Lens!D105</f>
        <v>2950.3319999999999</v>
      </c>
    </row>
    <row r="106" spans="1:11" s="2" customFormat="1" ht="11.25">
      <c r="A106" s="5" t="s">
        <v>130</v>
      </c>
      <c r="B106" s="160">
        <f>+Cambrai!G106</f>
        <v>4500</v>
      </c>
      <c r="C106" s="113">
        <f>+Caudry!G106</f>
        <v>4715.2164000000002</v>
      </c>
      <c r="D106" s="113">
        <f>+Lens!G106</f>
        <v>2000</v>
      </c>
      <c r="E106" s="160">
        <f>+Cambrai!E106+Caudry!E106+Lens!E106</f>
        <v>17641.55</v>
      </c>
      <c r="F106" s="135">
        <f>+Cambrai!F106+Caudry!F106+Lens!F106</f>
        <v>13244.88</v>
      </c>
      <c r="G106" s="161">
        <v>15452.884000000002</v>
      </c>
      <c r="H106" s="161">
        <f>+Cambrai!G106+Caudry!G106+Lens!G106</f>
        <v>11215.216400000001</v>
      </c>
      <c r="I106" s="149">
        <f t="shared" ref="I106:I114" si="10">+IF((D106)=0,,(E106-D106)/D106)</f>
        <v>7.8207749999999994</v>
      </c>
      <c r="J106" s="271">
        <f t="shared" ref="J106:J114" si="11">+IF((E106)=0,,(H106-E106)/E106)</f>
        <v>-0.36427261776884673</v>
      </c>
      <c r="K106" s="18">
        <f>+Cambrai!D106+Caudry!D106+Lens!D106</f>
        <v>12875.265300000001</v>
      </c>
    </row>
    <row r="107" spans="1:11" s="2" customFormat="1" ht="11.25">
      <c r="A107" s="5" t="s">
        <v>131</v>
      </c>
      <c r="B107" s="160">
        <f>+Cambrai!G107</f>
        <v>0</v>
      </c>
      <c r="C107" s="113">
        <f>+Caudry!G107</f>
        <v>0</v>
      </c>
      <c r="D107" s="113">
        <f>+Lens!G107</f>
        <v>0</v>
      </c>
      <c r="E107" s="160">
        <f>+Cambrai!E107+Caudry!E107+Lens!E107</f>
        <v>0</v>
      </c>
      <c r="F107" s="135">
        <f>+Cambrai!F107+Caudry!F107+Lens!F107</f>
        <v>0</v>
      </c>
      <c r="G107" s="161">
        <v>0</v>
      </c>
      <c r="H107" s="161">
        <f>+Cambrai!G107+Caudry!G107+Lens!G107</f>
        <v>0</v>
      </c>
      <c r="I107" s="149">
        <f t="shared" si="10"/>
        <v>0</v>
      </c>
      <c r="J107" s="271">
        <f t="shared" si="11"/>
        <v>0</v>
      </c>
      <c r="K107" s="18">
        <f>+Cambrai!D107+Caudry!D107+Lens!D107</f>
        <v>0</v>
      </c>
    </row>
    <row r="108" spans="1:11" s="2" customFormat="1" ht="11.25">
      <c r="A108" s="5" t="s">
        <v>132</v>
      </c>
      <c r="B108" s="160">
        <f>+Cambrai!G108</f>
        <v>450</v>
      </c>
      <c r="C108" s="113">
        <f>+Caudry!G108</f>
        <v>450</v>
      </c>
      <c r="D108" s="113">
        <f>+Lens!G108</f>
        <v>450</v>
      </c>
      <c r="E108" s="160">
        <f>+Cambrai!E108+Caudry!E108+Lens!E108</f>
        <v>392.76</v>
      </c>
      <c r="F108" s="135">
        <f>+Cambrai!F108+Caudry!F108+Lens!F108</f>
        <v>7071.6</v>
      </c>
      <c r="G108" s="161">
        <v>923.71808525000006</v>
      </c>
      <c r="H108" s="161">
        <f>+Cambrai!G108+Caudry!G108+Lens!G108</f>
        <v>1350</v>
      </c>
      <c r="I108" s="149">
        <f t="shared" si="10"/>
        <v>-0.12720000000000001</v>
      </c>
      <c r="J108" s="271">
        <f t="shared" si="11"/>
        <v>2.4372135655362053</v>
      </c>
      <c r="K108" s="18">
        <f>+Cambrai!D108+Caudry!D108+Lens!D108</f>
        <v>1350</v>
      </c>
    </row>
    <row r="109" spans="1:11" s="2" customFormat="1" ht="11.25">
      <c r="A109" s="5" t="s">
        <v>133</v>
      </c>
      <c r="B109" s="160">
        <f>+Cambrai!G109</f>
        <v>2879.0147999999999</v>
      </c>
      <c r="C109" s="113">
        <f>+Caudry!G109</f>
        <v>2006.288933333333</v>
      </c>
      <c r="D109" s="113">
        <f>+Lens!G109</f>
        <v>1639.8012000000001</v>
      </c>
      <c r="E109" s="160">
        <f>+Cambrai!E109+Caudry!E109+Lens!E109</f>
        <v>3320.15</v>
      </c>
      <c r="F109" s="135">
        <f>+Cambrai!F109+Caudry!F109+Lens!F109</f>
        <v>6335.0533333333324</v>
      </c>
      <c r="G109" s="161">
        <v>11020.7322</v>
      </c>
      <c r="H109" s="161">
        <f>+Cambrai!G109+Caudry!G109+Lens!G109</f>
        <v>6525.1049333333331</v>
      </c>
      <c r="I109" s="149">
        <f t="shared" si="10"/>
        <v>1.0247271437537671</v>
      </c>
      <c r="J109" s="271">
        <f t="shared" si="11"/>
        <v>0.96530425834174149</v>
      </c>
      <c r="K109" s="18">
        <f>+Cambrai!D109+Caudry!D109+Lens!D109</f>
        <v>11020.7322</v>
      </c>
    </row>
    <row r="110" spans="1:11" s="2" customFormat="1" ht="11.25">
      <c r="A110" s="5" t="s">
        <v>134</v>
      </c>
      <c r="B110" s="160">
        <f>+Cambrai!G110</f>
        <v>3172.4549333333334</v>
      </c>
      <c r="C110" s="113">
        <f>+Caudry!G110</f>
        <v>7253.6719999999987</v>
      </c>
      <c r="D110" s="113">
        <f>+Lens!G110</f>
        <v>5152.3072000000002</v>
      </c>
      <c r="E110" s="160">
        <f>+Cambrai!E110+Caudry!E110+Lens!E110</f>
        <v>21341.53</v>
      </c>
      <c r="F110" s="135">
        <f>+Cambrai!F110+Caudry!F110+Lens!F110</f>
        <v>15124.693333333331</v>
      </c>
      <c r="G110" s="161">
        <v>11360.4159</v>
      </c>
      <c r="H110" s="161">
        <f>+Cambrai!G110+Caudry!G110+Lens!G110</f>
        <v>15578.434133333332</v>
      </c>
      <c r="I110" s="149">
        <f t="shared" si="10"/>
        <v>3.1421307331985173</v>
      </c>
      <c r="J110" s="271">
        <f t="shared" si="11"/>
        <v>-0.27004136379475452</v>
      </c>
      <c r="K110" s="18">
        <f>+Cambrai!D110+Caudry!D110+Lens!D110</f>
        <v>11360.4159</v>
      </c>
    </row>
    <row r="111" spans="1:11" s="2" customFormat="1" ht="11.25">
      <c r="A111" s="5" t="s">
        <v>135</v>
      </c>
      <c r="B111" s="160">
        <f>+Cambrai!G111</f>
        <v>166.17333333333335</v>
      </c>
      <c r="C111" s="113">
        <f>+Caudry!G111</f>
        <v>212.86666666666667</v>
      </c>
      <c r="D111" s="113">
        <f>+Lens!G111</f>
        <v>137.33333333333331</v>
      </c>
      <c r="E111" s="160">
        <f>+Cambrai!E111+Caudry!E111+Lens!E111</f>
        <v>565</v>
      </c>
      <c r="F111" s="135">
        <f>+Cambrai!F111+Caudry!F111+Lens!F111</f>
        <v>501.33333333333331</v>
      </c>
      <c r="G111" s="161">
        <v>602.54999999999995</v>
      </c>
      <c r="H111" s="161">
        <f>+Cambrai!G111+Caudry!G111+Lens!G111</f>
        <v>516.37333333333333</v>
      </c>
      <c r="I111" s="149">
        <f t="shared" si="10"/>
        <v>3.1140776699029131</v>
      </c>
      <c r="J111" s="271">
        <f t="shared" si="11"/>
        <v>-8.606489675516224E-2</v>
      </c>
      <c r="K111" s="18">
        <f>+Cambrai!D111+Caudry!D111+Lens!D111</f>
        <v>602.54999999999995</v>
      </c>
    </row>
    <row r="112" spans="1:11" s="2" customFormat="1" ht="11.25">
      <c r="A112" s="5" t="s">
        <v>136</v>
      </c>
      <c r="B112" s="160">
        <f>+Cambrai!G112</f>
        <v>26.78</v>
      </c>
      <c r="C112" s="113">
        <f>+Caudry!G112</f>
        <v>26.78</v>
      </c>
      <c r="D112" s="113">
        <f>+Lens!G112</f>
        <v>26.78</v>
      </c>
      <c r="E112" s="160">
        <f>+Cambrai!E112+Caudry!E112+Lens!E112</f>
        <v>75.69</v>
      </c>
      <c r="F112" s="135">
        <f>+Cambrai!F112+Caudry!F112+Lens!F112</f>
        <v>78</v>
      </c>
      <c r="G112" s="161">
        <v>77.960700000000003</v>
      </c>
      <c r="H112" s="161">
        <f>+Cambrai!G112+Caudry!G112+Lens!G112</f>
        <v>80.34</v>
      </c>
      <c r="I112" s="149">
        <f t="shared" si="10"/>
        <v>1.8263629574309184</v>
      </c>
      <c r="J112" s="271">
        <f t="shared" si="11"/>
        <v>6.1434799841458658E-2</v>
      </c>
      <c r="K112" s="18">
        <f>+Cambrai!D112+Caudry!D112+Lens!D112</f>
        <v>77.960700000000003</v>
      </c>
    </row>
    <row r="113" spans="1:11" s="2" customFormat="1" ht="11.25">
      <c r="A113" s="5" t="s">
        <v>137</v>
      </c>
      <c r="B113" s="160">
        <f>+Cambrai!G113</f>
        <v>2000</v>
      </c>
      <c r="C113" s="113">
        <f>+Caudry!G113</f>
        <v>2000</v>
      </c>
      <c r="D113" s="113">
        <f>+Lens!G113</f>
        <v>2000</v>
      </c>
      <c r="E113" s="160">
        <f>+Cambrai!E113+Caudry!E113+Lens!E113</f>
        <v>11091.84</v>
      </c>
      <c r="F113" s="135">
        <f>+Cambrai!F113+Caudry!F113+Lens!F113</f>
        <v>13970.39</v>
      </c>
      <c r="G113" s="161">
        <v>13982.25</v>
      </c>
      <c r="H113" s="161">
        <f>+Cambrai!G113+Caudry!G113+Lens!G113</f>
        <v>6000</v>
      </c>
      <c r="I113" s="149">
        <f t="shared" si="10"/>
        <v>4.5459199999999997</v>
      </c>
      <c r="J113" s="271">
        <f t="shared" si="11"/>
        <v>-0.45906179678033582</v>
      </c>
      <c r="K113" s="18">
        <f>+Cambrai!D113+Caudry!D113+Lens!D113</f>
        <v>15482.25</v>
      </c>
    </row>
    <row r="114" spans="1:11" s="2" customFormat="1" ht="11.25">
      <c r="A114" s="5" t="s">
        <v>138</v>
      </c>
      <c r="B114" s="160">
        <f>+Cambrai!G114</f>
        <v>0</v>
      </c>
      <c r="C114" s="113">
        <f>+Caudry!G114</f>
        <v>0</v>
      </c>
      <c r="D114" s="113">
        <f>+Lens!G114</f>
        <v>0</v>
      </c>
      <c r="E114" s="160">
        <f>+Cambrai!E114+Caudry!E114+Lens!E114</f>
        <v>0</v>
      </c>
      <c r="F114" s="135">
        <f>+Cambrai!F114+Caudry!F114+Lens!F114</f>
        <v>0</v>
      </c>
      <c r="G114" s="161">
        <v>0</v>
      </c>
      <c r="H114" s="161">
        <f>+Cambrai!G114+Caudry!G114+Lens!G114</f>
        <v>0</v>
      </c>
      <c r="I114" s="149">
        <f t="shared" si="10"/>
        <v>0</v>
      </c>
      <c r="J114" s="271">
        <f t="shared" si="11"/>
        <v>0</v>
      </c>
      <c r="K114" s="18">
        <f>+Cambrai!D114+Caudry!D114+Lens!D114</f>
        <v>0</v>
      </c>
    </row>
    <row r="115" spans="1:11" s="2" customFormat="1" ht="11.25">
      <c r="A115" s="5"/>
      <c r="B115" s="160"/>
      <c r="C115" s="113"/>
      <c r="D115" s="113"/>
      <c r="E115" s="160"/>
      <c r="F115" s="113"/>
      <c r="G115" s="162"/>
      <c r="H115" s="162"/>
      <c r="I115" s="149"/>
      <c r="J115" s="254"/>
      <c r="K115" s="18"/>
    </row>
    <row r="116" spans="1:11" s="2" customFormat="1" ht="11.25">
      <c r="A116" s="13" t="s">
        <v>133</v>
      </c>
      <c r="B116" s="163">
        <f t="shared" ref="B116:H116" si="12">SUM(B104:B115)</f>
        <v>13194.423066666668</v>
      </c>
      <c r="C116" s="204">
        <f t="shared" si="12"/>
        <v>16664.824000000001</v>
      </c>
      <c r="D116" s="204">
        <f t="shared" si="12"/>
        <v>11406.221733333336</v>
      </c>
      <c r="E116" s="163">
        <f>SUM(E104:E115)</f>
        <v>56751.42</v>
      </c>
      <c r="F116" s="204">
        <f t="shared" si="12"/>
        <v>56325.95</v>
      </c>
      <c r="G116" s="168">
        <v>56370.842885250007</v>
      </c>
      <c r="H116" s="168">
        <f t="shared" si="12"/>
        <v>41265.468800000002</v>
      </c>
      <c r="I116" s="272">
        <f>+IF((D116)=0,,(E116-D116)/D116)</f>
        <v>3.9754792890051114</v>
      </c>
      <c r="J116" s="188">
        <f>+IF((E116)=0,,(H116-E116)/E116)</f>
        <v>-0.27287336951216368</v>
      </c>
      <c r="K116" s="305">
        <f>SUM(K105:K115)</f>
        <v>55719.506100000006</v>
      </c>
    </row>
    <row r="117" spans="1:11" s="2" customFormat="1" ht="11.25">
      <c r="A117" s="5"/>
      <c r="B117" s="160"/>
      <c r="C117" s="113"/>
      <c r="D117" s="113"/>
      <c r="E117" s="160"/>
      <c r="F117" s="113"/>
      <c r="G117" s="162"/>
      <c r="H117" s="162"/>
      <c r="I117" s="149"/>
      <c r="J117" s="254"/>
      <c r="K117" s="18"/>
    </row>
    <row r="118" spans="1:11" s="2" customFormat="1" ht="11.25">
      <c r="A118" s="5" t="s">
        <v>139</v>
      </c>
      <c r="B118" s="160">
        <f>+Cambrai!G118</f>
        <v>575.46999999999991</v>
      </c>
      <c r="C118" s="113">
        <f>+Caudry!G118</f>
        <v>630.64399999999989</v>
      </c>
      <c r="D118" s="113">
        <f>+Lens!G118</f>
        <v>348.55099999999999</v>
      </c>
      <c r="E118" s="160">
        <f>+Cambrai!E118+Caudry!E118+Lens!E118</f>
        <v>1737</v>
      </c>
      <c r="F118" s="135">
        <f>+Cambrai!F118+Caudry!F118+Lens!F118</f>
        <v>3991.08</v>
      </c>
      <c r="G118" s="161">
        <v>0</v>
      </c>
      <c r="H118" s="161">
        <f>+Cambrai!G118+Caudry!G118+Lens!G118</f>
        <v>1554.6649999999997</v>
      </c>
      <c r="I118" s="149">
        <f>+IF((D118)=0,,(E118-D118)/D118)</f>
        <v>3.9834887864329755</v>
      </c>
      <c r="J118" s="271">
        <f>+IF((E118)=0,,(H118-E118)/E118)</f>
        <v>-0.10497121473805426</v>
      </c>
      <c r="K118" s="18">
        <f>+Cambrai!D118+Caudry!D118+Lens!D118</f>
        <v>1533.1189999999997</v>
      </c>
    </row>
    <row r="119" spans="1:11" s="2" customFormat="1" ht="11.25">
      <c r="A119" s="5" t="s">
        <v>140</v>
      </c>
      <c r="B119" s="160">
        <f>+Cambrai!G119</f>
        <v>369.94500000000005</v>
      </c>
      <c r="C119" s="113">
        <f>+Caudry!G119</f>
        <v>405.41400000000004</v>
      </c>
      <c r="D119" s="113">
        <f>+Lens!G119</f>
        <v>224.06850000000003</v>
      </c>
      <c r="E119" s="160">
        <f>+Cambrai!E119+Caudry!E119+Lens!E119</f>
        <v>957</v>
      </c>
      <c r="F119" s="135">
        <f>+Cambrai!F119+Caudry!F119+Lens!F119</f>
        <v>0</v>
      </c>
      <c r="G119" s="161">
        <v>0</v>
      </c>
      <c r="H119" s="161">
        <f>+Cambrai!G119+Caudry!G119+Lens!G119</f>
        <v>999.42750000000024</v>
      </c>
      <c r="I119" s="149">
        <f t="shared" ref="I119:I127" si="13">+IF((D119)=0,,(E119-D119)/D119)</f>
        <v>3.2710153368277997</v>
      </c>
      <c r="J119" s="271">
        <f t="shared" ref="J119:J127" si="14">+IF((E119)=0,,(H119-E119)/E119)</f>
        <v>4.4333855799373288E-2</v>
      </c>
      <c r="K119" s="18">
        <f>+Cambrai!D119+Caudry!D119+Lens!D119</f>
        <v>985.57650000000012</v>
      </c>
    </row>
    <row r="120" spans="1:11" s="2" customFormat="1" ht="11.25">
      <c r="A120" s="5" t="s">
        <v>141</v>
      </c>
      <c r="B120" s="160">
        <f>+Cambrai!G120</f>
        <v>641.23800000000006</v>
      </c>
      <c r="C120" s="113">
        <f>+Caudry!G120</f>
        <v>702.71760000000006</v>
      </c>
      <c r="D120" s="113">
        <f>+Lens!G120</f>
        <v>388.3854</v>
      </c>
      <c r="E120" s="160">
        <f>+Cambrai!E120+Caudry!E120+Lens!E120</f>
        <v>1446</v>
      </c>
      <c r="F120" s="135">
        <f>+Cambrai!F120+Caudry!F120+Lens!F120</f>
        <v>0</v>
      </c>
      <c r="G120" s="161">
        <v>0</v>
      </c>
      <c r="H120" s="161">
        <f>+Cambrai!G120+Caudry!G120+Lens!G120</f>
        <v>1732.3410000000003</v>
      </c>
      <c r="I120" s="149">
        <f t="shared" si="13"/>
        <v>2.7231059663931751</v>
      </c>
      <c r="J120" s="271">
        <f t="shared" si="14"/>
        <v>0.19802282157676374</v>
      </c>
      <c r="K120" s="18">
        <f>+Cambrai!D120+Caudry!D120+Lens!D120</f>
        <v>1708.3326000000002</v>
      </c>
    </row>
    <row r="121" spans="1:11" s="2" customFormat="1" ht="11.25">
      <c r="A121" s="5" t="s">
        <v>142</v>
      </c>
      <c r="B121" s="160">
        <f>+Cambrai!G121</f>
        <v>495.6</v>
      </c>
      <c r="C121" s="113">
        <f>+Caudry!G121</f>
        <v>653.1</v>
      </c>
      <c r="D121" s="113">
        <f>+Lens!G121</f>
        <v>1463.7</v>
      </c>
      <c r="E121" s="160">
        <f>+Cambrai!E121+Caudry!E121+Lens!E121</f>
        <v>11479</v>
      </c>
      <c r="F121" s="135">
        <f>+Cambrai!F121+Caudry!F121+Lens!F121</f>
        <v>2488</v>
      </c>
      <c r="G121" s="161">
        <v>11454.115</v>
      </c>
      <c r="H121" s="161">
        <f>+Cambrai!G121+Caudry!G121+Lens!G121</f>
        <v>2612.4</v>
      </c>
      <c r="I121" s="149">
        <f t="shared" si="13"/>
        <v>6.8424540547926478</v>
      </c>
      <c r="J121" s="271">
        <f t="shared" si="14"/>
        <v>-0.77241920027876998</v>
      </c>
      <c r="K121" s="18">
        <f>+Cambrai!D121+Caudry!D121+Lens!D121</f>
        <v>11966.587500000001</v>
      </c>
    </row>
    <row r="122" spans="1:11" s="2" customFormat="1" ht="11.25">
      <c r="A122" s="5" t="s">
        <v>143</v>
      </c>
      <c r="B122" s="160">
        <f>+Cambrai!G122</f>
        <v>1705.5360000000003</v>
      </c>
      <c r="C122" s="113">
        <f>+Caudry!G122</f>
        <v>3903.9</v>
      </c>
      <c r="D122" s="113">
        <f>+Lens!G122</f>
        <v>2581.9500000000003</v>
      </c>
      <c r="E122" s="160">
        <f>+Cambrai!E122+Caudry!E122+Lens!E122</f>
        <v>7258</v>
      </c>
      <c r="F122" s="135">
        <f>+Cambrai!F122+Caudry!F122+Lens!F122</f>
        <v>7801.32</v>
      </c>
      <c r="G122" s="161">
        <v>7288.71432525</v>
      </c>
      <c r="H122" s="161">
        <f>+Cambrai!G122+Caudry!G122+Lens!G122</f>
        <v>8191.3860000000004</v>
      </c>
      <c r="I122" s="149">
        <f t="shared" si="13"/>
        <v>1.8110536609926602</v>
      </c>
      <c r="J122" s="271">
        <f t="shared" si="14"/>
        <v>0.12860099200881792</v>
      </c>
      <c r="K122" s="18">
        <f>+Cambrai!D122+Caudry!D122+Lens!D122</f>
        <v>7571.5123837500014</v>
      </c>
    </row>
    <row r="123" spans="1:11" s="2" customFormat="1" ht="11.25">
      <c r="A123" s="5" t="s">
        <v>144</v>
      </c>
      <c r="B123" s="160">
        <f>+Cambrai!G123</f>
        <v>50</v>
      </c>
      <c r="C123" s="113">
        <f>+Caudry!G123</f>
        <v>50</v>
      </c>
      <c r="D123" s="113">
        <f>+Lens!G123</f>
        <v>50</v>
      </c>
      <c r="E123" s="160">
        <f>+Cambrai!E123+Caudry!E123+Lens!E123</f>
        <v>0</v>
      </c>
      <c r="F123" s="135">
        <f>+Cambrai!F123+Caudry!F123+Lens!F123</f>
        <v>0</v>
      </c>
      <c r="G123" s="161">
        <v>0</v>
      </c>
      <c r="H123" s="161">
        <f>+Cambrai!G123+Caudry!G123+Lens!G123</f>
        <v>150</v>
      </c>
      <c r="I123" s="149">
        <f t="shared" si="13"/>
        <v>-1</v>
      </c>
      <c r="J123" s="271">
        <f t="shared" si="14"/>
        <v>0</v>
      </c>
      <c r="K123" s="18">
        <f>+Cambrai!D123+Caudry!D123+Lens!D123</f>
        <v>150</v>
      </c>
    </row>
    <row r="124" spans="1:11" s="2" customFormat="1" ht="11.25">
      <c r="A124" s="5" t="s">
        <v>145</v>
      </c>
      <c r="B124" s="160">
        <f>+Cambrai!G124</f>
        <v>0</v>
      </c>
      <c r="C124" s="113">
        <f>+Caudry!G124</f>
        <v>0</v>
      </c>
      <c r="D124" s="113">
        <f>+Lens!G124</f>
        <v>0</v>
      </c>
      <c r="E124" s="160">
        <f>+Cambrai!E124+Caudry!E124+Lens!E124</f>
        <v>0</v>
      </c>
      <c r="F124" s="135">
        <f>+Cambrai!F124+Caudry!F124+Lens!F124</f>
        <v>0</v>
      </c>
      <c r="G124" s="161">
        <v>4.3320365134895846</v>
      </c>
      <c r="H124" s="161">
        <f>+Cambrai!G124+Caudry!G124+Lens!G124</f>
        <v>0</v>
      </c>
      <c r="I124" s="149">
        <f t="shared" si="13"/>
        <v>0</v>
      </c>
      <c r="J124" s="271">
        <f t="shared" si="14"/>
        <v>0</v>
      </c>
      <c r="K124" s="18">
        <f>+Cambrai!D124+Caudry!D124+Lens!D124</f>
        <v>0.28723922755208336</v>
      </c>
    </row>
    <row r="125" spans="1:11" s="2" customFormat="1" ht="11.25">
      <c r="A125" s="5" t="s">
        <v>286</v>
      </c>
      <c r="B125" s="160">
        <f>+Cambrai!G125</f>
        <v>0</v>
      </c>
      <c r="C125" s="113">
        <f>+Caudry!G125</f>
        <v>0</v>
      </c>
      <c r="D125" s="113">
        <f>+Lens!G125</f>
        <v>0</v>
      </c>
      <c r="E125" s="160">
        <f>+Cambrai!E125+Caudry!E125+Lens!E125</f>
        <v>0</v>
      </c>
      <c r="F125" s="135">
        <f>+Cambrai!F125+Caudry!F125+Lens!F125</f>
        <v>0</v>
      </c>
      <c r="G125" s="161">
        <v>0</v>
      </c>
      <c r="H125" s="161">
        <f>+Cambrai!G125+Caudry!G125+Lens!G125</f>
        <v>0</v>
      </c>
      <c r="I125" s="149">
        <f t="shared" si="13"/>
        <v>0</v>
      </c>
      <c r="J125" s="271">
        <f t="shared" si="14"/>
        <v>0</v>
      </c>
      <c r="K125" s="18">
        <f>+Cambrai!D125+Caudry!D125+Lens!D125</f>
        <v>0</v>
      </c>
    </row>
    <row r="126" spans="1:11" s="2" customFormat="1" ht="11.25">
      <c r="A126" s="5" t="s">
        <v>361</v>
      </c>
      <c r="B126" s="160">
        <f>+Cambrai!G126</f>
        <v>0</v>
      </c>
      <c r="C126" s="113">
        <f>+Caudry!G126</f>
        <v>0</v>
      </c>
      <c r="D126" s="113">
        <f>+Lens!G126</f>
        <v>0</v>
      </c>
      <c r="E126" s="160">
        <f>+Cambrai!E126+Caudry!E126+Lens!E126</f>
        <v>0</v>
      </c>
      <c r="F126" s="135">
        <f>+Cambrai!F126+Caudry!F126+Lens!F126</f>
        <v>0</v>
      </c>
      <c r="G126" s="161">
        <v>0</v>
      </c>
      <c r="H126" s="161">
        <f>+Cambrai!G126+Caudry!G126+Lens!G126</f>
        <v>0</v>
      </c>
      <c r="I126" s="149">
        <f t="shared" si="13"/>
        <v>0</v>
      </c>
      <c r="J126" s="271">
        <f t="shared" si="14"/>
        <v>0</v>
      </c>
      <c r="K126" s="18">
        <f>+Cambrai!D126+Caudry!D126+Lens!D126</f>
        <v>0</v>
      </c>
    </row>
    <row r="127" spans="1:11" s="2" customFormat="1" ht="11.25">
      <c r="A127" s="5" t="s">
        <v>146</v>
      </c>
      <c r="B127" s="160">
        <f>+Cambrai!G127</f>
        <v>1061.3470480000001</v>
      </c>
      <c r="C127" s="113">
        <f>+Caudry!G127</f>
        <v>1176.5232000000001</v>
      </c>
      <c r="D127" s="113">
        <f>+Lens!G127</f>
        <v>920.59680000000003</v>
      </c>
      <c r="E127" s="160">
        <f>+Cambrai!E127+Caudry!E127+Lens!E127</f>
        <v>2735.61</v>
      </c>
      <c r="F127" s="135">
        <f>+Cambrai!F127+Caudry!F127+Lens!F127</f>
        <v>3072.4933333333338</v>
      </c>
      <c r="G127" s="161">
        <v>2965.1726025600001</v>
      </c>
      <c r="H127" s="161">
        <f>+Cambrai!G127+Caudry!G127+Lens!G127</f>
        <v>3158.4670480000004</v>
      </c>
      <c r="I127" s="149">
        <f t="shared" si="13"/>
        <v>1.9715614914151343</v>
      </c>
      <c r="J127" s="271">
        <f t="shared" si="14"/>
        <v>0.15457504834387953</v>
      </c>
      <c r="K127" s="18">
        <f>+Cambrai!D127+Caudry!D127+Lens!D127</f>
        <v>2938.6751999999997</v>
      </c>
    </row>
    <row r="128" spans="1:11" s="2" customFormat="1" ht="11.25">
      <c r="A128" s="5"/>
      <c r="B128" s="160"/>
      <c r="C128" s="113"/>
      <c r="D128" s="113"/>
      <c r="E128" s="160"/>
      <c r="F128" s="113"/>
      <c r="G128" s="162"/>
      <c r="H128" s="162"/>
      <c r="I128" s="149"/>
      <c r="J128" s="254"/>
      <c r="K128" s="18"/>
    </row>
    <row r="129" spans="1:11" s="2" customFormat="1" ht="11.25">
      <c r="A129" s="13" t="s">
        <v>147</v>
      </c>
      <c r="B129" s="163">
        <f t="shared" ref="B129:H129" si="15">SUM(B117:B128)</f>
        <v>4899.1360480000003</v>
      </c>
      <c r="C129" s="204">
        <f t="shared" si="15"/>
        <v>7522.2988000000005</v>
      </c>
      <c r="D129" s="204">
        <f t="shared" si="15"/>
        <v>5977.2517000000007</v>
      </c>
      <c r="E129" s="163">
        <f>SUM(E117:E128)</f>
        <v>25612.61</v>
      </c>
      <c r="F129" s="204">
        <f t="shared" si="15"/>
        <v>17352.893333333333</v>
      </c>
      <c r="G129" s="168">
        <v>21712.33396432349</v>
      </c>
      <c r="H129" s="168">
        <f t="shared" si="15"/>
        <v>18398.686548000001</v>
      </c>
      <c r="I129" s="272">
        <f>+IF((D129)=0,,(E129-D129)/D129)</f>
        <v>3.2850144657619147</v>
      </c>
      <c r="J129" s="188">
        <f>+IF((E129)=0,,(H129-E129)/E129)</f>
        <v>-0.28165514767920952</v>
      </c>
      <c r="K129" s="305">
        <f>SUM(K117:K128)</f>
        <v>26854.090422977555</v>
      </c>
    </row>
    <row r="130" spans="1:11" s="2" customFormat="1" ht="11.25">
      <c r="A130" s="5"/>
      <c r="B130" s="160"/>
      <c r="C130" s="113"/>
      <c r="D130" s="113"/>
      <c r="E130" s="160"/>
      <c r="F130" s="113"/>
      <c r="G130" s="162"/>
      <c r="H130" s="162"/>
      <c r="I130" s="149"/>
      <c r="J130" s="254"/>
      <c r="K130" s="18"/>
    </row>
    <row r="131" spans="1:11" s="2" customFormat="1" ht="11.25">
      <c r="A131" s="5" t="s">
        <v>148</v>
      </c>
      <c r="B131" s="160">
        <f>+Cambrai!G131</f>
        <v>82210</v>
      </c>
      <c r="C131" s="113">
        <f>+Caudry!G131</f>
        <v>90092</v>
      </c>
      <c r="D131" s="113">
        <f>+Lens!G131</f>
        <v>49793</v>
      </c>
      <c r="E131" s="160">
        <f>+Cambrai!E131+Caudry!E131+Lens!E131</f>
        <v>209974.84</v>
      </c>
      <c r="F131" s="135">
        <f>+Cambrai!F131+Caudry!F131+Lens!F131</f>
        <v>214099.34666666665</v>
      </c>
      <c r="G131" s="161">
        <v>222784.75639999998</v>
      </c>
      <c r="H131" s="161">
        <f>+Cambrai!G131+Caudry!G131+Lens!G131</f>
        <v>222095</v>
      </c>
      <c r="I131" s="149">
        <f>+IF((D131)=0,,(E131-D131)/D131)</f>
        <v>3.2169549936738093</v>
      </c>
      <c r="J131" s="271">
        <f>+IF((E131)=0,,(H131-E131)/E131)</f>
        <v>5.7721963259979164E-2</v>
      </c>
      <c r="K131" s="18">
        <f>+Cambrai!D131+Caudry!D131+Lens!D131</f>
        <v>219017</v>
      </c>
    </row>
    <row r="132" spans="1:11" s="2" customFormat="1" ht="11.25">
      <c r="A132" s="5" t="s">
        <v>149</v>
      </c>
      <c r="B132" s="160">
        <f>+Cambrai!G132</f>
        <v>0</v>
      </c>
      <c r="C132" s="113">
        <f>+Caudry!G132</f>
        <v>0</v>
      </c>
      <c r="D132" s="113">
        <f>+Lens!G132</f>
        <v>0</v>
      </c>
      <c r="E132" s="160">
        <f>+Cambrai!E132+Caudry!E132+Lens!E132</f>
        <v>-749.65</v>
      </c>
      <c r="F132" s="135">
        <f>+Cambrai!F132+Caudry!F132+Lens!F132</f>
        <v>-816.42666666666673</v>
      </c>
      <c r="G132" s="161">
        <v>-1402.8290999999999</v>
      </c>
      <c r="H132" s="161">
        <f>+Cambrai!G132+Caudry!G132+Lens!G132</f>
        <v>0</v>
      </c>
      <c r="I132" s="149">
        <f t="shared" ref="I132:I151" si="16">+IF((D132)=0,,(E132-D132)/D132)</f>
        <v>0</v>
      </c>
      <c r="J132" s="271">
        <f t="shared" ref="J132:J151" si="17">+IF((E132)=0,,(H132-E132)/E132)</f>
        <v>-1</v>
      </c>
      <c r="K132" s="18">
        <f>+Cambrai!D132+Caudry!D132+Lens!D132</f>
        <v>0</v>
      </c>
    </row>
    <row r="133" spans="1:11" s="2" customFormat="1" ht="11.25">
      <c r="A133" s="5" t="s">
        <v>150</v>
      </c>
      <c r="B133" s="160">
        <f>+Cambrai!G133</f>
        <v>0</v>
      </c>
      <c r="C133" s="113">
        <f>+Caudry!G133</f>
        <v>0</v>
      </c>
      <c r="D133" s="113">
        <f>+Lens!G133</f>
        <v>0</v>
      </c>
      <c r="E133" s="160">
        <f>+Cambrai!E133+Caudry!E133+Lens!E133</f>
        <v>0</v>
      </c>
      <c r="F133" s="135">
        <f>+Cambrai!F133+Caudry!F133+Lens!F133</f>
        <v>0</v>
      </c>
      <c r="G133" s="161">
        <v>0</v>
      </c>
      <c r="H133" s="161">
        <f>+Cambrai!G133+Caudry!G133+Lens!G133</f>
        <v>0</v>
      </c>
      <c r="I133" s="149">
        <f t="shared" si="16"/>
        <v>0</v>
      </c>
      <c r="J133" s="271">
        <f t="shared" si="17"/>
        <v>0</v>
      </c>
      <c r="K133" s="18">
        <f>+Cambrai!D133+Caudry!D133+Lens!D133</f>
        <v>0</v>
      </c>
    </row>
    <row r="134" spans="1:11" s="2" customFormat="1" ht="11.25">
      <c r="A134" s="5" t="s">
        <v>151</v>
      </c>
      <c r="B134" s="160">
        <f>+Cambrai!G134</f>
        <v>0</v>
      </c>
      <c r="C134" s="113">
        <f>+Caudry!G134</f>
        <v>0</v>
      </c>
      <c r="D134" s="113">
        <f>+Lens!G134</f>
        <v>0</v>
      </c>
      <c r="E134" s="160">
        <f>+Cambrai!E134+Caudry!E134+Lens!E134</f>
        <v>1447.0199999999986</v>
      </c>
      <c r="F134" s="135">
        <f>+Cambrai!F134+Caudry!F134+Lens!F134</f>
        <v>0</v>
      </c>
      <c r="G134" s="161">
        <v>0</v>
      </c>
      <c r="H134" s="161">
        <f>+Cambrai!G134+Caudry!G134+Lens!G134</f>
        <v>0</v>
      </c>
      <c r="I134" s="149">
        <f t="shared" si="16"/>
        <v>0</v>
      </c>
      <c r="J134" s="271">
        <f t="shared" si="17"/>
        <v>-1</v>
      </c>
      <c r="K134" s="18">
        <f>+Cambrai!D134+Caudry!D134+Lens!D134</f>
        <v>0</v>
      </c>
    </row>
    <row r="135" spans="1:11" s="2" customFormat="1" ht="11.25">
      <c r="A135" s="5" t="s">
        <v>114</v>
      </c>
      <c r="B135" s="160">
        <f>+Cambrai!G135</f>
        <v>0</v>
      </c>
      <c r="C135" s="113">
        <f>+Caudry!G135</f>
        <v>0</v>
      </c>
      <c r="D135" s="113">
        <f>+Lens!G135</f>
        <v>0</v>
      </c>
      <c r="E135" s="160">
        <f>+Cambrai!E135+Caudry!E135+Lens!E135</f>
        <v>97</v>
      </c>
      <c r="F135" s="135">
        <f>+Cambrai!F135+Caudry!F135+Lens!F135</f>
        <v>146.66666666666666</v>
      </c>
      <c r="G135" s="161">
        <v>790.73952189812496</v>
      </c>
      <c r="H135" s="161">
        <f>+Cambrai!G135+Caudry!G135+Lens!G135</f>
        <v>0</v>
      </c>
      <c r="I135" s="149">
        <f t="shared" si="16"/>
        <v>0</v>
      </c>
      <c r="J135" s="271">
        <f t="shared" si="17"/>
        <v>-1</v>
      </c>
      <c r="K135" s="18">
        <f>+Cambrai!D135+Caudry!D135+Lens!D135</f>
        <v>790.73952189812496</v>
      </c>
    </row>
    <row r="136" spans="1:11" s="2" customFormat="1" ht="11.25">
      <c r="A136" s="5" t="s">
        <v>338</v>
      </c>
      <c r="B136" s="160">
        <f>+Cambrai!G136</f>
        <v>0</v>
      </c>
      <c r="C136" s="113">
        <f>+Caudry!G136</f>
        <v>0</v>
      </c>
      <c r="D136" s="113">
        <f>+Lens!G136</f>
        <v>0</v>
      </c>
      <c r="E136" s="160">
        <f>+Cambrai!E136+Caudry!E136+Lens!E136</f>
        <v>0</v>
      </c>
      <c r="F136" s="135">
        <f>+Cambrai!F136+Caudry!F136+Lens!F136</f>
        <v>0</v>
      </c>
      <c r="G136" s="161">
        <v>177.58726022250005</v>
      </c>
      <c r="H136" s="161">
        <f>+Cambrai!G136+Caudry!G136+Lens!G136</f>
        <v>0</v>
      </c>
      <c r="I136" s="149">
        <f t="shared" si="16"/>
        <v>0</v>
      </c>
      <c r="J136" s="271">
        <f t="shared" si="17"/>
        <v>0</v>
      </c>
      <c r="K136" s="18">
        <f>+Cambrai!D136+Caudry!D136+Lens!D136</f>
        <v>0</v>
      </c>
    </row>
    <row r="137" spans="1:11" s="2" customFormat="1" ht="11.25">
      <c r="A137" s="5" t="s">
        <v>87</v>
      </c>
      <c r="B137" s="160">
        <f>+Cambrai!G137</f>
        <v>0</v>
      </c>
      <c r="C137" s="113">
        <f>+Caudry!G137</f>
        <v>0</v>
      </c>
      <c r="D137" s="113">
        <f>+Lens!G137</f>
        <v>0</v>
      </c>
      <c r="E137" s="160">
        <f>+Cambrai!E137+Caudry!E137+Lens!E137</f>
        <v>0</v>
      </c>
      <c r="F137" s="135">
        <f>+Cambrai!F137+Caudry!F137+Lens!F137</f>
        <v>0</v>
      </c>
      <c r="G137" s="161">
        <v>0</v>
      </c>
      <c r="H137" s="161">
        <f>+Cambrai!G137+Caudry!G137+Lens!G137</f>
        <v>0</v>
      </c>
      <c r="I137" s="149">
        <f t="shared" si="16"/>
        <v>0</v>
      </c>
      <c r="J137" s="271">
        <f t="shared" si="17"/>
        <v>0</v>
      </c>
      <c r="K137" s="18">
        <f>+Cambrai!D137+Caudry!D137+Lens!D137</f>
        <v>0</v>
      </c>
    </row>
    <row r="138" spans="1:11" s="2" customFormat="1" ht="11.25">
      <c r="A138" s="5" t="s">
        <v>152</v>
      </c>
      <c r="B138" s="160">
        <f>+Cambrai!G138</f>
        <v>0</v>
      </c>
      <c r="C138" s="113">
        <f>+Caudry!G138</f>
        <v>0</v>
      </c>
      <c r="D138" s="113">
        <f>+Lens!G138</f>
        <v>0</v>
      </c>
      <c r="E138" s="160">
        <f>+Cambrai!E138+Caudry!E138+Lens!E138</f>
        <v>104.73000000000002</v>
      </c>
      <c r="F138" s="135">
        <f>+Cambrai!F138+Caudry!F138+Lens!F138</f>
        <v>0</v>
      </c>
      <c r="G138" s="161">
        <v>0</v>
      </c>
      <c r="H138" s="161">
        <f>+Cambrai!G138+Caudry!G138+Lens!G138</f>
        <v>0</v>
      </c>
      <c r="I138" s="149">
        <f t="shared" si="16"/>
        <v>0</v>
      </c>
      <c r="J138" s="271">
        <f t="shared" si="17"/>
        <v>-1</v>
      </c>
      <c r="K138" s="18">
        <f>+Cambrai!D138+Caudry!D138+Lens!D138</f>
        <v>0</v>
      </c>
    </row>
    <row r="139" spans="1:11" s="2" customFormat="1" ht="11.25">
      <c r="A139" s="5" t="s">
        <v>153</v>
      </c>
      <c r="B139" s="160">
        <f>+Cambrai!G139</f>
        <v>0</v>
      </c>
      <c r="C139" s="113">
        <f>+Caudry!G139</f>
        <v>0</v>
      </c>
      <c r="D139" s="113">
        <f>+Lens!G139</f>
        <v>0</v>
      </c>
      <c r="E139" s="160">
        <f>+Cambrai!E139+Caudry!E139+Lens!E139</f>
        <v>0</v>
      </c>
      <c r="F139" s="135">
        <f>+Cambrai!F139+Caudry!F139+Lens!F139</f>
        <v>0</v>
      </c>
      <c r="G139" s="161">
        <v>0</v>
      </c>
      <c r="H139" s="161">
        <f>+Cambrai!G139+Caudry!G139+Lens!G139</f>
        <v>0</v>
      </c>
      <c r="I139" s="149">
        <f t="shared" si="16"/>
        <v>0</v>
      </c>
      <c r="J139" s="271">
        <f t="shared" si="17"/>
        <v>0</v>
      </c>
      <c r="K139" s="18">
        <f>+Cambrai!D139+Caudry!D139+Lens!D139</f>
        <v>0</v>
      </c>
    </row>
    <row r="140" spans="1:11" s="2" customFormat="1" ht="11.25">
      <c r="A140" s="5" t="s">
        <v>154</v>
      </c>
      <c r="B140" s="160">
        <f>+Cambrai!G140</f>
        <v>0</v>
      </c>
      <c r="C140" s="113">
        <f>+Caudry!G140</f>
        <v>0</v>
      </c>
      <c r="D140" s="113">
        <f>+Lens!G140</f>
        <v>0</v>
      </c>
      <c r="E140" s="160">
        <f>+Cambrai!E140+Caudry!E140+Lens!E140</f>
        <v>0</v>
      </c>
      <c r="F140" s="135">
        <f>+Cambrai!F140+Caudry!F140+Lens!F140</f>
        <v>0</v>
      </c>
      <c r="G140" s="161">
        <v>0</v>
      </c>
      <c r="H140" s="161">
        <f>+Cambrai!G140+Caudry!G140+Lens!G140</f>
        <v>0</v>
      </c>
      <c r="I140" s="149">
        <f t="shared" si="16"/>
        <v>0</v>
      </c>
      <c r="J140" s="271">
        <f t="shared" si="17"/>
        <v>0</v>
      </c>
      <c r="K140" s="18">
        <f>+Cambrai!D140+Caudry!D140+Lens!D140</f>
        <v>0</v>
      </c>
    </row>
    <row r="141" spans="1:11" s="2" customFormat="1" ht="11.25">
      <c r="A141" s="5" t="s">
        <v>155</v>
      </c>
      <c r="B141" s="160">
        <f>+Cambrai!G141</f>
        <v>17409.758084536839</v>
      </c>
      <c r="C141" s="113">
        <f>+Caudry!G141</f>
        <v>26162.206200786128</v>
      </c>
      <c r="D141" s="113">
        <f>+Lens!G141</f>
        <v>15129.509013249472</v>
      </c>
      <c r="E141" s="160">
        <f>+Cambrai!E141+Caudry!E141+Lens!E141</f>
        <v>56004.399999999994</v>
      </c>
      <c r="F141" s="135">
        <f>+Cambrai!F141+Caudry!F141+Lens!F141</f>
        <v>56785.933333333327</v>
      </c>
      <c r="G141" s="161">
        <v>55051.383469679611</v>
      </c>
      <c r="H141" s="161">
        <f>+Cambrai!G141+Caudry!G141+Lens!G141</f>
        <v>58701.47329857244</v>
      </c>
      <c r="I141" s="149">
        <f t="shared" si="16"/>
        <v>2.7016667197167381</v>
      </c>
      <c r="J141" s="271">
        <f t="shared" si="17"/>
        <v>4.8158239327132271E-2</v>
      </c>
      <c r="K141" s="18">
        <f>+Cambrai!D141+Caudry!D141+Lens!D141</f>
        <v>55582.295848580623</v>
      </c>
    </row>
    <row r="142" spans="1:11" s="2" customFormat="1" ht="11.25">
      <c r="A142" s="5" t="s">
        <v>156</v>
      </c>
      <c r="B142" s="160">
        <f>+Cambrai!G142</f>
        <v>2778.5374396887555</v>
      </c>
      <c r="C142" s="113">
        <f>+Caudry!G142</f>
        <v>1925.8339910936591</v>
      </c>
      <c r="D142" s="113">
        <f>+Lens!G142</f>
        <v>1030.8366174606424</v>
      </c>
      <c r="E142" s="160">
        <f>+Cambrai!E142+Caudry!E142+Lens!E142</f>
        <v>5248.9699999999993</v>
      </c>
      <c r="F142" s="135">
        <f>+Cambrai!F142+Caudry!F142+Lens!F142</f>
        <v>5366.920000000001</v>
      </c>
      <c r="G142" s="161">
        <v>5412.6149139122626</v>
      </c>
      <c r="H142" s="161">
        <f>+Cambrai!G142+Caudry!G142+Lens!G142</f>
        <v>5735.2080482430574</v>
      </c>
      <c r="I142" s="149">
        <f t="shared" si="16"/>
        <v>4.0919514412771685</v>
      </c>
      <c r="J142" s="271">
        <f t="shared" si="17"/>
        <v>9.2634945187924131E-2</v>
      </c>
      <c r="K142" s="18">
        <f>+Cambrai!D142+Caudry!D142+Lens!D142</f>
        <v>5043.682987266584</v>
      </c>
    </row>
    <row r="143" spans="1:11" s="2" customFormat="1" ht="11.25">
      <c r="A143" s="5" t="s">
        <v>157</v>
      </c>
      <c r="B143" s="160">
        <f>+Cambrai!G143</f>
        <v>5996.5723470608591</v>
      </c>
      <c r="C143" s="113">
        <f>+Caudry!G143</f>
        <v>4936.3651187174619</v>
      </c>
      <c r="D143" s="113">
        <f>+Lens!G143</f>
        <v>2244.7592385512648</v>
      </c>
      <c r="E143" s="160">
        <f>+Cambrai!E143+Caudry!E143+Lens!E143</f>
        <v>11849.789999999999</v>
      </c>
      <c r="F143" s="135">
        <f>+Cambrai!F143+Caudry!F143+Lens!F143</f>
        <v>12344.773333333333</v>
      </c>
      <c r="G143" s="161">
        <v>12076.219796715835</v>
      </c>
      <c r="H143" s="161">
        <f>+Cambrai!G143+Caudry!G143+Lens!G143</f>
        <v>13177.696704329586</v>
      </c>
      <c r="I143" s="149">
        <f t="shared" si="16"/>
        <v>4.2788690192217151</v>
      </c>
      <c r="J143" s="271">
        <f t="shared" si="17"/>
        <v>0.11206162339835452</v>
      </c>
      <c r="K143" s="18">
        <f>+Cambrai!D143+Caudry!D143+Lens!D143</f>
        <v>11500.238620135748</v>
      </c>
    </row>
    <row r="144" spans="1:11" s="2" customFormat="1" ht="11.25">
      <c r="A144" s="5" t="s">
        <v>326</v>
      </c>
      <c r="B144" s="160">
        <f>+Cambrai!G144</f>
        <v>0</v>
      </c>
      <c r="C144" s="113">
        <f>+Caudry!G144</f>
        <v>0</v>
      </c>
      <c r="D144" s="113">
        <f>+Lens!G144</f>
        <v>0</v>
      </c>
      <c r="E144" s="160">
        <f>+Cambrai!E144+Caudry!E144+Lens!E144</f>
        <v>0</v>
      </c>
      <c r="F144" s="135">
        <f>+Cambrai!F144+Caudry!F144+Lens!F144</f>
        <v>0</v>
      </c>
      <c r="G144" s="161">
        <v>0</v>
      </c>
      <c r="H144" s="161">
        <f>+Cambrai!G144+Caudry!G144+Lens!G144</f>
        <v>0</v>
      </c>
      <c r="I144" s="149">
        <f t="shared" si="16"/>
        <v>0</v>
      </c>
      <c r="J144" s="271">
        <f t="shared" si="17"/>
        <v>0</v>
      </c>
      <c r="K144" s="18">
        <f>+Cambrai!D144+Caudry!D144+Lens!D144</f>
        <v>0</v>
      </c>
    </row>
    <row r="145" spans="1:11" s="2" customFormat="1" ht="11.25">
      <c r="A145" s="5" t="s">
        <v>158</v>
      </c>
      <c r="B145" s="160">
        <f>+Cambrai!G145</f>
        <v>4235.9637292244061</v>
      </c>
      <c r="C145" s="113">
        <f>+Caudry!G145</f>
        <v>3526.6864854798505</v>
      </c>
      <c r="D145" s="113">
        <f>+Lens!G145</f>
        <v>1900.911051544442</v>
      </c>
      <c r="E145" s="160">
        <f>+Cambrai!E145+Caudry!E145+Lens!E145</f>
        <v>9054.99</v>
      </c>
      <c r="F145" s="135">
        <f>+Cambrai!F145+Caudry!F145+Lens!F145</f>
        <v>9114.1066666666666</v>
      </c>
      <c r="G145" s="161">
        <v>9041.1035527541026</v>
      </c>
      <c r="H145" s="161">
        <f>+Cambrai!G145+Caudry!G145+Lens!G145</f>
        <v>9663.5612662486983</v>
      </c>
      <c r="I145" s="149">
        <f t="shared" si="16"/>
        <v>3.7635001083522823</v>
      </c>
      <c r="J145" s="271">
        <f t="shared" si="17"/>
        <v>6.7208386342635221E-2</v>
      </c>
      <c r="K145" s="18">
        <f>+Cambrai!D145+Caudry!D145+Lens!D145</f>
        <v>8825.1293353581405</v>
      </c>
    </row>
    <row r="146" spans="1:11" s="2" customFormat="1" ht="11.25">
      <c r="A146" s="5" t="s">
        <v>159</v>
      </c>
      <c r="B146" s="160">
        <f>+Cambrai!G146</f>
        <v>0</v>
      </c>
      <c r="C146" s="113">
        <f>+Caudry!G146</f>
        <v>0</v>
      </c>
      <c r="D146" s="113">
        <f>+Lens!G146</f>
        <v>459.16039384292401</v>
      </c>
      <c r="E146" s="160">
        <f>+Cambrai!E146+Caudry!E146+Lens!E146</f>
        <v>1738.97</v>
      </c>
      <c r="F146" s="135">
        <f>+Cambrai!F146+Caudry!F146+Lens!F146</f>
        <v>518.86666666666667</v>
      </c>
      <c r="G146" s="161">
        <v>1450.7030048484871</v>
      </c>
      <c r="H146" s="161">
        <f>+Cambrai!G146+Caudry!G146+Lens!G146</f>
        <v>459.16039384292401</v>
      </c>
      <c r="I146" s="149">
        <f t="shared" si="16"/>
        <v>2.7872822293006636</v>
      </c>
      <c r="J146" s="271">
        <f t="shared" si="17"/>
        <v>-0.73595841570416731</v>
      </c>
      <c r="K146" s="18">
        <f>+Cambrai!D146+Caudry!D146+Lens!D146</f>
        <v>1805.0880545720074</v>
      </c>
    </row>
    <row r="147" spans="1:11" s="2" customFormat="1" ht="11.25">
      <c r="A147" s="5" t="s">
        <v>160</v>
      </c>
      <c r="B147" s="160">
        <f>+Cambrai!G147</f>
        <v>678.02840000000003</v>
      </c>
      <c r="C147" s="113">
        <f>+Caudry!G147</f>
        <v>948.69866666666667</v>
      </c>
      <c r="D147" s="113">
        <f>+Lens!G147</f>
        <v>-13.087866666666665</v>
      </c>
      <c r="E147" s="160">
        <f>+Cambrai!E147+Caudry!E147+Lens!E147</f>
        <v>-334.12</v>
      </c>
      <c r="F147" s="135">
        <f>+Cambrai!F147+Caudry!F147+Lens!F147</f>
        <v>1566.6399999999999</v>
      </c>
      <c r="G147" s="161">
        <v>1872.6619198768751</v>
      </c>
      <c r="H147" s="161">
        <f>+Cambrai!G147+Caudry!G147+Lens!G147</f>
        <v>1613.6392000000001</v>
      </c>
      <c r="I147" s="149">
        <f t="shared" si="16"/>
        <v>24.528988681628789</v>
      </c>
      <c r="J147" s="271">
        <f t="shared" si="17"/>
        <v>-5.8295199329582186</v>
      </c>
      <c r="K147" s="18">
        <f>+Cambrai!D147+Caudry!D147+Lens!D147</f>
        <v>1872.6619198768751</v>
      </c>
    </row>
    <row r="148" spans="1:11" s="2" customFormat="1" ht="11.25">
      <c r="A148" s="5" t="s">
        <v>161</v>
      </c>
      <c r="B148" s="160">
        <f>+Cambrai!G148</f>
        <v>0</v>
      </c>
      <c r="C148" s="113">
        <f>+Caudry!G148</f>
        <v>0</v>
      </c>
      <c r="D148" s="113">
        <f>+Lens!G148</f>
        <v>0</v>
      </c>
      <c r="E148" s="160">
        <f>+Cambrai!E148+Caudry!E148+Lens!E148</f>
        <v>118.80000000000001</v>
      </c>
      <c r="F148" s="135">
        <f>+Cambrai!F148+Caudry!F148+Lens!F148</f>
        <v>0</v>
      </c>
      <c r="G148" s="161">
        <v>138.22627224187499</v>
      </c>
      <c r="H148" s="161">
        <f>+Cambrai!G148+Caudry!G148+Lens!G148</f>
        <v>0</v>
      </c>
      <c r="I148" s="149">
        <f t="shared" si="16"/>
        <v>0</v>
      </c>
      <c r="J148" s="271">
        <f t="shared" si="17"/>
        <v>-1</v>
      </c>
      <c r="K148" s="18">
        <f>+Cambrai!D148+Caudry!D148+Lens!D148</f>
        <v>138.22627224187499</v>
      </c>
    </row>
    <row r="149" spans="1:11" s="2" customFormat="1" ht="11.25">
      <c r="A149" s="5" t="s">
        <v>162</v>
      </c>
      <c r="B149" s="160">
        <f>+Cambrai!G149</f>
        <v>0</v>
      </c>
      <c r="C149" s="113">
        <f>+Caudry!G149</f>
        <v>0</v>
      </c>
      <c r="D149" s="113">
        <f>+Lens!G149</f>
        <v>0</v>
      </c>
      <c r="E149" s="160">
        <f>+Cambrai!E149+Caudry!E149+Lens!E149</f>
        <v>133.19999999999999</v>
      </c>
      <c r="F149" s="135">
        <f>+Cambrai!F149+Caudry!F149+Lens!F149</f>
        <v>0</v>
      </c>
      <c r="G149" s="161">
        <v>184.53294600000004</v>
      </c>
      <c r="H149" s="161">
        <f>+Cambrai!G149+Caudry!G149+Lens!G149</f>
        <v>0</v>
      </c>
      <c r="I149" s="149">
        <f t="shared" si="16"/>
        <v>0</v>
      </c>
      <c r="J149" s="271">
        <f t="shared" si="17"/>
        <v>-1</v>
      </c>
      <c r="K149" s="18">
        <f>+Cambrai!D149+Caudry!D149+Lens!D149</f>
        <v>184.53294600000004</v>
      </c>
    </row>
    <row r="150" spans="1:11" s="2" customFormat="1" ht="11.25">
      <c r="A150" s="5" t="s">
        <v>163</v>
      </c>
      <c r="B150" s="160">
        <f>+Cambrai!G150</f>
        <v>603.15426666666667</v>
      </c>
      <c r="C150" s="113">
        <f>+Caudry!G150</f>
        <v>331.70119999999997</v>
      </c>
      <c r="D150" s="113">
        <f>+Lens!G150</f>
        <v>175.78666666666666</v>
      </c>
      <c r="E150" s="160">
        <f>+Cambrai!E150+Caudry!E150+Lens!E150</f>
        <v>905.41000000000008</v>
      </c>
      <c r="F150" s="135">
        <f>+Cambrai!F150+Caudry!F150+Lens!F150</f>
        <v>1078.2933333333333</v>
      </c>
      <c r="G150" s="161">
        <v>1143.6922357757612</v>
      </c>
      <c r="H150" s="161">
        <f>+Cambrai!G150+Caudry!G150+Lens!G150</f>
        <v>1110.6421333333333</v>
      </c>
      <c r="I150" s="149">
        <f t="shared" si="16"/>
        <v>4.1506181735436902</v>
      </c>
      <c r="J150" s="271">
        <f t="shared" si="17"/>
        <v>0.22667314623577514</v>
      </c>
      <c r="K150" s="18">
        <f>+Cambrai!D150+Caudry!D150+Lens!D150</f>
        <v>1143.6922357757612</v>
      </c>
    </row>
    <row r="151" spans="1:11" s="2" customFormat="1" ht="11.25">
      <c r="A151" s="5" t="s">
        <v>58</v>
      </c>
      <c r="B151" s="160">
        <f>+Cambrai!G152</f>
        <v>0</v>
      </c>
      <c r="C151" s="113">
        <f>+Caudry!G152</f>
        <v>0</v>
      </c>
      <c r="D151" s="113">
        <f>+Lens!G152</f>
        <v>0</v>
      </c>
      <c r="E151" s="160">
        <f>+Cambrai!E152+Caudry!E152+Lens!E152</f>
        <v>3967.9525599999993</v>
      </c>
      <c r="F151" s="135">
        <f>+Cambrai!F152+Caudry!F152+Lens!F152</f>
        <v>0</v>
      </c>
      <c r="G151" s="161">
        <v>199.98480000000001</v>
      </c>
      <c r="H151" s="161">
        <f>+Cambrai!G152+Caudry!G152+Lens!G152</f>
        <v>0</v>
      </c>
      <c r="I151" s="149">
        <f t="shared" si="16"/>
        <v>0</v>
      </c>
      <c r="J151" s="271">
        <f t="shared" si="17"/>
        <v>-1</v>
      </c>
      <c r="K151" s="18">
        <f>+Cambrai!D152+Caudry!D152+Lens!D152</f>
        <v>199.98480000000001</v>
      </c>
    </row>
    <row r="152" spans="1:11" s="2" customFormat="1" ht="11.25">
      <c r="A152" s="5"/>
      <c r="B152" s="160"/>
      <c r="C152" s="113"/>
      <c r="D152" s="113"/>
      <c r="E152" s="160"/>
      <c r="F152" s="113"/>
      <c r="G152" s="162"/>
      <c r="H152" s="162"/>
      <c r="I152" s="149"/>
      <c r="J152" s="254"/>
      <c r="K152" s="18"/>
    </row>
    <row r="153" spans="1:11" s="2" customFormat="1" ht="11.25">
      <c r="A153" s="13" t="s">
        <v>164</v>
      </c>
      <c r="B153" s="163">
        <f t="shared" ref="B153:H153" si="18">SUM(B130:B152)</f>
        <v>113912.01426717751</v>
      </c>
      <c r="C153" s="204">
        <f t="shared" si="18"/>
        <v>127923.49166274375</v>
      </c>
      <c r="D153" s="204">
        <f t="shared" si="18"/>
        <v>70720.875114648748</v>
      </c>
      <c r="E153" s="163">
        <f>SUM(E130:E152)</f>
        <v>299562.30255999987</v>
      </c>
      <c r="F153" s="204">
        <f t="shared" si="18"/>
        <v>300205.11999999994</v>
      </c>
      <c r="G153" s="168">
        <v>308921.37699392537</v>
      </c>
      <c r="H153" s="168">
        <f t="shared" si="18"/>
        <v>312556.38104457001</v>
      </c>
      <c r="I153" s="272">
        <f>+IF((D153)=0,,(E153-D153)/D153)</f>
        <v>3.2358398715282597</v>
      </c>
      <c r="J153" s="188">
        <f>+IF((E153)=0,,(H153-E153)/E153)</f>
        <v>4.337688144845106E-2</v>
      </c>
      <c r="K153" s="305">
        <f>SUM(K130:K152)</f>
        <v>306103.27254170569</v>
      </c>
    </row>
    <row r="154" spans="1:11" s="2" customFormat="1" ht="11.25">
      <c r="A154" s="5"/>
      <c r="B154" s="160"/>
      <c r="C154" s="113"/>
      <c r="D154" s="113"/>
      <c r="E154" s="160"/>
      <c r="F154" s="113"/>
      <c r="G154" s="162"/>
      <c r="H154" s="162"/>
      <c r="I154" s="149"/>
      <c r="J154" s="254"/>
      <c r="K154" s="18"/>
    </row>
    <row r="155" spans="1:11" s="2" customFormat="1" ht="11.25">
      <c r="A155" s="5" t="s">
        <v>227</v>
      </c>
      <c r="B155" s="160">
        <f>+Cambrai!G156</f>
        <v>6372.0232993287009</v>
      </c>
      <c r="C155" s="113">
        <f>+Caudry!G156</f>
        <v>9074.3786751600019</v>
      </c>
      <c r="D155" s="113">
        <f>+Lens!G156</f>
        <v>7857.0812073600018</v>
      </c>
      <c r="E155" s="160">
        <f>+Cambrai!E156+Caudry!E156+Lens!E156</f>
        <v>10531.960000000001</v>
      </c>
      <c r="F155" s="135">
        <f>+Cambrai!F156+Caudry!F156+Lens!F156</f>
        <v>10030.533333333333</v>
      </c>
      <c r="G155" s="161">
        <v>23410.602457499997</v>
      </c>
      <c r="H155" s="161">
        <f>+Cambrai!G156+Caudry!G156+Lens!G156</f>
        <v>23303.483181848704</v>
      </c>
      <c r="I155" s="149">
        <f>+IF((D155)=0,,(E155-D155)/D155)</f>
        <v>0.34044179028394755</v>
      </c>
      <c r="J155" s="271">
        <f>+IF((E155)=0,,(H155-E155)/E155)</f>
        <v>1.2126444823042151</v>
      </c>
      <c r="K155" s="18">
        <f>+Cambrai!D156+Caudry!D156+Lens!D156</f>
        <v>21442.259624800001</v>
      </c>
    </row>
    <row r="156" spans="1:11" s="2" customFormat="1" ht="11.25">
      <c r="A156" s="5" t="s">
        <v>165</v>
      </c>
      <c r="B156" s="160">
        <f>+Cambrai!G157</f>
        <v>0</v>
      </c>
      <c r="C156" s="113">
        <f>+Caudry!G157</f>
        <v>0</v>
      </c>
      <c r="D156" s="113">
        <f>+Lens!G157</f>
        <v>0</v>
      </c>
      <c r="E156" s="160">
        <f>+Cambrai!E157+Caudry!E157+Lens!E157</f>
        <v>-14518.18</v>
      </c>
      <c r="F156" s="135">
        <f>+Cambrai!F157+Caudry!F157+Lens!F157</f>
        <v>-5900.7999999999993</v>
      </c>
      <c r="G156" s="161">
        <v>0</v>
      </c>
      <c r="H156" s="161">
        <f>+Cambrai!G157+Caudry!G157+Lens!G157</f>
        <v>0</v>
      </c>
      <c r="I156" s="149">
        <f t="shared" ref="I156:I165" si="19">+IF((D156)=0,,(E156-D156)/D156)</f>
        <v>0</v>
      </c>
      <c r="J156" s="271">
        <f t="shared" ref="J156:J165" si="20">+IF((E156)=0,,(H156-E156)/E156)</f>
        <v>-1</v>
      </c>
      <c r="K156" s="18">
        <f>+Cambrai!D157+Caudry!D157+Lens!D157</f>
        <v>0</v>
      </c>
    </row>
    <row r="157" spans="1:11" s="2" customFormat="1" ht="11.25">
      <c r="A157" s="5" t="s">
        <v>166</v>
      </c>
      <c r="B157" s="160">
        <f>+Cambrai!G158</f>
        <v>0</v>
      </c>
      <c r="C157" s="113">
        <f>+Caudry!G158</f>
        <v>0</v>
      </c>
      <c r="D157" s="113">
        <f>+Lens!G158</f>
        <v>0</v>
      </c>
      <c r="E157" s="160">
        <f>+Cambrai!E158+Caudry!E158+Lens!E158</f>
        <v>13897.85</v>
      </c>
      <c r="F157" s="135">
        <f>+Cambrai!F158+Caudry!F158+Lens!F158</f>
        <v>6314.4400000000005</v>
      </c>
      <c r="G157" s="161">
        <v>0</v>
      </c>
      <c r="H157" s="161">
        <f>+Cambrai!G158+Caudry!G158+Lens!G158</f>
        <v>0</v>
      </c>
      <c r="I157" s="149">
        <f t="shared" si="19"/>
        <v>0</v>
      </c>
      <c r="J157" s="271">
        <f t="shared" si="20"/>
        <v>-1</v>
      </c>
      <c r="K157" s="18">
        <f>+Cambrai!D158+Caudry!D158+Lens!D158</f>
        <v>0</v>
      </c>
    </row>
    <row r="158" spans="1:11" s="2" customFormat="1" ht="11.25">
      <c r="A158" s="5" t="s">
        <v>60</v>
      </c>
      <c r="B158" s="160">
        <f>+Cambrai!G159</f>
        <v>0</v>
      </c>
      <c r="C158" s="113">
        <f>+Caudry!G159</f>
        <v>0</v>
      </c>
      <c r="D158" s="113">
        <f>+Lens!G159</f>
        <v>0</v>
      </c>
      <c r="E158" s="160">
        <f>+Cambrai!E159+Caudry!E159+Lens!E159</f>
        <v>-555.41</v>
      </c>
      <c r="F158" s="135">
        <f>+Cambrai!F159+Caudry!F159+Lens!F159</f>
        <v>326.90666666666669</v>
      </c>
      <c r="G158" s="161">
        <v>0</v>
      </c>
      <c r="H158" s="161">
        <f>+Cambrai!G159+Caudry!G159+Lens!G159</f>
        <v>0</v>
      </c>
      <c r="I158" s="149">
        <f t="shared" si="19"/>
        <v>0</v>
      </c>
      <c r="J158" s="271">
        <f t="shared" si="20"/>
        <v>-1</v>
      </c>
      <c r="K158" s="18">
        <f>+Cambrai!D159+Caudry!D159+Lens!D159</f>
        <v>0</v>
      </c>
    </row>
    <row r="159" spans="1:11" s="2" customFormat="1" ht="11.25">
      <c r="A159" s="5" t="s">
        <v>199</v>
      </c>
      <c r="B159" s="160">
        <f>+Cambrai!G160</f>
        <v>0</v>
      </c>
      <c r="C159" s="113">
        <f>+Caudry!G160</f>
        <v>0</v>
      </c>
      <c r="D159" s="113">
        <f>+Lens!G160</f>
        <v>0</v>
      </c>
      <c r="E159" s="160">
        <f>+Cambrai!E160+Caudry!E160+Lens!E160</f>
        <v>-4.669999999999999</v>
      </c>
      <c r="F159" s="135">
        <f>+Cambrai!F160+Caudry!F160+Lens!F160</f>
        <v>-3.9066666666666654</v>
      </c>
      <c r="G159" s="161">
        <v>0</v>
      </c>
      <c r="H159" s="161">
        <f>+Cambrai!G160+Caudry!G160+Lens!G160</f>
        <v>0</v>
      </c>
      <c r="I159" s="149">
        <f t="shared" si="19"/>
        <v>0</v>
      </c>
      <c r="J159" s="271">
        <f t="shared" si="20"/>
        <v>-1</v>
      </c>
      <c r="K159" s="18">
        <f>+Cambrai!D160+Caudry!D160+Lens!D160</f>
        <v>0</v>
      </c>
    </row>
    <row r="160" spans="1:11" s="2" customFormat="1" ht="11.25">
      <c r="A160" s="5" t="s">
        <v>41</v>
      </c>
      <c r="B160" s="160">
        <f>+Cambrai!G161</f>
        <v>256.92320000000001</v>
      </c>
      <c r="C160" s="113">
        <f>+Caudry!G161</f>
        <v>58.751200000000011</v>
      </c>
      <c r="D160" s="113">
        <f>+Lens!G161</f>
        <v>115.26386666666669</v>
      </c>
      <c r="E160" s="160">
        <f>+Cambrai!E161+Caudry!E161+Lens!E161</f>
        <v>421.46999999999997</v>
      </c>
      <c r="F160" s="135">
        <f>+Cambrai!F161+Caudry!F161+Lens!F161</f>
        <v>418.38666666666671</v>
      </c>
      <c r="G160" s="161">
        <v>387.42414362019616</v>
      </c>
      <c r="H160" s="161">
        <f>+Cambrai!G161+Caudry!G161+Lens!G161</f>
        <v>430.93826666666666</v>
      </c>
      <c r="I160" s="149">
        <f t="shared" si="19"/>
        <v>2.6565665562726211</v>
      </c>
      <c r="J160" s="271">
        <f t="shared" si="20"/>
        <v>2.2464865035866595E-2</v>
      </c>
      <c r="K160" s="18">
        <f>+Cambrai!D161+Caudry!D161+Lens!D161</f>
        <v>387.42414362019616</v>
      </c>
    </row>
    <row r="161" spans="1:11" s="2" customFormat="1" ht="11.25">
      <c r="A161" s="5" t="s">
        <v>355</v>
      </c>
      <c r="B161" s="160">
        <f>+Cambrai!G162</f>
        <v>4.9302666666666664</v>
      </c>
      <c r="C161" s="113">
        <f>+Caudry!G162</f>
        <v>14.790799999999999</v>
      </c>
      <c r="D161" s="113">
        <f>+Lens!G162</f>
        <v>0</v>
      </c>
      <c r="E161" s="160">
        <f>+Cambrai!E162+Caudry!E162+Lens!E162</f>
        <v>19.14</v>
      </c>
      <c r="F161" s="135">
        <f>+Cambrai!F162+Caudry!F162+Lens!F162</f>
        <v>19.146666666666665</v>
      </c>
      <c r="G161" s="161">
        <v>25.058217581977779</v>
      </c>
      <c r="H161" s="161">
        <f>+Cambrai!G162+Caudry!G162+Lens!G162</f>
        <v>19.721066666666665</v>
      </c>
      <c r="I161" s="149">
        <f t="shared" si="19"/>
        <v>0</v>
      </c>
      <c r="J161" s="271">
        <f t="shared" si="20"/>
        <v>3.0358760013932333E-2</v>
      </c>
      <c r="K161" s="18">
        <f>+Cambrai!D162+Caudry!D162+Lens!D162</f>
        <v>25.058217581977779</v>
      </c>
    </row>
    <row r="162" spans="1:11" s="2" customFormat="1" ht="11.25">
      <c r="A162" s="5" t="s">
        <v>200</v>
      </c>
      <c r="B162" s="160">
        <f>+Cambrai!G163</f>
        <v>583.37826666666672</v>
      </c>
      <c r="C162" s="113">
        <f>+Caudry!G163</f>
        <v>77.510933333333327</v>
      </c>
      <c r="D162" s="113">
        <f>+Lens!G163</f>
        <v>0</v>
      </c>
      <c r="E162" s="160">
        <f>+Cambrai!E163+Caudry!E163+Lens!E163</f>
        <v>604.42000000000007</v>
      </c>
      <c r="F162" s="135">
        <f>+Cambrai!F163+Caudry!F163+Lens!F163</f>
        <v>641.64</v>
      </c>
      <c r="G162" s="161">
        <v>1170.9704347254049</v>
      </c>
      <c r="H162" s="161">
        <f>+Cambrai!G163+Caudry!G163+Lens!G163</f>
        <v>660.88920000000007</v>
      </c>
      <c r="I162" s="149">
        <f t="shared" si="19"/>
        <v>0</v>
      </c>
      <c r="J162" s="271">
        <f t="shared" si="20"/>
        <v>9.3427087124846944E-2</v>
      </c>
      <c r="K162" s="18">
        <f>+Cambrai!D163+Caudry!D163+Lens!D163</f>
        <v>1170.9704347254049</v>
      </c>
    </row>
    <row r="163" spans="1:11" s="2" customFormat="1" ht="11.25">
      <c r="A163" s="5" t="s">
        <v>271</v>
      </c>
      <c r="B163" s="160">
        <f>+Cambrai!G164</f>
        <v>-12.36</v>
      </c>
      <c r="C163" s="113">
        <f>+Caudry!G164</f>
        <v>-12.36</v>
      </c>
      <c r="D163" s="113">
        <f>+Lens!G164</f>
        <v>0</v>
      </c>
      <c r="E163" s="160">
        <f>+Cambrai!E164+Caudry!E164+Lens!E164</f>
        <v>-367.29</v>
      </c>
      <c r="F163" s="135">
        <f>+Cambrai!F164+Caudry!F164+Lens!F164</f>
        <v>-24</v>
      </c>
      <c r="G163" s="161">
        <v>-428.91137127759379</v>
      </c>
      <c r="H163" s="161">
        <f>+Cambrai!G164+Caudry!G164+Lens!G164</f>
        <v>-24.72</v>
      </c>
      <c r="I163" s="149">
        <f t="shared" si="19"/>
        <v>0</v>
      </c>
      <c r="J163" s="271">
        <f t="shared" si="20"/>
        <v>-0.93269623458302708</v>
      </c>
      <c r="K163" s="18">
        <f>+Cambrai!D164+Caudry!D164+Lens!D164</f>
        <v>-428.91137127759379</v>
      </c>
    </row>
    <row r="164" spans="1:11" s="2" customFormat="1" ht="11.25">
      <c r="A164" s="5" t="s">
        <v>242</v>
      </c>
      <c r="B164" s="160">
        <f>+Cambrai!G165</f>
        <v>74.16</v>
      </c>
      <c r="C164" s="113">
        <f>+Caudry!G165</f>
        <v>114.81066666666666</v>
      </c>
      <c r="D164" s="113">
        <f>+Lens!G165</f>
        <v>12.36</v>
      </c>
      <c r="E164" s="160">
        <f>+Cambrai!E165+Caudry!E165+Lens!E165</f>
        <v>263.53999999999996</v>
      </c>
      <c r="F164" s="135">
        <f>+Cambrai!F165+Caudry!F165+Lens!F165</f>
        <v>195.46666666666664</v>
      </c>
      <c r="G164" s="161">
        <v>340.08751054413852</v>
      </c>
      <c r="H164" s="161">
        <f>+Cambrai!G165+Caudry!G165+Lens!G165</f>
        <v>201.33066666666667</v>
      </c>
      <c r="I164" s="149">
        <f t="shared" si="19"/>
        <v>20.322006472491907</v>
      </c>
      <c r="J164" s="271">
        <f t="shared" si="20"/>
        <v>-0.23605271811995637</v>
      </c>
      <c r="K164" s="18">
        <f>+Cambrai!D165+Caudry!D165+Lens!D165</f>
        <v>340.08751054413852</v>
      </c>
    </row>
    <row r="165" spans="1:11" s="2" customFormat="1" ht="11.25">
      <c r="A165" s="5" t="s">
        <v>201</v>
      </c>
      <c r="B165" s="160">
        <f>+Cambrai!G166</f>
        <v>0</v>
      </c>
      <c r="C165" s="113">
        <f>+Caudry!G166</f>
        <v>0</v>
      </c>
      <c r="D165" s="113">
        <f>+Lens!G166</f>
        <v>0</v>
      </c>
      <c r="E165" s="160">
        <f>+Cambrai!E166+Caudry!E166+Lens!E166</f>
        <v>0</v>
      </c>
      <c r="F165" s="135">
        <f>+Cambrai!F166+Caudry!F166+Lens!F166</f>
        <v>0</v>
      </c>
      <c r="G165" s="161">
        <v>0</v>
      </c>
      <c r="H165" s="161">
        <f>+Cambrai!G166+Caudry!G166+Lens!G166</f>
        <v>0</v>
      </c>
      <c r="I165" s="149">
        <f t="shared" si="19"/>
        <v>0</v>
      </c>
      <c r="J165" s="271">
        <f t="shared" si="20"/>
        <v>0</v>
      </c>
      <c r="K165" s="18">
        <f>+Cambrai!D166+Caudry!D166+Lens!D166</f>
        <v>0</v>
      </c>
    </row>
    <row r="166" spans="1:11" s="2" customFormat="1" ht="11.25">
      <c r="A166" s="5"/>
      <c r="B166" s="160"/>
      <c r="C166" s="113"/>
      <c r="D166" s="113"/>
      <c r="E166" s="160"/>
      <c r="F166" s="113"/>
      <c r="G166" s="162"/>
      <c r="H166" s="162"/>
      <c r="I166" s="149"/>
      <c r="J166" s="254"/>
      <c r="K166" s="18"/>
    </row>
    <row r="167" spans="1:11" s="2" customFormat="1" ht="11.25">
      <c r="A167" s="13" t="s">
        <v>74</v>
      </c>
      <c r="B167" s="163">
        <f t="shared" ref="B167:H167" si="21">SUM(B154:B166)</f>
        <v>7279.0550326620341</v>
      </c>
      <c r="C167" s="204">
        <f t="shared" si="21"/>
        <v>9327.8822751600019</v>
      </c>
      <c r="D167" s="204">
        <f t="shared" si="21"/>
        <v>7984.7050740266686</v>
      </c>
      <c r="E167" s="163">
        <f>SUM(E154:E166)</f>
        <v>10292.829999999998</v>
      </c>
      <c r="F167" s="204">
        <f t="shared" si="21"/>
        <v>12017.813333333335</v>
      </c>
      <c r="G167" s="168">
        <v>24905.231392694117</v>
      </c>
      <c r="H167" s="168">
        <f t="shared" si="21"/>
        <v>24591.642381848702</v>
      </c>
      <c r="I167" s="272">
        <f>+IF((D167)=0,,(E167-D167)/D167)</f>
        <v>0.28906827548100628</v>
      </c>
      <c r="J167" s="188">
        <f>+IF((E167)=0,,(H167-E167)/E167)</f>
        <v>1.3892012577540584</v>
      </c>
      <c r="K167" s="305">
        <f>SUM(K154:K166)</f>
        <v>22936.88855999412</v>
      </c>
    </row>
    <row r="168" spans="1:11" s="2" customFormat="1" ht="11.25">
      <c r="A168" s="5"/>
      <c r="B168" s="160"/>
      <c r="C168" s="113"/>
      <c r="D168" s="113"/>
      <c r="E168" s="160"/>
      <c r="F168" s="113"/>
      <c r="G168" s="162"/>
      <c r="H168" s="162"/>
      <c r="I168" s="149"/>
      <c r="J168" s="271"/>
      <c r="K168" s="18"/>
    </row>
    <row r="169" spans="1:11" s="2" customFormat="1" ht="11.25">
      <c r="A169" s="5" t="s">
        <v>167</v>
      </c>
      <c r="B169" s="160">
        <f>+Cambrai!G170</f>
        <v>0</v>
      </c>
      <c r="C169" s="113">
        <f>+Caudry!G170</f>
        <v>0</v>
      </c>
      <c r="D169" s="113">
        <f>+Lens!G170</f>
        <v>0</v>
      </c>
      <c r="E169" s="160">
        <f>+Cambrai!E170+Caudry!E170+Lens!E170</f>
        <v>0</v>
      </c>
      <c r="F169" s="135">
        <f>+Cambrai!F170+Caudry!F170+Lens!F170</f>
        <v>0</v>
      </c>
      <c r="G169" s="161">
        <v>0</v>
      </c>
      <c r="H169" s="161">
        <f>+Cambrai!G170+Caudry!G170+Lens!G170</f>
        <v>0</v>
      </c>
      <c r="I169" s="149">
        <f>+IF((D169)=0,,(E169-D169)/D169)</f>
        <v>0</v>
      </c>
      <c r="J169" s="271">
        <f>+IF((E169)=0,,(H169-E169)/E169)</f>
        <v>0</v>
      </c>
      <c r="K169" s="18">
        <f>+Cambrai!D170+Caudry!D170+Lens!D170</f>
        <v>0</v>
      </c>
    </row>
    <row r="170" spans="1:11" s="2" customFormat="1" ht="11.25">
      <c r="A170" s="5" t="s">
        <v>168</v>
      </c>
      <c r="B170" s="160">
        <f>+Cambrai!G171</f>
        <v>0</v>
      </c>
      <c r="C170" s="113">
        <f>+Caudry!G171</f>
        <v>0</v>
      </c>
      <c r="D170" s="113">
        <f>+Lens!G171</f>
        <v>0</v>
      </c>
      <c r="E170" s="160">
        <f>+Cambrai!E171+Caudry!E171+Lens!E171</f>
        <v>0</v>
      </c>
      <c r="F170" s="135">
        <f>+Cambrai!F171+Caudry!F171+Lens!F171</f>
        <v>0</v>
      </c>
      <c r="G170" s="161">
        <v>0</v>
      </c>
      <c r="H170" s="161">
        <f>+Cambrai!G171+Caudry!G171+Lens!G171</f>
        <v>0</v>
      </c>
      <c r="I170" s="149">
        <f t="shared" ref="I170:I182" si="22">+IF((D170)=0,,(E170-D170)/D170)</f>
        <v>0</v>
      </c>
      <c r="J170" s="271">
        <f t="shared" ref="J170:J182" si="23">+IF((E170)=0,,(H170-E170)/E170)</f>
        <v>0</v>
      </c>
      <c r="K170" s="18">
        <f>+Cambrai!D171+Caudry!D171+Lens!D171</f>
        <v>0</v>
      </c>
    </row>
    <row r="171" spans="1:11" s="2" customFormat="1" ht="11.25">
      <c r="A171" s="5" t="s">
        <v>169</v>
      </c>
      <c r="B171" s="160">
        <f>+Cambrai!G172</f>
        <v>0</v>
      </c>
      <c r="C171" s="113">
        <f>+Caudry!G172</f>
        <v>0</v>
      </c>
      <c r="D171" s="113">
        <f>+Lens!G172</f>
        <v>0</v>
      </c>
      <c r="E171" s="160">
        <f>+Cambrai!E172+Caudry!E172+Lens!E172</f>
        <v>0</v>
      </c>
      <c r="F171" s="135">
        <f>+Cambrai!F172+Caudry!F172+Lens!F172</f>
        <v>0</v>
      </c>
      <c r="G171" s="161">
        <v>0</v>
      </c>
      <c r="H171" s="161">
        <f>+Cambrai!G172+Caudry!G172+Lens!G172</f>
        <v>0</v>
      </c>
      <c r="I171" s="149">
        <f t="shared" si="22"/>
        <v>0</v>
      </c>
      <c r="J171" s="271">
        <f t="shared" si="23"/>
        <v>0</v>
      </c>
      <c r="K171" s="18">
        <f>+Cambrai!D172+Caudry!D172+Lens!D172</f>
        <v>0</v>
      </c>
    </row>
    <row r="172" spans="1:11" s="2" customFormat="1" ht="11.25">
      <c r="A172" s="5" t="s">
        <v>170</v>
      </c>
      <c r="B172" s="160">
        <f>+Cambrai!G173</f>
        <v>221.83453333333335</v>
      </c>
      <c r="C172" s="113">
        <f>+Caudry!G173</f>
        <v>0</v>
      </c>
      <c r="D172" s="113">
        <f>+Lens!G173</f>
        <v>0</v>
      </c>
      <c r="E172" s="160">
        <f>+Cambrai!E173+Caudry!E173+Lens!E173</f>
        <v>6797.91</v>
      </c>
      <c r="F172" s="135">
        <f>+Cambrai!F173+Caudry!F173+Lens!F173</f>
        <v>215.37333333333333</v>
      </c>
      <c r="G172" s="161">
        <v>8487.4188750000012</v>
      </c>
      <c r="H172" s="161">
        <f>+Cambrai!G173+Caudry!G173+Lens!G173</f>
        <v>221.83453333333335</v>
      </c>
      <c r="I172" s="149">
        <f t="shared" si="22"/>
        <v>0</v>
      </c>
      <c r="J172" s="271">
        <f t="shared" si="23"/>
        <v>-0.96736724473649494</v>
      </c>
      <c r="K172" s="18">
        <f>+Cambrai!D173+Caudry!D173+Lens!D173</f>
        <v>1631.847025</v>
      </c>
    </row>
    <row r="173" spans="1:11" s="2" customFormat="1" ht="11.25">
      <c r="A173" s="5" t="s">
        <v>171</v>
      </c>
      <c r="B173" s="160">
        <f>+Cambrai!G174</f>
        <v>0</v>
      </c>
      <c r="C173" s="113">
        <f>+Caudry!G174</f>
        <v>0</v>
      </c>
      <c r="D173" s="113">
        <f>+Lens!G174</f>
        <v>0</v>
      </c>
      <c r="E173" s="160">
        <f>+Cambrai!E174+Caudry!E174+Lens!E174</f>
        <v>0</v>
      </c>
      <c r="F173" s="135">
        <f>+Cambrai!F174+Caudry!F174+Lens!F174</f>
        <v>0</v>
      </c>
      <c r="G173" s="161">
        <v>0</v>
      </c>
      <c r="H173" s="161">
        <f>+Cambrai!G174+Caudry!G174+Lens!G174</f>
        <v>0</v>
      </c>
      <c r="I173" s="149">
        <f t="shared" si="22"/>
        <v>0</v>
      </c>
      <c r="J173" s="271">
        <f t="shared" si="23"/>
        <v>0</v>
      </c>
      <c r="K173" s="18">
        <f>+Cambrai!D174+Caudry!D174+Lens!D174</f>
        <v>0</v>
      </c>
    </row>
    <row r="174" spans="1:11" s="2" customFormat="1" ht="11.25">
      <c r="A174" s="5" t="s">
        <v>308</v>
      </c>
      <c r="B174" s="160">
        <f>+Cambrai!G175</f>
        <v>0</v>
      </c>
      <c r="C174" s="113">
        <f>+Caudry!G175</f>
        <v>0</v>
      </c>
      <c r="D174" s="113">
        <f>+Lens!G175</f>
        <v>0</v>
      </c>
      <c r="E174" s="160">
        <f>+Cambrai!E175+Caudry!E175+Lens!E175</f>
        <v>0</v>
      </c>
      <c r="F174" s="135">
        <f>+Cambrai!F175+Caudry!F175+Lens!F175</f>
        <v>0</v>
      </c>
      <c r="G174" s="161">
        <v>0</v>
      </c>
      <c r="H174" s="161">
        <f>+Cambrai!G175+Caudry!G175+Lens!G175</f>
        <v>0</v>
      </c>
      <c r="I174" s="149">
        <f t="shared" si="22"/>
        <v>0</v>
      </c>
      <c r="J174" s="271">
        <f t="shared" si="23"/>
        <v>0</v>
      </c>
      <c r="K174" s="18">
        <f>+Cambrai!D175+Caudry!D175+Lens!D175</f>
        <v>0</v>
      </c>
    </row>
    <row r="175" spans="1:11" s="2" customFormat="1" ht="11.25">
      <c r="A175" s="5" t="s">
        <v>172</v>
      </c>
      <c r="B175" s="160">
        <f>+Cambrai!G176</f>
        <v>0</v>
      </c>
      <c r="C175" s="113">
        <f>+Caudry!G176</f>
        <v>0</v>
      </c>
      <c r="D175" s="113">
        <f>+Lens!G176</f>
        <v>0</v>
      </c>
      <c r="E175" s="160">
        <f>+Cambrai!E176+Caudry!E176+Lens!E176</f>
        <v>0</v>
      </c>
      <c r="F175" s="135">
        <f>+Cambrai!F176+Caudry!F176+Lens!F176</f>
        <v>0</v>
      </c>
      <c r="G175" s="161">
        <v>0</v>
      </c>
      <c r="H175" s="161">
        <f>+Cambrai!G176+Caudry!G176+Lens!G176</f>
        <v>0</v>
      </c>
      <c r="I175" s="149">
        <f t="shared" si="22"/>
        <v>0</v>
      </c>
      <c r="J175" s="271">
        <f t="shared" si="23"/>
        <v>0</v>
      </c>
      <c r="K175" s="18">
        <f>+Cambrai!D176+Caudry!D176+Lens!D176</f>
        <v>0</v>
      </c>
    </row>
    <row r="176" spans="1:11" s="2" customFormat="1" ht="11.25">
      <c r="A176" s="5" t="s">
        <v>173</v>
      </c>
      <c r="B176" s="160">
        <f>+Cambrai!G177</f>
        <v>0</v>
      </c>
      <c r="C176" s="113">
        <f>+Caudry!G177</f>
        <v>0</v>
      </c>
      <c r="D176" s="113">
        <f>+Lens!G177</f>
        <v>0</v>
      </c>
      <c r="E176" s="160">
        <f>+Cambrai!E177+Caudry!E177+Lens!E177</f>
        <v>0</v>
      </c>
      <c r="F176" s="135">
        <f>+Cambrai!F177+Caudry!F177+Lens!F177</f>
        <v>0</v>
      </c>
      <c r="G176" s="161">
        <v>0</v>
      </c>
      <c r="H176" s="161">
        <f>+Cambrai!G177+Caudry!G177+Lens!G177</f>
        <v>0</v>
      </c>
      <c r="I176" s="149">
        <f t="shared" si="22"/>
        <v>0</v>
      </c>
      <c r="J176" s="271">
        <f t="shared" si="23"/>
        <v>0</v>
      </c>
      <c r="K176" s="18">
        <f>+Cambrai!D177+Caudry!D177+Lens!D177</f>
        <v>0</v>
      </c>
    </row>
    <row r="177" spans="1:11" s="2" customFormat="1" ht="11.25">
      <c r="A177" s="5" t="s">
        <v>174</v>
      </c>
      <c r="B177" s="160">
        <f>+Cambrai!G178</f>
        <v>0</v>
      </c>
      <c r="C177" s="113">
        <f>+Caudry!G178</f>
        <v>0</v>
      </c>
      <c r="D177" s="113">
        <f>+Lens!G178</f>
        <v>0</v>
      </c>
      <c r="E177" s="160">
        <f>+Cambrai!E178+Caudry!E178+Lens!E178</f>
        <v>0</v>
      </c>
      <c r="F177" s="135">
        <f>+Cambrai!F178+Caudry!F178+Lens!F178</f>
        <v>0</v>
      </c>
      <c r="G177" s="161">
        <v>0</v>
      </c>
      <c r="H177" s="161">
        <f>+Cambrai!G178+Caudry!G178+Lens!G178</f>
        <v>0</v>
      </c>
      <c r="I177" s="149">
        <f t="shared" si="22"/>
        <v>0</v>
      </c>
      <c r="J177" s="271">
        <f t="shared" si="23"/>
        <v>0</v>
      </c>
      <c r="K177" s="18">
        <f>+Cambrai!D178+Caudry!D178+Lens!D178</f>
        <v>0</v>
      </c>
    </row>
    <row r="178" spans="1:11" s="2" customFormat="1" ht="11.25">
      <c r="A178" s="5" t="s">
        <v>175</v>
      </c>
      <c r="B178" s="160">
        <f>+Cambrai!G179</f>
        <v>4155.21</v>
      </c>
      <c r="C178" s="113">
        <f>+Caudry!G179</f>
        <v>5397.47</v>
      </c>
      <c r="D178" s="113">
        <f>+Lens!G179</f>
        <v>3021.06</v>
      </c>
      <c r="E178" s="160">
        <f>+Cambrai!E179+Caudry!E179+Lens!E179</f>
        <v>14001.25</v>
      </c>
      <c r="F178" s="135">
        <f>+Cambrai!F179+Caudry!F179+Lens!F179</f>
        <v>9961.7199999999993</v>
      </c>
      <c r="G178" s="161">
        <v>11855.300000000001</v>
      </c>
      <c r="H178" s="161">
        <f>+Cambrai!G179+Caudry!G179+Lens!G179</f>
        <v>12573.74</v>
      </c>
      <c r="I178" s="149">
        <f t="shared" si="22"/>
        <v>3.6345488007520541</v>
      </c>
      <c r="J178" s="271">
        <f t="shared" si="23"/>
        <v>-0.10195589679492904</v>
      </c>
      <c r="K178" s="18">
        <f>+Cambrai!D179+Caudry!D179+Lens!D179</f>
        <v>11200</v>
      </c>
    </row>
    <row r="179" spans="1:11" s="2" customFormat="1" ht="11.25">
      <c r="A179" s="5" t="s">
        <v>78</v>
      </c>
      <c r="B179" s="160">
        <f>+Cambrai!G180</f>
        <v>0</v>
      </c>
      <c r="C179" s="113">
        <f>+Caudry!G180</f>
        <v>0</v>
      </c>
      <c r="D179" s="113">
        <f>+Lens!G180</f>
        <v>0</v>
      </c>
      <c r="E179" s="160">
        <f>+Cambrai!E180+Caudry!E180+Lens!E180</f>
        <v>659.75</v>
      </c>
      <c r="F179" s="135">
        <f>+Cambrai!F180+Caudry!F180+Lens!F180</f>
        <v>0</v>
      </c>
      <c r="G179" s="161">
        <v>0</v>
      </c>
      <c r="H179" s="161">
        <f>+Cambrai!G180+Caudry!G180+Lens!G180</f>
        <v>0</v>
      </c>
      <c r="I179" s="149">
        <f t="shared" si="22"/>
        <v>0</v>
      </c>
      <c r="J179" s="271">
        <f t="shared" si="23"/>
        <v>-1</v>
      </c>
      <c r="K179" s="18">
        <f>+Cambrai!D180+Caudry!D180+Lens!D180</f>
        <v>0</v>
      </c>
    </row>
    <row r="180" spans="1:11" s="2" customFormat="1" ht="11.25">
      <c r="A180" s="5" t="s">
        <v>327</v>
      </c>
      <c r="B180" s="160">
        <f>+Cambrai!G181</f>
        <v>0</v>
      </c>
      <c r="C180" s="113">
        <f>+Caudry!G181</f>
        <v>0</v>
      </c>
      <c r="D180" s="113">
        <f>+Lens!G181</f>
        <v>0</v>
      </c>
      <c r="E180" s="160">
        <f>+Cambrai!E181+Caudry!E181+Lens!E181</f>
        <v>0</v>
      </c>
      <c r="F180" s="135">
        <f>+Cambrai!F181+Caudry!F181+Lens!F181</f>
        <v>0</v>
      </c>
      <c r="G180" s="161">
        <v>0</v>
      </c>
      <c r="H180" s="161">
        <f>+Cambrai!G181+Caudry!G181+Lens!G181</f>
        <v>0</v>
      </c>
      <c r="I180" s="149">
        <f t="shared" si="22"/>
        <v>0</v>
      </c>
      <c r="J180" s="271">
        <f t="shared" si="23"/>
        <v>0</v>
      </c>
      <c r="K180" s="18">
        <f>+Cambrai!D181+Caudry!D181+Lens!D181</f>
        <v>0</v>
      </c>
    </row>
    <row r="181" spans="1:11" s="2" customFormat="1" ht="11.25">
      <c r="A181" s="5" t="s">
        <v>82</v>
      </c>
      <c r="B181" s="160">
        <f>+Cambrai!G182</f>
        <v>0</v>
      </c>
      <c r="C181" s="113">
        <f>+Caudry!G182</f>
        <v>0</v>
      </c>
      <c r="D181" s="113">
        <f>+Lens!G182</f>
        <v>0</v>
      </c>
      <c r="E181" s="160">
        <f>+Cambrai!E182+Caudry!E182+Lens!E182</f>
        <v>0</v>
      </c>
      <c r="F181" s="135">
        <f>+Cambrai!F182+Caudry!F182+Lens!F182</f>
        <v>0</v>
      </c>
      <c r="G181" s="161">
        <v>0</v>
      </c>
      <c r="H181" s="161">
        <f>+Cambrai!G182+Caudry!G182+Lens!G182</f>
        <v>0</v>
      </c>
      <c r="I181" s="149">
        <f t="shared" si="22"/>
        <v>0</v>
      </c>
      <c r="J181" s="271">
        <f t="shared" si="23"/>
        <v>0</v>
      </c>
      <c r="K181" s="18">
        <f>+Cambrai!D182+Caudry!D182+Lens!D182</f>
        <v>0</v>
      </c>
    </row>
    <row r="182" spans="1:11" s="2" customFormat="1" ht="11.25">
      <c r="A182" s="5" t="s">
        <v>331</v>
      </c>
      <c r="B182" s="160">
        <f>+Cambrai!G183</f>
        <v>0</v>
      </c>
      <c r="C182" s="113">
        <f>+Caudry!G183</f>
        <v>0</v>
      </c>
      <c r="D182" s="113">
        <f>+Lens!G183</f>
        <v>0</v>
      </c>
      <c r="E182" s="160">
        <f>+Cambrai!E183+Caudry!E183+Lens!E183</f>
        <v>29000</v>
      </c>
      <c r="F182" s="135">
        <f>+Cambrai!F183+Caudry!F183+Lens!F183</f>
        <v>0</v>
      </c>
      <c r="G182" s="161">
        <v>0</v>
      </c>
      <c r="H182" s="161">
        <f>+Cambrai!G183+Caudry!G183+Lens!G183</f>
        <v>0</v>
      </c>
      <c r="I182" s="149">
        <f t="shared" si="22"/>
        <v>0</v>
      </c>
      <c r="J182" s="271">
        <f t="shared" si="23"/>
        <v>-1</v>
      </c>
      <c r="K182" s="18">
        <f>+Cambrai!D183+Caudry!D183+Lens!D183</f>
        <v>0</v>
      </c>
    </row>
    <row r="183" spans="1:11" s="2" customFormat="1" ht="11.25">
      <c r="A183" s="5"/>
      <c r="B183" s="160"/>
      <c r="C183" s="113"/>
      <c r="D183" s="113"/>
      <c r="E183" s="160"/>
      <c r="F183" s="113"/>
      <c r="G183" s="162"/>
      <c r="H183" s="162"/>
      <c r="I183" s="149"/>
      <c r="J183" s="254"/>
      <c r="K183" s="18"/>
    </row>
    <row r="184" spans="1:11" s="2" customFormat="1" ht="11.25">
      <c r="A184" s="13" t="s">
        <v>178</v>
      </c>
      <c r="B184" s="163">
        <f t="shared" ref="B184:H184" si="24">SUM(B168:B183)</f>
        <v>4377.0445333333337</v>
      </c>
      <c r="C184" s="204">
        <f t="shared" si="24"/>
        <v>5397.47</v>
      </c>
      <c r="D184" s="204">
        <f t="shared" si="24"/>
        <v>3021.06</v>
      </c>
      <c r="E184" s="280">
        <f>SUM(E168:E183)</f>
        <v>50458.91</v>
      </c>
      <c r="F184" s="136">
        <f t="shared" si="24"/>
        <v>10177.093333333332</v>
      </c>
      <c r="G184" s="118">
        <v>20342.718875000002</v>
      </c>
      <c r="H184" s="118">
        <f t="shared" si="24"/>
        <v>12795.574533333333</v>
      </c>
      <c r="I184" s="272">
        <f>+IF((D184)=0,,(E184-D184)/D184)</f>
        <v>15.702385917525639</v>
      </c>
      <c r="J184" s="188">
        <f>+IF((E184)=0,,(H184-E184)/E184)</f>
        <v>-0.74641595442047137</v>
      </c>
      <c r="K184" s="312">
        <f>SUM(K168:K183)</f>
        <v>12831.847024999999</v>
      </c>
    </row>
    <row r="185" spans="1:11" s="2" customFormat="1" ht="11.25">
      <c r="A185" s="5"/>
      <c r="B185" s="160"/>
      <c r="C185" s="113"/>
      <c r="D185" s="113"/>
      <c r="E185" s="160"/>
      <c r="F185" s="113"/>
      <c r="G185" s="162"/>
      <c r="H185" s="162"/>
      <c r="I185" s="149"/>
      <c r="J185" s="271"/>
      <c r="K185" s="18"/>
    </row>
    <row r="186" spans="1:11" s="2" customFormat="1" ht="11.25">
      <c r="A186" s="5" t="s">
        <v>179</v>
      </c>
      <c r="B186" s="160">
        <f>+Cambrai!G187</f>
        <v>0</v>
      </c>
      <c r="C186" s="113">
        <f>+Caudry!G187</f>
        <v>0</v>
      </c>
      <c r="D186" s="113">
        <f>+Lens!G187</f>
        <v>0</v>
      </c>
      <c r="E186" s="160">
        <f>+Cambrai!E187+Caudry!E187+Lens!E187</f>
        <v>0</v>
      </c>
      <c r="F186" s="135">
        <f>+Cambrai!F187+Caudry!F187+Lens!F187</f>
        <v>2363.3333333333335</v>
      </c>
      <c r="G186" s="161">
        <v>0</v>
      </c>
      <c r="H186" s="161">
        <f>+Cambrai!G187+Caudry!G187+Lens!G187</f>
        <v>0</v>
      </c>
      <c r="I186" s="149">
        <f>+IF((D186)=0,,(E186-D186)/D186)</f>
        <v>0</v>
      </c>
      <c r="J186" s="271">
        <f>+IF((E186)=0,,(H186-E186)/E186)</f>
        <v>0</v>
      </c>
      <c r="K186" s="18">
        <f>+Cambrai!D187+Caudry!D187+Lens!D187</f>
        <v>0</v>
      </c>
    </row>
    <row r="187" spans="1:11" s="2" customFormat="1" ht="11.25">
      <c r="A187" s="5" t="s">
        <v>167</v>
      </c>
      <c r="B187" s="160">
        <f>+Cambrai!G188</f>
        <v>0</v>
      </c>
      <c r="C187" s="113">
        <f>+Caudry!G188</f>
        <v>0</v>
      </c>
      <c r="D187" s="113">
        <f>+Lens!G188</f>
        <v>0</v>
      </c>
      <c r="E187" s="160">
        <f>+Cambrai!E188+Caudry!E188+Lens!E188</f>
        <v>0</v>
      </c>
      <c r="F187" s="135">
        <f>+Cambrai!F188+Caudry!F188+Lens!F188</f>
        <v>0</v>
      </c>
      <c r="G187" s="161">
        <v>0</v>
      </c>
      <c r="H187" s="161">
        <f>+Cambrai!G188+Caudry!G188+Lens!G188</f>
        <v>0</v>
      </c>
      <c r="I187" s="149">
        <f t="shared" ref="I187:I198" si="25">+IF((D187)=0,,(E187-D187)/D187)</f>
        <v>0</v>
      </c>
      <c r="J187" s="271">
        <f t="shared" ref="J187:J198" si="26">+IF((E187)=0,,(H187-E187)/E187)</f>
        <v>0</v>
      </c>
      <c r="K187" s="18">
        <f>+Cambrai!D188+Caudry!D188+Lens!D188</f>
        <v>0</v>
      </c>
    </row>
    <row r="188" spans="1:11" s="2" customFormat="1" ht="11.25">
      <c r="A188" s="5" t="s">
        <v>180</v>
      </c>
      <c r="B188" s="160">
        <f>+Cambrai!G189</f>
        <v>0</v>
      </c>
      <c r="C188" s="113">
        <f>+Caudry!G189</f>
        <v>0</v>
      </c>
      <c r="D188" s="113">
        <f>+Lens!G189</f>
        <v>0</v>
      </c>
      <c r="E188" s="160">
        <f>+Cambrai!E189+Caudry!E189+Lens!E189</f>
        <v>423.32</v>
      </c>
      <c r="F188" s="135">
        <f>+Cambrai!F189+Caudry!F189+Lens!F189</f>
        <v>0</v>
      </c>
      <c r="G188" s="161">
        <v>0</v>
      </c>
      <c r="H188" s="161">
        <f>+Cambrai!G189+Caudry!G189+Lens!G189</f>
        <v>0</v>
      </c>
      <c r="I188" s="149">
        <f t="shared" si="25"/>
        <v>0</v>
      </c>
      <c r="J188" s="271">
        <f t="shared" si="26"/>
        <v>-1</v>
      </c>
      <c r="K188" s="18">
        <f>+Cambrai!D189+Caudry!D189+Lens!D189</f>
        <v>0</v>
      </c>
    </row>
    <row r="189" spans="1:11" s="2" customFormat="1" ht="11.25">
      <c r="A189" s="5" t="s">
        <v>181</v>
      </c>
      <c r="B189" s="160">
        <f>+Cambrai!G190</f>
        <v>0</v>
      </c>
      <c r="C189" s="113">
        <f>+Caudry!G190</f>
        <v>0</v>
      </c>
      <c r="D189" s="113">
        <f>+Lens!G190</f>
        <v>0</v>
      </c>
      <c r="E189" s="160">
        <f>+Cambrai!E190+Caudry!E190+Lens!E190</f>
        <v>194.92</v>
      </c>
      <c r="F189" s="135">
        <f>+Cambrai!F190+Caudry!F190+Lens!F190</f>
        <v>0</v>
      </c>
      <c r="G189" s="161">
        <v>0</v>
      </c>
      <c r="H189" s="161">
        <f>+Cambrai!G190+Caudry!G190+Lens!G190</f>
        <v>0</v>
      </c>
      <c r="I189" s="149">
        <f t="shared" si="25"/>
        <v>0</v>
      </c>
      <c r="J189" s="271">
        <f t="shared" si="26"/>
        <v>-1</v>
      </c>
      <c r="K189" s="18">
        <f>+Cambrai!D190+Caudry!D190+Lens!D190</f>
        <v>0</v>
      </c>
    </row>
    <row r="190" spans="1:11" s="2" customFormat="1" ht="11.25">
      <c r="A190" s="5" t="s">
        <v>182</v>
      </c>
      <c r="B190" s="160">
        <f>+Cambrai!G191</f>
        <v>0</v>
      </c>
      <c r="C190" s="113">
        <f>+Caudry!G191</f>
        <v>0</v>
      </c>
      <c r="D190" s="113">
        <f>+Lens!G191</f>
        <v>0</v>
      </c>
      <c r="E190" s="160">
        <f>+Cambrai!E191+Caudry!E191+Lens!E191</f>
        <v>0</v>
      </c>
      <c r="F190" s="135">
        <f>+Cambrai!F191+Caudry!F191+Lens!F191</f>
        <v>0</v>
      </c>
      <c r="G190" s="161">
        <v>0</v>
      </c>
      <c r="H190" s="161">
        <f>+Cambrai!G191+Caudry!G191+Lens!G191</f>
        <v>0</v>
      </c>
      <c r="I190" s="149">
        <f t="shared" si="25"/>
        <v>0</v>
      </c>
      <c r="J190" s="271">
        <f t="shared" si="26"/>
        <v>0</v>
      </c>
      <c r="K190" s="18">
        <f>+Cambrai!D191+Caudry!D191+Lens!D191</f>
        <v>0</v>
      </c>
    </row>
    <row r="191" spans="1:11" s="2" customFormat="1" ht="11.25">
      <c r="A191" s="5" t="s">
        <v>183</v>
      </c>
      <c r="B191" s="160">
        <f>+Cambrai!G192</f>
        <v>0</v>
      </c>
      <c r="C191" s="113">
        <f>+Caudry!G192</f>
        <v>0</v>
      </c>
      <c r="D191" s="113">
        <f>+Lens!G192</f>
        <v>0</v>
      </c>
      <c r="E191" s="160">
        <f>+Cambrai!E192+Caudry!E192+Lens!E192</f>
        <v>0</v>
      </c>
      <c r="F191" s="135">
        <f>+Cambrai!F192+Caudry!F192+Lens!F192</f>
        <v>0</v>
      </c>
      <c r="G191" s="161">
        <v>0</v>
      </c>
      <c r="H191" s="161">
        <f>+Cambrai!G192+Caudry!G192+Lens!G192</f>
        <v>0</v>
      </c>
      <c r="I191" s="149">
        <f t="shared" si="25"/>
        <v>0</v>
      </c>
      <c r="J191" s="271">
        <f t="shared" si="26"/>
        <v>0</v>
      </c>
      <c r="K191" s="18">
        <f>+Cambrai!D192+Caudry!D192+Lens!D192</f>
        <v>0</v>
      </c>
    </row>
    <row r="192" spans="1:11" s="2" customFormat="1" ht="11.25">
      <c r="A192" s="5" t="s">
        <v>184</v>
      </c>
      <c r="B192" s="160">
        <f>+Cambrai!G193</f>
        <v>0</v>
      </c>
      <c r="C192" s="113">
        <f>+Caudry!G193</f>
        <v>0</v>
      </c>
      <c r="D192" s="113">
        <f>+Lens!G193</f>
        <v>0</v>
      </c>
      <c r="E192" s="160">
        <f>+Cambrai!E193+Caudry!E193+Lens!E193</f>
        <v>16934.440000000002</v>
      </c>
      <c r="F192" s="135">
        <f>+Cambrai!F193+Caudry!F193+Lens!F193</f>
        <v>58.399999999999991</v>
      </c>
      <c r="G192" s="161">
        <v>0</v>
      </c>
      <c r="H192" s="161">
        <f>+Cambrai!G193+Caudry!G193+Lens!G193</f>
        <v>0</v>
      </c>
      <c r="I192" s="149">
        <f t="shared" si="25"/>
        <v>0</v>
      </c>
      <c r="J192" s="271">
        <f t="shared" si="26"/>
        <v>-1</v>
      </c>
      <c r="K192" s="18">
        <f>+Cambrai!D193+Caudry!D193+Lens!D193</f>
        <v>0</v>
      </c>
    </row>
    <row r="193" spans="1:11" s="2" customFormat="1" ht="11.25">
      <c r="A193" s="5" t="s">
        <v>342</v>
      </c>
      <c r="B193" s="160">
        <f>+Cambrai!G194</f>
        <v>0</v>
      </c>
      <c r="C193" s="113">
        <f>+Caudry!G194</f>
        <v>0</v>
      </c>
      <c r="D193" s="113">
        <f>+Lens!G194</f>
        <v>0</v>
      </c>
      <c r="E193" s="160">
        <f>+Cambrai!E194+Caudry!E194+Lens!E194</f>
        <v>7637.03</v>
      </c>
      <c r="F193" s="135">
        <f>+Cambrai!F194+Caudry!F194+Lens!F194</f>
        <v>6.6666666666666666E-2</v>
      </c>
      <c r="G193" s="161">
        <v>0</v>
      </c>
      <c r="H193" s="161">
        <f>+Cambrai!G194+Caudry!G194+Lens!G194</f>
        <v>0</v>
      </c>
      <c r="I193" s="149">
        <f t="shared" si="25"/>
        <v>0</v>
      </c>
      <c r="J193" s="271">
        <f t="shared" si="26"/>
        <v>-1</v>
      </c>
      <c r="K193" s="18">
        <f>+Cambrai!D194+Caudry!D194+Lens!D194</f>
        <v>0</v>
      </c>
    </row>
    <row r="194" spans="1:11" s="2" customFormat="1" ht="11.25">
      <c r="A194" s="5" t="s">
        <v>186</v>
      </c>
      <c r="B194" s="160">
        <f>+Cambrai!G195</f>
        <v>0</v>
      </c>
      <c r="C194" s="113">
        <f>+Caudry!G195</f>
        <v>0</v>
      </c>
      <c r="D194" s="113">
        <f>+Lens!G195</f>
        <v>0</v>
      </c>
      <c r="E194" s="160">
        <f>+Cambrai!E195+Caudry!E195+Lens!E195</f>
        <v>0</v>
      </c>
      <c r="F194" s="135">
        <f>+Cambrai!F195+Caudry!F195+Lens!F195</f>
        <v>0</v>
      </c>
      <c r="G194" s="161">
        <v>0</v>
      </c>
      <c r="H194" s="161">
        <f>+Cambrai!G195+Caudry!G195+Lens!G195</f>
        <v>0</v>
      </c>
      <c r="I194" s="149">
        <f t="shared" si="25"/>
        <v>0</v>
      </c>
      <c r="J194" s="271">
        <f t="shared" si="26"/>
        <v>0</v>
      </c>
      <c r="K194" s="18">
        <f>+Cambrai!D195+Caudry!D195+Lens!D195</f>
        <v>0</v>
      </c>
    </row>
    <row r="195" spans="1:11" s="2" customFormat="1" ht="11.25">
      <c r="A195" s="5" t="s">
        <v>187</v>
      </c>
      <c r="B195" s="160">
        <f>+Cambrai!G196</f>
        <v>0</v>
      </c>
      <c r="C195" s="113">
        <f>+Caudry!G196</f>
        <v>0</v>
      </c>
      <c r="D195" s="113">
        <f>+Lens!G196</f>
        <v>0</v>
      </c>
      <c r="E195" s="160">
        <f>+Cambrai!E196+Caudry!E196+Lens!E196</f>
        <v>0</v>
      </c>
      <c r="F195" s="135">
        <f>+Cambrai!F196+Caudry!F196+Lens!F196</f>
        <v>0</v>
      </c>
      <c r="G195" s="161">
        <v>0</v>
      </c>
      <c r="H195" s="161">
        <f>+Cambrai!G196+Caudry!G196+Lens!G196</f>
        <v>0</v>
      </c>
      <c r="I195" s="149">
        <f t="shared" si="25"/>
        <v>0</v>
      </c>
      <c r="J195" s="271">
        <f t="shared" si="26"/>
        <v>0</v>
      </c>
      <c r="K195" s="18">
        <f>+Cambrai!D196+Caudry!D196+Lens!D196</f>
        <v>0</v>
      </c>
    </row>
    <row r="196" spans="1:11" s="2" customFormat="1" ht="11.25">
      <c r="A196" s="5" t="s">
        <v>328</v>
      </c>
      <c r="B196" s="160">
        <f>+Cambrai!G197</f>
        <v>0</v>
      </c>
      <c r="C196" s="113">
        <f>+Caudry!G197</f>
        <v>0</v>
      </c>
      <c r="D196" s="113">
        <f>+Lens!G197</f>
        <v>0</v>
      </c>
      <c r="E196" s="160">
        <f>+Cambrai!E197+Caudry!E197+Lens!E197</f>
        <v>3500</v>
      </c>
      <c r="F196" s="135">
        <f>+Cambrai!F197+Caudry!F197+Lens!F197</f>
        <v>0</v>
      </c>
      <c r="G196" s="161">
        <v>0</v>
      </c>
      <c r="H196" s="161">
        <f>+Cambrai!G197+Caudry!G197+Lens!G197</f>
        <v>0</v>
      </c>
      <c r="I196" s="149">
        <f t="shared" si="25"/>
        <v>0</v>
      </c>
      <c r="J196" s="271">
        <f t="shared" si="26"/>
        <v>-1</v>
      </c>
      <c r="K196" s="18">
        <f>+Cambrai!D197+Caudry!D197+Lens!D197</f>
        <v>0</v>
      </c>
    </row>
    <row r="197" spans="1:11" s="2" customFormat="1" ht="11.25">
      <c r="A197" s="5" t="s">
        <v>344</v>
      </c>
      <c r="B197" s="160">
        <f>+Cambrai!G198</f>
        <v>0</v>
      </c>
      <c r="C197" s="113">
        <f>+Caudry!G198</f>
        <v>0</v>
      </c>
      <c r="D197" s="113">
        <f>+Lens!G198</f>
        <v>0</v>
      </c>
      <c r="E197" s="160">
        <f>+Cambrai!E198+Caudry!E198+Lens!E198</f>
        <v>3500</v>
      </c>
      <c r="F197" s="135">
        <f>+Cambrai!F198+Caudry!F198+Lens!F198</f>
        <v>0</v>
      </c>
      <c r="G197" s="161">
        <v>0</v>
      </c>
      <c r="H197" s="161">
        <f>+Cambrai!G198+Caudry!G198+Lens!G198</f>
        <v>0</v>
      </c>
      <c r="I197" s="149">
        <f t="shared" si="25"/>
        <v>0</v>
      </c>
      <c r="J197" s="271">
        <f t="shared" si="26"/>
        <v>-1</v>
      </c>
      <c r="K197" s="18">
        <f>+Cambrai!D198+Caudry!D198+Lens!D198</f>
        <v>0</v>
      </c>
    </row>
    <row r="198" spans="1:11" s="2" customFormat="1" ht="11.25">
      <c r="A198" s="5" t="s">
        <v>77</v>
      </c>
      <c r="B198" s="160">
        <f>+Cambrai!G199</f>
        <v>0</v>
      </c>
      <c r="C198" s="113">
        <f>+Caudry!G199</f>
        <v>0</v>
      </c>
      <c r="D198" s="113">
        <f>+Lens!G199</f>
        <v>0</v>
      </c>
      <c r="E198" s="160">
        <f>+Cambrai!E199+Caudry!E199+Lens!E199</f>
        <v>5488.16</v>
      </c>
      <c r="F198" s="135">
        <f>+Cambrai!F199+Caudry!F199+Lens!F199</f>
        <v>0</v>
      </c>
      <c r="G198" s="161">
        <v>0</v>
      </c>
      <c r="H198" s="161">
        <f>+Cambrai!G199+Caudry!G199+Lens!G199</f>
        <v>0</v>
      </c>
      <c r="I198" s="149">
        <f t="shared" si="25"/>
        <v>0</v>
      </c>
      <c r="J198" s="271">
        <f t="shared" si="26"/>
        <v>-1</v>
      </c>
      <c r="K198" s="18">
        <f>+Cambrai!D199+Caudry!D199+Lens!D199</f>
        <v>0</v>
      </c>
    </row>
    <row r="199" spans="1:11" s="2" customFormat="1" ht="11.25">
      <c r="A199" s="5"/>
      <c r="B199" s="160"/>
      <c r="C199" s="113"/>
      <c r="D199" s="113"/>
      <c r="E199" s="160"/>
      <c r="F199" s="113"/>
      <c r="G199" s="162"/>
      <c r="H199" s="162"/>
      <c r="I199" s="149"/>
      <c r="J199" s="254"/>
      <c r="K199" s="18"/>
    </row>
    <row r="200" spans="1:11" s="2" customFormat="1" ht="11.25">
      <c r="A200" s="13" t="s">
        <v>188</v>
      </c>
      <c r="B200" s="163">
        <f t="shared" ref="B200:H200" si="27">SUM(B185:B199)</f>
        <v>0</v>
      </c>
      <c r="C200" s="204">
        <f t="shared" si="27"/>
        <v>0</v>
      </c>
      <c r="D200" s="204">
        <f t="shared" si="27"/>
        <v>0</v>
      </c>
      <c r="E200" s="163">
        <f>SUM(E185:E199)</f>
        <v>37677.870000000003</v>
      </c>
      <c r="F200" s="204">
        <f t="shared" si="27"/>
        <v>2421.8000000000002</v>
      </c>
      <c r="G200" s="168">
        <v>0</v>
      </c>
      <c r="H200" s="168">
        <f t="shared" si="27"/>
        <v>0</v>
      </c>
      <c r="I200" s="272">
        <f>+IF((D200)=0,,(E200-D200)/D200)</f>
        <v>0</v>
      </c>
      <c r="J200" s="188">
        <f>+IF((E200)=0,,(H200-E200)/E200)</f>
        <v>-1</v>
      </c>
      <c r="K200" s="305">
        <f>SUM(K185:K199)</f>
        <v>0</v>
      </c>
    </row>
    <row r="201" spans="1:11" s="2" customFormat="1" ht="11.25">
      <c r="A201" s="5"/>
      <c r="B201" s="160"/>
      <c r="C201" s="113"/>
      <c r="D201" s="113"/>
      <c r="E201" s="276"/>
      <c r="F201" s="113"/>
      <c r="G201" s="162"/>
      <c r="H201" s="162"/>
      <c r="I201" s="149"/>
      <c r="J201" s="254"/>
      <c r="K201" s="311"/>
    </row>
    <row r="202" spans="1:11" s="2" customFormat="1" ht="11.25">
      <c r="A202" s="14" t="s">
        <v>189</v>
      </c>
      <c r="B202" s="175">
        <f t="shared" ref="B202:H202" si="28">+B103+B116+B129+B153+B167+B184-B200</f>
        <v>198954.58538406031</v>
      </c>
      <c r="C202" s="206">
        <f t="shared" si="28"/>
        <v>246290.72993309339</v>
      </c>
      <c r="D202" s="206">
        <f t="shared" si="28"/>
        <v>151053.99066268018</v>
      </c>
      <c r="E202" s="175">
        <f>+E103+E116+E129+E153+E167+E184-E200</f>
        <v>589633.09255999979</v>
      </c>
      <c r="F202" s="206">
        <f>+F103+F116+F129+F153+F167+F184-F200</f>
        <v>574072.88666666672</v>
      </c>
      <c r="G202" s="176">
        <v>627329.00336793344</v>
      </c>
      <c r="H202" s="176">
        <f t="shared" si="28"/>
        <v>596299.30597983382</v>
      </c>
      <c r="I202" s="281">
        <f>+IF((D202)=0,,(E202-D202)/D202)</f>
        <v>2.9034592199335796</v>
      </c>
      <c r="J202" s="282">
        <f>+IF((E202)=0,,(H202-E202)/E202)</f>
        <v>1.1305697566755374E-2</v>
      </c>
      <c r="K202" s="313">
        <f>+K103+K116+K129+K153+K167+K184-K200</f>
        <v>628891.42778054264</v>
      </c>
    </row>
    <row r="203" spans="1:11" s="2" customFormat="1" ht="11.25">
      <c r="A203" s="5"/>
      <c r="B203" s="160"/>
      <c r="C203" s="113"/>
      <c r="D203" s="113"/>
      <c r="E203" s="160"/>
      <c r="F203" s="25"/>
      <c r="G203" s="162"/>
      <c r="H203" s="162"/>
      <c r="I203" s="149"/>
      <c r="J203" s="254"/>
      <c r="K203" s="18"/>
    </row>
    <row r="204" spans="1:11" s="2" customFormat="1" ht="11.25">
      <c r="A204" s="12" t="s">
        <v>228</v>
      </c>
      <c r="B204" s="177">
        <f t="shared" ref="B204:H204" si="29">+B62-B202</f>
        <v>49111.497380502871</v>
      </c>
      <c r="C204" s="177">
        <f t="shared" si="29"/>
        <v>42676.456720441958</v>
      </c>
      <c r="D204" s="177">
        <f t="shared" si="29"/>
        <v>52810.242424341384</v>
      </c>
      <c r="E204" s="177">
        <f>+E53-E202</f>
        <v>52241.828140000347</v>
      </c>
      <c r="F204" s="228">
        <f>+F62-F202</f>
        <v>41462.499446518021</v>
      </c>
      <c r="G204" s="178">
        <v>38745.33512841654</v>
      </c>
      <c r="H204" s="178">
        <f t="shared" si="29"/>
        <v>144598.1965252863</v>
      </c>
      <c r="I204" s="226">
        <f>+IF((D204)=0,,(E204-D204)/D204)</f>
        <v>-1.0763334123212485E-2</v>
      </c>
      <c r="J204" s="283">
        <f>+IF((E204)=0,,(H204-E204)/E204)</f>
        <v>1.7678624901445752</v>
      </c>
      <c r="K204" s="314">
        <f>+K62-K202</f>
        <v>79834.572219457361</v>
      </c>
    </row>
    <row r="205" spans="1:11" s="2" customFormat="1" ht="11.25">
      <c r="A205" s="5"/>
      <c r="B205" s="160"/>
      <c r="C205" s="113"/>
      <c r="D205" s="113"/>
      <c r="E205" s="160"/>
      <c r="F205" s="113"/>
      <c r="G205" s="162"/>
      <c r="H205" s="162"/>
      <c r="I205" s="149"/>
      <c r="J205" s="254"/>
      <c r="K205" s="18"/>
    </row>
    <row r="206" spans="1:11" s="2" customFormat="1" ht="11.25">
      <c r="A206" s="63" t="s">
        <v>251</v>
      </c>
      <c r="B206" s="232">
        <f>+Cambrai!G207</f>
        <v>2537.6714398685103</v>
      </c>
      <c r="C206" s="233">
        <f>+Caudry!G207</f>
        <v>2803.8472523336141</v>
      </c>
      <c r="D206" s="233">
        <f>+Lens!G207</f>
        <v>2200.1944835980571</v>
      </c>
      <c r="E206" s="284">
        <f>+Cambrai!E207+Caudry!E207+Lens!E207</f>
        <v>3988.8102317280473</v>
      </c>
      <c r="F206" s="150">
        <f>+K206/12*Clients!I$13</f>
        <v>8299.8561900353034</v>
      </c>
      <c r="G206" s="128">
        <v>11074.642400994357</v>
      </c>
      <c r="H206" s="128">
        <f>+Cambrai!G207+Caudry!G207+Lens!G207</f>
        <v>7541.7131758001815</v>
      </c>
      <c r="I206" s="285">
        <f>+IF((D206)=0,,(E206-D206)/D206)</f>
        <v>0.81293529343142545</v>
      </c>
      <c r="J206" s="194">
        <f>+IF((E206)=0,,(H206-E206)/E206)</f>
        <v>0.89071746652959527</v>
      </c>
      <c r="K206" s="315">
        <f>+Cambrai!D207+Caudry!D207+Lens!D207</f>
        <v>11066.474920047071</v>
      </c>
    </row>
    <row r="207" spans="1:11" s="2" customFormat="1" ht="11.25">
      <c r="A207" s="5"/>
      <c r="B207" s="160"/>
      <c r="C207" s="113"/>
      <c r="D207" s="113"/>
      <c r="E207" s="160"/>
      <c r="F207" s="113"/>
      <c r="G207" s="162"/>
      <c r="H207" s="162"/>
      <c r="I207" s="149"/>
      <c r="J207" s="254"/>
      <c r="K207" s="18"/>
    </row>
    <row r="208" spans="1:11" s="2" customFormat="1" ht="11.25">
      <c r="A208" s="12" t="s">
        <v>190</v>
      </c>
      <c r="B208" s="177">
        <f t="shared" ref="B208:H208" si="30">+B204-B206</f>
        <v>46573.825940634364</v>
      </c>
      <c r="C208" s="228">
        <f t="shared" si="30"/>
        <v>39872.609468108341</v>
      </c>
      <c r="D208" s="228">
        <f t="shared" si="30"/>
        <v>50610.04794074333</v>
      </c>
      <c r="E208" s="177">
        <f>+E204-E206</f>
        <v>48253.017908272297</v>
      </c>
      <c r="F208" s="228">
        <f t="shared" si="30"/>
        <v>33162.643256482719</v>
      </c>
      <c r="G208" s="178">
        <v>27670.692727422182</v>
      </c>
      <c r="H208" s="178">
        <f t="shared" si="30"/>
        <v>137056.48334948611</v>
      </c>
      <c r="I208" s="226">
        <f>+IF((D208)=0,,(E208-D208)/D208)</f>
        <v>-4.6572373044000213E-2</v>
      </c>
      <c r="J208" s="283">
        <f>+IF((E208)=0,,(H208-E208)/E208)</f>
        <v>1.8403712200970896</v>
      </c>
      <c r="K208" s="314">
        <f>+K204-K206</f>
        <v>68768.097299410292</v>
      </c>
    </row>
    <row r="209" spans="1:13" s="2" customFormat="1" ht="11.25">
      <c r="A209" s="5"/>
      <c r="B209" s="160"/>
      <c r="C209" s="113"/>
      <c r="D209" s="113"/>
      <c r="E209" s="160"/>
      <c r="F209" s="113"/>
      <c r="G209" s="162"/>
      <c r="H209" s="162"/>
      <c r="I209" s="149"/>
      <c r="J209" s="254"/>
      <c r="K209" s="18"/>
    </row>
    <row r="210" spans="1:13" s="2" customFormat="1" ht="11.25">
      <c r="A210" s="5" t="s">
        <v>191</v>
      </c>
      <c r="B210" s="160">
        <f>+Cambrai!G211</f>
        <v>9644.6846793104778</v>
      </c>
      <c r="C210" s="113">
        <f>+Caudry!G211</f>
        <v>9644.6846793104778</v>
      </c>
      <c r="D210" s="113">
        <f>+Lens!G211</f>
        <v>9644.6846793104778</v>
      </c>
      <c r="E210" s="160">
        <f>+Cambrai!E211+Caudry!E211+Lens!E211</f>
        <v>24285.258215999998</v>
      </c>
      <c r="F210" s="135">
        <f>+Cambrai!F211+Caudry!F211+Lens!F211</f>
        <v>26993.88229032257</v>
      </c>
      <c r="G210" s="161">
        <v>11074.642400994357</v>
      </c>
      <c r="H210" s="161">
        <f>+Cambrai!G211+Caudry!G211+Lens!G211</f>
        <v>28934.054037931433</v>
      </c>
      <c r="I210" s="149">
        <f>+IF((D210)=0,,(E210-D210)/D210)</f>
        <v>1.5179940063873827</v>
      </c>
      <c r="J210" s="271">
        <f>+IF((E210)=0,,(H210-E210)/E210)</f>
        <v>0.19142459926032995</v>
      </c>
      <c r="K210" s="18">
        <f>+Cambrai!D211+Caudry!D211+Lens!D211</f>
        <v>27078.111664621531</v>
      </c>
    </row>
    <row r="211" spans="1:13">
      <c r="A211" s="5" t="s">
        <v>192</v>
      </c>
      <c r="B211" s="160">
        <f>+Cambrai!G212</f>
        <v>27341.487083745262</v>
      </c>
      <c r="C211" s="113">
        <f>+Caudry!G212</f>
        <v>30209.329793476485</v>
      </c>
      <c r="D211" s="113">
        <f>+Lens!G212</f>
        <v>23705.428571218377</v>
      </c>
      <c r="E211" s="160">
        <f>+Cambrai!E212+Caudry!E212+Lens!E212</f>
        <v>61218.22540229914</v>
      </c>
      <c r="F211" s="135">
        <f>+Cambrai!F212+Caudry!F212+Lens!F212</f>
        <v>67830.809550174483</v>
      </c>
      <c r="G211" s="161">
        <v>73905.85683458409</v>
      </c>
      <c r="H211" s="161">
        <f>+Cambrai!G212+Caudry!G212+Lens!G212</f>
        <v>81256.245448440124</v>
      </c>
      <c r="I211" s="149">
        <f>+IF((D211)=0,,(E211-D211)/D211)</f>
        <v>1.5824559643957001</v>
      </c>
      <c r="J211" s="271">
        <f>+IF((E211)=0,,(H211-E211)/E211)</f>
        <v>0.32732115173969789</v>
      </c>
      <c r="K211" s="18">
        <f>+Cambrai!D212+Caudry!D212+Lens!D212</f>
        <v>70095.729501466223</v>
      </c>
    </row>
    <row r="212" spans="1:13">
      <c r="A212" s="5" t="s">
        <v>193</v>
      </c>
      <c r="B212" s="160">
        <f>+Cambrai!G213</f>
        <v>-5922.4806067700001</v>
      </c>
      <c r="C212" s="113">
        <f>+Caudry!G213</f>
        <v>-8017.7589359999993</v>
      </c>
      <c r="D212" s="113">
        <f>+Lens!G213</f>
        <v>-6598.4862239999993</v>
      </c>
      <c r="E212" s="160">
        <f>+Cambrai!E213+Caudry!E213+Lens!E213</f>
        <v>-20156.72</v>
      </c>
      <c r="F212" s="135">
        <f>+Cambrai!F213+Caudry!F213+Lens!F213</f>
        <v>-22756.16</v>
      </c>
      <c r="G212" s="161">
        <v>-20434.440000000002</v>
      </c>
      <c r="H212" s="161">
        <f>+Cambrai!G213+Caudry!G213+Lens!G213</f>
        <v>-20538.72576677</v>
      </c>
      <c r="I212" s="149">
        <f>+IF((D212)=0,,(E212-D212)/D212)</f>
        <v>2.0547491221071317</v>
      </c>
      <c r="J212" s="271">
        <f>+IF((E212)=0,,(H212-E212)/E212)</f>
        <v>1.8951782173389244E-2</v>
      </c>
      <c r="K212" s="18">
        <f>+Cambrai!D213+Caudry!D213+Lens!D213</f>
        <v>-19725.079999999998</v>
      </c>
    </row>
    <row r="213" spans="1:13">
      <c r="A213" s="5"/>
      <c r="B213" s="160"/>
      <c r="C213" s="113"/>
      <c r="D213" s="113"/>
      <c r="E213" s="160"/>
      <c r="F213" s="113"/>
      <c r="G213" s="162"/>
      <c r="H213" s="162"/>
      <c r="I213" s="149"/>
      <c r="J213" s="254"/>
      <c r="K213" s="18"/>
    </row>
    <row r="214" spans="1:13">
      <c r="A214" s="20" t="s">
        <v>194</v>
      </c>
      <c r="B214" s="180">
        <f t="shared" ref="B214:H214" si="31">SUM(B209:B212)</f>
        <v>31063.691156285739</v>
      </c>
      <c r="C214" s="230">
        <f t="shared" si="31"/>
        <v>31836.255536786965</v>
      </c>
      <c r="D214" s="230">
        <f t="shared" si="31"/>
        <v>26751.627026528855</v>
      </c>
      <c r="E214" s="180">
        <f>SUM(E209:E212)</f>
        <v>65346.763618299141</v>
      </c>
      <c r="F214" s="230">
        <f t="shared" si="31"/>
        <v>72068.531840497046</v>
      </c>
      <c r="G214" s="181">
        <v>64546.059235578447</v>
      </c>
      <c r="H214" s="181">
        <f t="shared" si="31"/>
        <v>89651.573719601554</v>
      </c>
      <c r="I214" s="285">
        <f>+IF((D214)=0,,(E214-D214)/D214)</f>
        <v>1.4427210933187933</v>
      </c>
      <c r="J214" s="194">
        <f>+IF((E214)=0,,(H214-E214)/E214)</f>
        <v>0.37193594227972304</v>
      </c>
      <c r="K214" s="316">
        <f>SUM(K209:K212)</f>
        <v>77448.761166087745</v>
      </c>
    </row>
    <row r="215" spans="1:13">
      <c r="A215" s="5"/>
      <c r="B215" s="160"/>
      <c r="C215" s="113"/>
      <c r="D215" s="113"/>
      <c r="E215" s="160"/>
      <c r="F215" s="113"/>
      <c r="G215" s="162"/>
      <c r="H215" s="162"/>
      <c r="I215" s="149"/>
      <c r="J215" s="254"/>
      <c r="K215" s="18"/>
    </row>
    <row r="216" spans="1:13" ht="21" customHeight="1">
      <c r="A216" s="742" t="s">
        <v>332</v>
      </c>
      <c r="B216" s="743">
        <f t="shared" ref="B216:H216" si="32">+B208-B214</f>
        <v>15510.134784348626</v>
      </c>
      <c r="C216" s="744">
        <f t="shared" si="32"/>
        <v>8036.3539313213769</v>
      </c>
      <c r="D216" s="744">
        <f t="shared" si="32"/>
        <v>23858.420914214475</v>
      </c>
      <c r="E216" s="743">
        <f>+E208-E214</f>
        <v>-17093.745710026844</v>
      </c>
      <c r="F216" s="744">
        <f t="shared" si="32"/>
        <v>-38905.888584014327</v>
      </c>
      <c r="G216" s="745">
        <v>-36875.366508156265</v>
      </c>
      <c r="H216" s="745">
        <f t="shared" si="32"/>
        <v>47404.909629884554</v>
      </c>
      <c r="I216" s="746">
        <f>+IF((D216)=0,,(E216-D216)/D216)</f>
        <v>-1.7164659292200959</v>
      </c>
      <c r="J216" s="747">
        <f>+IF((E216)=0,,(H216-E216)/E216)</f>
        <v>-3.7732312410660116</v>
      </c>
      <c r="K216" s="748">
        <f>+K208-K214</f>
        <v>-8680.6638666774525</v>
      </c>
    </row>
    <row r="217" spans="1:13">
      <c r="A217" s="88" t="s">
        <v>44</v>
      </c>
      <c r="B217" s="160">
        <f>+Cambrai!G218</f>
        <v>0</v>
      </c>
      <c r="C217" s="113">
        <f>+Caudry!G218</f>
        <v>0</v>
      </c>
      <c r="D217" s="113">
        <f>+Lens!G218</f>
        <v>0</v>
      </c>
      <c r="E217" s="344">
        <f>+Cambrai!E217+Caudry!E217+Lens!E217</f>
        <v>-17093.745710026982</v>
      </c>
      <c r="F217" s="135">
        <f>+Cambrai!F217+Caudry!F217+Lens!F217</f>
        <v>-35096.589420664939</v>
      </c>
      <c r="G217" s="117">
        <v>-36875.366508156316</v>
      </c>
      <c r="H217" s="117">
        <f>+Cambrai!G217+Caudry!G217+Lens!G217</f>
        <v>47404.909629884511</v>
      </c>
      <c r="K217" s="18">
        <f>+Cambrai!D217+Caudry!D217+Lens!D217</f>
        <v>-8680.6638666774343</v>
      </c>
    </row>
    <row r="218" spans="1:13">
      <c r="A218" s="87"/>
      <c r="B218" s="110"/>
      <c r="C218" s="110"/>
      <c r="D218" s="110"/>
      <c r="E218" s="110"/>
      <c r="F218" s="110"/>
      <c r="G218" s="110"/>
      <c r="H218" s="110"/>
      <c r="K218" s="113"/>
    </row>
    <row r="219" spans="1:13" s="2" customFormat="1" ht="11.25">
      <c r="B219" s="17"/>
      <c r="C219" s="17"/>
      <c r="D219" s="17"/>
      <c r="E219" s="17"/>
      <c r="F219" s="17"/>
      <c r="G219" s="17"/>
      <c r="H219" s="17"/>
      <c r="I219" s="66"/>
      <c r="J219" s="66"/>
      <c r="K219" s="113"/>
    </row>
    <row r="220" spans="1:13" s="2" customFormat="1" ht="11.25">
      <c r="B220" s="17"/>
      <c r="C220" s="17"/>
      <c r="D220" s="17"/>
      <c r="E220" s="17"/>
      <c r="F220" s="17"/>
      <c r="G220" s="17"/>
      <c r="H220" s="17"/>
      <c r="K220" s="17"/>
    </row>
    <row r="221" spans="1:13" s="2" customFormat="1" ht="11.25">
      <c r="B221" s="17"/>
      <c r="C221" s="17"/>
      <c r="D221" s="17"/>
      <c r="E221" s="17"/>
      <c r="F221" s="17"/>
      <c r="G221" s="17"/>
      <c r="H221" s="17"/>
      <c r="K221" s="17"/>
    </row>
    <row r="222" spans="1:13" s="2" customFormat="1" ht="11.25">
      <c r="A222" s="264" t="s">
        <v>67</v>
      </c>
      <c r="B222" s="265">
        <f>+Cambrai!G223</f>
        <v>51822.248273889309</v>
      </c>
      <c r="C222" s="265">
        <f>+Caudry!G223</f>
        <v>59573.092255859687</v>
      </c>
      <c r="D222" s="265">
        <f>+Lens!G223</f>
        <v>42336.380197327373</v>
      </c>
      <c r="E222" s="265">
        <f>+(E214+E206+E202)/E60</f>
        <v>1743745.3038385091</v>
      </c>
      <c r="F222" s="265">
        <f>+(F214+F206+F202)/F60</f>
        <v>1753630.9429842725</v>
      </c>
      <c r="G222" s="265"/>
      <c r="H222" s="265">
        <f>+(H214+H206+H202)/H60</f>
        <v>1847736.6093339731</v>
      </c>
      <c r="I222" s="265"/>
      <c r="J222" s="265"/>
      <c r="K222" s="265">
        <f>+(K214+K206+K202)/K60</f>
        <v>1859168.0453903738</v>
      </c>
      <c r="L222" s="264"/>
      <c r="M222" s="264"/>
    </row>
    <row r="223" spans="1:13" s="2" customFormat="1" ht="11.25">
      <c r="A223" s="264" t="s">
        <v>66</v>
      </c>
      <c r="B223" s="265">
        <f>+B222/12</f>
        <v>4318.520689490776</v>
      </c>
      <c r="C223" s="265">
        <f>+C222/12</f>
        <v>4964.4243546549742</v>
      </c>
      <c r="D223" s="265">
        <f>+D222/12</f>
        <v>3528.0316831106143</v>
      </c>
      <c r="E223" s="265">
        <f>+E222/12</f>
        <v>145312.10865320908</v>
      </c>
      <c r="F223" s="265">
        <f>+F222/12</f>
        <v>146135.91191535603</v>
      </c>
      <c r="G223" s="265"/>
      <c r="H223" s="265">
        <f>+H222/12</f>
        <v>153978.05077783109</v>
      </c>
      <c r="I223" s="265"/>
      <c r="J223" s="265"/>
      <c r="K223" s="265">
        <f>+K222/12</f>
        <v>154930.67044919782</v>
      </c>
      <c r="L223" s="264"/>
      <c r="M223" s="264"/>
    </row>
    <row r="224" spans="1:13">
      <c r="K224" s="17"/>
    </row>
    <row r="225" spans="1:11">
      <c r="K225" s="17"/>
    </row>
    <row r="226" spans="1:11">
      <c r="K226" s="17"/>
    </row>
    <row r="227" spans="1:11" s="2" customFormat="1" ht="12.75" customHeight="1">
      <c r="A227" s="6"/>
      <c r="B227" s="102"/>
      <c r="C227" s="211"/>
      <c r="D227" s="104"/>
      <c r="E227" s="267" t="s">
        <v>195</v>
      </c>
      <c r="F227" s="130" t="s">
        <v>364</v>
      </c>
      <c r="G227" s="130"/>
      <c r="H227" s="104" t="s">
        <v>196</v>
      </c>
      <c r="I227" s="151" t="s">
        <v>225</v>
      </c>
      <c r="J227" s="183" t="s">
        <v>225</v>
      </c>
      <c r="K227" s="8" t="s">
        <v>196</v>
      </c>
    </row>
    <row r="228" spans="1:11" s="2" customFormat="1" ht="20.25" customHeight="1">
      <c r="A228" s="7" t="str">
        <f>+A4</f>
        <v>CAMBRAISI</v>
      </c>
      <c r="B228" s="1428" t="str">
        <f>+B4</f>
        <v>CAMBRAI</v>
      </c>
      <c r="C228" s="1426" t="str">
        <f>+C4</f>
        <v>CAUDRY</v>
      </c>
      <c r="D228" s="1439" t="str">
        <f>+D4</f>
        <v>LENS</v>
      </c>
      <c r="E228" s="260" t="s">
        <v>366</v>
      </c>
      <c r="F228" s="131" t="s">
        <v>366</v>
      </c>
      <c r="G228" s="131"/>
      <c r="H228" s="105" t="s">
        <v>197</v>
      </c>
      <c r="I228" s="152"/>
      <c r="J228" s="184"/>
      <c r="K228" s="9" t="s">
        <v>197</v>
      </c>
    </row>
    <row r="229" spans="1:11" s="2" customFormat="1" ht="11.25" customHeight="1">
      <c r="A229" s="3"/>
      <c r="B229" s="1429"/>
      <c r="C229" s="1438"/>
      <c r="D229" s="1440"/>
      <c r="E229" s="268"/>
      <c r="F229" s="132"/>
      <c r="G229" s="132"/>
      <c r="H229" s="106"/>
      <c r="I229" s="152"/>
      <c r="J229" s="184"/>
      <c r="K229" s="10"/>
    </row>
    <row r="230" spans="1:11" s="2" customFormat="1" ht="11.25">
      <c r="A230" s="4"/>
      <c r="B230" s="91"/>
      <c r="C230" s="216"/>
      <c r="D230" s="107"/>
      <c r="E230" s="269">
        <v>2006</v>
      </c>
      <c r="F230" s="133">
        <v>2007</v>
      </c>
      <c r="G230" s="133"/>
      <c r="H230" s="159">
        <v>2008</v>
      </c>
      <c r="I230" s="153" t="s">
        <v>367</v>
      </c>
      <c r="J230" s="185" t="s">
        <v>368</v>
      </c>
      <c r="K230" s="4">
        <v>2009</v>
      </c>
    </row>
    <row r="231" spans="1:11" s="2" customFormat="1" ht="11.25" customHeight="1">
      <c r="B231" s="288"/>
      <c r="C231" s="249"/>
      <c r="D231" s="286"/>
      <c r="E231" s="248"/>
      <c r="F231" s="287"/>
      <c r="G231" s="287"/>
      <c r="H231" s="250"/>
      <c r="I231" s="288"/>
      <c r="J231" s="289"/>
      <c r="K231" s="289"/>
    </row>
    <row r="232" spans="1:11" s="33" customFormat="1" ht="15" customHeight="1">
      <c r="A232" s="245" t="s">
        <v>223</v>
      </c>
      <c r="B232" s="175">
        <f t="shared" ref="B232:H232" si="33">+B51</f>
        <v>663341.90500000003</v>
      </c>
      <c r="C232" s="206">
        <f t="shared" si="33"/>
        <v>735327</v>
      </c>
      <c r="D232" s="176">
        <f t="shared" si="33"/>
        <v>575373</v>
      </c>
      <c r="E232" s="175">
        <f t="shared" si="33"/>
        <v>1698512.29</v>
      </c>
      <c r="F232" s="206">
        <f t="shared" si="33"/>
        <v>1649379.3122832694</v>
      </c>
      <c r="G232" s="206"/>
      <c r="H232" s="176">
        <f t="shared" si="33"/>
        <v>1974041.905</v>
      </c>
      <c r="I232" s="208">
        <f>+I51</f>
        <v>0</v>
      </c>
      <c r="J232" s="192">
        <f>+J51</f>
        <v>0</v>
      </c>
      <c r="K232" s="176">
        <f>+K51</f>
        <v>1836672</v>
      </c>
    </row>
    <row r="233" spans="1:11" s="2" customFormat="1" ht="11.25" customHeight="1">
      <c r="B233" s="160"/>
      <c r="C233" s="113"/>
      <c r="D233" s="162"/>
      <c r="E233" s="160"/>
      <c r="F233" s="113"/>
      <c r="G233" s="113"/>
      <c r="H233" s="162"/>
      <c r="I233" s="92"/>
      <c r="J233" s="186"/>
      <c r="K233" s="162"/>
    </row>
    <row r="234" spans="1:11" s="33" customFormat="1" ht="15" customHeight="1">
      <c r="A234" s="246" t="s">
        <v>295</v>
      </c>
      <c r="B234" s="197">
        <f t="shared" ref="B234:H234" si="34">+B60</f>
        <v>0.37396413658588806</v>
      </c>
      <c r="C234" s="224">
        <f t="shared" si="34"/>
        <v>0.39297779988159737</v>
      </c>
      <c r="D234" s="191">
        <f t="shared" si="34"/>
        <v>0.35431664865577905</v>
      </c>
      <c r="E234" s="197">
        <f t="shared" si="34"/>
        <v>0.37790419561815491</v>
      </c>
      <c r="F234" s="224">
        <f t="shared" si="34"/>
        <v>0.37319213447699096</v>
      </c>
      <c r="G234" s="224"/>
      <c r="H234" s="191">
        <f t="shared" si="34"/>
        <v>0.37532004798303414</v>
      </c>
      <c r="I234" s="197"/>
      <c r="J234" s="191"/>
      <c r="K234" s="170"/>
    </row>
    <row r="235" spans="1:11" s="33" customFormat="1" ht="15" customHeight="1">
      <c r="A235" s="246" t="s">
        <v>296</v>
      </c>
      <c r="B235" s="169">
        <f t="shared" ref="B235:J235" si="35">+B62</f>
        <v>248066.08276456318</v>
      </c>
      <c r="C235" s="223">
        <f t="shared" si="35"/>
        <v>288967.18665353535</v>
      </c>
      <c r="D235" s="170">
        <f t="shared" si="35"/>
        <v>203864.23308702157</v>
      </c>
      <c r="E235" s="169">
        <f t="shared" si="35"/>
        <v>641874.92070000025</v>
      </c>
      <c r="F235" s="223">
        <f t="shared" si="35"/>
        <v>615535.38611318474</v>
      </c>
      <c r="G235" s="223"/>
      <c r="H235" s="170">
        <f t="shared" si="35"/>
        <v>740897.50250512012</v>
      </c>
      <c r="I235" s="290">
        <f t="shared" si="35"/>
        <v>2.148541119648042</v>
      </c>
      <c r="J235" s="291">
        <f t="shared" si="35"/>
        <v>0.15427083784038523</v>
      </c>
      <c r="K235" s="170">
        <f>+K62</f>
        <v>708726</v>
      </c>
    </row>
    <row r="236" spans="1:11" s="25" customFormat="1" ht="11.25" customHeight="1">
      <c r="B236" s="160"/>
      <c r="C236" s="113"/>
      <c r="D236" s="162"/>
      <c r="E236" s="160"/>
      <c r="F236" s="113"/>
      <c r="G236" s="113"/>
      <c r="H236" s="162"/>
      <c r="I236" s="92"/>
      <c r="J236" s="186"/>
      <c r="K236" s="162"/>
    </row>
    <row r="237" spans="1:11" s="298" customFormat="1" ht="15" customHeight="1">
      <c r="A237" s="292" t="s">
        <v>122</v>
      </c>
      <c r="B237" s="293">
        <f t="shared" ref="B237:H237" si="36">+B103</f>
        <v>55292.912436220766</v>
      </c>
      <c r="C237" s="295">
        <f t="shared" si="36"/>
        <v>79454.763195189647</v>
      </c>
      <c r="D237" s="294">
        <f t="shared" si="36"/>
        <v>51943.877040671439</v>
      </c>
      <c r="E237" s="293">
        <f t="shared" si="36"/>
        <v>184632.88999999993</v>
      </c>
      <c r="F237" s="295">
        <f t="shared" si="36"/>
        <v>180415.81666666671</v>
      </c>
      <c r="G237" s="295"/>
      <c r="H237" s="294">
        <f t="shared" si="36"/>
        <v>186691.55267208186</v>
      </c>
      <c r="I237" s="296">
        <f>+I103</f>
        <v>2.5544687943765645</v>
      </c>
      <c r="J237" s="297">
        <f>+J103</f>
        <v>1.1150032218430497E-2</v>
      </c>
      <c r="K237" s="294">
        <f>+K103</f>
        <v>204445.82313086517</v>
      </c>
    </row>
    <row r="238" spans="1:11" s="298" customFormat="1" ht="15" customHeight="1">
      <c r="A238" s="292" t="s">
        <v>133</v>
      </c>
      <c r="B238" s="293">
        <f t="shared" ref="B238:H238" si="37">+B116</f>
        <v>13194.423066666668</v>
      </c>
      <c r="C238" s="295">
        <f t="shared" si="37"/>
        <v>16664.824000000001</v>
      </c>
      <c r="D238" s="294">
        <f t="shared" si="37"/>
        <v>11406.221733333336</v>
      </c>
      <c r="E238" s="293">
        <f t="shared" si="37"/>
        <v>56751.42</v>
      </c>
      <c r="F238" s="295">
        <f t="shared" si="37"/>
        <v>56325.95</v>
      </c>
      <c r="G238" s="295"/>
      <c r="H238" s="294">
        <f t="shared" si="37"/>
        <v>41265.468800000002</v>
      </c>
      <c r="I238" s="296">
        <f>+I116</f>
        <v>3.9754792890051114</v>
      </c>
      <c r="J238" s="297">
        <f>+J116</f>
        <v>-0.27287336951216368</v>
      </c>
      <c r="K238" s="294">
        <f>+K116</f>
        <v>55719.506100000006</v>
      </c>
    </row>
    <row r="239" spans="1:11" s="298" customFormat="1" ht="15" customHeight="1">
      <c r="A239" s="292" t="s">
        <v>147</v>
      </c>
      <c r="B239" s="293">
        <f t="shared" ref="B239:H239" si="38">+B129</f>
        <v>4899.1360480000003</v>
      </c>
      <c r="C239" s="295">
        <f t="shared" si="38"/>
        <v>7522.2988000000005</v>
      </c>
      <c r="D239" s="294">
        <f t="shared" si="38"/>
        <v>5977.2517000000007</v>
      </c>
      <c r="E239" s="293">
        <f t="shared" si="38"/>
        <v>25612.61</v>
      </c>
      <c r="F239" s="295">
        <f t="shared" si="38"/>
        <v>17352.893333333333</v>
      </c>
      <c r="G239" s="295"/>
      <c r="H239" s="294">
        <f t="shared" si="38"/>
        <v>18398.686548000001</v>
      </c>
      <c r="I239" s="296">
        <f>+I129</f>
        <v>3.2850144657619147</v>
      </c>
      <c r="J239" s="297">
        <f>+J129</f>
        <v>-0.28165514767920952</v>
      </c>
      <c r="K239" s="294">
        <f>+K129</f>
        <v>26854.090422977555</v>
      </c>
    </row>
    <row r="240" spans="1:11" s="298" customFormat="1" ht="15" customHeight="1">
      <c r="A240" s="292" t="s">
        <v>164</v>
      </c>
      <c r="B240" s="293">
        <f t="shared" ref="B240:H240" si="39">+B153</f>
        <v>113912.01426717751</v>
      </c>
      <c r="C240" s="295">
        <f t="shared" si="39"/>
        <v>127923.49166274375</v>
      </c>
      <c r="D240" s="294">
        <f t="shared" si="39"/>
        <v>70720.875114648748</v>
      </c>
      <c r="E240" s="293">
        <f t="shared" si="39"/>
        <v>299562.30255999987</v>
      </c>
      <c r="F240" s="295">
        <f t="shared" si="39"/>
        <v>300205.11999999994</v>
      </c>
      <c r="G240" s="295"/>
      <c r="H240" s="294">
        <f t="shared" si="39"/>
        <v>312556.38104457001</v>
      </c>
      <c r="I240" s="296">
        <f>+I153</f>
        <v>3.2358398715282597</v>
      </c>
      <c r="J240" s="297">
        <f>+J153</f>
        <v>4.337688144845106E-2</v>
      </c>
      <c r="K240" s="294">
        <f>+K153</f>
        <v>306103.27254170569</v>
      </c>
    </row>
    <row r="241" spans="1:12" s="298" customFormat="1" ht="15" customHeight="1">
      <c r="A241" s="292" t="s">
        <v>74</v>
      </c>
      <c r="B241" s="293">
        <f t="shared" ref="B241:H241" si="40">+B167</f>
        <v>7279.0550326620341</v>
      </c>
      <c r="C241" s="295">
        <f t="shared" si="40"/>
        <v>9327.8822751600019</v>
      </c>
      <c r="D241" s="294">
        <f t="shared" si="40"/>
        <v>7984.7050740266686</v>
      </c>
      <c r="E241" s="293">
        <f t="shared" si="40"/>
        <v>10292.829999999998</v>
      </c>
      <c r="F241" s="295">
        <f t="shared" si="40"/>
        <v>12017.813333333335</v>
      </c>
      <c r="G241" s="295"/>
      <c r="H241" s="294">
        <f t="shared" si="40"/>
        <v>24591.642381848702</v>
      </c>
      <c r="I241" s="296">
        <f>+I167</f>
        <v>0.28906827548100628</v>
      </c>
      <c r="J241" s="297">
        <f>+J167</f>
        <v>1.3892012577540584</v>
      </c>
      <c r="K241" s="294">
        <f>+K167</f>
        <v>22936.88855999412</v>
      </c>
    </row>
    <row r="242" spans="1:12" s="298" customFormat="1" ht="15" customHeight="1">
      <c r="A242" s="292" t="s">
        <v>369</v>
      </c>
      <c r="B242" s="293">
        <f t="shared" ref="B242:H242" si="41">+B184-B200</f>
        <v>4377.0445333333337</v>
      </c>
      <c r="C242" s="295">
        <f t="shared" si="41"/>
        <v>5397.47</v>
      </c>
      <c r="D242" s="294">
        <f t="shared" si="41"/>
        <v>3021.06</v>
      </c>
      <c r="E242" s="293">
        <f t="shared" si="41"/>
        <v>12781.04</v>
      </c>
      <c r="F242" s="295">
        <f t="shared" si="41"/>
        <v>7755.2933333333322</v>
      </c>
      <c r="G242" s="295"/>
      <c r="H242" s="294">
        <f t="shared" si="41"/>
        <v>12795.574533333333</v>
      </c>
      <c r="I242" s="296">
        <f>+I184-I200</f>
        <v>15.702385917525639</v>
      </c>
      <c r="J242" s="297">
        <f>+J184-J200</f>
        <v>0.25358404557952863</v>
      </c>
      <c r="K242" s="294">
        <f>+K184-K200</f>
        <v>12831.847024999999</v>
      </c>
    </row>
    <row r="243" spans="1:12" s="25" customFormat="1" ht="11.25">
      <c r="B243" s="160"/>
      <c r="C243" s="113"/>
      <c r="D243" s="162"/>
      <c r="E243" s="160"/>
      <c r="F243" s="113"/>
      <c r="G243" s="113"/>
      <c r="H243" s="162"/>
      <c r="I243" s="92"/>
      <c r="J243" s="186"/>
      <c r="K243" s="162"/>
    </row>
    <row r="244" spans="1:12" s="33" customFormat="1" ht="15" customHeight="1">
      <c r="A244" s="245" t="s">
        <v>189</v>
      </c>
      <c r="B244" s="299">
        <f t="shared" ref="B244:H244" si="42">+B202</f>
        <v>198954.58538406031</v>
      </c>
      <c r="C244" s="301">
        <f t="shared" si="42"/>
        <v>246290.72993309339</v>
      </c>
      <c r="D244" s="300">
        <f t="shared" si="42"/>
        <v>151053.99066268018</v>
      </c>
      <c r="E244" s="299">
        <f t="shared" si="42"/>
        <v>589633.09255999979</v>
      </c>
      <c r="F244" s="301">
        <f t="shared" si="42"/>
        <v>574072.88666666672</v>
      </c>
      <c r="G244" s="301"/>
      <c r="H244" s="300">
        <f t="shared" si="42"/>
        <v>596299.30597983382</v>
      </c>
      <c r="I244" s="302">
        <f>+I202</f>
        <v>2.9034592199335796</v>
      </c>
      <c r="J244" s="303">
        <f>+J202</f>
        <v>1.1305697566755374E-2</v>
      </c>
      <c r="K244" s="300">
        <f>+K202</f>
        <v>628891.42778054264</v>
      </c>
    </row>
    <row r="245" spans="1:12" s="2" customFormat="1" ht="11.25">
      <c r="B245" s="160"/>
      <c r="C245" s="113"/>
      <c r="D245" s="162"/>
      <c r="E245" s="160"/>
      <c r="F245" s="113"/>
      <c r="G245" s="113"/>
      <c r="H245" s="162"/>
      <c r="I245" s="92"/>
      <c r="J245" s="186"/>
      <c r="K245" s="162"/>
    </row>
    <row r="246" spans="1:12" s="33" customFormat="1" ht="15" customHeight="1">
      <c r="A246" s="246" t="s">
        <v>228</v>
      </c>
      <c r="B246" s="177">
        <f t="shared" ref="B246:H246" si="43">+B204</f>
        <v>49111.497380502871</v>
      </c>
      <c r="C246" s="228">
        <f t="shared" si="43"/>
        <v>42676.456720441958</v>
      </c>
      <c r="D246" s="178">
        <f t="shared" si="43"/>
        <v>52810.242424341384</v>
      </c>
      <c r="E246" s="177">
        <f t="shared" si="43"/>
        <v>52241.828140000347</v>
      </c>
      <c r="F246" s="228">
        <f t="shared" si="43"/>
        <v>41462.499446518021</v>
      </c>
      <c r="G246" s="228"/>
      <c r="H246" s="178">
        <f t="shared" si="43"/>
        <v>144598.1965252863</v>
      </c>
      <c r="I246" s="225">
        <f>+I204</f>
        <v>-1.0763334123212485E-2</v>
      </c>
      <c r="J246" s="193">
        <f>+J204</f>
        <v>1.7678624901445752</v>
      </c>
      <c r="K246" s="178">
        <f>+K204</f>
        <v>79834.572219457361</v>
      </c>
    </row>
    <row r="247" spans="1:12" s="2" customFormat="1" ht="11.25">
      <c r="B247" s="160"/>
      <c r="C247" s="113"/>
      <c r="D247" s="162"/>
      <c r="E247" s="160"/>
      <c r="F247" s="113"/>
      <c r="G247" s="113"/>
      <c r="H247" s="162"/>
      <c r="I247" s="92"/>
      <c r="J247" s="186"/>
      <c r="K247" s="162"/>
    </row>
    <row r="248" spans="1:12" s="33" customFormat="1" ht="15" customHeight="1">
      <c r="A248" s="247" t="s">
        <v>370</v>
      </c>
      <c r="B248" s="180">
        <f t="shared" ref="B248:H248" si="44">+B206+B214</f>
        <v>33601.362596154249</v>
      </c>
      <c r="C248" s="230">
        <f t="shared" si="44"/>
        <v>34640.102789120581</v>
      </c>
      <c r="D248" s="181">
        <f t="shared" si="44"/>
        <v>28951.821510126912</v>
      </c>
      <c r="E248" s="180">
        <f t="shared" si="44"/>
        <v>69335.573850027184</v>
      </c>
      <c r="F248" s="230">
        <f t="shared" si="44"/>
        <v>80368.388030532355</v>
      </c>
      <c r="G248" s="230"/>
      <c r="H248" s="181">
        <f t="shared" si="44"/>
        <v>97193.286895401732</v>
      </c>
      <c r="I248" s="304">
        <f>+I206+I214</f>
        <v>2.2556563867502186</v>
      </c>
      <c r="J248" s="195">
        <f>+J206+J214</f>
        <v>1.2626534088093182</v>
      </c>
      <c r="K248" s="181">
        <f>+K206+K214</f>
        <v>88515.236086134813</v>
      </c>
    </row>
    <row r="249" spans="1:12" s="2" customFormat="1" ht="11.25">
      <c r="B249" s="160"/>
      <c r="C249" s="113"/>
      <c r="D249" s="162"/>
      <c r="E249" s="160"/>
      <c r="F249" s="113"/>
      <c r="G249" s="113"/>
      <c r="H249" s="162"/>
      <c r="I249" s="92"/>
      <c r="J249" s="186"/>
      <c r="K249" s="162"/>
    </row>
    <row r="250" spans="1:12" s="33" customFormat="1" ht="20.100000000000001" customHeight="1">
      <c r="A250" s="246" t="s">
        <v>86</v>
      </c>
      <c r="B250" s="177">
        <f t="shared" ref="B250:H250" si="45">+B216</f>
        <v>15510.134784348626</v>
      </c>
      <c r="C250" s="228">
        <f t="shared" si="45"/>
        <v>8036.3539313213769</v>
      </c>
      <c r="D250" s="178">
        <f t="shared" si="45"/>
        <v>23858.420914214475</v>
      </c>
      <c r="E250" s="177">
        <f t="shared" si="45"/>
        <v>-17093.745710026844</v>
      </c>
      <c r="F250" s="228">
        <f t="shared" si="45"/>
        <v>-38905.888584014327</v>
      </c>
      <c r="G250" s="228"/>
      <c r="H250" s="178">
        <f t="shared" si="45"/>
        <v>47404.909629884554</v>
      </c>
      <c r="I250" s="225">
        <f>+I216</f>
        <v>-1.7164659292200959</v>
      </c>
      <c r="J250" s="193">
        <f>+J216</f>
        <v>-3.7732312410660116</v>
      </c>
      <c r="K250" s="178">
        <f>+K216</f>
        <v>-8680.6638666774525</v>
      </c>
    </row>
    <row r="251" spans="1:12" s="2" customFormat="1" ht="11.25">
      <c r="B251" s="17"/>
      <c r="C251" s="113"/>
      <c r="F251" s="58"/>
      <c r="G251" s="58"/>
      <c r="I251" s="66"/>
      <c r="J251" s="66"/>
      <c r="K251" s="376"/>
    </row>
    <row r="252" spans="1:12" s="298" customFormat="1" ht="15" customHeight="1">
      <c r="A252" s="292" t="s">
        <v>95</v>
      </c>
      <c r="B252" s="293">
        <v>207815</v>
      </c>
      <c r="C252" s="295">
        <v>151607</v>
      </c>
      <c r="D252" s="294">
        <v>151439</v>
      </c>
      <c r="E252" s="293">
        <f>+E28</f>
        <v>500956.82000000007</v>
      </c>
      <c r="F252" s="295"/>
      <c r="G252" s="295"/>
      <c r="H252" s="294">
        <f>SUM(B252:D252)</f>
        <v>510861</v>
      </c>
      <c r="I252" s="296"/>
      <c r="J252" s="297"/>
      <c r="K252" s="294"/>
    </row>
    <row r="253" spans="1:12" s="298" customFormat="1" ht="15" customHeight="1">
      <c r="A253" s="292" t="s">
        <v>371</v>
      </c>
      <c r="B253" s="293">
        <v>691153.48026083526</v>
      </c>
      <c r="C253" s="295">
        <v>708464.62319162267</v>
      </c>
      <c r="D253" s="294">
        <v>519662.41061274457</v>
      </c>
      <c r="E253" s="293">
        <f>+E222</f>
        <v>1743745.3038385091</v>
      </c>
      <c r="F253" s="295">
        <f>+F222</f>
        <v>1753630.9429842725</v>
      </c>
      <c r="G253" s="295"/>
      <c r="H253" s="294">
        <f>+H222</f>
        <v>1847736.6093339731</v>
      </c>
      <c r="I253" s="296"/>
      <c r="J253" s="297"/>
      <c r="K253" s="294"/>
      <c r="L253" s="293"/>
    </row>
    <row r="254" spans="1:12" s="298" customFormat="1" ht="15" customHeight="1">
      <c r="A254" s="292" t="s">
        <v>372</v>
      </c>
      <c r="B254" s="293">
        <v>0</v>
      </c>
      <c r="C254" s="295">
        <v>0</v>
      </c>
      <c r="D254" s="294">
        <v>0</v>
      </c>
      <c r="E254" s="293"/>
      <c r="F254" s="295"/>
      <c r="G254" s="295"/>
      <c r="H254" s="294">
        <f>SUM(B254:D254)</f>
        <v>0</v>
      </c>
      <c r="I254" s="296"/>
      <c r="J254" s="297"/>
      <c r="K254" s="294"/>
    </row>
    <row r="255" spans="1:12" s="2" customFormat="1" ht="11.25">
      <c r="B255" s="24"/>
      <c r="C255" s="113"/>
      <c r="F255" s="58"/>
      <c r="G255" s="58"/>
      <c r="I255" s="66"/>
      <c r="J255" s="66"/>
    </row>
  </sheetData>
  <mergeCells count="6">
    <mergeCell ref="B4:B5"/>
    <mergeCell ref="C4:C5"/>
    <mergeCell ref="D4:D5"/>
    <mergeCell ref="B228:B229"/>
    <mergeCell ref="C228:C229"/>
    <mergeCell ref="D228:D229"/>
  </mergeCells>
  <phoneticPr fontId="33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indexed="51"/>
    <pageSetUpPr fitToPage="1"/>
  </sheetPr>
  <dimension ref="A1:N257"/>
  <sheetViews>
    <sheetView workbookViewId="0">
      <pane xSplit="1" ySplit="6" topLeftCell="B204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72.85546875" bestFit="1" customWidth="1"/>
    <col min="2" max="2" width="12.28515625" style="800" customWidth="1"/>
    <col min="3" max="3" width="14.28515625" style="800" customWidth="1"/>
    <col min="4" max="5" width="14.7109375" style="800" bestFit="1" customWidth="1"/>
    <col min="6" max="6" width="12.28515625" style="800" customWidth="1"/>
    <col min="7" max="7" width="12.28515625" style="800" bestFit="1" customWidth="1"/>
    <col min="8" max="8" width="14.28515625" style="26" hidden="1" customWidth="1"/>
    <col min="9" max="9" width="12.28515625" style="800" customWidth="1"/>
    <col min="10" max="10" width="9.7109375" style="801" customWidth="1"/>
    <col min="11" max="11" width="13.5703125" style="801" customWidth="1"/>
    <col min="12" max="12" width="12.7109375" style="808" customWidth="1"/>
    <col min="13" max="13" width="14.7109375" style="686" bestFit="1" customWidth="1"/>
  </cols>
  <sheetData>
    <row r="1" spans="1:13">
      <c r="A1" s="1" t="s">
        <v>515</v>
      </c>
      <c r="L1" s="802"/>
    </row>
    <row r="2" spans="1:13" hidden="1">
      <c r="B2" s="26"/>
      <c r="C2" s="26"/>
      <c r="D2" s="86"/>
      <c r="E2" s="86"/>
      <c r="F2" s="26"/>
      <c r="G2" s="26"/>
      <c r="I2" s="26"/>
      <c r="J2" s="66"/>
      <c r="K2" s="66"/>
      <c r="L2" s="28"/>
      <c r="M2"/>
    </row>
    <row r="3" spans="1:13" s="2" customFormat="1" ht="12.75" customHeight="1">
      <c r="A3" s="6"/>
      <c r="B3" s="155"/>
      <c r="C3" s="211"/>
      <c r="D3" s="211"/>
      <c r="E3" s="211"/>
      <c r="F3" s="267" t="s">
        <v>55</v>
      </c>
      <c r="G3" s="130" t="s">
        <v>364</v>
      </c>
      <c r="H3" s="130" t="s">
        <v>543</v>
      </c>
      <c r="I3" s="104" t="s">
        <v>196</v>
      </c>
      <c r="J3" s="151" t="s">
        <v>225</v>
      </c>
      <c r="K3" s="183" t="s">
        <v>225</v>
      </c>
      <c r="L3" s="8" t="s">
        <v>196</v>
      </c>
      <c r="M3" s="678">
        <v>1</v>
      </c>
    </row>
    <row r="4" spans="1:13" s="2" customFormat="1" ht="20.25" customHeight="1">
      <c r="A4" s="7" t="s">
        <v>713</v>
      </c>
      <c r="B4" s="1428" t="s">
        <v>22</v>
      </c>
      <c r="C4" s="1430" t="s">
        <v>208</v>
      </c>
      <c r="D4" s="1426" t="s">
        <v>6</v>
      </c>
      <c r="E4" s="1426" t="s">
        <v>424</v>
      </c>
      <c r="F4" s="260" t="s">
        <v>366</v>
      </c>
      <c r="G4" s="131" t="s">
        <v>366</v>
      </c>
      <c r="H4" s="131" t="s">
        <v>432</v>
      </c>
      <c r="I4" s="105" t="s">
        <v>197</v>
      </c>
      <c r="J4" s="152" t="s">
        <v>55</v>
      </c>
      <c r="K4" s="131" t="s">
        <v>432</v>
      </c>
      <c r="L4" s="9" t="s">
        <v>197</v>
      </c>
      <c r="M4" s="678">
        <v>1</v>
      </c>
    </row>
    <row r="5" spans="1:13" s="2" customFormat="1" ht="20.25" customHeight="1">
      <c r="A5" s="7"/>
      <c r="B5" s="1429"/>
      <c r="C5" s="1431"/>
      <c r="D5" s="1427"/>
      <c r="E5" s="1427"/>
      <c r="F5" s="157">
        <f>F216</f>
        <v>112115.24854429692</v>
      </c>
      <c r="G5" s="157">
        <f>G216</f>
        <v>70930.007275946438</v>
      </c>
      <c r="H5" s="157">
        <f>H216</f>
        <v>167514.29040791598</v>
      </c>
      <c r="I5" s="157">
        <f>I216</f>
        <v>190189.60146591693</v>
      </c>
      <c r="J5" s="152">
        <f>I5/I21</f>
        <v>4.2040875927302206E-2</v>
      </c>
      <c r="K5" s="132" t="s">
        <v>433</v>
      </c>
      <c r="L5" s="10"/>
      <c r="M5" s="678">
        <v>1</v>
      </c>
    </row>
    <row r="6" spans="1:13" s="2" customFormat="1" ht="18">
      <c r="A6" s="68"/>
      <c r="B6" s="1146">
        <f>B216/B21</f>
        <v>-3.2928649111379979E-2</v>
      </c>
      <c r="C6" s="1146">
        <f>C216/C21</f>
        <v>6.7931702726598542E-2</v>
      </c>
      <c r="D6" s="1146">
        <f>D216/D21</f>
        <v>4.7894130096215716E-2</v>
      </c>
      <c r="E6" s="1146">
        <f>E216/E21</f>
        <v>-5.2706507859325621E-4</v>
      </c>
      <c r="F6" s="269">
        <v>2009</v>
      </c>
      <c r="G6" s="133">
        <v>2010</v>
      </c>
      <c r="H6" s="133">
        <v>2009</v>
      </c>
      <c r="I6" s="159">
        <v>2011</v>
      </c>
      <c r="J6" s="153" t="s">
        <v>544</v>
      </c>
      <c r="K6" s="185" t="s">
        <v>368</v>
      </c>
      <c r="L6" s="4">
        <v>2010</v>
      </c>
      <c r="M6" s="678">
        <v>1</v>
      </c>
    </row>
    <row r="7" spans="1:13" s="2" customFormat="1" ht="18" hidden="1">
      <c r="A7" s="67"/>
      <c r="B7" s="160"/>
      <c r="C7" s="113"/>
      <c r="D7" s="113"/>
      <c r="E7" s="113"/>
      <c r="F7" s="237"/>
      <c r="G7" s="25"/>
      <c r="H7" s="25"/>
      <c r="I7" s="154"/>
      <c r="J7" s="149"/>
      <c r="K7" s="186"/>
      <c r="L7" s="5"/>
      <c r="M7" s="2">
        <v>0</v>
      </c>
    </row>
    <row r="8" spans="1:13" s="2" customFormat="1" ht="11.25">
      <c r="A8" s="590" t="s">
        <v>221</v>
      </c>
      <c r="B8" s="805">
        <f>+Béthune!$G8</f>
        <v>400349</v>
      </c>
      <c r="C8" s="805">
        <f>+Boulogne!$G8</f>
        <v>2256694</v>
      </c>
      <c r="D8" s="805">
        <f>+Calais!$G8</f>
        <v>1054403</v>
      </c>
      <c r="E8" s="805">
        <f>+StOmer!$G8</f>
        <v>812475</v>
      </c>
      <c r="F8" s="805">
        <f>+Béthune!E8+Boulogne!E8+Calais!E8+StOmer!E8</f>
        <v>2970048.7399999998</v>
      </c>
      <c r="G8" s="619">
        <f>+Béthune!F8+Boulogne!F8+Calais!F8+StOmer!F8</f>
        <v>4358334.9251742084</v>
      </c>
      <c r="H8" s="113">
        <v>3560759.6047999999</v>
      </c>
      <c r="I8" s="1077">
        <f>+Béthune!G8+Boulogne!G8+Calais!G8+StOmer!G8</f>
        <v>4523921</v>
      </c>
      <c r="J8" s="1013">
        <f>+IF((F8)=0,,(G8-F8)/F8)</f>
        <v>0.46742875511672871</v>
      </c>
      <c r="K8" s="1014">
        <f>+IF((G8)=0,,(I8-G8)/G8)</f>
        <v>3.7992966962990565E-2</v>
      </c>
      <c r="L8" s="805">
        <f>+Béthune!D8+Boulogne!D8+Calais!D8+StOmer!D8</f>
        <v>4405558</v>
      </c>
      <c r="M8" s="678">
        <v>1</v>
      </c>
    </row>
    <row r="9" spans="1:13" s="2" customFormat="1" ht="11.25" hidden="1">
      <c r="A9" s="5" t="s">
        <v>422</v>
      </c>
      <c r="B9" s="160">
        <f>+Béthune!$G9</f>
        <v>0</v>
      </c>
      <c r="C9" s="113">
        <f>+Boulogne!$G9</f>
        <v>0</v>
      </c>
      <c r="D9" s="113">
        <f>+Calais!$G9</f>
        <v>0</v>
      </c>
      <c r="E9" s="113">
        <f>+StOmer!$G9</f>
        <v>0</v>
      </c>
      <c r="F9" s="160">
        <f>+Béthune!E9+Boulogne!E9+Calais!E9+StOmer!E9</f>
        <v>1106373.6200000001</v>
      </c>
      <c r="G9" s="135"/>
      <c r="H9" s="113">
        <v>0</v>
      </c>
      <c r="I9" s="161"/>
      <c r="J9" s="149">
        <f t="shared" ref="J9:J19" si="0">+IF((F9)=0,,(G9-F9)/F9)</f>
        <v>-1</v>
      </c>
      <c r="K9" s="271">
        <f t="shared" ref="K9:K19" si="1">+IF((G9)=0,,(I9-G9)/G9)</f>
        <v>0</v>
      </c>
      <c r="L9" s="18">
        <f>+Béthune!D9+Boulogne!D9+Calais!D9+StOmer!D9</f>
        <v>0</v>
      </c>
      <c r="M9" s="2">
        <v>0</v>
      </c>
    </row>
    <row r="10" spans="1:13" s="2" customFormat="1" ht="11.25" hidden="1">
      <c r="A10" s="5" t="s">
        <v>84</v>
      </c>
      <c r="B10" s="160">
        <f>+Béthune!$G10</f>
        <v>0</v>
      </c>
      <c r="C10" s="113">
        <f>+Boulogne!$G10</f>
        <v>0</v>
      </c>
      <c r="D10" s="113">
        <f>+Calais!$G10</f>
        <v>0</v>
      </c>
      <c r="E10" s="113">
        <f>+StOmer!$G10</f>
        <v>0</v>
      </c>
      <c r="F10" s="160">
        <f>+Béthune!E10+Boulogne!E10+Calais!E10+StOmer!E10</f>
        <v>0</v>
      </c>
      <c r="G10" s="135"/>
      <c r="H10" s="113">
        <v>0</v>
      </c>
      <c r="I10" s="161"/>
      <c r="J10" s="149">
        <f t="shared" si="0"/>
        <v>0</v>
      </c>
      <c r="K10" s="271">
        <f t="shared" si="1"/>
        <v>0</v>
      </c>
      <c r="L10" s="18">
        <f>+Béthune!D10+Boulogne!D10+Calais!D10+StOmer!D10</f>
        <v>0</v>
      </c>
      <c r="M10" s="2">
        <v>0</v>
      </c>
    </row>
    <row r="11" spans="1:13" s="2" customFormat="1" ht="11.25" hidden="1">
      <c r="A11" s="5" t="s">
        <v>267</v>
      </c>
      <c r="B11" s="160">
        <f>+Béthune!$G11</f>
        <v>0</v>
      </c>
      <c r="C11" s="113">
        <f>+Boulogne!$G11</f>
        <v>0</v>
      </c>
      <c r="D11" s="113">
        <f>+Calais!$G11</f>
        <v>0</v>
      </c>
      <c r="E11" s="113">
        <f>+StOmer!$G11</f>
        <v>0</v>
      </c>
      <c r="F11" s="160">
        <f>+Béthune!E11+Boulogne!E11+Calais!E11+StOmer!E11</f>
        <v>0</v>
      </c>
      <c r="G11" s="135"/>
      <c r="H11" s="113">
        <v>0</v>
      </c>
      <c r="I11" s="161"/>
      <c r="J11" s="149">
        <f t="shared" si="0"/>
        <v>0</v>
      </c>
      <c r="K11" s="271">
        <f t="shared" si="1"/>
        <v>0</v>
      </c>
      <c r="L11" s="18">
        <f>+Béthune!D11+Boulogne!D11+Calais!D11+StOmer!D11</f>
        <v>0</v>
      </c>
      <c r="M11" s="2">
        <v>0</v>
      </c>
    </row>
    <row r="12" spans="1:13" s="2" customFormat="1" ht="11.25" hidden="1">
      <c r="A12" s="5" t="s">
        <v>46</v>
      </c>
      <c r="B12" s="160">
        <f>+Béthune!$G12</f>
        <v>0</v>
      </c>
      <c r="C12" s="113">
        <f>+Boulogne!$G12</f>
        <v>0</v>
      </c>
      <c r="D12" s="113">
        <f>+Calais!$G12</f>
        <v>0</v>
      </c>
      <c r="E12" s="113">
        <f>+StOmer!$G12</f>
        <v>0</v>
      </c>
      <c r="F12" s="160">
        <f>+Béthune!E12+Boulogne!E12+Calais!E12+StOmer!E12</f>
        <v>0</v>
      </c>
      <c r="G12" s="135"/>
      <c r="H12" s="113">
        <v>0</v>
      </c>
      <c r="I12" s="161"/>
      <c r="J12" s="149">
        <f t="shared" si="0"/>
        <v>0</v>
      </c>
      <c r="K12" s="271">
        <f t="shared" si="1"/>
        <v>0</v>
      </c>
      <c r="L12" s="18">
        <f>+Béthune!D12+Boulogne!D12+Calais!D12+StOmer!D12</f>
        <v>0</v>
      </c>
      <c r="M12" s="2">
        <v>0</v>
      </c>
    </row>
    <row r="13" spans="1:13" s="2" customFormat="1" ht="11.25" hidden="1">
      <c r="A13" s="5" t="s">
        <v>268</v>
      </c>
      <c r="B13" s="160">
        <f>+Béthune!$G13</f>
        <v>0</v>
      </c>
      <c r="C13" s="113">
        <f>+Boulogne!$G13</f>
        <v>0</v>
      </c>
      <c r="D13" s="113">
        <f>+Calais!$G13</f>
        <v>0</v>
      </c>
      <c r="E13" s="113">
        <f>+StOmer!$G13</f>
        <v>0</v>
      </c>
      <c r="F13" s="160">
        <f>+Béthune!E13+Boulogne!E13+Calais!E13+StOmer!E13</f>
        <v>52690.560000000005</v>
      </c>
      <c r="G13" s="135"/>
      <c r="H13" s="113">
        <v>0</v>
      </c>
      <c r="I13" s="161"/>
      <c r="J13" s="149">
        <f t="shared" si="0"/>
        <v>-1</v>
      </c>
      <c r="K13" s="271">
        <f t="shared" si="1"/>
        <v>0</v>
      </c>
      <c r="L13" s="18">
        <f>+Béthune!D13+Boulogne!D13+Calais!D13+StOmer!D13</f>
        <v>0</v>
      </c>
      <c r="M13" s="2">
        <v>0</v>
      </c>
    </row>
    <row r="14" spans="1:13" s="2" customFormat="1" ht="11.25" hidden="1">
      <c r="A14" s="5" t="s">
        <v>269</v>
      </c>
      <c r="B14" s="160">
        <f>+Béthune!$G14</f>
        <v>0</v>
      </c>
      <c r="C14" s="113">
        <f>+Boulogne!$G14</f>
        <v>0</v>
      </c>
      <c r="D14" s="113">
        <f>+Calais!$G14</f>
        <v>0</v>
      </c>
      <c r="E14" s="113">
        <f>+StOmer!$G14</f>
        <v>0</v>
      </c>
      <c r="F14" s="160">
        <f>+Béthune!E14+Boulogne!E14+Calais!E14+StOmer!E14</f>
        <v>0</v>
      </c>
      <c r="G14" s="135"/>
      <c r="H14" s="113">
        <v>0</v>
      </c>
      <c r="I14" s="161"/>
      <c r="J14" s="149">
        <f t="shared" si="0"/>
        <v>0</v>
      </c>
      <c r="K14" s="271">
        <f t="shared" si="1"/>
        <v>0</v>
      </c>
      <c r="L14" s="18">
        <f>+Béthune!D14+Boulogne!D14+Calais!D14+StOmer!D14</f>
        <v>0</v>
      </c>
      <c r="M14" s="2">
        <v>0</v>
      </c>
    </row>
    <row r="15" spans="1:13" s="2" customFormat="1" ht="11.25" hidden="1">
      <c r="A15" s="5" t="s">
        <v>270</v>
      </c>
      <c r="B15" s="160">
        <f>+Béthune!$G15</f>
        <v>0</v>
      </c>
      <c r="C15" s="113">
        <f>+Boulogne!$G15</f>
        <v>0</v>
      </c>
      <c r="D15" s="113">
        <f>+Calais!$G15</f>
        <v>0</v>
      </c>
      <c r="E15" s="113">
        <f>+StOmer!$G15</f>
        <v>0</v>
      </c>
      <c r="F15" s="160">
        <f>+Béthune!E15+Boulogne!E15+Calais!E15+StOmer!E15</f>
        <v>6600</v>
      </c>
      <c r="G15" s="135"/>
      <c r="H15" s="113">
        <v>4965.63</v>
      </c>
      <c r="I15" s="161"/>
      <c r="J15" s="149">
        <f t="shared" si="0"/>
        <v>-1</v>
      </c>
      <c r="K15" s="271">
        <f t="shared" si="1"/>
        <v>0</v>
      </c>
      <c r="L15" s="18">
        <f>+Béthune!D15+Boulogne!D15+Calais!D15+StOmer!D15</f>
        <v>0</v>
      </c>
      <c r="M15" s="2">
        <v>0</v>
      </c>
    </row>
    <row r="16" spans="1:13" s="2" customFormat="1" ht="11.25" hidden="1">
      <c r="A16" s="5" t="s">
        <v>85</v>
      </c>
      <c r="B16" s="160">
        <f>+Béthune!$G16</f>
        <v>0</v>
      </c>
      <c r="C16" s="113">
        <f>+Boulogne!$G16</f>
        <v>0</v>
      </c>
      <c r="D16" s="113">
        <f>+Calais!$G16</f>
        <v>0</v>
      </c>
      <c r="E16" s="113">
        <f>+StOmer!$G16</f>
        <v>0</v>
      </c>
      <c r="F16" s="160">
        <f>+Béthune!E16+Boulogne!E16+Calais!E16+StOmer!E16</f>
        <v>-150</v>
      </c>
      <c r="G16" s="135"/>
      <c r="H16" s="113">
        <v>-154.5</v>
      </c>
      <c r="I16" s="161"/>
      <c r="J16" s="149">
        <f t="shared" si="0"/>
        <v>-1</v>
      </c>
      <c r="K16" s="271">
        <f t="shared" si="1"/>
        <v>0</v>
      </c>
      <c r="L16" s="18">
        <f>+Béthune!D16+Boulogne!D16+Calais!D16+StOmer!D16</f>
        <v>0</v>
      </c>
      <c r="M16" s="2">
        <v>0</v>
      </c>
    </row>
    <row r="17" spans="1:13" s="2" customFormat="1" ht="11.25" hidden="1">
      <c r="A17" s="5" t="s">
        <v>88</v>
      </c>
      <c r="B17" s="160">
        <f>+Béthune!$G17</f>
        <v>0</v>
      </c>
      <c r="C17" s="113">
        <f>+Boulogne!$G17</f>
        <v>0</v>
      </c>
      <c r="D17" s="113">
        <f>+Calais!$G17</f>
        <v>0</v>
      </c>
      <c r="E17" s="113">
        <f>+StOmer!$G17</f>
        <v>0</v>
      </c>
      <c r="F17" s="160">
        <f>+Béthune!E17+Boulogne!E17+Calais!E17+StOmer!E17</f>
        <v>0</v>
      </c>
      <c r="G17" s="135"/>
      <c r="H17" s="113">
        <v>0</v>
      </c>
      <c r="I17" s="161"/>
      <c r="J17" s="149">
        <f t="shared" si="0"/>
        <v>0</v>
      </c>
      <c r="K17" s="271">
        <f t="shared" si="1"/>
        <v>0</v>
      </c>
      <c r="L17" s="18">
        <f>+Béthune!D17+Boulogne!D17+Calais!D17+StOmer!D17</f>
        <v>0</v>
      </c>
      <c r="M17" s="2">
        <v>0</v>
      </c>
    </row>
    <row r="18" spans="1:13" s="2" customFormat="1" ht="11.25" hidden="1">
      <c r="A18" s="5" t="s">
        <v>89</v>
      </c>
      <c r="B18" s="160">
        <f>+Béthune!$G18</f>
        <v>0</v>
      </c>
      <c r="C18" s="113">
        <f>+Boulogne!$G18</f>
        <v>0</v>
      </c>
      <c r="D18" s="113">
        <f>+Calais!$G18</f>
        <v>0</v>
      </c>
      <c r="E18" s="113">
        <f>+StOmer!$G18</f>
        <v>0</v>
      </c>
      <c r="F18" s="160">
        <f>+Béthune!E18+Boulogne!E18+Calais!E18+StOmer!E18</f>
        <v>0</v>
      </c>
      <c r="G18" s="135"/>
      <c r="H18" s="113">
        <v>0</v>
      </c>
      <c r="I18" s="161"/>
      <c r="J18" s="149">
        <f t="shared" si="0"/>
        <v>0</v>
      </c>
      <c r="K18" s="271">
        <f t="shared" si="1"/>
        <v>0</v>
      </c>
      <c r="L18" s="18">
        <f>+Béthune!D18+Boulogne!D18+Calais!D18+StOmer!D18</f>
        <v>0</v>
      </c>
      <c r="M18" s="2">
        <v>0</v>
      </c>
    </row>
    <row r="19" spans="1:13" s="2" customFormat="1" ht="11.25" hidden="1">
      <c r="A19" s="5" t="s">
        <v>90</v>
      </c>
      <c r="B19" s="160">
        <f>+Béthune!$G19</f>
        <v>0</v>
      </c>
      <c r="C19" s="113">
        <f>+Boulogne!$G19</f>
        <v>0</v>
      </c>
      <c r="D19" s="113">
        <f>+Calais!$G19</f>
        <v>0</v>
      </c>
      <c r="E19" s="113">
        <f>+StOmer!$G19</f>
        <v>0</v>
      </c>
      <c r="F19" s="160">
        <f>+Béthune!E19+Boulogne!E19+Calais!E19+StOmer!E19</f>
        <v>0</v>
      </c>
      <c r="G19" s="135"/>
      <c r="H19" s="113">
        <v>0</v>
      </c>
      <c r="I19" s="161"/>
      <c r="J19" s="149">
        <f t="shared" si="0"/>
        <v>0</v>
      </c>
      <c r="K19" s="271">
        <f t="shared" si="1"/>
        <v>0</v>
      </c>
      <c r="L19" s="18">
        <v>0</v>
      </c>
      <c r="M19" s="2">
        <v>0</v>
      </c>
    </row>
    <row r="20" spans="1:13" s="2" customFormat="1" ht="11.25" hidden="1">
      <c r="A20" s="5"/>
      <c r="B20" s="160"/>
      <c r="C20" s="113"/>
      <c r="D20" s="113"/>
      <c r="E20" s="113"/>
      <c r="F20" s="160"/>
      <c r="G20" s="113"/>
      <c r="H20" s="113"/>
      <c r="I20" s="162"/>
      <c r="J20" s="149"/>
      <c r="K20" s="254"/>
      <c r="L20" s="18"/>
      <c r="M20" s="2">
        <v>0</v>
      </c>
    </row>
    <row r="21" spans="1:13" s="57" customFormat="1" ht="15" customHeight="1">
      <c r="A21" s="13" t="s">
        <v>222</v>
      </c>
      <c r="B21" s="803">
        <f t="shared" ref="B21:G21" si="2">SUM(B7:B20)</f>
        <v>400349</v>
      </c>
      <c r="C21" s="803">
        <f t="shared" si="2"/>
        <v>2256694</v>
      </c>
      <c r="D21" s="803">
        <f t="shared" si="2"/>
        <v>1054403</v>
      </c>
      <c r="E21" s="803">
        <f t="shared" si="2"/>
        <v>812475</v>
      </c>
      <c r="F21" s="803">
        <f>SUM(F7:F20)</f>
        <v>4135562.92</v>
      </c>
      <c r="G21" s="803">
        <f t="shared" si="2"/>
        <v>4358334.9251742084</v>
      </c>
      <c r="H21" s="204">
        <v>3565570.7347999997</v>
      </c>
      <c r="I21" s="803">
        <f>SUM(I7:I20)</f>
        <v>4523921</v>
      </c>
      <c r="J21" s="596">
        <f>+IF((F21)=0,,(G21-F21)/F21)</f>
        <v>5.3867395922538266E-2</v>
      </c>
      <c r="K21" s="1015">
        <f>+IF((G21)=0,,(I21-G21)/G21)</f>
        <v>3.7992966962990565E-2</v>
      </c>
      <c r="L21" s="803">
        <f>SUM(L7:L20)</f>
        <v>4405558</v>
      </c>
      <c r="M21" s="678">
        <v>1</v>
      </c>
    </row>
    <row r="22" spans="1:13" s="57" customFormat="1" ht="15" hidden="1" customHeight="1">
      <c r="A22" s="5"/>
      <c r="B22" s="160"/>
      <c r="C22" s="113"/>
      <c r="D22" s="113"/>
      <c r="E22" s="113"/>
      <c r="F22" s="160"/>
      <c r="G22" s="113"/>
      <c r="H22" s="113"/>
      <c r="I22" s="162"/>
      <c r="J22" s="149"/>
      <c r="K22" s="271"/>
      <c r="L22" s="18"/>
      <c r="M22" s="2">
        <v>0</v>
      </c>
    </row>
    <row r="23" spans="1:13" s="2" customFormat="1" ht="11.25" hidden="1">
      <c r="A23" s="5" t="s">
        <v>92</v>
      </c>
      <c r="B23" s="160">
        <f>+Béthune!$G23</f>
        <v>0</v>
      </c>
      <c r="C23" s="113">
        <f>+Boulogne!$G23</f>
        <v>0</v>
      </c>
      <c r="D23" s="113">
        <f>+Calais!$G23</f>
        <v>0</v>
      </c>
      <c r="E23" s="113">
        <f>+StOmer!$G23</f>
        <v>0</v>
      </c>
      <c r="F23" s="160">
        <f>+Béthune!E23+Boulogne!E23+Calais!E23+StOmer!E23</f>
        <v>0</v>
      </c>
      <c r="G23" s="270"/>
      <c r="H23" s="113">
        <v>0</v>
      </c>
      <c r="I23" s="161"/>
      <c r="J23" s="149"/>
      <c r="K23" s="271"/>
      <c r="L23" s="18"/>
      <c r="M23" s="2">
        <v>0</v>
      </c>
    </row>
    <row r="24" spans="1:13" s="2" customFormat="1" ht="11.25">
      <c r="A24" s="590" t="s">
        <v>93</v>
      </c>
      <c r="B24" s="805">
        <f>+Béthune!$G24</f>
        <v>111697.37099999998</v>
      </c>
      <c r="C24" s="805">
        <f>+Boulogne!$G24</f>
        <v>981503.92142000003</v>
      </c>
      <c r="D24" s="805">
        <f>+Calais!$G24</f>
        <v>393766.80035000009</v>
      </c>
      <c r="E24" s="805">
        <f>+StOmer!$G24</f>
        <v>232013.6109</v>
      </c>
      <c r="F24" s="805">
        <f>+Béthune!E24+Boulogne!E24+Calais!E24+StOmer!E24</f>
        <v>1390468.6199999999</v>
      </c>
      <c r="G24" s="1077"/>
      <c r="H24" s="113">
        <v>0</v>
      </c>
      <c r="I24" s="1077"/>
      <c r="J24" s="1013"/>
      <c r="K24" s="1014"/>
      <c r="L24" s="805"/>
      <c r="M24" s="678">
        <v>1</v>
      </c>
    </row>
    <row r="25" spans="1:13" s="2" customFormat="1" ht="11.25" hidden="1">
      <c r="A25" s="5" t="s">
        <v>94</v>
      </c>
      <c r="B25" s="160">
        <f>+Béthune!$G25</f>
        <v>0</v>
      </c>
      <c r="C25" s="113">
        <f>+Boulogne!$G25</f>
        <v>0</v>
      </c>
      <c r="D25" s="113">
        <f>+Calais!$G25</f>
        <v>0</v>
      </c>
      <c r="E25" s="113">
        <f>+StOmer!$G25</f>
        <v>0</v>
      </c>
      <c r="F25" s="160">
        <f>+Béthune!E25+Boulogne!E25+Calais!E25+StOmer!E25</f>
        <v>147781.83000000002</v>
      </c>
      <c r="G25" s="270"/>
      <c r="H25" s="113">
        <v>0</v>
      </c>
      <c r="I25" s="161"/>
      <c r="J25" s="149"/>
      <c r="K25" s="271"/>
      <c r="L25" s="18"/>
      <c r="M25" s="2">
        <v>0</v>
      </c>
    </row>
    <row r="26" spans="1:13" s="57" customFormat="1" ht="15" hidden="1" customHeight="1">
      <c r="A26" s="5" t="s">
        <v>288</v>
      </c>
      <c r="B26" s="160">
        <f>+Béthune!$G26</f>
        <v>0</v>
      </c>
      <c r="C26" s="113">
        <f>+Boulogne!$G26</f>
        <v>0</v>
      </c>
      <c r="D26" s="113">
        <f>+Calais!$G26</f>
        <v>0</v>
      </c>
      <c r="E26" s="113">
        <f>+StOmer!$G26</f>
        <v>0</v>
      </c>
      <c r="F26" s="160">
        <f>+Béthune!E26+Boulogne!E26+Calais!E26+StOmer!E26</f>
        <v>371993</v>
      </c>
      <c r="G26" s="270"/>
      <c r="H26" s="113">
        <v>0</v>
      </c>
      <c r="I26" s="161"/>
      <c r="J26" s="149"/>
      <c r="K26" s="271"/>
      <c r="L26" s="18"/>
      <c r="M26" s="2">
        <v>0</v>
      </c>
    </row>
    <row r="27" spans="1:13" s="57" customFormat="1" ht="15" hidden="1" customHeight="1">
      <c r="A27" s="5" t="s">
        <v>289</v>
      </c>
      <c r="B27" s="160">
        <f>+Béthune!$G27</f>
        <v>0</v>
      </c>
      <c r="C27" s="113">
        <f>+Boulogne!$G27</f>
        <v>0</v>
      </c>
      <c r="D27" s="113">
        <f>+Calais!$G27</f>
        <v>0</v>
      </c>
      <c r="E27" s="113">
        <f>+StOmer!$G27</f>
        <v>0</v>
      </c>
      <c r="F27" s="160">
        <f>+Béthune!E27+Boulogne!E27+Calais!E27+StOmer!E27</f>
        <v>-284787</v>
      </c>
      <c r="G27" s="270"/>
      <c r="H27" s="113">
        <v>0</v>
      </c>
      <c r="I27" s="161"/>
      <c r="J27" s="149"/>
      <c r="K27" s="271"/>
      <c r="L27" s="18"/>
      <c r="M27" s="2">
        <v>0</v>
      </c>
    </row>
    <row r="28" spans="1:13" s="2" customFormat="1" ht="11.25">
      <c r="A28" s="590" t="s">
        <v>95</v>
      </c>
      <c r="B28" s="805">
        <f>+Béthune!$G28</f>
        <v>136519.00900000002</v>
      </c>
      <c r="C28" s="805">
        <f>+Boulogne!$G28</f>
        <v>627518.90058000013</v>
      </c>
      <c r="D28" s="805">
        <f>+Calais!$G28</f>
        <v>322172.83665000007</v>
      </c>
      <c r="E28" s="805">
        <f>+StOmer!$G28</f>
        <v>205747.91909999997</v>
      </c>
      <c r="F28" s="805">
        <f>+Béthune!E28+Boulogne!E28+Calais!E28+StOmer!E28</f>
        <v>1219305.6800000002</v>
      </c>
      <c r="G28" s="1077"/>
      <c r="H28" s="113">
        <v>0</v>
      </c>
      <c r="I28" s="1077"/>
      <c r="J28" s="1013"/>
      <c r="K28" s="1014"/>
      <c r="L28" s="805"/>
      <c r="M28" s="678">
        <v>1</v>
      </c>
    </row>
    <row r="29" spans="1:13" s="2" customFormat="1" ht="11.25" hidden="1">
      <c r="A29" s="5" t="s">
        <v>293</v>
      </c>
      <c r="B29" s="160">
        <f>+Béthune!$G29</f>
        <v>0</v>
      </c>
      <c r="C29" s="113">
        <f>+Boulogne!$G29</f>
        <v>0</v>
      </c>
      <c r="D29" s="113">
        <f>+Calais!$G29</f>
        <v>0</v>
      </c>
      <c r="E29" s="113">
        <f>+StOmer!$G29</f>
        <v>0</v>
      </c>
      <c r="F29" s="160">
        <f>+Béthune!E29+Boulogne!E29+Calais!E29+StOmer!E29</f>
        <v>1188.9000000000001</v>
      </c>
      <c r="G29" s="270"/>
      <c r="H29" s="270">
        <v>0</v>
      </c>
      <c r="I29" s="161"/>
      <c r="J29" s="149"/>
      <c r="K29" s="271"/>
      <c r="L29" s="18"/>
      <c r="M29" s="2">
        <v>0</v>
      </c>
    </row>
    <row r="30" spans="1:13" s="2" customFormat="1" ht="11.25">
      <c r="A30" s="42" t="s">
        <v>292</v>
      </c>
      <c r="B30" s="804">
        <f>SUM(B23:B29)</f>
        <v>248216.38</v>
      </c>
      <c r="C30" s="804">
        <f>SUM(C23:C29)</f>
        <v>1609022.8220000002</v>
      </c>
      <c r="D30" s="804">
        <f>SUM(D23:D29)</f>
        <v>715939.6370000001</v>
      </c>
      <c r="E30" s="804">
        <f>SUM(E23:E29)</f>
        <v>437761.52999999997</v>
      </c>
      <c r="F30" s="804">
        <f>SUM(F23:F29)</f>
        <v>2845951.03</v>
      </c>
      <c r="G30" s="804"/>
      <c r="H30" s="220">
        <v>0</v>
      </c>
      <c r="I30" s="804"/>
      <c r="J30" s="606"/>
      <c r="K30" s="1021"/>
      <c r="L30" s="804"/>
      <c r="M30" s="678">
        <v>1</v>
      </c>
    </row>
    <row r="31" spans="1:13" s="2" customFormat="1" ht="15" hidden="1" customHeight="1">
      <c r="A31" s="5"/>
      <c r="B31" s="160"/>
      <c r="C31" s="113"/>
      <c r="D31" s="113"/>
      <c r="E31" s="113"/>
      <c r="F31" s="160"/>
      <c r="G31" s="113"/>
      <c r="H31" s="113"/>
      <c r="I31" s="162"/>
      <c r="J31" s="149"/>
      <c r="K31" s="254"/>
      <c r="L31" s="18"/>
      <c r="M31" s="2">
        <v>0</v>
      </c>
    </row>
    <row r="32" spans="1:13" s="2" customFormat="1" ht="15" hidden="1" customHeight="1">
      <c r="A32" s="56" t="s">
        <v>336</v>
      </c>
      <c r="B32" s="166">
        <f>+B21-B30-B38</f>
        <v>152132.62</v>
      </c>
      <c r="C32" s="221">
        <f>+C21-C30-C38</f>
        <v>647671.17799999984</v>
      </c>
      <c r="D32" s="221">
        <f>+D21-D30-D38</f>
        <v>338463.3629999999</v>
      </c>
      <c r="E32" s="221">
        <f>+E21-E30-E38</f>
        <v>374713.47000000003</v>
      </c>
      <c r="F32" s="221">
        <f>+F21-F30-F38</f>
        <v>1403219.9042000002</v>
      </c>
      <c r="G32" s="221"/>
      <c r="H32" s="221"/>
      <c r="I32" s="167"/>
      <c r="J32" s="273"/>
      <c r="K32" s="274"/>
      <c r="L32" s="307"/>
      <c r="M32" s="2">
        <v>0</v>
      </c>
    </row>
    <row r="33" spans="1:13" s="2" customFormat="1" ht="11.25" hidden="1">
      <c r="A33" s="56" t="s">
        <v>337</v>
      </c>
      <c r="B33" s="196">
        <f>+B32/B21</f>
        <v>0.38</v>
      </c>
      <c r="C33" s="222">
        <f>+C32/C21</f>
        <v>0.28699999999999992</v>
      </c>
      <c r="D33" s="222">
        <f>+D32/D21</f>
        <v>0.3209999999999999</v>
      </c>
      <c r="E33" s="222">
        <f>+E32/E21</f>
        <v>0.46120000000000005</v>
      </c>
      <c r="F33" s="222">
        <f>+F32/F21</f>
        <v>0.33930565955456438</v>
      </c>
      <c r="G33" s="222"/>
      <c r="H33" s="222"/>
      <c r="I33" s="189"/>
      <c r="J33" s="273"/>
      <c r="K33" s="274"/>
      <c r="L33" s="308"/>
      <c r="M33" s="2">
        <v>0</v>
      </c>
    </row>
    <row r="34" spans="1:13" s="2" customFormat="1" ht="11.25" hidden="1">
      <c r="A34" s="5"/>
      <c r="B34" s="160"/>
      <c r="C34" s="113"/>
      <c r="D34" s="113"/>
      <c r="E34" s="113"/>
      <c r="F34" s="160"/>
      <c r="G34" s="113"/>
      <c r="H34" s="113"/>
      <c r="I34" s="162"/>
      <c r="J34" s="149"/>
      <c r="K34" s="271"/>
      <c r="L34" s="18"/>
      <c r="M34" s="2">
        <v>0</v>
      </c>
    </row>
    <row r="35" spans="1:13" s="33" customFormat="1" ht="15" hidden="1" customHeight="1">
      <c r="A35" s="5" t="s">
        <v>96</v>
      </c>
      <c r="B35" s="160">
        <f>+Béthune!$G35</f>
        <v>3530.9226802179392</v>
      </c>
      <c r="C35" s="113">
        <f>+Boulogne!$G35</f>
        <v>18766.093234900778</v>
      </c>
      <c r="D35" s="113">
        <f>+Calais!$G35</f>
        <v>9529.8382398923877</v>
      </c>
      <c r="E35" s="113">
        <f>+StOmer!$G35</f>
        <v>2515.4050093863766</v>
      </c>
      <c r="F35" s="160">
        <f>+Béthune!E35+Boulogne!E35+Calais!E35+StOmer!E35</f>
        <v>32064.350000000006</v>
      </c>
      <c r="G35" s="270"/>
      <c r="H35" s="113">
        <v>0</v>
      </c>
      <c r="I35" s="161"/>
      <c r="J35" s="149"/>
      <c r="K35" s="271"/>
      <c r="L35" s="18"/>
      <c r="M35" s="2">
        <v>0</v>
      </c>
    </row>
    <row r="36" spans="1:13" s="2" customFormat="1" ht="11.25" hidden="1">
      <c r="A36" s="5" t="s">
        <v>97</v>
      </c>
      <c r="B36" s="160">
        <f>+Béthune!$G36</f>
        <v>1250.9091510884678</v>
      </c>
      <c r="C36" s="113">
        <f>+Boulogne!$G36</f>
        <v>3884.9834205255934</v>
      </c>
      <c r="D36" s="113">
        <f>+Calais!$G36</f>
        <v>1659.8789222519501</v>
      </c>
      <c r="E36" s="113">
        <f>+StOmer!$G36</f>
        <v>356.39990749067005</v>
      </c>
      <c r="F36" s="160">
        <f>+Béthune!E36+Boulogne!E36+Calais!E36+StOmer!E36</f>
        <v>6501.1800000000012</v>
      </c>
      <c r="G36" s="270"/>
      <c r="H36" s="113">
        <v>0</v>
      </c>
      <c r="I36" s="161"/>
      <c r="J36" s="149"/>
      <c r="K36" s="271"/>
      <c r="L36" s="18"/>
      <c r="M36" s="2">
        <v>0</v>
      </c>
    </row>
    <row r="37" spans="1:13" s="33" customFormat="1" ht="15.75" hidden="1" customHeight="1">
      <c r="A37" s="5" t="s">
        <v>98</v>
      </c>
      <c r="B37" s="160">
        <f>+Béthune!$G37</f>
        <v>0</v>
      </c>
      <c r="C37" s="113">
        <f>+Boulogne!$G37</f>
        <v>0</v>
      </c>
      <c r="D37" s="113">
        <f>+Calais!$G37</f>
        <v>0</v>
      </c>
      <c r="E37" s="113">
        <f>+StOmer!$G37</f>
        <v>0</v>
      </c>
      <c r="F37" s="160">
        <f>+Béthune!E37+Boulogne!E37+Calais!E37+StOmer!E37</f>
        <v>0</v>
      </c>
      <c r="G37" s="270"/>
      <c r="H37" s="113">
        <v>0</v>
      </c>
      <c r="I37" s="161"/>
      <c r="J37" s="149"/>
      <c r="K37" s="271"/>
      <c r="L37" s="18"/>
      <c r="M37" s="2">
        <v>0</v>
      </c>
    </row>
    <row r="38" spans="1:13" s="2" customFormat="1" ht="11.25" hidden="1">
      <c r="A38" s="5" t="s">
        <v>99</v>
      </c>
      <c r="B38" s="160">
        <f>+Béthune!$G38</f>
        <v>0</v>
      </c>
      <c r="C38" s="113">
        <f>+Boulogne!$G38</f>
        <v>0</v>
      </c>
      <c r="D38" s="113">
        <f>+Calais!$G38</f>
        <v>0</v>
      </c>
      <c r="E38" s="113">
        <f>+StOmer!$G38</f>
        <v>0</v>
      </c>
      <c r="F38" s="160">
        <f>+Béthune!E38+Boulogne!E38+Calais!E38+StOmer!E38</f>
        <v>-113608.01420000005</v>
      </c>
      <c r="G38" s="270"/>
      <c r="H38" s="113">
        <v>0</v>
      </c>
      <c r="I38" s="161"/>
      <c r="J38" s="149"/>
      <c r="K38" s="271"/>
      <c r="L38" s="18"/>
      <c r="M38" s="2">
        <v>0</v>
      </c>
    </row>
    <row r="39" spans="1:13" s="2" customFormat="1" ht="11.25" hidden="1">
      <c r="A39" s="5" t="s">
        <v>177</v>
      </c>
      <c r="B39" s="160">
        <f>+Béthune!$G39</f>
        <v>0</v>
      </c>
      <c r="C39" s="113">
        <f>+Boulogne!$G39</f>
        <v>0</v>
      </c>
      <c r="D39" s="113">
        <f>+Calais!$G39</f>
        <v>0</v>
      </c>
      <c r="E39" s="113">
        <f>+StOmer!$G39</f>
        <v>0</v>
      </c>
      <c r="F39" s="160">
        <f>+Béthune!E39+Boulogne!E39+Calais!E39+StOmer!E39</f>
        <v>17774.650000000001</v>
      </c>
      <c r="G39" s="270"/>
      <c r="H39" s="113">
        <v>0</v>
      </c>
      <c r="I39" s="161"/>
      <c r="J39" s="149"/>
      <c r="K39" s="271"/>
      <c r="L39" s="18"/>
      <c r="M39" s="2">
        <v>0</v>
      </c>
    </row>
    <row r="40" spans="1:13" s="2" customFormat="1" ht="11.25" hidden="1">
      <c r="A40" s="5" t="s">
        <v>176</v>
      </c>
      <c r="B40" s="160">
        <f>+Béthune!$G40</f>
        <v>0</v>
      </c>
      <c r="C40" s="113">
        <f>+Boulogne!$G40</f>
        <v>0</v>
      </c>
      <c r="D40" s="113">
        <f>+Calais!$G40</f>
        <v>0</v>
      </c>
      <c r="E40" s="113">
        <f>+StOmer!$G40</f>
        <v>0</v>
      </c>
      <c r="F40" s="160">
        <f>+Béthune!E40+Boulogne!E40+Calais!E40+StOmer!E40</f>
        <v>-11954.03</v>
      </c>
      <c r="G40" s="270"/>
      <c r="H40" s="113">
        <v>0</v>
      </c>
      <c r="I40" s="161"/>
      <c r="J40" s="149"/>
      <c r="K40" s="271"/>
      <c r="L40" s="18"/>
      <c r="M40" s="2">
        <v>0</v>
      </c>
    </row>
    <row r="41" spans="1:13" s="2" customFormat="1" ht="11.25" hidden="1">
      <c r="A41" s="5" t="s">
        <v>317</v>
      </c>
      <c r="B41" s="160">
        <f>+Béthune!$G41</f>
        <v>-2233.94742</v>
      </c>
      <c r="C41" s="113">
        <f>+Boulogne!$G41</f>
        <v>-19630.0784284</v>
      </c>
      <c r="D41" s="113">
        <f>+Calais!$G41</f>
        <v>-7875.3360070000017</v>
      </c>
      <c r="E41" s="113">
        <f>+StOmer!$G41</f>
        <v>-4640.2722180000001</v>
      </c>
      <c r="F41" s="160">
        <f>+Béthune!E41+Boulogne!E41+Calais!E41+StOmer!E41</f>
        <v>-43892.15</v>
      </c>
      <c r="G41" s="270"/>
      <c r="H41" s="113">
        <v>0</v>
      </c>
      <c r="I41" s="161"/>
      <c r="J41" s="149"/>
      <c r="K41" s="271"/>
      <c r="L41" s="18"/>
      <c r="M41" s="2">
        <v>0</v>
      </c>
    </row>
    <row r="42" spans="1:13" s="2" customFormat="1" ht="11.25" hidden="1">
      <c r="A42" s="5" t="s">
        <v>318</v>
      </c>
      <c r="B42" s="160">
        <f>+Béthune!$G42</f>
        <v>-9556.3306300000022</v>
      </c>
      <c r="C42" s="113">
        <f>+Boulogne!$G42</f>
        <v>-43926.323040600015</v>
      </c>
      <c r="D42" s="113">
        <f>+Calais!$G42</f>
        <v>-22552.098565500008</v>
      </c>
      <c r="E42" s="113">
        <f>+StOmer!$G42</f>
        <v>-14402.354336999999</v>
      </c>
      <c r="F42" s="160">
        <f>+Béthune!E42+Boulogne!E42+Calais!E42+StOmer!E42</f>
        <v>-85210.35</v>
      </c>
      <c r="G42" s="270"/>
      <c r="H42" s="113">
        <v>0</v>
      </c>
      <c r="I42" s="161"/>
      <c r="J42" s="149"/>
      <c r="K42" s="271"/>
      <c r="L42" s="18"/>
      <c r="M42" s="2">
        <v>0</v>
      </c>
    </row>
    <row r="43" spans="1:13" s="2" customFormat="1" ht="11.25" hidden="1">
      <c r="A43" s="5"/>
      <c r="B43" s="160"/>
      <c r="C43" s="113"/>
      <c r="D43" s="113"/>
      <c r="E43" s="113"/>
      <c r="F43" s="160"/>
      <c r="G43" s="113"/>
      <c r="H43" s="113"/>
      <c r="I43" s="162"/>
      <c r="J43" s="149"/>
      <c r="K43" s="254"/>
      <c r="L43" s="18"/>
      <c r="M43" s="2">
        <v>0</v>
      </c>
    </row>
    <row r="44" spans="1:13" s="2" customFormat="1" ht="11.25" hidden="1">
      <c r="A44" s="13" t="s">
        <v>291</v>
      </c>
      <c r="B44" s="163">
        <f>+B30+SUM(B34:B43)</f>
        <v>241207.9337813064</v>
      </c>
      <c r="C44" s="204">
        <f>+C30+SUM(C34:C43)</f>
        <v>1568117.4971864265</v>
      </c>
      <c r="D44" s="204">
        <f>+D30+SUM(D34:D43)</f>
        <v>696701.91958964441</v>
      </c>
      <c r="E44" s="204">
        <f>+E30+SUM(E34:E43)</f>
        <v>421590.70836187701</v>
      </c>
      <c r="F44" s="204">
        <f>+F30+SUM(F34:F43)</f>
        <v>2647626.6657999996</v>
      </c>
      <c r="G44" s="204"/>
      <c r="H44" s="204">
        <v>0</v>
      </c>
      <c r="I44" s="168"/>
      <c r="J44" s="272"/>
      <c r="K44" s="188"/>
      <c r="L44" s="305"/>
      <c r="M44" s="2">
        <v>0</v>
      </c>
    </row>
    <row r="45" spans="1:13" s="2" customFormat="1" ht="11.25" hidden="1">
      <c r="A45" s="5"/>
      <c r="B45" s="160"/>
      <c r="C45" s="113"/>
      <c r="D45" s="113"/>
      <c r="E45" s="113"/>
      <c r="F45" s="160"/>
      <c r="G45" s="113"/>
      <c r="H45" s="113"/>
      <c r="I45" s="162"/>
      <c r="J45" s="149"/>
      <c r="K45" s="254"/>
      <c r="L45" s="18"/>
      <c r="M45" s="2">
        <v>0</v>
      </c>
    </row>
    <row r="46" spans="1:13" s="2" customFormat="1" ht="11.25" hidden="1">
      <c r="A46" s="56" t="s">
        <v>339</v>
      </c>
      <c r="B46" s="166">
        <f>+B21-B44</f>
        <v>159141.0662186936</v>
      </c>
      <c r="C46" s="221">
        <f>+C21-C44</f>
        <v>688576.50281357346</v>
      </c>
      <c r="D46" s="221">
        <f>+D21-D44</f>
        <v>357701.08041035559</v>
      </c>
      <c r="E46" s="221">
        <f>+E21-E44</f>
        <v>390884.29163812299</v>
      </c>
      <c r="F46" s="221">
        <f>+F21-F44</f>
        <v>1487936.2542000003</v>
      </c>
      <c r="G46" s="221"/>
      <c r="H46" s="221">
        <v>3565570.7347999997</v>
      </c>
      <c r="I46" s="167"/>
      <c r="J46" s="273"/>
      <c r="K46" s="274"/>
      <c r="L46" s="307"/>
      <c r="M46" s="2">
        <v>0</v>
      </c>
    </row>
    <row r="47" spans="1:13" s="2" customFormat="1" ht="11.25" hidden="1">
      <c r="A47" s="56" t="s">
        <v>340</v>
      </c>
      <c r="B47" s="196">
        <f>+B46/B21</f>
        <v>0.39750584169985087</v>
      </c>
      <c r="C47" s="222">
        <f>+C46/C21</f>
        <v>0.30512621685242813</v>
      </c>
      <c r="D47" s="222">
        <f>+D46/D21</f>
        <v>0.339245127726643</v>
      </c>
      <c r="E47" s="222">
        <f>+E46/E21</f>
        <v>0.48110316211344717</v>
      </c>
      <c r="F47" s="222">
        <f>+F46/F21</f>
        <v>0.35979050082981212</v>
      </c>
      <c r="G47" s="222"/>
      <c r="H47" s="222">
        <v>1</v>
      </c>
      <c r="I47" s="189"/>
      <c r="J47" s="273"/>
      <c r="K47" s="274"/>
      <c r="L47" s="308"/>
      <c r="M47" s="2">
        <v>0</v>
      </c>
    </row>
    <row r="48" spans="1:13" s="2" customFormat="1" ht="15" hidden="1" customHeight="1">
      <c r="A48" s="5"/>
      <c r="B48" s="160"/>
      <c r="C48" s="113"/>
      <c r="D48" s="113"/>
      <c r="E48" s="113"/>
      <c r="F48" s="160"/>
      <c r="G48" s="113"/>
      <c r="H48" s="113"/>
      <c r="I48" s="162"/>
      <c r="J48" s="149"/>
      <c r="K48" s="271"/>
      <c r="L48" s="18"/>
      <c r="M48" s="2">
        <v>0</v>
      </c>
    </row>
    <row r="49" spans="1:13" s="2" customFormat="1" ht="11.25">
      <c r="A49" s="590" t="s">
        <v>91</v>
      </c>
      <c r="B49" s="805">
        <f>+Béthune!$G49</f>
        <v>1803</v>
      </c>
      <c r="C49" s="805">
        <f>+Boulogne!$G49</f>
        <v>34720</v>
      </c>
      <c r="D49" s="805">
        <f>+Calais!$G49</f>
        <v>10387</v>
      </c>
      <c r="E49" s="805">
        <f>+StOmer!$G49</f>
        <v>1912</v>
      </c>
      <c r="F49" s="805">
        <f>+Béthune!E49+Boulogne!E49+Calais!E49+StOmer!E49</f>
        <v>30329.43</v>
      </c>
      <c r="G49" s="619">
        <f>+Béthune!F49+Boulogne!F49+Calais!F49+StOmer!F49</f>
        <v>48535</v>
      </c>
      <c r="H49" s="113">
        <v>44722.600000000006</v>
      </c>
      <c r="I49" s="1077">
        <f>+Béthune!G49+Boulogne!G49+Calais!G49+StOmer!G49</f>
        <v>48822</v>
      </c>
      <c r="J49" s="1013">
        <f>+IF((F49)=0,,(G49-F49)/F49)</f>
        <v>0.60026086873376783</v>
      </c>
      <c r="K49" s="1014">
        <f>+IF((G49)=0,,(I49-G49)/G49)</f>
        <v>5.9132584732667151E-3</v>
      </c>
      <c r="L49" s="805">
        <f>+Béthune!D49+Boulogne!D49+Calais!D49+StOmer!D49</f>
        <v>48535</v>
      </c>
      <c r="M49" s="678">
        <v>1</v>
      </c>
    </row>
    <row r="50" spans="1:13" s="2" customFormat="1" ht="15" hidden="1" customHeight="1">
      <c r="A50" s="5"/>
      <c r="B50" s="160"/>
      <c r="C50" s="113"/>
      <c r="D50" s="113"/>
      <c r="E50" s="113"/>
      <c r="F50" s="160"/>
      <c r="G50" s="134"/>
      <c r="H50" s="113"/>
      <c r="I50" s="162"/>
      <c r="J50" s="149"/>
      <c r="K50" s="271"/>
      <c r="L50" s="18"/>
      <c r="M50" s="2">
        <v>0</v>
      </c>
    </row>
    <row r="51" spans="1:13" s="2" customFormat="1" ht="11.25">
      <c r="A51" s="13" t="s">
        <v>223</v>
      </c>
      <c r="B51" s="803">
        <f t="shared" ref="B51:G51" si="3">+B21-B49</f>
        <v>398546</v>
      </c>
      <c r="C51" s="803">
        <f t="shared" si="3"/>
        <v>2221974</v>
      </c>
      <c r="D51" s="803">
        <f t="shared" si="3"/>
        <v>1044016</v>
      </c>
      <c r="E51" s="803">
        <f t="shared" si="3"/>
        <v>810563</v>
      </c>
      <c r="F51" s="803">
        <f t="shared" si="3"/>
        <v>4105233.4899999998</v>
      </c>
      <c r="G51" s="597">
        <f t="shared" si="3"/>
        <v>4309799.9251742084</v>
      </c>
      <c r="H51" s="204">
        <v>3520848.1347999997</v>
      </c>
      <c r="I51" s="803">
        <f>+I21-I49</f>
        <v>4475099</v>
      </c>
      <c r="J51" s="596"/>
      <c r="K51" s="1015"/>
      <c r="L51" s="803">
        <f>+L21-L49</f>
        <v>4357023</v>
      </c>
      <c r="M51" s="678">
        <v>1</v>
      </c>
    </row>
    <row r="52" spans="1:13" s="2" customFormat="1" ht="15" hidden="1" customHeight="1">
      <c r="A52" s="5"/>
      <c r="B52" s="160"/>
      <c r="C52" s="113"/>
      <c r="D52" s="113"/>
      <c r="E52" s="113"/>
      <c r="F52" s="160"/>
      <c r="G52" s="134"/>
      <c r="H52" s="113"/>
      <c r="I52" s="162"/>
      <c r="J52" s="149"/>
      <c r="K52" s="254"/>
      <c r="L52" s="18"/>
      <c r="M52" s="2">
        <v>0</v>
      </c>
    </row>
    <row r="53" spans="1:13" s="2" customFormat="1" ht="11.25" hidden="1">
      <c r="A53" s="16" t="s">
        <v>3</v>
      </c>
      <c r="B53" s="169">
        <f>+B51-B44</f>
        <v>157338.0662186936</v>
      </c>
      <c r="C53" s="223">
        <f>+C51-C44</f>
        <v>653856.50281357346</v>
      </c>
      <c r="D53" s="223">
        <f>+D51-D44</f>
        <v>347314.08041035559</v>
      </c>
      <c r="E53" s="223">
        <f>+E51-E44</f>
        <v>388972.29163812299</v>
      </c>
      <c r="F53" s="169">
        <f>+F51-F44</f>
        <v>1457606.8242000001</v>
      </c>
      <c r="G53" s="140"/>
      <c r="H53" s="223">
        <v>0</v>
      </c>
      <c r="I53" s="170"/>
      <c r="J53" s="224"/>
      <c r="K53" s="123"/>
      <c r="L53" s="309"/>
      <c r="M53" s="2">
        <v>0</v>
      </c>
    </row>
    <row r="54" spans="1:13" s="2" customFormat="1" ht="15" hidden="1" customHeight="1">
      <c r="A54" s="16" t="s">
        <v>4</v>
      </c>
      <c r="B54" s="197">
        <f>+B53/B51</f>
        <v>0.39478019154299276</v>
      </c>
      <c r="C54" s="224">
        <f>+C53/C51</f>
        <v>0.29426829603477517</v>
      </c>
      <c r="D54" s="224">
        <f>+D53/D51</f>
        <v>0.33267122382258085</v>
      </c>
      <c r="E54" s="224">
        <f>+E53/E51</f>
        <v>0.47987916008764647</v>
      </c>
      <c r="F54" s="197">
        <f>+F53/F51</f>
        <v>0.35506063851194009</v>
      </c>
      <c r="G54" s="141"/>
      <c r="H54" s="224">
        <v>0</v>
      </c>
      <c r="I54" s="191"/>
      <c r="J54" s="224"/>
      <c r="K54" s="123"/>
      <c r="L54" s="15"/>
      <c r="M54" s="2">
        <v>0</v>
      </c>
    </row>
    <row r="55" spans="1:13" s="2" customFormat="1" ht="11.25" hidden="1">
      <c r="A55" s="5"/>
      <c r="B55" s="160"/>
      <c r="C55" s="113"/>
      <c r="D55" s="113"/>
      <c r="E55" s="113"/>
      <c r="F55" s="160"/>
      <c r="G55" s="134"/>
      <c r="H55" s="113"/>
      <c r="I55" s="162"/>
      <c r="J55" s="149"/>
      <c r="K55" s="271"/>
      <c r="L55" s="18"/>
      <c r="M55" s="2">
        <v>0</v>
      </c>
    </row>
    <row r="56" spans="1:13" s="2" customFormat="1" ht="11.25" hidden="1">
      <c r="A56" s="5" t="s">
        <v>290</v>
      </c>
      <c r="B56" s="160">
        <f>+Béthune!$G56</f>
        <v>0</v>
      </c>
      <c r="C56" s="113">
        <f>+Boulogne!$G56</f>
        <v>0</v>
      </c>
      <c r="D56" s="113">
        <f>+Calais!$G56</f>
        <v>0</v>
      </c>
      <c r="E56" s="113">
        <f>+StOmer!$G56</f>
        <v>0</v>
      </c>
      <c r="F56" s="160">
        <f>+Béthune!E56+Boulogne!E56+Calais!E56+StOmer!E56</f>
        <v>391084.89130000002</v>
      </c>
      <c r="G56" s="134"/>
      <c r="H56" s="113">
        <v>0</v>
      </c>
      <c r="I56" s="161"/>
      <c r="J56" s="149"/>
      <c r="K56" s="271"/>
      <c r="L56" s="18"/>
      <c r="M56" s="2">
        <v>0</v>
      </c>
    </row>
    <row r="57" spans="1:13" s="2" customFormat="1" ht="11.25" hidden="1">
      <c r="A57" s="5" t="s">
        <v>100</v>
      </c>
      <c r="B57" s="160">
        <f>+Béthune!$G57</f>
        <v>0</v>
      </c>
      <c r="C57" s="113">
        <f>+Boulogne!$G57</f>
        <v>0</v>
      </c>
      <c r="D57" s="113">
        <f>+Calais!$G57</f>
        <v>0</v>
      </c>
      <c r="E57" s="113">
        <f>+StOmer!$G57</f>
        <v>0</v>
      </c>
      <c r="F57" s="160">
        <f>+Béthune!E57+Boulogne!E57+Calais!E57+StOmer!E57</f>
        <v>504692.90549999999</v>
      </c>
      <c r="G57" s="134"/>
      <c r="H57" s="113">
        <v>0</v>
      </c>
      <c r="I57" s="161"/>
      <c r="J57" s="149"/>
      <c r="K57" s="271"/>
      <c r="L57" s="18"/>
      <c r="M57" s="2">
        <v>0</v>
      </c>
    </row>
    <row r="58" spans="1:13" s="2" customFormat="1" ht="12" hidden="1" thickBot="1">
      <c r="A58" s="21"/>
      <c r="B58" s="171"/>
      <c r="C58" s="205"/>
      <c r="D58" s="205"/>
      <c r="E58" s="205"/>
      <c r="F58" s="171"/>
      <c r="G58" s="142"/>
      <c r="H58" s="205"/>
      <c r="I58" s="172"/>
      <c r="J58" s="236"/>
      <c r="K58" s="275"/>
      <c r="L58" s="310"/>
      <c r="M58" s="2">
        <v>0</v>
      </c>
    </row>
    <row r="59" spans="1:13" s="2" customFormat="1" ht="11.25" hidden="1">
      <c r="A59" s="5"/>
      <c r="B59" s="160"/>
      <c r="C59" s="113"/>
      <c r="D59" s="113"/>
      <c r="E59" s="113"/>
      <c r="F59" s="160"/>
      <c r="G59" s="134"/>
      <c r="H59" s="113"/>
      <c r="I59" s="162"/>
      <c r="J59" s="149"/>
      <c r="K59" s="254"/>
      <c r="L59" s="18"/>
      <c r="M59" s="2">
        <v>0</v>
      </c>
    </row>
    <row r="60" spans="1:13" s="2" customFormat="1" ht="15" customHeight="1">
      <c r="A60" s="16" t="s">
        <v>295</v>
      </c>
      <c r="B60" s="660">
        <f>+Béthune!$G60</f>
        <v>0.39478019154299276</v>
      </c>
      <c r="C60" s="660">
        <f>+Boulogne!$G60</f>
        <v>0.29426829603477517</v>
      </c>
      <c r="D60" s="660">
        <f>+Calais!$G60</f>
        <v>0.33267122382258085</v>
      </c>
      <c r="E60" s="660">
        <f>+StOmer!$G60</f>
        <v>0.47987916008764647</v>
      </c>
      <c r="F60" s="660">
        <f>+F62/F51</f>
        <v>0.35506063851194014</v>
      </c>
      <c r="G60" s="660">
        <f>+G62/G51</f>
        <v>0.34174477802338288</v>
      </c>
      <c r="H60" s="224">
        <v>0.32589352974594532</v>
      </c>
      <c r="I60" s="660">
        <f>+I62/I51</f>
        <v>0.34579814682999099</v>
      </c>
      <c r="J60" s="660"/>
      <c r="K60" s="622"/>
      <c r="L60" s="660">
        <f>+L62/L51</f>
        <v>0.37173570118863269</v>
      </c>
      <c r="M60" s="678">
        <v>1</v>
      </c>
    </row>
    <row r="61" spans="1:13" s="2" customFormat="1" ht="11.25" hidden="1">
      <c r="A61" s="5" t="s">
        <v>75</v>
      </c>
      <c r="B61" s="92">
        <f>+Béthune!$G61</f>
        <v>0</v>
      </c>
      <c r="C61" s="149">
        <f>+Boulogne!$G61</f>
        <v>0</v>
      </c>
      <c r="D61" s="149">
        <f>+Calais!$G61</f>
        <v>0</v>
      </c>
      <c r="E61" s="149">
        <f>+StOmer!$G61</f>
        <v>0</v>
      </c>
      <c r="F61" s="160"/>
      <c r="G61" s="135"/>
      <c r="H61" s="113"/>
      <c r="I61" s="162"/>
      <c r="J61" s="149"/>
      <c r="K61" s="254"/>
      <c r="L61" s="18"/>
      <c r="M61" s="2">
        <v>0</v>
      </c>
    </row>
    <row r="62" spans="1:13" s="2" customFormat="1" ht="15" customHeight="1">
      <c r="A62" s="16" t="s">
        <v>296</v>
      </c>
      <c r="B62" s="661">
        <f>+B51*B60</f>
        <v>157338.0662186936</v>
      </c>
      <c r="C62" s="661">
        <f>+C51*C60</f>
        <v>653856.50281357346</v>
      </c>
      <c r="D62" s="661">
        <f>+D51*D60</f>
        <v>347314.08041035559</v>
      </c>
      <c r="E62" s="661">
        <f>+E51*E60</f>
        <v>388972.29163812299</v>
      </c>
      <c r="F62" s="661">
        <f>+Béthune!E62+Boulogne!E62+Calais!E62+StOmer!E62</f>
        <v>1457606.8242000004</v>
      </c>
      <c r="G62" s="624">
        <f>+Béthune!F62+Boulogne!F62+Calais!F62+StOmer!F62</f>
        <v>1472851.6187538519</v>
      </c>
      <c r="H62" s="223">
        <v>1147421.6263493998</v>
      </c>
      <c r="I62" s="661">
        <f>+Béthune!G62+Boulogne!G62+Calais!G62+StOmer!G62</f>
        <v>1547480.9410807458</v>
      </c>
      <c r="J62" s="660">
        <f>+IF((F62)=0,,(G62-F62)/F62)</f>
        <v>1.0458783741094584E-2</v>
      </c>
      <c r="K62" s="622">
        <f>+IF((G62)=0,,(I62-G62)/G62)</f>
        <v>5.066995301946043E-2</v>
      </c>
      <c r="L62" s="661">
        <f>+Béthune!D62+Boulogne!D62+Calais!D62+StOmer!D62</f>
        <v>1619661</v>
      </c>
      <c r="M62" s="678">
        <v>1</v>
      </c>
    </row>
    <row r="63" spans="1:13" s="2" customFormat="1" ht="11.25" hidden="1">
      <c r="A63" s="5"/>
      <c r="B63" s="160"/>
      <c r="C63" s="113"/>
      <c r="D63" s="113"/>
      <c r="E63" s="113"/>
      <c r="F63" s="160"/>
      <c r="G63" s="134"/>
      <c r="H63" s="113"/>
      <c r="I63" s="162"/>
      <c r="J63" s="149"/>
      <c r="K63" s="271"/>
      <c r="L63" s="18"/>
      <c r="M63" s="2">
        <v>0</v>
      </c>
    </row>
    <row r="64" spans="1:13" s="2" customFormat="1" ht="11.25">
      <c r="A64" s="590" t="s">
        <v>104</v>
      </c>
      <c r="B64" s="805">
        <f>+Béthune!$G64</f>
        <v>0</v>
      </c>
      <c r="C64" s="805">
        <f>+Boulogne!$G64</f>
        <v>8794.6893333333337</v>
      </c>
      <c r="D64" s="805">
        <f>+Calais!$G64</f>
        <v>2938.4938666666667</v>
      </c>
      <c r="E64" s="805">
        <f>+StOmer!$G64</f>
        <v>3860.5223999999998</v>
      </c>
      <c r="F64" s="805">
        <f>+Béthune!E64+Boulogne!E64+Calais!E64+StOmer!E64</f>
        <v>12863.31</v>
      </c>
      <c r="G64" s="619">
        <f>+Béthune!F64+Boulogne!F64+Calais!F64+StOmer!F64</f>
        <v>15139.519999999999</v>
      </c>
      <c r="H64" s="113">
        <v>10333.580575</v>
      </c>
      <c r="I64" s="1077">
        <f>+Béthune!G64+Boulogne!G64+Calais!G64+StOmer!G64</f>
        <v>15593.705599999999</v>
      </c>
      <c r="J64" s="1013">
        <f>+IF((F64)=0,,(G64-F64)/F64)</f>
        <v>0.1769536767752623</v>
      </c>
      <c r="K64" s="1014">
        <f>+IF((G64)=0,,(I64-G64)/G64)</f>
        <v>3.0000000000000051E-2</v>
      </c>
      <c r="L64" s="805">
        <f>+Béthune!D64+Boulogne!D64+Calais!D64+StOmer!D64</f>
        <v>14159.124175000001</v>
      </c>
      <c r="M64" s="678">
        <v>1</v>
      </c>
    </row>
    <row r="65" spans="1:13" s="2" customFormat="1" ht="11.25" hidden="1">
      <c r="A65" s="5" t="s">
        <v>314</v>
      </c>
      <c r="B65" s="160">
        <f>+Béthune!$G65</f>
        <v>0</v>
      </c>
      <c r="C65" s="113">
        <f>+Boulogne!$G65</f>
        <v>0</v>
      </c>
      <c r="D65" s="113">
        <f>+Calais!$G65</f>
        <v>0</v>
      </c>
      <c r="E65" s="113">
        <f>+StOmer!$G65</f>
        <v>0</v>
      </c>
      <c r="F65" s="160">
        <f>+Béthune!E65+Boulogne!E65+Calais!E65+StOmer!E65</f>
        <v>0</v>
      </c>
      <c r="G65" s="135">
        <f>+Béthune!F65+Boulogne!F65+Calais!F65+StOmer!F65</f>
        <v>0</v>
      </c>
      <c r="H65" s="113">
        <v>0</v>
      </c>
      <c r="I65" s="161">
        <f>+Béthune!G65+Boulogne!G65+Calais!G65+StOmer!G65</f>
        <v>0</v>
      </c>
      <c r="J65" s="149">
        <f>+IF((F65)=0,,(G65-F65)/F65)</f>
        <v>0</v>
      </c>
      <c r="K65" s="271">
        <f>+IF((G65)=0,,(I65-G65)/G65)</f>
        <v>0</v>
      </c>
      <c r="L65" s="18">
        <f>+Béthune!D65+Boulogne!D65+Calais!D65+StOmer!D65</f>
        <v>0</v>
      </c>
      <c r="M65" s="2">
        <v>0</v>
      </c>
    </row>
    <row r="66" spans="1:13" s="2" customFormat="1" ht="15" customHeight="1">
      <c r="A66" s="590" t="s">
        <v>110</v>
      </c>
      <c r="B66" s="805">
        <f>+Béthune!$G66</f>
        <v>884.35800000000017</v>
      </c>
      <c r="C66" s="805">
        <f>+Boulogne!$G66</f>
        <v>2578.8453333333337</v>
      </c>
      <c r="D66" s="805">
        <f>+Calais!$G66</f>
        <v>1262.3405333333333</v>
      </c>
      <c r="E66" s="805">
        <f>+StOmer!$G66</f>
        <v>1911.3091999999999</v>
      </c>
      <c r="F66" s="805">
        <f>+Béthune!E66+Boulogne!E66+Calais!E66+StOmer!E66</f>
        <v>5459.8700000000008</v>
      </c>
      <c r="G66" s="619">
        <f>+Béthune!F66+Boulogne!F66+Calais!F66+StOmer!F66</f>
        <v>6443.5466666666671</v>
      </c>
      <c r="H66" s="113">
        <v>3158.2941499999997</v>
      </c>
      <c r="I66" s="1077">
        <f>+Béthune!G66+Boulogne!G66+Calais!G66+StOmer!G66</f>
        <v>6636.8530666666666</v>
      </c>
      <c r="J66" s="1013">
        <f>+IF((F66)=0,,(G66-F66)/F66)</f>
        <v>0.18016485129987822</v>
      </c>
      <c r="K66" s="1014">
        <f>+IF((G66)=0,,(I66-G66)/G66)</f>
        <v>2.9999999999999919E-2</v>
      </c>
      <c r="L66" s="805">
        <f>+Béthune!D66+Boulogne!D66+Calais!D66+StOmer!D66</f>
        <v>3744.73495</v>
      </c>
      <c r="M66" s="678">
        <v>1</v>
      </c>
    </row>
    <row r="67" spans="1:13" s="2" customFormat="1" ht="11.25">
      <c r="A67" s="590" t="s">
        <v>107</v>
      </c>
      <c r="B67" s="805">
        <f>+Béthune!$G67</f>
        <v>1039.8193333333334</v>
      </c>
      <c r="C67" s="805">
        <f>+Boulogne!$G67</f>
        <v>3430.8888000000002</v>
      </c>
      <c r="D67" s="805">
        <f>+Calais!$G67</f>
        <v>3574.5531999999998</v>
      </c>
      <c r="E67" s="805">
        <f>+StOmer!$G67</f>
        <v>2226.1458666666663</v>
      </c>
      <c r="F67" s="805">
        <f>+Béthune!E67+Boulogne!E67+Calais!E67+StOmer!E67</f>
        <v>13889.810000000001</v>
      </c>
      <c r="G67" s="619">
        <f>+Béthune!F67+Boulogne!F67+Calais!F67+StOmer!F67</f>
        <v>9972.24</v>
      </c>
      <c r="H67" s="113">
        <v>11102.730500000001</v>
      </c>
      <c r="I67" s="1077">
        <f>+Béthune!G67+Boulogne!G67+Calais!G67+StOmer!G67</f>
        <v>10271.4072</v>
      </c>
      <c r="J67" s="1013">
        <f>+IF((F67)=0,,(G67-F67)/F67)</f>
        <v>-0.28204633468708362</v>
      </c>
      <c r="K67" s="1014">
        <f>+IF((G67)=0,,(I67-G67)/G67)</f>
        <v>2.9999999999999988E-2</v>
      </c>
      <c r="L67" s="805">
        <f>+Béthune!D67+Boulogne!D67+Calais!D67+StOmer!D67</f>
        <v>13160.382100000003</v>
      </c>
      <c r="M67" s="678">
        <v>1</v>
      </c>
    </row>
    <row r="68" spans="1:13" s="2" customFormat="1" ht="18.75" customHeight="1">
      <c r="A68" s="590" t="s">
        <v>125</v>
      </c>
      <c r="B68" s="805">
        <f>+Béthune!$G68</f>
        <v>981.60373333333337</v>
      </c>
      <c r="C68" s="805">
        <f>+Boulogne!$G68</f>
        <v>6674.6059999999998</v>
      </c>
      <c r="D68" s="805">
        <f>+Calais!$G68</f>
        <v>4267.29</v>
      </c>
      <c r="E68" s="805">
        <f>+StOmer!$G68</f>
        <v>1700.9557333333335</v>
      </c>
      <c r="F68" s="805">
        <f>+Béthune!E68+Boulogne!E68+Calais!E68+StOmer!E68</f>
        <v>13383.02</v>
      </c>
      <c r="G68" s="619">
        <f>+Béthune!F68+Boulogne!F68+Calais!F68+StOmer!F68</f>
        <v>13227.626666666667</v>
      </c>
      <c r="H68" s="113">
        <v>12276.456700000001</v>
      </c>
      <c r="I68" s="1077">
        <f>+Béthune!G68+Boulogne!G68+Calais!G68+StOmer!G68</f>
        <v>13624.455466666668</v>
      </c>
      <c r="J68" s="1013">
        <f>+IF((F68)=0,,(G68-F68)/F68)</f>
        <v>-1.1611230748615291E-2</v>
      </c>
      <c r="K68" s="1014">
        <f>+IF((G68)=0,,(I68-G68)/G68)</f>
        <v>3.0000000000000086E-2</v>
      </c>
      <c r="L68" s="805">
        <f>+Béthune!D68+Boulogne!D68+Calais!D68+StOmer!D68</f>
        <v>15001.486500000001</v>
      </c>
      <c r="M68" s="678">
        <v>1</v>
      </c>
    </row>
    <row r="69" spans="1:13" s="2" customFormat="1" ht="11.25" hidden="1">
      <c r="A69" s="5"/>
      <c r="B69" s="160"/>
      <c r="C69" s="113"/>
      <c r="D69" s="113"/>
      <c r="E69" s="113"/>
      <c r="F69" s="160"/>
      <c r="G69" s="143"/>
      <c r="H69" s="270"/>
      <c r="I69" s="161"/>
      <c r="J69" s="149"/>
      <c r="K69" s="271"/>
      <c r="L69" s="18"/>
      <c r="M69" s="2">
        <v>0</v>
      </c>
    </row>
    <row r="70" spans="1:13" s="2" customFormat="1" ht="11.25">
      <c r="A70" s="11" t="s">
        <v>128</v>
      </c>
      <c r="B70" s="1028">
        <f t="shared" ref="B70:G70" si="4">SUM(B64:B69)</f>
        <v>2905.7810666666669</v>
      </c>
      <c r="C70" s="1028">
        <f t="shared" si="4"/>
        <v>21479.029466666667</v>
      </c>
      <c r="D70" s="1028">
        <f t="shared" si="4"/>
        <v>12042.677599999999</v>
      </c>
      <c r="E70" s="1028">
        <f t="shared" si="4"/>
        <v>9698.9331999999995</v>
      </c>
      <c r="F70" s="805">
        <f t="shared" si="4"/>
        <v>45596.01</v>
      </c>
      <c r="G70" s="1029">
        <f t="shared" si="4"/>
        <v>44782.933333333334</v>
      </c>
      <c r="H70" s="343">
        <v>36871.061925000002</v>
      </c>
      <c r="I70" s="1078">
        <f>SUM(I64:I69)</f>
        <v>46126.421333333332</v>
      </c>
      <c r="J70" s="626">
        <f>+IF((F70)=0,,(G70-F70)/F70)</f>
        <v>-1.7832188971505791E-2</v>
      </c>
      <c r="K70" s="1014">
        <f>+IF((G70)=0,,(I70-G70)/G70)</f>
        <v>2.9999999999999943E-2</v>
      </c>
      <c r="L70" s="805">
        <f>SUM(L64:L69)</f>
        <v>46065.727725000004</v>
      </c>
      <c r="M70" s="678">
        <v>1</v>
      </c>
    </row>
    <row r="71" spans="1:13" s="2" customFormat="1" ht="11.25" hidden="1">
      <c r="A71" s="5"/>
      <c r="B71" s="160"/>
      <c r="C71" s="113"/>
      <c r="D71" s="113"/>
      <c r="E71" s="113"/>
      <c r="F71" s="160"/>
      <c r="G71" s="143"/>
      <c r="H71" s="270"/>
      <c r="I71" s="161"/>
      <c r="J71" s="149"/>
      <c r="K71" s="271"/>
      <c r="L71" s="18"/>
      <c r="M71" s="2">
        <v>0</v>
      </c>
    </row>
    <row r="72" spans="1:13" s="2" customFormat="1" ht="11.25">
      <c r="A72" s="590" t="s">
        <v>1</v>
      </c>
      <c r="B72" s="805">
        <f>+Béthune!$G72</f>
        <v>24.898533333333333</v>
      </c>
      <c r="C72" s="805">
        <f>+Boulogne!$G72</f>
        <v>0</v>
      </c>
      <c r="D72" s="805">
        <f>+Calais!$G72</f>
        <v>0</v>
      </c>
      <c r="E72" s="805">
        <f>+StOmer!$G72</f>
        <v>61.566533333333325</v>
      </c>
      <c r="F72" s="805">
        <f>+Béthune!E72+Boulogne!E72+Calais!E72+StOmer!E72</f>
        <v>45.199999999999996</v>
      </c>
      <c r="G72" s="619">
        <f>+Béthune!F72+Boulogne!F72+Calais!F72+StOmer!F72</f>
        <v>83.946666666666658</v>
      </c>
      <c r="H72" s="113">
        <v>71.4088863101573</v>
      </c>
      <c r="I72" s="1077">
        <f>+Béthune!G72+Boulogne!G72+Calais!G72+StOmer!G72</f>
        <v>86.465066666666658</v>
      </c>
      <c r="J72" s="1013">
        <f>+IF((F72)=0,,(G72-F72)/F72)</f>
        <v>0.85722713864306788</v>
      </c>
      <c r="K72" s="1014">
        <f>+IF((G72)=0,,(I72-G72)/G72)</f>
        <v>0.03</v>
      </c>
      <c r="L72" s="805">
        <f>+Béthune!D72+Boulogne!D72+Calais!D72+StOmer!D72</f>
        <v>84.6237863101573</v>
      </c>
      <c r="M72" s="678">
        <v>1</v>
      </c>
    </row>
    <row r="73" spans="1:13" s="2" customFormat="1" ht="11.25">
      <c r="A73" s="590" t="s">
        <v>123</v>
      </c>
      <c r="B73" s="805">
        <f>+Béthune!$G73</f>
        <v>962.84400000000005</v>
      </c>
      <c r="C73" s="805">
        <f>+Boulogne!$G73</f>
        <v>8339.855066666667</v>
      </c>
      <c r="D73" s="805">
        <f>+Calais!$G73</f>
        <v>1940.5337333333334</v>
      </c>
      <c r="E73" s="805">
        <f>+StOmer!$G73</f>
        <v>5064.098</v>
      </c>
      <c r="F73" s="805">
        <f>+Béthune!E73+Boulogne!E73+Calais!E73+StOmer!E73</f>
        <v>15967.589999999998</v>
      </c>
      <c r="G73" s="619">
        <f>+Béthune!F73+Boulogne!F73+Calais!F73+StOmer!F73</f>
        <v>15832.359999999997</v>
      </c>
      <c r="H73" s="113">
        <v>9887.6796010435028</v>
      </c>
      <c r="I73" s="1077">
        <f>+Béthune!G73+Boulogne!G73+Calais!G73+StOmer!G73</f>
        <v>16307.330800000002</v>
      </c>
      <c r="J73" s="1013">
        <f t="shared" ref="J73:J101" si="5">+IF((F73)=0,,(G73-F73)/F73)</f>
        <v>-8.4690300790539706E-3</v>
      </c>
      <c r="K73" s="1014">
        <f t="shared" ref="K73:K101" si="6">+IF((G73)=0,,(I73-G73)/G73)</f>
        <v>3.0000000000000297E-2</v>
      </c>
      <c r="L73" s="805">
        <f>+Béthune!D73+Boulogne!D73+Calais!D73+StOmer!D73</f>
        <v>15504.846401043502</v>
      </c>
      <c r="M73" s="678">
        <v>1</v>
      </c>
    </row>
    <row r="74" spans="1:13" s="2" customFormat="1" ht="11.25">
      <c r="A74" s="590" t="s">
        <v>124</v>
      </c>
      <c r="B74" s="805">
        <f>+Béthune!$G74</f>
        <v>449.16240000000005</v>
      </c>
      <c r="C74" s="805">
        <f>+Boulogne!$G74</f>
        <v>0</v>
      </c>
      <c r="D74" s="805">
        <f>+Calais!$G74</f>
        <v>3215.151866666667</v>
      </c>
      <c r="E74" s="805">
        <f>+StOmer!$G74</f>
        <v>4930.3902666666672</v>
      </c>
      <c r="F74" s="805">
        <f>+Béthune!E74+Boulogne!E74+Calais!E74+StOmer!E74</f>
        <v>7905.18</v>
      </c>
      <c r="G74" s="619">
        <f>+Béthune!F74+Boulogne!F74+Calais!F74+StOmer!F74</f>
        <v>8344.373333333333</v>
      </c>
      <c r="H74" s="113">
        <v>3831.0974282417565</v>
      </c>
      <c r="I74" s="1077">
        <f>+Béthune!G74+Boulogne!G74+Calais!G74+StOmer!G74</f>
        <v>8594.7045333333335</v>
      </c>
      <c r="J74" s="1013">
        <f t="shared" si="5"/>
        <v>5.5557663877777948E-2</v>
      </c>
      <c r="K74" s="1014">
        <f t="shared" si="6"/>
        <v>3.0000000000000065E-2</v>
      </c>
      <c r="L74" s="805">
        <f>+Béthune!D74+Boulogne!D74+Calais!D74+StOmer!D74</f>
        <v>5785.1413282417561</v>
      </c>
      <c r="M74" s="678">
        <v>1</v>
      </c>
    </row>
    <row r="75" spans="1:13" s="2" customFormat="1" ht="11.25" hidden="1">
      <c r="A75" s="5" t="s">
        <v>360</v>
      </c>
      <c r="B75" s="160">
        <f>+Béthune!$G75</f>
        <v>0</v>
      </c>
      <c r="C75" s="113">
        <f>+Boulogne!$G75</f>
        <v>0</v>
      </c>
      <c r="D75" s="113">
        <f>+Calais!$G75</f>
        <v>0</v>
      </c>
      <c r="E75" s="113">
        <f>+StOmer!$G75</f>
        <v>0</v>
      </c>
      <c r="F75" s="160">
        <f>+Béthune!E75+Boulogne!E75+Calais!E75+StOmer!E75</f>
        <v>0</v>
      </c>
      <c r="G75" s="135">
        <f>+Béthune!F75+Boulogne!F75+Calais!F75+StOmer!F75</f>
        <v>0</v>
      </c>
      <c r="H75" s="113">
        <v>0</v>
      </c>
      <c r="I75" s="161">
        <f>+Béthune!G75+Boulogne!G75+Calais!G75+StOmer!G75</f>
        <v>0</v>
      </c>
      <c r="J75" s="149">
        <f t="shared" si="5"/>
        <v>0</v>
      </c>
      <c r="K75" s="271">
        <f t="shared" si="6"/>
        <v>0</v>
      </c>
      <c r="L75" s="18">
        <f>+Béthune!D75+Boulogne!D75+Calais!D75+StOmer!D75</f>
        <v>0</v>
      </c>
      <c r="M75" s="678">
        <v>0</v>
      </c>
    </row>
    <row r="76" spans="1:13" s="2" customFormat="1" ht="11.25">
      <c r="A76" s="590" t="s">
        <v>126</v>
      </c>
      <c r="B76" s="805">
        <f>+Béthune!$G76</f>
        <v>144.69440000000003</v>
      </c>
      <c r="C76" s="805">
        <f>+Boulogne!$G76</f>
        <v>152.33013333333335</v>
      </c>
      <c r="D76" s="805">
        <f>+Calais!$G76</f>
        <v>126.11320000000001</v>
      </c>
      <c r="E76" s="805">
        <f>+StOmer!$G76</f>
        <v>159.21053333333336</v>
      </c>
      <c r="F76" s="805">
        <f>+Béthune!E76+Boulogne!E76+Calais!E76+StOmer!E76</f>
        <v>203.56</v>
      </c>
      <c r="G76" s="619">
        <f>+Béthune!F76+Boulogne!F76+Calais!F76+StOmer!F76</f>
        <v>565.38666666666666</v>
      </c>
      <c r="H76" s="113">
        <v>88.771155807303472</v>
      </c>
      <c r="I76" s="1077">
        <f>+Béthune!G76+Boulogne!G76+Calais!G76+StOmer!G76</f>
        <v>582.34826666666675</v>
      </c>
      <c r="J76" s="1013">
        <f t="shared" si="5"/>
        <v>1.7774939411803234</v>
      </c>
      <c r="K76" s="1014">
        <f t="shared" si="6"/>
        <v>3.0000000000000158E-2</v>
      </c>
      <c r="L76" s="805">
        <f>+Béthune!D76+Boulogne!D76+Calais!D76+StOmer!D76</f>
        <v>1367.2998558073036</v>
      </c>
      <c r="M76" s="678">
        <v>1</v>
      </c>
    </row>
    <row r="77" spans="1:13" s="2" customFormat="1" ht="11.25">
      <c r="A77" s="590" t="s">
        <v>127</v>
      </c>
      <c r="B77" s="805">
        <f>+Béthune!$G77</f>
        <v>787.42813333333334</v>
      </c>
      <c r="C77" s="805">
        <f>+Boulogne!$G77</f>
        <v>3313.2628000000004</v>
      </c>
      <c r="D77" s="805">
        <f>+Calais!$G77</f>
        <v>1296.5640000000003</v>
      </c>
      <c r="E77" s="805">
        <f>+StOmer!$G77</f>
        <v>1835.5698666666667</v>
      </c>
      <c r="F77" s="805">
        <f>+Béthune!E77+Boulogne!E77+Calais!E77+StOmer!E77</f>
        <v>13149.510000000002</v>
      </c>
      <c r="G77" s="619">
        <f>+Béthune!F77+Boulogne!F77+Calais!F77+StOmer!F77</f>
        <v>7022.16</v>
      </c>
      <c r="H77" s="113">
        <v>7255.5533120449272</v>
      </c>
      <c r="I77" s="1077">
        <f>+Béthune!G77+Boulogne!G77+Calais!G77+StOmer!G77</f>
        <v>7232.8248000000003</v>
      </c>
      <c r="J77" s="1013">
        <f t="shared" si="5"/>
        <v>-0.46597553825199578</v>
      </c>
      <c r="K77" s="1014">
        <f t="shared" si="6"/>
        <v>3.0000000000000068E-2</v>
      </c>
      <c r="L77" s="805">
        <f>+Béthune!D77+Boulogne!D77+Calais!D77+StOmer!D77</f>
        <v>12909.831012044928</v>
      </c>
      <c r="M77" s="678">
        <v>1</v>
      </c>
    </row>
    <row r="78" spans="1:13" s="2" customFormat="1" ht="11.25">
      <c r="A78" s="590" t="s">
        <v>101</v>
      </c>
      <c r="B78" s="805">
        <f>+Béthune!$G78</f>
        <v>0</v>
      </c>
      <c r="C78" s="805">
        <f>+Boulogne!$G78</f>
        <v>0</v>
      </c>
      <c r="D78" s="805">
        <f>+Calais!$G78</f>
        <v>0</v>
      </c>
      <c r="E78" s="805">
        <f>+StOmer!$G78</f>
        <v>0</v>
      </c>
      <c r="F78" s="805">
        <f>+Béthune!E78+Boulogne!E78+Calais!E78+StOmer!E78</f>
        <v>567.5</v>
      </c>
      <c r="G78" s="619">
        <f>+Béthune!F78+Boulogne!F78+Calais!F78+StOmer!F78</f>
        <v>0</v>
      </c>
      <c r="H78" s="113">
        <v>10.682149189972916</v>
      </c>
      <c r="I78" s="1077">
        <f>+Béthune!G78+Boulogne!G78+Calais!G78+StOmer!G78</f>
        <v>0</v>
      </c>
      <c r="J78" s="1013">
        <f t="shared" si="5"/>
        <v>-1</v>
      </c>
      <c r="K78" s="1014">
        <f t="shared" si="6"/>
        <v>0</v>
      </c>
      <c r="L78" s="805">
        <f>+Béthune!D78+Boulogne!D78+Calais!D78+StOmer!D78</f>
        <v>300.88464918997289</v>
      </c>
      <c r="M78" s="678">
        <v>1</v>
      </c>
    </row>
    <row r="79" spans="1:13" s="2" customFormat="1" ht="11.25">
      <c r="A79" s="590" t="s">
        <v>102</v>
      </c>
      <c r="B79" s="805">
        <f>+Béthune!$G79</f>
        <v>22791.830106809077</v>
      </c>
      <c r="C79" s="805">
        <f>+Boulogne!$G79</f>
        <v>25000</v>
      </c>
      <c r="D79" s="805">
        <f>+Calais!$G79</f>
        <v>11280.746448598129</v>
      </c>
      <c r="E79" s="805">
        <f>+StOmer!$G79</f>
        <v>50470.208593658055</v>
      </c>
      <c r="F79" s="805">
        <f>+Béthune!E79+Boulogne!E79+Calais!E79+StOmer!E79</f>
        <v>109137.65</v>
      </c>
      <c r="G79" s="619">
        <f>+Béthune!F79+Boulogne!F79+Calais!F79+StOmer!F79</f>
        <v>110562.29999999999</v>
      </c>
      <c r="H79" s="113">
        <v>60088.136021625003</v>
      </c>
      <c r="I79" s="1077">
        <f>+Béthune!G79+Boulogne!G79+Calais!G79+StOmer!G79</f>
        <v>109542.78514906527</v>
      </c>
      <c r="J79" s="1013">
        <f t="shared" si="5"/>
        <v>1.3053698700677486E-2</v>
      </c>
      <c r="K79" s="1014">
        <f t="shared" si="6"/>
        <v>-9.2211798319564633E-3</v>
      </c>
      <c r="L79" s="805">
        <f>+Béthune!D79+Boulogne!D79+Calais!D79+StOmer!D79</f>
        <v>111663.94111766966</v>
      </c>
      <c r="M79" s="678">
        <v>1</v>
      </c>
    </row>
    <row r="80" spans="1:13" s="2" customFormat="1" ht="11.25">
      <c r="A80" s="590" t="s">
        <v>325</v>
      </c>
      <c r="B80" s="805">
        <f>+Béthune!$G80</f>
        <v>0</v>
      </c>
      <c r="C80" s="805">
        <f>+Boulogne!$G80</f>
        <v>141.13746666666668</v>
      </c>
      <c r="D80" s="805">
        <f>+Calais!$G80</f>
        <v>0</v>
      </c>
      <c r="E80" s="805">
        <f>+StOmer!$G80</f>
        <v>0</v>
      </c>
      <c r="F80" s="805">
        <f>+Béthune!E80+Boulogne!E80+Calais!E80+StOmer!E80</f>
        <v>155</v>
      </c>
      <c r="G80" s="619">
        <f>+Béthune!F80+Boulogne!F80+Calais!F80+StOmer!F80</f>
        <v>137.02666666666667</v>
      </c>
      <c r="H80" s="113">
        <v>208.86543522174063</v>
      </c>
      <c r="I80" s="1077">
        <f>+Béthune!G80+Boulogne!G80+Calais!G80+StOmer!G80</f>
        <v>141.13746666666668</v>
      </c>
      <c r="J80" s="1013">
        <f t="shared" si="5"/>
        <v>-0.11595698924731181</v>
      </c>
      <c r="K80" s="1014">
        <f t="shared" si="6"/>
        <v>3.0000000000000086E-2</v>
      </c>
      <c r="L80" s="805">
        <f>+Béthune!D80+Boulogne!D80+Calais!D80+StOmer!D80</f>
        <v>208.86543522174063</v>
      </c>
      <c r="M80" s="678">
        <v>1</v>
      </c>
    </row>
    <row r="81" spans="1:13" s="2" customFormat="1" ht="11.25">
      <c r="A81" s="590" t="s">
        <v>103</v>
      </c>
      <c r="B81" s="805">
        <f>+Béthune!$G81</f>
        <v>0</v>
      </c>
      <c r="C81" s="805">
        <f>+Boulogne!$G81</f>
        <v>0</v>
      </c>
      <c r="D81" s="805">
        <f>+Calais!$G81</f>
        <v>0</v>
      </c>
      <c r="E81" s="805">
        <f>+StOmer!$G81</f>
        <v>0</v>
      </c>
      <c r="F81" s="805">
        <f>+Béthune!E81+Boulogne!E81+Calais!E81+StOmer!E81</f>
        <v>0</v>
      </c>
      <c r="G81" s="619">
        <f>+Béthune!F81+Boulogne!F81+Calais!F81+StOmer!F81</f>
        <v>0</v>
      </c>
      <c r="H81" s="113">
        <v>0</v>
      </c>
      <c r="I81" s="1077">
        <f>+Béthune!G81+Boulogne!G81+Calais!G81+StOmer!G81</f>
        <v>0</v>
      </c>
      <c r="J81" s="1013">
        <f t="shared" si="5"/>
        <v>0</v>
      </c>
      <c r="K81" s="1014">
        <f t="shared" si="6"/>
        <v>0</v>
      </c>
      <c r="L81" s="805">
        <f>+Béthune!D81+Boulogne!D81+Calais!D81+StOmer!D81</f>
        <v>0</v>
      </c>
      <c r="M81" s="678">
        <v>1</v>
      </c>
    </row>
    <row r="82" spans="1:13" s="2" customFormat="1" ht="11.25">
      <c r="A82" s="590" t="s">
        <v>105</v>
      </c>
      <c r="B82" s="805">
        <f>+Béthune!$G82</f>
        <v>185.4</v>
      </c>
      <c r="C82" s="805">
        <f>+Boulogne!$G82</f>
        <v>242.874</v>
      </c>
      <c r="D82" s="805">
        <f>+Calais!$G82</f>
        <v>185.4</v>
      </c>
      <c r="E82" s="805">
        <f>+StOmer!$G82</f>
        <v>210.12</v>
      </c>
      <c r="F82" s="805">
        <f>+Béthune!E82+Boulogne!E82+Calais!E82+StOmer!E82</f>
        <v>912.94999999999993</v>
      </c>
      <c r="G82" s="619">
        <f>+Béthune!F82+Boulogne!F82+Calais!F82+StOmer!F82</f>
        <v>799.8</v>
      </c>
      <c r="H82" s="113">
        <v>629.08481323799992</v>
      </c>
      <c r="I82" s="1077">
        <f>+Béthune!G82+Boulogne!G82+Calais!G82+StOmer!G82</f>
        <v>823.79399999999998</v>
      </c>
      <c r="J82" s="1013">
        <f t="shared" si="5"/>
        <v>-0.12393887945670627</v>
      </c>
      <c r="K82" s="1014">
        <f t="shared" si="6"/>
        <v>3.0000000000000037E-2</v>
      </c>
      <c r="L82" s="805">
        <f>+Béthune!D82+Boulogne!D82+Calais!D82+StOmer!D82</f>
        <v>903.21931323799993</v>
      </c>
      <c r="M82" s="678">
        <v>1</v>
      </c>
    </row>
    <row r="83" spans="1:13" s="2" customFormat="1" ht="11.25">
      <c r="A83" s="590" t="s">
        <v>287</v>
      </c>
      <c r="B83" s="805">
        <f>+Béthune!$G83</f>
        <v>0</v>
      </c>
      <c r="C83" s="805">
        <f>+Boulogne!$G83</f>
        <v>958.91626666666673</v>
      </c>
      <c r="D83" s="805">
        <f>+Calais!$G83</f>
        <v>294.56626666666671</v>
      </c>
      <c r="E83" s="805">
        <f>+StOmer!$G83</f>
        <v>250.20759999999999</v>
      </c>
      <c r="F83" s="805">
        <f>+Béthune!E83+Boulogne!E83+Calais!E83+StOmer!E83</f>
        <v>31.15</v>
      </c>
      <c r="G83" s="619">
        <f>+Béthune!F83+Boulogne!F83+Calais!F83+StOmer!F83</f>
        <v>1459.8933333333334</v>
      </c>
      <c r="H83" s="113">
        <v>1.1724050104166666</v>
      </c>
      <c r="I83" s="1077">
        <f>+Béthune!G83+Boulogne!G83+Calais!G83+StOmer!G83</f>
        <v>1503.6901333333333</v>
      </c>
      <c r="J83" s="1013">
        <f t="shared" si="5"/>
        <v>45.866559657570896</v>
      </c>
      <c r="K83" s="1014">
        <f t="shared" si="6"/>
        <v>2.9999999999999895E-2</v>
      </c>
      <c r="L83" s="805">
        <f>+Béthune!D83+Boulogne!D83+Calais!D83+StOmer!D83</f>
        <v>1.1724050104166666</v>
      </c>
      <c r="M83" s="678">
        <v>1</v>
      </c>
    </row>
    <row r="84" spans="1:13" s="2" customFormat="1" ht="11.25">
      <c r="A84" s="590" t="s">
        <v>108</v>
      </c>
      <c r="B84" s="805">
        <f>+Béthune!$G84</f>
        <v>371.91239999999999</v>
      </c>
      <c r="C84" s="805">
        <f>+Boulogne!$G84</f>
        <v>5732.5679999999993</v>
      </c>
      <c r="D84" s="805">
        <f>+Calais!$G84</f>
        <v>564.71466666666663</v>
      </c>
      <c r="E84" s="805">
        <f>+StOmer!$G84</f>
        <v>905.47986666666668</v>
      </c>
      <c r="F84" s="805">
        <f>+Béthune!E84+Boulogne!E84+Calais!E84+StOmer!E84</f>
        <v>6726.1299999999992</v>
      </c>
      <c r="G84" s="619">
        <f>+Béthune!F84+Boulogne!F84+Calais!F84+StOmer!F84</f>
        <v>7354.0533333333324</v>
      </c>
      <c r="H84" s="113">
        <v>4815.0656490531401</v>
      </c>
      <c r="I84" s="1077">
        <f>+Béthune!G84+Boulogne!G84+Calais!G84+StOmer!G84</f>
        <v>7574.6749333333328</v>
      </c>
      <c r="J84" s="1013">
        <f t="shared" si="5"/>
        <v>9.3355812827485229E-2</v>
      </c>
      <c r="K84" s="1014">
        <f t="shared" si="6"/>
        <v>3.0000000000000058E-2</v>
      </c>
      <c r="L84" s="805">
        <f>+Béthune!D84+Boulogne!D84+Calais!D84+StOmer!D84</f>
        <v>5888.2432490531401</v>
      </c>
      <c r="M84" s="678">
        <v>1</v>
      </c>
    </row>
    <row r="85" spans="1:13" s="2" customFormat="1" ht="11.25">
      <c r="A85" s="590" t="s">
        <v>109</v>
      </c>
      <c r="B85" s="805">
        <f>+Béthune!$G85</f>
        <v>1011.8719999999998</v>
      </c>
      <c r="C85" s="805">
        <f>+Boulogne!$G85</f>
        <v>0</v>
      </c>
      <c r="D85" s="805">
        <f>+Calais!$G85</f>
        <v>1282.6933333333334</v>
      </c>
      <c r="E85" s="805">
        <f>+StOmer!$G85</f>
        <v>1282.6933333333334</v>
      </c>
      <c r="F85" s="805">
        <f>+Béthune!E85+Boulogne!E85+Calais!E85+StOmer!E85</f>
        <v>3242.09</v>
      </c>
      <c r="G85" s="619">
        <f>+Béthune!F85+Boulogne!F85+Calais!F85+StOmer!F85</f>
        <v>3473.0666666666666</v>
      </c>
      <c r="H85" s="113">
        <v>3158.5363368615717</v>
      </c>
      <c r="I85" s="1077">
        <f>+Béthune!G85+Boulogne!G85+Calais!G85+StOmer!G85</f>
        <v>3577.2586666666666</v>
      </c>
      <c r="J85" s="1013">
        <f t="shared" si="5"/>
        <v>7.1243138428194908E-2</v>
      </c>
      <c r="K85" s="1014">
        <f t="shared" si="6"/>
        <v>3.0000000000000002E-2</v>
      </c>
      <c r="L85" s="805">
        <f>+Béthune!D85+Boulogne!D85+Calais!D85+StOmer!D85</f>
        <v>4175.1463368615714</v>
      </c>
      <c r="M85" s="678">
        <v>1</v>
      </c>
    </row>
    <row r="86" spans="1:13" s="2" customFormat="1" ht="11.25">
      <c r="A86" s="590" t="s">
        <v>106</v>
      </c>
      <c r="B86" s="805">
        <f>+Béthune!$G86</f>
        <v>293.33026666666672</v>
      </c>
      <c r="C86" s="805">
        <f>+Boulogne!$G86</f>
        <v>1206.5008</v>
      </c>
      <c r="D86" s="805">
        <f>+Calais!$G86</f>
        <v>1061.5866666666666</v>
      </c>
      <c r="E86" s="805">
        <f>+StOmer!$G86</f>
        <v>1835.7072000000003</v>
      </c>
      <c r="F86" s="805">
        <f>+Béthune!E86+Boulogne!E86+Calais!E86+StOmer!E86</f>
        <v>3170.9399999999996</v>
      </c>
      <c r="G86" s="619">
        <f>+Béthune!F86+Boulogne!F86+Calais!F86+StOmer!F86</f>
        <v>4269.0533333333333</v>
      </c>
      <c r="H86" s="113">
        <v>2564.1938068838895</v>
      </c>
      <c r="I86" s="1077">
        <f>+Béthune!G86+Boulogne!G86+Calais!G86+StOmer!G86</f>
        <v>4397.1249333333335</v>
      </c>
      <c r="J86" s="1013">
        <f t="shared" si="5"/>
        <v>0.34630530168761747</v>
      </c>
      <c r="K86" s="1014">
        <f t="shared" si="6"/>
        <v>3.0000000000000051E-2</v>
      </c>
      <c r="L86" s="805">
        <f>+Béthune!D86+Boulogne!D86+Calais!D86+StOmer!D86</f>
        <v>3632.8600068838896</v>
      </c>
      <c r="M86" s="678">
        <v>1</v>
      </c>
    </row>
    <row r="87" spans="1:13" s="2" customFormat="1" ht="11.25" hidden="1">
      <c r="A87" s="5" t="s">
        <v>363</v>
      </c>
      <c r="B87" s="160">
        <f>+Béthune!$G87</f>
        <v>0</v>
      </c>
      <c r="C87" s="113">
        <f>+Boulogne!$G87</f>
        <v>0</v>
      </c>
      <c r="D87" s="113">
        <f>+Calais!$G87</f>
        <v>0</v>
      </c>
      <c r="E87" s="113">
        <f>+StOmer!$G87</f>
        <v>0</v>
      </c>
      <c r="F87" s="160">
        <f>+Béthune!E87+Boulogne!E87+Calais!E87+StOmer!E87</f>
        <v>0</v>
      </c>
      <c r="G87" s="135">
        <f>+Béthune!F87+Boulogne!F87+Calais!F87+StOmer!F87</f>
        <v>0</v>
      </c>
      <c r="H87" s="113">
        <v>0</v>
      </c>
      <c r="I87" s="161">
        <f>+Béthune!G87+Boulogne!G87+Calais!G87+StOmer!G87</f>
        <v>0</v>
      </c>
      <c r="J87" s="149">
        <f t="shared" si="5"/>
        <v>0</v>
      </c>
      <c r="K87" s="271">
        <f t="shared" si="6"/>
        <v>0</v>
      </c>
      <c r="L87" s="18">
        <f>+Béthune!D87+Boulogne!D87+Calais!D87+StOmer!D87</f>
        <v>86.262500000000003</v>
      </c>
      <c r="M87" s="678">
        <v>0</v>
      </c>
    </row>
    <row r="88" spans="1:13" s="2" customFormat="1" ht="11.25">
      <c r="A88" s="590" t="s">
        <v>111</v>
      </c>
      <c r="B88" s="805">
        <f>+Béthune!$G88</f>
        <v>2531.3730750000004</v>
      </c>
      <c r="C88" s="805">
        <f>+Boulogne!$G88</f>
        <v>3582.1217250000004</v>
      </c>
      <c r="D88" s="805">
        <f>+Calais!$G88</f>
        <v>2677.2779250000003</v>
      </c>
      <c r="E88" s="805">
        <f>+StOmer!$G88</f>
        <v>3000</v>
      </c>
      <c r="F88" s="805">
        <f>+Béthune!E88+Boulogne!E88+Calais!E88+StOmer!E88</f>
        <v>11196.380000000001</v>
      </c>
      <c r="G88" s="619">
        <f>+Béthune!F88+Boulogne!F88+Calais!F88+StOmer!F88</f>
        <v>11481.6</v>
      </c>
      <c r="H88" s="113">
        <v>8688.9872080908299</v>
      </c>
      <c r="I88" s="1077">
        <f>+Béthune!G88+Boulogne!G88+Calais!G88+StOmer!G88</f>
        <v>11790.772725000001</v>
      </c>
      <c r="J88" s="1013">
        <f t="shared" si="5"/>
        <v>2.547430508789442E-2</v>
      </c>
      <c r="K88" s="1014">
        <f t="shared" si="6"/>
        <v>2.6927669053093677E-2</v>
      </c>
      <c r="L88" s="805">
        <f>+Béthune!D88+Boulogne!D88+Calais!D88+StOmer!D88</f>
        <v>11481.631724999999</v>
      </c>
      <c r="M88" s="678">
        <v>1</v>
      </c>
    </row>
    <row r="89" spans="1:13" s="2" customFormat="1" ht="11.25" hidden="1">
      <c r="A89" s="5" t="s">
        <v>315</v>
      </c>
      <c r="B89" s="160">
        <f>+Béthune!$G89</f>
        <v>0</v>
      </c>
      <c r="C89" s="113">
        <f>+Boulogne!$G89</f>
        <v>0</v>
      </c>
      <c r="D89" s="113">
        <f>+Calais!$G89</f>
        <v>0</v>
      </c>
      <c r="E89" s="113">
        <f>+StOmer!$G89</f>
        <v>0</v>
      </c>
      <c r="F89" s="160">
        <f>+Béthune!E89+Boulogne!E89+Calais!E89+StOmer!E89</f>
        <v>0</v>
      </c>
      <c r="G89" s="135">
        <f>+Béthune!F89+Boulogne!F89+Calais!F89+StOmer!F89</f>
        <v>0</v>
      </c>
      <c r="H89" s="113">
        <v>0</v>
      </c>
      <c r="I89" s="161">
        <f>+Béthune!G89+Boulogne!G89+Calais!G89+StOmer!G89</f>
        <v>0</v>
      </c>
      <c r="J89" s="149">
        <f t="shared" si="5"/>
        <v>0</v>
      </c>
      <c r="K89" s="271">
        <f t="shared" si="6"/>
        <v>0</v>
      </c>
      <c r="L89" s="18">
        <f>+Béthune!D89+Boulogne!D89+Calais!D89+StOmer!D89</f>
        <v>0</v>
      </c>
      <c r="M89" s="2">
        <v>0</v>
      </c>
    </row>
    <row r="90" spans="1:13" s="2" customFormat="1" ht="11.25">
      <c r="A90" s="590" t="s">
        <v>112</v>
      </c>
      <c r="B90" s="805">
        <f>+Béthune!$G90</f>
        <v>157.45266666666669</v>
      </c>
      <c r="C90" s="805">
        <f>+Boulogne!$G90</f>
        <v>369.92106666666672</v>
      </c>
      <c r="D90" s="805">
        <f>+Calais!$G90</f>
        <v>0</v>
      </c>
      <c r="E90" s="805">
        <f>+StOmer!$G90</f>
        <v>0</v>
      </c>
      <c r="F90" s="805">
        <f>+Béthune!E90+Boulogne!E90+Calais!E90+StOmer!E90</f>
        <v>859.42000000000007</v>
      </c>
      <c r="G90" s="619">
        <f>+Béthune!F90+Boulogne!F90+Calais!F90+StOmer!F90</f>
        <v>512.01333333333332</v>
      </c>
      <c r="H90" s="113">
        <v>942.92679813651739</v>
      </c>
      <c r="I90" s="1077">
        <f>+Béthune!G90+Boulogne!G90+Calais!G90+StOmer!G90</f>
        <v>527.37373333333335</v>
      </c>
      <c r="J90" s="1013">
        <f t="shared" si="5"/>
        <v>-0.40423386314801463</v>
      </c>
      <c r="K90" s="1014">
        <f t="shared" si="6"/>
        <v>3.0000000000000054E-2</v>
      </c>
      <c r="L90" s="805">
        <f>+Béthune!D90+Boulogne!D90+Calais!D90+StOmer!D90</f>
        <v>1011.0907046365174</v>
      </c>
      <c r="M90" s="678">
        <v>1</v>
      </c>
    </row>
    <row r="91" spans="1:13" s="2" customFormat="1" ht="11.25">
      <c r="A91" s="590" t="s">
        <v>113</v>
      </c>
      <c r="B91" s="805">
        <f>+Béthune!$G91</f>
        <v>68.460666666666668</v>
      </c>
      <c r="C91" s="805">
        <f>+Boulogne!$G91</f>
        <v>2147.3714666666669</v>
      </c>
      <c r="D91" s="805">
        <f>+Calais!$G91</f>
        <v>423.65960000000007</v>
      </c>
      <c r="E91" s="805">
        <f>+StOmer!$G91</f>
        <v>185.20773333333335</v>
      </c>
      <c r="F91" s="805">
        <f>+Béthune!E91+Boulogne!E91+Calais!E91+StOmer!E91</f>
        <v>1384.1200000000001</v>
      </c>
      <c r="G91" s="619">
        <f>+Béthune!F91+Boulogne!F91+Calais!F91+StOmer!F91</f>
        <v>2742.4266666666672</v>
      </c>
      <c r="H91" s="113">
        <v>1769.5807036566976</v>
      </c>
      <c r="I91" s="1077">
        <f>+Béthune!G91+Boulogne!G91+Calais!G91+StOmer!G91</f>
        <v>2824.6994666666669</v>
      </c>
      <c r="J91" s="1013">
        <f t="shared" si="5"/>
        <v>0.9813503646119317</v>
      </c>
      <c r="K91" s="1014">
        <f t="shared" si="6"/>
        <v>2.9999999999999898E-2</v>
      </c>
      <c r="L91" s="805">
        <f>+Béthune!D91+Boulogne!D91+Calais!D91+StOmer!D91</f>
        <v>1791.9420036566976</v>
      </c>
      <c r="M91" s="678">
        <v>1</v>
      </c>
    </row>
    <row r="92" spans="1:13" s="2" customFormat="1" ht="11.25" hidden="1">
      <c r="A92" s="5" t="s">
        <v>309</v>
      </c>
      <c r="B92" s="160">
        <f>+Béthune!$G92</f>
        <v>0</v>
      </c>
      <c r="C92" s="113">
        <f>+Boulogne!$G92</f>
        <v>0</v>
      </c>
      <c r="D92" s="113">
        <f>+Calais!$G92</f>
        <v>0</v>
      </c>
      <c r="E92" s="113">
        <f>+StOmer!$G92</f>
        <v>0</v>
      </c>
      <c r="F92" s="160">
        <f>+Béthune!E92+Boulogne!E92+Calais!E92+StOmer!E92</f>
        <v>0</v>
      </c>
      <c r="G92" s="135">
        <f>+Béthune!F92+Boulogne!F92+Calais!F92+StOmer!F92</f>
        <v>0</v>
      </c>
      <c r="H92" s="113">
        <v>0</v>
      </c>
      <c r="I92" s="161">
        <f>+Béthune!G92+Boulogne!G92+Calais!G92+StOmer!G92</f>
        <v>0</v>
      </c>
      <c r="J92" s="149">
        <f t="shared" si="5"/>
        <v>0</v>
      </c>
      <c r="K92" s="271">
        <f t="shared" si="6"/>
        <v>0</v>
      </c>
      <c r="L92" s="18">
        <f>+Béthune!D92+Boulogne!D92+Calais!D92+StOmer!D92</f>
        <v>0</v>
      </c>
      <c r="M92" s="2">
        <v>0</v>
      </c>
    </row>
    <row r="93" spans="1:13" s="2" customFormat="1" ht="11.25">
      <c r="A93" s="590" t="s">
        <v>115</v>
      </c>
      <c r="B93" s="805">
        <f>+Béthune!$G93</f>
        <v>0</v>
      </c>
      <c r="C93" s="805">
        <f>+Boulogne!$G93</f>
        <v>0</v>
      </c>
      <c r="D93" s="805">
        <f>+Calais!$G93</f>
        <v>0</v>
      </c>
      <c r="E93" s="805">
        <f>+StOmer!$G93</f>
        <v>0</v>
      </c>
      <c r="F93" s="805">
        <f>+Béthune!E93+Boulogne!E93+Calais!E93+StOmer!E93</f>
        <v>0</v>
      </c>
      <c r="G93" s="619">
        <f>+Béthune!F93+Boulogne!F93+Calais!F93+StOmer!F93</f>
        <v>0</v>
      </c>
      <c r="H93" s="113">
        <v>1.7586075156250005</v>
      </c>
      <c r="I93" s="1077">
        <f>+Béthune!G93+Boulogne!G93+Calais!G93+StOmer!G93</f>
        <v>0</v>
      </c>
      <c r="J93" s="1013">
        <f t="shared" si="5"/>
        <v>0</v>
      </c>
      <c r="K93" s="1014">
        <f t="shared" si="6"/>
        <v>0</v>
      </c>
      <c r="L93" s="805">
        <f>+Béthune!D93+Boulogne!D93+Calais!D93+StOmer!D93</f>
        <v>774.25860751562504</v>
      </c>
      <c r="M93" s="678">
        <v>1</v>
      </c>
    </row>
    <row r="94" spans="1:13" s="2" customFormat="1" ht="11.25">
      <c r="A94" s="590" t="s">
        <v>42</v>
      </c>
      <c r="B94" s="805">
        <f>+Béthune!$G94</f>
        <v>0</v>
      </c>
      <c r="C94" s="805">
        <f>+Boulogne!$G94</f>
        <v>0</v>
      </c>
      <c r="D94" s="805">
        <f>+Calais!$G94</f>
        <v>0</v>
      </c>
      <c r="E94" s="805">
        <f>+StOmer!$G94</f>
        <v>0</v>
      </c>
      <c r="F94" s="805">
        <f>+Béthune!E94+Boulogne!E94+Calais!E94+StOmer!E94</f>
        <v>-176.05</v>
      </c>
      <c r="G94" s="619">
        <f>+Béthune!F94+Boulogne!F94+Calais!F94+StOmer!F94</f>
        <v>0</v>
      </c>
      <c r="H94" s="113">
        <v>2.3705346356249999</v>
      </c>
      <c r="I94" s="1077">
        <f>+Béthune!G94+Boulogne!G94+Calais!G94+StOmer!G94</f>
        <v>0</v>
      </c>
      <c r="J94" s="1013">
        <f t="shared" si="5"/>
        <v>-1</v>
      </c>
      <c r="K94" s="1014">
        <f t="shared" si="6"/>
        <v>0</v>
      </c>
      <c r="L94" s="805">
        <f>+Béthune!D94+Boulogne!D94+Calais!D94+StOmer!D94</f>
        <v>-166.94096836437501</v>
      </c>
      <c r="M94" s="678">
        <v>1</v>
      </c>
    </row>
    <row r="95" spans="1:13" s="2" customFormat="1" ht="11.25">
      <c r="A95" s="590" t="s">
        <v>117</v>
      </c>
      <c r="B95" s="805">
        <f>+Béthune!$G95</f>
        <v>1767.0054109080613</v>
      </c>
      <c r="C95" s="805">
        <f>+Boulogne!$G95</f>
        <v>29698.773210064017</v>
      </c>
      <c r="D95" s="805">
        <f>+Calais!$G95</f>
        <v>26027.091967819164</v>
      </c>
      <c r="E95" s="805">
        <f>+StOmer!$G95</f>
        <v>2733.6578025606882</v>
      </c>
      <c r="F95" s="805">
        <f>+Béthune!E95+Boulogne!E95+Calais!E95+StOmer!E95</f>
        <v>67152.599999999991</v>
      </c>
      <c r="G95" s="619">
        <f>+Béthune!F95+Boulogne!F95+Calais!F95+StOmer!F95</f>
        <v>62538.013333333329</v>
      </c>
      <c r="H95" s="113">
        <v>63743.487456511248</v>
      </c>
      <c r="I95" s="1077">
        <f>+Béthune!G95+Boulogne!G95+Calais!G95+StOmer!G95</f>
        <v>60226.528391351931</v>
      </c>
      <c r="J95" s="1013">
        <f t="shared" si="5"/>
        <v>-6.8717915116714212E-2</v>
      </c>
      <c r="K95" s="1014">
        <f t="shared" si="6"/>
        <v>-3.6961278729162245E-2</v>
      </c>
      <c r="L95" s="805">
        <f>+Béthune!D95+Boulogne!D95+Calais!D95+StOmer!D95</f>
        <v>64527.564656511247</v>
      </c>
      <c r="M95" s="678">
        <v>1</v>
      </c>
    </row>
    <row r="96" spans="1:13" s="2" customFormat="1" ht="11.25">
      <c r="A96" s="590" t="s">
        <v>118</v>
      </c>
      <c r="B96" s="805">
        <f>+Béthune!$G96</f>
        <v>5987.0466666666671</v>
      </c>
      <c r="C96" s="805">
        <f>+Boulogne!$G96</f>
        <v>6223.7544000000016</v>
      </c>
      <c r="D96" s="805">
        <f>+Calais!$G96</f>
        <v>3677.0588000000002</v>
      </c>
      <c r="E96" s="805">
        <f>+StOmer!$G96</f>
        <v>2931.1190666666666</v>
      </c>
      <c r="F96" s="805">
        <f>+Béthune!E96+Boulogne!E96+Calais!E96+StOmer!E96</f>
        <v>17881.82</v>
      </c>
      <c r="G96" s="619">
        <f>+Béthune!F96+Boulogne!F96+Calais!F96+StOmer!F96</f>
        <v>18270.853333333333</v>
      </c>
      <c r="H96" s="113">
        <v>15857.099775000001</v>
      </c>
      <c r="I96" s="1077">
        <f>+Béthune!G96+Boulogne!G96+Calais!G96+StOmer!G96</f>
        <v>18818.978933333336</v>
      </c>
      <c r="J96" s="1013">
        <f t="shared" si="5"/>
        <v>2.1755801888920304E-2</v>
      </c>
      <c r="K96" s="1014">
        <f t="shared" si="6"/>
        <v>3.0000000000000169E-2</v>
      </c>
      <c r="L96" s="805">
        <f>+Béthune!D96+Boulogne!D96+Calais!D96+StOmer!D96</f>
        <v>19671.305650000002</v>
      </c>
      <c r="M96" s="678">
        <v>1</v>
      </c>
    </row>
    <row r="97" spans="1:13" s="2" customFormat="1" ht="11.25">
      <c r="A97" s="590" t="s">
        <v>7</v>
      </c>
      <c r="B97" s="805">
        <f>+Béthune!$G97</f>
        <v>0</v>
      </c>
      <c r="C97" s="805">
        <f>+Boulogne!$G97</f>
        <v>0</v>
      </c>
      <c r="D97" s="805">
        <f>+Calais!$G97</f>
        <v>0</v>
      </c>
      <c r="E97" s="805">
        <f>+StOmer!$G97</f>
        <v>0</v>
      </c>
      <c r="F97" s="805">
        <f>+Béthune!E97+Boulogne!E97+Calais!E97+StOmer!E97</f>
        <v>234.10999999999999</v>
      </c>
      <c r="G97" s="619">
        <f>+Béthune!F97+Boulogne!F97+Calais!F97+StOmer!F97</f>
        <v>0</v>
      </c>
      <c r="H97" s="113">
        <v>355.56756511337915</v>
      </c>
      <c r="I97" s="1077">
        <f>+Béthune!G97+Boulogne!G97+Calais!G97+StOmer!G97</f>
        <v>0</v>
      </c>
      <c r="J97" s="1013">
        <f t="shared" si="5"/>
        <v>-1</v>
      </c>
      <c r="K97" s="1014">
        <f t="shared" si="6"/>
        <v>0</v>
      </c>
      <c r="L97" s="805">
        <f>+Béthune!D97+Boulogne!D97+Calais!D97+StOmer!D97</f>
        <v>365.55856511337913</v>
      </c>
      <c r="M97" s="678">
        <v>1</v>
      </c>
    </row>
    <row r="98" spans="1:13" s="2" customFormat="1" ht="11.25">
      <c r="A98" s="590" t="s">
        <v>307</v>
      </c>
      <c r="B98" s="805">
        <f>+Béthune!$G98</f>
        <v>0</v>
      </c>
      <c r="C98" s="805">
        <f>+Boulogne!$G98</f>
        <v>0</v>
      </c>
      <c r="D98" s="805">
        <f>+Calais!$G98</f>
        <v>0</v>
      </c>
      <c r="E98" s="805">
        <f>+StOmer!$G98</f>
        <v>0</v>
      </c>
      <c r="F98" s="805">
        <f>+Béthune!E98+Boulogne!E98+Calais!E98+StOmer!E98</f>
        <v>0</v>
      </c>
      <c r="G98" s="619">
        <f>+Béthune!F98+Boulogne!F98+Calais!F98+StOmer!F98</f>
        <v>0</v>
      </c>
      <c r="H98" s="113">
        <v>0</v>
      </c>
      <c r="I98" s="1077">
        <f>+Béthune!G98+Boulogne!G98+Calais!G98+StOmer!G98</f>
        <v>0</v>
      </c>
      <c r="J98" s="1013">
        <f t="shared" si="5"/>
        <v>0</v>
      </c>
      <c r="K98" s="1014">
        <f t="shared" si="6"/>
        <v>0</v>
      </c>
      <c r="L98" s="805">
        <f>+Béthune!D98+Boulogne!D98+Calais!D98+StOmer!D98</f>
        <v>0</v>
      </c>
      <c r="M98" s="678">
        <v>1</v>
      </c>
    </row>
    <row r="99" spans="1:13" s="2" customFormat="1" ht="11.25">
      <c r="A99" s="590" t="s">
        <v>119</v>
      </c>
      <c r="B99" s="805">
        <f>+Béthune!$G99</f>
        <v>4882.5200000000004</v>
      </c>
      <c r="C99" s="805">
        <f>+Boulogne!$G99</f>
        <v>5975.7466666666678</v>
      </c>
      <c r="D99" s="805">
        <f>+Calais!$G99</f>
        <v>3701.4800000000005</v>
      </c>
      <c r="E99" s="805">
        <f>+StOmer!$G99</f>
        <v>3865.3866666666663</v>
      </c>
      <c r="F99" s="805">
        <f>+Béthune!E99+Boulogne!E99+Calais!E99+StOmer!E99</f>
        <v>18062.740000000002</v>
      </c>
      <c r="G99" s="619">
        <f>+Béthune!F99+Boulogne!F99+Calais!F99+StOmer!F99</f>
        <v>18425.133333333335</v>
      </c>
      <c r="H99" s="113">
        <v>16061.190716340308</v>
      </c>
      <c r="I99" s="1077">
        <f>+Béthune!G99+Boulogne!G99+Calais!G99+StOmer!G99</f>
        <v>18425.133333333335</v>
      </c>
      <c r="J99" s="1013">
        <f t="shared" si="5"/>
        <v>2.0063032149791969E-2</v>
      </c>
      <c r="K99" s="1014">
        <f t="shared" si="6"/>
        <v>0</v>
      </c>
      <c r="L99" s="805">
        <f>+Béthune!D99+Boulogne!D99+Calais!D99+StOmer!D99</f>
        <v>19307.173916340307</v>
      </c>
      <c r="M99" s="678">
        <v>1</v>
      </c>
    </row>
    <row r="100" spans="1:13" s="2" customFormat="1" ht="11.25">
      <c r="A100" s="590" t="s">
        <v>120</v>
      </c>
      <c r="B100" s="805">
        <f>+Béthune!$G100</f>
        <v>477.21960000000001</v>
      </c>
      <c r="C100" s="805">
        <f>+Boulogne!$G100</f>
        <v>1982.7912000000001</v>
      </c>
      <c r="D100" s="805">
        <f>+Calais!$G100</f>
        <v>1049.6112000000001</v>
      </c>
      <c r="E100" s="805">
        <f>+StOmer!$G100</f>
        <v>4620.0032000000001</v>
      </c>
      <c r="F100" s="805">
        <f>+Béthune!E100+Boulogne!E100+Calais!E100+StOmer!E100</f>
        <v>2703.29</v>
      </c>
      <c r="G100" s="619">
        <f>+Béthune!F100+Boulogne!F100+Calais!F100+StOmer!F100</f>
        <v>7892.84</v>
      </c>
      <c r="H100" s="113">
        <v>2476.283923226305</v>
      </c>
      <c r="I100" s="1077">
        <f>+Béthune!G100+Boulogne!G100+Calais!G100+StOmer!G100</f>
        <v>8129.6252000000004</v>
      </c>
      <c r="J100" s="1013">
        <f t="shared" si="5"/>
        <v>1.919716345638093</v>
      </c>
      <c r="K100" s="1014">
        <f t="shared" si="6"/>
        <v>3.0000000000000034E-2</v>
      </c>
      <c r="L100" s="805">
        <f>+Béthune!D100+Boulogne!D100+Calais!D100+StOmer!D100</f>
        <v>3383.5388232263049</v>
      </c>
      <c r="M100" s="678">
        <v>1</v>
      </c>
    </row>
    <row r="101" spans="1:13" s="2" customFormat="1" ht="11.25">
      <c r="A101" s="590" t="s">
        <v>121</v>
      </c>
      <c r="B101" s="805">
        <f>+Béthune!$G101</f>
        <v>0</v>
      </c>
      <c r="C101" s="805">
        <f>+Boulogne!$G101</f>
        <v>0</v>
      </c>
      <c r="D101" s="805">
        <f>+Calais!$G101</f>
        <v>0</v>
      </c>
      <c r="E101" s="805">
        <f>+StOmer!$G101</f>
        <v>0</v>
      </c>
      <c r="F101" s="805">
        <f>+Béthune!E101+Boulogne!E101+Calais!E101+StOmer!E101</f>
        <v>0</v>
      </c>
      <c r="G101" s="619">
        <f>+Béthune!F101+Boulogne!F101+Calais!F101+StOmer!F101</f>
        <v>0</v>
      </c>
      <c r="H101" s="113">
        <v>11.968677035416668</v>
      </c>
      <c r="I101" s="1077">
        <f>+Béthune!G101+Boulogne!G101+Calais!G101+StOmer!G101</f>
        <v>0</v>
      </c>
      <c r="J101" s="1013">
        <f t="shared" si="5"/>
        <v>0</v>
      </c>
      <c r="K101" s="1014">
        <f t="shared" si="6"/>
        <v>0</v>
      </c>
      <c r="L101" s="805">
        <f>+Béthune!D101+Boulogne!D101+Calais!D101+StOmer!D101</f>
        <v>11.968677035416668</v>
      </c>
      <c r="M101" s="678">
        <v>1</v>
      </c>
    </row>
    <row r="102" spans="1:13" s="2" customFormat="1" ht="11.25" hidden="1">
      <c r="A102" s="5"/>
      <c r="B102" s="160"/>
      <c r="C102" s="113"/>
      <c r="D102" s="113"/>
      <c r="E102" s="113"/>
      <c r="F102" s="160"/>
      <c r="G102" s="143"/>
      <c r="H102" s="113"/>
      <c r="I102" s="162"/>
      <c r="J102" s="149"/>
      <c r="K102" s="254"/>
      <c r="L102" s="18"/>
      <c r="M102" s="2">
        <v>0</v>
      </c>
    </row>
    <row r="103" spans="1:13" s="2" customFormat="1" ht="11.25">
      <c r="A103" s="13" t="s">
        <v>122</v>
      </c>
      <c r="B103" s="803">
        <f t="shared" ref="B103:G103" si="7">SUM(B70:B102)</f>
        <v>45800.231392717134</v>
      </c>
      <c r="C103" s="803">
        <f t="shared" si="7"/>
        <v>116546.95373506403</v>
      </c>
      <c r="D103" s="803">
        <f t="shared" si="7"/>
        <v>70846.927274750618</v>
      </c>
      <c r="E103" s="803">
        <f t="shared" si="7"/>
        <v>94039.559462885401</v>
      </c>
      <c r="F103" s="803">
        <f t="shared" si="7"/>
        <v>326108.88999999996</v>
      </c>
      <c r="G103" s="597">
        <f t="shared" si="7"/>
        <v>326549.2333333334</v>
      </c>
      <c r="H103" s="204">
        <v>239392.53089079331</v>
      </c>
      <c r="I103" s="803">
        <f>SUM(I70:I102)</f>
        <v>327233.67186541727</v>
      </c>
      <c r="J103" s="596">
        <f>+IF((F103)=0,,(G103-F103)/F103)</f>
        <v>1.3502953977533078E-3</v>
      </c>
      <c r="K103" s="1015">
        <f>+IF((G103)=0,,(I103-G103)/G103)</f>
        <v>2.0959734772527223E-3</v>
      </c>
      <c r="L103" s="803">
        <f>SUM(L72:L102)+L70</f>
        <v>330737.1574822471</v>
      </c>
      <c r="M103" s="678">
        <v>1</v>
      </c>
    </row>
    <row r="104" spans="1:13" s="2" customFormat="1" ht="11.25" hidden="1">
      <c r="A104" s="5"/>
      <c r="B104" s="160"/>
      <c r="C104" s="113"/>
      <c r="D104" s="113"/>
      <c r="E104" s="113"/>
      <c r="F104" s="160"/>
      <c r="G104" s="143"/>
      <c r="H104" s="113"/>
      <c r="I104" s="162"/>
      <c r="J104" s="149"/>
      <c r="K104" s="254"/>
      <c r="L104" s="18"/>
      <c r="M104" s="2">
        <v>0</v>
      </c>
    </row>
    <row r="105" spans="1:13" s="2" customFormat="1" ht="11.25">
      <c r="A105" s="590" t="s">
        <v>129</v>
      </c>
      <c r="B105" s="805">
        <f>+Béthune!$G105</f>
        <v>0</v>
      </c>
      <c r="C105" s="805">
        <f>+Boulogne!$G105</f>
        <v>0</v>
      </c>
      <c r="D105" s="805">
        <f>+Calais!$G105</f>
        <v>0</v>
      </c>
      <c r="E105" s="805">
        <f>+StOmer!$G105</f>
        <v>820.40186666666671</v>
      </c>
      <c r="F105" s="805">
        <f>+Béthune!E105+Boulogne!E105+Calais!E105+StOmer!E105</f>
        <v>2322.8999999999996</v>
      </c>
      <c r="G105" s="619">
        <f>+Béthune!F105+Boulogne!F105+Calais!F105+StOmer!F105</f>
        <v>796.50666666666666</v>
      </c>
      <c r="H105" s="113">
        <v>2929.9895000000001</v>
      </c>
      <c r="I105" s="1077">
        <f>+Béthune!G105+Boulogne!G105+Calais!G105+StOmer!G105</f>
        <v>820.40186666666671</v>
      </c>
      <c r="J105" s="1013">
        <f>+IF((F105)=0,,(G105-F105)/F105)</f>
        <v>-0.65710677744773049</v>
      </c>
      <c r="K105" s="1014">
        <f>+IF((G105)=0,,(I105-G105)/G105)</f>
        <v>3.0000000000000058E-2</v>
      </c>
      <c r="L105" s="805">
        <f>+Béthune!D105+Boulogne!D105+Calais!D105+StOmer!D105</f>
        <v>2929.9895000000001</v>
      </c>
      <c r="M105" s="678">
        <v>1</v>
      </c>
    </row>
    <row r="106" spans="1:13" s="2" customFormat="1" ht="11.25">
      <c r="A106" s="590" t="s">
        <v>130</v>
      </c>
      <c r="B106" s="805">
        <f>+Béthune!$G106</f>
        <v>2885.0849333333335</v>
      </c>
      <c r="C106" s="805">
        <f>+Boulogne!$G106</f>
        <v>19062.800533333335</v>
      </c>
      <c r="D106" s="805">
        <f>+Calais!$G106</f>
        <v>5426.7129333333332</v>
      </c>
      <c r="E106" s="805">
        <f>+StOmer!$G106</f>
        <v>6000</v>
      </c>
      <c r="F106" s="805">
        <f>+Béthune!E106+Boulogne!E106+Calais!E106+StOmer!E106</f>
        <v>33328.729999999996</v>
      </c>
      <c r="G106" s="619">
        <f>+Béthune!F106+Boulogne!F106+Calais!F106+StOmer!F106</f>
        <v>35381.786666666667</v>
      </c>
      <c r="H106" s="113">
        <v>22103.614600000001</v>
      </c>
      <c r="I106" s="1077">
        <f>+Béthune!G106+Boulogne!G106+Calais!G106+StOmer!G106</f>
        <v>33374.598400000003</v>
      </c>
      <c r="J106" s="1013">
        <f t="shared" ref="J106:J114" si="8">+IF((F106)=0,,(G106-F106)/F106)</f>
        <v>6.160020698858526E-2</v>
      </c>
      <c r="K106" s="1014">
        <f t="shared" ref="K106:K114" si="9">+IF((G106)=0,,(I106-G106)/G106)</f>
        <v>-5.6729420862108269E-2</v>
      </c>
      <c r="L106" s="805">
        <f>+Béthune!D106+Boulogne!D106+Calais!D106+StOmer!D106</f>
        <v>25872.127100000002</v>
      </c>
      <c r="M106" s="678">
        <v>1</v>
      </c>
    </row>
    <row r="107" spans="1:13" s="2" customFormat="1" ht="11.25" hidden="1">
      <c r="A107" s="5" t="s">
        <v>131</v>
      </c>
      <c r="B107" s="160">
        <f>+Béthune!$G107</f>
        <v>0</v>
      </c>
      <c r="C107" s="113">
        <f>+Boulogne!$G107</f>
        <v>0</v>
      </c>
      <c r="D107" s="113">
        <f>+Calais!$G107</f>
        <v>0</v>
      </c>
      <c r="E107" s="113">
        <f>+StOmer!$G107</f>
        <v>0</v>
      </c>
      <c r="F107" s="160">
        <f>+Béthune!E107+Boulogne!E107+Calais!E107+StOmer!E107</f>
        <v>0</v>
      </c>
      <c r="G107" s="135">
        <f>+Béthune!F107+Boulogne!F107+Calais!F107+StOmer!F107</f>
        <v>0</v>
      </c>
      <c r="H107" s="113">
        <v>0</v>
      </c>
      <c r="I107" s="161">
        <f>+Béthune!G107+Boulogne!G107+Calais!G107+StOmer!G107</f>
        <v>0</v>
      </c>
      <c r="J107" s="149">
        <f t="shared" si="8"/>
        <v>0</v>
      </c>
      <c r="K107" s="271">
        <f t="shared" si="9"/>
        <v>0</v>
      </c>
      <c r="L107" s="18">
        <f>+Béthune!D107+Boulogne!D107+Calais!D107+StOmer!D107</f>
        <v>0</v>
      </c>
      <c r="M107" s="2">
        <v>0</v>
      </c>
    </row>
    <row r="108" spans="1:13" s="2" customFormat="1" ht="11.25">
      <c r="A108" s="590" t="s">
        <v>132</v>
      </c>
      <c r="B108" s="805">
        <f>+Béthune!$G108</f>
        <v>450</v>
      </c>
      <c r="C108" s="805">
        <f>+Boulogne!$G108</f>
        <v>450</v>
      </c>
      <c r="D108" s="805">
        <f>+Calais!$G108</f>
        <v>450</v>
      </c>
      <c r="E108" s="805">
        <f>+StOmer!$G108</f>
        <v>450</v>
      </c>
      <c r="F108" s="805">
        <f>+Béthune!E108+Boulogne!E108+Calais!E108+StOmer!E108</f>
        <v>392.76</v>
      </c>
      <c r="G108" s="619">
        <f>+Béthune!F108+Boulogne!F108+Calais!F108+StOmer!F108</f>
        <v>6800.7733333333335</v>
      </c>
      <c r="H108" s="113">
        <v>859.20295375000001</v>
      </c>
      <c r="I108" s="1077">
        <f>+Béthune!G108+Boulogne!G108+Calais!G108+StOmer!G108</f>
        <v>1800</v>
      </c>
      <c r="J108" s="1013">
        <f t="shared" si="8"/>
        <v>16.31534100553349</v>
      </c>
      <c r="K108" s="1014">
        <f t="shared" si="9"/>
        <v>-0.73532421803010639</v>
      </c>
      <c r="L108" s="805">
        <f>+Béthune!D108+Boulogne!D108+Calais!D108+StOmer!D108</f>
        <v>1800</v>
      </c>
      <c r="M108" s="678">
        <v>1</v>
      </c>
    </row>
    <row r="109" spans="1:13" s="2" customFormat="1" ht="11.25">
      <c r="A109" s="590" t="s">
        <v>133</v>
      </c>
      <c r="B109" s="805">
        <f>+Béthune!$G109</f>
        <v>1832.4386666666667</v>
      </c>
      <c r="C109" s="805">
        <f>+Boulogne!$G109</f>
        <v>3959.5122666666666</v>
      </c>
      <c r="D109" s="805">
        <f>+Calais!$G109</f>
        <v>4518.6786666666667</v>
      </c>
      <c r="E109" s="805">
        <f>+StOmer!$G109</f>
        <v>3952.3022666666666</v>
      </c>
      <c r="F109" s="805">
        <f>+Béthune!E109+Boulogne!E109+Calais!E109+StOmer!E109</f>
        <v>15668.149999999998</v>
      </c>
      <c r="G109" s="619">
        <f>+Béthune!F109+Boulogne!F109+Calais!F109+StOmer!F109</f>
        <v>13847.506666666666</v>
      </c>
      <c r="H109" s="113">
        <v>23819.934499999999</v>
      </c>
      <c r="I109" s="1077">
        <f>+Béthune!G109+Boulogne!G109+Calais!G109+StOmer!G109</f>
        <v>14262.931866666666</v>
      </c>
      <c r="J109" s="1013">
        <f t="shared" si="8"/>
        <v>-0.11620027465484642</v>
      </c>
      <c r="K109" s="1014">
        <f t="shared" si="9"/>
        <v>2.9999999999999978E-2</v>
      </c>
      <c r="L109" s="805">
        <f>+Béthune!D109+Boulogne!D109+Calais!D109+StOmer!D109</f>
        <v>34563.514299999995</v>
      </c>
      <c r="M109" s="678">
        <v>1</v>
      </c>
    </row>
    <row r="110" spans="1:13" s="2" customFormat="1" ht="11.25">
      <c r="A110" s="590" t="s">
        <v>134</v>
      </c>
      <c r="B110" s="805">
        <f>+Béthune!$G110</f>
        <v>3727.913333333333</v>
      </c>
      <c r="C110" s="805">
        <f>+Boulogne!$G110</f>
        <v>10000</v>
      </c>
      <c r="D110" s="805">
        <f>+Calais!$G110</f>
        <v>15000</v>
      </c>
      <c r="E110" s="805">
        <f>+StOmer!$G110</f>
        <v>3286.73</v>
      </c>
      <c r="F110" s="805">
        <f>+Béthune!E110+Boulogne!E110+Calais!E110+StOmer!E110</f>
        <v>76307.320000000007</v>
      </c>
      <c r="G110" s="619">
        <f>+Béthune!F110+Boulogne!F110+Calais!F110+StOmer!F110</f>
        <v>67178.44</v>
      </c>
      <c r="H110" s="113">
        <v>65359.875700000004</v>
      </c>
      <c r="I110" s="1077">
        <f>+Béthune!G110+Boulogne!G110+Calais!G110+StOmer!G110</f>
        <v>32014.643333333333</v>
      </c>
      <c r="J110" s="1013">
        <f t="shared" si="8"/>
        <v>-0.11963308369367452</v>
      </c>
      <c r="K110" s="1014">
        <f t="shared" si="9"/>
        <v>-0.5234387203195946</v>
      </c>
      <c r="L110" s="805">
        <f>+Béthune!D110+Boulogne!D110+Calais!D110+StOmer!D110</f>
        <v>68550.815700000006</v>
      </c>
      <c r="M110" s="678">
        <v>1</v>
      </c>
    </row>
    <row r="111" spans="1:13" s="2" customFormat="1" ht="11.25">
      <c r="A111" s="590" t="s">
        <v>135</v>
      </c>
      <c r="B111" s="805">
        <f>+Béthune!$G111</f>
        <v>0</v>
      </c>
      <c r="C111" s="805">
        <f>+Boulogne!$G111</f>
        <v>0</v>
      </c>
      <c r="D111" s="805">
        <f>+Calais!$G111</f>
        <v>0</v>
      </c>
      <c r="E111" s="805">
        <f>+StOmer!$G111</f>
        <v>41.2</v>
      </c>
      <c r="F111" s="805">
        <f>+Béthune!E111+Boulogne!E111+Calais!E111+StOmer!E111</f>
        <v>130</v>
      </c>
      <c r="G111" s="619">
        <f>+Béthune!F111+Boulogne!F111+Calais!F111+StOmer!F111</f>
        <v>40</v>
      </c>
      <c r="H111" s="113">
        <v>0</v>
      </c>
      <c r="I111" s="1077">
        <f>+Béthune!G111+Boulogne!G111+Calais!G111+StOmer!G111</f>
        <v>41.2</v>
      </c>
      <c r="J111" s="1013">
        <f t="shared" si="8"/>
        <v>-0.69230769230769229</v>
      </c>
      <c r="K111" s="1014">
        <f t="shared" si="9"/>
        <v>3.0000000000000072E-2</v>
      </c>
      <c r="L111" s="805">
        <f>+Béthune!D111+Boulogne!D111+Calais!D111+StOmer!D111</f>
        <v>0</v>
      </c>
      <c r="M111" s="678">
        <v>1</v>
      </c>
    </row>
    <row r="112" spans="1:13" s="2" customFormat="1" ht="11.25">
      <c r="A112" s="590" t="s">
        <v>136</v>
      </c>
      <c r="B112" s="805">
        <f>+Béthune!$G112</f>
        <v>26.78</v>
      </c>
      <c r="C112" s="805">
        <f>+Boulogne!$G112</f>
        <v>0</v>
      </c>
      <c r="D112" s="805">
        <f>+Calais!$G112</f>
        <v>26.78</v>
      </c>
      <c r="E112" s="805">
        <f>+StOmer!$G112</f>
        <v>26.78</v>
      </c>
      <c r="F112" s="805">
        <f>+Béthune!E112+Boulogne!E112+Calais!E112+StOmer!E112</f>
        <v>100.94</v>
      </c>
      <c r="G112" s="619">
        <f>+Béthune!F112+Boulogne!F112+Calais!F112+StOmer!F112</f>
        <v>104</v>
      </c>
      <c r="H112" s="113">
        <v>77.981300000000005</v>
      </c>
      <c r="I112" s="1077">
        <f>+Béthune!G112+Boulogne!G112+Calais!G112+StOmer!G112</f>
        <v>80.34</v>
      </c>
      <c r="J112" s="1013">
        <f t="shared" si="8"/>
        <v>3.0315038636813972E-2</v>
      </c>
      <c r="K112" s="1014">
        <f t="shared" si="9"/>
        <v>-0.22749999999999998</v>
      </c>
      <c r="L112" s="805">
        <f>+Béthune!D112+Boulogne!D112+Calais!D112+StOmer!D112</f>
        <v>103.96820000000001</v>
      </c>
      <c r="M112" s="678">
        <v>1</v>
      </c>
    </row>
    <row r="113" spans="1:13" s="2" customFormat="1" ht="11.25">
      <c r="A113" s="590" t="s">
        <v>137</v>
      </c>
      <c r="B113" s="805">
        <f>+Béthune!$G113</f>
        <v>2000</v>
      </c>
      <c r="C113" s="805">
        <f>+Boulogne!$G113</f>
        <v>14000</v>
      </c>
      <c r="D113" s="805">
        <f>+Calais!$G113</f>
        <v>2000</v>
      </c>
      <c r="E113" s="805">
        <f>+StOmer!$G113</f>
        <v>2000</v>
      </c>
      <c r="F113" s="805">
        <f>+Béthune!E113+Boulogne!E113+Calais!E113+StOmer!E113</f>
        <v>22643.100000000002</v>
      </c>
      <c r="G113" s="619">
        <f>+Béthune!F113+Boulogne!F113+Calais!F113+StOmer!F113</f>
        <v>21130.19</v>
      </c>
      <c r="H113" s="113">
        <v>30564.22</v>
      </c>
      <c r="I113" s="1077">
        <f>+Béthune!G113+Boulogne!G113+Calais!G113+StOmer!G113</f>
        <v>20000</v>
      </c>
      <c r="J113" s="1013">
        <f t="shared" si="8"/>
        <v>-6.6815497877940888E-2</v>
      </c>
      <c r="K113" s="1014">
        <f t="shared" si="9"/>
        <v>-5.3486977637210019E-2</v>
      </c>
      <c r="L113" s="805">
        <f>+Béthune!D113+Boulogne!D113+Calais!D113+StOmer!D113</f>
        <v>33812.497600000002</v>
      </c>
      <c r="M113" s="678">
        <v>1</v>
      </c>
    </row>
    <row r="114" spans="1:13" s="2" customFormat="1" ht="11.25" hidden="1">
      <c r="A114" s="5" t="s">
        <v>138</v>
      </c>
      <c r="B114" s="160">
        <f>+Béthune!$G114</f>
        <v>0</v>
      </c>
      <c r="C114" s="113">
        <f>+Boulogne!$G114</f>
        <v>0</v>
      </c>
      <c r="D114" s="113">
        <f>+Calais!$G114</f>
        <v>0</v>
      </c>
      <c r="E114" s="113">
        <f>+StOmer!$G114</f>
        <v>-3182.7000000000003</v>
      </c>
      <c r="F114" s="160">
        <f>+Béthune!E114+Boulogne!E114+Calais!E114+StOmer!E114</f>
        <v>-10026.049999999999</v>
      </c>
      <c r="G114" s="135">
        <f>+Béthune!F114+Boulogne!F114+Calais!F114+StOmer!F114</f>
        <v>-3090</v>
      </c>
      <c r="H114" s="113">
        <v>0</v>
      </c>
      <c r="I114" s="161">
        <f>+Béthune!G114+Boulogne!G114+Calais!G114+StOmer!G114</f>
        <v>-3182.7000000000003</v>
      </c>
      <c r="J114" s="149">
        <f t="shared" si="8"/>
        <v>-0.69180285356645932</v>
      </c>
      <c r="K114" s="271">
        <f t="shared" si="9"/>
        <v>3.0000000000000089E-2</v>
      </c>
      <c r="L114" s="18">
        <f>+Béthune!D114+Boulogne!D114+Calais!D114+StOmer!D114</f>
        <v>-3090</v>
      </c>
      <c r="M114" s="2">
        <v>0</v>
      </c>
    </row>
    <row r="115" spans="1:13" s="2" customFormat="1" ht="11.25" hidden="1">
      <c r="A115" s="5"/>
      <c r="B115" s="160"/>
      <c r="C115" s="113"/>
      <c r="D115" s="113"/>
      <c r="E115" s="113"/>
      <c r="F115" s="160"/>
      <c r="G115" s="143"/>
      <c r="H115" s="113"/>
      <c r="I115" s="162"/>
      <c r="J115" s="149"/>
      <c r="K115" s="254"/>
      <c r="L115" s="18"/>
      <c r="M115" s="2">
        <v>0</v>
      </c>
    </row>
    <row r="116" spans="1:13" s="2" customFormat="1" ht="11.25">
      <c r="A116" s="13" t="s">
        <v>133</v>
      </c>
      <c r="B116" s="803">
        <f t="shared" ref="B116:G116" si="10">SUM(B104:B115)</f>
        <v>10922.216933333335</v>
      </c>
      <c r="C116" s="803">
        <f t="shared" si="10"/>
        <v>47472.3128</v>
      </c>
      <c r="D116" s="803">
        <f t="shared" si="10"/>
        <v>27422.171599999998</v>
      </c>
      <c r="E116" s="803">
        <f t="shared" si="10"/>
        <v>13394.714133333331</v>
      </c>
      <c r="F116" s="803">
        <f t="shared" si="10"/>
        <v>140867.85</v>
      </c>
      <c r="G116" s="597">
        <f t="shared" si="10"/>
        <v>142189.20333333334</v>
      </c>
      <c r="H116" s="204">
        <v>145714.81855375</v>
      </c>
      <c r="I116" s="803">
        <f>SUM(I104:I115)</f>
        <v>99211.415466666658</v>
      </c>
      <c r="J116" s="596">
        <f>+IF((F116)=0,,(G116-F116)/F116)</f>
        <v>9.3800915775553648E-3</v>
      </c>
      <c r="K116" s="1015">
        <f>+IF((G116)=0,,(I116-G116)/G116)</f>
        <v>-0.30225774432334429</v>
      </c>
      <c r="L116" s="803">
        <f>SUM(L105:L115)</f>
        <v>164542.9124</v>
      </c>
      <c r="M116" s="678">
        <v>1</v>
      </c>
    </row>
    <row r="117" spans="1:13" s="2" customFormat="1" ht="11.25" hidden="1">
      <c r="A117" s="5"/>
      <c r="B117" s="160"/>
      <c r="C117" s="113"/>
      <c r="D117" s="113"/>
      <c r="E117" s="113"/>
      <c r="F117" s="160"/>
      <c r="G117" s="143"/>
      <c r="H117" s="113"/>
      <c r="I117" s="162"/>
      <c r="J117" s="149"/>
      <c r="K117" s="254"/>
      <c r="L117" s="18"/>
      <c r="M117" s="2">
        <v>0</v>
      </c>
    </row>
    <row r="118" spans="1:13" s="2" customFormat="1" ht="11.25">
      <c r="A118" s="590" t="s">
        <v>139</v>
      </c>
      <c r="B118" s="805">
        <f>+Béthune!$G118</f>
        <v>381.54899999999998</v>
      </c>
      <c r="C118" s="805">
        <f>+Boulogne!$G118</f>
        <v>979.52399999999989</v>
      </c>
      <c r="D118" s="805">
        <f>+Calais!$G118</f>
        <v>639.16999999999996</v>
      </c>
      <c r="E118" s="805">
        <f>+StOmer!$G118</f>
        <v>1002.3719999999998</v>
      </c>
      <c r="F118" s="805">
        <f>+Béthune!E118+Boulogne!E118+Calais!E118+StOmer!E118</f>
        <v>3464.6400000000003</v>
      </c>
      <c r="G118" s="619">
        <f>+Béthune!F118+Boulogne!F118+Calais!F118+StOmer!F118</f>
        <v>8502.2799999999988</v>
      </c>
      <c r="H118" s="113">
        <v>0</v>
      </c>
      <c r="I118" s="1077">
        <f>+Béthune!G118+Boulogne!G118+Calais!G118+StOmer!G118</f>
        <v>3002.6149999999998</v>
      </c>
      <c r="J118" s="1013">
        <f>+IF((F118)=0,,(G118-F118)/F118)</f>
        <v>1.4540154244019574</v>
      </c>
      <c r="K118" s="1014">
        <f>+IF((G118)=0,,(I118-G118)/G118)</f>
        <v>-0.64684590486316607</v>
      </c>
      <c r="L118" s="805">
        <f>+Béthune!D118+Boulogne!D118+Calais!D118+StOmer!D118</f>
        <v>2893.8209999999999</v>
      </c>
      <c r="M118" s="678">
        <v>1</v>
      </c>
    </row>
    <row r="119" spans="1:13" s="2" customFormat="1" ht="11.25">
      <c r="A119" s="590" t="s">
        <v>140</v>
      </c>
      <c r="B119" s="805">
        <f>+Béthune!$G119</f>
        <v>245.28150000000002</v>
      </c>
      <c r="C119" s="805">
        <f>+Boulogne!$G119</f>
        <v>629.69400000000007</v>
      </c>
      <c r="D119" s="805">
        <f>+Calais!$G119</f>
        <v>410.89500000000004</v>
      </c>
      <c r="E119" s="805">
        <f>+StOmer!$G119</f>
        <v>644.38200000000006</v>
      </c>
      <c r="F119" s="805">
        <f>+Béthune!E119+Boulogne!E119+Calais!E119+StOmer!E119</f>
        <v>1829</v>
      </c>
      <c r="G119" s="619">
        <f>+Béthune!F119+Boulogne!F119+Calais!F119+StOmer!F119</f>
        <v>0</v>
      </c>
      <c r="H119" s="113">
        <v>0</v>
      </c>
      <c r="I119" s="1077">
        <f>+Béthune!G119+Boulogne!G119+Calais!G119+StOmer!G119</f>
        <v>1930.2525000000003</v>
      </c>
      <c r="J119" s="1013">
        <f t="shared" ref="J119:J127" si="11">+IF((F119)=0,,(G119-F119)/F119)</f>
        <v>-1</v>
      </c>
      <c r="K119" s="1014">
        <f t="shared" ref="K119:K127" si="12">+IF((G119)=0,,(I119-G119)/G119)</f>
        <v>0</v>
      </c>
      <c r="L119" s="805">
        <f>+Béthune!D119+Boulogne!D119+Calais!D119+StOmer!D119</f>
        <v>1860.3135000000002</v>
      </c>
      <c r="M119" s="678">
        <v>1</v>
      </c>
    </row>
    <row r="120" spans="1:13" s="2" customFormat="1" ht="11.25">
      <c r="A120" s="590" t="s">
        <v>141</v>
      </c>
      <c r="B120" s="805">
        <f>+Béthune!$G120</f>
        <v>425.15460000000002</v>
      </c>
      <c r="C120" s="805">
        <f>+Boulogne!$G120</f>
        <v>1091.4696000000001</v>
      </c>
      <c r="D120" s="805">
        <f>+Calais!$G120</f>
        <v>712.21800000000007</v>
      </c>
      <c r="E120" s="805">
        <f>+StOmer!$G120</f>
        <v>1116.9288000000001</v>
      </c>
      <c r="F120" s="805">
        <f>+Béthune!E120+Boulogne!E120+Calais!E120+StOmer!E120</f>
        <v>2764</v>
      </c>
      <c r="G120" s="619">
        <f>+Béthune!F120+Boulogne!F120+Calais!F120+StOmer!F120</f>
        <v>0</v>
      </c>
      <c r="H120" s="113">
        <v>0</v>
      </c>
      <c r="I120" s="1077">
        <f>+Béthune!G120+Boulogne!G120+Calais!G120+StOmer!G120</f>
        <v>3345.7710000000002</v>
      </c>
      <c r="J120" s="1013">
        <f t="shared" si="11"/>
        <v>-1</v>
      </c>
      <c r="K120" s="1014">
        <f t="shared" si="12"/>
        <v>0</v>
      </c>
      <c r="L120" s="805">
        <f>+Béthune!D120+Boulogne!D120+Calais!D120+StOmer!D120</f>
        <v>3224.5434</v>
      </c>
      <c r="M120" s="678">
        <v>1</v>
      </c>
    </row>
    <row r="121" spans="1:13" s="2" customFormat="1" ht="11.25">
      <c r="A121" s="590" t="s">
        <v>142</v>
      </c>
      <c r="B121" s="805">
        <f>+Béthune!$G121</f>
        <v>1614.9</v>
      </c>
      <c r="C121" s="805">
        <f>+Boulogne!$G121</f>
        <v>1402.8</v>
      </c>
      <c r="D121" s="805">
        <f>+Calais!$G121</f>
        <v>1614.9</v>
      </c>
      <c r="E121" s="805">
        <f>+StOmer!$G121</f>
        <v>5160.75</v>
      </c>
      <c r="F121" s="805">
        <f>+Béthune!E121+Boulogne!E121+Calais!E121+StOmer!E121</f>
        <v>12613</v>
      </c>
      <c r="G121" s="619">
        <f>+Béthune!F121+Boulogne!F121+Calais!F121+StOmer!F121</f>
        <v>9327</v>
      </c>
      <c r="H121" s="113">
        <v>12874.227500000001</v>
      </c>
      <c r="I121" s="1077">
        <f>+Béthune!G121+Boulogne!G121+Calais!G121+StOmer!G121</f>
        <v>9793.35</v>
      </c>
      <c r="J121" s="1013">
        <f t="shared" si="11"/>
        <v>-0.26052485530801556</v>
      </c>
      <c r="K121" s="1014">
        <f t="shared" si="12"/>
        <v>5.0000000000000037E-2</v>
      </c>
      <c r="L121" s="805">
        <f>+Béthune!D121+Boulogne!D121+Calais!D121+StOmer!D121</f>
        <v>21544.950000000004</v>
      </c>
      <c r="M121" s="678">
        <v>1</v>
      </c>
    </row>
    <row r="122" spans="1:13" s="2" customFormat="1" ht="11.25">
      <c r="A122" s="590" t="s">
        <v>143</v>
      </c>
      <c r="B122" s="805">
        <f>+Béthune!$G122</f>
        <v>1593.8790000000001</v>
      </c>
      <c r="C122" s="805">
        <f>+Boulogne!$G122</f>
        <v>3634.05</v>
      </c>
      <c r="D122" s="805">
        <f>+Calais!$G122</f>
        <v>1334.8440000000001</v>
      </c>
      <c r="E122" s="805">
        <f>+StOmer!$G122</f>
        <v>5339.25</v>
      </c>
      <c r="F122" s="805">
        <f>+Béthune!E122+Boulogne!E122+Calais!E122+StOmer!E122</f>
        <v>10833.92</v>
      </c>
      <c r="G122" s="619">
        <f>+Béthune!F122+Boulogne!F122+Calais!F122+StOmer!F122</f>
        <v>11335.259999999998</v>
      </c>
      <c r="H122" s="113">
        <v>7511.8748462499989</v>
      </c>
      <c r="I122" s="1077">
        <f>+Béthune!G122+Boulogne!G122+Calais!G122+StOmer!G122</f>
        <v>11902.023000000001</v>
      </c>
      <c r="J122" s="1013">
        <f t="shared" si="11"/>
        <v>4.6275032490548047E-2</v>
      </c>
      <c r="K122" s="1014">
        <f t="shared" si="12"/>
        <v>5.0000000000000239E-2</v>
      </c>
      <c r="L122" s="805">
        <f>+Béthune!D122+Boulogne!D122+Calais!D122+StOmer!D122</f>
        <v>11628.911437499999</v>
      </c>
      <c r="M122" s="678">
        <v>1</v>
      </c>
    </row>
    <row r="123" spans="1:13" s="2" customFormat="1" ht="11.25">
      <c r="A123" s="590" t="s">
        <v>144</v>
      </c>
      <c r="B123" s="805">
        <f>+Béthune!$G123</f>
        <v>50</v>
      </c>
      <c r="C123" s="805">
        <f>+Boulogne!$G123</f>
        <v>253.02375000000004</v>
      </c>
      <c r="D123" s="805">
        <f>+Calais!$G123</f>
        <v>50</v>
      </c>
      <c r="E123" s="805">
        <f>+StOmer!$G123</f>
        <v>63.415800000000011</v>
      </c>
      <c r="F123" s="805">
        <f>+Béthune!E123+Boulogne!E123+Calais!E123+StOmer!E123</f>
        <v>287.02</v>
      </c>
      <c r="G123" s="619">
        <f>+Béthune!F123+Boulogne!F123+Calais!F123+StOmer!F123</f>
        <v>301.37100000000004</v>
      </c>
      <c r="H123" s="113">
        <v>0</v>
      </c>
      <c r="I123" s="1077">
        <f>+Béthune!G123+Boulogne!G123+Calais!G123+StOmer!G123</f>
        <v>416.43955000000005</v>
      </c>
      <c r="J123" s="1013">
        <f t="shared" si="11"/>
        <v>5.0000000000000197E-2</v>
      </c>
      <c r="K123" s="1014">
        <f t="shared" si="12"/>
        <v>0.38181692996340061</v>
      </c>
      <c r="L123" s="805">
        <f>+Béthune!D123+Boulogne!D123+Calais!D123+StOmer!D123</f>
        <v>395.63060000000002</v>
      </c>
      <c r="M123" s="678">
        <v>1</v>
      </c>
    </row>
    <row r="124" spans="1:13" s="2" customFormat="1" ht="11.25">
      <c r="A124" s="590" t="s">
        <v>145</v>
      </c>
      <c r="B124" s="805">
        <f>+Béthune!$G124</f>
        <v>0</v>
      </c>
      <c r="C124" s="805">
        <f>+Boulogne!$G124</f>
        <v>0</v>
      </c>
      <c r="D124" s="805">
        <f>+Calais!$G124</f>
        <v>0</v>
      </c>
      <c r="E124" s="805">
        <f>+StOmer!$G124</f>
        <v>0</v>
      </c>
      <c r="F124" s="805">
        <f>+Béthune!E124+Boulogne!E124+Calais!E124+StOmer!E124</f>
        <v>620</v>
      </c>
      <c r="G124" s="619">
        <f>+Béthune!F124+Boulogne!F124+Calais!F124+StOmer!F124</f>
        <v>0</v>
      </c>
      <c r="H124" s="113">
        <v>7.4643118996527784</v>
      </c>
      <c r="I124" s="1077">
        <f>+Béthune!G124+Boulogne!G124+Calais!G124+StOmer!G124</f>
        <v>0</v>
      </c>
      <c r="J124" s="1013">
        <f t="shared" si="11"/>
        <v>-1</v>
      </c>
      <c r="K124" s="1014">
        <f t="shared" si="12"/>
        <v>0</v>
      </c>
      <c r="L124" s="805">
        <f>+Béthune!D124+Boulogne!D124+Calais!D124+StOmer!D124</f>
        <v>0</v>
      </c>
      <c r="M124" s="678">
        <v>1</v>
      </c>
    </row>
    <row r="125" spans="1:13" s="2" customFormat="1" ht="11.25">
      <c r="A125" s="590" t="s">
        <v>286</v>
      </c>
      <c r="B125" s="805">
        <f>+Béthune!$G125</f>
        <v>0</v>
      </c>
      <c r="C125" s="805">
        <f>+Boulogne!$G125</f>
        <v>0</v>
      </c>
      <c r="D125" s="805">
        <f>+Calais!$G125</f>
        <v>0</v>
      </c>
      <c r="E125" s="805">
        <f>+StOmer!$G125</f>
        <v>0</v>
      </c>
      <c r="F125" s="805">
        <f>+Béthune!E125+Boulogne!E125+Calais!E125+StOmer!E125</f>
        <v>0</v>
      </c>
      <c r="G125" s="619">
        <f>+Béthune!F125+Boulogne!F125+Calais!F125+StOmer!F125</f>
        <v>0</v>
      </c>
      <c r="H125" s="113">
        <v>0</v>
      </c>
      <c r="I125" s="1077">
        <f>+Béthune!G125+Boulogne!G125+Calais!G125+StOmer!G125</f>
        <v>0</v>
      </c>
      <c r="J125" s="1013">
        <f t="shared" si="11"/>
        <v>0</v>
      </c>
      <c r="K125" s="1014">
        <f t="shared" si="12"/>
        <v>0</v>
      </c>
      <c r="L125" s="805">
        <f>+Béthune!D125+Boulogne!D125+Calais!D125+StOmer!D125</f>
        <v>0</v>
      </c>
      <c r="M125" s="678">
        <v>1</v>
      </c>
    </row>
    <row r="126" spans="1:13" s="2" customFormat="1" ht="11.25" hidden="1">
      <c r="A126" s="5" t="s">
        <v>361</v>
      </c>
      <c r="B126" s="160">
        <f>+Béthune!$G126</f>
        <v>0</v>
      </c>
      <c r="C126" s="113">
        <f>+Boulogne!$G126</f>
        <v>0</v>
      </c>
      <c r="D126" s="113">
        <f>+Calais!$G126</f>
        <v>0</v>
      </c>
      <c r="E126" s="113">
        <f>+StOmer!$G126</f>
        <v>0</v>
      </c>
      <c r="F126" s="160">
        <f>+Béthune!E126+Boulogne!E126+Calais!E126+StOmer!E126</f>
        <v>0</v>
      </c>
      <c r="G126" s="135">
        <f>+Béthune!F126+Boulogne!F126+Calais!F126+StOmer!F126</f>
        <v>0</v>
      </c>
      <c r="H126" s="113">
        <v>0</v>
      </c>
      <c r="I126" s="161">
        <f>+Béthune!G126+Boulogne!G126+Calais!G126+StOmer!G126</f>
        <v>0</v>
      </c>
      <c r="J126" s="149">
        <f t="shared" si="11"/>
        <v>0</v>
      </c>
      <c r="K126" s="271">
        <f t="shared" si="12"/>
        <v>0</v>
      </c>
      <c r="L126" s="18">
        <f>+Béthune!D126+Boulogne!D126+Calais!D126+StOmer!D126</f>
        <v>0</v>
      </c>
      <c r="M126" s="678">
        <v>0</v>
      </c>
    </row>
    <row r="127" spans="1:13" s="2" customFormat="1" ht="11.25">
      <c r="A127" s="590" t="s">
        <v>146</v>
      </c>
      <c r="B127" s="805">
        <f>+Béthune!$G127</f>
        <v>637.67360000000008</v>
      </c>
      <c r="C127" s="805">
        <f>+Boulogne!$G127</f>
        <v>3555.1584000000003</v>
      </c>
      <c r="D127" s="805">
        <f>+Calais!$G127</f>
        <v>1670.4256</v>
      </c>
      <c r="E127" s="805">
        <f>+StOmer!$G127</f>
        <v>1296.9008000000001</v>
      </c>
      <c r="F127" s="805">
        <f>+Béthune!E127+Boulogne!E127+Calais!E127+StOmer!E127</f>
        <v>9438.61</v>
      </c>
      <c r="G127" s="619">
        <f>+Béthune!F127+Boulogne!F127+Calais!F127+StOmer!F127</f>
        <v>10934.36</v>
      </c>
      <c r="H127" s="113">
        <v>5633.3570156799988</v>
      </c>
      <c r="I127" s="1077">
        <f>+Béthune!G127+Boulogne!G127+Calais!G127+StOmer!G127</f>
        <v>7160.1584000000012</v>
      </c>
      <c r="J127" s="1013">
        <f t="shared" si="11"/>
        <v>0.15847142746654433</v>
      </c>
      <c r="K127" s="1014">
        <f t="shared" si="12"/>
        <v>-0.34516895364703554</v>
      </c>
      <c r="L127" s="805">
        <f>+Béthune!D127+Boulogne!D127+Calais!D127+StOmer!D127</f>
        <v>6971.2368000000006</v>
      </c>
      <c r="M127" s="678">
        <v>1</v>
      </c>
    </row>
    <row r="128" spans="1:13" s="2" customFormat="1" ht="11.25" hidden="1">
      <c r="A128" s="5"/>
      <c r="B128" s="160"/>
      <c r="C128" s="113"/>
      <c r="D128" s="113"/>
      <c r="E128" s="113"/>
      <c r="F128" s="160"/>
      <c r="G128" s="143"/>
      <c r="H128" s="113"/>
      <c r="I128" s="162"/>
      <c r="J128" s="149"/>
      <c r="K128" s="254"/>
      <c r="L128" s="18"/>
      <c r="M128" s="2">
        <v>0</v>
      </c>
    </row>
    <row r="129" spans="1:13" s="2" customFormat="1" ht="11.25">
      <c r="A129" s="13" t="s">
        <v>147</v>
      </c>
      <c r="B129" s="803">
        <f t="shared" ref="B129:G129" si="13">SUM(B117:B128)</f>
        <v>4948.4377000000004</v>
      </c>
      <c r="C129" s="803">
        <f t="shared" si="13"/>
        <v>11545.71975</v>
      </c>
      <c r="D129" s="803">
        <f t="shared" si="13"/>
        <v>6432.4526000000005</v>
      </c>
      <c r="E129" s="803">
        <f t="shared" si="13"/>
        <v>14623.999400000001</v>
      </c>
      <c r="F129" s="803">
        <f t="shared" si="13"/>
        <v>41850.19</v>
      </c>
      <c r="G129" s="597">
        <f t="shared" si="13"/>
        <v>40400.270999999993</v>
      </c>
      <c r="H129" s="204">
        <v>26026.923673829653</v>
      </c>
      <c r="I129" s="803">
        <f>SUM(I117:I128)</f>
        <v>37550.609450000004</v>
      </c>
      <c r="J129" s="596">
        <f>+IF((F129)=0,,(G129-F129)/F129)</f>
        <v>-3.4645458001505106E-2</v>
      </c>
      <c r="K129" s="1015">
        <f>+IF((G129)=0,,(I129-G129)/G129)</f>
        <v>-7.0535703832283456E-2</v>
      </c>
      <c r="L129" s="803">
        <f>SUM(L117:L128)</f>
        <v>48519.406737500001</v>
      </c>
      <c r="M129" s="678">
        <v>1</v>
      </c>
    </row>
    <row r="130" spans="1:13" s="2" customFormat="1" ht="11.25" hidden="1">
      <c r="A130" s="5"/>
      <c r="B130" s="160"/>
      <c r="C130" s="113"/>
      <c r="D130" s="113"/>
      <c r="E130" s="113"/>
      <c r="F130" s="160"/>
      <c r="G130" s="143"/>
      <c r="H130" s="113"/>
      <c r="I130" s="162"/>
      <c r="J130" s="149"/>
      <c r="K130" s="254"/>
      <c r="L130" s="18"/>
      <c r="M130" s="2">
        <v>0</v>
      </c>
    </row>
    <row r="131" spans="1:13" s="2" customFormat="1" ht="11.25">
      <c r="A131" s="590" t="s">
        <v>148</v>
      </c>
      <c r="B131" s="805">
        <f>+Béthune!$G131</f>
        <v>54507</v>
      </c>
      <c r="C131" s="805">
        <f>+Boulogne!$G131</f>
        <v>139932</v>
      </c>
      <c r="D131" s="805">
        <f>+Calais!$G131</f>
        <v>91310</v>
      </c>
      <c r="E131" s="805">
        <f>+StOmer!$G131</f>
        <v>143196</v>
      </c>
      <c r="F131" s="805">
        <f>+Béthune!E131+Boulogne!E131+Calais!E131+StOmer!E131</f>
        <v>429174</v>
      </c>
      <c r="G131" s="619">
        <f>+Béthune!F131+Boulogne!F131+Calais!F131+StOmer!F131</f>
        <v>431396.14666666661</v>
      </c>
      <c r="H131" s="113">
        <v>243705.47779999999</v>
      </c>
      <c r="I131" s="1077">
        <f>+Béthune!G131+Boulogne!G131+Calais!G131+StOmer!G131</f>
        <v>428945</v>
      </c>
      <c r="J131" s="1013">
        <f>+IF((F131)=0,,(G131-F131)/F131)</f>
        <v>5.1777290019120667E-3</v>
      </c>
      <c r="K131" s="1014">
        <f>+IF((G131)=0,,(I131-G131)/G131)</f>
        <v>-5.6818928161650314E-3</v>
      </c>
      <c r="L131" s="805">
        <f>+Béthune!D131+Boulogne!D131+Calais!D131+StOmer!D131</f>
        <v>413403</v>
      </c>
      <c r="M131" s="678">
        <v>1</v>
      </c>
    </row>
    <row r="132" spans="1:13" s="2" customFormat="1" ht="11.25" hidden="1">
      <c r="A132" s="5" t="s">
        <v>149</v>
      </c>
      <c r="B132" s="160">
        <f>+Béthune!$G132</f>
        <v>0</v>
      </c>
      <c r="C132" s="113">
        <f>+Boulogne!$G132</f>
        <v>0</v>
      </c>
      <c r="D132" s="113">
        <f>+Calais!$G132</f>
        <v>0</v>
      </c>
      <c r="E132" s="113">
        <f>+StOmer!$G132</f>
        <v>0</v>
      </c>
      <c r="F132" s="160">
        <f>+Béthune!E132+Boulogne!E132+Calais!E132+StOmer!E132</f>
        <v>120</v>
      </c>
      <c r="G132" s="135">
        <f>+Béthune!F132+Boulogne!F132+Calais!F132+StOmer!F132</f>
        <v>1370.6</v>
      </c>
      <c r="H132" s="113">
        <v>-1390.5</v>
      </c>
      <c r="I132" s="161">
        <f>+Béthune!G132+Boulogne!G132+Calais!G132+StOmer!G132</f>
        <v>0</v>
      </c>
      <c r="J132" s="149">
        <f t="shared" ref="J132:J151" si="14">+IF((F132)=0,,(G132-F132)/F132)</f>
        <v>10.421666666666665</v>
      </c>
      <c r="K132" s="271">
        <f t="shared" ref="K132:K151" si="15">+IF((G132)=0,,(I132-G132)/G132)</f>
        <v>-1</v>
      </c>
      <c r="L132" s="18">
        <f>+Béthune!D132+Boulogne!D132+Calais!D132+StOmer!D132</f>
        <v>0</v>
      </c>
      <c r="M132" s="2">
        <v>0</v>
      </c>
    </row>
    <row r="133" spans="1:13" s="2" customFormat="1" ht="11.25">
      <c r="A133" s="590" t="s">
        <v>150</v>
      </c>
      <c r="B133" s="805">
        <f>+Béthune!$G133</f>
        <v>0</v>
      </c>
      <c r="C133" s="805">
        <f>+Boulogne!$G133</f>
        <v>0</v>
      </c>
      <c r="D133" s="805">
        <f>+Calais!$G133</f>
        <v>0</v>
      </c>
      <c r="E133" s="805">
        <f>+StOmer!$G133</f>
        <v>0</v>
      </c>
      <c r="F133" s="805">
        <f>+Béthune!E133+Boulogne!E133+Calais!E133+StOmer!E133</f>
        <v>0</v>
      </c>
      <c r="G133" s="619">
        <f>+Béthune!F133+Boulogne!F133+Calais!F133+StOmer!F133</f>
        <v>13531.64</v>
      </c>
      <c r="H133" s="113">
        <v>0</v>
      </c>
      <c r="I133" s="1077">
        <f>+Béthune!G133+Boulogne!G133+Calais!G133+StOmer!G133</f>
        <v>0</v>
      </c>
      <c r="J133" s="1013">
        <f t="shared" si="14"/>
        <v>0</v>
      </c>
      <c r="K133" s="1014">
        <f t="shared" si="15"/>
        <v>-1</v>
      </c>
      <c r="L133" s="805">
        <f>+Béthune!D133+Boulogne!D133+Calais!D133+StOmer!D133</f>
        <v>0</v>
      </c>
      <c r="M133" s="678">
        <v>1</v>
      </c>
    </row>
    <row r="134" spans="1:13" s="2" customFormat="1" ht="11.25" hidden="1">
      <c r="A134" s="5" t="s">
        <v>151</v>
      </c>
      <c r="B134" s="160">
        <f>+Béthune!$G134</f>
        <v>0</v>
      </c>
      <c r="C134" s="113">
        <f>+Boulogne!$G134</f>
        <v>0</v>
      </c>
      <c r="D134" s="113">
        <f>+Calais!$G134</f>
        <v>0</v>
      </c>
      <c r="E134" s="113">
        <f>+StOmer!$G134</f>
        <v>0</v>
      </c>
      <c r="F134" s="160">
        <f>+Béthune!E134+Boulogne!E134+Calais!E134+StOmer!E134</f>
        <v>5341.67</v>
      </c>
      <c r="G134" s="135">
        <f>+Béthune!F134+Boulogne!F134+Calais!F134+StOmer!F134</f>
        <v>0</v>
      </c>
      <c r="H134" s="113">
        <v>0</v>
      </c>
      <c r="I134" s="161">
        <f>+Béthune!G134+Boulogne!G134+Calais!G134+StOmer!G134</f>
        <v>0</v>
      </c>
      <c r="J134" s="149">
        <f t="shared" si="14"/>
        <v>-1</v>
      </c>
      <c r="K134" s="271">
        <f t="shared" si="15"/>
        <v>0</v>
      </c>
      <c r="L134" s="18">
        <f>+Béthune!D134+Boulogne!D134+Calais!D134+StOmer!D134</f>
        <v>0</v>
      </c>
      <c r="M134" s="2">
        <v>0</v>
      </c>
    </row>
    <row r="135" spans="1:13" s="2" customFormat="1" ht="11.25" hidden="1">
      <c r="A135" s="5" t="s">
        <v>114</v>
      </c>
      <c r="B135" s="160">
        <f>+Béthune!$G135</f>
        <v>0</v>
      </c>
      <c r="C135" s="113">
        <f>+Boulogne!$G135</f>
        <v>0</v>
      </c>
      <c r="D135" s="113">
        <f>+Calais!$G135</f>
        <v>0</v>
      </c>
      <c r="E135" s="113">
        <f>+StOmer!$G135</f>
        <v>0</v>
      </c>
      <c r="F135" s="160">
        <f>+Béthune!E135+Boulogne!E135+Calais!E135+StOmer!E135</f>
        <v>4328.4299999999994</v>
      </c>
      <c r="G135" s="135">
        <f>+Béthune!F135+Boulogne!F135+Calais!F135+StOmer!F135</f>
        <v>24457.586666666666</v>
      </c>
      <c r="H135" s="113">
        <v>4525.9683199999999</v>
      </c>
      <c r="I135" s="161">
        <f>+Béthune!G135+Boulogne!G135+Calais!G135+StOmer!G135</f>
        <v>0</v>
      </c>
      <c r="J135" s="149">
        <f t="shared" si="14"/>
        <v>4.6504521654887956</v>
      </c>
      <c r="K135" s="271">
        <f t="shared" si="15"/>
        <v>-1</v>
      </c>
      <c r="L135" s="18">
        <f>+Béthune!D135+Boulogne!D135+Calais!D135+StOmer!D135</f>
        <v>6194.2464200000004</v>
      </c>
      <c r="M135" s="678">
        <v>0</v>
      </c>
    </row>
    <row r="136" spans="1:13" s="2" customFormat="1" ht="11.25">
      <c r="A136" s="590" t="s">
        <v>338</v>
      </c>
      <c r="B136" s="805">
        <f>+Béthune!$G136</f>
        <v>0</v>
      </c>
      <c r="C136" s="805">
        <f>+Boulogne!$G136</f>
        <v>0</v>
      </c>
      <c r="D136" s="805">
        <f>+Calais!$G136</f>
        <v>0</v>
      </c>
      <c r="E136" s="805">
        <f>+StOmer!$G136</f>
        <v>0</v>
      </c>
      <c r="F136" s="805">
        <f>+Béthune!E136+Boulogne!E136+Calais!E136+StOmer!E136</f>
        <v>0</v>
      </c>
      <c r="G136" s="619">
        <f>+Béthune!F136+Boulogne!F136+Calais!F136+StOmer!F136</f>
        <v>0</v>
      </c>
      <c r="H136" s="113">
        <v>0</v>
      </c>
      <c r="I136" s="1077">
        <f>+Béthune!G136+Boulogne!G136+Calais!G136+StOmer!G136</f>
        <v>0</v>
      </c>
      <c r="J136" s="1013">
        <f t="shared" si="14"/>
        <v>0</v>
      </c>
      <c r="K136" s="1014">
        <f t="shared" si="15"/>
        <v>0</v>
      </c>
      <c r="L136" s="805">
        <f>+Béthune!D136+Boulogne!D136+Calais!D136+StOmer!D136</f>
        <v>0</v>
      </c>
      <c r="M136" s="2">
        <v>1</v>
      </c>
    </row>
    <row r="137" spans="1:13" s="2" customFormat="1" ht="11.25" hidden="1">
      <c r="A137" s="5" t="s">
        <v>87</v>
      </c>
      <c r="B137" s="160">
        <f>+Béthune!$G137</f>
        <v>0</v>
      </c>
      <c r="C137" s="113">
        <f>+Boulogne!$G137</f>
        <v>0</v>
      </c>
      <c r="D137" s="113">
        <f>+Calais!$G137</f>
        <v>0</v>
      </c>
      <c r="E137" s="113">
        <f>+StOmer!$G137</f>
        <v>0</v>
      </c>
      <c r="F137" s="160">
        <f>+Béthune!E137+Boulogne!E137+Calais!E137+StOmer!E137</f>
        <v>0</v>
      </c>
      <c r="G137" s="135">
        <f>+Béthune!F137+Boulogne!F137+Calais!F137+StOmer!F137</f>
        <v>0</v>
      </c>
      <c r="H137" s="113">
        <v>0</v>
      </c>
      <c r="I137" s="161">
        <f>+Béthune!G137+Boulogne!G137+Calais!G137+StOmer!G137</f>
        <v>0</v>
      </c>
      <c r="J137" s="149">
        <f t="shared" si="14"/>
        <v>0</v>
      </c>
      <c r="K137" s="271">
        <f t="shared" si="15"/>
        <v>0</v>
      </c>
      <c r="L137" s="18">
        <f>+Béthune!D137+Boulogne!D137+Calais!D137+StOmer!D137</f>
        <v>0</v>
      </c>
      <c r="M137" s="2">
        <v>0</v>
      </c>
    </row>
    <row r="138" spans="1:13" s="2" customFormat="1" ht="11.25" hidden="1">
      <c r="A138" s="5" t="s">
        <v>152</v>
      </c>
      <c r="B138" s="160">
        <f>+Béthune!$G138</f>
        <v>0</v>
      </c>
      <c r="C138" s="113">
        <f>+Boulogne!$G138</f>
        <v>0</v>
      </c>
      <c r="D138" s="113">
        <f>+Calais!$G138</f>
        <v>0</v>
      </c>
      <c r="E138" s="113">
        <f>+StOmer!$G138</f>
        <v>0</v>
      </c>
      <c r="F138" s="160">
        <f>+Béthune!E138+Boulogne!E138+Calais!E138+StOmer!E138</f>
        <v>1499.91</v>
      </c>
      <c r="G138" s="135">
        <f>+Béthune!F138+Boulogne!F138+Calais!F138+StOmer!F138</f>
        <v>0</v>
      </c>
      <c r="H138" s="113">
        <v>0</v>
      </c>
      <c r="I138" s="161">
        <f>+Béthune!G138+Boulogne!G138+Calais!G138+StOmer!G138</f>
        <v>0</v>
      </c>
      <c r="J138" s="149">
        <f t="shared" si="14"/>
        <v>-1</v>
      </c>
      <c r="K138" s="271">
        <f t="shared" si="15"/>
        <v>0</v>
      </c>
      <c r="L138" s="18">
        <f>+Béthune!D138+Boulogne!D138+Calais!D138+StOmer!D138</f>
        <v>0</v>
      </c>
      <c r="M138" s="2">
        <v>0</v>
      </c>
    </row>
    <row r="139" spans="1:13" s="2" customFormat="1" ht="11.25" hidden="1">
      <c r="A139" s="5" t="s">
        <v>153</v>
      </c>
      <c r="B139" s="160">
        <f>+Béthune!$G139</f>
        <v>0</v>
      </c>
      <c r="C139" s="113">
        <f>+Boulogne!$G139</f>
        <v>0</v>
      </c>
      <c r="D139" s="113">
        <f>+Calais!$G139</f>
        <v>0</v>
      </c>
      <c r="E139" s="113">
        <f>+StOmer!$G139</f>
        <v>0</v>
      </c>
      <c r="F139" s="160">
        <f>+Béthune!E139+Boulogne!E139+Calais!E139+StOmer!E139</f>
        <v>0</v>
      </c>
      <c r="G139" s="135">
        <f>+Béthune!F139+Boulogne!F139+Calais!F139+StOmer!F139</f>
        <v>0</v>
      </c>
      <c r="H139" s="113">
        <v>0</v>
      </c>
      <c r="I139" s="161">
        <f>+Béthune!G139+Boulogne!G139+Calais!G139+StOmer!G139</f>
        <v>0</v>
      </c>
      <c r="J139" s="149">
        <f t="shared" si="14"/>
        <v>0</v>
      </c>
      <c r="K139" s="271">
        <f t="shared" si="15"/>
        <v>0</v>
      </c>
      <c r="L139" s="18">
        <f>+Béthune!D139+Boulogne!D139+Calais!D139+StOmer!D139</f>
        <v>0</v>
      </c>
      <c r="M139" s="2">
        <v>0</v>
      </c>
    </row>
    <row r="140" spans="1:13" s="2" customFormat="1" ht="11.25">
      <c r="A140" s="590" t="s">
        <v>154</v>
      </c>
      <c r="B140" s="805">
        <f>+Béthune!$G140</f>
        <v>0</v>
      </c>
      <c r="C140" s="805">
        <f>+Boulogne!$G140</f>
        <v>0</v>
      </c>
      <c r="D140" s="805">
        <f>+Calais!$G140</f>
        <v>0</v>
      </c>
      <c r="E140" s="805">
        <f>+StOmer!$G140</f>
        <v>0</v>
      </c>
      <c r="F140" s="805">
        <f>+Béthune!E140+Boulogne!E140+Calais!E140+StOmer!E140</f>
        <v>7753.65</v>
      </c>
      <c r="G140" s="619">
        <f>+Béthune!F140+Boulogne!F140+Calais!F140+StOmer!F140</f>
        <v>0</v>
      </c>
      <c r="H140" s="113">
        <v>22.852336341875002</v>
      </c>
      <c r="I140" s="1077">
        <f>+Béthune!G140+Boulogne!G140+Calais!G140+StOmer!G140</f>
        <v>0</v>
      </c>
      <c r="J140" s="1013">
        <f t="shared" si="14"/>
        <v>-1</v>
      </c>
      <c r="K140" s="1014">
        <f t="shared" si="15"/>
        <v>0</v>
      </c>
      <c r="L140" s="805">
        <f>+Béthune!D140+Boulogne!D140+Calais!D140+StOmer!D140</f>
        <v>0</v>
      </c>
      <c r="M140" s="678">
        <v>1</v>
      </c>
    </row>
    <row r="141" spans="1:13" s="2" customFormat="1" ht="11.25">
      <c r="A141" s="590" t="s">
        <v>155</v>
      </c>
      <c r="B141" s="805">
        <f>+Béthune!$G141</f>
        <v>18368.830969250168</v>
      </c>
      <c r="C141" s="805">
        <f>+Boulogne!$G141</f>
        <v>29982.397671931369</v>
      </c>
      <c r="D141" s="805">
        <f>+Calais!$G141</f>
        <v>26799.320250935027</v>
      </c>
      <c r="E141" s="805">
        <f>+StOmer!$G141</f>
        <v>33516.031263335259</v>
      </c>
      <c r="F141" s="805">
        <f>+Béthune!E141+Boulogne!E141+Calais!E141+StOmer!E141</f>
        <v>108804.13</v>
      </c>
      <c r="G141" s="619">
        <f>+Béthune!F141+Boulogne!F141+Calais!F141+StOmer!F141</f>
        <v>109979.46666666666</v>
      </c>
      <c r="H141" s="113">
        <v>63084.527000482602</v>
      </c>
      <c r="I141" s="1077">
        <f>+Béthune!G141+Boulogne!G141+Calais!G141+StOmer!G141</f>
        <v>108666.58015545183</v>
      </c>
      <c r="J141" s="1013">
        <f t="shared" si="14"/>
        <v>1.0802316664511312E-2</v>
      </c>
      <c r="K141" s="1014">
        <f t="shared" si="15"/>
        <v>-1.1937560264717604E-2</v>
      </c>
      <c r="L141" s="805">
        <f>+Béthune!D141+Boulogne!D141+Calais!D141+StOmer!D141</f>
        <v>105228.49504632712</v>
      </c>
      <c r="M141" s="678">
        <v>1</v>
      </c>
    </row>
    <row r="142" spans="1:13" s="2" customFormat="1" ht="11.25">
      <c r="A142" s="590" t="s">
        <v>156</v>
      </c>
      <c r="B142" s="805">
        <f>+Béthune!$G142</f>
        <v>1089.1547363854506</v>
      </c>
      <c r="C142" s="805">
        <f>+Boulogne!$G142</f>
        <v>4744.5985960789631</v>
      </c>
      <c r="D142" s="805">
        <f>+Calais!$G142</f>
        <v>1870.2491132299181</v>
      </c>
      <c r="E142" s="805">
        <f>+StOmer!$G142</f>
        <v>5435.1249176078527</v>
      </c>
      <c r="F142" s="805">
        <f>+Béthune!E142+Boulogne!E142+Calais!E142+StOmer!E142</f>
        <v>12453.970000000001</v>
      </c>
      <c r="G142" s="619">
        <f>+Béthune!F142+Boulogne!F142+Calais!F142+StOmer!F142</f>
        <v>12922.026666666667</v>
      </c>
      <c r="H142" s="113">
        <v>6460.3180708115478</v>
      </c>
      <c r="I142" s="1077">
        <f>+Béthune!G142+Boulogne!G142+Calais!G142+StOmer!G142</f>
        <v>13139.127363302185</v>
      </c>
      <c r="J142" s="1013">
        <f t="shared" si="14"/>
        <v>3.7582928710014993E-2</v>
      </c>
      <c r="K142" s="1014">
        <f t="shared" si="15"/>
        <v>1.6800824068529861E-2</v>
      </c>
      <c r="L142" s="805">
        <f>+Béthune!D142+Boulogne!D142+Calais!D142+StOmer!D142</f>
        <v>12093.81040706762</v>
      </c>
      <c r="M142" s="678">
        <v>1</v>
      </c>
    </row>
    <row r="143" spans="1:13" s="2" customFormat="1" ht="11.25">
      <c r="A143" s="590" t="s">
        <v>157</v>
      </c>
      <c r="B143" s="805">
        <f>+Béthune!$G143</f>
        <v>2757.3278144001738</v>
      </c>
      <c r="C143" s="805">
        <f>+Boulogne!$G143</f>
        <v>10168.804908300759</v>
      </c>
      <c r="D143" s="805">
        <f>+Calais!$G143</f>
        <v>4493.8677731298421</v>
      </c>
      <c r="E143" s="805">
        <f>+StOmer!$G143</f>
        <v>10156.828776096347</v>
      </c>
      <c r="F143" s="805">
        <f>+Béthune!E143+Boulogne!E143+Calais!E143+StOmer!E143</f>
        <v>27222.04</v>
      </c>
      <c r="G143" s="619">
        <f>+Béthune!F143+Boulogne!F143+Calais!F143+StOmer!F143</f>
        <v>27207.706666666665</v>
      </c>
      <c r="H143" s="113">
        <v>14254.353489938971</v>
      </c>
      <c r="I143" s="1077">
        <f>+Béthune!G143+Boulogne!G143+Calais!G143+StOmer!G143</f>
        <v>27576.829271927123</v>
      </c>
      <c r="J143" s="1013">
        <f t="shared" si="14"/>
        <v>-5.2653413680002524E-4</v>
      </c>
      <c r="K143" s="1014">
        <f t="shared" si="15"/>
        <v>1.3566840078906245E-2</v>
      </c>
      <c r="L143" s="805">
        <f>+Béthune!D143+Boulogne!D143+Calais!D143+StOmer!D143</f>
        <v>26624.227220617635</v>
      </c>
      <c r="M143" s="678">
        <v>1</v>
      </c>
    </row>
    <row r="144" spans="1:13" s="2" customFormat="1" ht="11.25" hidden="1">
      <c r="A144" s="5" t="s">
        <v>326</v>
      </c>
      <c r="B144" s="160">
        <f>+Béthune!$G144</f>
        <v>0</v>
      </c>
      <c r="C144" s="113">
        <f>+Boulogne!$G144</f>
        <v>0</v>
      </c>
      <c r="D144" s="113">
        <f>+Calais!$G144</f>
        <v>0</v>
      </c>
      <c r="E144" s="113">
        <f>+StOmer!$G144</f>
        <v>0</v>
      </c>
      <c r="F144" s="160">
        <f>+Béthune!E144+Boulogne!E144+Calais!E144+StOmer!E144</f>
        <v>0</v>
      </c>
      <c r="G144" s="135">
        <f>+Béthune!F144+Boulogne!F144+Calais!F144+StOmer!F144</f>
        <v>0</v>
      </c>
      <c r="H144" s="113">
        <v>0</v>
      </c>
      <c r="I144" s="161">
        <f>+Béthune!G144+Boulogne!G144+Calais!G144+StOmer!G144</f>
        <v>0</v>
      </c>
      <c r="J144" s="149">
        <f t="shared" si="14"/>
        <v>0</v>
      </c>
      <c r="K144" s="271">
        <f t="shared" si="15"/>
        <v>0</v>
      </c>
      <c r="L144" s="18">
        <f>+Béthune!D144+Boulogne!D144+Calais!D144+StOmer!D144</f>
        <v>0</v>
      </c>
      <c r="M144" s="678">
        <v>0</v>
      </c>
    </row>
    <row r="145" spans="1:13" s="2" customFormat="1" ht="11.25">
      <c r="A145" s="590" t="s">
        <v>158</v>
      </c>
      <c r="B145" s="805">
        <f>+Béthune!$G145</f>
        <v>1846.9258101270284</v>
      </c>
      <c r="C145" s="805">
        <f>+Boulogne!$G145</f>
        <v>7218.8656633978817</v>
      </c>
      <c r="D145" s="805">
        <f>+Calais!$G145</f>
        <v>3316.0912459872488</v>
      </c>
      <c r="E145" s="805">
        <f>+StOmer!$G145</f>
        <v>5833.4589686830068</v>
      </c>
      <c r="F145" s="805">
        <f>+Béthune!E145+Boulogne!E145+Calais!E145+StOmer!E145</f>
        <v>17261.739999999998</v>
      </c>
      <c r="G145" s="619">
        <f>+Béthune!F145+Boulogne!F145+Calais!F145+StOmer!F145</f>
        <v>17897.933333333334</v>
      </c>
      <c r="H145" s="113">
        <v>9760.097979903896</v>
      </c>
      <c r="I145" s="1077">
        <f>+Béthune!G145+Boulogne!G145+Calais!G145+StOmer!G145</f>
        <v>18215.341688195167</v>
      </c>
      <c r="J145" s="1013">
        <f t="shared" si="14"/>
        <v>3.6855689712238536E-2</v>
      </c>
      <c r="K145" s="1014">
        <f t="shared" si="15"/>
        <v>1.7734357869726082E-2</v>
      </c>
      <c r="L145" s="805">
        <f>+Béthune!D145+Boulogne!D145+Calais!D145+StOmer!D145</f>
        <v>16904.690765101077</v>
      </c>
      <c r="M145" s="678">
        <v>1</v>
      </c>
    </row>
    <row r="146" spans="1:13" s="2" customFormat="1" ht="11.25">
      <c r="A146" s="590" t="s">
        <v>159</v>
      </c>
      <c r="B146" s="805">
        <f>+Béthune!$G146</f>
        <v>0</v>
      </c>
      <c r="C146" s="805">
        <f>+Boulogne!$G146</f>
        <v>0</v>
      </c>
      <c r="D146" s="805">
        <f>+Calais!$G146</f>
        <v>0</v>
      </c>
      <c r="E146" s="805">
        <f>+StOmer!$G146</f>
        <v>0</v>
      </c>
      <c r="F146" s="805">
        <f>+Béthune!E146+Boulogne!E146+Calais!E146+StOmer!E146</f>
        <v>0</v>
      </c>
      <c r="G146" s="619">
        <f>+Béthune!F146+Boulogne!F146+Calais!F146+StOmer!F146</f>
        <v>0</v>
      </c>
      <c r="H146" s="113">
        <v>0</v>
      </c>
      <c r="I146" s="1077">
        <f>+Béthune!G146+Boulogne!G146+Calais!G146+StOmer!G146</f>
        <v>0</v>
      </c>
      <c r="J146" s="1013">
        <f t="shared" si="14"/>
        <v>0</v>
      </c>
      <c r="K146" s="1014">
        <f t="shared" si="15"/>
        <v>0</v>
      </c>
      <c r="L146" s="805">
        <f>+Béthune!D146+Boulogne!D146+Calais!D146+StOmer!D146</f>
        <v>0</v>
      </c>
      <c r="M146" s="2">
        <v>1</v>
      </c>
    </row>
    <row r="147" spans="1:13" s="2" customFormat="1" ht="11.25" hidden="1">
      <c r="A147" s="5" t="s">
        <v>160</v>
      </c>
      <c r="B147" s="160">
        <f>+Béthune!$G147</f>
        <v>0</v>
      </c>
      <c r="C147" s="113">
        <f>+Boulogne!$G147</f>
        <v>662.13893333333328</v>
      </c>
      <c r="D147" s="113">
        <f>+Calais!$G147</f>
        <v>677.19066666666674</v>
      </c>
      <c r="E147" s="113">
        <f>+StOmer!$G147</f>
        <v>823.25839999999994</v>
      </c>
      <c r="F147" s="160">
        <f>+Béthune!E147+Boulogne!E147+Calais!E147+StOmer!E147</f>
        <v>19.370000000000005</v>
      </c>
      <c r="G147" s="135">
        <f>+Béthune!F147+Boulogne!F147+Calais!F147+StOmer!F147</f>
        <v>2099.6</v>
      </c>
      <c r="H147" s="113">
        <v>733.89561699500007</v>
      </c>
      <c r="I147" s="161">
        <f>+Béthune!G147+Boulogne!G147+Calais!G147+StOmer!G147</f>
        <v>2162.5879999999997</v>
      </c>
      <c r="J147" s="149">
        <f t="shared" si="14"/>
        <v>107.39442436757871</v>
      </c>
      <c r="K147" s="271">
        <f t="shared" si="15"/>
        <v>2.9999999999999919E-2</v>
      </c>
      <c r="L147" s="18">
        <f>+Béthune!D147+Boulogne!D147+Calais!D147+StOmer!D147</f>
        <v>733.89561699500007</v>
      </c>
      <c r="M147" s="678">
        <v>0</v>
      </c>
    </row>
    <row r="148" spans="1:13" s="2" customFormat="1" ht="11.25">
      <c r="A148" s="590" t="s">
        <v>161</v>
      </c>
      <c r="B148" s="805">
        <f>+Béthune!$G148</f>
        <v>0</v>
      </c>
      <c r="C148" s="805">
        <f>+Boulogne!$G148</f>
        <v>0</v>
      </c>
      <c r="D148" s="805">
        <f>+Calais!$G148</f>
        <v>0</v>
      </c>
      <c r="E148" s="805">
        <f>+StOmer!$G148</f>
        <v>0</v>
      </c>
      <c r="F148" s="805">
        <f>+Béthune!E148+Boulogne!E148+Calais!E148+StOmer!E148</f>
        <v>211.26</v>
      </c>
      <c r="G148" s="619">
        <f>+Béthune!F148+Boulogne!F148+Calais!F148+StOmer!F148</f>
        <v>0</v>
      </c>
      <c r="H148" s="113">
        <v>125.23924500000001</v>
      </c>
      <c r="I148" s="1077">
        <f>+Béthune!G148+Boulogne!G148+Calais!G148+StOmer!G148</f>
        <v>0</v>
      </c>
      <c r="J148" s="1013">
        <f t="shared" si="14"/>
        <v>-1</v>
      </c>
      <c r="K148" s="1014">
        <f t="shared" si="15"/>
        <v>0</v>
      </c>
      <c r="L148" s="805">
        <f>+Béthune!D148+Boulogne!D148+Calais!D148+StOmer!D148</f>
        <v>125.23924500000001</v>
      </c>
      <c r="M148" s="678">
        <v>1</v>
      </c>
    </row>
    <row r="149" spans="1:13" s="2" customFormat="1" ht="11.25">
      <c r="A149" s="590" t="s">
        <v>162</v>
      </c>
      <c r="B149" s="805">
        <f>+Béthune!$G149</f>
        <v>0</v>
      </c>
      <c r="C149" s="805">
        <f>+Boulogne!$G149</f>
        <v>130.32933333333332</v>
      </c>
      <c r="D149" s="805">
        <f>+Calais!$G149</f>
        <v>0</v>
      </c>
      <c r="E149" s="805">
        <f>+StOmer!$G149</f>
        <v>0</v>
      </c>
      <c r="F149" s="805">
        <f>+Béthune!E149+Boulogne!E149+Calais!E149+StOmer!E149</f>
        <v>61.61</v>
      </c>
      <c r="G149" s="619">
        <f>+Béthune!F149+Boulogne!F149+Calais!F149+StOmer!F149</f>
        <v>126.53333333333333</v>
      </c>
      <c r="H149" s="113">
        <v>108.72129722500003</v>
      </c>
      <c r="I149" s="1077">
        <f>+Béthune!G149+Boulogne!G149+Calais!G149+StOmer!G149</f>
        <v>130.32933333333332</v>
      </c>
      <c r="J149" s="1013">
        <f t="shared" si="14"/>
        <v>1.0537791484066439</v>
      </c>
      <c r="K149" s="1014">
        <f t="shared" si="15"/>
        <v>2.999999999999994E-2</v>
      </c>
      <c r="L149" s="805">
        <f>+Béthune!D149+Boulogne!D149+Calais!D149+StOmer!D149</f>
        <v>108.72129722500003</v>
      </c>
      <c r="M149" s="678">
        <v>1</v>
      </c>
    </row>
    <row r="150" spans="1:13" s="2" customFormat="1" ht="11.25">
      <c r="A150" s="590" t="s">
        <v>163</v>
      </c>
      <c r="B150" s="805">
        <f>+Béthune!$G150</f>
        <v>175.78666666666666</v>
      </c>
      <c r="C150" s="805">
        <f>+Boulogne!$G150</f>
        <v>732.09653333333347</v>
      </c>
      <c r="D150" s="805">
        <f>+Calais!$G150</f>
        <v>366.04826666666673</v>
      </c>
      <c r="E150" s="805">
        <f>+StOmer!$G150</f>
        <v>769.31386666666663</v>
      </c>
      <c r="F150" s="805">
        <f>+Béthune!E150+Boulogne!E150+Calais!E150+StOmer!E150</f>
        <v>1508.75</v>
      </c>
      <c r="G150" s="619">
        <f>+Béthune!F150+Boulogne!F150+Calais!F150+StOmer!F150</f>
        <v>1983.7333333333336</v>
      </c>
      <c r="H150" s="113">
        <v>1104.1568500387289</v>
      </c>
      <c r="I150" s="1077">
        <f>+Béthune!G150+Boulogne!G150+Calais!G150+StOmer!G150</f>
        <v>2043.2453333333335</v>
      </c>
      <c r="J150" s="1013">
        <f t="shared" si="14"/>
        <v>0.31481911074288887</v>
      </c>
      <c r="K150" s="1014">
        <f t="shared" si="15"/>
        <v>2.9999999999999968E-2</v>
      </c>
      <c r="L150" s="805">
        <f>+Béthune!D150+Boulogne!D150+Calais!D150+StOmer!D150</f>
        <v>1766.1790500387287</v>
      </c>
      <c r="M150" s="678">
        <v>1</v>
      </c>
    </row>
    <row r="151" spans="1:13" s="2" customFormat="1" ht="11.25">
      <c r="A151" s="590" t="s">
        <v>58</v>
      </c>
      <c r="B151" s="805">
        <f>+Béthune!$G152</f>
        <v>0</v>
      </c>
      <c r="C151" s="805">
        <f>+Boulogne!$G152</f>
        <v>0</v>
      </c>
      <c r="D151" s="805">
        <f>+Calais!$G152</f>
        <v>0</v>
      </c>
      <c r="E151" s="805">
        <f>+StOmer!$G152</f>
        <v>0</v>
      </c>
      <c r="F151" s="805">
        <f>+Béthune!E152+Boulogne!E152+Calais!E152+StOmer!E152</f>
        <v>14757.869999999999</v>
      </c>
      <c r="G151" s="619">
        <f>+Béthune!F152+Boulogne!F152+Calais!F152+StOmer!F152</f>
        <v>0</v>
      </c>
      <c r="H151" s="113">
        <v>0</v>
      </c>
      <c r="I151" s="1077">
        <f>+Béthune!G152+Boulogne!G152+Calais!G152+StOmer!G152</f>
        <v>0</v>
      </c>
      <c r="J151" s="1013">
        <f t="shared" si="14"/>
        <v>-1</v>
      </c>
      <c r="K151" s="1014">
        <f t="shared" si="15"/>
        <v>0</v>
      </c>
      <c r="L151" s="805">
        <f>+Béthune!D152+Boulogne!D152+Calais!D152+StOmer!D152</f>
        <v>0</v>
      </c>
      <c r="M151" s="678">
        <v>1</v>
      </c>
    </row>
    <row r="152" spans="1:13" s="2" customFormat="1" ht="11.25" hidden="1">
      <c r="A152" s="5"/>
      <c r="B152" s="160"/>
      <c r="C152" s="113"/>
      <c r="D152" s="113"/>
      <c r="E152" s="113"/>
      <c r="F152" s="160"/>
      <c r="G152" s="143"/>
      <c r="H152" s="113"/>
      <c r="I152" s="162"/>
      <c r="J152" s="149"/>
      <c r="K152" s="254"/>
      <c r="L152" s="18"/>
      <c r="M152" s="2">
        <v>0</v>
      </c>
    </row>
    <row r="153" spans="1:13" s="2" customFormat="1" ht="11.25">
      <c r="A153" s="13" t="s">
        <v>164</v>
      </c>
      <c r="B153" s="803">
        <f t="shared" ref="B153:G153" si="16">SUM(B130:B152)</f>
        <v>78745.02599682947</v>
      </c>
      <c r="C153" s="803">
        <f t="shared" si="16"/>
        <v>193571.23163970895</v>
      </c>
      <c r="D153" s="803">
        <f t="shared" si="16"/>
        <v>128832.76731661535</v>
      </c>
      <c r="E153" s="803">
        <f t="shared" si="16"/>
        <v>199730.0161923891</v>
      </c>
      <c r="F153" s="803">
        <f t="shared" si="16"/>
        <v>630518.4</v>
      </c>
      <c r="G153" s="597">
        <f t="shared" si="16"/>
        <v>642972.97333333315</v>
      </c>
      <c r="H153" s="204">
        <v>342495.1080067376</v>
      </c>
      <c r="I153" s="803">
        <f>SUM(I130:I152)</f>
        <v>600879.04114554287</v>
      </c>
      <c r="J153" s="596">
        <f>+IF((F153)=0,,(G153-F153)/F153)</f>
        <v>1.9752910197915127E-2</v>
      </c>
      <c r="K153" s="1015">
        <f>+IF((G153)=0,,(I153-G153)/G153)</f>
        <v>-6.5467654059493022E-2</v>
      </c>
      <c r="L153" s="803">
        <f>SUM(L130:L152)</f>
        <v>583182.50506837212</v>
      </c>
      <c r="M153" s="678">
        <v>1</v>
      </c>
    </row>
    <row r="154" spans="1:13" s="2" customFormat="1" ht="11.25" hidden="1">
      <c r="A154" s="5"/>
      <c r="B154" s="160"/>
      <c r="C154" s="113"/>
      <c r="D154" s="113"/>
      <c r="E154" s="113"/>
      <c r="F154" s="160"/>
      <c r="G154" s="143"/>
      <c r="H154" s="113"/>
      <c r="I154" s="162"/>
      <c r="J154" s="149"/>
      <c r="K154" s="254"/>
      <c r="L154" s="18"/>
      <c r="M154" s="2">
        <v>0</v>
      </c>
    </row>
    <row r="155" spans="1:13" s="2" customFormat="1" ht="11.25">
      <c r="A155" s="590" t="s">
        <v>227</v>
      </c>
      <c r="B155" s="805">
        <f>+Béthune!$G156</f>
        <v>4977.0907261200009</v>
      </c>
      <c r="C155" s="805">
        <f>+Boulogne!$G156</f>
        <v>30069.319203000003</v>
      </c>
      <c r="D155" s="805">
        <f>+Calais!$G156</f>
        <v>15349.281879960001</v>
      </c>
      <c r="E155" s="805">
        <f>+StOmer!$G156</f>
        <v>3398.4529290000005</v>
      </c>
      <c r="F155" s="805">
        <f>+Béthune!E156+Boulogne!E156+Calais!E156+StOmer!E156</f>
        <v>46190.76</v>
      </c>
      <c r="G155" s="619">
        <f>+Béthune!F156+Boulogne!F156+Calais!F156+StOmer!F156</f>
        <v>29532.319999999996</v>
      </c>
      <c r="H155" s="113">
        <v>44569.634184999995</v>
      </c>
      <c r="I155" s="1077">
        <f>+Béthune!G156+Boulogne!G156+Calais!G156+StOmer!G156</f>
        <v>53794.144738080002</v>
      </c>
      <c r="J155" s="1013">
        <f>+IF((F155)=0,,(G155-F155)/F155)</f>
        <v>-0.3606444232569459</v>
      </c>
      <c r="K155" s="1014">
        <f>+IF((G155)=0,,(I155-G155)/G155)</f>
        <v>0.82153466907036121</v>
      </c>
      <c r="L155" s="805">
        <f>+Béthune!D156+Boulogne!D156+Calais!D156+StOmer!D156</f>
        <v>52880.262439829996</v>
      </c>
      <c r="M155" s="678">
        <v>1</v>
      </c>
    </row>
    <row r="156" spans="1:13" s="2" customFormat="1" ht="11.25" hidden="1">
      <c r="A156" s="5" t="s">
        <v>165</v>
      </c>
      <c r="B156" s="160">
        <f>+Béthune!$G157</f>
        <v>0</v>
      </c>
      <c r="C156" s="113">
        <f>+Boulogne!$G157</f>
        <v>0</v>
      </c>
      <c r="D156" s="113">
        <f>+Calais!$G157</f>
        <v>0</v>
      </c>
      <c r="E156" s="113">
        <f>+StOmer!$G157</f>
        <v>0</v>
      </c>
      <c r="F156" s="160">
        <f>+Béthune!E157+Boulogne!E157+Calais!E157+StOmer!E157</f>
        <v>-19538.189999999999</v>
      </c>
      <c r="G156" s="135">
        <f>+Béthune!F157+Boulogne!F157+Calais!F157+StOmer!F157</f>
        <v>-6269.2933333333331</v>
      </c>
      <c r="H156" s="113">
        <v>0</v>
      </c>
      <c r="I156" s="161">
        <f>+Béthune!G157+Boulogne!G157+Calais!G157+StOmer!G157</f>
        <v>0</v>
      </c>
      <c r="J156" s="149">
        <f t="shared" ref="J156:J165" si="17">+IF((F156)=0,,(G156-F156)/F156)</f>
        <v>-0.6791261967800839</v>
      </c>
      <c r="K156" s="271">
        <f t="shared" ref="K156:K165" si="18">+IF((G156)=0,,(I156-G156)/G156)</f>
        <v>-1</v>
      </c>
      <c r="L156" s="18">
        <f>+Béthune!D157+Boulogne!D157+Calais!D157+StOmer!D157</f>
        <v>0</v>
      </c>
      <c r="M156" s="2">
        <v>0</v>
      </c>
    </row>
    <row r="157" spans="1:13" s="2" customFormat="1" ht="11.25">
      <c r="A157" s="590" t="s">
        <v>166</v>
      </c>
      <c r="B157" s="805">
        <f>+Béthune!$G158</f>
        <v>0</v>
      </c>
      <c r="C157" s="805">
        <f>+Boulogne!$G158</f>
        <v>0</v>
      </c>
      <c r="D157" s="805">
        <f>+Calais!$G158</f>
        <v>0</v>
      </c>
      <c r="E157" s="805">
        <f>+StOmer!$G158</f>
        <v>0</v>
      </c>
      <c r="F157" s="805">
        <f>+Béthune!E158+Boulogne!E158+Calais!E158+StOmer!E158</f>
        <v>16508.349999999999</v>
      </c>
      <c r="G157" s="619">
        <f>+Béthune!F158+Boulogne!F158+Calais!F158+StOmer!F158</f>
        <v>15349.6</v>
      </c>
      <c r="H157" s="113">
        <v>0</v>
      </c>
      <c r="I157" s="1077">
        <f>+Béthune!G158+Boulogne!G158+Calais!G158+StOmer!G158</f>
        <v>0</v>
      </c>
      <c r="J157" s="1013">
        <f t="shared" si="17"/>
        <v>-7.0191751446994896E-2</v>
      </c>
      <c r="K157" s="1014">
        <f t="shared" si="18"/>
        <v>-1</v>
      </c>
      <c r="L157" s="805">
        <f>+Béthune!D158+Boulogne!D158+Calais!D158+StOmer!D158</f>
        <v>0</v>
      </c>
      <c r="M157" s="678">
        <v>1</v>
      </c>
    </row>
    <row r="158" spans="1:13" s="2" customFormat="1" ht="11.25" hidden="1">
      <c r="A158" s="5" t="s">
        <v>60</v>
      </c>
      <c r="B158" s="160">
        <f>+Béthune!$G159</f>
        <v>0</v>
      </c>
      <c r="C158" s="113">
        <f>+Boulogne!$G159</f>
        <v>0</v>
      </c>
      <c r="D158" s="113">
        <f>+Calais!$G159</f>
        <v>0</v>
      </c>
      <c r="E158" s="113">
        <f>+StOmer!$G159</f>
        <v>0</v>
      </c>
      <c r="F158" s="160">
        <f>+Béthune!E159+Boulogne!E159+Calais!E159+StOmer!E159</f>
        <v>-17180.439999999999</v>
      </c>
      <c r="G158" s="135">
        <f>+Béthune!F159+Boulogne!F159+Calais!F159+StOmer!F159</f>
        <v>9856.6933333333345</v>
      </c>
      <c r="H158" s="113">
        <v>0</v>
      </c>
      <c r="I158" s="161">
        <f>+Béthune!G159+Boulogne!G159+Calais!G159+StOmer!G159</f>
        <v>0</v>
      </c>
      <c r="J158" s="149">
        <f t="shared" si="17"/>
        <v>-1.5737160010647768</v>
      </c>
      <c r="K158" s="271">
        <f t="shared" si="18"/>
        <v>-1</v>
      </c>
      <c r="L158" s="18">
        <f>+Béthune!D159+Boulogne!D159+Calais!D159+StOmer!D159</f>
        <v>0</v>
      </c>
      <c r="M158" s="2">
        <v>0</v>
      </c>
    </row>
    <row r="159" spans="1:13" s="2" customFormat="1" ht="11.25">
      <c r="A159" s="590" t="s">
        <v>199</v>
      </c>
      <c r="B159" s="805">
        <f>+Béthune!$G160</f>
        <v>0</v>
      </c>
      <c r="C159" s="805">
        <f>+Boulogne!$G160</f>
        <v>0</v>
      </c>
      <c r="D159" s="805">
        <f>+Calais!$G160</f>
        <v>0</v>
      </c>
      <c r="E159" s="805">
        <f>+StOmer!$G160</f>
        <v>0</v>
      </c>
      <c r="F159" s="805">
        <f>+Béthune!E160+Boulogne!E160+Calais!E160+StOmer!E160</f>
        <v>14.049999999999997</v>
      </c>
      <c r="G159" s="619">
        <f>+Béthune!F160+Boulogne!F160+Calais!F160+StOmer!F160</f>
        <v>-4.053333333333331</v>
      </c>
      <c r="H159" s="113">
        <v>0</v>
      </c>
      <c r="I159" s="1077">
        <f>+Béthune!G160+Boulogne!G160+Calais!G160+StOmer!G160</f>
        <v>0</v>
      </c>
      <c r="J159" s="1013">
        <f t="shared" si="17"/>
        <v>-1.2884934756820876</v>
      </c>
      <c r="K159" s="1014">
        <f t="shared" si="18"/>
        <v>-1</v>
      </c>
      <c r="L159" s="805">
        <f>+Béthune!D160+Boulogne!D160+Calais!D160+StOmer!D160</f>
        <v>0</v>
      </c>
      <c r="M159" s="2">
        <v>1</v>
      </c>
    </row>
    <row r="160" spans="1:13" s="2" customFormat="1" ht="11.25">
      <c r="A160" s="590" t="s">
        <v>41</v>
      </c>
      <c r="B160" s="805">
        <f>+Béthune!$G161</f>
        <v>0</v>
      </c>
      <c r="C160" s="805">
        <f>+Boulogne!$G161</f>
        <v>917.42786666666677</v>
      </c>
      <c r="D160" s="805">
        <f>+Calais!$G161</f>
        <v>325.79586666666665</v>
      </c>
      <c r="E160" s="805">
        <f>+StOmer!$G161</f>
        <v>0</v>
      </c>
      <c r="F160" s="805">
        <f>+Béthune!E161+Boulogne!E161+Calais!E161+StOmer!E161</f>
        <v>1158.5800000000002</v>
      </c>
      <c r="G160" s="619">
        <f>+Béthune!F161+Boulogne!F161+Calais!F161+StOmer!F161</f>
        <v>1207.0133333333333</v>
      </c>
      <c r="H160" s="113">
        <v>635.18188921319722</v>
      </c>
      <c r="I160" s="1077">
        <f>+Béthune!G161+Boulogne!G161+Calais!G161+StOmer!G161</f>
        <v>1243.2237333333335</v>
      </c>
      <c r="J160" s="1013">
        <f t="shared" si="17"/>
        <v>4.1804047483413452E-2</v>
      </c>
      <c r="K160" s="1014">
        <f t="shared" si="18"/>
        <v>3.0000000000000134E-2</v>
      </c>
      <c r="L160" s="805">
        <f>+Béthune!D161+Boulogne!D161+Calais!D161+StOmer!D161</f>
        <v>635.18188921319722</v>
      </c>
      <c r="M160" s="678">
        <v>1</v>
      </c>
    </row>
    <row r="161" spans="1:13" s="2" customFormat="1" ht="11.25">
      <c r="A161" s="590" t="s">
        <v>355</v>
      </c>
      <c r="B161" s="805">
        <f>+Béthune!$G162</f>
        <v>9.8742666666666672</v>
      </c>
      <c r="C161" s="805">
        <f>+Boulogne!$G162</f>
        <v>34.51186666666667</v>
      </c>
      <c r="D161" s="805">
        <f>+Calais!$G162</f>
        <v>39.442133333333331</v>
      </c>
      <c r="E161" s="805">
        <f>+StOmer!$G162</f>
        <v>4.9302666666666664</v>
      </c>
      <c r="F161" s="805">
        <f>+Béthune!E162+Boulogne!E162+Calais!E162+StOmer!E162</f>
        <v>34.629999999999995</v>
      </c>
      <c r="G161" s="619">
        <f>+Béthune!F162+Boulogne!F162+Calais!F162+StOmer!F162</f>
        <v>86.173333333333318</v>
      </c>
      <c r="H161" s="113">
        <v>43.81827975554306</v>
      </c>
      <c r="I161" s="1077">
        <f>+Béthune!G162+Boulogne!G162+Calais!G162+StOmer!G162</f>
        <v>88.758533333333332</v>
      </c>
      <c r="J161" s="1013">
        <f t="shared" si="17"/>
        <v>1.488401193570122</v>
      </c>
      <c r="K161" s="1014">
        <f t="shared" si="18"/>
        <v>3.0000000000000176E-2</v>
      </c>
      <c r="L161" s="805">
        <f>+Béthune!D162+Boulogne!D162+Calais!D162+StOmer!D162</f>
        <v>43.725579755543059</v>
      </c>
      <c r="M161" s="678">
        <v>1</v>
      </c>
    </row>
    <row r="162" spans="1:13" s="2" customFormat="1" ht="11.25">
      <c r="A162" s="590" t="s">
        <v>200</v>
      </c>
      <c r="B162" s="805">
        <f>+Béthune!$G163</f>
        <v>87.604933333333335</v>
      </c>
      <c r="C162" s="805">
        <f>+Boulogne!$G163</f>
        <v>444.64413333333334</v>
      </c>
      <c r="D162" s="805">
        <f>+Calais!$G163</f>
        <v>35.610533333333336</v>
      </c>
      <c r="E162" s="805">
        <f>+StOmer!$G163</f>
        <v>30.446800000000003</v>
      </c>
      <c r="F162" s="805">
        <f>+Béthune!E163+Boulogne!E163+Calais!E163+StOmer!E163</f>
        <v>488</v>
      </c>
      <c r="G162" s="619">
        <f>+Béthune!F163+Boulogne!F163+Calais!F163+StOmer!F163</f>
        <v>580.88000000000011</v>
      </c>
      <c r="H162" s="113">
        <v>682.98971601334063</v>
      </c>
      <c r="I162" s="1077">
        <f>+Béthune!G163+Boulogne!G163+Calais!G163+StOmer!G163</f>
        <v>598.30640000000005</v>
      </c>
      <c r="J162" s="1013">
        <f t="shared" si="17"/>
        <v>0.19032786885245925</v>
      </c>
      <c r="K162" s="1014">
        <f t="shared" si="18"/>
        <v>2.9999999999999898E-2</v>
      </c>
      <c r="L162" s="805">
        <f>+Béthune!D163+Boulogne!D163+Calais!D163+StOmer!D163</f>
        <v>682.98971601334063</v>
      </c>
      <c r="M162" s="678">
        <v>1</v>
      </c>
    </row>
    <row r="163" spans="1:13" s="2" customFormat="1" ht="11.25" hidden="1">
      <c r="A163" s="5" t="s">
        <v>271</v>
      </c>
      <c r="B163" s="160">
        <f>+Béthune!$G164</f>
        <v>-61.800000000000004</v>
      </c>
      <c r="C163" s="113">
        <f>+Boulogne!$G164</f>
        <v>-146.30119999999999</v>
      </c>
      <c r="D163" s="113">
        <f>+Calais!$G164</f>
        <v>-9.6270666666666731</v>
      </c>
      <c r="E163" s="113">
        <f>+StOmer!$G164</f>
        <v>0</v>
      </c>
      <c r="F163" s="160">
        <f>+Béthune!E164+Boulogne!E164+Calais!E164+StOmer!E164</f>
        <v>-558.70000000000005</v>
      </c>
      <c r="G163" s="135">
        <f>+Béthune!F164+Boulogne!F164+Calais!F164+StOmer!F164</f>
        <v>-211.38666666666666</v>
      </c>
      <c r="H163" s="113">
        <v>-431.38951890769795</v>
      </c>
      <c r="I163" s="161">
        <f>+Béthune!G164+Boulogne!G164+Calais!G164+StOmer!G164</f>
        <v>-217.72826666666668</v>
      </c>
      <c r="J163" s="149">
        <f t="shared" si="17"/>
        <v>-0.62164548654614882</v>
      </c>
      <c r="K163" s="271">
        <f t="shared" si="18"/>
        <v>3.0000000000000134E-2</v>
      </c>
      <c r="L163" s="18">
        <f>+Béthune!D164+Boulogne!D164+Calais!D164+StOmer!D164</f>
        <v>-431.38951890769795</v>
      </c>
      <c r="M163" s="2">
        <v>0</v>
      </c>
    </row>
    <row r="164" spans="1:13" s="2" customFormat="1" ht="11.25">
      <c r="A164" s="590" t="s">
        <v>242</v>
      </c>
      <c r="B164" s="805">
        <f>+Béthune!$G165</f>
        <v>135.96</v>
      </c>
      <c r="C164" s="805">
        <f>+Boulogne!$G165</f>
        <v>589.16</v>
      </c>
      <c r="D164" s="805">
        <f>+Calais!$G165</f>
        <v>423.39866666666671</v>
      </c>
      <c r="E164" s="805">
        <f>+StOmer!$G165</f>
        <v>61.800000000000004</v>
      </c>
      <c r="F164" s="805">
        <f>+Béthune!E165+Boulogne!E165+Calais!E165+StOmer!E165</f>
        <v>1606.2</v>
      </c>
      <c r="G164" s="619">
        <f>+Béthune!F165+Boulogne!F165+Calais!F165+StOmer!F165</f>
        <v>1175.0666666666666</v>
      </c>
      <c r="H164" s="113">
        <v>1474.8546715465939</v>
      </c>
      <c r="I164" s="1077">
        <f>+Béthune!G165+Boulogne!G165+Calais!G165+StOmer!G165</f>
        <v>1210.3186666666668</v>
      </c>
      <c r="J164" s="1013">
        <f t="shared" si="17"/>
        <v>-0.26841821275889266</v>
      </c>
      <c r="K164" s="1014">
        <f t="shared" si="18"/>
        <v>3.0000000000000155E-2</v>
      </c>
      <c r="L164" s="805">
        <f>+Béthune!D165+Boulogne!D165+Calais!D165+StOmer!D165</f>
        <v>1474.8546715465939</v>
      </c>
      <c r="M164" s="678">
        <v>1</v>
      </c>
    </row>
    <row r="165" spans="1:13" s="2" customFormat="1" ht="11.25" hidden="1">
      <c r="A165" s="5" t="s">
        <v>201</v>
      </c>
      <c r="B165" s="160">
        <f>+Béthune!$G166</f>
        <v>0</v>
      </c>
      <c r="C165" s="113">
        <f>+Boulogne!$G166</f>
        <v>0</v>
      </c>
      <c r="D165" s="113">
        <f>+Calais!$G166</f>
        <v>0</v>
      </c>
      <c r="E165" s="113">
        <f>+StOmer!$G166</f>
        <v>0</v>
      </c>
      <c r="F165" s="160">
        <f>+Béthune!E166+Boulogne!E166+Calais!E166+StOmer!E166</f>
        <v>0</v>
      </c>
      <c r="G165" s="135">
        <f>+Béthune!F166+Boulogne!F166+Calais!F166+StOmer!F166</f>
        <v>0</v>
      </c>
      <c r="H165" s="113">
        <v>0</v>
      </c>
      <c r="I165" s="161">
        <f>+Béthune!G166+Boulogne!G166+Calais!G166+StOmer!G166</f>
        <v>0</v>
      </c>
      <c r="J165" s="149">
        <f t="shared" si="17"/>
        <v>0</v>
      </c>
      <c r="K165" s="271">
        <f t="shared" si="18"/>
        <v>0</v>
      </c>
      <c r="L165" s="18">
        <f>+Béthune!D166+Boulogne!D166+Calais!D166+StOmer!D166</f>
        <v>0</v>
      </c>
      <c r="M165" s="2">
        <v>0</v>
      </c>
    </row>
    <row r="166" spans="1:13" s="2" customFormat="1" ht="11.25" hidden="1">
      <c r="A166" s="5"/>
      <c r="B166" s="160"/>
      <c r="C166" s="113"/>
      <c r="D166" s="113"/>
      <c r="E166" s="113"/>
      <c r="F166" s="160"/>
      <c r="G166" s="143"/>
      <c r="H166" s="113"/>
      <c r="I166" s="162"/>
      <c r="J166" s="149"/>
      <c r="K166" s="254"/>
      <c r="L166" s="18"/>
      <c r="M166" s="2">
        <v>0</v>
      </c>
    </row>
    <row r="167" spans="1:13" s="2" customFormat="1" ht="11.25">
      <c r="A167" s="13" t="s">
        <v>74</v>
      </c>
      <c r="B167" s="803">
        <f t="shared" ref="B167:G167" si="19">SUM(B154:B166)</f>
        <v>5148.7299261200005</v>
      </c>
      <c r="C167" s="803">
        <f t="shared" si="19"/>
        <v>31908.761869666669</v>
      </c>
      <c r="D167" s="803">
        <f t="shared" si="19"/>
        <v>16163.902013293335</v>
      </c>
      <c r="E167" s="803">
        <f t="shared" si="19"/>
        <v>3495.6299956666676</v>
      </c>
      <c r="F167" s="803">
        <f t="shared" si="19"/>
        <v>28723.24</v>
      </c>
      <c r="G167" s="597">
        <f t="shared" si="19"/>
        <v>51303.013333333329</v>
      </c>
      <c r="H167" s="204">
        <v>46975.089222620969</v>
      </c>
      <c r="I167" s="803">
        <f>SUM(I154:I166)</f>
        <v>56717.02380474667</v>
      </c>
      <c r="J167" s="596">
        <f>+IF((F167)=0,,(G167-F167)/F167)</f>
        <v>0.78611512257437965</v>
      </c>
      <c r="K167" s="1015">
        <f>+IF((G167)=0,,(I167-G167)/G167)</f>
        <v>0.10553006772207808</v>
      </c>
      <c r="L167" s="803">
        <f>SUM(L154:L166)</f>
        <v>55285.624777450968</v>
      </c>
      <c r="M167" s="678">
        <v>1</v>
      </c>
    </row>
    <row r="168" spans="1:13" s="2" customFormat="1" ht="11.25" hidden="1">
      <c r="A168" s="5"/>
      <c r="B168" s="160"/>
      <c r="C168" s="113"/>
      <c r="D168" s="113"/>
      <c r="E168" s="113"/>
      <c r="F168" s="160"/>
      <c r="G168" s="143"/>
      <c r="H168" s="113"/>
      <c r="I168" s="162"/>
      <c r="J168" s="149"/>
      <c r="K168" s="271"/>
      <c r="L168" s="18"/>
      <c r="M168" s="2">
        <v>0</v>
      </c>
    </row>
    <row r="169" spans="1:13" s="2" customFormat="1" ht="11.25" hidden="1">
      <c r="A169" s="5" t="s">
        <v>167</v>
      </c>
      <c r="B169" s="160">
        <f>+Béthune!$G170</f>
        <v>0</v>
      </c>
      <c r="C169" s="113">
        <f>+Boulogne!$G170</f>
        <v>0</v>
      </c>
      <c r="D169" s="113">
        <f>+Calais!$G170</f>
        <v>0</v>
      </c>
      <c r="E169" s="113">
        <f>+StOmer!$G170</f>
        <v>0</v>
      </c>
      <c r="F169" s="160">
        <f>+Béthune!E170+Boulogne!E170+Calais!E170+StOmer!E170</f>
        <v>0</v>
      </c>
      <c r="G169" s="135">
        <f>+Béthune!F170+Boulogne!F170+Calais!F170+StOmer!F170</f>
        <v>0</v>
      </c>
      <c r="H169" s="113">
        <v>0</v>
      </c>
      <c r="I169" s="161">
        <f>+Béthune!G170+Boulogne!G170+Calais!G170+StOmer!G170</f>
        <v>0</v>
      </c>
      <c r="J169" s="149">
        <f>+IF((F169)=0,,(G169-F169)/F169)</f>
        <v>0</v>
      </c>
      <c r="K169" s="271">
        <f>+IF((G169)=0,,(I169-G169)/G169)</f>
        <v>0</v>
      </c>
      <c r="L169" s="18">
        <f>+Béthune!D170+Boulogne!D170+Calais!D170+StOmer!D170</f>
        <v>0</v>
      </c>
      <c r="M169" s="2">
        <v>0</v>
      </c>
    </row>
    <row r="170" spans="1:13" s="2" customFormat="1" ht="11.25" hidden="1">
      <c r="A170" s="5" t="s">
        <v>168</v>
      </c>
      <c r="B170" s="160">
        <f>+Béthune!$G171</f>
        <v>0</v>
      </c>
      <c r="C170" s="113">
        <f>+Boulogne!$G171</f>
        <v>0</v>
      </c>
      <c r="D170" s="113">
        <f>+Calais!$G171</f>
        <v>0</v>
      </c>
      <c r="E170" s="113">
        <f>+StOmer!$G171</f>
        <v>0</v>
      </c>
      <c r="F170" s="160">
        <f>+Béthune!E171+Boulogne!E171+Calais!E171+StOmer!E171</f>
        <v>0</v>
      </c>
      <c r="G170" s="135">
        <f>+Béthune!F171+Boulogne!F171+Calais!F171+StOmer!F171</f>
        <v>0</v>
      </c>
      <c r="H170" s="113">
        <v>0</v>
      </c>
      <c r="I170" s="161">
        <f>+Béthune!G171+Boulogne!G171+Calais!G171+StOmer!G171</f>
        <v>0</v>
      </c>
      <c r="J170" s="149">
        <f t="shared" ref="J170:J182" si="20">+IF((F170)=0,,(G170-F170)/F170)</f>
        <v>0</v>
      </c>
      <c r="K170" s="271">
        <f t="shared" ref="K170:K182" si="21">+IF((G170)=0,,(I170-G170)/G170)</f>
        <v>0</v>
      </c>
      <c r="L170" s="18">
        <f>+Béthune!D171+Boulogne!D171+Calais!D171+StOmer!D171</f>
        <v>0</v>
      </c>
      <c r="M170" s="678">
        <v>0</v>
      </c>
    </row>
    <row r="171" spans="1:13" s="2" customFormat="1" ht="11.25" hidden="1">
      <c r="A171" s="5" t="s">
        <v>169</v>
      </c>
      <c r="B171" s="160">
        <f>+Béthune!$G172</f>
        <v>0</v>
      </c>
      <c r="C171" s="113">
        <f>+Boulogne!$G172</f>
        <v>0</v>
      </c>
      <c r="D171" s="113">
        <f>+Calais!$G172</f>
        <v>0</v>
      </c>
      <c r="E171" s="113">
        <f>+StOmer!$G172</f>
        <v>0</v>
      </c>
      <c r="F171" s="160">
        <f>+Béthune!E172+Boulogne!E172+Calais!E172+StOmer!E172</f>
        <v>0</v>
      </c>
      <c r="G171" s="135">
        <f>+Béthune!F172+Boulogne!F172+Calais!F172+StOmer!F172</f>
        <v>0</v>
      </c>
      <c r="H171" s="113">
        <v>0</v>
      </c>
      <c r="I171" s="161">
        <f>+Béthune!G172+Boulogne!G172+Calais!G172+StOmer!G172</f>
        <v>0</v>
      </c>
      <c r="J171" s="149">
        <f t="shared" si="20"/>
        <v>0</v>
      </c>
      <c r="K171" s="271">
        <f t="shared" si="21"/>
        <v>0</v>
      </c>
      <c r="L171" s="18">
        <f>+Béthune!D172+Boulogne!D172+Calais!D172+StOmer!D172</f>
        <v>0</v>
      </c>
      <c r="M171" s="2">
        <v>0</v>
      </c>
    </row>
    <row r="172" spans="1:13" s="2" customFormat="1" ht="11.25">
      <c r="A172" s="590" t="s">
        <v>170</v>
      </c>
      <c r="B172" s="805">
        <f>+Béthune!$G173</f>
        <v>0</v>
      </c>
      <c r="C172" s="805">
        <f>+Boulogne!$G173</f>
        <v>10.3</v>
      </c>
      <c r="D172" s="805">
        <f>+Calais!$G173</f>
        <v>306.47306666666668</v>
      </c>
      <c r="E172" s="805">
        <f>+StOmer!$G173</f>
        <v>2378.4622666666669</v>
      </c>
      <c r="F172" s="805">
        <f>+Béthune!E173+Boulogne!E173+Calais!E173+StOmer!E173</f>
        <v>9221.39</v>
      </c>
      <c r="G172" s="619">
        <f>+Béthune!F173+Boulogne!F173+Calais!F173+StOmer!F173</f>
        <v>2616.7333333333336</v>
      </c>
      <c r="H172" s="113">
        <v>4973.8931750000002</v>
      </c>
      <c r="I172" s="1077">
        <f>+Béthune!G173+Boulogne!G173+Calais!G173+StOmer!G173</f>
        <v>2695.2353333333335</v>
      </c>
      <c r="J172" s="1013">
        <f t="shared" si="20"/>
        <v>-0.71623222384767005</v>
      </c>
      <c r="K172" s="1014">
        <f t="shared" si="21"/>
        <v>2.9999999999999978E-2</v>
      </c>
      <c r="L172" s="805">
        <f>+Béthune!D173+Boulogne!D173+Calais!D173+StOmer!D173</f>
        <v>5469.0837000000001</v>
      </c>
      <c r="M172" s="678">
        <v>1</v>
      </c>
    </row>
    <row r="173" spans="1:13" s="2" customFormat="1" ht="11.25" hidden="1">
      <c r="A173" s="5" t="s">
        <v>171</v>
      </c>
      <c r="B173" s="160">
        <f>+Béthune!$G174</f>
        <v>0</v>
      </c>
      <c r="C173" s="113">
        <f>+Boulogne!$G174</f>
        <v>0</v>
      </c>
      <c r="D173" s="113">
        <f>+Calais!$G174</f>
        <v>0</v>
      </c>
      <c r="E173" s="113">
        <f>+StOmer!$G174</f>
        <v>0</v>
      </c>
      <c r="F173" s="160">
        <f>+Béthune!E174+Boulogne!E174+Calais!E174+StOmer!E174</f>
        <v>0</v>
      </c>
      <c r="G173" s="135">
        <f>+Béthune!F174+Boulogne!F174+Calais!F174+StOmer!F174</f>
        <v>0</v>
      </c>
      <c r="H173" s="113">
        <v>0</v>
      </c>
      <c r="I173" s="161">
        <f>+Béthune!G174+Boulogne!G174+Calais!G174+StOmer!G174</f>
        <v>0</v>
      </c>
      <c r="J173" s="149">
        <f t="shared" si="20"/>
        <v>0</v>
      </c>
      <c r="K173" s="271">
        <f t="shared" si="21"/>
        <v>0</v>
      </c>
      <c r="L173" s="18">
        <f>+Béthune!D174+Boulogne!D174+Calais!D174+StOmer!D174</f>
        <v>0</v>
      </c>
      <c r="M173" s="2">
        <v>0</v>
      </c>
    </row>
    <row r="174" spans="1:13" s="2" customFormat="1" ht="11.25" hidden="1">
      <c r="A174" s="5" t="s">
        <v>308</v>
      </c>
      <c r="B174" s="160">
        <f>+Béthune!$G175</f>
        <v>0</v>
      </c>
      <c r="C174" s="113">
        <f>+Boulogne!$G175</f>
        <v>0</v>
      </c>
      <c r="D174" s="113">
        <f>+Calais!$G175</f>
        <v>0</v>
      </c>
      <c r="E174" s="113">
        <f>+StOmer!$G175</f>
        <v>0</v>
      </c>
      <c r="F174" s="160">
        <f>+Béthune!E175+Boulogne!E175+Calais!E175+StOmer!E175</f>
        <v>0</v>
      </c>
      <c r="G174" s="135">
        <f>+Béthune!F175+Boulogne!F175+Calais!F175+StOmer!F175</f>
        <v>0</v>
      </c>
      <c r="H174" s="113">
        <v>0</v>
      </c>
      <c r="I174" s="161">
        <f>+Béthune!G175+Boulogne!G175+Calais!G175+StOmer!G175</f>
        <v>0</v>
      </c>
      <c r="J174" s="149">
        <f t="shared" si="20"/>
        <v>0</v>
      </c>
      <c r="K174" s="271">
        <f t="shared" si="21"/>
        <v>0</v>
      </c>
      <c r="L174" s="18">
        <f>+Béthune!D175+Boulogne!D175+Calais!D175+StOmer!D175</f>
        <v>0</v>
      </c>
      <c r="M174" s="2">
        <v>0</v>
      </c>
    </row>
    <row r="175" spans="1:13" s="2" customFormat="1" ht="11.25" hidden="1">
      <c r="A175" s="5" t="s">
        <v>172</v>
      </c>
      <c r="B175" s="160">
        <f>+Béthune!$G176</f>
        <v>0</v>
      </c>
      <c r="C175" s="113">
        <f>+Boulogne!$G176</f>
        <v>0</v>
      </c>
      <c r="D175" s="113">
        <f>+Calais!$G176</f>
        <v>0</v>
      </c>
      <c r="E175" s="113">
        <f>+StOmer!$G176</f>
        <v>0</v>
      </c>
      <c r="F175" s="160">
        <f>+Béthune!E176+Boulogne!E176+Calais!E176+StOmer!E176</f>
        <v>0</v>
      </c>
      <c r="G175" s="135">
        <f>+Béthune!F176+Boulogne!F176+Calais!F176+StOmer!F176</f>
        <v>0</v>
      </c>
      <c r="H175" s="113">
        <v>0</v>
      </c>
      <c r="I175" s="161">
        <f>+Béthune!G176+Boulogne!G176+Calais!G176+StOmer!G176</f>
        <v>0</v>
      </c>
      <c r="J175" s="149">
        <f t="shared" si="20"/>
        <v>0</v>
      </c>
      <c r="K175" s="271">
        <f t="shared" si="21"/>
        <v>0</v>
      </c>
      <c r="L175" s="18">
        <f>+Béthune!D176+Boulogne!D176+Calais!D176+StOmer!D176</f>
        <v>0</v>
      </c>
      <c r="M175" s="678">
        <v>0</v>
      </c>
    </row>
    <row r="176" spans="1:13" s="2" customFormat="1" ht="11.25">
      <c r="A176" s="590" t="s">
        <v>173</v>
      </c>
      <c r="B176" s="805">
        <f>+Béthune!$G177</f>
        <v>0</v>
      </c>
      <c r="C176" s="805">
        <f>+Boulogne!$G177</f>
        <v>0</v>
      </c>
      <c r="D176" s="805">
        <f>+Calais!$G177</f>
        <v>0</v>
      </c>
      <c r="E176" s="805">
        <f>+StOmer!$G177</f>
        <v>0</v>
      </c>
      <c r="F176" s="805">
        <f>+Béthune!E177+Boulogne!E177+Calais!E177+StOmer!E177</f>
        <v>12.25</v>
      </c>
      <c r="G176" s="619">
        <f>+Béthune!F177+Boulogne!F177+Calais!F177+StOmer!F177</f>
        <v>0</v>
      </c>
      <c r="H176" s="113">
        <v>0</v>
      </c>
      <c r="I176" s="1077">
        <f>+Béthune!G177+Boulogne!G177+Calais!G177+StOmer!G177</f>
        <v>0</v>
      </c>
      <c r="J176" s="1013">
        <f t="shared" si="20"/>
        <v>-1</v>
      </c>
      <c r="K176" s="1014">
        <f t="shared" si="21"/>
        <v>0</v>
      </c>
      <c r="L176" s="805">
        <f>+Béthune!D177+Boulogne!D177+Calais!D177+StOmer!D177</f>
        <v>0</v>
      </c>
      <c r="M176" s="678">
        <v>1</v>
      </c>
    </row>
    <row r="177" spans="1:13" s="2" customFormat="1" ht="11.25" hidden="1">
      <c r="A177" s="5" t="s">
        <v>174</v>
      </c>
      <c r="B177" s="160">
        <f>+Béthune!$G178</f>
        <v>0</v>
      </c>
      <c r="C177" s="113">
        <f>+Boulogne!$G178</f>
        <v>0</v>
      </c>
      <c r="D177" s="113">
        <f>+Calais!$G178</f>
        <v>0</v>
      </c>
      <c r="E177" s="113">
        <f>+StOmer!$G178</f>
        <v>0</v>
      </c>
      <c r="F177" s="160">
        <f>+Béthune!E178+Boulogne!E178+Calais!E178+StOmer!E178</f>
        <v>0</v>
      </c>
      <c r="G177" s="135">
        <f>+Béthune!F178+Boulogne!F178+Calais!F178+StOmer!F178</f>
        <v>0</v>
      </c>
      <c r="H177" s="113">
        <v>0</v>
      </c>
      <c r="I177" s="161">
        <f>+Béthune!G178+Boulogne!G178+Calais!G178+StOmer!G178</f>
        <v>0</v>
      </c>
      <c r="J177" s="149">
        <f t="shared" si="20"/>
        <v>0</v>
      </c>
      <c r="K177" s="271">
        <f t="shared" si="21"/>
        <v>0</v>
      </c>
      <c r="L177" s="18">
        <f>+Béthune!D178+Boulogne!D178+Calais!D178+StOmer!D178</f>
        <v>0</v>
      </c>
      <c r="M177" s="2">
        <v>0</v>
      </c>
    </row>
    <row r="178" spans="1:13" s="2" customFormat="1" ht="11.25">
      <c r="A178" s="590" t="s">
        <v>175</v>
      </c>
      <c r="B178" s="805">
        <f>+Béthune!$G179</f>
        <v>2929.74</v>
      </c>
      <c r="C178" s="805">
        <f>+Boulogne!$G179</f>
        <v>14380.13</v>
      </c>
      <c r="D178" s="805">
        <f>+Calais!$G179</f>
        <v>3059.38</v>
      </c>
      <c r="E178" s="805">
        <f>+StOmer!$G179</f>
        <v>24113.07</v>
      </c>
      <c r="F178" s="805">
        <f>+Béthune!E179+Boulogne!E179+Calais!E179+StOmer!E179</f>
        <v>44547.380000000005</v>
      </c>
      <c r="G178" s="619">
        <f>+Béthune!F179+Boulogne!F179+Calais!F179+StOmer!F179</f>
        <v>42897.61</v>
      </c>
      <c r="H178" s="113">
        <v>32058.206388888892</v>
      </c>
      <c r="I178" s="1077">
        <f>+Béthune!G179+Boulogne!G179+Calais!G179+StOmer!G179</f>
        <v>44482.32</v>
      </c>
      <c r="J178" s="1013">
        <f t="shared" si="20"/>
        <v>-3.7034052283209558E-2</v>
      </c>
      <c r="K178" s="1014">
        <f t="shared" si="21"/>
        <v>3.6941685096209299E-2</v>
      </c>
      <c r="L178" s="805">
        <f>+Béthune!D179+Boulogne!D179+Calais!D179+StOmer!D179</f>
        <v>44300</v>
      </c>
      <c r="M178" s="678">
        <v>1</v>
      </c>
    </row>
    <row r="179" spans="1:13" s="2" customFormat="1" ht="11.25">
      <c r="A179" s="590" t="s">
        <v>78</v>
      </c>
      <c r="B179" s="805">
        <f>+Béthune!$G180</f>
        <v>0</v>
      </c>
      <c r="C179" s="805">
        <f>+Boulogne!$G180</f>
        <v>0</v>
      </c>
      <c r="D179" s="805">
        <f>+Calais!$G180</f>
        <v>0</v>
      </c>
      <c r="E179" s="805">
        <f>+StOmer!$G180</f>
        <v>0</v>
      </c>
      <c r="F179" s="805">
        <f>+Béthune!E180+Boulogne!E180+Calais!E180+StOmer!E180</f>
        <v>5508.63</v>
      </c>
      <c r="G179" s="619">
        <f>+Béthune!F180+Boulogne!F180+Calais!F180+StOmer!F180</f>
        <v>0</v>
      </c>
      <c r="H179" s="113">
        <v>0</v>
      </c>
      <c r="I179" s="1077">
        <f>+Béthune!G180+Boulogne!G180+Calais!G180+StOmer!G180</f>
        <v>0</v>
      </c>
      <c r="J179" s="1013">
        <f t="shared" si="20"/>
        <v>-1</v>
      </c>
      <c r="K179" s="1014">
        <f t="shared" si="21"/>
        <v>0</v>
      </c>
      <c r="L179" s="805">
        <f>+Béthune!D180+Boulogne!D180+Calais!D180+StOmer!D180</f>
        <v>0</v>
      </c>
      <c r="M179" s="678">
        <v>1</v>
      </c>
    </row>
    <row r="180" spans="1:13" s="2" customFormat="1" ht="11.25" hidden="1">
      <c r="A180" s="5" t="s">
        <v>327</v>
      </c>
      <c r="B180" s="160">
        <f>+Béthune!$G181</f>
        <v>0</v>
      </c>
      <c r="C180" s="113">
        <f>+Boulogne!$G181</f>
        <v>0</v>
      </c>
      <c r="D180" s="113">
        <f>+Calais!$G181</f>
        <v>0</v>
      </c>
      <c r="E180" s="113">
        <f>+StOmer!$G181</f>
        <v>0</v>
      </c>
      <c r="F180" s="160">
        <f>+Béthune!E181+Boulogne!E181+Calais!E181+StOmer!E181</f>
        <v>0</v>
      </c>
      <c r="G180" s="135">
        <f>+Béthune!F181+Boulogne!F181+Calais!F181+StOmer!F181</f>
        <v>0</v>
      </c>
      <c r="H180" s="113">
        <v>0</v>
      </c>
      <c r="I180" s="161">
        <f>+Béthune!G181+Boulogne!G181+Calais!G181+StOmer!G181</f>
        <v>0</v>
      </c>
      <c r="J180" s="149">
        <f t="shared" si="20"/>
        <v>0</v>
      </c>
      <c r="K180" s="271">
        <f t="shared" si="21"/>
        <v>0</v>
      </c>
      <c r="L180" s="18">
        <f>+Béthune!D181+Boulogne!D181+Calais!D181+StOmer!D181</f>
        <v>0</v>
      </c>
      <c r="M180" s="2">
        <v>0</v>
      </c>
    </row>
    <row r="181" spans="1:13" s="2" customFormat="1" ht="11.25" hidden="1">
      <c r="A181" s="5" t="s">
        <v>82</v>
      </c>
      <c r="B181" s="160">
        <f>+Béthune!$G182</f>
        <v>0</v>
      </c>
      <c r="C181" s="113">
        <f>+Boulogne!$G182</f>
        <v>0</v>
      </c>
      <c r="D181" s="113">
        <f>+Calais!$G182</f>
        <v>0</v>
      </c>
      <c r="E181" s="113">
        <f>+StOmer!$G182</f>
        <v>0</v>
      </c>
      <c r="F181" s="160">
        <f>+Béthune!E182+Boulogne!E182+Calais!E182+StOmer!E182</f>
        <v>0</v>
      </c>
      <c r="G181" s="135">
        <f>+Béthune!F182+Boulogne!F182+Calais!F182+StOmer!F182</f>
        <v>0</v>
      </c>
      <c r="H181" s="113">
        <v>0</v>
      </c>
      <c r="I181" s="161">
        <f>+Béthune!G182+Boulogne!G182+Calais!G182+StOmer!G182</f>
        <v>0</v>
      </c>
      <c r="J181" s="149">
        <f t="shared" si="20"/>
        <v>0</v>
      </c>
      <c r="K181" s="271">
        <f t="shared" si="21"/>
        <v>0</v>
      </c>
      <c r="L181" s="18">
        <f>+Béthune!D182+Boulogne!D182+Calais!D182+StOmer!D182</f>
        <v>0</v>
      </c>
      <c r="M181" s="2">
        <v>0</v>
      </c>
    </row>
    <row r="182" spans="1:13" s="2" customFormat="1" ht="11.25" hidden="1">
      <c r="A182" s="5" t="s">
        <v>331</v>
      </c>
      <c r="B182" s="160">
        <f>+Béthune!$G183</f>
        <v>0</v>
      </c>
      <c r="C182" s="113">
        <f>+Boulogne!$G183</f>
        <v>0</v>
      </c>
      <c r="D182" s="113">
        <f>+Calais!$G183</f>
        <v>0</v>
      </c>
      <c r="E182" s="113">
        <f>+StOmer!$G183</f>
        <v>0</v>
      </c>
      <c r="F182" s="160">
        <f>+Béthune!E183+Boulogne!E183+Calais!E183+StOmer!E183</f>
        <v>10330</v>
      </c>
      <c r="G182" s="135">
        <f>+Béthune!F183+Boulogne!F183+Calais!F183+StOmer!F183</f>
        <v>0</v>
      </c>
      <c r="H182" s="113">
        <v>0</v>
      </c>
      <c r="I182" s="161">
        <f>+Béthune!G183+Boulogne!G183+Calais!G183+StOmer!G183</f>
        <v>0</v>
      </c>
      <c r="J182" s="149">
        <f t="shared" si="20"/>
        <v>-1</v>
      </c>
      <c r="K182" s="271">
        <f t="shared" si="21"/>
        <v>0</v>
      </c>
      <c r="L182" s="18">
        <f>+Béthune!D183+Boulogne!D183+Calais!D183+StOmer!D183</f>
        <v>0</v>
      </c>
      <c r="M182" s="678">
        <v>0</v>
      </c>
    </row>
    <row r="183" spans="1:13" s="2" customFormat="1" ht="11.25" hidden="1">
      <c r="A183" s="5"/>
      <c r="B183" s="160"/>
      <c r="C183" s="113"/>
      <c r="D183" s="113"/>
      <c r="E183" s="113"/>
      <c r="F183" s="160"/>
      <c r="G183" s="143"/>
      <c r="H183" s="113"/>
      <c r="I183" s="162"/>
      <c r="J183" s="149"/>
      <c r="K183" s="254"/>
      <c r="L183" s="18"/>
      <c r="M183" s="2">
        <v>0</v>
      </c>
    </row>
    <row r="184" spans="1:13" s="2" customFormat="1" ht="11.25">
      <c r="A184" s="13" t="s">
        <v>178</v>
      </c>
      <c r="B184" s="803">
        <f t="shared" ref="B184:G184" si="22">SUM(B168:B183)</f>
        <v>2929.74</v>
      </c>
      <c r="C184" s="803">
        <f t="shared" si="22"/>
        <v>14390.429999999998</v>
      </c>
      <c r="D184" s="803">
        <f t="shared" si="22"/>
        <v>3365.8530666666666</v>
      </c>
      <c r="E184" s="803">
        <f t="shared" si="22"/>
        <v>26491.532266666665</v>
      </c>
      <c r="F184" s="597">
        <f t="shared" si="22"/>
        <v>69619.649999999994</v>
      </c>
      <c r="G184" s="597">
        <f t="shared" si="22"/>
        <v>45514.343333333338</v>
      </c>
      <c r="H184" s="136">
        <v>37032.099563888893</v>
      </c>
      <c r="I184" s="597">
        <f>SUM(I168:I183)</f>
        <v>47177.55533333333</v>
      </c>
      <c r="J184" s="596">
        <f>+IF((F184)=0,,(G184-F184)/F184)</f>
        <v>-0.34624285911616415</v>
      </c>
      <c r="K184" s="1015">
        <f>+IF((G184)=0,,(I184-G184)/G184)</f>
        <v>3.6542590273556816E-2</v>
      </c>
      <c r="L184" s="597">
        <f>SUM(L168:L183)</f>
        <v>49769.083700000003</v>
      </c>
      <c r="M184" s="678">
        <v>1</v>
      </c>
    </row>
    <row r="185" spans="1:13" s="2" customFormat="1" ht="11.25" hidden="1">
      <c r="A185" s="5"/>
      <c r="B185" s="160"/>
      <c r="C185" s="113"/>
      <c r="D185" s="113"/>
      <c r="E185" s="113"/>
      <c r="F185" s="160"/>
      <c r="G185" s="143"/>
      <c r="H185" s="113"/>
      <c r="I185" s="162"/>
      <c r="J185" s="149"/>
      <c r="K185" s="271"/>
      <c r="L185" s="18"/>
      <c r="M185" s="2">
        <v>0</v>
      </c>
    </row>
    <row r="186" spans="1:13" s="2" customFormat="1" ht="11.25" hidden="1">
      <c r="A186" s="5" t="s">
        <v>179</v>
      </c>
      <c r="B186" s="160">
        <f>+Béthune!$G187</f>
        <v>0</v>
      </c>
      <c r="C186" s="113">
        <f>+Boulogne!$G187</f>
        <v>0</v>
      </c>
      <c r="D186" s="113">
        <f>+Calais!$G187</f>
        <v>0</v>
      </c>
      <c r="E186" s="113">
        <f>+StOmer!$G187</f>
        <v>0</v>
      </c>
      <c r="F186" s="160">
        <f>+Béthune!E187+Boulogne!E187+Calais!E187+StOmer!E187</f>
        <v>1500</v>
      </c>
      <c r="G186" s="135">
        <f>+Béthune!F187+Boulogne!F187+Calais!F187+StOmer!F187</f>
        <v>-2476.1333333333332</v>
      </c>
      <c r="H186" s="113">
        <v>0</v>
      </c>
      <c r="I186" s="161">
        <f>+Béthune!G187+Boulogne!G187+Calais!G187+StOmer!G187</f>
        <v>0</v>
      </c>
      <c r="J186" s="149">
        <f>+IF((F186)=0,,(G186-F186)/F186)</f>
        <v>-2.6507555555555555</v>
      </c>
      <c r="K186" s="271">
        <f>+IF((G186)=0,,(I186-G186)/G186)</f>
        <v>-1</v>
      </c>
      <c r="L186" s="18">
        <f>+Béthune!D187+Boulogne!D187+Calais!D187+StOmer!D187</f>
        <v>0</v>
      </c>
      <c r="M186" s="2">
        <v>0</v>
      </c>
    </row>
    <row r="187" spans="1:13" s="2" customFormat="1" ht="11.25" hidden="1">
      <c r="A187" s="5" t="s">
        <v>167</v>
      </c>
      <c r="B187" s="160">
        <f>+Béthune!$G188</f>
        <v>0</v>
      </c>
      <c r="C187" s="113">
        <f>+Boulogne!$G188</f>
        <v>0</v>
      </c>
      <c r="D187" s="113">
        <f>+Calais!$G188</f>
        <v>0</v>
      </c>
      <c r="E187" s="113">
        <f>+StOmer!$G188</f>
        <v>0</v>
      </c>
      <c r="F187" s="160">
        <f>+Béthune!E188+Boulogne!E188+Calais!E188+StOmer!E188</f>
        <v>0</v>
      </c>
      <c r="G187" s="135">
        <f>+Béthune!F188+Boulogne!F188+Calais!F188+StOmer!F188</f>
        <v>0</v>
      </c>
      <c r="H187" s="113">
        <v>0</v>
      </c>
      <c r="I187" s="161">
        <f>+Béthune!G188+Boulogne!G188+Calais!G188+StOmer!G188</f>
        <v>0</v>
      </c>
      <c r="J187" s="149">
        <f t="shared" ref="J187:J198" si="23">+IF((F187)=0,,(G187-F187)/F187)</f>
        <v>0</v>
      </c>
      <c r="K187" s="271">
        <f t="shared" ref="K187:K198" si="24">+IF((G187)=0,,(I187-G187)/G187)</f>
        <v>0</v>
      </c>
      <c r="L187" s="18">
        <f>+Béthune!D188+Boulogne!D188+Calais!D188+StOmer!D188</f>
        <v>0</v>
      </c>
      <c r="M187" s="2">
        <v>0</v>
      </c>
    </row>
    <row r="188" spans="1:13" s="2" customFormat="1" ht="11.25" hidden="1">
      <c r="A188" s="5" t="s">
        <v>180</v>
      </c>
      <c r="B188" s="160">
        <f>+Béthune!$G189</f>
        <v>0</v>
      </c>
      <c r="C188" s="113">
        <f>+Boulogne!$G189</f>
        <v>0</v>
      </c>
      <c r="D188" s="113">
        <f>+Calais!$G189</f>
        <v>0</v>
      </c>
      <c r="E188" s="113">
        <f>+StOmer!$G189</f>
        <v>0</v>
      </c>
      <c r="F188" s="160">
        <f>+Béthune!E189+Boulogne!E189+Calais!E189+StOmer!E189</f>
        <v>12474.06</v>
      </c>
      <c r="G188" s="135">
        <f>+Béthune!F189+Boulogne!F189+Calais!F189+StOmer!F189</f>
        <v>549.33333333333337</v>
      </c>
      <c r="H188" s="113">
        <v>0</v>
      </c>
      <c r="I188" s="161">
        <f>+Béthune!G189+Boulogne!G189+Calais!G189+StOmer!G189</f>
        <v>0</v>
      </c>
      <c r="J188" s="149">
        <f t="shared" si="23"/>
        <v>-0.95596194556276515</v>
      </c>
      <c r="K188" s="271">
        <f t="shared" si="24"/>
        <v>-1</v>
      </c>
      <c r="L188" s="18">
        <f>+Béthune!D189+Boulogne!D189+Calais!D189+StOmer!D189</f>
        <v>0</v>
      </c>
      <c r="M188" s="2">
        <v>0</v>
      </c>
    </row>
    <row r="189" spans="1:13" s="2" customFormat="1" ht="11.25" hidden="1">
      <c r="A189" s="5" t="s">
        <v>181</v>
      </c>
      <c r="B189" s="160">
        <f>+Béthune!$G190</f>
        <v>0</v>
      </c>
      <c r="C189" s="113">
        <f>+Boulogne!$G190</f>
        <v>0</v>
      </c>
      <c r="D189" s="113">
        <f>+Calais!$G190</f>
        <v>0</v>
      </c>
      <c r="E189" s="113">
        <f>+StOmer!$G190</f>
        <v>0</v>
      </c>
      <c r="F189" s="160">
        <f>+Béthune!E190+Boulogne!E190+Calais!E190+StOmer!E190</f>
        <v>0</v>
      </c>
      <c r="G189" s="135">
        <f>+Béthune!F190+Boulogne!F190+Calais!F190+StOmer!F190</f>
        <v>0</v>
      </c>
      <c r="H189" s="113">
        <v>0</v>
      </c>
      <c r="I189" s="161">
        <f>+Béthune!G190+Boulogne!G190+Calais!G190+StOmer!G190</f>
        <v>0</v>
      </c>
      <c r="J189" s="149">
        <f t="shared" si="23"/>
        <v>0</v>
      </c>
      <c r="K189" s="271">
        <f t="shared" si="24"/>
        <v>0</v>
      </c>
      <c r="L189" s="18">
        <f>+Béthune!D190+Boulogne!D190+Calais!D190+StOmer!D190</f>
        <v>0</v>
      </c>
      <c r="M189" s="2">
        <v>0</v>
      </c>
    </row>
    <row r="190" spans="1:13" s="2" customFormat="1" ht="11.25" hidden="1">
      <c r="A190" s="5" t="s">
        <v>182</v>
      </c>
      <c r="B190" s="160">
        <f>+Béthune!$G191</f>
        <v>0</v>
      </c>
      <c r="C190" s="113">
        <f>+Boulogne!$G191</f>
        <v>0</v>
      </c>
      <c r="D190" s="113">
        <f>+Calais!$G191</f>
        <v>0</v>
      </c>
      <c r="E190" s="113">
        <f>+StOmer!$G191</f>
        <v>0</v>
      </c>
      <c r="F190" s="160">
        <f>+Béthune!E191+Boulogne!E191+Calais!E191+StOmer!E191</f>
        <v>0</v>
      </c>
      <c r="G190" s="135">
        <f>+Béthune!F191+Boulogne!F191+Calais!F191+StOmer!F191</f>
        <v>0</v>
      </c>
      <c r="H190" s="113">
        <v>0</v>
      </c>
      <c r="I190" s="161">
        <f>+Béthune!G191+Boulogne!G191+Calais!G191+StOmer!G191</f>
        <v>0</v>
      </c>
      <c r="J190" s="149">
        <f t="shared" si="23"/>
        <v>0</v>
      </c>
      <c r="K190" s="271">
        <f t="shared" si="24"/>
        <v>0</v>
      </c>
      <c r="L190" s="18">
        <f>+Béthune!D191+Boulogne!D191+Calais!D191+StOmer!D191</f>
        <v>0</v>
      </c>
      <c r="M190" s="2">
        <v>0</v>
      </c>
    </row>
    <row r="191" spans="1:13" s="2" customFormat="1" ht="11.25" hidden="1">
      <c r="A191" s="5" t="s">
        <v>183</v>
      </c>
      <c r="B191" s="160">
        <f>+Béthune!$G192</f>
        <v>0</v>
      </c>
      <c r="C191" s="113">
        <f>+Boulogne!$G192</f>
        <v>0</v>
      </c>
      <c r="D191" s="113">
        <f>+Calais!$G192</f>
        <v>0</v>
      </c>
      <c r="E191" s="113">
        <f>+StOmer!$G192</f>
        <v>0</v>
      </c>
      <c r="F191" s="160">
        <f>+Béthune!E192+Boulogne!E192+Calais!E192+StOmer!E192</f>
        <v>0</v>
      </c>
      <c r="G191" s="135">
        <f>+Béthune!F192+Boulogne!F192+Calais!F192+StOmer!F192</f>
        <v>0</v>
      </c>
      <c r="H191" s="113">
        <v>0</v>
      </c>
      <c r="I191" s="161">
        <f>+Béthune!G192+Boulogne!G192+Calais!G192+StOmer!G192</f>
        <v>0</v>
      </c>
      <c r="J191" s="149">
        <f t="shared" si="23"/>
        <v>0</v>
      </c>
      <c r="K191" s="271">
        <f t="shared" si="24"/>
        <v>0</v>
      </c>
      <c r="L191" s="18">
        <f>+Béthune!D192+Boulogne!D192+Calais!D192+StOmer!D192</f>
        <v>0</v>
      </c>
      <c r="M191" s="2">
        <v>0</v>
      </c>
    </row>
    <row r="192" spans="1:13" s="2" customFormat="1" ht="11.25" hidden="1">
      <c r="A192" s="5" t="s">
        <v>184</v>
      </c>
      <c r="B192" s="160">
        <f>+Béthune!$G193</f>
        <v>0</v>
      </c>
      <c r="C192" s="113">
        <f>+Boulogne!$G193</f>
        <v>0</v>
      </c>
      <c r="D192" s="113">
        <f>+Calais!$G193</f>
        <v>0</v>
      </c>
      <c r="E192" s="113">
        <f>+StOmer!$G193</f>
        <v>0</v>
      </c>
      <c r="F192" s="160">
        <f>+Béthune!E193+Boulogne!E193+Calais!E193+StOmer!E193</f>
        <v>15535.65</v>
      </c>
      <c r="G192" s="135">
        <f>+Béthune!F193+Boulogne!F193+Calais!F193+StOmer!F193</f>
        <v>278.09333333333336</v>
      </c>
      <c r="H192" s="113">
        <v>0</v>
      </c>
      <c r="I192" s="161">
        <f>+Béthune!G193+Boulogne!G193+Calais!G193+StOmer!G193</f>
        <v>0</v>
      </c>
      <c r="J192" s="149">
        <f t="shared" si="23"/>
        <v>-0.98209966539325133</v>
      </c>
      <c r="K192" s="271">
        <f t="shared" si="24"/>
        <v>-1</v>
      </c>
      <c r="L192" s="18">
        <f>+Béthune!D193+Boulogne!D193+Calais!D193+StOmer!D193</f>
        <v>0</v>
      </c>
      <c r="M192" s="2">
        <v>0</v>
      </c>
    </row>
    <row r="193" spans="1:13" s="2" customFormat="1" ht="11.25" hidden="1">
      <c r="A193" s="5" t="s">
        <v>342</v>
      </c>
      <c r="B193" s="160">
        <f>+Béthune!$G194</f>
        <v>0</v>
      </c>
      <c r="C193" s="113">
        <f>+Boulogne!$G194</f>
        <v>0</v>
      </c>
      <c r="D193" s="113">
        <f>+Calais!$G194</f>
        <v>0</v>
      </c>
      <c r="E193" s="113">
        <f>+StOmer!$G194</f>
        <v>0</v>
      </c>
      <c r="F193" s="160">
        <f>+Béthune!E194+Boulogne!E194+Calais!E194+StOmer!E194</f>
        <v>0</v>
      </c>
      <c r="G193" s="135">
        <f>+Béthune!F194+Boulogne!F194+Calais!F194+StOmer!F194</f>
        <v>0</v>
      </c>
      <c r="H193" s="113">
        <v>0</v>
      </c>
      <c r="I193" s="161">
        <f>+Béthune!G194+Boulogne!G194+Calais!G194+StOmer!G194</f>
        <v>0</v>
      </c>
      <c r="J193" s="149">
        <f t="shared" si="23"/>
        <v>0</v>
      </c>
      <c r="K193" s="271">
        <f t="shared" si="24"/>
        <v>0</v>
      </c>
      <c r="L193" s="18">
        <f>+Béthune!D194+Boulogne!D194+Calais!D194+StOmer!D194</f>
        <v>0</v>
      </c>
      <c r="M193" s="2">
        <v>0</v>
      </c>
    </row>
    <row r="194" spans="1:13" s="2" customFormat="1" ht="11.25" hidden="1">
      <c r="A194" s="5" t="s">
        <v>186</v>
      </c>
      <c r="B194" s="160">
        <f>+Béthune!$G195</f>
        <v>0</v>
      </c>
      <c r="C194" s="113">
        <f>+Boulogne!$G195</f>
        <v>0</v>
      </c>
      <c r="D194" s="113">
        <f>+Calais!$G195</f>
        <v>0</v>
      </c>
      <c r="E194" s="113">
        <f>+StOmer!$G195</f>
        <v>0</v>
      </c>
      <c r="F194" s="160">
        <f>+Béthune!E195+Boulogne!E195+Calais!E195+StOmer!E195</f>
        <v>0</v>
      </c>
      <c r="G194" s="135">
        <f>+Béthune!F195+Boulogne!F195+Calais!F195+StOmer!F195</f>
        <v>0</v>
      </c>
      <c r="H194" s="113">
        <v>0</v>
      </c>
      <c r="I194" s="161">
        <f>+Béthune!G195+Boulogne!G195+Calais!G195+StOmer!G195</f>
        <v>0</v>
      </c>
      <c r="J194" s="149">
        <f t="shared" si="23"/>
        <v>0</v>
      </c>
      <c r="K194" s="271">
        <f t="shared" si="24"/>
        <v>0</v>
      </c>
      <c r="L194" s="18">
        <f>+Béthune!D195+Boulogne!D195+Calais!D195+StOmer!D195</f>
        <v>0</v>
      </c>
      <c r="M194" s="2">
        <v>0</v>
      </c>
    </row>
    <row r="195" spans="1:13" s="2" customFormat="1" ht="11.25" hidden="1">
      <c r="A195" s="5" t="s">
        <v>187</v>
      </c>
      <c r="B195" s="160">
        <f>+Béthune!$G196</f>
        <v>0</v>
      </c>
      <c r="C195" s="113">
        <f>+Boulogne!$G196</f>
        <v>0</v>
      </c>
      <c r="D195" s="113">
        <f>+Calais!$G196</f>
        <v>0</v>
      </c>
      <c r="E195" s="113">
        <f>+StOmer!$G196</f>
        <v>0</v>
      </c>
      <c r="F195" s="160">
        <f>+Béthune!E196+Boulogne!E196+Calais!E196+StOmer!E196</f>
        <v>0</v>
      </c>
      <c r="G195" s="135">
        <f>+Béthune!F196+Boulogne!F196+Calais!F196+StOmer!F196</f>
        <v>0</v>
      </c>
      <c r="H195" s="113">
        <v>0</v>
      </c>
      <c r="I195" s="161">
        <f>+Béthune!G196+Boulogne!G196+Calais!G196+StOmer!G196</f>
        <v>0</v>
      </c>
      <c r="J195" s="149">
        <f t="shared" si="23"/>
        <v>0</v>
      </c>
      <c r="K195" s="271">
        <f t="shared" si="24"/>
        <v>0</v>
      </c>
      <c r="L195" s="18">
        <f>+Béthune!D196+Boulogne!D196+Calais!D196+StOmer!D196</f>
        <v>0</v>
      </c>
      <c r="M195" s="2">
        <v>0</v>
      </c>
    </row>
    <row r="196" spans="1:13" s="2" customFormat="1" ht="11.25" hidden="1">
      <c r="A196" s="5" t="s">
        <v>328</v>
      </c>
      <c r="B196" s="160">
        <f>+Béthune!$G197</f>
        <v>0</v>
      </c>
      <c r="C196" s="113">
        <f>+Boulogne!$G197</f>
        <v>0</v>
      </c>
      <c r="D196" s="113">
        <f>+Calais!$G197</f>
        <v>0</v>
      </c>
      <c r="E196" s="113">
        <f>+StOmer!$G197</f>
        <v>0</v>
      </c>
      <c r="F196" s="160">
        <f>+Béthune!E197+Boulogne!E197+Calais!E197+StOmer!E197</f>
        <v>0</v>
      </c>
      <c r="G196" s="135">
        <f>+Béthune!F197+Boulogne!F197+Calais!F197+StOmer!F197</f>
        <v>15527.36</v>
      </c>
      <c r="H196" s="113">
        <v>0</v>
      </c>
      <c r="I196" s="161">
        <f>+Béthune!G197+Boulogne!G197+Calais!G197+StOmer!G197</f>
        <v>0</v>
      </c>
      <c r="J196" s="149">
        <f t="shared" si="23"/>
        <v>0</v>
      </c>
      <c r="K196" s="271">
        <f t="shared" si="24"/>
        <v>-1</v>
      </c>
      <c r="L196" s="18">
        <f>+Béthune!D197+Boulogne!D197+Calais!D197+StOmer!D197</f>
        <v>0</v>
      </c>
      <c r="M196" s="2">
        <v>0</v>
      </c>
    </row>
    <row r="197" spans="1:13" s="2" customFormat="1" ht="11.25" hidden="1">
      <c r="A197" s="5" t="s">
        <v>344</v>
      </c>
      <c r="B197" s="160">
        <f>+Béthune!$G198</f>
        <v>0</v>
      </c>
      <c r="C197" s="113">
        <f>+Boulogne!$G198</f>
        <v>0</v>
      </c>
      <c r="D197" s="113">
        <f>+Calais!$G198</f>
        <v>0</v>
      </c>
      <c r="E197" s="113">
        <f>+StOmer!$G198</f>
        <v>0</v>
      </c>
      <c r="F197" s="160">
        <f>+Béthune!E198+Boulogne!E198+Calais!E198+StOmer!E198</f>
        <v>0</v>
      </c>
      <c r="G197" s="135">
        <f>+Béthune!F198+Boulogne!F198+Calais!F198+StOmer!F198</f>
        <v>0</v>
      </c>
      <c r="H197" s="113">
        <v>0</v>
      </c>
      <c r="I197" s="161">
        <f>+Béthune!G198+Boulogne!G198+Calais!G198+StOmer!G198</f>
        <v>0</v>
      </c>
      <c r="J197" s="149">
        <f t="shared" si="23"/>
        <v>0</v>
      </c>
      <c r="K197" s="271">
        <f t="shared" si="24"/>
        <v>0</v>
      </c>
      <c r="L197" s="18">
        <f>+Béthune!D198+Boulogne!D198+Calais!D198+StOmer!D198</f>
        <v>0</v>
      </c>
      <c r="M197" s="2">
        <v>0</v>
      </c>
    </row>
    <row r="198" spans="1:13" s="2" customFormat="1" ht="11.25" hidden="1">
      <c r="A198" s="5" t="s">
        <v>77</v>
      </c>
      <c r="B198" s="160">
        <f>+Béthune!$G199</f>
        <v>0</v>
      </c>
      <c r="C198" s="113">
        <f>+Boulogne!$G199</f>
        <v>0</v>
      </c>
      <c r="D198" s="113">
        <f>+Calais!$G199</f>
        <v>0</v>
      </c>
      <c r="E198" s="113">
        <f>+StOmer!$G199</f>
        <v>0</v>
      </c>
      <c r="F198" s="160">
        <f>+Béthune!E199+Boulogne!E199+Calais!E199+StOmer!E199</f>
        <v>4355.16</v>
      </c>
      <c r="G198" s="135">
        <f>+Béthune!F199+Boulogne!F199+Calais!F199+StOmer!F199</f>
        <v>0</v>
      </c>
      <c r="H198" s="113">
        <v>0</v>
      </c>
      <c r="I198" s="161">
        <f>+Béthune!G199+Boulogne!G199+Calais!G199+StOmer!G199</f>
        <v>0</v>
      </c>
      <c r="J198" s="149">
        <f t="shared" si="23"/>
        <v>-1</v>
      </c>
      <c r="K198" s="271">
        <f t="shared" si="24"/>
        <v>0</v>
      </c>
      <c r="L198" s="18">
        <f>+Béthune!D199+Boulogne!D199+Calais!D199+StOmer!D199</f>
        <v>0</v>
      </c>
      <c r="M198" s="2">
        <v>0</v>
      </c>
    </row>
    <row r="199" spans="1:13" s="2" customFormat="1" ht="11.25" hidden="1">
      <c r="A199" s="5"/>
      <c r="B199" s="160"/>
      <c r="C199" s="113"/>
      <c r="D199" s="113"/>
      <c r="E199" s="113"/>
      <c r="F199" s="160"/>
      <c r="G199" s="134"/>
      <c r="H199" s="113"/>
      <c r="I199" s="162"/>
      <c r="J199" s="149"/>
      <c r="K199" s="254"/>
      <c r="L199" s="18"/>
      <c r="M199" s="2">
        <v>0</v>
      </c>
    </row>
    <row r="200" spans="1:13" s="2" customFormat="1" ht="11.25">
      <c r="A200" s="13" t="s">
        <v>188</v>
      </c>
      <c r="B200" s="803">
        <f t="shared" ref="B200:G200" si="25">SUM(B185:B199)</f>
        <v>0</v>
      </c>
      <c r="C200" s="803">
        <f t="shared" si="25"/>
        <v>0</v>
      </c>
      <c r="D200" s="803">
        <f t="shared" si="25"/>
        <v>0</v>
      </c>
      <c r="E200" s="803">
        <f t="shared" si="25"/>
        <v>0</v>
      </c>
      <c r="F200" s="803">
        <f t="shared" si="25"/>
        <v>33864.869999999995</v>
      </c>
      <c r="G200" s="597">
        <f t="shared" si="25"/>
        <v>13878.653333333334</v>
      </c>
      <c r="H200" s="204">
        <v>0</v>
      </c>
      <c r="I200" s="803">
        <f>SUM(I185:I199)</f>
        <v>0</v>
      </c>
      <c r="J200" s="596">
        <f>+IF((F200)=0,,(G200-F200)/F200)</f>
        <v>-0.59017550242084682</v>
      </c>
      <c r="K200" s="1015">
        <f>+IF((G200)=0,,(I200-G200)/G200)</f>
        <v>-1</v>
      </c>
      <c r="L200" s="803">
        <f>SUM(L185:L199)</f>
        <v>0</v>
      </c>
      <c r="M200" s="678">
        <v>1</v>
      </c>
    </row>
    <row r="201" spans="1:13" s="2" customFormat="1" ht="11.25" hidden="1">
      <c r="A201" s="5"/>
      <c r="B201" s="160"/>
      <c r="C201" s="113"/>
      <c r="D201" s="113"/>
      <c r="E201" s="113"/>
      <c r="F201" s="276"/>
      <c r="G201" s="134"/>
      <c r="H201" s="113"/>
      <c r="I201" s="162"/>
      <c r="J201" s="149"/>
      <c r="K201" s="254"/>
      <c r="L201" s="311"/>
      <c r="M201" s="2">
        <v>0</v>
      </c>
    </row>
    <row r="202" spans="1:13" s="2" customFormat="1" ht="11.25">
      <c r="A202" s="14" t="s">
        <v>189</v>
      </c>
      <c r="B202" s="659">
        <f t="shared" ref="B202:G202" si="26">+B103+B116+B129+B153+B167+B184-B200</f>
        <v>148494.38194899992</v>
      </c>
      <c r="C202" s="659">
        <f t="shared" si="26"/>
        <v>415435.40979443968</v>
      </c>
      <c r="D202" s="659">
        <f t="shared" si="26"/>
        <v>253064.07387132596</v>
      </c>
      <c r="E202" s="659">
        <f t="shared" si="26"/>
        <v>351775.45145094115</v>
      </c>
      <c r="F202" s="659">
        <f t="shared" si="26"/>
        <v>1203823.3500000001</v>
      </c>
      <c r="G202" s="642">
        <f t="shared" si="26"/>
        <v>1235050.3843333332</v>
      </c>
      <c r="H202" s="206">
        <v>837636.56991162035</v>
      </c>
      <c r="I202" s="659">
        <f>+I103+I116+I129+I153+I167+I184-I200</f>
        <v>1168769.3170657067</v>
      </c>
      <c r="J202" s="363">
        <f>+IF((F202)=0,,(G202-F202)/F202)</f>
        <v>2.5939880908052777E-2</v>
      </c>
      <c r="K202" s="1035">
        <f>+IF((G202)=0,,(I202-G202)/G202)</f>
        <v>-5.3666690936989038E-2</v>
      </c>
      <c r="L202" s="659">
        <f>+L103+L116+L129+L153+L167+L184-L200</f>
        <v>1232036.6901655702</v>
      </c>
      <c r="M202" s="678">
        <v>1</v>
      </c>
    </row>
    <row r="203" spans="1:13" s="2" customFormat="1" ht="11.25" hidden="1">
      <c r="A203" s="5"/>
      <c r="B203" s="160"/>
      <c r="C203" s="113"/>
      <c r="D203" s="113"/>
      <c r="E203" s="113"/>
      <c r="F203" s="160"/>
      <c r="G203" s="134"/>
      <c r="H203" s="25"/>
      <c r="I203" s="162"/>
      <c r="J203" s="149"/>
      <c r="K203" s="254"/>
      <c r="L203" s="18"/>
      <c r="M203" s="2">
        <v>0</v>
      </c>
    </row>
    <row r="204" spans="1:13" s="2" customFormat="1" ht="11.25">
      <c r="A204" s="12" t="s">
        <v>228</v>
      </c>
      <c r="B204" s="667">
        <f t="shared" ref="B204:G204" si="27">+B62-B202</f>
        <v>8843.6842696936801</v>
      </c>
      <c r="C204" s="667">
        <f t="shared" si="27"/>
        <v>238421.09301913378</v>
      </c>
      <c r="D204" s="667">
        <f t="shared" si="27"/>
        <v>94250.006539029622</v>
      </c>
      <c r="E204" s="667">
        <f t="shared" si="27"/>
        <v>37196.840187181835</v>
      </c>
      <c r="F204" s="667">
        <f>+F53-F202</f>
        <v>253783.47420000006</v>
      </c>
      <c r="G204" s="646">
        <f t="shared" si="27"/>
        <v>237801.23442051862</v>
      </c>
      <c r="H204" s="228">
        <v>309785.05643777945</v>
      </c>
      <c r="I204" s="667">
        <f>+I62-I202</f>
        <v>378711.62401503907</v>
      </c>
      <c r="J204" s="366">
        <f>+IF((F204)=0,,(G204-F204)/F204)</f>
        <v>-6.2975888520173107E-2</v>
      </c>
      <c r="K204" s="1036">
        <f>+IF((G204)=0,,(I204-G204)/G204)</f>
        <v>0.59255533276728034</v>
      </c>
      <c r="L204" s="667">
        <f>+L62-L202</f>
        <v>387624.30983442976</v>
      </c>
      <c r="M204" s="678">
        <v>1</v>
      </c>
    </row>
    <row r="205" spans="1:13" s="2" customFormat="1" ht="11.25" hidden="1">
      <c r="A205" s="5"/>
      <c r="B205" s="160"/>
      <c r="C205" s="113"/>
      <c r="D205" s="113"/>
      <c r="E205" s="113"/>
      <c r="F205" s="160"/>
      <c r="G205" s="134"/>
      <c r="H205" s="113"/>
      <c r="I205" s="162"/>
      <c r="J205" s="149"/>
      <c r="K205" s="254"/>
      <c r="L205" s="18"/>
      <c r="M205" s="2">
        <v>0</v>
      </c>
    </row>
    <row r="206" spans="1:13" s="2" customFormat="1" ht="11.25">
      <c r="A206" s="63" t="s">
        <v>251</v>
      </c>
      <c r="B206" s="1105">
        <f>+Béthune!$G207</f>
        <v>1515.4021100880475</v>
      </c>
      <c r="C206" s="1105">
        <f>+Boulogne!$G207</f>
        <v>8542.0441900018141</v>
      </c>
      <c r="D206" s="1105">
        <f>+Calais!$G207</f>
        <v>3991.1290675964406</v>
      </c>
      <c r="E206" s="1105">
        <f>+StOmer!$G207</f>
        <v>3075.3825522076645</v>
      </c>
      <c r="F206" s="651">
        <f>+Béthune!E207+Boulogne!E207+Calais!E207+StOmer!E207</f>
        <v>9663.8383470687368</v>
      </c>
      <c r="G206" s="651">
        <f>+Béthune!F207+Boulogne!F207+Calais!F207+StOmer!F207</f>
        <v>11845.22921971144</v>
      </c>
      <c r="H206" s="150">
        <v>21490.909252861464</v>
      </c>
      <c r="I206" s="651">
        <f>+Béthune!G207+Boulogne!G207+Calais!G207+StOmer!G207</f>
        <v>17123.957919893968</v>
      </c>
      <c r="J206" s="1079">
        <f>+IF((F206)=0,,(G206-F206)/F206)</f>
        <v>0.22572716909160315</v>
      </c>
      <c r="K206" s="1080">
        <f>+IF((G206)=0,,(I206-G206)/G206)</f>
        <v>0.44564175182007343</v>
      </c>
      <c r="L206" s="651">
        <f>+Béthune!D207+Boulogne!D207+Calais!D207+StOmer!D207</f>
        <v>26269.166630285854</v>
      </c>
      <c r="M206" s="678">
        <v>1</v>
      </c>
    </row>
    <row r="207" spans="1:13" s="2" customFormat="1" ht="11.25" hidden="1">
      <c r="A207" s="5"/>
      <c r="B207" s="160"/>
      <c r="C207" s="113"/>
      <c r="D207" s="113"/>
      <c r="E207" s="113"/>
      <c r="F207" s="160"/>
      <c r="G207" s="134"/>
      <c r="H207" s="113"/>
      <c r="I207" s="162"/>
      <c r="J207" s="149"/>
      <c r="K207" s="254"/>
      <c r="L207" s="18"/>
      <c r="M207" s="2">
        <v>0</v>
      </c>
    </row>
    <row r="208" spans="1:13" s="2" customFormat="1" ht="11.25">
      <c r="A208" s="12" t="s">
        <v>190</v>
      </c>
      <c r="B208" s="667">
        <f t="shared" ref="B208:G208" si="28">+B204-B206</f>
        <v>7328.2821596056328</v>
      </c>
      <c r="C208" s="667">
        <f t="shared" si="28"/>
        <v>229879.04882913196</v>
      </c>
      <c r="D208" s="667">
        <f t="shared" si="28"/>
        <v>90258.877471433181</v>
      </c>
      <c r="E208" s="667">
        <f t="shared" si="28"/>
        <v>34121.457634974169</v>
      </c>
      <c r="F208" s="667">
        <f t="shared" si="28"/>
        <v>244119.63585293133</v>
      </c>
      <c r="G208" s="646">
        <f t="shared" si="28"/>
        <v>225956.00520080718</v>
      </c>
      <c r="H208" s="228">
        <v>288294.14718491799</v>
      </c>
      <c r="I208" s="667">
        <f>+I204-I206</f>
        <v>361587.6660951451</v>
      </c>
      <c r="J208" s="366">
        <f>+IF((F208)=0,,(G208-F208)/F208)</f>
        <v>-7.4404627832014056E-2</v>
      </c>
      <c r="K208" s="1036">
        <f>+IF((G208)=0,,(I208-G208)/G208)</f>
        <v>0.60025694282301556</v>
      </c>
      <c r="L208" s="667">
        <f>+L204-L206</f>
        <v>361355.14320414391</v>
      </c>
      <c r="M208" s="678">
        <v>1</v>
      </c>
    </row>
    <row r="209" spans="1:14" s="2" customFormat="1" ht="11.25" hidden="1">
      <c r="A209" s="5"/>
      <c r="B209" s="160"/>
      <c r="C209" s="113"/>
      <c r="D209" s="113"/>
      <c r="E209" s="113"/>
      <c r="F209" s="160"/>
      <c r="G209" s="134"/>
      <c r="H209" s="113"/>
      <c r="I209" s="162"/>
      <c r="J209" s="149"/>
      <c r="K209" s="254"/>
      <c r="L209" s="18"/>
      <c r="M209" s="2">
        <v>0</v>
      </c>
    </row>
    <row r="210" spans="1:14" s="2" customFormat="1" ht="11.25">
      <c r="A210" s="590" t="s">
        <v>191</v>
      </c>
      <c r="B210" s="805">
        <f>+Béthune!$G211</f>
        <v>9644.6846793104778</v>
      </c>
      <c r="C210" s="805">
        <f>+Boulogne!$G211</f>
        <v>9644.6846793104778</v>
      </c>
      <c r="D210" s="805">
        <f>+Calais!$G211</f>
        <v>9644.6846793104778</v>
      </c>
      <c r="E210" s="805">
        <f>+StOmer!$G211</f>
        <v>9644.6846793104778</v>
      </c>
      <c r="F210" s="805">
        <f>+Béthune!E211+Boulogne!E211+Calais!E211+StOmer!E211</f>
        <v>32380.344287999997</v>
      </c>
      <c r="G210" s="619">
        <f>+Béthune!F211+Boulogne!F211+Calais!F211+StOmer!F211</f>
        <v>35991.843053763427</v>
      </c>
      <c r="H210" s="113">
        <v>18331.52660513256</v>
      </c>
      <c r="I210" s="1077">
        <f>+Béthune!G211+Boulogne!G211+Calais!G211+StOmer!G211</f>
        <v>38578.738717241911</v>
      </c>
      <c r="J210" s="1013">
        <f>+IF((F210)=0,,(G210-F210)/F210)</f>
        <v>0.11153367405984731</v>
      </c>
      <c r="K210" s="1014">
        <f>+IF((G210)=0,,(I210-G210)/G210)</f>
        <v>7.1874498330476308E-2</v>
      </c>
      <c r="L210" s="805">
        <f>+Béthune!D211+Boulogne!D211+Calais!D211+StOmer!D211</f>
        <v>36104.148886162038</v>
      </c>
      <c r="M210" s="678">
        <v>1</v>
      </c>
    </row>
    <row r="211" spans="1:14">
      <c r="A211" s="590" t="s">
        <v>192</v>
      </c>
      <c r="B211" s="805">
        <f>+Béthune!$G212</f>
        <v>16327.309583387019</v>
      </c>
      <c r="C211" s="805">
        <f>+Boulogne!$G212</f>
        <v>92034.054220122911</v>
      </c>
      <c r="D211" s="805">
        <f>+Calais!$G212</f>
        <v>43001.391802282567</v>
      </c>
      <c r="E211" s="805">
        <f>+StOmer!$G212</f>
        <v>33134.916919393749</v>
      </c>
      <c r="F211" s="805">
        <f>+Béthune!E212+Boulogne!E212+Calais!E212+StOmer!E212</f>
        <v>148315.66302063441</v>
      </c>
      <c r="G211" s="619">
        <f>+Béthune!F212+Boulogne!F212+Calais!F212+StOmer!F212</f>
        <v>177603.80820443062</v>
      </c>
      <c r="H211" s="113">
        <v>143418.09017186947</v>
      </c>
      <c r="I211" s="1077">
        <f>+Béthune!G212+Boulogne!G212+Calais!G212+StOmer!G212</f>
        <v>184497.67252518627</v>
      </c>
      <c r="J211" s="1013">
        <f>+IF((F211)=0,,(G211-F211)/F211)</f>
        <v>0.19747169373285609</v>
      </c>
      <c r="K211" s="1014">
        <f>+IF((G211)=0,,(I211-G211)/G211)</f>
        <v>3.8815971292802863E-2</v>
      </c>
      <c r="L211" s="805">
        <f>+Béthune!D212+Boulogne!D212+Calais!D212+StOmer!D212</f>
        <v>166390.50932197191</v>
      </c>
      <c r="M211" s="678">
        <v>1</v>
      </c>
    </row>
    <row r="212" spans="1:14" hidden="1">
      <c r="A212" s="5" t="s">
        <v>193</v>
      </c>
      <c r="B212" s="160">
        <f>+Béthune!$G213</f>
        <v>-5460.7603600000011</v>
      </c>
      <c r="C212" s="113">
        <f>+Boulogne!$G213</f>
        <v>-25100.756023200007</v>
      </c>
      <c r="D212" s="113">
        <f>+Calais!$G213</f>
        <v>-12886.913466000004</v>
      </c>
      <c r="E212" s="113">
        <f>+StOmer!$G213</f>
        <v>-8229.9167639999996</v>
      </c>
      <c r="F212" s="160">
        <f>+Béthune!E213+Boulogne!E213+Calais!E213+StOmer!E213</f>
        <v>-48691.619999999995</v>
      </c>
      <c r="G212" s="135">
        <f>+Béthune!F213+Boulogne!F213+Calais!F213+StOmer!F213</f>
        <v>-58569.653333333335</v>
      </c>
      <c r="H212" s="113">
        <v>-40969.760000000002</v>
      </c>
      <c r="I212" s="161">
        <f>+Béthune!G213+Boulogne!G213+Calais!G213+StOmer!G213</f>
        <v>-51678.34661320001</v>
      </c>
      <c r="J212" s="149">
        <f>+IF((F212)=0,,(G212-F212)/F212)</f>
        <v>0.20286926853806345</v>
      </c>
      <c r="K212" s="271">
        <f>+IF((G212)=0,,(I212-G212)/G212)</f>
        <v>-0.11766002234831949</v>
      </c>
      <c r="L212" s="18">
        <f>+Béthune!D213+Boulogne!D213+Calais!D213+StOmer!D213</f>
        <v>-45063.200000000004</v>
      </c>
      <c r="M212" s="2">
        <v>0</v>
      </c>
    </row>
    <row r="213" spans="1:14" hidden="1">
      <c r="A213" s="5"/>
      <c r="B213" s="160"/>
      <c r="C213" s="113"/>
      <c r="D213" s="113"/>
      <c r="E213" s="113"/>
      <c r="F213" s="160"/>
      <c r="G213" s="134"/>
      <c r="H213" s="113"/>
      <c r="I213" s="162"/>
      <c r="J213" s="149"/>
      <c r="K213" s="254"/>
      <c r="L213" s="18"/>
      <c r="M213" s="2">
        <v>0</v>
      </c>
    </row>
    <row r="214" spans="1:14">
      <c r="A214" s="20" t="s">
        <v>194</v>
      </c>
      <c r="B214" s="668">
        <f t="shared" ref="B214:G214" si="29">SUM(B209:B212)</f>
        <v>20511.233902697495</v>
      </c>
      <c r="C214" s="668">
        <f t="shared" si="29"/>
        <v>76577.982876233378</v>
      </c>
      <c r="D214" s="668">
        <f t="shared" si="29"/>
        <v>39759.16301559304</v>
      </c>
      <c r="E214" s="668">
        <f t="shared" si="29"/>
        <v>34549.684834704225</v>
      </c>
      <c r="F214" s="668">
        <f t="shared" si="29"/>
        <v>132004.38730863441</v>
      </c>
      <c r="G214" s="653">
        <f t="shared" si="29"/>
        <v>155025.99792486074</v>
      </c>
      <c r="H214" s="230">
        <v>120779.85677700202</v>
      </c>
      <c r="I214" s="668">
        <f>SUM(I209:I212)</f>
        <v>171398.06462922817</v>
      </c>
      <c r="J214" s="1079">
        <f>+IF((F214)=0,,(G214-F214)/F214)</f>
        <v>0.17440034445522165</v>
      </c>
      <c r="K214" s="1080">
        <f>+IF((G214)=0,,(I214-G214)/G214)</f>
        <v>0.10560852323816537</v>
      </c>
      <c r="L214" s="668">
        <f>SUM(L209:L212)</f>
        <v>157431.45820813393</v>
      </c>
      <c r="M214" s="678">
        <v>1</v>
      </c>
    </row>
    <row r="215" spans="1:14" hidden="1">
      <c r="A215" s="5"/>
      <c r="B215" s="160"/>
      <c r="C215" s="113"/>
      <c r="D215" s="113"/>
      <c r="E215" s="113"/>
      <c r="F215" s="160"/>
      <c r="G215" s="134"/>
      <c r="H215" s="113"/>
      <c r="I215" s="162"/>
      <c r="J215" s="149"/>
      <c r="K215" s="254"/>
      <c r="L215" s="18"/>
      <c r="M215" s="2">
        <v>0</v>
      </c>
    </row>
    <row r="216" spans="1:14" ht="14.25">
      <c r="A216" s="810" t="s">
        <v>332</v>
      </c>
      <c r="B216" s="811">
        <f t="shared" ref="B216:G216" si="30">+B208-B214</f>
        <v>-13182.951743091862</v>
      </c>
      <c r="C216" s="811">
        <f t="shared" si="30"/>
        <v>153301.06595289859</v>
      </c>
      <c r="D216" s="811">
        <f t="shared" si="30"/>
        <v>50499.714455840141</v>
      </c>
      <c r="E216" s="811">
        <f t="shared" si="30"/>
        <v>-428.22719973005587</v>
      </c>
      <c r="F216" s="811">
        <f t="shared" si="30"/>
        <v>112115.24854429692</v>
      </c>
      <c r="G216" s="1128">
        <f t="shared" si="30"/>
        <v>70930.007275946438</v>
      </c>
      <c r="H216" s="228">
        <v>167514.29040791598</v>
      </c>
      <c r="I216" s="811">
        <f>+I208-I214</f>
        <v>190189.60146591693</v>
      </c>
      <c r="J216" s="1129">
        <f>+IF((F216)=0,,(G216-F216)/F216)</f>
        <v>-0.36734736624231917</v>
      </c>
      <c r="K216" s="1130">
        <f>+IF((G216)=0,,(I216-G216)/G216)</f>
        <v>1.6813701107628878</v>
      </c>
      <c r="L216" s="811">
        <f>+L208-L214</f>
        <v>203923.68499600998</v>
      </c>
      <c r="M216" s="684">
        <v>1</v>
      </c>
    </row>
    <row r="217" spans="1:14">
      <c r="A217" s="88" t="s">
        <v>44</v>
      </c>
      <c r="B217" s="160">
        <f>+Béthune!$G217</f>
        <v>-13182.951743091862</v>
      </c>
      <c r="C217" s="113">
        <f>+Boulogne!$G217</f>
        <v>153301.06595289859</v>
      </c>
      <c r="D217" s="113">
        <f>+Calais!$G217</f>
        <v>50499.714455840141</v>
      </c>
      <c r="E217" s="113">
        <f>+StOmer!$G217</f>
        <v>-428.22719973005587</v>
      </c>
      <c r="F217" s="135">
        <f>+Béthune!E217+Boulogne!E217+Calais!E217+StOmer!E217</f>
        <v>112115.24854429714</v>
      </c>
      <c r="G217" s="135">
        <f>+Béthune!F217+Boulogne!F217+Calais!F217+StOmer!F217</f>
        <v>70930.00727594638</v>
      </c>
      <c r="H217" s="113">
        <v>167514.29040791569</v>
      </c>
      <c r="I217" s="135">
        <f>+Béthune!G217+Boulogne!G217+Calais!G217+StOmer!G217</f>
        <v>190189.60146591681</v>
      </c>
      <c r="J217" s="66"/>
      <c r="K217" s="66"/>
      <c r="L217" s="18">
        <f>+Béthune!D217+Boulogne!D217+Calais!D217+StOmer!D217</f>
        <v>203923.68499600998</v>
      </c>
      <c r="M217" s="678">
        <v>0</v>
      </c>
    </row>
    <row r="218" spans="1:14" hidden="1">
      <c r="A218" s="87"/>
      <c r="B218" s="110"/>
      <c r="C218" s="110"/>
      <c r="D218" s="110"/>
      <c r="E218" s="110"/>
      <c r="F218" s="110"/>
      <c r="G218" s="110"/>
      <c r="H218" s="110"/>
      <c r="I218" s="110"/>
      <c r="J218" s="66"/>
      <c r="K218" s="66"/>
      <c r="L218" s="113"/>
      <c r="M218" s="2">
        <v>0</v>
      </c>
    </row>
    <row r="219" spans="1:14" s="2" customFormat="1" ht="11.25" hidden="1">
      <c r="B219" s="17"/>
      <c r="C219" s="17"/>
      <c r="D219" s="17"/>
      <c r="E219" s="17"/>
      <c r="F219" s="17"/>
      <c r="G219" s="17"/>
      <c r="H219" s="17"/>
      <c r="I219" s="17"/>
      <c r="J219" s="66"/>
      <c r="K219" s="66"/>
      <c r="L219" s="113"/>
      <c r="M219" s="2">
        <v>0</v>
      </c>
    </row>
    <row r="220" spans="1:14" s="2" customFormat="1" ht="11.25" hidden="1">
      <c r="B220" s="17"/>
      <c r="C220" s="17"/>
      <c r="D220" s="17"/>
      <c r="E220" s="17"/>
      <c r="F220" s="17"/>
      <c r="G220" s="17"/>
      <c r="H220" s="17"/>
      <c r="I220" s="17"/>
      <c r="L220" s="17"/>
      <c r="M220" s="2">
        <v>0</v>
      </c>
    </row>
    <row r="221" spans="1:14" s="2" customFormat="1" ht="11.25">
      <c r="A221" s="654" t="s">
        <v>67</v>
      </c>
      <c r="B221" s="656">
        <f>+Béthune!$G222</f>
        <v>431939.14389500266</v>
      </c>
      <c r="C221" s="656">
        <f>+Boulogne!$G222</f>
        <v>1701017.2132220513</v>
      </c>
      <c r="D221" s="656">
        <f>+Calais!$G222</f>
        <v>892215.33063169767</v>
      </c>
      <c r="E221" s="656">
        <f>+StOmer!$G222</f>
        <v>811455.3646520758</v>
      </c>
      <c r="F221" s="656">
        <f>+(F214+F206+F202)/F60</f>
        <v>3789469.8249140237</v>
      </c>
      <c r="G221" s="656">
        <f>+(G214+G206+G202)/G60</f>
        <v>4102247.3542579869</v>
      </c>
      <c r="H221" s="265">
        <f>+(H214+H206+H202)/H60</f>
        <v>3006832.7429065062</v>
      </c>
      <c r="I221" s="656">
        <f>+(I214+I206+I202)/I60</f>
        <v>3925097.2049949439</v>
      </c>
      <c r="J221" s="656"/>
      <c r="K221" s="656"/>
      <c r="L221" s="656">
        <f>+(L214+L206+L202)/L60</f>
        <v>3808451.3014949607</v>
      </c>
      <c r="M221" s="2">
        <v>1</v>
      </c>
      <c r="N221" s="264"/>
    </row>
    <row r="222" spans="1:14" s="2" customFormat="1" ht="11.25">
      <c r="A222" s="654" t="s">
        <v>66</v>
      </c>
      <c r="B222" s="656">
        <f>+Béthune!$G223</f>
        <v>35994.928657916891</v>
      </c>
      <c r="C222" s="656">
        <f>+Boulogne!$G223</f>
        <v>141751.43443517093</v>
      </c>
      <c r="D222" s="656">
        <f>+Calais!$G223</f>
        <v>74351.277552641477</v>
      </c>
      <c r="E222" s="656">
        <f>+StOmer!$G223</f>
        <v>67621.280387672989</v>
      </c>
      <c r="F222" s="656">
        <f>+F221/12</f>
        <v>315789.15207616863</v>
      </c>
      <c r="G222" s="656">
        <f>+G221/12</f>
        <v>341853.94618816557</v>
      </c>
      <c r="H222" s="265">
        <f>+H221/12</f>
        <v>250569.39524220885</v>
      </c>
      <c r="I222" s="656">
        <f>+I221/12</f>
        <v>327091.43374957866</v>
      </c>
      <c r="J222" s="656"/>
      <c r="K222" s="656"/>
      <c r="L222" s="656">
        <f>+L221/12</f>
        <v>317370.9417912467</v>
      </c>
      <c r="M222" s="678">
        <v>1</v>
      </c>
      <c r="N222" s="264"/>
    </row>
    <row r="223" spans="1:14" hidden="1">
      <c r="B223" s="26"/>
      <c r="C223" s="26"/>
      <c r="D223" s="26"/>
      <c r="E223" s="26"/>
      <c r="F223" s="26"/>
      <c r="G223" s="26"/>
      <c r="I223" s="26"/>
      <c r="J223" s="66"/>
      <c r="K223" s="66"/>
      <c r="L223" s="17"/>
      <c r="M223" s="678">
        <v>0</v>
      </c>
    </row>
    <row r="224" spans="1:14" hidden="1">
      <c r="B224" s="26"/>
      <c r="C224" s="26"/>
      <c r="D224" s="26"/>
      <c r="E224" s="26"/>
      <c r="F224" s="26"/>
      <c r="G224" s="26"/>
      <c r="I224" s="26"/>
      <c r="J224" s="66"/>
      <c r="K224" s="66"/>
      <c r="L224" s="17"/>
      <c r="M224" s="2">
        <v>0</v>
      </c>
    </row>
    <row r="225" spans="1:13" hidden="1">
      <c r="B225" s="26"/>
      <c r="C225" s="26"/>
      <c r="D225" s="26"/>
      <c r="E225" s="26"/>
      <c r="F225" s="26"/>
      <c r="G225" s="26"/>
      <c r="I225" s="26"/>
      <c r="J225" s="66"/>
      <c r="K225" s="66"/>
      <c r="L225" s="17"/>
      <c r="M225" s="2">
        <v>0</v>
      </c>
    </row>
    <row r="226" spans="1:13" s="2" customFormat="1" ht="12.75" hidden="1" customHeight="1">
      <c r="A226" s="6"/>
      <c r="B226" s="155"/>
      <c r="C226" s="211"/>
      <c r="D226" s="211"/>
      <c r="E226" s="211"/>
      <c r="F226" s="267" t="s">
        <v>54</v>
      </c>
      <c r="G226" s="130" t="s">
        <v>196</v>
      </c>
      <c r="H226" s="130" t="s">
        <v>54</v>
      </c>
      <c r="I226" s="104" t="s">
        <v>54</v>
      </c>
      <c r="J226" s="151" t="s">
        <v>225</v>
      </c>
      <c r="K226" s="183" t="s">
        <v>225</v>
      </c>
      <c r="L226" s="8" t="s">
        <v>196</v>
      </c>
      <c r="M226" s="2">
        <v>0</v>
      </c>
    </row>
    <row r="227" spans="1:13" s="2" customFormat="1" ht="20.25" hidden="1" customHeight="1">
      <c r="A227" s="7" t="str">
        <f>+A4</f>
        <v>C Blanpain</v>
      </c>
      <c r="B227" s="1428" t="s">
        <v>22</v>
      </c>
      <c r="C227" s="1430" t="s">
        <v>208</v>
      </c>
      <c r="D227" s="1426" t="s">
        <v>6</v>
      </c>
      <c r="E227" s="1426" t="s">
        <v>424</v>
      </c>
      <c r="F227" s="260" t="str">
        <f>Clients!E13</f>
        <v>Septembre</v>
      </c>
      <c r="G227" s="131" t="s">
        <v>224</v>
      </c>
      <c r="H227" s="131" t="str">
        <f>+F227</f>
        <v>Septembre</v>
      </c>
      <c r="I227" s="105" t="str">
        <f>+F227</f>
        <v>Septembre</v>
      </c>
      <c r="J227" s="152"/>
      <c r="K227" s="132" t="str">
        <f>+K4</f>
        <v>PERIMETRE</v>
      </c>
      <c r="L227" s="9" t="s">
        <v>197</v>
      </c>
      <c r="M227" s="2">
        <v>0</v>
      </c>
    </row>
    <row r="228" spans="1:13" s="2" customFormat="1" ht="11.25" hidden="1" customHeight="1">
      <c r="A228" s="3"/>
      <c r="B228" s="1429"/>
      <c r="C228" s="1431"/>
      <c r="D228" s="1427"/>
      <c r="E228" s="1427"/>
      <c r="F228" s="268"/>
      <c r="G228" s="132"/>
      <c r="H228" s="132">
        <v>2009</v>
      </c>
      <c r="I228" s="106"/>
      <c r="J228" s="152"/>
      <c r="K228" s="132" t="str">
        <f>+K5</f>
        <v>IDENTIQUE</v>
      </c>
      <c r="L228" s="10"/>
      <c r="M228" s="2">
        <v>0</v>
      </c>
    </row>
    <row r="229" spans="1:13" s="2" customFormat="1" ht="11.25">
      <c r="A229" s="585"/>
      <c r="B229" s="584"/>
      <c r="C229" s="584"/>
      <c r="D229" s="584"/>
      <c r="E229" s="584"/>
      <c r="F229" s="585">
        <f>+Clients!E14</f>
        <v>2010</v>
      </c>
      <c r="G229" s="585">
        <v>2009</v>
      </c>
      <c r="H229" s="133" t="s">
        <v>429</v>
      </c>
      <c r="I229" s="585">
        <f>+F229-1</f>
        <v>2009</v>
      </c>
      <c r="J229" s="583" t="s">
        <v>367</v>
      </c>
      <c r="K229" s="583" t="s">
        <v>368</v>
      </c>
      <c r="L229" s="585">
        <v>2008</v>
      </c>
      <c r="M229" s="678">
        <v>1</v>
      </c>
    </row>
    <row r="230" spans="1:13" s="2" customFormat="1" ht="11.25" hidden="1" customHeight="1">
      <c r="B230" s="288"/>
      <c r="C230" s="249"/>
      <c r="D230" s="249"/>
      <c r="E230" s="286"/>
      <c r="F230" s="248"/>
      <c r="G230" s="287"/>
      <c r="H230" s="287"/>
      <c r="I230" s="250"/>
      <c r="J230" s="288"/>
      <c r="K230" s="289"/>
      <c r="L230" s="332"/>
      <c r="M230" s="678">
        <v>0</v>
      </c>
    </row>
    <row r="231" spans="1:13" s="33" customFormat="1" ht="15" customHeight="1">
      <c r="A231" s="14" t="s">
        <v>223</v>
      </c>
      <c r="B231" s="659">
        <f>+B51</f>
        <v>398546</v>
      </c>
      <c r="C231" s="659">
        <f t="shared" ref="C231:L231" si="31">+C51</f>
        <v>2221974</v>
      </c>
      <c r="D231" s="659">
        <f>+D51</f>
        <v>1044016</v>
      </c>
      <c r="E231" s="659">
        <f t="shared" si="31"/>
        <v>810563</v>
      </c>
      <c r="F231" s="659">
        <f t="shared" si="31"/>
        <v>4105233.4899999998</v>
      </c>
      <c r="G231" s="659">
        <f t="shared" si="31"/>
        <v>4309799.9251742084</v>
      </c>
      <c r="H231" s="206">
        <f>+H51</f>
        <v>3520848.1347999997</v>
      </c>
      <c r="I231" s="659">
        <f t="shared" si="31"/>
        <v>4475099</v>
      </c>
      <c r="J231" s="363">
        <f t="shared" si="31"/>
        <v>0</v>
      </c>
      <c r="K231" s="363">
        <f t="shared" si="31"/>
        <v>0</v>
      </c>
      <c r="L231" s="659">
        <f t="shared" si="31"/>
        <v>4357023</v>
      </c>
      <c r="M231" s="2">
        <v>1</v>
      </c>
    </row>
    <row r="232" spans="1:13" s="2" customFormat="1" ht="11.25" hidden="1" customHeight="1">
      <c r="B232" s="160"/>
      <c r="C232" s="113"/>
      <c r="D232" s="113"/>
      <c r="E232" s="162"/>
      <c r="F232" s="160"/>
      <c r="G232" s="113"/>
      <c r="H232" s="113"/>
      <c r="I232" s="162"/>
      <c r="J232" s="92"/>
      <c r="K232" s="186"/>
      <c r="L232" s="162"/>
      <c r="M232" s="678">
        <v>0</v>
      </c>
    </row>
    <row r="233" spans="1:13" s="33" customFormat="1" ht="15" customHeight="1">
      <c r="A233" s="12" t="s">
        <v>295</v>
      </c>
      <c r="B233" s="660">
        <f t="shared" ref="B233:I233" si="32">+B60</f>
        <v>0.39478019154299276</v>
      </c>
      <c r="C233" s="660">
        <f t="shared" si="32"/>
        <v>0.29426829603477517</v>
      </c>
      <c r="D233" s="660">
        <f>+D60</f>
        <v>0.33267122382258085</v>
      </c>
      <c r="E233" s="660">
        <f t="shared" si="32"/>
        <v>0.47987916008764647</v>
      </c>
      <c r="F233" s="660">
        <f t="shared" si="32"/>
        <v>0.35506063851194014</v>
      </c>
      <c r="G233" s="660">
        <f t="shared" si="32"/>
        <v>0.34174477802338288</v>
      </c>
      <c r="H233" s="224">
        <f>+H60</f>
        <v>0.32589352974594532</v>
      </c>
      <c r="I233" s="660">
        <f t="shared" si="32"/>
        <v>0.34579814682999099</v>
      </c>
      <c r="J233" s="660"/>
      <c r="K233" s="660"/>
      <c r="L233" s="660"/>
      <c r="M233" s="2">
        <v>1</v>
      </c>
    </row>
    <row r="234" spans="1:13" s="33" customFormat="1" ht="15" customHeight="1">
      <c r="A234" s="12" t="s">
        <v>296</v>
      </c>
      <c r="B234" s="661">
        <f>+B62</f>
        <v>157338.0662186936</v>
      </c>
      <c r="C234" s="661">
        <f>+C62</f>
        <v>653856.50281357346</v>
      </c>
      <c r="D234" s="661">
        <f>+D62</f>
        <v>347314.08041035559</v>
      </c>
      <c r="E234" s="661">
        <f t="shared" ref="E234:L234" si="33">+E62</f>
        <v>388972.29163812299</v>
      </c>
      <c r="F234" s="661">
        <f t="shared" si="33"/>
        <v>1457606.8242000004</v>
      </c>
      <c r="G234" s="661">
        <f t="shared" si="33"/>
        <v>1472851.6187538519</v>
      </c>
      <c r="H234" s="223">
        <f>+H62</f>
        <v>1147421.6263493998</v>
      </c>
      <c r="I234" s="661">
        <f t="shared" si="33"/>
        <v>1547480.9410807458</v>
      </c>
      <c r="J234" s="1082">
        <f t="shared" si="33"/>
        <v>1.0458783741094584E-2</v>
      </c>
      <c r="K234" s="1082">
        <f t="shared" si="33"/>
        <v>5.066995301946043E-2</v>
      </c>
      <c r="L234" s="661">
        <f t="shared" si="33"/>
        <v>1619661</v>
      </c>
      <c r="M234" s="678">
        <v>1</v>
      </c>
    </row>
    <row r="235" spans="1:13" s="25" customFormat="1" ht="11.25" hidden="1" customHeight="1">
      <c r="B235" s="160"/>
      <c r="C235" s="113"/>
      <c r="D235" s="113"/>
      <c r="E235" s="162"/>
      <c r="F235" s="160"/>
      <c r="G235" s="113"/>
      <c r="H235" s="113"/>
      <c r="I235" s="162"/>
      <c r="J235" s="92"/>
      <c r="K235" s="186"/>
      <c r="L235" s="162"/>
      <c r="M235" s="678">
        <v>0</v>
      </c>
    </row>
    <row r="236" spans="1:13" s="298" customFormat="1" ht="15" customHeight="1">
      <c r="A236" s="662" t="s">
        <v>122</v>
      </c>
      <c r="B236" s="665">
        <f>+B103</f>
        <v>45800.231392717134</v>
      </c>
      <c r="C236" s="665">
        <f t="shared" ref="C236:L236" si="34">+C103</f>
        <v>116546.95373506403</v>
      </c>
      <c r="D236" s="665">
        <f>+D103</f>
        <v>70846.927274750618</v>
      </c>
      <c r="E236" s="665">
        <f t="shared" si="34"/>
        <v>94039.559462885401</v>
      </c>
      <c r="F236" s="665">
        <f t="shared" si="34"/>
        <v>326108.88999999996</v>
      </c>
      <c r="G236" s="665">
        <f t="shared" si="34"/>
        <v>326549.2333333334</v>
      </c>
      <c r="H236" s="295">
        <f>+H103</f>
        <v>239392.53089079331</v>
      </c>
      <c r="I236" s="665">
        <f t="shared" si="34"/>
        <v>327233.67186541727</v>
      </c>
      <c r="J236" s="663">
        <f t="shared" si="34"/>
        <v>1.3502953977533078E-3</v>
      </c>
      <c r="K236" s="663">
        <f t="shared" si="34"/>
        <v>2.0959734772527223E-3</v>
      </c>
      <c r="L236" s="665">
        <f t="shared" si="34"/>
        <v>330737.1574822471</v>
      </c>
      <c r="M236" s="2">
        <v>1</v>
      </c>
    </row>
    <row r="237" spans="1:13" s="298" customFormat="1" ht="15" customHeight="1">
      <c r="A237" s="662" t="s">
        <v>133</v>
      </c>
      <c r="B237" s="665">
        <f>+B116</f>
        <v>10922.216933333335</v>
      </c>
      <c r="C237" s="665">
        <f t="shared" ref="C237:L237" si="35">+C116</f>
        <v>47472.3128</v>
      </c>
      <c r="D237" s="665">
        <f>+D116</f>
        <v>27422.171599999998</v>
      </c>
      <c r="E237" s="665">
        <f t="shared" si="35"/>
        <v>13394.714133333331</v>
      </c>
      <c r="F237" s="665">
        <f t="shared" si="35"/>
        <v>140867.85</v>
      </c>
      <c r="G237" s="665">
        <f t="shared" si="35"/>
        <v>142189.20333333334</v>
      </c>
      <c r="H237" s="295">
        <f>+H116</f>
        <v>145714.81855375</v>
      </c>
      <c r="I237" s="665">
        <f t="shared" si="35"/>
        <v>99211.415466666658</v>
      </c>
      <c r="J237" s="663">
        <f t="shared" si="35"/>
        <v>9.3800915775553648E-3</v>
      </c>
      <c r="K237" s="663">
        <f t="shared" si="35"/>
        <v>-0.30225774432334429</v>
      </c>
      <c r="L237" s="665">
        <f t="shared" si="35"/>
        <v>164542.9124</v>
      </c>
      <c r="M237" s="678">
        <v>1</v>
      </c>
    </row>
    <row r="238" spans="1:13" s="298" customFormat="1" ht="15" customHeight="1">
      <c r="A238" s="662" t="s">
        <v>147</v>
      </c>
      <c r="B238" s="665">
        <f>+B129</f>
        <v>4948.4377000000004</v>
      </c>
      <c r="C238" s="665">
        <f t="shared" ref="C238:L238" si="36">+C129</f>
        <v>11545.71975</v>
      </c>
      <c r="D238" s="665">
        <f>+D129</f>
        <v>6432.4526000000005</v>
      </c>
      <c r="E238" s="665">
        <f t="shared" si="36"/>
        <v>14623.999400000001</v>
      </c>
      <c r="F238" s="665">
        <f t="shared" si="36"/>
        <v>41850.19</v>
      </c>
      <c r="G238" s="665">
        <f t="shared" si="36"/>
        <v>40400.270999999993</v>
      </c>
      <c r="H238" s="295">
        <f>+H129</f>
        <v>26026.923673829653</v>
      </c>
      <c r="I238" s="665">
        <f t="shared" si="36"/>
        <v>37550.609450000004</v>
      </c>
      <c r="J238" s="663">
        <f t="shared" si="36"/>
        <v>-3.4645458001505106E-2</v>
      </c>
      <c r="K238" s="663">
        <f t="shared" si="36"/>
        <v>-7.0535703832283456E-2</v>
      </c>
      <c r="L238" s="665">
        <f t="shared" si="36"/>
        <v>48519.406737500001</v>
      </c>
      <c r="M238" s="678">
        <v>1</v>
      </c>
    </row>
    <row r="239" spans="1:13" s="298" customFormat="1" ht="15" customHeight="1">
      <c r="A239" s="662" t="s">
        <v>164</v>
      </c>
      <c r="B239" s="665">
        <f>+B153</f>
        <v>78745.02599682947</v>
      </c>
      <c r="C239" s="665">
        <f t="shared" ref="C239:L239" si="37">+C153</f>
        <v>193571.23163970895</v>
      </c>
      <c r="D239" s="665">
        <f>+D153</f>
        <v>128832.76731661535</v>
      </c>
      <c r="E239" s="665">
        <f t="shared" si="37"/>
        <v>199730.0161923891</v>
      </c>
      <c r="F239" s="665">
        <f t="shared" si="37"/>
        <v>630518.4</v>
      </c>
      <c r="G239" s="665">
        <f t="shared" si="37"/>
        <v>642972.97333333315</v>
      </c>
      <c r="H239" s="295">
        <f>+H153</f>
        <v>342495.1080067376</v>
      </c>
      <c r="I239" s="665">
        <f t="shared" si="37"/>
        <v>600879.04114554287</v>
      </c>
      <c r="J239" s="663">
        <f t="shared" si="37"/>
        <v>1.9752910197915127E-2</v>
      </c>
      <c r="K239" s="663">
        <f t="shared" si="37"/>
        <v>-6.5467654059493022E-2</v>
      </c>
      <c r="L239" s="665">
        <f t="shared" si="37"/>
        <v>583182.50506837212</v>
      </c>
      <c r="M239" s="678">
        <v>1</v>
      </c>
    </row>
    <row r="240" spans="1:13" s="298" customFormat="1" ht="15" customHeight="1">
      <c r="A240" s="662" t="s">
        <v>74</v>
      </c>
      <c r="B240" s="665">
        <f>+B167</f>
        <v>5148.7299261200005</v>
      </c>
      <c r="C240" s="665">
        <f t="shared" ref="C240:L240" si="38">+C167</f>
        <v>31908.761869666669</v>
      </c>
      <c r="D240" s="665">
        <f>+D167</f>
        <v>16163.902013293335</v>
      </c>
      <c r="E240" s="665">
        <f t="shared" si="38"/>
        <v>3495.6299956666676</v>
      </c>
      <c r="F240" s="665">
        <f t="shared" si="38"/>
        <v>28723.24</v>
      </c>
      <c r="G240" s="665">
        <f t="shared" si="38"/>
        <v>51303.013333333329</v>
      </c>
      <c r="H240" s="295">
        <f>+H167</f>
        <v>46975.089222620969</v>
      </c>
      <c r="I240" s="665">
        <f t="shared" si="38"/>
        <v>56717.02380474667</v>
      </c>
      <c r="J240" s="663">
        <f t="shared" si="38"/>
        <v>0.78611512257437965</v>
      </c>
      <c r="K240" s="663">
        <f t="shared" si="38"/>
        <v>0.10553006772207808</v>
      </c>
      <c r="L240" s="665">
        <f t="shared" si="38"/>
        <v>55285.624777450968</v>
      </c>
      <c r="M240" s="678">
        <v>1</v>
      </c>
    </row>
    <row r="241" spans="1:13" s="298" customFormat="1" ht="15" customHeight="1">
      <c r="A241" s="662" t="s">
        <v>369</v>
      </c>
      <c r="B241" s="665">
        <f>+B184-B200</f>
        <v>2929.74</v>
      </c>
      <c r="C241" s="665">
        <f t="shared" ref="C241:L241" si="39">+C184-C200</f>
        <v>14390.429999999998</v>
      </c>
      <c r="D241" s="665">
        <f>+D184-D200</f>
        <v>3365.8530666666666</v>
      </c>
      <c r="E241" s="665">
        <f t="shared" si="39"/>
        <v>26491.532266666665</v>
      </c>
      <c r="F241" s="665">
        <f t="shared" si="39"/>
        <v>35754.78</v>
      </c>
      <c r="G241" s="665">
        <f t="shared" si="39"/>
        <v>31635.690000000002</v>
      </c>
      <c r="H241" s="295">
        <f>+H184-H200</f>
        <v>37032.099563888893</v>
      </c>
      <c r="I241" s="665">
        <f t="shared" si="39"/>
        <v>47177.55533333333</v>
      </c>
      <c r="J241" s="663">
        <f t="shared" si="39"/>
        <v>0.24393264330468267</v>
      </c>
      <c r="K241" s="663">
        <f t="shared" si="39"/>
        <v>1.0365425902735568</v>
      </c>
      <c r="L241" s="665">
        <f t="shared" si="39"/>
        <v>49769.083700000003</v>
      </c>
      <c r="M241" s="678">
        <v>1</v>
      </c>
    </row>
    <row r="242" spans="1:13" s="25" customFormat="1" ht="11.25" hidden="1">
      <c r="B242" s="160"/>
      <c r="C242" s="113"/>
      <c r="D242" s="113"/>
      <c r="E242" s="162"/>
      <c r="F242" s="160"/>
      <c r="G242" s="113"/>
      <c r="H242" s="113"/>
      <c r="I242" s="162"/>
      <c r="J242" s="92"/>
      <c r="K242" s="186"/>
      <c r="L242" s="162"/>
      <c r="M242" s="678">
        <v>0</v>
      </c>
    </row>
    <row r="243" spans="1:13" s="33" customFormat="1" ht="15" customHeight="1">
      <c r="A243" s="14" t="s">
        <v>189</v>
      </c>
      <c r="B243" s="659">
        <f>+B202</f>
        <v>148494.38194899992</v>
      </c>
      <c r="C243" s="659">
        <f t="shared" ref="C243:L243" si="40">+C202</f>
        <v>415435.40979443968</v>
      </c>
      <c r="D243" s="659">
        <f>+D202</f>
        <v>253064.07387132596</v>
      </c>
      <c r="E243" s="659">
        <f t="shared" si="40"/>
        <v>351775.45145094115</v>
      </c>
      <c r="F243" s="659">
        <f t="shared" si="40"/>
        <v>1203823.3500000001</v>
      </c>
      <c r="G243" s="659">
        <f t="shared" si="40"/>
        <v>1235050.3843333332</v>
      </c>
      <c r="H243" s="301">
        <f>+H202</f>
        <v>837636.56991162035</v>
      </c>
      <c r="I243" s="659">
        <f t="shared" si="40"/>
        <v>1168769.3170657067</v>
      </c>
      <c r="J243" s="363">
        <f t="shared" si="40"/>
        <v>2.5939880908052777E-2</v>
      </c>
      <c r="K243" s="363">
        <f t="shared" si="40"/>
        <v>-5.3666690936989038E-2</v>
      </c>
      <c r="L243" s="659">
        <f t="shared" si="40"/>
        <v>1232036.6901655702</v>
      </c>
      <c r="M243" s="2">
        <v>1</v>
      </c>
    </row>
    <row r="244" spans="1:13" s="2" customFormat="1" ht="11.25" hidden="1">
      <c r="B244" s="160"/>
      <c r="C244" s="113"/>
      <c r="D244" s="113"/>
      <c r="E244" s="162"/>
      <c r="F244" s="160"/>
      <c r="G244" s="113"/>
      <c r="H244" s="113"/>
      <c r="I244" s="162"/>
      <c r="J244" s="92"/>
      <c r="K244" s="186"/>
      <c r="L244" s="162"/>
      <c r="M244" s="678">
        <v>0</v>
      </c>
    </row>
    <row r="245" spans="1:13" s="33" customFormat="1" ht="15" customHeight="1">
      <c r="A245" s="12" t="s">
        <v>228</v>
      </c>
      <c r="B245" s="667">
        <f>+B204</f>
        <v>8843.6842696936801</v>
      </c>
      <c r="C245" s="667">
        <f t="shared" ref="C245:L245" si="41">+C204</f>
        <v>238421.09301913378</v>
      </c>
      <c r="D245" s="667">
        <f>+D204</f>
        <v>94250.006539029622</v>
      </c>
      <c r="E245" s="667">
        <f t="shared" si="41"/>
        <v>37196.840187181835</v>
      </c>
      <c r="F245" s="667">
        <f t="shared" si="41"/>
        <v>253783.47420000006</v>
      </c>
      <c r="G245" s="667">
        <f t="shared" si="41"/>
        <v>237801.23442051862</v>
      </c>
      <c r="H245" s="228">
        <f>+H204</f>
        <v>309785.05643777945</v>
      </c>
      <c r="I245" s="667">
        <f t="shared" si="41"/>
        <v>378711.62401503907</v>
      </c>
      <c r="J245" s="366">
        <f t="shared" si="41"/>
        <v>-6.2975888520173107E-2</v>
      </c>
      <c r="K245" s="366">
        <f t="shared" si="41"/>
        <v>0.59255533276728034</v>
      </c>
      <c r="L245" s="667">
        <f t="shared" si="41"/>
        <v>387624.30983442976</v>
      </c>
      <c r="M245" s="2">
        <v>1</v>
      </c>
    </row>
    <row r="246" spans="1:13" s="2" customFormat="1" ht="11.25" hidden="1">
      <c r="B246" s="160"/>
      <c r="C246" s="113"/>
      <c r="D246" s="113"/>
      <c r="E246" s="162"/>
      <c r="F246" s="160"/>
      <c r="G246" s="113"/>
      <c r="H246" s="113"/>
      <c r="I246" s="162"/>
      <c r="J246" s="92"/>
      <c r="K246" s="186"/>
      <c r="L246" s="162"/>
      <c r="M246" s="678">
        <v>0</v>
      </c>
    </row>
    <row r="247" spans="1:13" s="33" customFormat="1" ht="15" customHeight="1">
      <c r="A247" s="20" t="s">
        <v>370</v>
      </c>
      <c r="B247" s="668">
        <f>+B206+B214</f>
        <v>22026.636012785544</v>
      </c>
      <c r="C247" s="668">
        <f t="shared" ref="C247:L247" si="42">+C206+C214</f>
        <v>85120.027066235198</v>
      </c>
      <c r="D247" s="668">
        <f>+D206+D214</f>
        <v>43750.292083189481</v>
      </c>
      <c r="E247" s="668">
        <f t="shared" si="42"/>
        <v>37625.067386911891</v>
      </c>
      <c r="F247" s="668">
        <f t="shared" si="42"/>
        <v>141668.22565570314</v>
      </c>
      <c r="G247" s="668">
        <f t="shared" si="42"/>
        <v>166871.22714457219</v>
      </c>
      <c r="H247" s="230">
        <f>+H206+H214</f>
        <v>142270.76602986347</v>
      </c>
      <c r="I247" s="668">
        <f t="shared" si="42"/>
        <v>188522.02254912214</v>
      </c>
      <c r="J247" s="367">
        <f t="shared" si="42"/>
        <v>0.4001275135468248</v>
      </c>
      <c r="K247" s="367">
        <f t="shared" si="42"/>
        <v>0.55125027505823876</v>
      </c>
      <c r="L247" s="668">
        <f t="shared" si="42"/>
        <v>183700.62483841978</v>
      </c>
      <c r="M247" s="2">
        <v>1</v>
      </c>
    </row>
    <row r="248" spans="1:13" s="2" customFormat="1" ht="11.25" hidden="1">
      <c r="B248" s="160"/>
      <c r="C248" s="113"/>
      <c r="D248" s="113"/>
      <c r="E248" s="162"/>
      <c r="F248" s="160"/>
      <c r="G248" s="113"/>
      <c r="H248" s="113"/>
      <c r="I248" s="162"/>
      <c r="J248" s="92"/>
      <c r="K248" s="186"/>
      <c r="L248" s="162"/>
      <c r="M248" s="678">
        <v>0</v>
      </c>
    </row>
    <row r="249" spans="1:13" s="33" customFormat="1" ht="20.100000000000001" hidden="1" customHeight="1">
      <c r="A249" s="246" t="s">
        <v>86</v>
      </c>
      <c r="B249" s="177">
        <f>+B216</f>
        <v>-13182.951743091862</v>
      </c>
      <c r="C249" s="228">
        <f t="shared" ref="C249:L249" si="43">+C216</f>
        <v>153301.06595289859</v>
      </c>
      <c r="D249" s="228">
        <f>+D216</f>
        <v>50499.714455840141</v>
      </c>
      <c r="E249" s="178">
        <f t="shared" si="43"/>
        <v>-428.22719973005587</v>
      </c>
      <c r="F249" s="177">
        <f t="shared" si="43"/>
        <v>112115.24854429692</v>
      </c>
      <c r="G249" s="228">
        <f t="shared" si="43"/>
        <v>70930.007275946438</v>
      </c>
      <c r="H249" s="228">
        <f>+H216</f>
        <v>167514.29040791598</v>
      </c>
      <c r="I249" s="178">
        <f t="shared" si="43"/>
        <v>190189.60146591693</v>
      </c>
      <c r="J249" s="225">
        <f t="shared" si="43"/>
        <v>-0.36734736624231917</v>
      </c>
      <c r="K249" s="193">
        <f t="shared" si="43"/>
        <v>1.6813701107628878</v>
      </c>
      <c r="L249" s="178">
        <f t="shared" si="43"/>
        <v>203923.68499600998</v>
      </c>
      <c r="M249" s="2">
        <v>0</v>
      </c>
    </row>
    <row r="250" spans="1:13" s="2" customFormat="1" ht="11.25" hidden="1">
      <c r="B250" s="17"/>
      <c r="C250" s="113"/>
      <c r="D250" s="113"/>
      <c r="G250" s="58"/>
      <c r="H250" s="58"/>
      <c r="J250" s="66"/>
      <c r="K250" s="66"/>
      <c r="L250" s="182"/>
      <c r="M250" s="678">
        <v>0</v>
      </c>
    </row>
    <row r="251" spans="1:13" s="298" customFormat="1" ht="15" customHeight="1">
      <c r="A251" s="662" t="s">
        <v>95</v>
      </c>
      <c r="B251" s="665">
        <f>+Béthune!G253</f>
        <v>136519.00900000002</v>
      </c>
      <c r="C251" s="665">
        <f>+Boulogne!$G$253</f>
        <v>627518.90058000013</v>
      </c>
      <c r="D251" s="665">
        <f>+Calais!$G$253</f>
        <v>322172.83665000007</v>
      </c>
      <c r="E251" s="665">
        <f>+StOmer!$G$253</f>
        <v>205747.91909999997</v>
      </c>
      <c r="F251" s="665">
        <f>+F28</f>
        <v>1219305.6800000002</v>
      </c>
      <c r="G251" s="665"/>
      <c r="H251" s="295"/>
      <c r="I251" s="665">
        <f>SUM(B251:E251)</f>
        <v>1291958.6653300002</v>
      </c>
      <c r="J251" s="663"/>
      <c r="K251" s="663"/>
      <c r="L251" s="665"/>
      <c r="M251" s="2">
        <v>1</v>
      </c>
    </row>
    <row r="252" spans="1:13" s="298" customFormat="1" ht="15" customHeight="1">
      <c r="A252" s="662" t="s">
        <v>371</v>
      </c>
      <c r="B252" s="665">
        <f>+Béthune!G254</f>
        <v>431939.14389500266</v>
      </c>
      <c r="C252" s="665">
        <f>+Boulogne!$G$254</f>
        <v>1701017.2132220513</v>
      </c>
      <c r="D252" s="665">
        <f>+Calais!$G$254</f>
        <v>892215.33063169767</v>
      </c>
      <c r="E252" s="665">
        <f>+StOmer!$G$254</f>
        <v>811455.3646520758</v>
      </c>
      <c r="F252" s="665">
        <f>+F222</f>
        <v>315789.15207616863</v>
      </c>
      <c r="G252" s="665">
        <f>+G222</f>
        <v>341853.94618816557</v>
      </c>
      <c r="H252" s="295">
        <f>+H222</f>
        <v>250569.39524220885</v>
      </c>
      <c r="I252" s="665">
        <f>+I222</f>
        <v>327091.43374957866</v>
      </c>
      <c r="J252" s="663"/>
      <c r="K252" s="663"/>
      <c r="L252" s="665">
        <f>+L222</f>
        <v>317370.9417912467</v>
      </c>
      <c r="M252" s="678">
        <v>1</v>
      </c>
    </row>
    <row r="253" spans="1:13" s="298" customFormat="1" ht="15" customHeight="1">
      <c r="A253" s="662" t="s">
        <v>372</v>
      </c>
      <c r="B253" s="665">
        <f>+Béthune!G255</f>
        <v>2800</v>
      </c>
      <c r="C253" s="665">
        <f>+Boulogne!$G$255</f>
        <v>13880</v>
      </c>
      <c r="D253" s="665">
        <f>+Calais!$G$255</f>
        <v>4000</v>
      </c>
      <c r="E253" s="665">
        <f>+StOmer!$G$255</f>
        <v>15000</v>
      </c>
      <c r="F253" s="665"/>
      <c r="G253" s="1083"/>
      <c r="H253" s="333">
        <f>+Angers!C254+Cham!C254+Thouars!C254</f>
        <v>2599987.1949516642</v>
      </c>
      <c r="I253" s="665">
        <f>SUM(B253:E253)</f>
        <v>35680</v>
      </c>
      <c r="J253" s="663"/>
      <c r="K253" s="663"/>
      <c r="L253" s="1083"/>
      <c r="M253" s="678">
        <v>1</v>
      </c>
    </row>
    <row r="254" spans="1:13" s="2" customFormat="1" ht="11.25" hidden="1">
      <c r="B254" s="24"/>
      <c r="C254" s="17"/>
      <c r="H254" s="24"/>
      <c r="I254" s="66"/>
      <c r="M254" s="678">
        <v>0</v>
      </c>
    </row>
    <row r="255" spans="1:13" hidden="1">
      <c r="B255" s="26"/>
      <c r="C255" s="26"/>
      <c r="D255" s="26"/>
      <c r="E255" s="26"/>
      <c r="F255" s="26"/>
      <c r="G255" s="26"/>
      <c r="I255" s="26"/>
      <c r="J255" s="66"/>
      <c r="K255" s="66"/>
      <c r="L255" s="28"/>
      <c r="M255" s="2">
        <v>0</v>
      </c>
    </row>
    <row r="256" spans="1:13" hidden="1">
      <c r="B256" s="26"/>
      <c r="C256" s="26"/>
      <c r="D256" s="26"/>
      <c r="E256" s="26"/>
      <c r="F256" s="26"/>
      <c r="G256" s="26"/>
      <c r="I256" s="26"/>
      <c r="J256" s="66"/>
      <c r="K256" s="66"/>
      <c r="L256" s="28"/>
      <c r="M256" s="111"/>
    </row>
    <row r="257" spans="2:13" hidden="1">
      <c r="B257" s="26"/>
      <c r="C257" s="26"/>
      <c r="D257" s="26"/>
      <c r="E257" s="26"/>
      <c r="F257" s="26"/>
      <c r="G257" s="26"/>
      <c r="I257" s="26"/>
      <c r="J257" s="66"/>
      <c r="K257" s="66"/>
      <c r="L257" s="28"/>
      <c r="M257"/>
    </row>
  </sheetData>
  <autoFilter ref="M1:M257">
    <filterColumn colId="0">
      <filters>
        <filter val="1"/>
      </filters>
    </filterColumn>
  </autoFilter>
  <mergeCells count="8">
    <mergeCell ref="E4:E5"/>
    <mergeCell ref="B4:B5"/>
    <mergeCell ref="C4:C5"/>
    <mergeCell ref="D4:D5"/>
    <mergeCell ref="B227:B228"/>
    <mergeCell ref="C227:C228"/>
    <mergeCell ref="D227:D228"/>
    <mergeCell ref="E227:E228"/>
  </mergeCells>
  <phoneticPr fontId="33" type="noConversion"/>
  <pageMargins left="0.11811023622047245" right="0.11811023622047245" top="0.31496062992125984" bottom="0.39370078740157483" header="7.874015748031496E-2" footer="0.11811023622047245"/>
  <pageSetup paperSize="9" scale="68" fitToHeight="2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indexed="51"/>
    <pageSetUpPr fitToPage="1"/>
  </sheetPr>
  <dimension ref="A1:M257"/>
  <sheetViews>
    <sheetView workbookViewId="0">
      <pane xSplit="1" ySplit="6" topLeftCell="B133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50.140625" customWidth="1"/>
    <col min="2" max="2" width="12.28515625" style="800" customWidth="1"/>
    <col min="3" max="3" width="14.28515625" style="800" customWidth="1"/>
    <col min="4" max="4" width="14.7109375" style="800" bestFit="1" customWidth="1"/>
    <col min="5" max="5" width="12.28515625" style="800" customWidth="1"/>
    <col min="6" max="6" width="12.28515625" style="800" bestFit="1" customWidth="1"/>
    <col min="7" max="7" width="12.28515625" style="26" hidden="1" customWidth="1"/>
    <col min="8" max="8" width="12.28515625" style="800" customWidth="1"/>
    <col min="9" max="9" width="10.140625" style="801" customWidth="1"/>
    <col min="10" max="10" width="11.5703125" style="801" customWidth="1"/>
    <col min="11" max="11" width="12.7109375" style="808" customWidth="1"/>
    <col min="12" max="12" width="14.7109375" style="686" bestFit="1" customWidth="1"/>
  </cols>
  <sheetData>
    <row r="1" spans="1:12">
      <c r="A1" s="1" t="s">
        <v>515</v>
      </c>
      <c r="K1" s="802"/>
    </row>
    <row r="2" spans="1:12" hidden="1">
      <c r="B2" s="26"/>
      <c r="C2" s="26"/>
      <c r="D2" s="86"/>
      <c r="E2" s="26"/>
      <c r="F2" s="26"/>
      <c r="H2" s="26"/>
      <c r="I2" s="66"/>
      <c r="J2" s="66"/>
      <c r="K2" s="28"/>
      <c r="L2"/>
    </row>
    <row r="3" spans="1:12" s="2" customFormat="1" ht="12.75" customHeight="1">
      <c r="A3" s="6"/>
      <c r="B3" s="155"/>
      <c r="C3" s="211"/>
      <c r="D3" s="211"/>
      <c r="E3" s="267" t="s">
        <v>55</v>
      </c>
      <c r="F3" s="130" t="s">
        <v>364</v>
      </c>
      <c r="G3" s="130" t="s">
        <v>543</v>
      </c>
      <c r="H3" s="104" t="s">
        <v>196</v>
      </c>
      <c r="I3" s="151" t="s">
        <v>225</v>
      </c>
      <c r="J3" s="183" t="s">
        <v>225</v>
      </c>
      <c r="K3" s="8" t="s">
        <v>196</v>
      </c>
      <c r="L3" s="678">
        <v>1</v>
      </c>
    </row>
    <row r="4" spans="1:12" s="2" customFormat="1" ht="20.25" customHeight="1">
      <c r="A4" s="7" t="s">
        <v>712</v>
      </c>
      <c r="B4" s="1428" t="s">
        <v>24</v>
      </c>
      <c r="C4" s="1430" t="s">
        <v>69</v>
      </c>
      <c r="D4" s="1426" t="s">
        <v>18</v>
      </c>
      <c r="E4" s="260" t="s">
        <v>366</v>
      </c>
      <c r="F4" s="131" t="s">
        <v>366</v>
      </c>
      <c r="G4" s="131" t="s">
        <v>432</v>
      </c>
      <c r="H4" s="105" t="s">
        <v>197</v>
      </c>
      <c r="I4" s="152" t="s">
        <v>55</v>
      </c>
      <c r="J4" s="131" t="s">
        <v>432</v>
      </c>
      <c r="K4" s="9" t="s">
        <v>197</v>
      </c>
      <c r="L4" s="678">
        <v>1</v>
      </c>
    </row>
    <row r="5" spans="1:12" s="2" customFormat="1" ht="20.25" customHeight="1">
      <c r="A5" s="7"/>
      <c r="B5" s="1429"/>
      <c r="C5" s="1431"/>
      <c r="D5" s="1427"/>
      <c r="E5" s="157">
        <f>E216</f>
        <v>-95737.635153821146</v>
      </c>
      <c r="F5" s="157">
        <f>F216</f>
        <v>-51296.887744982043</v>
      </c>
      <c r="G5" s="157">
        <f>G216</f>
        <v>-83745.417550254744</v>
      </c>
      <c r="H5" s="157">
        <f>H216</f>
        <v>33145.579942476776</v>
      </c>
      <c r="I5" s="152"/>
      <c r="J5" s="132" t="s">
        <v>433</v>
      </c>
      <c r="K5" s="10"/>
      <c r="L5" s="678">
        <v>1</v>
      </c>
    </row>
    <row r="6" spans="1:12" s="2" customFormat="1" ht="18">
      <c r="A6" s="68"/>
      <c r="B6" s="158"/>
      <c r="C6" s="216"/>
      <c r="D6" s="216"/>
      <c r="E6" s="269">
        <v>2009</v>
      </c>
      <c r="F6" s="133">
        <v>2010</v>
      </c>
      <c r="G6" s="133">
        <v>2009</v>
      </c>
      <c r="H6" s="159">
        <v>2011</v>
      </c>
      <c r="I6" s="153" t="s">
        <v>544</v>
      </c>
      <c r="J6" s="185" t="s">
        <v>368</v>
      </c>
      <c r="K6" s="4">
        <v>2010</v>
      </c>
      <c r="L6" s="678">
        <v>1</v>
      </c>
    </row>
    <row r="7" spans="1:12" s="2" customFormat="1" ht="18" hidden="1">
      <c r="A7" s="67"/>
      <c r="B7" s="160"/>
      <c r="C7" s="113"/>
      <c r="D7" s="113"/>
      <c r="E7" s="160"/>
      <c r="F7" s="25"/>
      <c r="G7" s="25"/>
      <c r="H7" s="154"/>
      <c r="I7" s="149"/>
      <c r="J7" s="186"/>
      <c r="K7" s="5"/>
      <c r="L7" s="2">
        <f>IF(SUM(A7:K7)&gt;0,1,0)</f>
        <v>0</v>
      </c>
    </row>
    <row r="8" spans="1:12" s="2" customFormat="1" ht="11.25">
      <c r="A8" s="590" t="s">
        <v>221</v>
      </c>
      <c r="B8" s="805">
        <f>+Bois!$G8</f>
        <v>256061</v>
      </c>
      <c r="C8" s="805">
        <f>+Madeleine!$G8</f>
        <v>1019084</v>
      </c>
      <c r="D8" s="805">
        <f>+Lens!$G8</f>
        <v>581262</v>
      </c>
      <c r="E8" s="619">
        <f>+Bois!E8+Madeleine!E8+Tourcoing!E8</f>
        <v>1378258.55</v>
      </c>
      <c r="F8" s="619">
        <f>+Bois!F8+Madeleine!F8+Lens!F8</f>
        <v>1537700.2047094991</v>
      </c>
      <c r="G8" s="135">
        <v>1800445.7989000003</v>
      </c>
      <c r="H8" s="1077">
        <f>+Bois!G8+Madeleine!G8+Lens!G8</f>
        <v>1856407</v>
      </c>
      <c r="I8" s="1013">
        <f>+IF((D8)=0,,(E8-D8)/D8)</f>
        <v>1.3711485526320317</v>
      </c>
      <c r="J8" s="1014">
        <f>+IF((E8)=0,,(H8-E8)/E8)</f>
        <v>0.34692217218605315</v>
      </c>
      <c r="K8" s="805">
        <f>+Bois!D8+Madeleine!D8+Tourcoing!D8</f>
        <v>1699965</v>
      </c>
      <c r="L8" s="678">
        <f t="shared" ref="L8:L71" si="0">IF(SUM(A8:K8)&gt;0,1,0)</f>
        <v>1</v>
      </c>
    </row>
    <row r="9" spans="1:12" s="2" customFormat="1" ht="11.25" hidden="1">
      <c r="A9" s="5" t="s">
        <v>422</v>
      </c>
      <c r="B9" s="160">
        <f>+Bois!$G9</f>
        <v>0</v>
      </c>
      <c r="C9" s="113">
        <f>+Madeleine!$G9</f>
        <v>0</v>
      </c>
      <c r="D9" s="113">
        <f>+Lens!$G9</f>
        <v>0</v>
      </c>
      <c r="E9" s="344">
        <f>+Bois!E9+Madeleine!E9+Tourcoing!E9</f>
        <v>284942.8</v>
      </c>
      <c r="F9" s="135">
        <f>+Bois!F9+Madeleine!F9+Lens!F9</f>
        <v>0</v>
      </c>
      <c r="G9" s="135">
        <v>0</v>
      </c>
      <c r="H9" s="161">
        <f>+Bois!G9+Madeleine!G9+Lens!G9</f>
        <v>0</v>
      </c>
      <c r="I9" s="149">
        <f t="shared" ref="I9:I19" si="1">+IF((D9)=0,,(E9-D9)/D9)</f>
        <v>0</v>
      </c>
      <c r="J9" s="271">
        <f t="shared" ref="J9:J19" si="2">+IF((E9)=0,,(H9-E9)/E9)</f>
        <v>-1</v>
      </c>
      <c r="K9" s="18">
        <f>+Bois!D9+Madeleine!D9+Tourcoing!D9</f>
        <v>0</v>
      </c>
      <c r="L9" s="2">
        <v>0</v>
      </c>
    </row>
    <row r="10" spans="1:12" s="2" customFormat="1" ht="11.25" hidden="1">
      <c r="A10" s="5" t="s">
        <v>84</v>
      </c>
      <c r="B10" s="160">
        <f>+Bois!$G10</f>
        <v>0</v>
      </c>
      <c r="C10" s="113">
        <f>+Madeleine!$G10</f>
        <v>0</v>
      </c>
      <c r="D10" s="113">
        <f>+Lens!$G10</f>
        <v>0</v>
      </c>
      <c r="E10" s="344">
        <f>+Bois!E10+Madeleine!E10+Tourcoing!E10</f>
        <v>0</v>
      </c>
      <c r="F10" s="135">
        <f>+Bois!F10+Madeleine!F10+Tourcoing!F10</f>
        <v>0</v>
      </c>
      <c r="G10" s="317">
        <v>0</v>
      </c>
      <c r="H10" s="161">
        <f>+Bois!G10+Madeleine!G10+Lens!G10</f>
        <v>0</v>
      </c>
      <c r="I10" s="149">
        <f t="shared" si="1"/>
        <v>0</v>
      </c>
      <c r="J10" s="271">
        <f t="shared" si="2"/>
        <v>0</v>
      </c>
      <c r="K10" s="18">
        <f>+Bois!D10+Madeleine!D10+Tourcoing!D10</f>
        <v>0</v>
      </c>
      <c r="L10" s="2">
        <f t="shared" si="0"/>
        <v>0</v>
      </c>
    </row>
    <row r="11" spans="1:12" s="2" customFormat="1" ht="11.25" hidden="1">
      <c r="A11" s="5" t="s">
        <v>267</v>
      </c>
      <c r="B11" s="160">
        <f>+Bois!$G11</f>
        <v>0</v>
      </c>
      <c r="C11" s="113">
        <f>+Madeleine!$G11</f>
        <v>0</v>
      </c>
      <c r="D11" s="113">
        <f>+Lens!$G11</f>
        <v>0</v>
      </c>
      <c r="E11" s="344">
        <f>+Bois!E11+Madeleine!E11+Tourcoing!E11</f>
        <v>345.51</v>
      </c>
      <c r="F11" s="135">
        <f>+Bois!F11+Madeleine!F11+Lens!F11</f>
        <v>149.59</v>
      </c>
      <c r="G11" s="317">
        <v>91.082900000000009</v>
      </c>
      <c r="H11" s="161">
        <f>+Bois!G11+Madeleine!G11+Lens!G11</f>
        <v>0</v>
      </c>
      <c r="I11" s="149">
        <f t="shared" si="1"/>
        <v>0</v>
      </c>
      <c r="J11" s="271">
        <f t="shared" si="2"/>
        <v>-1</v>
      </c>
      <c r="K11" s="18">
        <f>+Bois!D11+Madeleine!D11+Tourcoing!D11</f>
        <v>0</v>
      </c>
      <c r="L11" s="2">
        <v>0</v>
      </c>
    </row>
    <row r="12" spans="1:12" s="2" customFormat="1" ht="11.25" hidden="1">
      <c r="A12" s="5" t="s">
        <v>46</v>
      </c>
      <c r="B12" s="160">
        <f>+Bois!$G12</f>
        <v>0</v>
      </c>
      <c r="C12" s="113">
        <f>+Madeleine!$G12</f>
        <v>0</v>
      </c>
      <c r="D12" s="113">
        <f>+Lens!$G12</f>
        <v>0</v>
      </c>
      <c r="E12" s="344">
        <f>+Bois!E12+Madeleine!E12+Tourcoing!E12</f>
        <v>0</v>
      </c>
      <c r="F12" s="135">
        <f>+Bois!F12+Madeleine!F12+Tourcoing!F12</f>
        <v>0</v>
      </c>
      <c r="G12" s="317">
        <v>0</v>
      </c>
      <c r="H12" s="161">
        <f>+Bois!G12+Madeleine!G12+Lens!G12</f>
        <v>0</v>
      </c>
      <c r="I12" s="149">
        <f t="shared" si="1"/>
        <v>0</v>
      </c>
      <c r="J12" s="271">
        <f t="shared" si="2"/>
        <v>0</v>
      </c>
      <c r="K12" s="18">
        <f>+Bois!D12+Madeleine!D12+Tourcoing!D12</f>
        <v>0</v>
      </c>
      <c r="L12" s="2">
        <f t="shared" si="0"/>
        <v>0</v>
      </c>
    </row>
    <row r="13" spans="1:12" s="2" customFormat="1" ht="11.25" hidden="1">
      <c r="A13" s="5" t="s">
        <v>268</v>
      </c>
      <c r="B13" s="160">
        <f>+Bois!$G13</f>
        <v>0</v>
      </c>
      <c r="C13" s="113">
        <f>+Madeleine!$G13</f>
        <v>0</v>
      </c>
      <c r="D13" s="113">
        <f>+Lens!$G13</f>
        <v>0</v>
      </c>
      <c r="E13" s="344">
        <f>+Bois!E13+Madeleine!E13+Tourcoing!E13</f>
        <v>0</v>
      </c>
      <c r="F13" s="135">
        <f>+Bois!F13+Madeleine!F13+Tourcoing!F13</f>
        <v>0</v>
      </c>
      <c r="G13" s="317">
        <v>0</v>
      </c>
      <c r="H13" s="161">
        <f>+Bois!G13+Madeleine!G13+Lens!G13</f>
        <v>0</v>
      </c>
      <c r="I13" s="149">
        <f t="shared" si="1"/>
        <v>0</v>
      </c>
      <c r="J13" s="271">
        <f t="shared" si="2"/>
        <v>0</v>
      </c>
      <c r="K13" s="18">
        <f>+Bois!D13+Madeleine!D13+Tourcoing!D13</f>
        <v>0</v>
      </c>
      <c r="L13" s="2">
        <f t="shared" si="0"/>
        <v>0</v>
      </c>
    </row>
    <row r="14" spans="1:12" s="2" customFormat="1" ht="11.25" hidden="1">
      <c r="A14" s="5" t="s">
        <v>269</v>
      </c>
      <c r="B14" s="160">
        <f>+Bois!$G14</f>
        <v>0</v>
      </c>
      <c r="C14" s="113">
        <f>+Madeleine!$G14</f>
        <v>0</v>
      </c>
      <c r="D14" s="113">
        <f>+Lens!$G14</f>
        <v>0</v>
      </c>
      <c r="E14" s="344">
        <f>+Bois!E14+Madeleine!E14+Tourcoing!E14</f>
        <v>398.26</v>
      </c>
      <c r="F14" s="135">
        <f>+Bois!F14+Madeleine!F14+Lens!F14</f>
        <v>409.7</v>
      </c>
      <c r="G14" s="317">
        <v>349.95280000000002</v>
      </c>
      <c r="H14" s="161">
        <f>+Bois!G14+Madeleine!G14+Lens!G14</f>
        <v>0</v>
      </c>
      <c r="I14" s="149">
        <f t="shared" si="1"/>
        <v>0</v>
      </c>
      <c r="J14" s="271">
        <f t="shared" si="2"/>
        <v>-1</v>
      </c>
      <c r="K14" s="18">
        <f>+Bois!D14+Madeleine!D14+Tourcoing!D14</f>
        <v>0</v>
      </c>
      <c r="L14" s="2">
        <v>0</v>
      </c>
    </row>
    <row r="15" spans="1:12" s="2" customFormat="1" ht="11.25" hidden="1">
      <c r="A15" s="5" t="s">
        <v>270</v>
      </c>
      <c r="B15" s="160">
        <f>+Bois!$G15</f>
        <v>0</v>
      </c>
      <c r="C15" s="113">
        <f>+Madeleine!$G15</f>
        <v>0</v>
      </c>
      <c r="D15" s="113">
        <f>+Lens!$G15</f>
        <v>0</v>
      </c>
      <c r="E15" s="344">
        <f>+Bois!E15+Madeleine!E15+Tourcoing!E15</f>
        <v>2646</v>
      </c>
      <c r="F15" s="135">
        <f>+Bois!F15+Madeleine!F15+Lens!F15</f>
        <v>1377</v>
      </c>
      <c r="G15" s="317">
        <v>2150.64</v>
      </c>
      <c r="H15" s="161">
        <f>+Bois!G15+Madeleine!G15+Lens!G15</f>
        <v>0</v>
      </c>
      <c r="I15" s="149">
        <f t="shared" si="1"/>
        <v>0</v>
      </c>
      <c r="J15" s="271">
        <f t="shared" si="2"/>
        <v>-1</v>
      </c>
      <c r="K15" s="18">
        <f>+Bois!D15+Madeleine!D15+Tourcoing!D15</f>
        <v>0</v>
      </c>
      <c r="L15" s="2">
        <v>0</v>
      </c>
    </row>
    <row r="16" spans="1:12" s="2" customFormat="1" ht="11.25" hidden="1">
      <c r="A16" s="5" t="s">
        <v>85</v>
      </c>
      <c r="B16" s="160">
        <f>+Bois!$G16</f>
        <v>0</v>
      </c>
      <c r="C16" s="113">
        <f>+Madeleine!$G16</f>
        <v>0</v>
      </c>
      <c r="D16" s="113">
        <f>+Lens!$G16</f>
        <v>0</v>
      </c>
      <c r="E16" s="344">
        <f>+Bois!E16+Madeleine!E16+Tourcoing!E16</f>
        <v>-80</v>
      </c>
      <c r="F16" s="135">
        <f>+Bois!F16+Madeleine!F16+Lens!F16</f>
        <v>0</v>
      </c>
      <c r="G16" s="317">
        <v>-82.4</v>
      </c>
      <c r="H16" s="161">
        <f>+Bois!G16+Madeleine!G16+Lens!G16</f>
        <v>0</v>
      </c>
      <c r="I16" s="149">
        <f t="shared" si="1"/>
        <v>0</v>
      </c>
      <c r="J16" s="271">
        <f t="shared" si="2"/>
        <v>-1</v>
      </c>
      <c r="K16" s="18">
        <f>+Bois!D16+Madeleine!D16+Tourcoing!D16</f>
        <v>0</v>
      </c>
      <c r="L16" s="2">
        <f t="shared" si="0"/>
        <v>0</v>
      </c>
    </row>
    <row r="17" spans="1:12" s="2" customFormat="1" ht="11.25" hidden="1">
      <c r="A17" s="5" t="s">
        <v>88</v>
      </c>
      <c r="B17" s="160">
        <f>+Bois!$G17</f>
        <v>0</v>
      </c>
      <c r="C17" s="113">
        <f>+Madeleine!$G17</f>
        <v>0</v>
      </c>
      <c r="D17" s="113">
        <f>+Lens!$G17</f>
        <v>0</v>
      </c>
      <c r="E17" s="344">
        <f>+Bois!E17+Madeleine!E17+Tourcoing!E17</f>
        <v>0</v>
      </c>
      <c r="F17" s="135">
        <f>+Bois!F17+Madeleine!F17+Tourcoing!F17</f>
        <v>0</v>
      </c>
      <c r="G17" s="317">
        <v>0</v>
      </c>
      <c r="H17" s="161">
        <f>+Bois!G17+Madeleine!G17+Lens!G17</f>
        <v>0</v>
      </c>
      <c r="I17" s="149">
        <f t="shared" si="1"/>
        <v>0</v>
      </c>
      <c r="J17" s="271">
        <f t="shared" si="2"/>
        <v>0</v>
      </c>
      <c r="K17" s="18">
        <f>+Bois!D17+Madeleine!D17+Tourcoing!D17</f>
        <v>0</v>
      </c>
      <c r="L17" s="2">
        <f t="shared" si="0"/>
        <v>0</v>
      </c>
    </row>
    <row r="18" spans="1:12" s="2" customFormat="1" ht="11.25" hidden="1">
      <c r="A18" s="5" t="s">
        <v>89</v>
      </c>
      <c r="B18" s="160">
        <f>+Bois!$G18</f>
        <v>0</v>
      </c>
      <c r="C18" s="113">
        <f>+Madeleine!$G18</f>
        <v>0</v>
      </c>
      <c r="D18" s="113">
        <f>+Lens!$G18</f>
        <v>0</v>
      </c>
      <c r="E18" s="344">
        <f>+Bois!E18+Madeleine!E18+Tourcoing!E18</f>
        <v>0</v>
      </c>
      <c r="F18" s="135">
        <f>+Bois!F18+Madeleine!F18+Tourcoing!F18</f>
        <v>0</v>
      </c>
      <c r="G18" s="317">
        <v>0</v>
      </c>
      <c r="H18" s="161">
        <f>+Bois!G18+Madeleine!G18+Lens!G18</f>
        <v>0</v>
      </c>
      <c r="I18" s="149">
        <f t="shared" si="1"/>
        <v>0</v>
      </c>
      <c r="J18" s="271">
        <f t="shared" si="2"/>
        <v>0</v>
      </c>
      <c r="K18" s="18">
        <f>+Bois!D18+Madeleine!D18+Tourcoing!D18</f>
        <v>0</v>
      </c>
      <c r="L18" s="2">
        <f t="shared" si="0"/>
        <v>0</v>
      </c>
    </row>
    <row r="19" spans="1:12" s="2" customFormat="1" ht="11.25" hidden="1">
      <c r="A19" s="5" t="s">
        <v>90</v>
      </c>
      <c r="B19" s="160">
        <f>+Bois!$G19</f>
        <v>0</v>
      </c>
      <c r="C19" s="113">
        <f>+Madeleine!$G19</f>
        <v>0</v>
      </c>
      <c r="D19" s="113">
        <f>+Lens!$G19</f>
        <v>0</v>
      </c>
      <c r="E19" s="344">
        <f>+Bois!E19+Madeleine!E19+Tourcoing!E19</f>
        <v>0</v>
      </c>
      <c r="F19" s="135">
        <f>+Bois!F19+Madeleine!F19+Tourcoing!F19</f>
        <v>0</v>
      </c>
      <c r="G19" s="317">
        <v>0</v>
      </c>
      <c r="H19" s="161">
        <f>+Bois!G19+Madeleine!G19+Lens!G19</f>
        <v>0</v>
      </c>
      <c r="I19" s="149">
        <f t="shared" si="1"/>
        <v>0</v>
      </c>
      <c r="J19" s="271">
        <f t="shared" si="2"/>
        <v>0</v>
      </c>
      <c r="K19" s="18">
        <f>+Bois!D19+Madeleine!D19+Tourcoing!D19</f>
        <v>0</v>
      </c>
      <c r="L19" s="2">
        <f t="shared" si="0"/>
        <v>0</v>
      </c>
    </row>
    <row r="20" spans="1:12" s="2" customFormat="1" ht="11.25" hidden="1">
      <c r="A20" s="5"/>
      <c r="B20" s="160"/>
      <c r="C20" s="113"/>
      <c r="D20" s="113"/>
      <c r="E20" s="160"/>
      <c r="F20" s="113"/>
      <c r="G20" s="113"/>
      <c r="H20" s="162"/>
      <c r="I20" s="149"/>
      <c r="J20" s="254"/>
      <c r="K20" s="18"/>
      <c r="L20" s="2">
        <f t="shared" si="0"/>
        <v>0</v>
      </c>
    </row>
    <row r="21" spans="1:12" s="57" customFormat="1" ht="15" customHeight="1">
      <c r="A21" s="13" t="s">
        <v>222</v>
      </c>
      <c r="B21" s="803">
        <f t="shared" ref="B21:H21" si="3">SUM(B7:B20)</f>
        <v>256061</v>
      </c>
      <c r="C21" s="803">
        <f t="shared" si="3"/>
        <v>1019084</v>
      </c>
      <c r="D21" s="803">
        <f t="shared" si="3"/>
        <v>581262</v>
      </c>
      <c r="E21" s="803">
        <f>SUM(E7:E20)</f>
        <v>1666511.12</v>
      </c>
      <c r="F21" s="803">
        <f t="shared" si="3"/>
        <v>1539636.4947094992</v>
      </c>
      <c r="G21" s="204">
        <v>1802955.0746000004</v>
      </c>
      <c r="H21" s="803">
        <f t="shared" si="3"/>
        <v>1856407</v>
      </c>
      <c r="I21" s="596">
        <f>+IF((D21)=0,,(E21-D21)/D21)</f>
        <v>1.8670567145280443</v>
      </c>
      <c r="J21" s="1015">
        <f>+IF((E21)=0,,(H21-E21)/E21)</f>
        <v>0.11394816255411477</v>
      </c>
      <c r="K21" s="803">
        <f>SUM(K7:K20)</f>
        <v>1699965</v>
      </c>
      <c r="L21" s="678">
        <f t="shared" si="0"/>
        <v>1</v>
      </c>
    </row>
    <row r="22" spans="1:12" s="57" customFormat="1" ht="15" hidden="1" customHeight="1">
      <c r="A22" s="5"/>
      <c r="B22" s="160"/>
      <c r="C22" s="113"/>
      <c r="D22" s="113"/>
      <c r="E22" s="160"/>
      <c r="F22" s="113"/>
      <c r="G22" s="113"/>
      <c r="H22" s="162"/>
      <c r="I22" s="149"/>
      <c r="J22" s="271"/>
      <c r="K22" s="18"/>
      <c r="L22" s="2">
        <f t="shared" si="0"/>
        <v>0</v>
      </c>
    </row>
    <row r="23" spans="1:12" s="2" customFormat="1" ht="11.25" hidden="1">
      <c r="A23" s="5" t="s">
        <v>92</v>
      </c>
      <c r="B23" s="160">
        <f>+Bois!$G23</f>
        <v>0</v>
      </c>
      <c r="C23" s="113">
        <f>+Madeleine!$G23</f>
        <v>0</v>
      </c>
      <c r="D23" s="113">
        <f>+Lens!$G23</f>
        <v>0</v>
      </c>
      <c r="E23" s="344">
        <f>+Bois!E23+Madeleine!E23+Tourcoing!E23</f>
        <v>164.7</v>
      </c>
      <c r="F23" s="135">
        <f>+Bois!F23+Madeleine!F23+Lens!F23</f>
        <v>0</v>
      </c>
      <c r="G23" s="270">
        <v>0</v>
      </c>
      <c r="H23" s="161">
        <f>+Bois!G23+Madeleine!G23+Lens!G23</f>
        <v>0</v>
      </c>
      <c r="I23" s="149"/>
      <c r="J23" s="271"/>
      <c r="K23" s="18"/>
      <c r="L23" s="2">
        <v>0</v>
      </c>
    </row>
    <row r="24" spans="1:12" s="2" customFormat="1" ht="11.25">
      <c r="A24" s="590" t="s">
        <v>93</v>
      </c>
      <c r="B24" s="805">
        <f>+Bois!$G24</f>
        <v>85204.297750000012</v>
      </c>
      <c r="C24" s="805">
        <f>+Madeleine!$G24</f>
        <v>369927.49200000003</v>
      </c>
      <c r="D24" s="805">
        <f>+Lens!$G24</f>
        <v>218670.76439999999</v>
      </c>
      <c r="E24" s="619">
        <f>+Bois!E24+Madeleine!E24+Tourcoing!E24</f>
        <v>578909.17000000004</v>
      </c>
      <c r="F24" s="619">
        <f>+Bois!F24+Madeleine!F24+Lens!F24</f>
        <v>0</v>
      </c>
      <c r="G24" s="270">
        <v>0</v>
      </c>
      <c r="H24" s="1077">
        <f>+Bois!G24+Madeleine!G24+Lens!G24</f>
        <v>673802.55414999998</v>
      </c>
      <c r="I24" s="1013"/>
      <c r="J24" s="1014"/>
      <c r="K24" s="805"/>
      <c r="L24" s="678">
        <v>1</v>
      </c>
    </row>
    <row r="25" spans="1:12" s="2" customFormat="1" ht="11.25" hidden="1">
      <c r="A25" s="5" t="s">
        <v>94</v>
      </c>
      <c r="B25" s="160">
        <f>+Bois!$G25</f>
        <v>0</v>
      </c>
      <c r="C25" s="113">
        <f>+Madeleine!$G25</f>
        <v>0</v>
      </c>
      <c r="D25" s="113">
        <f>+Lens!$G25</f>
        <v>0</v>
      </c>
      <c r="E25" s="344">
        <f>+Bois!E25+Madeleine!E25+Tourcoing!E25</f>
        <v>59521.26</v>
      </c>
      <c r="F25" s="135">
        <f>+Bois!F25+Madeleine!F25+Lens!F25</f>
        <v>0</v>
      </c>
      <c r="G25" s="270">
        <v>0</v>
      </c>
      <c r="H25" s="161">
        <f>+Bois!G25+Madeleine!G25+Lens!G25</f>
        <v>0</v>
      </c>
      <c r="I25" s="149"/>
      <c r="J25" s="271"/>
      <c r="K25" s="18"/>
      <c r="L25" s="2">
        <v>0</v>
      </c>
    </row>
    <row r="26" spans="1:12" s="57" customFormat="1" ht="15" hidden="1" customHeight="1">
      <c r="A26" s="5" t="s">
        <v>288</v>
      </c>
      <c r="B26" s="160">
        <f>+Bois!$G26</f>
        <v>0</v>
      </c>
      <c r="C26" s="113">
        <f>+Madeleine!$G26</f>
        <v>0</v>
      </c>
      <c r="D26" s="113">
        <f>+Lens!$G26</f>
        <v>0</v>
      </c>
      <c r="E26" s="344">
        <f>+Bois!E26+Madeleine!E26+Tourcoing!E26</f>
        <v>214785</v>
      </c>
      <c r="F26" s="135">
        <f>+Bois!F26+Madeleine!F26+Lens!F26</f>
        <v>0</v>
      </c>
      <c r="G26" s="270">
        <v>0</v>
      </c>
      <c r="H26" s="161">
        <f>+Bois!G26+Madeleine!G26+Lens!G26</f>
        <v>0</v>
      </c>
      <c r="I26" s="149"/>
      <c r="J26" s="271"/>
      <c r="K26" s="18"/>
      <c r="L26" s="2">
        <v>0</v>
      </c>
    </row>
    <row r="27" spans="1:12" s="57" customFormat="1" ht="15" hidden="1" customHeight="1">
      <c r="A27" s="5" t="s">
        <v>289</v>
      </c>
      <c r="B27" s="160">
        <f>+Bois!$G27</f>
        <v>0</v>
      </c>
      <c r="C27" s="113">
        <f>+Madeleine!$G27</f>
        <v>0</v>
      </c>
      <c r="D27" s="113">
        <f>+Lens!$G27</f>
        <v>0</v>
      </c>
      <c r="E27" s="344">
        <f>+Bois!E27+Madeleine!E27+Tourcoing!E27</f>
        <v>-429337</v>
      </c>
      <c r="F27" s="135">
        <f>+Bois!F27+Madeleine!F27+Lens!F27</f>
        <v>0</v>
      </c>
      <c r="G27" s="270">
        <v>0</v>
      </c>
      <c r="H27" s="161">
        <f>+Bois!G27+Madeleine!G27+Lens!G27</f>
        <v>0</v>
      </c>
      <c r="I27" s="149"/>
      <c r="J27" s="271"/>
      <c r="K27" s="18"/>
      <c r="L27" s="2">
        <f t="shared" si="0"/>
        <v>0</v>
      </c>
    </row>
    <row r="28" spans="1:12" s="2" customFormat="1" ht="11.25">
      <c r="A28" s="590" t="s">
        <v>95</v>
      </c>
      <c r="B28" s="805">
        <f>+Bois!$G28</f>
        <v>69712.607250000001</v>
      </c>
      <c r="C28" s="805">
        <f>+Madeleine!$G28</f>
        <v>302667.94799999997</v>
      </c>
      <c r="D28" s="805">
        <f>+Lens!$G28</f>
        <v>164962.15559999997</v>
      </c>
      <c r="E28" s="619">
        <f>+Bois!E28+Madeleine!E28+Tourcoing!E28</f>
        <v>543111.1</v>
      </c>
      <c r="F28" s="619">
        <f>+Bois!F28+Madeleine!F28+Lens!F28</f>
        <v>1.4801961381497661</v>
      </c>
      <c r="G28" s="270">
        <v>0</v>
      </c>
      <c r="H28" s="1077">
        <f>+Bois!G28+Madeleine!G28+Lens!G28</f>
        <v>537342.71084999992</v>
      </c>
      <c r="I28" s="1013"/>
      <c r="J28" s="1014"/>
      <c r="K28" s="805"/>
      <c r="L28" s="678">
        <v>1</v>
      </c>
    </row>
    <row r="29" spans="1:12" s="2" customFormat="1" ht="11.25" hidden="1">
      <c r="A29" s="5" t="s">
        <v>293</v>
      </c>
      <c r="B29" s="160">
        <f>+Bois!$G29</f>
        <v>0</v>
      </c>
      <c r="C29" s="113">
        <f>+Madeleine!$G29</f>
        <v>0</v>
      </c>
      <c r="D29" s="113">
        <f>+Lens!$G29</f>
        <v>0</v>
      </c>
      <c r="E29" s="344">
        <f>+Bois!E29+Madeleine!E29+Tourcoing!E29</f>
        <v>102939.48</v>
      </c>
      <c r="F29" s="135">
        <f>+Bois!F29+Madeleine!F29+Lens!F29</f>
        <v>0</v>
      </c>
      <c r="G29" s="270">
        <v>0</v>
      </c>
      <c r="H29" s="161">
        <f>+Bois!G29+Madeleine!G29+Lens!G29</f>
        <v>0</v>
      </c>
      <c r="I29" s="149"/>
      <c r="J29" s="271"/>
      <c r="K29" s="18"/>
      <c r="L29" s="2">
        <v>0</v>
      </c>
    </row>
    <row r="30" spans="1:12" s="2" customFormat="1" ht="11.25">
      <c r="A30" s="42" t="s">
        <v>292</v>
      </c>
      <c r="B30" s="804">
        <f t="shared" ref="B30:H30" si="4">SUM(B23:B29)</f>
        <v>154916.90500000003</v>
      </c>
      <c r="C30" s="804">
        <f t="shared" si="4"/>
        <v>672595.44</v>
      </c>
      <c r="D30" s="804">
        <f t="shared" si="4"/>
        <v>383632.91999999993</v>
      </c>
      <c r="E30" s="804">
        <f t="shared" si="4"/>
        <v>1070093.71</v>
      </c>
      <c r="F30" s="804">
        <f t="shared" si="4"/>
        <v>1.4801961381497661</v>
      </c>
      <c r="G30" s="220">
        <f t="shared" si="4"/>
        <v>0</v>
      </c>
      <c r="H30" s="804">
        <f t="shared" si="4"/>
        <v>1211145.2649999999</v>
      </c>
      <c r="I30" s="606"/>
      <c r="J30" s="1021"/>
      <c r="K30" s="804"/>
      <c r="L30" s="678">
        <v>1</v>
      </c>
    </row>
    <row r="31" spans="1:12" s="2" customFormat="1" ht="15" hidden="1" customHeight="1">
      <c r="A31" s="5"/>
      <c r="B31" s="160"/>
      <c r="C31" s="113"/>
      <c r="D31" s="113"/>
      <c r="E31" s="160"/>
      <c r="F31" s="113"/>
      <c r="G31" s="113"/>
      <c r="H31" s="162"/>
      <c r="I31" s="149"/>
      <c r="J31" s="254"/>
      <c r="K31" s="18"/>
      <c r="L31" s="2">
        <f t="shared" si="0"/>
        <v>0</v>
      </c>
    </row>
    <row r="32" spans="1:12" s="2" customFormat="1" ht="15" hidden="1" customHeight="1">
      <c r="A32" s="56" t="s">
        <v>336</v>
      </c>
      <c r="B32" s="166">
        <f>+B21-B30-B38</f>
        <v>101144.09499999997</v>
      </c>
      <c r="C32" s="221">
        <f>+C21-C30-C38</f>
        <v>346488.56000000006</v>
      </c>
      <c r="D32" s="221">
        <f>+D21-D30-D38</f>
        <v>197629.08000000007</v>
      </c>
      <c r="E32" s="166">
        <f>+E21-E30-E38</f>
        <v>575498.12250000017</v>
      </c>
      <c r="F32" s="221">
        <f>+F21-F30-F38</f>
        <v>1539635.014513361</v>
      </c>
      <c r="G32" s="221">
        <v>1802955.0746000004</v>
      </c>
      <c r="H32" s="167">
        <f>+H21-H30-H38</f>
        <v>645261.7350000001</v>
      </c>
      <c r="I32" s="273"/>
      <c r="J32" s="274"/>
      <c r="K32" s="307"/>
      <c r="L32" s="2">
        <v>0</v>
      </c>
    </row>
    <row r="33" spans="1:12" s="2" customFormat="1" ht="11.25" hidden="1">
      <c r="A33" s="56" t="s">
        <v>337</v>
      </c>
      <c r="B33" s="196">
        <f>+B32/B21</f>
        <v>0.39499999999999991</v>
      </c>
      <c r="C33" s="222">
        <f>+C32/C21</f>
        <v>0.34000000000000008</v>
      </c>
      <c r="D33" s="222">
        <f>+D32/D21</f>
        <v>0.34000000000000014</v>
      </c>
      <c r="E33" s="166">
        <f>+E32/E21</f>
        <v>0.34533110256113991</v>
      </c>
      <c r="F33" s="222">
        <f>+F32/F21</f>
        <v>0.99999903860674699</v>
      </c>
      <c r="G33" s="222">
        <v>1</v>
      </c>
      <c r="H33" s="189">
        <f>+H32/H21</f>
        <v>0.34758635094567092</v>
      </c>
      <c r="I33" s="273"/>
      <c r="J33" s="274"/>
      <c r="K33" s="308"/>
      <c r="L33" s="2">
        <v>0</v>
      </c>
    </row>
    <row r="34" spans="1:12" s="2" customFormat="1" ht="11.25" hidden="1">
      <c r="A34" s="5"/>
      <c r="B34" s="160"/>
      <c r="C34" s="113"/>
      <c r="D34" s="113"/>
      <c r="E34" s="160"/>
      <c r="F34" s="113"/>
      <c r="G34" s="113"/>
      <c r="H34" s="162"/>
      <c r="I34" s="149"/>
      <c r="J34" s="271"/>
      <c r="K34" s="18"/>
      <c r="L34" s="2">
        <f t="shared" si="0"/>
        <v>0</v>
      </c>
    </row>
    <row r="35" spans="1:12" s="33" customFormat="1" ht="15" hidden="1" customHeight="1">
      <c r="A35" s="5" t="s">
        <v>96</v>
      </c>
      <c r="B35" s="160">
        <f>+Bois!$G35</f>
        <v>1578.0199122390923</v>
      </c>
      <c r="C35" s="113">
        <f>+Madeleine!$G35</f>
        <v>3188.3946324387125</v>
      </c>
      <c r="D35" s="113">
        <f>+Lens!$G35</f>
        <v>2776.0203560708119</v>
      </c>
      <c r="E35" s="344">
        <f>+Bois!E35+Madeleine!E35+Tourcoing!E35</f>
        <v>7929.92</v>
      </c>
      <c r="F35" s="270"/>
      <c r="G35" s="270">
        <v>0</v>
      </c>
      <c r="H35" s="161">
        <f>+Bois!G35+Madeleine!G35+Lens!G35</f>
        <v>7542.4349007486162</v>
      </c>
      <c r="I35" s="149"/>
      <c r="J35" s="271"/>
      <c r="K35" s="18"/>
      <c r="L35" s="2">
        <v>0</v>
      </c>
    </row>
    <row r="36" spans="1:12" s="2" customFormat="1" ht="11.25" hidden="1">
      <c r="A36" s="5" t="s">
        <v>97</v>
      </c>
      <c r="B36" s="160">
        <f>+Bois!$G36</f>
        <v>642.94494126367374</v>
      </c>
      <c r="C36" s="113">
        <f>+Madeleine!$G36</f>
        <v>962.83204246911623</v>
      </c>
      <c r="D36" s="113">
        <f>+Lens!$G36</f>
        <v>1020.5927369076688</v>
      </c>
      <c r="E36" s="344">
        <f>+Bois!E36+Madeleine!E36+Tourcoing!E36</f>
        <v>2693.73</v>
      </c>
      <c r="F36" s="270"/>
      <c r="G36" s="270">
        <v>0</v>
      </c>
      <c r="H36" s="161">
        <f>+Bois!G36+Madeleine!G36+Lens!G36</f>
        <v>2626.369720640459</v>
      </c>
      <c r="I36" s="149"/>
      <c r="J36" s="271"/>
      <c r="K36" s="18"/>
      <c r="L36" s="2">
        <v>0</v>
      </c>
    </row>
    <row r="37" spans="1:12" s="33" customFormat="1" ht="15.75" hidden="1" customHeight="1">
      <c r="A37" s="5" t="s">
        <v>98</v>
      </c>
      <c r="B37" s="160">
        <f>+Bois!$G37</f>
        <v>0</v>
      </c>
      <c r="C37" s="113">
        <f>+Madeleine!$G37</f>
        <v>0</v>
      </c>
      <c r="D37" s="113">
        <f>+Lens!$G37</f>
        <v>0</v>
      </c>
      <c r="E37" s="344">
        <f>+Bois!E37+Madeleine!E37+Tourcoing!E37</f>
        <v>0</v>
      </c>
      <c r="F37" s="270"/>
      <c r="G37" s="270">
        <v>0</v>
      </c>
      <c r="H37" s="161">
        <f>+Bois!G37+Madeleine!G37+Lens!G37</f>
        <v>0</v>
      </c>
      <c r="I37" s="149"/>
      <c r="J37" s="271"/>
      <c r="K37" s="18"/>
      <c r="L37" s="2">
        <f t="shared" si="0"/>
        <v>0</v>
      </c>
    </row>
    <row r="38" spans="1:12" s="2" customFormat="1" ht="11.25" hidden="1">
      <c r="A38" s="5" t="s">
        <v>99</v>
      </c>
      <c r="B38" s="160">
        <f>+Bois!$G38</f>
        <v>0</v>
      </c>
      <c r="C38" s="113">
        <f>+Madeleine!$G38</f>
        <v>0</v>
      </c>
      <c r="D38" s="113">
        <f>+Lens!$G38</f>
        <v>0</v>
      </c>
      <c r="E38" s="344">
        <f>+Bois!E38+Madeleine!E38+Tourcoing!E38</f>
        <v>20919.287500000006</v>
      </c>
      <c r="F38" s="270"/>
      <c r="G38" s="270">
        <v>0</v>
      </c>
      <c r="H38" s="161">
        <f>+Bois!G38+Madeleine!G38+Lens!G38</f>
        <v>0</v>
      </c>
      <c r="I38" s="149"/>
      <c r="J38" s="271"/>
      <c r="K38" s="18"/>
      <c r="L38" s="2">
        <v>0</v>
      </c>
    </row>
    <row r="39" spans="1:12" s="2" customFormat="1" ht="11.25" hidden="1">
      <c r="A39" s="5" t="s">
        <v>177</v>
      </c>
      <c r="B39" s="160">
        <f>+Bois!$G39</f>
        <v>0</v>
      </c>
      <c r="C39" s="113">
        <f>+Madeleine!$G39</f>
        <v>0</v>
      </c>
      <c r="D39" s="113">
        <f>+Lens!$G39</f>
        <v>0</v>
      </c>
      <c r="E39" s="344">
        <f>+Bois!E39+Madeleine!E39+Tourcoing!E39</f>
        <v>17641.23</v>
      </c>
      <c r="F39" s="270"/>
      <c r="G39" s="270">
        <v>0</v>
      </c>
      <c r="H39" s="161">
        <f>+Bois!G39+Madeleine!G39+Lens!G39</f>
        <v>0</v>
      </c>
      <c r="I39" s="149"/>
      <c r="J39" s="271"/>
      <c r="K39" s="18"/>
      <c r="L39" s="2">
        <v>0</v>
      </c>
    </row>
    <row r="40" spans="1:12" s="2" customFormat="1" ht="11.25" hidden="1">
      <c r="A40" s="5" t="s">
        <v>176</v>
      </c>
      <c r="B40" s="160">
        <f>+Bois!$G40</f>
        <v>0</v>
      </c>
      <c r="C40" s="113">
        <f>+Madeleine!$G40</f>
        <v>0</v>
      </c>
      <c r="D40" s="113">
        <f>+Lens!$G40</f>
        <v>0</v>
      </c>
      <c r="E40" s="344">
        <f>+Bois!E40+Madeleine!E40+Tourcoing!E40</f>
        <v>-11137.44</v>
      </c>
      <c r="F40" s="270"/>
      <c r="G40" s="270">
        <v>0</v>
      </c>
      <c r="H40" s="161">
        <f>+Bois!G40+Madeleine!G40+Lens!G40</f>
        <v>0</v>
      </c>
      <c r="I40" s="149"/>
      <c r="J40" s="271"/>
      <c r="K40" s="18"/>
      <c r="L40" s="2">
        <f t="shared" si="0"/>
        <v>0</v>
      </c>
    </row>
    <row r="41" spans="1:12" s="2" customFormat="1" ht="11.25" hidden="1">
      <c r="A41" s="5" t="s">
        <v>317</v>
      </c>
      <c r="B41" s="160">
        <f>+Bois!$G41</f>
        <v>-1704.0859550000002</v>
      </c>
      <c r="C41" s="113">
        <f>+Madeleine!$G41</f>
        <v>-7398.5498400000006</v>
      </c>
      <c r="D41" s="113">
        <f>+Lens!$G41</f>
        <v>-4373.4152880000001</v>
      </c>
      <c r="E41" s="344">
        <f>+Bois!E41+Madeleine!E41+Tourcoing!E41</f>
        <v>-19530.060000000001</v>
      </c>
      <c r="F41" s="270"/>
      <c r="G41" s="270">
        <v>0</v>
      </c>
      <c r="H41" s="161">
        <f>+Bois!G41+Madeleine!G41+Lens!G41</f>
        <v>-13476.051083</v>
      </c>
      <c r="I41" s="149"/>
      <c r="J41" s="271"/>
      <c r="K41" s="18"/>
      <c r="L41" s="2">
        <f t="shared" si="0"/>
        <v>0</v>
      </c>
    </row>
    <row r="42" spans="1:12" s="2" customFormat="1" ht="11.25" hidden="1">
      <c r="A42" s="5" t="s">
        <v>318</v>
      </c>
      <c r="B42" s="160">
        <f>+Bois!$G42</f>
        <v>-4879.8825075000004</v>
      </c>
      <c r="C42" s="113">
        <f>+Madeleine!$G42</f>
        <v>-21186.756359999999</v>
      </c>
      <c r="D42" s="113">
        <f>+Lens!$G42</f>
        <v>-11547.350891999999</v>
      </c>
      <c r="E42" s="344">
        <f>+Bois!E42+Madeleine!E42+Tourcoing!E42</f>
        <v>-37895.14</v>
      </c>
      <c r="F42" s="270"/>
      <c r="G42" s="270">
        <v>0</v>
      </c>
      <c r="H42" s="161">
        <f>+Bois!G42+Madeleine!G42+Lens!G42</f>
        <v>-37613.989759499993</v>
      </c>
      <c r="I42" s="149"/>
      <c r="J42" s="271"/>
      <c r="K42" s="18"/>
      <c r="L42" s="2">
        <f t="shared" si="0"/>
        <v>0</v>
      </c>
    </row>
    <row r="43" spans="1:12" s="2" customFormat="1" ht="11.25" hidden="1">
      <c r="A43" s="5"/>
      <c r="B43" s="160"/>
      <c r="C43" s="113"/>
      <c r="D43" s="113"/>
      <c r="E43" s="160"/>
      <c r="F43" s="113"/>
      <c r="G43" s="113"/>
      <c r="H43" s="162"/>
      <c r="I43" s="149"/>
      <c r="J43" s="254"/>
      <c r="K43" s="18"/>
      <c r="L43" s="2">
        <f t="shared" si="0"/>
        <v>0</v>
      </c>
    </row>
    <row r="44" spans="1:12" s="2" customFormat="1" ht="11.25" hidden="1">
      <c r="A44" s="13" t="s">
        <v>291</v>
      </c>
      <c r="B44" s="163">
        <f t="shared" ref="B44:H44" si="5">+B30+SUM(B34:B43)</f>
        <v>150553.90139100279</v>
      </c>
      <c r="C44" s="204">
        <f t="shared" si="5"/>
        <v>648161.36047490779</v>
      </c>
      <c r="D44" s="204">
        <f t="shared" si="5"/>
        <v>371508.76691297843</v>
      </c>
      <c r="E44" s="163">
        <f t="shared" si="5"/>
        <v>1050715.2375</v>
      </c>
      <c r="F44" s="204">
        <f t="shared" si="5"/>
        <v>1.4801961381497661</v>
      </c>
      <c r="G44" s="204">
        <f t="shared" si="5"/>
        <v>0</v>
      </c>
      <c r="H44" s="168">
        <f t="shared" si="5"/>
        <v>1170224.028778889</v>
      </c>
      <c r="I44" s="272"/>
      <c r="J44" s="188"/>
      <c r="K44" s="305"/>
      <c r="L44" s="2">
        <v>0</v>
      </c>
    </row>
    <row r="45" spans="1:12" s="2" customFormat="1" ht="11.25" hidden="1">
      <c r="A45" s="5"/>
      <c r="B45" s="160"/>
      <c r="C45" s="113"/>
      <c r="D45" s="113"/>
      <c r="E45" s="160"/>
      <c r="F45" s="113"/>
      <c r="G45" s="113"/>
      <c r="H45" s="162"/>
      <c r="I45" s="149"/>
      <c r="J45" s="254"/>
      <c r="K45" s="18"/>
      <c r="L45" s="2">
        <f t="shared" si="0"/>
        <v>0</v>
      </c>
    </row>
    <row r="46" spans="1:12" s="2" customFormat="1" ht="11.25" hidden="1">
      <c r="A46" s="56" t="s">
        <v>339</v>
      </c>
      <c r="B46" s="166">
        <f>+B21-B44</f>
        <v>105507.09860899721</v>
      </c>
      <c r="C46" s="221">
        <f>+C21-C44</f>
        <v>370922.63952509221</v>
      </c>
      <c r="D46" s="221">
        <f>+D21-D44</f>
        <v>209753.23308702157</v>
      </c>
      <c r="E46" s="166">
        <f>+E21-E44</f>
        <v>615795.88250000007</v>
      </c>
      <c r="F46" s="221">
        <f>+F21-F44</f>
        <v>1539635.014513361</v>
      </c>
      <c r="G46" s="221">
        <v>1802955.0746000004</v>
      </c>
      <c r="H46" s="167">
        <f>+H21-H44</f>
        <v>686182.97122111102</v>
      </c>
      <c r="I46" s="273"/>
      <c r="J46" s="274"/>
      <c r="K46" s="307"/>
      <c r="L46" s="2">
        <v>0</v>
      </c>
    </row>
    <row r="47" spans="1:12" s="2" customFormat="1" ht="11.25" hidden="1">
      <c r="A47" s="56" t="s">
        <v>340</v>
      </c>
      <c r="B47" s="196">
        <f>+B46/B21</f>
        <v>0.41203892279182386</v>
      </c>
      <c r="C47" s="222">
        <f>+C46/C21</f>
        <v>0.36397651177438978</v>
      </c>
      <c r="D47" s="222">
        <f>+D46/D21</f>
        <v>0.36085832737564399</v>
      </c>
      <c r="E47" s="196">
        <f>+E46/E21</f>
        <v>0.36951201531736555</v>
      </c>
      <c r="F47" s="222">
        <f>+F46/F21</f>
        <v>0.99999903860674699</v>
      </c>
      <c r="G47" s="222">
        <v>1</v>
      </c>
      <c r="H47" s="189">
        <f>+H46/H21</f>
        <v>0.36962959696936665</v>
      </c>
      <c r="I47" s="273"/>
      <c r="J47" s="274"/>
      <c r="K47" s="308"/>
      <c r="L47" s="2">
        <v>0</v>
      </c>
    </row>
    <row r="48" spans="1:12" s="2" customFormat="1" ht="15" hidden="1" customHeight="1">
      <c r="A48" s="5"/>
      <c r="B48" s="160"/>
      <c r="C48" s="113"/>
      <c r="D48" s="113"/>
      <c r="E48" s="160"/>
      <c r="F48" s="113"/>
      <c r="G48" s="113"/>
      <c r="H48" s="162"/>
      <c r="I48" s="149"/>
      <c r="J48" s="271"/>
      <c r="K48" s="18"/>
      <c r="L48" s="2">
        <f t="shared" si="0"/>
        <v>0</v>
      </c>
    </row>
    <row r="49" spans="1:12" s="2" customFormat="1" ht="11.25">
      <c r="A49" s="590" t="s">
        <v>91</v>
      </c>
      <c r="B49" s="805">
        <f>+Bois!$G49</f>
        <v>0</v>
      </c>
      <c r="C49" s="805">
        <f>+Madeleine!$G49</f>
        <v>18121</v>
      </c>
      <c r="D49" s="805">
        <f>+Lens!$G49</f>
        <v>5889</v>
      </c>
      <c r="E49" s="619">
        <f>+Bois!E49+Madeleine!E49+Tourcoing!E49</f>
        <v>20754.18</v>
      </c>
      <c r="F49" s="619">
        <f>+Bois!F49+Madeleine!F49+Lens!F49</f>
        <v>17597.026666666668</v>
      </c>
      <c r="G49" s="135">
        <v>27132.260000000002</v>
      </c>
      <c r="H49" s="1077">
        <f>+Bois!G49+Madeleine!G49+Lens!G49</f>
        <v>24010</v>
      </c>
      <c r="I49" s="1013">
        <f>+IF((D49)=0,,(E49-D49)/D49)</f>
        <v>2.5242282221090169</v>
      </c>
      <c r="J49" s="1014">
        <f>+IF((E49)=0,,(H49-E49)/E49)</f>
        <v>0.15687538606680676</v>
      </c>
      <c r="K49" s="805">
        <f>+Bois!D49+Madeleine!D49+Tourcoing!D49</f>
        <v>26873</v>
      </c>
      <c r="L49" s="678">
        <v>1</v>
      </c>
    </row>
    <row r="50" spans="1:12" s="2" customFormat="1" ht="15" hidden="1" customHeight="1">
      <c r="A50" s="5"/>
      <c r="B50" s="160"/>
      <c r="C50" s="113"/>
      <c r="D50" s="113"/>
      <c r="E50" s="344"/>
      <c r="F50" s="134"/>
      <c r="G50" s="134"/>
      <c r="H50" s="162"/>
      <c r="I50" s="149"/>
      <c r="J50" s="271"/>
      <c r="K50" s="18"/>
      <c r="L50" s="2">
        <f t="shared" si="0"/>
        <v>0</v>
      </c>
    </row>
    <row r="51" spans="1:12" s="2" customFormat="1" ht="10.5" customHeight="1">
      <c r="A51" s="13" t="s">
        <v>223</v>
      </c>
      <c r="B51" s="803">
        <f t="shared" ref="B51:H51" si="6">+B21-B49</f>
        <v>256061</v>
      </c>
      <c r="C51" s="803">
        <f t="shared" si="6"/>
        <v>1000963</v>
      </c>
      <c r="D51" s="803">
        <f t="shared" si="6"/>
        <v>575373</v>
      </c>
      <c r="E51" s="597">
        <f>+E21-E49</f>
        <v>1645756.9400000002</v>
      </c>
      <c r="F51" s="597">
        <f>+F21-F49</f>
        <v>1522039.4680428326</v>
      </c>
      <c r="G51" s="136">
        <v>1775822.8146000004</v>
      </c>
      <c r="H51" s="803">
        <f t="shared" si="6"/>
        <v>1832397</v>
      </c>
      <c r="I51" s="596"/>
      <c r="J51" s="1015"/>
      <c r="K51" s="803">
        <f>+K21-K49</f>
        <v>1673092</v>
      </c>
      <c r="L51" s="678">
        <v>1</v>
      </c>
    </row>
    <row r="52" spans="1:12" s="2" customFormat="1" ht="15" hidden="1" customHeight="1">
      <c r="A52" s="5"/>
      <c r="B52" s="160"/>
      <c r="C52" s="113"/>
      <c r="D52" s="113"/>
      <c r="E52" s="344"/>
      <c r="F52" s="134"/>
      <c r="G52" s="134"/>
      <c r="H52" s="162"/>
      <c r="I52" s="149"/>
      <c r="J52" s="254"/>
      <c r="K52" s="18"/>
      <c r="L52" s="2">
        <f t="shared" si="0"/>
        <v>0</v>
      </c>
    </row>
    <row r="53" spans="1:12" s="2" customFormat="1" ht="11.25" hidden="1">
      <c r="A53" s="16" t="s">
        <v>3</v>
      </c>
      <c r="B53" s="169">
        <f>+B51-B44</f>
        <v>105507.09860899721</v>
      </c>
      <c r="C53" s="223">
        <f>+C51-C44</f>
        <v>352801.63952509221</v>
      </c>
      <c r="D53" s="223">
        <f>+D51-D44</f>
        <v>203864.23308702157</v>
      </c>
      <c r="E53" s="169">
        <f>+E51-E44</f>
        <v>595041.70250000013</v>
      </c>
      <c r="F53" s="223"/>
      <c r="G53" s="140"/>
      <c r="H53" s="170"/>
      <c r="I53" s="224"/>
      <c r="J53" s="123"/>
      <c r="K53" s="309"/>
      <c r="L53" s="2">
        <v>0</v>
      </c>
    </row>
    <row r="54" spans="1:12" s="2" customFormat="1" ht="15" hidden="1" customHeight="1">
      <c r="A54" s="16" t="s">
        <v>4</v>
      </c>
      <c r="B54" s="197">
        <f>+B53/B51</f>
        <v>0.41203892279182386</v>
      </c>
      <c r="C54" s="224">
        <f>+C53/C51</f>
        <v>0.35246221840876457</v>
      </c>
      <c r="D54" s="224">
        <f>+D53/D51</f>
        <v>0.35431664865577905</v>
      </c>
      <c r="E54" s="197">
        <f>+E53/E51</f>
        <v>0.36156110786323042</v>
      </c>
      <c r="F54" s="224"/>
      <c r="G54" s="141"/>
      <c r="H54" s="191"/>
      <c r="I54" s="224"/>
      <c r="J54" s="123"/>
      <c r="K54" s="15"/>
      <c r="L54" s="2">
        <v>0</v>
      </c>
    </row>
    <row r="55" spans="1:12" s="2" customFormat="1" ht="11.25" hidden="1">
      <c r="A55" s="5"/>
      <c r="B55" s="160"/>
      <c r="C55" s="113"/>
      <c r="D55" s="113"/>
      <c r="E55" s="344"/>
      <c r="F55" s="134"/>
      <c r="G55" s="134"/>
      <c r="H55" s="162"/>
      <c r="I55" s="149"/>
      <c r="J55" s="271"/>
      <c r="K55" s="18"/>
      <c r="L55" s="2">
        <f t="shared" si="0"/>
        <v>0</v>
      </c>
    </row>
    <row r="56" spans="1:12" s="2" customFormat="1" ht="11.25" hidden="1">
      <c r="A56" s="5" t="s">
        <v>290</v>
      </c>
      <c r="B56" s="160">
        <f>+Bois!$G56</f>
        <v>0</v>
      </c>
      <c r="C56" s="113">
        <f>+Madeleine!$G56</f>
        <v>0</v>
      </c>
      <c r="D56" s="113">
        <f>+Lens!$G56</f>
        <v>0</v>
      </c>
      <c r="E56" s="344">
        <f>+Bois!E56+Madeleine!E56+Tourcoing!E56</f>
        <v>263448.18890000001</v>
      </c>
      <c r="F56" s="135">
        <f>+Bois!F56+Madeleine!F56+Tourcoing!F56</f>
        <v>0</v>
      </c>
      <c r="G56" s="134">
        <v>0</v>
      </c>
      <c r="H56" s="161">
        <f>+Bois!G56+Madeleine!G56+Lens!G56</f>
        <v>0</v>
      </c>
      <c r="I56" s="149"/>
      <c r="J56" s="271"/>
      <c r="K56" s="18"/>
      <c r="L56" s="2">
        <v>0</v>
      </c>
    </row>
    <row r="57" spans="1:12" s="2" customFormat="1" ht="11.25" hidden="1">
      <c r="A57" s="5" t="s">
        <v>100</v>
      </c>
      <c r="B57" s="160">
        <f>+Bois!$G57</f>
        <v>0</v>
      </c>
      <c r="C57" s="113">
        <f>+Madeleine!$G57</f>
        <v>0</v>
      </c>
      <c r="D57" s="113">
        <f>+Lens!$G57</f>
        <v>0</v>
      </c>
      <c r="E57" s="344">
        <f>+Bois!E57+Madeleine!E57+Tourcoing!E57</f>
        <v>242528.9014</v>
      </c>
      <c r="F57" s="135">
        <f>+Bois!F57+Madeleine!F57+Tourcoing!F57</f>
        <v>0</v>
      </c>
      <c r="G57" s="134">
        <v>0</v>
      </c>
      <c r="H57" s="161">
        <f>+Bois!G57+Madeleine!G57+Lens!G57</f>
        <v>0</v>
      </c>
      <c r="I57" s="149"/>
      <c r="J57" s="271"/>
      <c r="K57" s="18"/>
      <c r="L57" s="2">
        <v>0</v>
      </c>
    </row>
    <row r="58" spans="1:12" s="2" customFormat="1" ht="12" hidden="1" thickBot="1">
      <c r="A58" s="21"/>
      <c r="B58" s="171"/>
      <c r="C58" s="205"/>
      <c r="D58" s="205"/>
      <c r="E58" s="374"/>
      <c r="F58" s="142"/>
      <c r="G58" s="142"/>
      <c r="H58" s="172"/>
      <c r="I58" s="236"/>
      <c r="J58" s="275"/>
      <c r="K58" s="310"/>
      <c r="L58" s="2">
        <f t="shared" si="0"/>
        <v>0</v>
      </c>
    </row>
    <row r="59" spans="1:12" s="2" customFormat="1" ht="11.25" hidden="1">
      <c r="A59" s="5"/>
      <c r="B59" s="160"/>
      <c r="C59" s="113"/>
      <c r="D59" s="113"/>
      <c r="E59" s="344"/>
      <c r="F59" s="134"/>
      <c r="G59" s="134"/>
      <c r="H59" s="162"/>
      <c r="I59" s="149"/>
      <c r="J59" s="254"/>
      <c r="K59" s="18"/>
      <c r="L59" s="2">
        <f t="shared" si="0"/>
        <v>0</v>
      </c>
    </row>
    <row r="60" spans="1:12" s="2" customFormat="1" ht="15" customHeight="1">
      <c r="A60" s="16" t="s">
        <v>295</v>
      </c>
      <c r="B60" s="660">
        <f>+Bois!$G60</f>
        <v>0.41203892279182397</v>
      </c>
      <c r="C60" s="660">
        <f>+Madeleine!$G60</f>
        <v>0.35246221840876457</v>
      </c>
      <c r="D60" s="660">
        <f>+Lens!$G60</f>
        <v>0.35431664865577905</v>
      </c>
      <c r="E60" s="660">
        <f>+E62/E51</f>
        <v>0.36156110786323042</v>
      </c>
      <c r="F60" s="660">
        <f>+F62/F51</f>
        <v>0.36416036361519927</v>
      </c>
      <c r="G60" s="224">
        <v>0.35543223926906964</v>
      </c>
      <c r="H60" s="660">
        <f>+H62/H51</f>
        <v>0.36136981845152061</v>
      </c>
      <c r="I60" s="660"/>
      <c r="J60" s="622"/>
      <c r="K60" s="660">
        <f>+K62/K51</f>
        <v>0.37088874969218666</v>
      </c>
      <c r="L60" s="678">
        <f t="shared" si="0"/>
        <v>1</v>
      </c>
    </row>
    <row r="61" spans="1:12" s="2" customFormat="1" ht="11.25" hidden="1">
      <c r="A61" s="5" t="s">
        <v>75</v>
      </c>
      <c r="B61" s="92">
        <f>+Bois!$G61</f>
        <v>0</v>
      </c>
      <c r="C61" s="149">
        <f>+Madeleine!$G61</f>
        <v>0</v>
      </c>
      <c r="D61" s="149">
        <f>+Lens!$G61</f>
        <v>0</v>
      </c>
      <c r="E61" s="344"/>
      <c r="F61" s="135"/>
      <c r="G61" s="135"/>
      <c r="H61" s="162"/>
      <c r="I61" s="149"/>
      <c r="J61" s="254"/>
      <c r="K61" s="18"/>
      <c r="L61" s="2">
        <f t="shared" si="0"/>
        <v>0</v>
      </c>
    </row>
    <row r="62" spans="1:12" s="2" customFormat="1" ht="15" customHeight="1">
      <c r="A62" s="16" t="s">
        <v>296</v>
      </c>
      <c r="B62" s="661">
        <f>+B51*B60</f>
        <v>105507.09860899724</v>
      </c>
      <c r="C62" s="661">
        <f>+C51*C60</f>
        <v>352801.63952509221</v>
      </c>
      <c r="D62" s="661">
        <f>+D51*D60</f>
        <v>203864.23308702157</v>
      </c>
      <c r="E62" s="624">
        <f>+Bois!E62+Madeleine!E62+Tourcoing!E62</f>
        <v>595041.70250000013</v>
      </c>
      <c r="F62" s="624">
        <f>+Bois!F62+Madeleine!F62+Lens!F62</f>
        <v>554266.44611916237</v>
      </c>
      <c r="G62" s="140">
        <v>631184.67953838001</v>
      </c>
      <c r="H62" s="661">
        <f>+Bois!G62+Madeleine!G62+Lens!G62</f>
        <v>662172.97122111102</v>
      </c>
      <c r="I62" s="660">
        <f>+IF((D62)=0,,(E62-D62)/D62)</f>
        <v>1.9188136314524598</v>
      </c>
      <c r="J62" s="622">
        <f>+IF((E62)=0,,(H62-E62)/E62)</f>
        <v>0.11281775451882865</v>
      </c>
      <c r="K62" s="661">
        <f>+Bois!D62+Madeleine!D62+Tourcoing!D62</f>
        <v>620531</v>
      </c>
      <c r="L62" s="678">
        <f t="shared" si="0"/>
        <v>1</v>
      </c>
    </row>
    <row r="63" spans="1:12" s="2" customFormat="1" ht="11.25" hidden="1">
      <c r="A63" s="5"/>
      <c r="B63" s="160"/>
      <c r="C63" s="113"/>
      <c r="D63" s="113"/>
      <c r="E63" s="344"/>
      <c r="F63" s="134"/>
      <c r="G63" s="134"/>
      <c r="H63" s="162"/>
      <c r="I63" s="149"/>
      <c r="J63" s="271"/>
      <c r="K63" s="18"/>
      <c r="L63" s="2">
        <f t="shared" si="0"/>
        <v>0</v>
      </c>
    </row>
    <row r="64" spans="1:12" s="2" customFormat="1" ht="11.25">
      <c r="A64" s="590" t="s">
        <v>104</v>
      </c>
      <c r="B64" s="805">
        <f>+Bois!$G64</f>
        <v>0</v>
      </c>
      <c r="C64" s="805">
        <f>+Madeleine!$G64</f>
        <v>696.25253333333342</v>
      </c>
      <c r="D64" s="805">
        <f>+Lens!$G64</f>
        <v>3772.7801333333337</v>
      </c>
      <c r="E64" s="619">
        <f>+Bois!E64+Madeleine!E64+Tourcoing!E64</f>
        <v>3272.32</v>
      </c>
      <c r="F64" s="619">
        <f>+Bois!F64+Madeleine!F64+Lens!F64</f>
        <v>4338.8666666666668</v>
      </c>
      <c r="G64" s="135">
        <v>3676.695725</v>
      </c>
      <c r="H64" s="1077">
        <f>+Bois!G64+Madeleine!G64+Lens!G64</f>
        <v>4469.032666666667</v>
      </c>
      <c r="I64" s="1013">
        <f>+IF((D64)=0,,(E64-D64)/D64)</f>
        <v>-0.13265022493933831</v>
      </c>
      <c r="J64" s="1014">
        <f>+IF((E64)=0,,(H64-E64)/E64)</f>
        <v>0.36570771399700114</v>
      </c>
      <c r="K64" s="805">
        <f>+Bois!D64+Madeleine!D64+Tourcoing!D64</f>
        <v>2595.9334250000002</v>
      </c>
      <c r="L64" s="678">
        <f t="shared" si="0"/>
        <v>1</v>
      </c>
    </row>
    <row r="65" spans="1:12" s="2" customFormat="1" ht="11.25" hidden="1">
      <c r="A65" s="5" t="s">
        <v>314</v>
      </c>
      <c r="B65" s="160">
        <f>+Bois!$G65</f>
        <v>0</v>
      </c>
      <c r="C65" s="113">
        <f>+Madeleine!$G65</f>
        <v>0</v>
      </c>
      <c r="D65" s="113">
        <f>+Lens!$G65</f>
        <v>0</v>
      </c>
      <c r="E65" s="344">
        <f>+Bois!E65+Madeleine!E65+Tourcoing!E65</f>
        <v>0</v>
      </c>
      <c r="F65" s="135">
        <f>+Bois!F65+Madeleine!F65+Tourcoing!F65</f>
        <v>0</v>
      </c>
      <c r="G65" s="135">
        <v>0</v>
      </c>
      <c r="H65" s="161">
        <f>+Bois!G65+Madeleine!G65+Lens!G65</f>
        <v>0</v>
      </c>
      <c r="I65" s="149">
        <f>+IF((D65)=0,,(E65-D65)/D65)</f>
        <v>0</v>
      </c>
      <c r="J65" s="271">
        <f>+IF((E65)=0,,(H65-E65)/E65)</f>
        <v>0</v>
      </c>
      <c r="K65" s="18">
        <f>+Bois!D65+Madeleine!D65+Tourcoing!D65</f>
        <v>0</v>
      </c>
      <c r="L65" s="2">
        <f t="shared" si="0"/>
        <v>0</v>
      </c>
    </row>
    <row r="66" spans="1:12" s="2" customFormat="1" ht="15" customHeight="1">
      <c r="A66" s="590" t="s">
        <v>110</v>
      </c>
      <c r="B66" s="805">
        <f>+Bois!$G66</f>
        <v>661.3836</v>
      </c>
      <c r="C66" s="805">
        <f>+Madeleine!$G66</f>
        <v>692.68186666666668</v>
      </c>
      <c r="D66" s="805">
        <f>+Lens!$G66</f>
        <v>669.51373333333333</v>
      </c>
      <c r="E66" s="619">
        <f>+Bois!E66+Madeleine!E66+Tourcoing!E66</f>
        <v>2294.17</v>
      </c>
      <c r="F66" s="619">
        <f>+Bois!F66+Madeleine!F66+Lens!F66</f>
        <v>1964.6399999999999</v>
      </c>
      <c r="G66" s="135">
        <v>1999.5441499999999</v>
      </c>
      <c r="H66" s="1077">
        <f>+Bois!G66+Madeleine!G66+Lens!G66</f>
        <v>2023.5792000000001</v>
      </c>
      <c r="I66" s="1013">
        <f>+IF((D66)=0,,(E66-D66)/D66)</f>
        <v>2.4266212711992168</v>
      </c>
      <c r="J66" s="1014">
        <f>+IF((E66)=0,,(H66-E66)/E66)</f>
        <v>-0.11794714428311762</v>
      </c>
      <c r="K66" s="805">
        <f>+Bois!D66+Madeleine!D66+Tourcoing!D66</f>
        <v>1776.6564499999999</v>
      </c>
      <c r="L66" s="678">
        <f t="shared" si="0"/>
        <v>1</v>
      </c>
    </row>
    <row r="67" spans="1:12" s="2" customFormat="1" ht="11.25">
      <c r="A67" s="590" t="s">
        <v>107</v>
      </c>
      <c r="B67" s="805">
        <f>+Bois!$G67</f>
        <v>367.84733333333332</v>
      </c>
      <c r="C67" s="805">
        <f>+Madeleine!$G67</f>
        <v>608.77120000000002</v>
      </c>
      <c r="D67" s="805">
        <f>+Lens!$G67</f>
        <v>1369.6665333333333</v>
      </c>
      <c r="E67" s="619">
        <f>+Bois!E67+Madeleine!E67+Tourcoing!E67</f>
        <v>3928.16</v>
      </c>
      <c r="F67" s="619">
        <f>+Bois!F67+Madeleine!F67+Lens!F67</f>
        <v>2277.9466666666667</v>
      </c>
      <c r="G67" s="135">
        <v>3397.6404000000002</v>
      </c>
      <c r="H67" s="1077">
        <f>+Bois!G67+Madeleine!G67+Lens!G67</f>
        <v>2346.2850666666664</v>
      </c>
      <c r="I67" s="1013">
        <f>+IF((D67)=0,,(E67-D67)/D67)</f>
        <v>1.8679681545843909</v>
      </c>
      <c r="J67" s="1014">
        <f>+IF((E67)=0,,(H67-E67)/E67)</f>
        <v>-0.40270124774279398</v>
      </c>
      <c r="K67" s="805">
        <f>+Bois!D67+Madeleine!D67+Tourcoing!D67</f>
        <v>2676.6484</v>
      </c>
      <c r="L67" s="678">
        <f t="shared" si="0"/>
        <v>1</v>
      </c>
    </row>
    <row r="68" spans="1:12" s="2" customFormat="1" ht="18.75" customHeight="1">
      <c r="A68" s="590" t="s">
        <v>125</v>
      </c>
      <c r="B68" s="805">
        <f>+Bois!$G68</f>
        <v>643.9559999999999</v>
      </c>
      <c r="C68" s="805">
        <f>+Madeleine!$G68</f>
        <v>1504.9947999999999</v>
      </c>
      <c r="D68" s="805">
        <f>+Lens!$G68</f>
        <v>1349.5884000000001</v>
      </c>
      <c r="E68" s="619">
        <f>+Bois!E68+Madeleine!E68+Tourcoing!E68</f>
        <v>4644.41</v>
      </c>
      <c r="F68" s="619">
        <f>+Bois!F68+Madeleine!F68+Lens!F68</f>
        <v>3396.6399999999994</v>
      </c>
      <c r="G68" s="135">
        <v>5168.0456000000013</v>
      </c>
      <c r="H68" s="1077">
        <f>+Bois!G68+Madeleine!G68+Lens!G68</f>
        <v>3498.5391999999997</v>
      </c>
      <c r="I68" s="1013">
        <f>+IF((D68)=0,,(E68-D68)/D68)</f>
        <v>2.441352933976018</v>
      </c>
      <c r="J68" s="1014">
        <f>+IF((E68)=0,,(H68-E68)/E68)</f>
        <v>-0.24672042304619968</v>
      </c>
      <c r="K68" s="805">
        <f>+Bois!D68+Madeleine!D68+Tourcoing!D68</f>
        <v>4506.1885000000002</v>
      </c>
      <c r="L68" s="678">
        <f t="shared" si="0"/>
        <v>1</v>
      </c>
    </row>
    <row r="69" spans="1:12" s="2" customFormat="1" ht="11.25" hidden="1">
      <c r="A69" s="5"/>
      <c r="B69" s="160"/>
      <c r="C69" s="113"/>
      <c r="D69" s="113"/>
      <c r="E69" s="344"/>
      <c r="F69" s="143"/>
      <c r="G69" s="143"/>
      <c r="H69" s="161"/>
      <c r="I69" s="149"/>
      <c r="J69" s="271"/>
      <c r="K69" s="18"/>
      <c r="L69" s="2">
        <f t="shared" si="0"/>
        <v>0</v>
      </c>
    </row>
    <row r="70" spans="1:12" s="2" customFormat="1" ht="11.25">
      <c r="A70" s="11" t="s">
        <v>128</v>
      </c>
      <c r="B70" s="1028">
        <f t="shared" ref="B70:H70" si="7">SUM(B64:B69)</f>
        <v>1673.1869333333332</v>
      </c>
      <c r="C70" s="1028">
        <f t="shared" si="7"/>
        <v>3502.7004000000002</v>
      </c>
      <c r="D70" s="1028">
        <f t="shared" si="7"/>
        <v>7161.5488000000005</v>
      </c>
      <c r="E70" s="1029">
        <f>SUM(E64:E69)</f>
        <v>14139.06</v>
      </c>
      <c r="F70" s="1029">
        <f>SUM(F64:F69)</f>
        <v>11978.093333333332</v>
      </c>
      <c r="G70" s="144">
        <v>14241.925875000001</v>
      </c>
      <c r="H70" s="1078">
        <f t="shared" si="7"/>
        <v>12337.436133333333</v>
      </c>
      <c r="I70" s="626">
        <f>+IF((D70)=0,,(E70-D70)/D70)</f>
        <v>0.97430198339219565</v>
      </c>
      <c r="J70" s="1014">
        <f>+IF((E70)=0,,(H70-E70)/E70)</f>
        <v>-0.12742175693905158</v>
      </c>
      <c r="K70" s="805">
        <f>SUM(K64:K69)</f>
        <v>11555.426775</v>
      </c>
      <c r="L70" s="678">
        <f t="shared" si="0"/>
        <v>1</v>
      </c>
    </row>
    <row r="71" spans="1:12" s="2" customFormat="1" ht="11.25" hidden="1">
      <c r="A71" s="5"/>
      <c r="B71" s="160"/>
      <c r="C71" s="113"/>
      <c r="D71" s="113"/>
      <c r="E71" s="344"/>
      <c r="F71" s="143"/>
      <c r="G71" s="143"/>
      <c r="H71" s="161"/>
      <c r="I71" s="149"/>
      <c r="J71" s="271"/>
      <c r="K71" s="18"/>
      <c r="L71" s="2">
        <f t="shared" si="0"/>
        <v>0</v>
      </c>
    </row>
    <row r="72" spans="1:12" s="2" customFormat="1" ht="11.25">
      <c r="A72" s="590" t="s">
        <v>1</v>
      </c>
      <c r="B72" s="805">
        <f>+Bois!$G72</f>
        <v>0</v>
      </c>
      <c r="C72" s="805">
        <f>+Madeleine!$G72</f>
        <v>1.3458666666666668</v>
      </c>
      <c r="D72" s="805">
        <f>+Lens!$G72</f>
        <v>0</v>
      </c>
      <c r="E72" s="619">
        <f>+Bois!E72+Madeleine!E72+Tourcoing!E72</f>
        <v>25.42</v>
      </c>
      <c r="F72" s="619">
        <f>+Bois!F72+Madeleine!F72+Lens!F72</f>
        <v>1.3066666666666666</v>
      </c>
      <c r="G72" s="135">
        <v>7.1046818381177088</v>
      </c>
      <c r="H72" s="1077">
        <f>+Bois!G72+Madeleine!G72+Lens!G72</f>
        <v>1.3458666666666668</v>
      </c>
      <c r="I72" s="1013">
        <f>+IF((D72)=0,,(E72-D72)/D72)</f>
        <v>0</v>
      </c>
      <c r="J72" s="1014">
        <f>+IF((E72)=0,,(H72-E72)/E72)</f>
        <v>-0.94705481248360879</v>
      </c>
      <c r="K72" s="805">
        <f>+Bois!D72+Madeleine!D72+Tourcoing!D72</f>
        <v>7.1046818381177088</v>
      </c>
      <c r="L72" s="678">
        <f t="shared" ref="L72:L135" si="8">IF(SUM(A72:K72)&gt;0,1,0)</f>
        <v>1</v>
      </c>
    </row>
    <row r="73" spans="1:12" s="2" customFormat="1" ht="11.25">
      <c r="A73" s="590" t="s">
        <v>123</v>
      </c>
      <c r="B73" s="805">
        <f>+Bois!$G73</f>
        <v>0</v>
      </c>
      <c r="C73" s="805">
        <f>+Madeleine!$G73</f>
        <v>2676.4206666666669</v>
      </c>
      <c r="D73" s="805">
        <f>+Lens!$G73</f>
        <v>872.94560000000001</v>
      </c>
      <c r="E73" s="619">
        <f>+Bois!E73+Madeleine!E73+Tourcoing!E73</f>
        <v>6422.28</v>
      </c>
      <c r="F73" s="619">
        <f>+Bois!F73+Madeleine!F73+Lens!F73</f>
        <v>3445.9866666666667</v>
      </c>
      <c r="G73" s="135">
        <v>7154.0898261782395</v>
      </c>
      <c r="H73" s="1077">
        <f>+Bois!G73+Madeleine!G73+Lens!G73</f>
        <v>3549.3662666666669</v>
      </c>
      <c r="I73" s="1013">
        <f t="shared" ref="I73:I101" si="9">+IF((D73)=0,,(E73-D73)/D73)</f>
        <v>6.3570220183250816</v>
      </c>
      <c r="J73" s="1014">
        <f t="shared" ref="J73:J101" si="10">+IF((E73)=0,,(H73-E73)/E73)</f>
        <v>-0.44733548417903501</v>
      </c>
      <c r="K73" s="805">
        <f>+Bois!D73+Madeleine!D73+Tourcoing!D73</f>
        <v>4380.7917475021368</v>
      </c>
      <c r="L73" s="678">
        <f t="shared" si="8"/>
        <v>1</v>
      </c>
    </row>
    <row r="74" spans="1:12" s="2" customFormat="1" ht="11.25">
      <c r="A74" s="590" t="s">
        <v>124</v>
      </c>
      <c r="B74" s="805">
        <f>+Bois!$G74</f>
        <v>0</v>
      </c>
      <c r="C74" s="805">
        <f>+Madeleine!$G74</f>
        <v>-518.28226666666671</v>
      </c>
      <c r="D74" s="805">
        <f>+Lens!$G74</f>
        <v>5415.0121333333336</v>
      </c>
      <c r="E74" s="619">
        <f>+Bois!E74+Madeleine!E74+Tourcoing!E74</f>
        <v>9541.5</v>
      </c>
      <c r="F74" s="619">
        <f>+Bois!F74+Madeleine!F74+Lens!F74</f>
        <v>4754.1066666666666</v>
      </c>
      <c r="G74" s="135">
        <v>9246.5318354584015</v>
      </c>
      <c r="H74" s="1077">
        <f>+Bois!G74+Madeleine!G74+Lens!G74</f>
        <v>4896.7298666666666</v>
      </c>
      <c r="I74" s="1013">
        <f t="shared" si="9"/>
        <v>0.76204591329816895</v>
      </c>
      <c r="J74" s="1014">
        <f t="shared" si="10"/>
        <v>-0.48679663924260685</v>
      </c>
      <c r="K74" s="805">
        <f>+Bois!D74+Madeleine!D74+Tourcoing!D74</f>
        <v>6058.4113516403359</v>
      </c>
      <c r="L74" s="678">
        <f t="shared" si="8"/>
        <v>1</v>
      </c>
    </row>
    <row r="75" spans="1:12" s="2" customFormat="1" ht="11.25" hidden="1">
      <c r="A75" s="5" t="s">
        <v>360</v>
      </c>
      <c r="B75" s="160">
        <f>+Bois!$G75</f>
        <v>0</v>
      </c>
      <c r="C75" s="113">
        <f>+Madeleine!$G75</f>
        <v>0</v>
      </c>
      <c r="D75" s="113">
        <f>+Lens!$G75</f>
        <v>0</v>
      </c>
      <c r="E75" s="344">
        <f>+Bois!E75+Madeleine!E75+Tourcoing!E75</f>
        <v>0</v>
      </c>
      <c r="F75" s="135">
        <f>+Bois!F75+Madeleine!F75+Tourcoing!F75</f>
        <v>0</v>
      </c>
      <c r="G75" s="135">
        <v>0</v>
      </c>
      <c r="H75" s="161">
        <f>+Bois!G75+Madeleine!G75+Lens!G75</f>
        <v>0</v>
      </c>
      <c r="I75" s="149">
        <f t="shared" si="9"/>
        <v>0</v>
      </c>
      <c r="J75" s="271">
        <f t="shared" si="10"/>
        <v>0</v>
      </c>
      <c r="K75" s="18">
        <f>+Bois!D75+Madeleine!D75+Tourcoing!D75</f>
        <v>0</v>
      </c>
      <c r="L75" s="678">
        <f t="shared" si="8"/>
        <v>0</v>
      </c>
    </row>
    <row r="76" spans="1:12" s="2" customFormat="1" ht="11.25">
      <c r="A76" s="590" t="s">
        <v>126</v>
      </c>
      <c r="B76" s="805">
        <f>+Bois!$G76</f>
        <v>10.272533333333334</v>
      </c>
      <c r="C76" s="805">
        <f>+Madeleine!$G76</f>
        <v>0</v>
      </c>
      <c r="D76" s="805">
        <f>+Lens!$G76</f>
        <v>137.55306666666667</v>
      </c>
      <c r="E76" s="619">
        <f>+Bois!E76+Madeleine!E76+Tourcoing!E76</f>
        <v>305.03999999999996</v>
      </c>
      <c r="F76" s="619">
        <f>+Bois!F76+Madeleine!F76+Lens!F76</f>
        <v>143.51999999999998</v>
      </c>
      <c r="G76" s="135">
        <v>140.94750373662501</v>
      </c>
      <c r="H76" s="1077">
        <f>+Bois!G76+Madeleine!G76+Lens!G76</f>
        <v>147.82560000000001</v>
      </c>
      <c r="I76" s="1013">
        <f t="shared" si="9"/>
        <v>1.2176168615651848</v>
      </c>
      <c r="J76" s="1014">
        <f t="shared" si="10"/>
        <v>-0.51538945712037754</v>
      </c>
      <c r="K76" s="805">
        <f>+Bois!D76+Madeleine!D76+Tourcoing!D76</f>
        <v>140.94750373662501</v>
      </c>
      <c r="L76" s="678">
        <f t="shared" si="8"/>
        <v>1</v>
      </c>
    </row>
    <row r="77" spans="1:12" s="2" customFormat="1" ht="11.25">
      <c r="A77" s="590" t="s">
        <v>127</v>
      </c>
      <c r="B77" s="805">
        <f>+Bois!$G77</f>
        <v>373.76640000000003</v>
      </c>
      <c r="C77" s="805">
        <f>+Madeleine!$G77</f>
        <v>1591.9680000000001</v>
      </c>
      <c r="D77" s="805">
        <f>+Lens!$G77</f>
        <v>779.07826666666654</v>
      </c>
      <c r="E77" s="619">
        <f>+Bois!E77+Madeleine!E77+Tourcoing!E77</f>
        <v>5980.3</v>
      </c>
      <c r="F77" s="619">
        <f>+Bois!F77+Madeleine!F77+Lens!F77</f>
        <v>2664.8666666666668</v>
      </c>
      <c r="G77" s="135">
        <v>3939.397823514797</v>
      </c>
      <c r="H77" s="1077">
        <f>+Bois!G77+Madeleine!G77+Lens!G77</f>
        <v>2744.8126666666667</v>
      </c>
      <c r="I77" s="1013">
        <f t="shared" si="9"/>
        <v>6.6761222278566121</v>
      </c>
      <c r="J77" s="1014">
        <f t="shared" si="10"/>
        <v>-0.54102425184912684</v>
      </c>
      <c r="K77" s="805">
        <f>+Bois!D77+Madeleine!D77+Tourcoing!D77</f>
        <v>3106.5217076405734</v>
      </c>
      <c r="L77" s="678">
        <f t="shared" si="8"/>
        <v>1</v>
      </c>
    </row>
    <row r="78" spans="1:12" s="2" customFormat="1" ht="11.25">
      <c r="A78" s="590" t="s">
        <v>101</v>
      </c>
      <c r="B78" s="805">
        <f>+Bois!$G78</f>
        <v>0</v>
      </c>
      <c r="C78" s="805">
        <f>+Madeleine!$G78</f>
        <v>0</v>
      </c>
      <c r="D78" s="805">
        <f>+Lens!$G78</f>
        <v>32.135999999999996</v>
      </c>
      <c r="E78" s="619">
        <f>+Bois!E78+Madeleine!E78+Tourcoing!E78</f>
        <v>209.02</v>
      </c>
      <c r="F78" s="619">
        <f>+Bois!F78+Madeleine!F78+Lens!F78</f>
        <v>31.199999999999996</v>
      </c>
      <c r="G78" s="135">
        <v>224.19347385035002</v>
      </c>
      <c r="H78" s="1077">
        <f>+Bois!G78+Madeleine!G78+Lens!G78</f>
        <v>32.135999999999996</v>
      </c>
      <c r="I78" s="1013">
        <f t="shared" si="9"/>
        <v>5.5042320139407526</v>
      </c>
      <c r="J78" s="1014">
        <f t="shared" si="10"/>
        <v>-0.84625394699071865</v>
      </c>
      <c r="K78" s="805">
        <f>+Bois!D78+Madeleine!D78+Tourcoing!D78</f>
        <v>224.19347385035002</v>
      </c>
      <c r="L78" s="678">
        <f t="shared" si="8"/>
        <v>1</v>
      </c>
    </row>
    <row r="79" spans="1:12" s="2" customFormat="1" ht="11.25">
      <c r="A79" s="590" t="s">
        <v>102</v>
      </c>
      <c r="B79" s="805">
        <f>+Bois!$G79</f>
        <v>7686</v>
      </c>
      <c r="C79" s="805">
        <f>+Madeleine!$G79</f>
        <v>35219.435736677115</v>
      </c>
      <c r="D79" s="805">
        <f>+Lens!$G79</f>
        <v>19992.933333333334</v>
      </c>
      <c r="E79" s="619">
        <f>+Bois!E79+Madeleine!E79+Tourcoing!E79</f>
        <v>77280.149999999994</v>
      </c>
      <c r="F79" s="619">
        <f>+Bois!F79+Madeleine!F79+Lens!F79</f>
        <v>63462.42</v>
      </c>
      <c r="G79" s="135">
        <v>77381.068002125015</v>
      </c>
      <c r="H79" s="1077">
        <f>+Bois!G79+Madeleine!G79+Lens!G79</f>
        <v>62898.369070010449</v>
      </c>
      <c r="I79" s="1013">
        <f t="shared" si="9"/>
        <v>2.8653732652203776</v>
      </c>
      <c r="J79" s="1014">
        <f t="shared" si="10"/>
        <v>-0.18609928849762256</v>
      </c>
      <c r="K79" s="805">
        <f>+Bois!D79+Madeleine!D79+Tourcoing!D79</f>
        <v>62689.945999999996</v>
      </c>
      <c r="L79" s="678">
        <f t="shared" si="8"/>
        <v>1</v>
      </c>
    </row>
    <row r="80" spans="1:12" s="2" customFormat="1" ht="11.25">
      <c r="A80" s="590" t="s">
        <v>325</v>
      </c>
      <c r="B80" s="805">
        <f>+Bois!$G80</f>
        <v>2659.9853000000003</v>
      </c>
      <c r="C80" s="805">
        <f>+Madeleine!$G80</f>
        <v>7560.7768000000005</v>
      </c>
      <c r="D80" s="805">
        <f>+Lens!$G80</f>
        <v>0</v>
      </c>
      <c r="E80" s="619">
        <f>+Bois!E80+Madeleine!E80+Tourcoing!E80</f>
        <v>7091.42</v>
      </c>
      <c r="F80" s="619">
        <f>+Bois!F80+Madeleine!F80+Lens!F80</f>
        <v>9923.07</v>
      </c>
      <c r="G80" s="135">
        <v>6546.9481904334089</v>
      </c>
      <c r="H80" s="1077">
        <f>+Bois!G80+Madeleine!G80+Lens!G80</f>
        <v>10220.7621</v>
      </c>
      <c r="I80" s="1013">
        <f t="shared" si="9"/>
        <v>0</v>
      </c>
      <c r="J80" s="1014">
        <f t="shared" si="10"/>
        <v>0.4412856804419989</v>
      </c>
      <c r="K80" s="805">
        <f>+Bois!D80+Madeleine!D80+Tourcoing!D80</f>
        <v>6546.9481904334089</v>
      </c>
      <c r="L80" s="678">
        <f t="shared" si="8"/>
        <v>1</v>
      </c>
    </row>
    <row r="81" spans="1:12" s="2" customFormat="1" ht="11.25">
      <c r="A81" s="590" t="s">
        <v>103</v>
      </c>
      <c r="B81" s="805">
        <f>+Bois!$G81</f>
        <v>0</v>
      </c>
      <c r="C81" s="805">
        <f>+Madeleine!$G81</f>
        <v>0</v>
      </c>
      <c r="D81" s="805">
        <f>+Lens!$G81</f>
        <v>0</v>
      </c>
      <c r="E81" s="619">
        <f>+Bois!E81+Madeleine!E81+Tourcoing!E81</f>
        <v>0</v>
      </c>
      <c r="F81" s="619">
        <f>+Bois!F81+Madeleine!F81+Lens!F81</f>
        <v>0</v>
      </c>
      <c r="G81" s="135">
        <v>1.270105427951389</v>
      </c>
      <c r="H81" s="1077">
        <f>+Bois!G81+Madeleine!G81+Lens!G81</f>
        <v>0</v>
      </c>
      <c r="I81" s="1013">
        <f t="shared" si="9"/>
        <v>0</v>
      </c>
      <c r="J81" s="1014">
        <f t="shared" si="10"/>
        <v>0</v>
      </c>
      <c r="K81" s="805">
        <f>+Bois!D81+Madeleine!D81+Tourcoing!D81</f>
        <v>1.270105427951389</v>
      </c>
      <c r="L81" s="678">
        <f t="shared" si="8"/>
        <v>1</v>
      </c>
    </row>
    <row r="82" spans="1:12" s="2" customFormat="1" ht="11.25">
      <c r="A82" s="590" t="s">
        <v>105</v>
      </c>
      <c r="B82" s="805">
        <f>+Bois!$G82</f>
        <v>185.4</v>
      </c>
      <c r="C82" s="805">
        <f>+Madeleine!$G82</f>
        <v>332.34666666666669</v>
      </c>
      <c r="D82" s="805">
        <f>+Lens!$G82</f>
        <v>185.4</v>
      </c>
      <c r="E82" s="619">
        <f>+Bois!E82+Madeleine!E82+Tourcoing!E82</f>
        <v>540</v>
      </c>
      <c r="F82" s="619">
        <f>+Bois!F82+Madeleine!F82+Lens!F82</f>
        <v>682.66666666666674</v>
      </c>
      <c r="G82" s="135">
        <v>595.65404996883194</v>
      </c>
      <c r="H82" s="1077">
        <f>+Bois!G82+Madeleine!G82+Lens!G82</f>
        <v>703.14666666666665</v>
      </c>
      <c r="I82" s="1013">
        <f t="shared" si="9"/>
        <v>1.912621359223301</v>
      </c>
      <c r="J82" s="1014">
        <f t="shared" si="10"/>
        <v>0.30212345679012342</v>
      </c>
      <c r="K82" s="805">
        <f>+Bois!D82+Madeleine!D82+Tourcoing!D82</f>
        <v>595.65404996883194</v>
      </c>
      <c r="L82" s="678">
        <f t="shared" si="8"/>
        <v>1</v>
      </c>
    </row>
    <row r="83" spans="1:12" s="2" customFormat="1" ht="11.25">
      <c r="A83" s="590" t="s">
        <v>287</v>
      </c>
      <c r="B83" s="805">
        <f>+Bois!$G83</f>
        <v>921.34186666666665</v>
      </c>
      <c r="C83" s="805">
        <f>+Madeleine!$G83</f>
        <v>354.33373333333333</v>
      </c>
      <c r="D83" s="805">
        <f>+Lens!$G83</f>
        <v>0</v>
      </c>
      <c r="E83" s="619">
        <f>+Bois!E83+Madeleine!E83+Tourcoing!E83</f>
        <v>1521.3200000000002</v>
      </c>
      <c r="F83" s="619">
        <f>+Bois!F83+Madeleine!F83+Lens!F83</f>
        <v>1238.52</v>
      </c>
      <c r="G83" s="135">
        <v>1336.8980762044441</v>
      </c>
      <c r="H83" s="1077">
        <f>+Bois!G83+Madeleine!G83+Lens!G83</f>
        <v>1275.6756</v>
      </c>
      <c r="I83" s="1013">
        <f t="shared" si="9"/>
        <v>0</v>
      </c>
      <c r="J83" s="1014">
        <f t="shared" si="10"/>
        <v>-0.16146793574001531</v>
      </c>
      <c r="K83" s="805">
        <f>+Bois!D83+Madeleine!D83+Tourcoing!D83</f>
        <v>1336.8980762044441</v>
      </c>
      <c r="L83" s="678">
        <f t="shared" si="8"/>
        <v>1</v>
      </c>
    </row>
    <row r="84" spans="1:12" s="2" customFormat="1" ht="11.25">
      <c r="A84" s="590" t="s">
        <v>108</v>
      </c>
      <c r="B84" s="805">
        <f>+Bois!$G84</f>
        <v>1060.3644000000002</v>
      </c>
      <c r="C84" s="805">
        <f>+Madeleine!$G84</f>
        <v>1761.7257333333332</v>
      </c>
      <c r="D84" s="805">
        <f>+Lens!$G84</f>
        <v>2318.6810666666665</v>
      </c>
      <c r="E84" s="619">
        <f>+Bois!E84+Madeleine!E84+Tourcoing!E84</f>
        <v>6913.53</v>
      </c>
      <c r="F84" s="619">
        <f>+Bois!F84+Madeleine!F84+Lens!F84</f>
        <v>4991.04</v>
      </c>
      <c r="G84" s="135">
        <v>4855.121559602273</v>
      </c>
      <c r="H84" s="1077">
        <f>+Bois!G84+Madeleine!G84+Lens!G84</f>
        <v>5140.7711999999992</v>
      </c>
      <c r="I84" s="1013">
        <f t="shared" si="9"/>
        <v>1.9816649212299313</v>
      </c>
      <c r="J84" s="1014">
        <f t="shared" si="10"/>
        <v>-0.25641876147207004</v>
      </c>
      <c r="K84" s="805">
        <f>+Bois!D84+Madeleine!D84+Tourcoing!D84</f>
        <v>3475.7742318166625</v>
      </c>
      <c r="L84" s="678">
        <f t="shared" si="8"/>
        <v>1</v>
      </c>
    </row>
    <row r="85" spans="1:12" s="2" customFormat="1" ht="11.25">
      <c r="A85" s="590" t="s">
        <v>109</v>
      </c>
      <c r="B85" s="805">
        <f>+Bois!$G85</f>
        <v>1271.4319999999998</v>
      </c>
      <c r="C85" s="805">
        <f>+Madeleine!$G85</f>
        <v>1011.8719999999998</v>
      </c>
      <c r="D85" s="805">
        <f>+Lens!$G85</f>
        <v>1011.8719999999998</v>
      </c>
      <c r="E85" s="619">
        <f>+Bois!E85+Madeleine!E85+Tourcoing!E85</f>
        <v>2176.7999999999997</v>
      </c>
      <c r="F85" s="619">
        <f>+Bois!F85+Madeleine!F85+Lens!F85</f>
        <v>3199.2</v>
      </c>
      <c r="G85" s="135">
        <v>3064.4493202252238</v>
      </c>
      <c r="H85" s="1077">
        <f>+Bois!G85+Madeleine!G85+Lens!G85</f>
        <v>3295.1759999999995</v>
      </c>
      <c r="I85" s="1013">
        <f t="shared" si="9"/>
        <v>1.1512602384491319</v>
      </c>
      <c r="J85" s="1014">
        <f t="shared" si="10"/>
        <v>0.51377067254685771</v>
      </c>
      <c r="K85" s="805">
        <f>+Bois!D85+Madeleine!D85+Tourcoing!D85</f>
        <v>2948.6016623916667</v>
      </c>
      <c r="L85" s="678">
        <f t="shared" si="8"/>
        <v>1</v>
      </c>
    </row>
    <row r="86" spans="1:12" s="2" customFormat="1" ht="11.25">
      <c r="A86" s="590" t="s">
        <v>106</v>
      </c>
      <c r="B86" s="805">
        <f>+Bois!$G86</f>
        <v>0</v>
      </c>
      <c r="C86" s="805">
        <f>+Madeleine!$G86</f>
        <v>478.56546666666668</v>
      </c>
      <c r="D86" s="805">
        <f>+Lens!$G86</f>
        <v>132.62279999999998</v>
      </c>
      <c r="E86" s="619">
        <f>+Bois!E86+Madeleine!E86+Tourcoing!E86</f>
        <v>1016.65</v>
      </c>
      <c r="F86" s="619">
        <f>+Bois!F86+Madeleine!F86+Lens!F86</f>
        <v>593.38666666666666</v>
      </c>
      <c r="G86" s="135">
        <v>1968.7371956525863</v>
      </c>
      <c r="H86" s="1077">
        <f>+Bois!G86+Madeleine!G86+Lens!G86</f>
        <v>611.18826666666666</v>
      </c>
      <c r="I86" s="1013">
        <f t="shared" si="9"/>
        <v>6.6657256519995061</v>
      </c>
      <c r="J86" s="1014">
        <f t="shared" si="10"/>
        <v>-0.39882135772717586</v>
      </c>
      <c r="K86" s="805">
        <f>+Bois!D86+Madeleine!D86+Tourcoing!D86</f>
        <v>1612.5997942650511</v>
      </c>
      <c r="L86" s="678">
        <f t="shared" si="8"/>
        <v>1</v>
      </c>
    </row>
    <row r="87" spans="1:12" s="2" customFormat="1" ht="11.25" hidden="1">
      <c r="A87" s="5" t="s">
        <v>363</v>
      </c>
      <c r="B87" s="160">
        <f>+Bois!$G87</f>
        <v>0</v>
      </c>
      <c r="C87" s="113">
        <f>+Madeleine!$G87</f>
        <v>0</v>
      </c>
      <c r="D87" s="113">
        <f>+Lens!$G87</f>
        <v>0</v>
      </c>
      <c r="E87" s="344">
        <f>+Bois!E87+Madeleine!E87+Tourcoing!E87</f>
        <v>0</v>
      </c>
      <c r="F87" s="135">
        <f>+Bois!F87+Madeleine!F87+Tourcoing!F87</f>
        <v>0</v>
      </c>
      <c r="G87" s="135">
        <v>0</v>
      </c>
      <c r="H87" s="161">
        <f>+Bois!G87+Madeleine!G87+Lens!G87</f>
        <v>0</v>
      </c>
      <c r="I87" s="149">
        <f t="shared" si="9"/>
        <v>0</v>
      </c>
      <c r="J87" s="271">
        <f t="shared" si="10"/>
        <v>0</v>
      </c>
      <c r="K87" s="18">
        <f>+Bois!D87+Madeleine!D87+Tourcoing!D87</f>
        <v>0</v>
      </c>
      <c r="L87" s="678">
        <f t="shared" si="8"/>
        <v>0</v>
      </c>
    </row>
    <row r="88" spans="1:12" s="2" customFormat="1" ht="11.25">
      <c r="A88" s="590" t="s">
        <v>111</v>
      </c>
      <c r="B88" s="805">
        <f>+Bois!$G88</f>
        <v>1863.8313750000002</v>
      </c>
      <c r="C88" s="805">
        <f>+Madeleine!$G88</f>
        <v>2810.8347750000003</v>
      </c>
      <c r="D88" s="805">
        <f>+Lens!$G88</f>
        <v>2221.0744500000005</v>
      </c>
      <c r="E88" s="619">
        <f>+Bois!E88+Madeleine!E88+Tourcoing!E88</f>
        <v>7322.25</v>
      </c>
      <c r="F88" s="619">
        <f>+Bois!F88+Madeleine!F88+Lens!F88</f>
        <v>6879.12</v>
      </c>
      <c r="G88" s="135">
        <v>8958.25546878159</v>
      </c>
      <c r="H88" s="1077">
        <f>+Bois!G88+Madeleine!G88+Lens!G88</f>
        <v>6895.740600000001</v>
      </c>
      <c r="I88" s="1013">
        <f t="shared" si="9"/>
        <v>2.296715245182348</v>
      </c>
      <c r="J88" s="1014">
        <f t="shared" si="10"/>
        <v>-5.8248407251869166E-2</v>
      </c>
      <c r="K88" s="805">
        <f>+Bois!D88+Madeleine!D88+Tourcoing!D88</f>
        <v>8047.2577500000007</v>
      </c>
      <c r="L88" s="678">
        <f t="shared" si="8"/>
        <v>1</v>
      </c>
    </row>
    <row r="89" spans="1:12" s="2" customFormat="1" ht="11.25" hidden="1">
      <c r="A89" s="5" t="s">
        <v>315</v>
      </c>
      <c r="B89" s="160">
        <f>+Bois!$G89</f>
        <v>0</v>
      </c>
      <c r="C89" s="113">
        <f>+Madeleine!$G89</f>
        <v>0</v>
      </c>
      <c r="D89" s="113">
        <f>+Lens!$G89</f>
        <v>0</v>
      </c>
      <c r="E89" s="344">
        <f>+Bois!E89+Madeleine!E89+Tourcoing!E89</f>
        <v>0</v>
      </c>
      <c r="F89" s="135">
        <f>+Bois!F89+Madeleine!F89+Tourcoing!F89</f>
        <v>0</v>
      </c>
      <c r="G89" s="135">
        <v>0</v>
      </c>
      <c r="H89" s="161">
        <f>+Bois!G89+Madeleine!G89+Lens!G89</f>
        <v>0</v>
      </c>
      <c r="I89" s="149">
        <f t="shared" si="9"/>
        <v>0</v>
      </c>
      <c r="J89" s="271">
        <f t="shared" si="10"/>
        <v>0</v>
      </c>
      <c r="K89" s="18">
        <f>+Bois!D89+Madeleine!D89+Tourcoing!D89</f>
        <v>0</v>
      </c>
      <c r="L89" s="2">
        <f t="shared" si="8"/>
        <v>0</v>
      </c>
    </row>
    <row r="90" spans="1:12" s="2" customFormat="1" ht="11.25">
      <c r="A90" s="590" t="s">
        <v>112</v>
      </c>
      <c r="B90" s="805">
        <f>+Bois!$G90</f>
        <v>0</v>
      </c>
      <c r="C90" s="805">
        <f>+Madeleine!$G90</f>
        <v>282.90666666666669</v>
      </c>
      <c r="D90" s="805">
        <f>+Lens!$G90</f>
        <v>83.842000000000013</v>
      </c>
      <c r="E90" s="619">
        <f>+Bois!E90+Madeleine!E90+Tourcoing!E90</f>
        <v>820.9</v>
      </c>
      <c r="F90" s="619">
        <f>+Bois!F90+Madeleine!F90+Lens!F90</f>
        <v>356.06666666666672</v>
      </c>
      <c r="G90" s="135">
        <v>866.69725365367708</v>
      </c>
      <c r="H90" s="1077">
        <f>+Bois!G90+Madeleine!G90+Lens!G90</f>
        <v>366.74866666666674</v>
      </c>
      <c r="I90" s="1013">
        <f t="shared" si="9"/>
        <v>8.7910355191908582</v>
      </c>
      <c r="J90" s="1014">
        <f t="shared" si="10"/>
        <v>-0.55323587931944607</v>
      </c>
      <c r="K90" s="805">
        <f>+Bois!D90+Madeleine!D90+Tourcoing!D90</f>
        <v>866.69725365367708</v>
      </c>
      <c r="L90" s="678">
        <f t="shared" si="8"/>
        <v>1</v>
      </c>
    </row>
    <row r="91" spans="1:12" s="2" customFormat="1" ht="11.25">
      <c r="A91" s="590" t="s">
        <v>113</v>
      </c>
      <c r="B91" s="805">
        <f>+Bois!$G91</f>
        <v>0</v>
      </c>
      <c r="C91" s="805">
        <f>+Madeleine!$G91</f>
        <v>1646.2696000000001</v>
      </c>
      <c r="D91" s="805">
        <f>+Lens!$G91</f>
        <v>105.32093333333333</v>
      </c>
      <c r="E91" s="619">
        <f>+Bois!E91+Madeleine!E91+Tourcoing!E91</f>
        <v>1561.9299999999998</v>
      </c>
      <c r="F91" s="619">
        <f>+Bois!F91+Madeleine!F91+Lens!F91</f>
        <v>1700.5733333333333</v>
      </c>
      <c r="G91" s="135">
        <v>2209.5050445064958</v>
      </c>
      <c r="H91" s="1077">
        <f>+Bois!G91+Madeleine!G91+Lens!G91</f>
        <v>1751.5905333333335</v>
      </c>
      <c r="I91" s="1013">
        <f t="shared" si="9"/>
        <v>13.830195200194451</v>
      </c>
      <c r="J91" s="1014">
        <f t="shared" si="10"/>
        <v>0.1214270379167656</v>
      </c>
      <c r="K91" s="805">
        <f>+Bois!D91+Madeleine!D91+Tourcoing!D91</f>
        <v>2209.5050445064958</v>
      </c>
      <c r="L91" s="678">
        <f t="shared" si="8"/>
        <v>1</v>
      </c>
    </row>
    <row r="92" spans="1:12" s="2" customFormat="1" ht="11.25" hidden="1">
      <c r="A92" s="5" t="s">
        <v>309</v>
      </c>
      <c r="B92" s="160">
        <f>+Bois!$G92</f>
        <v>0</v>
      </c>
      <c r="C92" s="113">
        <f>+Madeleine!$G92</f>
        <v>0</v>
      </c>
      <c r="D92" s="113">
        <f>+Lens!$G92</f>
        <v>0</v>
      </c>
      <c r="E92" s="344">
        <f>+Bois!E92+Madeleine!E92+Tourcoing!E92</f>
        <v>0</v>
      </c>
      <c r="F92" s="135">
        <f>+Bois!F92+Madeleine!F92+Tourcoing!F92</f>
        <v>0</v>
      </c>
      <c r="G92" s="135">
        <v>0</v>
      </c>
      <c r="H92" s="161">
        <f>+Bois!G92+Madeleine!G92+Lens!G92</f>
        <v>0</v>
      </c>
      <c r="I92" s="149">
        <f t="shared" si="9"/>
        <v>0</v>
      </c>
      <c r="J92" s="271">
        <f t="shared" si="10"/>
        <v>0</v>
      </c>
      <c r="K92" s="18">
        <f>+Bois!D92+Madeleine!D92+Tourcoing!D92</f>
        <v>0</v>
      </c>
      <c r="L92" s="2">
        <f t="shared" si="8"/>
        <v>0</v>
      </c>
    </row>
    <row r="93" spans="1:12" s="2" customFormat="1" ht="11.25">
      <c r="A93" s="590" t="s">
        <v>115</v>
      </c>
      <c r="B93" s="805">
        <f>+Bois!$G93</f>
        <v>0</v>
      </c>
      <c r="C93" s="805">
        <f>+Madeleine!$G93</f>
        <v>0</v>
      </c>
      <c r="D93" s="805">
        <f>+Lens!$G93</f>
        <v>0</v>
      </c>
      <c r="E93" s="619">
        <f>+Bois!E93+Madeleine!E93+Tourcoing!E93</f>
        <v>758.84</v>
      </c>
      <c r="F93" s="619">
        <f>+Bois!F93+Madeleine!F93+Lens!F93</f>
        <v>0</v>
      </c>
      <c r="G93" s="135">
        <v>838.85764467534739</v>
      </c>
      <c r="H93" s="1077">
        <f>+Bois!G93+Madeleine!G93+Lens!G93</f>
        <v>0</v>
      </c>
      <c r="I93" s="1013">
        <f t="shared" si="9"/>
        <v>0</v>
      </c>
      <c r="J93" s="1014">
        <f t="shared" si="10"/>
        <v>-1</v>
      </c>
      <c r="K93" s="805">
        <f>+Bois!D93+Madeleine!D93+Tourcoing!D93</f>
        <v>838.85764467534739</v>
      </c>
      <c r="L93" s="678">
        <f t="shared" si="8"/>
        <v>1</v>
      </c>
    </row>
    <row r="94" spans="1:12" s="2" customFormat="1" ht="11.25">
      <c r="A94" s="590" t="s">
        <v>42</v>
      </c>
      <c r="B94" s="805">
        <f>+Bois!$G94</f>
        <v>0</v>
      </c>
      <c r="C94" s="805">
        <f>+Madeleine!$G94</f>
        <v>0</v>
      </c>
      <c r="D94" s="805">
        <f>+Lens!$G94</f>
        <v>0</v>
      </c>
      <c r="E94" s="619">
        <f>+Bois!E94+Madeleine!E94+Tourcoing!E94</f>
        <v>177.17</v>
      </c>
      <c r="F94" s="619">
        <f>+Bois!F94+Madeleine!F94+Lens!F94</f>
        <v>0</v>
      </c>
      <c r="G94" s="135">
        <v>190.87109790888226</v>
      </c>
      <c r="H94" s="1077">
        <f>+Bois!G94+Madeleine!G94+Lens!G94</f>
        <v>0</v>
      </c>
      <c r="I94" s="1013">
        <f t="shared" si="9"/>
        <v>0</v>
      </c>
      <c r="J94" s="1014">
        <f t="shared" si="10"/>
        <v>-1</v>
      </c>
      <c r="K94" s="805">
        <f>+Bois!D94+Madeleine!D94+Tourcoing!D94</f>
        <v>190.87109790888226</v>
      </c>
      <c r="L94" s="678">
        <f t="shared" si="8"/>
        <v>1</v>
      </c>
    </row>
    <row r="95" spans="1:12" s="2" customFormat="1" ht="11.25">
      <c r="A95" s="590" t="s">
        <v>117</v>
      </c>
      <c r="B95" s="805">
        <f>+Bois!$G95</f>
        <v>186.12468289025793</v>
      </c>
      <c r="C95" s="805">
        <f>+Madeleine!$G95</f>
        <v>7056.0580622923862</v>
      </c>
      <c r="D95" s="805">
        <f>+Lens!$G95</f>
        <v>3983.0745906714374</v>
      </c>
      <c r="E95" s="619">
        <f>+Bois!E95+Madeleine!E95+Tourcoing!E95</f>
        <v>9105.32</v>
      </c>
      <c r="F95" s="619">
        <f>+Bois!F95+Madeleine!F95+Lens!F95</f>
        <v>9619.3866666666672</v>
      </c>
      <c r="G95" s="135">
        <v>9446.0412372585524</v>
      </c>
      <c r="H95" s="1077">
        <f>+Bois!G95+Madeleine!G95+Lens!G95</f>
        <v>11225.257335854081</v>
      </c>
      <c r="I95" s="1013">
        <f t="shared" si="9"/>
        <v>1.2860028836329405</v>
      </c>
      <c r="J95" s="1014">
        <f t="shared" si="10"/>
        <v>0.23282403428480072</v>
      </c>
      <c r="K95" s="805">
        <f>+Bois!D95+Madeleine!D95+Tourcoing!D95</f>
        <v>9446.0412372585524</v>
      </c>
      <c r="L95" s="678">
        <f t="shared" si="8"/>
        <v>1</v>
      </c>
    </row>
    <row r="96" spans="1:12" s="2" customFormat="1" ht="11.25">
      <c r="A96" s="590" t="s">
        <v>118</v>
      </c>
      <c r="B96" s="805">
        <f>+Bois!$G96</f>
        <v>3000</v>
      </c>
      <c r="C96" s="805">
        <f>+Madeleine!$G96</f>
        <v>16764.829333333335</v>
      </c>
      <c r="D96" s="805">
        <f>+Lens!$G96</f>
        <v>4484.9084000000012</v>
      </c>
      <c r="E96" s="619">
        <f>+Bois!E96+Madeleine!E96+Tourcoing!E96</f>
        <v>26886.82</v>
      </c>
      <c r="F96" s="619">
        <f>+Bois!F96+Madeleine!F96+Lens!F96</f>
        <v>24309.826666666668</v>
      </c>
      <c r="G96" s="135">
        <v>28718.838525000003</v>
      </c>
      <c r="H96" s="1077">
        <f>+Bois!G96+Madeleine!G96+Lens!G96</f>
        <v>24249.737733333335</v>
      </c>
      <c r="I96" s="1013">
        <f t="shared" si="9"/>
        <v>4.9949540998429294</v>
      </c>
      <c r="J96" s="1014">
        <f t="shared" si="10"/>
        <v>-9.8080853989674657E-2</v>
      </c>
      <c r="K96" s="805">
        <f>+Bois!D96+Madeleine!D96+Tourcoing!D96</f>
        <v>26517.088750000003</v>
      </c>
      <c r="L96" s="678">
        <f t="shared" si="8"/>
        <v>1</v>
      </c>
    </row>
    <row r="97" spans="1:12" s="2" customFormat="1" ht="11.25">
      <c r="A97" s="590" t="s">
        <v>7</v>
      </c>
      <c r="B97" s="805">
        <f>+Bois!$G97</f>
        <v>0</v>
      </c>
      <c r="C97" s="805">
        <f>+Madeleine!$G97</f>
        <v>246.81546666666668</v>
      </c>
      <c r="D97" s="805">
        <f>+Lens!$G97</f>
        <v>0</v>
      </c>
      <c r="E97" s="619">
        <f>+Bois!E97+Madeleine!E97+Tourcoing!E97</f>
        <v>208.94</v>
      </c>
      <c r="F97" s="619">
        <f>+Bois!F97+Madeleine!F97+Lens!F97</f>
        <v>239.62666666666667</v>
      </c>
      <c r="G97" s="135">
        <v>314.19736505684585</v>
      </c>
      <c r="H97" s="1077">
        <f>+Bois!G97+Madeleine!G97+Lens!G97</f>
        <v>246.81546666666668</v>
      </c>
      <c r="I97" s="1013">
        <f t="shared" si="9"/>
        <v>0</v>
      </c>
      <c r="J97" s="1014">
        <f t="shared" si="10"/>
        <v>0.18127436903736327</v>
      </c>
      <c r="K97" s="805">
        <f>+Bois!D97+Madeleine!D97+Tourcoing!D97</f>
        <v>314.19736505684585</v>
      </c>
      <c r="L97" s="678">
        <f t="shared" si="8"/>
        <v>1</v>
      </c>
    </row>
    <row r="98" spans="1:12" s="2" customFormat="1" ht="11.25">
      <c r="A98" s="590" t="s">
        <v>307</v>
      </c>
      <c r="B98" s="805">
        <f>+Bois!$G98</f>
        <v>0</v>
      </c>
      <c r="C98" s="805">
        <f>+Madeleine!$G98</f>
        <v>0</v>
      </c>
      <c r="D98" s="805">
        <f>+Lens!$G98</f>
        <v>0</v>
      </c>
      <c r="E98" s="619">
        <f>+Bois!E98+Madeleine!E98+Tourcoing!E98</f>
        <v>0</v>
      </c>
      <c r="F98" s="619">
        <f>+Bois!F98+Madeleine!F98+Lens!F98</f>
        <v>0</v>
      </c>
      <c r="G98" s="135">
        <v>0</v>
      </c>
      <c r="H98" s="1077">
        <f>+Bois!G98+Madeleine!G98+Lens!G98</f>
        <v>0</v>
      </c>
      <c r="I98" s="1013">
        <f t="shared" si="9"/>
        <v>0</v>
      </c>
      <c r="J98" s="1014">
        <f t="shared" si="10"/>
        <v>0</v>
      </c>
      <c r="K98" s="805">
        <f>+Bois!D98+Madeleine!D98+Tourcoing!D98</f>
        <v>800</v>
      </c>
      <c r="L98" s="678">
        <f t="shared" si="8"/>
        <v>1</v>
      </c>
    </row>
    <row r="99" spans="1:12" s="2" customFormat="1" ht="11.25">
      <c r="A99" s="590" t="s">
        <v>119</v>
      </c>
      <c r="B99" s="805">
        <f>+Bois!$G99</f>
        <v>2412.4933333333329</v>
      </c>
      <c r="C99" s="805">
        <f>+Madeleine!$G99</f>
        <v>5470.0666666666666</v>
      </c>
      <c r="D99" s="805">
        <f>+Lens!$G99</f>
        <v>2629.2000000000003</v>
      </c>
      <c r="E99" s="619">
        <f>+Bois!E99+Madeleine!E99+Tourcoing!E99</f>
        <v>12635.5</v>
      </c>
      <c r="F99" s="619">
        <f>+Bois!F99+Madeleine!F99+Lens!F99</f>
        <v>10511.76</v>
      </c>
      <c r="G99" s="135">
        <v>14515.969633321654</v>
      </c>
      <c r="H99" s="1077">
        <f>+Bois!G99+Madeleine!G99+Lens!G99</f>
        <v>10511.76</v>
      </c>
      <c r="I99" s="1013">
        <f t="shared" si="9"/>
        <v>3.8058344743648251</v>
      </c>
      <c r="J99" s="1014">
        <f t="shared" si="10"/>
        <v>-0.16807724268924853</v>
      </c>
      <c r="K99" s="805">
        <f>+Bois!D99+Madeleine!D99+Tourcoing!D99</f>
        <v>14515.969633321654</v>
      </c>
      <c r="L99" s="678">
        <f t="shared" si="8"/>
        <v>1</v>
      </c>
    </row>
    <row r="100" spans="1:12" s="2" customFormat="1" ht="11.25">
      <c r="A100" s="590" t="s">
        <v>120</v>
      </c>
      <c r="B100" s="805">
        <f>+Bois!$G100</f>
        <v>175.30599999999998</v>
      </c>
      <c r="C100" s="805">
        <f>+Madeleine!$G100</f>
        <v>326.41386666666665</v>
      </c>
      <c r="D100" s="805">
        <f>+Lens!$G100</f>
        <v>396.67360000000002</v>
      </c>
      <c r="E100" s="619">
        <f>+Bois!E100+Madeleine!E100+Tourcoing!E100</f>
        <v>1596.5</v>
      </c>
      <c r="F100" s="619">
        <f>+Bois!F100+Madeleine!F100+Lens!F100</f>
        <v>872.22666666666669</v>
      </c>
      <c r="G100" s="135">
        <v>1685.9778444560311</v>
      </c>
      <c r="H100" s="1077">
        <f>+Bois!G100+Madeleine!G100+Lens!G100</f>
        <v>898.39346666666665</v>
      </c>
      <c r="I100" s="1013">
        <f t="shared" si="9"/>
        <v>3.0247195679268795</v>
      </c>
      <c r="J100" s="1014">
        <f t="shared" si="10"/>
        <v>-0.43727311827956988</v>
      </c>
      <c r="K100" s="805">
        <f>+Bois!D100+Madeleine!D100+Tourcoing!D100</f>
        <v>1685.9778444560311</v>
      </c>
      <c r="L100" s="678">
        <f t="shared" si="8"/>
        <v>1</v>
      </c>
    </row>
    <row r="101" spans="1:12" s="2" customFormat="1" ht="11.25">
      <c r="A101" s="590" t="s">
        <v>121</v>
      </c>
      <c r="B101" s="805">
        <f>+Bois!$G101</f>
        <v>0</v>
      </c>
      <c r="C101" s="805">
        <f>+Madeleine!$G101</f>
        <v>0</v>
      </c>
      <c r="D101" s="805">
        <f>+Lens!$G101</f>
        <v>0</v>
      </c>
      <c r="E101" s="619">
        <f>+Bois!E101+Madeleine!E101+Tourcoing!E101</f>
        <v>0</v>
      </c>
      <c r="F101" s="619">
        <f>+Bois!F101+Madeleine!F101+Lens!F101</f>
        <v>0</v>
      </c>
      <c r="G101" s="135">
        <v>22.268677035416665</v>
      </c>
      <c r="H101" s="1077">
        <f>+Bois!G101+Madeleine!G101+Lens!G101</f>
        <v>0</v>
      </c>
      <c r="I101" s="1013">
        <f t="shared" si="9"/>
        <v>0</v>
      </c>
      <c r="J101" s="1014">
        <f t="shared" si="10"/>
        <v>0</v>
      </c>
      <c r="K101" s="805">
        <f>+Bois!D101+Madeleine!D101+Tourcoing!D101</f>
        <v>22.268677035416665</v>
      </c>
      <c r="L101" s="678">
        <f t="shared" si="8"/>
        <v>1</v>
      </c>
    </row>
    <row r="102" spans="1:12" s="2" customFormat="1" ht="11.25" hidden="1">
      <c r="A102" s="5"/>
      <c r="B102" s="160"/>
      <c r="C102" s="113"/>
      <c r="D102" s="113"/>
      <c r="E102" s="344"/>
      <c r="F102" s="143"/>
      <c r="G102" s="143"/>
      <c r="H102" s="162"/>
      <c r="I102" s="149"/>
      <c r="J102" s="254"/>
      <c r="K102" s="18"/>
      <c r="L102" s="2">
        <f t="shared" si="8"/>
        <v>0</v>
      </c>
    </row>
    <row r="103" spans="1:12" s="2" customFormat="1" ht="11.25">
      <c r="A103" s="13" t="s">
        <v>122</v>
      </c>
      <c r="B103" s="803">
        <f t="shared" ref="B103:H103" si="11">SUM(B70:B102)</f>
        <v>23479.504824556927</v>
      </c>
      <c r="C103" s="803">
        <f t="shared" si="11"/>
        <v>88577.403240636166</v>
      </c>
      <c r="D103" s="803">
        <f t="shared" si="11"/>
        <v>51943.877040671439</v>
      </c>
      <c r="E103" s="597">
        <f>SUM(E70:E102)</f>
        <v>194236.66</v>
      </c>
      <c r="F103" s="597">
        <f>SUM(F70:F102)</f>
        <v>161597.97000000003</v>
      </c>
      <c r="G103" s="136">
        <v>198471.81731087071</v>
      </c>
      <c r="H103" s="803">
        <f t="shared" si="11"/>
        <v>164000.78510586455</v>
      </c>
      <c r="I103" s="596">
        <f>+IF((D103)=0,,(E103-D103)/D103)</f>
        <v>2.739356225718673</v>
      </c>
      <c r="J103" s="1015">
        <f>+IF((E103)=0,,(H103-E103)/E103)</f>
        <v>-0.15566512981707706</v>
      </c>
      <c r="K103" s="803">
        <f>SUM(K72:K102)+K70</f>
        <v>170135.82164958902</v>
      </c>
      <c r="L103" s="678">
        <f t="shared" si="8"/>
        <v>1</v>
      </c>
    </row>
    <row r="104" spans="1:12" s="2" customFormat="1" ht="11.25" hidden="1">
      <c r="A104" s="5"/>
      <c r="B104" s="160"/>
      <c r="C104" s="113"/>
      <c r="D104" s="113"/>
      <c r="E104" s="344"/>
      <c r="F104" s="143"/>
      <c r="G104" s="143"/>
      <c r="H104" s="162"/>
      <c r="I104" s="149"/>
      <c r="J104" s="254"/>
      <c r="K104" s="18"/>
      <c r="L104" s="2">
        <f t="shared" si="8"/>
        <v>0</v>
      </c>
    </row>
    <row r="105" spans="1:12" s="2" customFormat="1" ht="11.25">
      <c r="A105" s="590" t="s">
        <v>129</v>
      </c>
      <c r="B105" s="805">
        <f>+Bois!$G105</f>
        <v>0</v>
      </c>
      <c r="C105" s="805">
        <f>+Madeleine!$G105</f>
        <v>0</v>
      </c>
      <c r="D105" s="805">
        <f>+Lens!$G105</f>
        <v>0</v>
      </c>
      <c r="E105" s="619">
        <f>+Bois!E105+Madeleine!E105+Tourcoing!E105</f>
        <v>2322.8999999999996</v>
      </c>
      <c r="F105" s="619">
        <f>+Bois!F105+Madeleine!F105+Lens!F105</f>
        <v>0</v>
      </c>
      <c r="G105" s="135">
        <v>2769.8245000000002</v>
      </c>
      <c r="H105" s="1077">
        <f>+Bois!G105+Madeleine!G105+Lens!G105</f>
        <v>0</v>
      </c>
      <c r="I105" s="1013">
        <f>+IF((D105)=0,,(E105-D105)/D105)</f>
        <v>0</v>
      </c>
      <c r="J105" s="1014">
        <f>+IF((E105)=0,,(H105-E105)/E105)</f>
        <v>-1</v>
      </c>
      <c r="K105" s="805">
        <f>+Bois!D105+Madeleine!D105+Tourcoing!D105</f>
        <v>2769.8245000000002</v>
      </c>
      <c r="L105" s="678">
        <f t="shared" si="8"/>
        <v>1</v>
      </c>
    </row>
    <row r="106" spans="1:12" s="2" customFormat="1" ht="11.25">
      <c r="A106" s="590" t="s">
        <v>130</v>
      </c>
      <c r="B106" s="805">
        <f>+Bois!$G106</f>
        <v>1500</v>
      </c>
      <c r="C106" s="805">
        <f>+Madeleine!$G106</f>
        <v>6000</v>
      </c>
      <c r="D106" s="805">
        <f>+Lens!$G106</f>
        <v>2000</v>
      </c>
      <c r="E106" s="619">
        <f>+Bois!E106+Madeleine!E106+Tourcoing!E106</f>
        <v>13480.009999999998</v>
      </c>
      <c r="F106" s="619">
        <f>+Bois!F106+Madeleine!F106+Lens!F106</f>
        <v>25256.546666666665</v>
      </c>
      <c r="G106" s="135">
        <v>12163.022800000001</v>
      </c>
      <c r="H106" s="1077">
        <f>+Bois!G106+Madeleine!G106+Lens!G106</f>
        <v>9500</v>
      </c>
      <c r="I106" s="1013">
        <f t="shared" ref="I106:I114" si="12">+IF((D106)=0,,(E106-D106)/D106)</f>
        <v>5.7400049999999991</v>
      </c>
      <c r="J106" s="1014">
        <f t="shared" ref="J106:J114" si="13">+IF((E106)=0,,(H106-E106)/E106)</f>
        <v>-0.29525274832882165</v>
      </c>
      <c r="K106" s="805">
        <f>+Bois!D106+Madeleine!D106+Tourcoing!D106</f>
        <v>9758.8593000000001</v>
      </c>
      <c r="L106" s="678">
        <f t="shared" si="8"/>
        <v>1</v>
      </c>
    </row>
    <row r="107" spans="1:12" s="2" customFormat="1" ht="11.25" hidden="1">
      <c r="A107" s="5" t="s">
        <v>131</v>
      </c>
      <c r="B107" s="160">
        <f>+Bois!$G107</f>
        <v>0</v>
      </c>
      <c r="C107" s="113">
        <f>+Madeleine!$G107</f>
        <v>0</v>
      </c>
      <c r="D107" s="113">
        <f>+Lens!$G107</f>
        <v>0</v>
      </c>
      <c r="E107" s="344">
        <f>+Bois!E107+Madeleine!E107+Tourcoing!E107</f>
        <v>0</v>
      </c>
      <c r="F107" s="135">
        <f>+Bois!F107+Madeleine!F107+Lens!F107</f>
        <v>-3544</v>
      </c>
      <c r="G107" s="135">
        <v>0</v>
      </c>
      <c r="H107" s="161">
        <f>+Bois!G107+Madeleine!G107+Lens!G107</f>
        <v>0</v>
      </c>
      <c r="I107" s="149">
        <f t="shared" si="12"/>
        <v>0</v>
      </c>
      <c r="J107" s="271">
        <f t="shared" si="13"/>
        <v>0</v>
      </c>
      <c r="K107" s="18">
        <f>+Bois!D107+Madeleine!D107+Tourcoing!D107</f>
        <v>0</v>
      </c>
      <c r="L107" s="2">
        <f t="shared" si="8"/>
        <v>0</v>
      </c>
    </row>
    <row r="108" spans="1:12" s="2" customFormat="1" ht="11.25">
      <c r="A108" s="590" t="s">
        <v>132</v>
      </c>
      <c r="B108" s="805">
        <f>+Bois!$G108</f>
        <v>450</v>
      </c>
      <c r="C108" s="805">
        <f>+Madeleine!$G108</f>
        <v>450</v>
      </c>
      <c r="D108" s="805">
        <f>+Lens!$G108</f>
        <v>450</v>
      </c>
      <c r="E108" s="619">
        <f>+Bois!E108+Madeleine!E108+Tourcoing!E108</f>
        <v>392.76</v>
      </c>
      <c r="F108" s="619">
        <f>+Bois!F108+Madeleine!F108+Lens!F108</f>
        <v>6098.5066666666671</v>
      </c>
      <c r="G108" s="135">
        <v>1184.23268925</v>
      </c>
      <c r="H108" s="1077">
        <f>+Bois!G108+Madeleine!G108+Lens!G108</f>
        <v>1350</v>
      </c>
      <c r="I108" s="1013">
        <f t="shared" si="12"/>
        <v>-0.12720000000000001</v>
      </c>
      <c r="J108" s="1014">
        <f t="shared" si="13"/>
        <v>2.4372135655362053</v>
      </c>
      <c r="K108" s="805">
        <f>+Bois!D108+Madeleine!D108+Tourcoing!D108</f>
        <v>1350</v>
      </c>
      <c r="L108" s="678">
        <f t="shared" si="8"/>
        <v>1</v>
      </c>
    </row>
    <row r="109" spans="1:12" s="2" customFormat="1" ht="11.25">
      <c r="A109" s="590" t="s">
        <v>133</v>
      </c>
      <c r="B109" s="805">
        <f>+Bois!$G109</f>
        <v>1500</v>
      </c>
      <c r="C109" s="805">
        <f>+Madeleine!$G109</f>
        <v>6148.8527999999997</v>
      </c>
      <c r="D109" s="805">
        <f>+Lens!$G109</f>
        <v>1639.8012000000001</v>
      </c>
      <c r="E109" s="619">
        <f>+Bois!E109+Madeleine!E109+Tourcoing!E109</f>
        <v>4614.32</v>
      </c>
      <c r="F109" s="619">
        <f>+Bois!F109+Madeleine!F109+Lens!F109</f>
        <v>9259.16</v>
      </c>
      <c r="G109" s="135">
        <v>11253.965400000001</v>
      </c>
      <c r="H109" s="1077">
        <f>+Bois!G109+Madeleine!G109+Lens!G109</f>
        <v>9288.6540000000005</v>
      </c>
      <c r="I109" s="1013">
        <f t="shared" si="12"/>
        <v>1.8139508618483751</v>
      </c>
      <c r="J109" s="1014">
        <f t="shared" si="13"/>
        <v>1.0130060333917026</v>
      </c>
      <c r="K109" s="805">
        <f>+Bois!D109+Madeleine!D109+Tourcoing!D109</f>
        <v>9588.2546999999995</v>
      </c>
      <c r="L109" s="678">
        <f t="shared" si="8"/>
        <v>1</v>
      </c>
    </row>
    <row r="110" spans="1:12" s="2" customFormat="1" ht="11.25">
      <c r="A110" s="590" t="s">
        <v>134</v>
      </c>
      <c r="B110" s="805">
        <f>+Bois!$G110</f>
        <v>1057.81</v>
      </c>
      <c r="C110" s="805">
        <f>+Madeleine!$G110</f>
        <v>12000</v>
      </c>
      <c r="D110" s="805">
        <f>+Lens!$G110</f>
        <v>5152.3072000000002</v>
      </c>
      <c r="E110" s="619">
        <f>+Bois!E110+Madeleine!E110+Tourcoing!E110</f>
        <v>31085.71</v>
      </c>
      <c r="F110" s="619">
        <f>+Bois!F110+Madeleine!F110+Lens!F110</f>
        <v>19662.41333333333</v>
      </c>
      <c r="G110" s="135">
        <v>17851.414100000002</v>
      </c>
      <c r="H110" s="1077">
        <f>+Bois!G110+Madeleine!G110+Lens!G110</f>
        <v>18210.117200000001</v>
      </c>
      <c r="I110" s="1013">
        <f t="shared" si="12"/>
        <v>5.0333572501267003</v>
      </c>
      <c r="J110" s="1014">
        <f t="shared" si="13"/>
        <v>-0.41419651666312268</v>
      </c>
      <c r="K110" s="805">
        <f>+Bois!D110+Madeleine!D110+Tourcoing!D110</f>
        <v>17314.036800000002</v>
      </c>
      <c r="L110" s="678">
        <f t="shared" si="8"/>
        <v>1</v>
      </c>
    </row>
    <row r="111" spans="1:12" s="2" customFormat="1" ht="11.25">
      <c r="A111" s="590" t="s">
        <v>135</v>
      </c>
      <c r="B111" s="805">
        <f>+Bois!$G111</f>
        <v>0</v>
      </c>
      <c r="C111" s="805">
        <f>+Madeleine!$G111</f>
        <v>0</v>
      </c>
      <c r="D111" s="805">
        <f>+Lens!$G111</f>
        <v>137.33333333333331</v>
      </c>
      <c r="E111" s="619">
        <f>+Bois!E111+Madeleine!E111+Tourcoing!E111</f>
        <v>22</v>
      </c>
      <c r="F111" s="619">
        <f>+Bois!F111+Madeleine!F111+Lens!F111</f>
        <v>133.33333333333331</v>
      </c>
      <c r="G111" s="135">
        <v>0</v>
      </c>
      <c r="H111" s="1077">
        <f>+Bois!G111+Madeleine!G111+Lens!G111</f>
        <v>137.33333333333331</v>
      </c>
      <c r="I111" s="1013">
        <f t="shared" si="12"/>
        <v>-0.83980582524271841</v>
      </c>
      <c r="J111" s="1014">
        <f t="shared" si="13"/>
        <v>5.2424242424242413</v>
      </c>
      <c r="K111" s="805">
        <f>+Bois!D111+Madeleine!D111+Tourcoing!D111</f>
        <v>0</v>
      </c>
      <c r="L111" s="678">
        <f t="shared" si="8"/>
        <v>1</v>
      </c>
    </row>
    <row r="112" spans="1:12" s="2" customFormat="1" ht="11.25">
      <c r="A112" s="590" t="s">
        <v>136</v>
      </c>
      <c r="B112" s="805">
        <f>+Bois!$G112</f>
        <v>26.78</v>
      </c>
      <c r="C112" s="805">
        <f>+Madeleine!$G112</f>
        <v>26.78</v>
      </c>
      <c r="D112" s="805">
        <f>+Lens!$G112</f>
        <v>26.78</v>
      </c>
      <c r="E112" s="619">
        <f>+Bois!E112+Madeleine!E112+Tourcoing!E112</f>
        <v>75.7</v>
      </c>
      <c r="F112" s="619">
        <f>+Bois!F112+Madeleine!F112+Lens!F112</f>
        <v>78</v>
      </c>
      <c r="G112" s="135">
        <v>77.971000000000004</v>
      </c>
      <c r="H112" s="1077">
        <f>+Bois!G112+Madeleine!G112+Lens!G112</f>
        <v>80.34</v>
      </c>
      <c r="I112" s="1013">
        <f t="shared" si="12"/>
        <v>1.8267363704256907</v>
      </c>
      <c r="J112" s="1014">
        <f t="shared" si="13"/>
        <v>6.1294583883751655E-2</v>
      </c>
      <c r="K112" s="805">
        <f>+Bois!D112+Madeleine!D112+Tourcoing!D112</f>
        <v>51.984099999999998</v>
      </c>
      <c r="L112" s="678">
        <f t="shared" si="8"/>
        <v>1</v>
      </c>
    </row>
    <row r="113" spans="1:12" s="2" customFormat="1" ht="11.25">
      <c r="A113" s="590" t="s">
        <v>137</v>
      </c>
      <c r="B113" s="805">
        <f>+Bois!$G113</f>
        <v>1000</v>
      </c>
      <c r="C113" s="805">
        <f>+Madeleine!$G113</f>
        <v>2000</v>
      </c>
      <c r="D113" s="805">
        <f>+Lens!$G113</f>
        <v>2000</v>
      </c>
      <c r="E113" s="619">
        <f>+Bois!E113+Madeleine!E113+Tourcoing!E113</f>
        <v>8651.9599999999991</v>
      </c>
      <c r="F113" s="619">
        <f>+Bois!F113+Madeleine!F113+Lens!F113</f>
        <v>8015.9400000000005</v>
      </c>
      <c r="G113" s="135">
        <v>9991.4943999999996</v>
      </c>
      <c r="H113" s="1077">
        <f>+Bois!G113+Madeleine!G113+Lens!G113</f>
        <v>5000</v>
      </c>
      <c r="I113" s="1013">
        <f t="shared" si="12"/>
        <v>3.3259799999999995</v>
      </c>
      <c r="J113" s="1014">
        <f t="shared" si="13"/>
        <v>-0.42209626489257918</v>
      </c>
      <c r="K113" s="805">
        <f>+Bois!D113+Madeleine!D113+Tourcoing!D113</f>
        <v>11491.4944</v>
      </c>
      <c r="L113" s="678">
        <f t="shared" si="8"/>
        <v>1</v>
      </c>
    </row>
    <row r="114" spans="1:12" s="2" customFormat="1" ht="11.25" hidden="1">
      <c r="A114" s="5" t="s">
        <v>138</v>
      </c>
      <c r="B114" s="160">
        <f>+Bois!$G114</f>
        <v>0</v>
      </c>
      <c r="C114" s="113">
        <f>+Madeleine!$G114</f>
        <v>0</v>
      </c>
      <c r="D114" s="113">
        <f>+Lens!$G114</f>
        <v>0</v>
      </c>
      <c r="E114" s="344">
        <f>+Bois!E114+Madeleine!E114+Tourcoing!E114</f>
        <v>0</v>
      </c>
      <c r="F114" s="135">
        <f>+Bois!F114+Madeleine!F114+Tourcoing!F114</f>
        <v>0</v>
      </c>
      <c r="G114" s="135">
        <v>0</v>
      </c>
      <c r="H114" s="161">
        <f>+Bois!G114+Madeleine!G114+Lens!G114</f>
        <v>0</v>
      </c>
      <c r="I114" s="149">
        <f t="shared" si="12"/>
        <v>0</v>
      </c>
      <c r="J114" s="271">
        <f t="shared" si="13"/>
        <v>0</v>
      </c>
      <c r="K114" s="18">
        <f>+Bois!D114+Madeleine!D114+Tourcoing!D114</f>
        <v>0</v>
      </c>
      <c r="L114" s="2">
        <f t="shared" si="8"/>
        <v>0</v>
      </c>
    </row>
    <row r="115" spans="1:12" s="2" customFormat="1" ht="11.25" hidden="1">
      <c r="A115" s="5"/>
      <c r="B115" s="160"/>
      <c r="C115" s="113"/>
      <c r="D115" s="113"/>
      <c r="E115" s="344"/>
      <c r="F115" s="143"/>
      <c r="G115" s="143"/>
      <c r="H115" s="162"/>
      <c r="I115" s="149"/>
      <c r="J115" s="254"/>
      <c r="K115" s="18"/>
      <c r="L115" s="2">
        <f t="shared" si="8"/>
        <v>0</v>
      </c>
    </row>
    <row r="116" spans="1:12" s="2" customFormat="1" ht="11.25">
      <c r="A116" s="13" t="s">
        <v>133</v>
      </c>
      <c r="B116" s="803">
        <f t="shared" ref="B116:H116" si="14">SUM(B104:B115)</f>
        <v>5534.5899999999992</v>
      </c>
      <c r="C116" s="803">
        <f t="shared" si="14"/>
        <v>26625.632799999999</v>
      </c>
      <c r="D116" s="803">
        <f t="shared" si="14"/>
        <v>11406.221733333336</v>
      </c>
      <c r="E116" s="597">
        <f>SUM(E104:E115)</f>
        <v>60645.359999999993</v>
      </c>
      <c r="F116" s="597">
        <f>SUM(F104:F115)</f>
        <v>64959.9</v>
      </c>
      <c r="G116" s="136">
        <v>55291.924889250004</v>
      </c>
      <c r="H116" s="803">
        <f t="shared" si="14"/>
        <v>43566.444533333335</v>
      </c>
      <c r="I116" s="596">
        <f>+IF((D116)=0,,(E116-D116)/D116)</f>
        <v>4.3168666555701876</v>
      </c>
      <c r="J116" s="1015">
        <f>+IF((E116)=0,,(H116-E116)/E116)</f>
        <v>-0.28161949185670032</v>
      </c>
      <c r="K116" s="803">
        <f>SUM(K105:K115)</f>
        <v>52324.453800000003</v>
      </c>
      <c r="L116" s="678">
        <f t="shared" si="8"/>
        <v>1</v>
      </c>
    </row>
    <row r="117" spans="1:12" s="2" customFormat="1" ht="11.25" hidden="1">
      <c r="A117" s="5"/>
      <c r="B117" s="160"/>
      <c r="C117" s="113"/>
      <c r="D117" s="113"/>
      <c r="E117" s="344"/>
      <c r="F117" s="143"/>
      <c r="G117" s="143"/>
      <c r="H117" s="162"/>
      <c r="I117" s="149"/>
      <c r="J117" s="254"/>
      <c r="K117" s="18"/>
      <c r="L117" s="2">
        <f t="shared" si="8"/>
        <v>0</v>
      </c>
    </row>
    <row r="118" spans="1:12" s="2" customFormat="1" ht="11.25">
      <c r="A118" s="590" t="s">
        <v>139</v>
      </c>
      <c r="B118" s="805">
        <f>+Bois!$G118</f>
        <v>239.02199999999996</v>
      </c>
      <c r="C118" s="805">
        <f>+Madeleine!$G118</f>
        <v>754.47399999999993</v>
      </c>
      <c r="D118" s="805">
        <f>+Lens!$G118</f>
        <v>348.55099999999999</v>
      </c>
      <c r="E118" s="619">
        <f>+Bois!E118+Madeleine!E118+Tourcoing!E118</f>
        <v>1690</v>
      </c>
      <c r="F118" s="619">
        <f>+Bois!F118+Madeleine!F118+Lens!F118</f>
        <v>3489.2666666666669</v>
      </c>
      <c r="G118" s="135">
        <v>0</v>
      </c>
      <c r="H118" s="1077">
        <f>+Bois!G118+Madeleine!G118+Lens!G118</f>
        <v>1342.0469999999998</v>
      </c>
      <c r="I118" s="1013">
        <f>+IF((D118)=0,,(E118-D118)/D118)</f>
        <v>3.8486448181184394</v>
      </c>
      <c r="J118" s="1014">
        <f>+IF((E118)=0,,(H118-E118)/E118)</f>
        <v>-0.20588934911242615</v>
      </c>
      <c r="K118" s="805">
        <f>+Bois!D118+Madeleine!D118+Tourcoing!D118</f>
        <v>1364.2089999999998</v>
      </c>
      <c r="L118" s="678">
        <f t="shared" si="8"/>
        <v>1</v>
      </c>
    </row>
    <row r="119" spans="1:12" s="2" customFormat="1" ht="11.25">
      <c r="A119" s="590" t="s">
        <v>140</v>
      </c>
      <c r="B119" s="805">
        <f>+Bois!$G119</f>
        <v>153.65700000000001</v>
      </c>
      <c r="C119" s="805">
        <f>+Madeleine!$G119</f>
        <v>485.01900000000006</v>
      </c>
      <c r="D119" s="805">
        <f>+Lens!$G119</f>
        <v>224.06850000000003</v>
      </c>
      <c r="E119" s="619">
        <f>+Bois!E119+Madeleine!E119+Tourcoing!E119</f>
        <v>931</v>
      </c>
      <c r="F119" s="619">
        <f>+Bois!F119+Madeleine!F119+Lens!F119</f>
        <v>0</v>
      </c>
      <c r="G119" s="135">
        <v>0</v>
      </c>
      <c r="H119" s="1077">
        <f>+Bois!G119+Madeleine!G119+Lens!G119</f>
        <v>862.74450000000002</v>
      </c>
      <c r="I119" s="1013">
        <f t="shared" ref="I119:I127" si="15">+IF((D119)=0,,(E119-D119)/D119)</f>
        <v>3.1549793924625722</v>
      </c>
      <c r="J119" s="1014">
        <f t="shared" ref="J119:J127" si="16">+IF((E119)=0,,(H119-E119)/E119)</f>
        <v>-7.3314178302900088E-2</v>
      </c>
      <c r="K119" s="805">
        <f>+Bois!D119+Madeleine!D119+Tourcoing!D119</f>
        <v>876.9915000000002</v>
      </c>
      <c r="L119" s="678">
        <f t="shared" si="8"/>
        <v>1</v>
      </c>
    </row>
    <row r="120" spans="1:12" s="2" customFormat="1" ht="11.25">
      <c r="A120" s="590" t="s">
        <v>141</v>
      </c>
      <c r="B120" s="805">
        <f>+Bois!$G120</f>
        <v>266.33879999999999</v>
      </c>
      <c r="C120" s="805">
        <f>+Madeleine!$G120</f>
        <v>840.69960000000003</v>
      </c>
      <c r="D120" s="805">
        <f>+Lens!$G120</f>
        <v>388.3854</v>
      </c>
      <c r="E120" s="619">
        <f>+Bois!E120+Madeleine!E120+Tourcoing!E120</f>
        <v>1407</v>
      </c>
      <c r="F120" s="619">
        <f>+Bois!F120+Madeleine!F120+Lens!F120</f>
        <v>0</v>
      </c>
      <c r="G120" s="135">
        <v>0</v>
      </c>
      <c r="H120" s="1077">
        <f>+Bois!G120+Madeleine!G120+Lens!G120</f>
        <v>1495.4238</v>
      </c>
      <c r="I120" s="1013">
        <f t="shared" si="15"/>
        <v>2.6226902453078824</v>
      </c>
      <c r="J120" s="1014">
        <f t="shared" si="16"/>
        <v>6.2845628997867831E-2</v>
      </c>
      <c r="K120" s="805">
        <f>+Bois!D120+Madeleine!D120+Tourcoing!D120</f>
        <v>1520.1186000000002</v>
      </c>
      <c r="L120" s="678">
        <f t="shared" si="8"/>
        <v>1</v>
      </c>
    </row>
    <row r="121" spans="1:12" s="2" customFormat="1" ht="11.25">
      <c r="A121" s="590" t="s">
        <v>142</v>
      </c>
      <c r="B121" s="805">
        <f>+Bois!$G121</f>
        <v>541.80000000000007</v>
      </c>
      <c r="C121" s="805">
        <f>+Madeleine!$G121</f>
        <v>2854.9500000000003</v>
      </c>
      <c r="D121" s="805">
        <f>+Lens!$G121</f>
        <v>1463.7</v>
      </c>
      <c r="E121" s="619">
        <f>+Bois!E121+Madeleine!E121+Tourcoing!E121</f>
        <v>18551</v>
      </c>
      <c r="F121" s="619">
        <f>+Bois!F121+Madeleine!F121+Lens!F121</f>
        <v>4629</v>
      </c>
      <c r="G121" s="135">
        <v>18424.897499999999</v>
      </c>
      <c r="H121" s="1077">
        <f>+Bois!G121+Madeleine!G121+Lens!G121</f>
        <v>4860.4500000000007</v>
      </c>
      <c r="I121" s="1013">
        <f t="shared" si="15"/>
        <v>11.674045227847236</v>
      </c>
      <c r="J121" s="1014">
        <f t="shared" si="16"/>
        <v>-0.73799525632041396</v>
      </c>
      <c r="K121" s="805">
        <f>+Bois!D121+Madeleine!D121+Tourcoing!D121</f>
        <v>19082.175000000003</v>
      </c>
      <c r="L121" s="678">
        <f t="shared" si="8"/>
        <v>1</v>
      </c>
    </row>
    <row r="122" spans="1:12" s="2" customFormat="1" ht="11.25">
      <c r="A122" s="590" t="s">
        <v>143</v>
      </c>
      <c r="B122" s="805">
        <f>+Bois!$G122</f>
        <v>857.85</v>
      </c>
      <c r="C122" s="805">
        <f>+Madeleine!$G122</f>
        <v>6347.25</v>
      </c>
      <c r="D122" s="805">
        <f>+Lens!$G122</f>
        <v>2581.9500000000003</v>
      </c>
      <c r="E122" s="619">
        <f>+Bois!E122+Madeleine!E122+Tourcoing!E122</f>
        <v>9754</v>
      </c>
      <c r="F122" s="619">
        <f>+Bois!F122+Madeleine!F122+Lens!F122</f>
        <v>9321</v>
      </c>
      <c r="G122" s="135">
        <v>15665.5262158475</v>
      </c>
      <c r="H122" s="1077">
        <f>+Bois!G122+Madeleine!G122+Lens!G122</f>
        <v>9787.0500000000011</v>
      </c>
      <c r="I122" s="1013">
        <f t="shared" si="15"/>
        <v>2.7777648676387994</v>
      </c>
      <c r="J122" s="1014">
        <f t="shared" si="16"/>
        <v>3.3883534960017525E-3</v>
      </c>
      <c r="K122" s="805">
        <f>+Bois!D122+Madeleine!D122+Tourcoing!D122</f>
        <v>10902.876980912501</v>
      </c>
      <c r="L122" s="678">
        <f t="shared" si="8"/>
        <v>1</v>
      </c>
    </row>
    <row r="123" spans="1:12" s="2" customFormat="1" ht="11.25">
      <c r="A123" s="590" t="s">
        <v>144</v>
      </c>
      <c r="B123" s="805">
        <f>+Bois!$G123</f>
        <v>50</v>
      </c>
      <c r="C123" s="805">
        <f>+Madeleine!$G123</f>
        <v>50</v>
      </c>
      <c r="D123" s="805">
        <f>+Lens!$G123</f>
        <v>50</v>
      </c>
      <c r="E123" s="619">
        <f>+Bois!E123+Madeleine!E123+Tourcoing!E123</f>
        <v>0</v>
      </c>
      <c r="F123" s="619">
        <f>+Bois!F123+Madeleine!F123+Lens!F123</f>
        <v>0</v>
      </c>
      <c r="G123" s="135">
        <v>0</v>
      </c>
      <c r="H123" s="1077">
        <f>+Bois!G123+Madeleine!G123+Lens!G123</f>
        <v>150</v>
      </c>
      <c r="I123" s="1013">
        <f t="shared" si="15"/>
        <v>-1</v>
      </c>
      <c r="J123" s="1014">
        <f t="shared" si="16"/>
        <v>0</v>
      </c>
      <c r="K123" s="805">
        <f>+Bois!D123+Madeleine!D123+Tourcoing!D123</f>
        <v>150</v>
      </c>
      <c r="L123" s="678">
        <f t="shared" si="8"/>
        <v>1</v>
      </c>
    </row>
    <row r="124" spans="1:12" s="2" customFormat="1" ht="11.25">
      <c r="A124" s="590" t="s">
        <v>145</v>
      </c>
      <c r="B124" s="805">
        <f>+Bois!$G124</f>
        <v>0</v>
      </c>
      <c r="C124" s="805">
        <f>+Madeleine!$G124</f>
        <v>0</v>
      </c>
      <c r="D124" s="805">
        <f>+Lens!$G124</f>
        <v>0</v>
      </c>
      <c r="E124" s="619">
        <f>+Bois!E124+Madeleine!E124+Tourcoing!E124</f>
        <v>0</v>
      </c>
      <c r="F124" s="619">
        <f>+Bois!F124+Madeleine!F124+Lens!F124</f>
        <v>0</v>
      </c>
      <c r="G124" s="135">
        <v>11.797410786614584</v>
      </c>
      <c r="H124" s="1077">
        <f>+Bois!G124+Madeleine!G124+Lens!G124</f>
        <v>0</v>
      </c>
      <c r="I124" s="1013">
        <f t="shared" si="15"/>
        <v>0</v>
      </c>
      <c r="J124" s="1014">
        <f t="shared" si="16"/>
        <v>0</v>
      </c>
      <c r="K124" s="805">
        <f>+Bois!D124+Madeleine!D124+Tourcoing!D124</f>
        <v>0</v>
      </c>
      <c r="L124" s="678">
        <f t="shared" si="8"/>
        <v>1</v>
      </c>
    </row>
    <row r="125" spans="1:12" s="2" customFormat="1" ht="11.25">
      <c r="A125" s="590" t="s">
        <v>286</v>
      </c>
      <c r="B125" s="805">
        <f>+Bois!$G125</f>
        <v>0</v>
      </c>
      <c r="C125" s="805">
        <f>+Madeleine!$G125</f>
        <v>0</v>
      </c>
      <c r="D125" s="805">
        <f>+Lens!$G125</f>
        <v>0</v>
      </c>
      <c r="E125" s="619">
        <f>+Bois!E125+Madeleine!E125+Tourcoing!E125</f>
        <v>0</v>
      </c>
      <c r="F125" s="619">
        <f>+Bois!F125+Madeleine!F125+Lens!F125</f>
        <v>0</v>
      </c>
      <c r="G125" s="135">
        <v>0.39080167013888889</v>
      </c>
      <c r="H125" s="1077">
        <f>+Bois!G125+Madeleine!G125+Lens!G125</f>
        <v>0</v>
      </c>
      <c r="I125" s="1013">
        <f t="shared" si="15"/>
        <v>0</v>
      </c>
      <c r="J125" s="1014">
        <f t="shared" si="16"/>
        <v>0</v>
      </c>
      <c r="K125" s="805">
        <f>+Bois!D125+Madeleine!D125+Tourcoing!D125</f>
        <v>0.39080167013888889</v>
      </c>
      <c r="L125" s="678">
        <f t="shared" si="8"/>
        <v>1</v>
      </c>
    </row>
    <row r="126" spans="1:12" s="2" customFormat="1" ht="11.25" hidden="1">
      <c r="A126" s="5" t="s">
        <v>361</v>
      </c>
      <c r="B126" s="160">
        <f>+Bois!$G126</f>
        <v>0</v>
      </c>
      <c r="C126" s="113">
        <f>+Madeleine!$G126</f>
        <v>0</v>
      </c>
      <c r="D126" s="113">
        <f>+Lens!$G126</f>
        <v>0</v>
      </c>
      <c r="E126" s="344">
        <f>+Bois!E126+Madeleine!E126+Tourcoing!E126</f>
        <v>0</v>
      </c>
      <c r="F126" s="135">
        <f>+Bois!F126+Madeleine!F126+Tourcoing!F126</f>
        <v>0</v>
      </c>
      <c r="G126" s="135">
        <v>0</v>
      </c>
      <c r="H126" s="161">
        <f>+Bois!G126+Madeleine!G126+Lens!G126</f>
        <v>0</v>
      </c>
      <c r="I126" s="149">
        <f t="shared" si="15"/>
        <v>0</v>
      </c>
      <c r="J126" s="271">
        <f t="shared" si="16"/>
        <v>0</v>
      </c>
      <c r="K126" s="18">
        <f>+Bois!D126+Madeleine!D126+Tourcoing!D126</f>
        <v>0</v>
      </c>
      <c r="L126" s="678">
        <f t="shared" si="8"/>
        <v>0</v>
      </c>
    </row>
    <row r="127" spans="1:12" s="2" customFormat="1" ht="11.25">
      <c r="A127" s="590" t="s">
        <v>146</v>
      </c>
      <c r="B127" s="805">
        <f>+Bois!$G127</f>
        <v>409.69760000000002</v>
      </c>
      <c r="C127" s="805">
        <f>+Madeleine!$G127</f>
        <v>1601.5408</v>
      </c>
      <c r="D127" s="805">
        <f>+Lens!$G127</f>
        <v>920.59680000000003</v>
      </c>
      <c r="E127" s="619">
        <f>+Bois!E127+Madeleine!E127+Tourcoing!E127</f>
        <v>2631.59</v>
      </c>
      <c r="F127" s="619">
        <f>+Bois!F127+Madeleine!F127+Lens!F127</f>
        <v>2704.6933333333336</v>
      </c>
      <c r="G127" s="135">
        <v>2841.3165033600003</v>
      </c>
      <c r="H127" s="1077">
        <f>+Bois!G127+Madeleine!G127+Lens!G127</f>
        <v>2931.8352</v>
      </c>
      <c r="I127" s="1013">
        <f t="shared" si="15"/>
        <v>1.8585695713910804</v>
      </c>
      <c r="J127" s="1014">
        <f t="shared" si="16"/>
        <v>0.11409269681067333</v>
      </c>
      <c r="K127" s="805">
        <f>+Bois!D127+Madeleine!D127+Tourcoing!D127</f>
        <v>2676.9472000000001</v>
      </c>
      <c r="L127" s="678">
        <f t="shared" si="8"/>
        <v>1</v>
      </c>
    </row>
    <row r="128" spans="1:12" s="2" customFormat="1" ht="11.25" hidden="1">
      <c r="A128" s="5"/>
      <c r="B128" s="160"/>
      <c r="C128" s="113"/>
      <c r="D128" s="113"/>
      <c r="E128" s="344"/>
      <c r="F128" s="143"/>
      <c r="G128" s="143"/>
      <c r="H128" s="162"/>
      <c r="I128" s="149"/>
      <c r="J128" s="254"/>
      <c r="K128" s="18"/>
      <c r="L128" s="2">
        <f t="shared" si="8"/>
        <v>0</v>
      </c>
    </row>
    <row r="129" spans="1:12" s="2" customFormat="1" ht="11.25">
      <c r="A129" s="13" t="s">
        <v>147</v>
      </c>
      <c r="B129" s="803">
        <f t="shared" ref="B129:H129" si="17">SUM(B117:B128)</f>
        <v>2518.3654000000001</v>
      </c>
      <c r="C129" s="803">
        <f t="shared" si="17"/>
        <v>12933.9334</v>
      </c>
      <c r="D129" s="803">
        <f t="shared" si="17"/>
        <v>5977.2517000000007</v>
      </c>
      <c r="E129" s="597">
        <f>SUM(E117:E128)</f>
        <v>34964.589999999997</v>
      </c>
      <c r="F129" s="597">
        <f>SUM(F117:F128)</f>
        <v>20143.96</v>
      </c>
      <c r="G129" s="136">
        <v>36943.928431664259</v>
      </c>
      <c r="H129" s="803">
        <f t="shared" si="17"/>
        <v>21429.550500000005</v>
      </c>
      <c r="I129" s="596">
        <f>+IF((D129)=0,,(E129-D129)/D129)</f>
        <v>4.8496097796918933</v>
      </c>
      <c r="J129" s="1015">
        <f>+IF((E129)=0,,(H129-E129)/E129)</f>
        <v>-0.38710705602439477</v>
      </c>
      <c r="K129" s="803">
        <f>SUM(K117:K128)</f>
        <v>36573.709082582645</v>
      </c>
      <c r="L129" s="678">
        <f t="shared" si="8"/>
        <v>1</v>
      </c>
    </row>
    <row r="130" spans="1:12" s="2" customFormat="1" ht="11.25" hidden="1">
      <c r="A130" s="5"/>
      <c r="B130" s="160"/>
      <c r="C130" s="113"/>
      <c r="D130" s="113"/>
      <c r="E130" s="344"/>
      <c r="F130" s="143"/>
      <c r="G130" s="143"/>
      <c r="H130" s="162"/>
      <c r="I130" s="149"/>
      <c r="J130" s="254"/>
      <c r="K130" s="18"/>
      <c r="L130" s="2">
        <f t="shared" si="8"/>
        <v>0</v>
      </c>
    </row>
    <row r="131" spans="1:12" s="2" customFormat="1" ht="11.25">
      <c r="A131" s="590" t="s">
        <v>148</v>
      </c>
      <c r="B131" s="805">
        <f>+Bois!$G131</f>
        <v>34146</v>
      </c>
      <c r="C131" s="805">
        <f>+Madeleine!$G131</f>
        <v>107782</v>
      </c>
      <c r="D131" s="805">
        <f>+Lens!$G131</f>
        <v>49793</v>
      </c>
      <c r="E131" s="619">
        <f>+Bois!E131+Madeleine!E131+Tourcoing!E131</f>
        <v>209567.54000000004</v>
      </c>
      <c r="F131" s="619">
        <f>+Bois!F131+Madeleine!F131+Lens!F131</f>
        <v>201304.10666666669</v>
      </c>
      <c r="G131" s="135">
        <v>217676.02850000001</v>
      </c>
      <c r="H131" s="1077">
        <f>+Bois!G131+Madeleine!G131+Lens!G131</f>
        <v>191721</v>
      </c>
      <c r="I131" s="1013">
        <f>+IF((D131)=0,,(E131-D131)/D131)</f>
        <v>3.2087751290342021</v>
      </c>
      <c r="J131" s="1014">
        <f>+IF((E131)=0,,(H131-E131)/E131)</f>
        <v>-8.5158894359307902E-2</v>
      </c>
      <c r="K131" s="805">
        <f>+Bois!D131+Madeleine!D131+Tourcoing!D131</f>
        <v>194887</v>
      </c>
      <c r="L131" s="678">
        <f t="shared" si="8"/>
        <v>1</v>
      </c>
    </row>
    <row r="132" spans="1:12" s="2" customFormat="1" ht="11.25" hidden="1">
      <c r="A132" s="5" t="s">
        <v>149</v>
      </c>
      <c r="B132" s="160">
        <f>+Bois!$G132</f>
        <v>0</v>
      </c>
      <c r="C132" s="113">
        <f>+Madeleine!$G132</f>
        <v>0</v>
      </c>
      <c r="D132" s="113">
        <f>+Lens!$G132</f>
        <v>0</v>
      </c>
      <c r="E132" s="344">
        <f>+Bois!E132+Madeleine!E132+Tourcoing!E132</f>
        <v>2625</v>
      </c>
      <c r="F132" s="135">
        <f>+Bois!F132+Madeleine!F132+Lens!F132</f>
        <v>-4676.4266666666663</v>
      </c>
      <c r="G132" s="135">
        <v>-386.25</v>
      </c>
      <c r="H132" s="161">
        <f>+Bois!G132+Madeleine!G132+Lens!G132</f>
        <v>0</v>
      </c>
      <c r="I132" s="149">
        <f t="shared" ref="I132:I151" si="18">+IF((D132)=0,,(E132-D132)/D132)</f>
        <v>0</v>
      </c>
      <c r="J132" s="271">
        <f t="shared" ref="J132:J151" si="19">+IF((E132)=0,,(H132-E132)/E132)</f>
        <v>-1</v>
      </c>
      <c r="K132" s="18">
        <f>+Bois!D132+Madeleine!D132+Tourcoing!D132</f>
        <v>0</v>
      </c>
      <c r="L132" s="2">
        <f t="shared" si="8"/>
        <v>0</v>
      </c>
    </row>
    <row r="133" spans="1:12" s="2" customFormat="1" ht="11.25">
      <c r="A133" s="590" t="s">
        <v>150</v>
      </c>
      <c r="B133" s="805">
        <f>+Bois!$G133</f>
        <v>0</v>
      </c>
      <c r="C133" s="805">
        <f>+Madeleine!$G133</f>
        <v>0</v>
      </c>
      <c r="D133" s="805">
        <f>+Lens!$G133</f>
        <v>0</v>
      </c>
      <c r="E133" s="619">
        <f>+Bois!E133+Madeleine!E133+Tourcoing!E133</f>
        <v>0</v>
      </c>
      <c r="F133" s="619">
        <f>+Bois!F133+Madeleine!F133+Lens!F133</f>
        <v>333.33333333333337</v>
      </c>
      <c r="G133" s="135">
        <v>0</v>
      </c>
      <c r="H133" s="1077">
        <f>+Bois!G133+Madeleine!G133+Lens!G133</f>
        <v>0</v>
      </c>
      <c r="I133" s="1013">
        <f t="shared" si="18"/>
        <v>0</v>
      </c>
      <c r="J133" s="1014">
        <f t="shared" si="19"/>
        <v>0</v>
      </c>
      <c r="K133" s="805">
        <f>+Bois!D133+Madeleine!D133+Tourcoing!D133</f>
        <v>0</v>
      </c>
      <c r="L133" s="678">
        <f t="shared" si="8"/>
        <v>1</v>
      </c>
    </row>
    <row r="134" spans="1:12" s="2" customFormat="1" ht="11.25" hidden="1">
      <c r="A134" s="5" t="s">
        <v>151</v>
      </c>
      <c r="B134" s="160">
        <f>+Bois!$G134</f>
        <v>0</v>
      </c>
      <c r="C134" s="113">
        <f>+Madeleine!$G134</f>
        <v>0</v>
      </c>
      <c r="D134" s="113">
        <f>+Lens!$G134</f>
        <v>0</v>
      </c>
      <c r="E134" s="344">
        <f>+Bois!E134+Madeleine!E134+Tourcoing!E134</f>
        <v>-1700.2799999999997</v>
      </c>
      <c r="F134" s="135">
        <f>+Bois!F134+Madeleine!F134+Lens!F134</f>
        <v>0</v>
      </c>
      <c r="G134" s="135">
        <v>0</v>
      </c>
      <c r="H134" s="161">
        <f>+Bois!G134+Madeleine!G134+Lens!G134</f>
        <v>0</v>
      </c>
      <c r="I134" s="149">
        <f t="shared" si="18"/>
        <v>0</v>
      </c>
      <c r="J134" s="271">
        <f t="shared" si="19"/>
        <v>-1</v>
      </c>
      <c r="K134" s="18">
        <f>+Bois!D134+Madeleine!D134+Tourcoing!D134</f>
        <v>0</v>
      </c>
      <c r="L134" s="2">
        <f t="shared" si="8"/>
        <v>0</v>
      </c>
    </row>
    <row r="135" spans="1:12" s="2" customFormat="1" ht="11.25" hidden="1">
      <c r="A135" s="5" t="s">
        <v>114</v>
      </c>
      <c r="B135" s="160">
        <f>+Bois!$G135</f>
        <v>0</v>
      </c>
      <c r="C135" s="113">
        <f>+Madeleine!$G135</f>
        <v>0</v>
      </c>
      <c r="D135" s="113">
        <f>+Lens!$G135</f>
        <v>0</v>
      </c>
      <c r="E135" s="344">
        <f>+Bois!E135+Madeleine!E135+Tourcoing!E135</f>
        <v>0</v>
      </c>
      <c r="F135" s="135">
        <f>+Bois!F135+Madeleine!F135+Tourcoing!F135</f>
        <v>0</v>
      </c>
      <c r="G135" s="135">
        <v>0</v>
      </c>
      <c r="H135" s="161">
        <f>+Bois!G135+Madeleine!G135+Lens!G135</f>
        <v>0</v>
      </c>
      <c r="I135" s="149">
        <f t="shared" si="18"/>
        <v>0</v>
      </c>
      <c r="J135" s="271">
        <f t="shared" si="19"/>
        <v>0</v>
      </c>
      <c r="K135" s="18">
        <f>+Bois!D135+Madeleine!D135+Tourcoing!D135</f>
        <v>0</v>
      </c>
      <c r="L135" s="678">
        <f t="shared" si="8"/>
        <v>0</v>
      </c>
    </row>
    <row r="136" spans="1:12" s="2" customFormat="1" ht="11.25">
      <c r="A136" s="590" t="s">
        <v>338</v>
      </c>
      <c r="B136" s="805">
        <f>+Bois!$G136</f>
        <v>0</v>
      </c>
      <c r="C136" s="805">
        <f>+Madeleine!$G136</f>
        <v>0</v>
      </c>
      <c r="D136" s="805">
        <f>+Lens!$G136</f>
        <v>0</v>
      </c>
      <c r="E136" s="619">
        <f>+Bois!E136+Madeleine!E136+Tourcoing!E136</f>
        <v>2358.6200000000003</v>
      </c>
      <c r="F136" s="619">
        <f>+Bois!F136+Madeleine!F136+Lens!F136</f>
        <v>7400</v>
      </c>
      <c r="G136" s="135">
        <v>2955.1518498512505</v>
      </c>
      <c r="H136" s="1077">
        <f>+Bois!G136+Madeleine!G136+Lens!G136</f>
        <v>0</v>
      </c>
      <c r="I136" s="1013">
        <f t="shared" si="18"/>
        <v>0</v>
      </c>
      <c r="J136" s="1014">
        <f t="shared" si="19"/>
        <v>-1</v>
      </c>
      <c r="K136" s="805">
        <f>+Bois!D136+Madeleine!D136+Tourcoing!D136</f>
        <v>2955.1518498512505</v>
      </c>
      <c r="L136" s="2">
        <f t="shared" ref="L136:L199" si="20">IF(SUM(A136:K136)&gt;0,1,0)</f>
        <v>1</v>
      </c>
    </row>
    <row r="137" spans="1:12" s="2" customFormat="1" ht="11.25" hidden="1">
      <c r="A137" s="5" t="s">
        <v>87</v>
      </c>
      <c r="B137" s="160">
        <f>+Bois!$G137</f>
        <v>0</v>
      </c>
      <c r="C137" s="113">
        <f>+Madeleine!$G137</f>
        <v>0</v>
      </c>
      <c r="D137" s="113">
        <f>+Lens!$G137</f>
        <v>0</v>
      </c>
      <c r="E137" s="344">
        <f>+Bois!E137+Madeleine!E137+Tourcoing!E137</f>
        <v>-9439.7000000000007</v>
      </c>
      <c r="F137" s="135">
        <f>+Bois!F137+Madeleine!F137+Lens!F137</f>
        <v>-28097.373333333329</v>
      </c>
      <c r="G137" s="135">
        <v>-22865.021499999999</v>
      </c>
      <c r="H137" s="161">
        <f>+Bois!G137+Madeleine!G137+Lens!G137</f>
        <v>0</v>
      </c>
      <c r="I137" s="149">
        <f t="shared" si="18"/>
        <v>0</v>
      </c>
      <c r="J137" s="271">
        <f t="shared" si="19"/>
        <v>-1</v>
      </c>
      <c r="K137" s="18">
        <f>+Bois!D137+Madeleine!D137+Tourcoing!D137</f>
        <v>-22865.021499999999</v>
      </c>
      <c r="L137" s="2">
        <f t="shared" si="20"/>
        <v>0</v>
      </c>
    </row>
    <row r="138" spans="1:12" s="2" customFormat="1" ht="11.25" hidden="1">
      <c r="A138" s="5" t="s">
        <v>152</v>
      </c>
      <c r="B138" s="160">
        <f>+Bois!$G138</f>
        <v>0</v>
      </c>
      <c r="C138" s="113">
        <f>+Madeleine!$G138</f>
        <v>0</v>
      </c>
      <c r="D138" s="113">
        <f>+Lens!$G138</f>
        <v>0</v>
      </c>
      <c r="E138" s="344">
        <f>+Bois!E138+Madeleine!E138+Tourcoing!E138</f>
        <v>-711.38999999999987</v>
      </c>
      <c r="F138" s="135">
        <f>+Bois!F138+Madeleine!F138+Lens!F138</f>
        <v>0</v>
      </c>
      <c r="G138" s="135">
        <v>0</v>
      </c>
      <c r="H138" s="161">
        <f>+Bois!G138+Madeleine!G138+Lens!G138</f>
        <v>0</v>
      </c>
      <c r="I138" s="149">
        <f t="shared" si="18"/>
        <v>0</v>
      </c>
      <c r="J138" s="271">
        <f t="shared" si="19"/>
        <v>-1</v>
      </c>
      <c r="K138" s="18">
        <f>+Bois!D138+Madeleine!D138+Tourcoing!D138</f>
        <v>0</v>
      </c>
      <c r="L138" s="2">
        <f t="shared" si="20"/>
        <v>0</v>
      </c>
    </row>
    <row r="139" spans="1:12" s="2" customFormat="1" ht="11.25" hidden="1">
      <c r="A139" s="5" t="s">
        <v>153</v>
      </c>
      <c r="B139" s="160">
        <f>+Bois!$G139</f>
        <v>0</v>
      </c>
      <c r="C139" s="113">
        <f>+Madeleine!$G139</f>
        <v>0</v>
      </c>
      <c r="D139" s="113">
        <f>+Lens!$G139</f>
        <v>0</v>
      </c>
      <c r="E139" s="344">
        <f>+Bois!E139+Madeleine!E139+Tourcoing!E139</f>
        <v>0</v>
      </c>
      <c r="F139" s="135">
        <f>+Bois!F139+Madeleine!F139+Tourcoing!F139</f>
        <v>0</v>
      </c>
      <c r="G139" s="135">
        <v>0</v>
      </c>
      <c r="H139" s="161">
        <f>+Bois!G139+Madeleine!G139+Lens!G139</f>
        <v>0</v>
      </c>
      <c r="I139" s="149">
        <f t="shared" si="18"/>
        <v>0</v>
      </c>
      <c r="J139" s="271">
        <f t="shared" si="19"/>
        <v>0</v>
      </c>
      <c r="K139" s="18">
        <f>+Bois!D139+Madeleine!D139+Tourcoing!D139</f>
        <v>0</v>
      </c>
      <c r="L139" s="2">
        <f t="shared" si="20"/>
        <v>0</v>
      </c>
    </row>
    <row r="140" spans="1:12" s="2" customFormat="1" ht="11.25">
      <c r="A140" s="590" t="s">
        <v>154</v>
      </c>
      <c r="B140" s="805">
        <f>+Bois!$G140</f>
        <v>0</v>
      </c>
      <c r="C140" s="805">
        <f>+Madeleine!$G140</f>
        <v>0</v>
      </c>
      <c r="D140" s="805">
        <f>+Lens!$G140</f>
        <v>0</v>
      </c>
      <c r="E140" s="619">
        <f>+Bois!E140+Madeleine!E140+Tourcoing!E140</f>
        <v>15200</v>
      </c>
      <c r="F140" s="619">
        <f>+Bois!F140+Madeleine!F140+Lens!F140</f>
        <v>0</v>
      </c>
      <c r="G140" s="135">
        <v>0</v>
      </c>
      <c r="H140" s="1077">
        <f>+Bois!G140+Madeleine!G140+Lens!G140</f>
        <v>0</v>
      </c>
      <c r="I140" s="1013">
        <f t="shared" si="18"/>
        <v>0</v>
      </c>
      <c r="J140" s="1014">
        <f t="shared" si="19"/>
        <v>-1</v>
      </c>
      <c r="K140" s="805">
        <f>+Bois!D140+Madeleine!D140+Tourcoing!D140</f>
        <v>0</v>
      </c>
      <c r="L140" s="678">
        <f t="shared" si="20"/>
        <v>1</v>
      </c>
    </row>
    <row r="141" spans="1:12" s="2" customFormat="1" ht="11.25">
      <c r="A141" s="590" t="s">
        <v>155</v>
      </c>
      <c r="B141" s="805">
        <f>+Bois!$G141</f>
        <v>12177.063014578829</v>
      </c>
      <c r="C141" s="805">
        <f>+Madeleine!$G141</f>
        <v>27290.700399754252</v>
      </c>
      <c r="D141" s="805">
        <f>+Lens!$G141</f>
        <v>15129.509013249472</v>
      </c>
      <c r="E141" s="619">
        <f>+Bois!E141+Madeleine!E141+Tourcoing!E141</f>
        <v>61166.57</v>
      </c>
      <c r="F141" s="619">
        <f>+Bois!F141+Madeleine!F141+Lens!F141</f>
        <v>56349</v>
      </c>
      <c r="G141" s="135">
        <v>63178.30592000013</v>
      </c>
      <c r="H141" s="1077">
        <f>+Bois!G141+Madeleine!G141+Lens!G141</f>
        <v>54597.272427582553</v>
      </c>
      <c r="I141" s="1013">
        <f t="shared" si="18"/>
        <v>3.0428654985719739</v>
      </c>
      <c r="J141" s="1014">
        <f t="shared" si="19"/>
        <v>-0.1074001300451774</v>
      </c>
      <c r="K141" s="805">
        <f>+Bois!D141+Madeleine!D141+Tourcoing!D141</f>
        <v>54621.981538596156</v>
      </c>
      <c r="L141" s="678">
        <f t="shared" si="20"/>
        <v>1</v>
      </c>
    </row>
    <row r="142" spans="1:12" s="2" customFormat="1" ht="11.25">
      <c r="A142" s="590" t="s">
        <v>156</v>
      </c>
      <c r="B142" s="805">
        <f>+Bois!$G142</f>
        <v>709.68527133387909</v>
      </c>
      <c r="C142" s="805">
        <f>+Madeleine!$G142</f>
        <v>3245.3431524974862</v>
      </c>
      <c r="D142" s="805">
        <f>+Lens!$G142</f>
        <v>1030.8366174606424</v>
      </c>
      <c r="E142" s="619">
        <f>+Bois!E142+Madeleine!E142+Tourcoing!E142</f>
        <v>6039.01</v>
      </c>
      <c r="F142" s="619">
        <f>+Bois!F142+Madeleine!F142+Lens!F142</f>
        <v>5198.3999999999996</v>
      </c>
      <c r="G142" s="135">
        <v>6084.0137327738757</v>
      </c>
      <c r="H142" s="1077">
        <f>+Bois!G142+Madeleine!G142+Lens!G142</f>
        <v>4985.8650412920078</v>
      </c>
      <c r="I142" s="1013">
        <f t="shared" si="18"/>
        <v>4.8583580537490665</v>
      </c>
      <c r="J142" s="1014">
        <f t="shared" si="19"/>
        <v>-0.17439033197626636</v>
      </c>
      <c r="K142" s="805">
        <f>+Bois!D142+Madeleine!D142+Tourcoing!D142</f>
        <v>5720.9136445988261</v>
      </c>
      <c r="L142" s="678">
        <f t="shared" si="20"/>
        <v>1</v>
      </c>
    </row>
    <row r="143" spans="1:12" s="2" customFormat="1" ht="11.25">
      <c r="A143" s="590" t="s">
        <v>157</v>
      </c>
      <c r="B143" s="805">
        <f>+Bois!$G143</f>
        <v>1269.6567534723238</v>
      </c>
      <c r="C143" s="805">
        <f>+Madeleine!$G143</f>
        <v>7802.9072689198256</v>
      </c>
      <c r="D143" s="805">
        <f>+Lens!$G143</f>
        <v>2244.7592385512648</v>
      </c>
      <c r="E143" s="619">
        <f>+Bois!E143+Madeleine!E143+Tourcoing!E143</f>
        <v>13385.74</v>
      </c>
      <c r="F143" s="619">
        <f>+Bois!F143+Madeleine!F143+Lens!F143</f>
        <v>11859.52</v>
      </c>
      <c r="G143" s="135">
        <v>14025.495781869435</v>
      </c>
      <c r="H143" s="1077">
        <f>+Bois!G143+Madeleine!G143+Lens!G143</f>
        <v>11317.323260943414</v>
      </c>
      <c r="I143" s="1013">
        <f t="shared" si="18"/>
        <v>4.9631072099469176</v>
      </c>
      <c r="J143" s="1014">
        <f t="shared" si="19"/>
        <v>-0.15452389924326823</v>
      </c>
      <c r="K143" s="805">
        <f>+Bois!D143+Madeleine!D143+Tourcoing!D143</f>
        <v>13415.38595434562</v>
      </c>
      <c r="L143" s="678">
        <f t="shared" si="20"/>
        <v>1</v>
      </c>
    </row>
    <row r="144" spans="1:12" s="2" customFormat="1" ht="11.25" hidden="1">
      <c r="A144" s="5" t="s">
        <v>326</v>
      </c>
      <c r="B144" s="160">
        <f>+Bois!$G144</f>
        <v>0</v>
      </c>
      <c r="C144" s="113">
        <f>+Madeleine!$G144</f>
        <v>0</v>
      </c>
      <c r="D144" s="113">
        <f>+Lens!$G144</f>
        <v>0</v>
      </c>
      <c r="E144" s="344">
        <f>+Bois!E144+Madeleine!E144+Tourcoing!E144</f>
        <v>0</v>
      </c>
      <c r="F144" s="135">
        <f>+Bois!F144+Madeleine!F144+Tourcoing!F144</f>
        <v>0</v>
      </c>
      <c r="G144" s="135">
        <v>0</v>
      </c>
      <c r="H144" s="161">
        <f>+Bois!G144+Madeleine!G144+Lens!G144</f>
        <v>0</v>
      </c>
      <c r="I144" s="149">
        <f t="shared" si="18"/>
        <v>0</v>
      </c>
      <c r="J144" s="271">
        <f t="shared" si="19"/>
        <v>0</v>
      </c>
      <c r="K144" s="18">
        <f>+Bois!D144+Madeleine!D144+Tourcoing!D144</f>
        <v>0</v>
      </c>
      <c r="L144" s="678">
        <f t="shared" si="20"/>
        <v>0</v>
      </c>
    </row>
    <row r="145" spans="1:12" s="2" customFormat="1" ht="11.25">
      <c r="A145" s="590" t="s">
        <v>158</v>
      </c>
      <c r="B145" s="805">
        <f>+Bois!$G145</f>
        <v>980.08591496109193</v>
      </c>
      <c r="C145" s="805">
        <f>+Madeleine!$G145</f>
        <v>4840.6157086966386</v>
      </c>
      <c r="D145" s="805">
        <f>+Lens!$G145</f>
        <v>1900.911051544442</v>
      </c>
      <c r="E145" s="619">
        <f>+Bois!E145+Madeleine!E145+Tourcoing!E145</f>
        <v>8796.65</v>
      </c>
      <c r="F145" s="619">
        <f>+Bois!F145+Madeleine!F145+Lens!F145</f>
        <v>8096.9333333333334</v>
      </c>
      <c r="G145" s="135">
        <v>9048.5475296513305</v>
      </c>
      <c r="H145" s="1077">
        <f>+Bois!G145+Madeleine!G145+Lens!G145</f>
        <v>7721.6126752021728</v>
      </c>
      <c r="I145" s="1013">
        <f t="shared" si="18"/>
        <v>3.6275968530210525</v>
      </c>
      <c r="J145" s="1014">
        <f t="shared" si="19"/>
        <v>-0.12220985543335552</v>
      </c>
      <c r="K145" s="805">
        <f>+Bois!D145+Madeleine!D145+Tourcoing!D145</f>
        <v>8522.9313216373484</v>
      </c>
      <c r="L145" s="678">
        <f t="shared" si="20"/>
        <v>1</v>
      </c>
    </row>
    <row r="146" spans="1:12" s="2" customFormat="1" ht="11.25">
      <c r="A146" s="590" t="s">
        <v>159</v>
      </c>
      <c r="B146" s="805">
        <f>+Bois!$G146</f>
        <v>0</v>
      </c>
      <c r="C146" s="805">
        <f>+Madeleine!$G146</f>
        <v>0</v>
      </c>
      <c r="D146" s="805">
        <f>+Lens!$G146</f>
        <v>459.16039384292401</v>
      </c>
      <c r="E146" s="619">
        <f>+Bois!E146+Madeleine!E146+Tourcoing!E146</f>
        <v>0</v>
      </c>
      <c r="F146" s="619">
        <f>+Bois!F146+Madeleine!F146+Lens!F146</f>
        <v>518.86666666666667</v>
      </c>
      <c r="G146" s="135">
        <v>0</v>
      </c>
      <c r="H146" s="1077">
        <f>+Bois!G146+Madeleine!G146+Lens!G146</f>
        <v>459.16039384292401</v>
      </c>
      <c r="I146" s="1013">
        <f t="shared" si="18"/>
        <v>-1</v>
      </c>
      <c r="J146" s="1014">
        <f t="shared" si="19"/>
        <v>0</v>
      </c>
      <c r="K146" s="805">
        <f>+Bois!D146+Madeleine!D146+Tourcoing!D146</f>
        <v>0</v>
      </c>
      <c r="L146" s="2">
        <f t="shared" si="20"/>
        <v>1</v>
      </c>
    </row>
    <row r="147" spans="1:12" s="2" customFormat="1" ht="11.25" hidden="1">
      <c r="A147" s="5" t="s">
        <v>160</v>
      </c>
      <c r="B147" s="160">
        <f>+Bois!$G147</f>
        <v>276.1498666666667</v>
      </c>
      <c r="C147" s="113">
        <f>+Madeleine!$G147</f>
        <v>-1671.4839999999997</v>
      </c>
      <c r="D147" s="113">
        <f>+Lens!$G147</f>
        <v>-13.087866666666665</v>
      </c>
      <c r="E147" s="344">
        <f>+Bois!E147+Madeleine!E147+Tourcoing!E147</f>
        <v>1096.6699999999998</v>
      </c>
      <c r="F147" s="135">
        <f>+Bois!F147+Madeleine!F147+Lens!F147</f>
        <v>-1367.3999999999999</v>
      </c>
      <c r="G147" s="135">
        <v>-57.109772494375001</v>
      </c>
      <c r="H147" s="161">
        <f>+Bois!G147+Madeleine!G147+Lens!G147</f>
        <v>-1408.4219999999998</v>
      </c>
      <c r="I147" s="149">
        <f t="shared" si="18"/>
        <v>-84.792876863048733</v>
      </c>
      <c r="J147" s="271">
        <f t="shared" si="19"/>
        <v>-2.2842714763784913</v>
      </c>
      <c r="K147" s="18">
        <f>+Bois!D147+Madeleine!D147+Tourcoing!D147</f>
        <v>-57.109772494375001</v>
      </c>
      <c r="L147" s="678">
        <f t="shared" si="20"/>
        <v>0</v>
      </c>
    </row>
    <row r="148" spans="1:12" s="2" customFormat="1" ht="11.25">
      <c r="A148" s="590" t="s">
        <v>161</v>
      </c>
      <c r="B148" s="805">
        <f>+Bois!$G148</f>
        <v>0</v>
      </c>
      <c r="C148" s="805">
        <f>+Madeleine!$G148</f>
        <v>0</v>
      </c>
      <c r="D148" s="805">
        <f>+Lens!$G148</f>
        <v>0</v>
      </c>
      <c r="E148" s="619">
        <f>+Bois!E148+Madeleine!E148+Tourcoing!E148</f>
        <v>149.38999999999999</v>
      </c>
      <c r="F148" s="619">
        <f>+Bois!F148+Madeleine!F148+Lens!F148</f>
        <v>0</v>
      </c>
      <c r="G148" s="135">
        <v>88.917994500000006</v>
      </c>
      <c r="H148" s="1077">
        <f>+Bois!G148+Madeleine!G148+Lens!G148</f>
        <v>0</v>
      </c>
      <c r="I148" s="1013">
        <f t="shared" si="18"/>
        <v>0</v>
      </c>
      <c r="J148" s="1014">
        <f t="shared" si="19"/>
        <v>-1</v>
      </c>
      <c r="K148" s="805">
        <f>+Bois!D148+Madeleine!D148+Tourcoing!D148</f>
        <v>88.917994500000006</v>
      </c>
      <c r="L148" s="678">
        <f t="shared" si="20"/>
        <v>1</v>
      </c>
    </row>
    <row r="149" spans="1:12" s="2" customFormat="1" ht="11.25">
      <c r="A149" s="590" t="s">
        <v>162</v>
      </c>
      <c r="B149" s="805">
        <f>+Bois!$G149</f>
        <v>0</v>
      </c>
      <c r="C149" s="805">
        <f>+Madeleine!$G149</f>
        <v>220.28266666666667</v>
      </c>
      <c r="D149" s="805">
        <f>+Lens!$G149</f>
        <v>0</v>
      </c>
      <c r="E149" s="619">
        <f>+Bois!E149+Madeleine!E149+Tourcoing!E149</f>
        <v>359.58000000000004</v>
      </c>
      <c r="F149" s="619">
        <f>+Bois!F149+Madeleine!F149+Lens!F149</f>
        <v>213.86666666666667</v>
      </c>
      <c r="G149" s="135">
        <v>270.53598900000009</v>
      </c>
      <c r="H149" s="1077">
        <f>+Bois!G149+Madeleine!G149+Lens!G149</f>
        <v>220.28266666666667</v>
      </c>
      <c r="I149" s="1013">
        <f t="shared" si="18"/>
        <v>0</v>
      </c>
      <c r="J149" s="1014">
        <f t="shared" si="19"/>
        <v>-0.38738899085970674</v>
      </c>
      <c r="K149" s="805">
        <f>+Bois!D149+Madeleine!D149+Tourcoing!D149</f>
        <v>270.53598900000009</v>
      </c>
      <c r="L149" s="678">
        <f t="shared" si="20"/>
        <v>1</v>
      </c>
    </row>
    <row r="150" spans="1:12" s="2" customFormat="1" ht="11.25">
      <c r="A150" s="590" t="s">
        <v>163</v>
      </c>
      <c r="B150" s="805">
        <f>+Bois!$G150</f>
        <v>102.93133333333334</v>
      </c>
      <c r="C150" s="805">
        <f>+Madeleine!$G150</f>
        <v>220.72213333333332</v>
      </c>
      <c r="D150" s="805">
        <f>+Lens!$G150</f>
        <v>175.78666666666666</v>
      </c>
      <c r="E150" s="619">
        <f>+Bois!E150+Madeleine!E150+Tourcoing!E150</f>
        <v>738.52</v>
      </c>
      <c r="F150" s="619">
        <f>+Bois!F150+Madeleine!F150+Lens!F150</f>
        <v>484.89333333333332</v>
      </c>
      <c r="G150" s="135">
        <v>499.67411785224169</v>
      </c>
      <c r="H150" s="1077">
        <f>+Bois!G150+Madeleine!G150+Lens!G150</f>
        <v>499.44013333333328</v>
      </c>
      <c r="I150" s="1013">
        <f t="shared" si="18"/>
        <v>3.2012287621359223</v>
      </c>
      <c r="J150" s="1014">
        <f t="shared" si="19"/>
        <v>-0.32372835761613322</v>
      </c>
      <c r="K150" s="805">
        <f>+Bois!D150+Madeleine!D150+Tourcoing!D150</f>
        <v>499.67411785224169</v>
      </c>
      <c r="L150" s="678">
        <f t="shared" si="20"/>
        <v>1</v>
      </c>
    </row>
    <row r="151" spans="1:12" s="2" customFormat="1" ht="11.25">
      <c r="A151" s="590" t="s">
        <v>58</v>
      </c>
      <c r="B151" s="805">
        <f>+Bois!$G152</f>
        <v>0</v>
      </c>
      <c r="C151" s="805">
        <f>+Madeleine!$G152</f>
        <v>0</v>
      </c>
      <c r="D151" s="805">
        <f>+Lens!$G152</f>
        <v>0</v>
      </c>
      <c r="E151" s="619">
        <f>+Bois!E152+Madeleine!E152+Tourcoing!E152</f>
        <v>653.64256</v>
      </c>
      <c r="F151" s="619">
        <f>+Bois!F152+Madeleine!F152+Lens!F152</f>
        <v>0</v>
      </c>
      <c r="G151" s="135">
        <v>0</v>
      </c>
      <c r="H151" s="1077">
        <f>+Bois!G152+Madeleine!G152+Lens!G152</f>
        <v>0</v>
      </c>
      <c r="I151" s="1013">
        <f t="shared" si="18"/>
        <v>0</v>
      </c>
      <c r="J151" s="1014">
        <f t="shared" si="19"/>
        <v>-1</v>
      </c>
      <c r="K151" s="805">
        <f>+Bois!D152+Madeleine!D152+Tourcoing!D152</f>
        <v>0</v>
      </c>
      <c r="L151" s="678">
        <f t="shared" si="20"/>
        <v>1</v>
      </c>
    </row>
    <row r="152" spans="1:12" s="2" customFormat="1" ht="11.25" hidden="1">
      <c r="A152" s="5"/>
      <c r="B152" s="160"/>
      <c r="C152" s="113"/>
      <c r="D152" s="113"/>
      <c r="E152" s="344"/>
      <c r="F152" s="143"/>
      <c r="G152" s="143"/>
      <c r="H152" s="162"/>
      <c r="I152" s="149"/>
      <c r="J152" s="254"/>
      <c r="K152" s="18"/>
      <c r="L152" s="2">
        <f t="shared" si="20"/>
        <v>0</v>
      </c>
    </row>
    <row r="153" spans="1:12" s="2" customFormat="1" ht="11.25">
      <c r="A153" s="13" t="s">
        <v>164</v>
      </c>
      <c r="B153" s="803">
        <f t="shared" ref="B153:H153" si="21">SUM(B130:B152)</f>
        <v>49661.572154346126</v>
      </c>
      <c r="C153" s="803">
        <f t="shared" si="21"/>
        <v>149731.0873298682</v>
      </c>
      <c r="D153" s="803">
        <f t="shared" si="21"/>
        <v>70720.875114648748</v>
      </c>
      <c r="E153" s="597">
        <f>SUM(E130:E152)</f>
        <v>310285.56256000005</v>
      </c>
      <c r="F153" s="597">
        <f>SUM(F130:F152)</f>
        <v>257617.72000000003</v>
      </c>
      <c r="G153" s="136">
        <v>290518.29014300392</v>
      </c>
      <c r="H153" s="803">
        <f t="shared" si="21"/>
        <v>270113.53459886304</v>
      </c>
      <c r="I153" s="596">
        <f>+IF((D153)=0,,(E153-D153)/D153)</f>
        <v>3.387467802922155</v>
      </c>
      <c r="J153" s="1015">
        <f>+IF((E153)=0,,(H153-E153)/E153)</f>
        <v>-0.1294679250613503</v>
      </c>
      <c r="K153" s="803">
        <f>SUM(K130:K152)</f>
        <v>258060.36113788706</v>
      </c>
      <c r="L153" s="678">
        <f t="shared" si="20"/>
        <v>1</v>
      </c>
    </row>
    <row r="154" spans="1:12" s="2" customFormat="1" ht="11.25" hidden="1">
      <c r="A154" s="5"/>
      <c r="B154" s="160"/>
      <c r="C154" s="113"/>
      <c r="D154" s="113"/>
      <c r="E154" s="344"/>
      <c r="F154" s="143"/>
      <c r="G154" s="143"/>
      <c r="H154" s="162"/>
      <c r="I154" s="149"/>
      <c r="J154" s="254"/>
      <c r="K154" s="18"/>
      <c r="L154" s="2">
        <f t="shared" si="20"/>
        <v>0</v>
      </c>
    </row>
    <row r="155" spans="1:12" s="2" customFormat="1" ht="11.25">
      <c r="A155" s="590" t="s">
        <v>227</v>
      </c>
      <c r="B155" s="805">
        <f>+Bois!$G156</f>
        <v>2330.0373119400001</v>
      </c>
      <c r="C155" s="805">
        <f>+Madeleine!$G156</f>
        <v>15173.569691280003</v>
      </c>
      <c r="D155" s="805">
        <f>+Lens!$G156</f>
        <v>7857.0812073600018</v>
      </c>
      <c r="E155" s="619">
        <f>+Bois!E156+Madeleine!E156+Tourcoing!E156</f>
        <v>12081.2</v>
      </c>
      <c r="F155" s="619">
        <f>+Bois!F156+Madeleine!F156+Lens!F156</f>
        <v>16134.28</v>
      </c>
      <c r="G155" s="135">
        <v>22536.938432500003</v>
      </c>
      <c r="H155" s="1077">
        <f>+Bois!G156+Madeleine!G156+Lens!G156</f>
        <v>25360.688210580007</v>
      </c>
      <c r="I155" s="1013">
        <f>+IF((D155)=0,,(E155-D155)/D155)</f>
        <v>0.53761933740523382</v>
      </c>
      <c r="J155" s="1014">
        <f>+IF((E155)=0,,(H155-E155)/E155)</f>
        <v>1.0991861909893061</v>
      </c>
      <c r="K155" s="805">
        <f>+Bois!D156+Madeleine!D156+Tourcoing!D156</f>
        <v>22568.841311379998</v>
      </c>
      <c r="L155" s="678">
        <f t="shared" si="20"/>
        <v>1</v>
      </c>
    </row>
    <row r="156" spans="1:12" s="2" customFormat="1" ht="11.25" hidden="1">
      <c r="A156" s="5" t="s">
        <v>165</v>
      </c>
      <c r="B156" s="160">
        <f>+Bois!$G157</f>
        <v>0</v>
      </c>
      <c r="C156" s="113">
        <f>+Madeleine!$G157</f>
        <v>0</v>
      </c>
      <c r="D156" s="113">
        <f>+Lens!$G157</f>
        <v>0</v>
      </c>
      <c r="E156" s="344">
        <f>+Bois!E157+Madeleine!E157+Tourcoing!E157</f>
        <v>-8173.69</v>
      </c>
      <c r="F156" s="135">
        <f>+Bois!F157+Madeleine!F157+Lens!F157</f>
        <v>-79770.546666666662</v>
      </c>
      <c r="G156" s="135">
        <v>0</v>
      </c>
      <c r="H156" s="161">
        <f>+Bois!G157+Madeleine!G157+Lens!G157</f>
        <v>0</v>
      </c>
      <c r="I156" s="149">
        <f t="shared" ref="I156:I165" si="22">+IF((D156)=0,,(E156-D156)/D156)</f>
        <v>0</v>
      </c>
      <c r="J156" s="271">
        <f t="shared" ref="J156:J165" si="23">+IF((E156)=0,,(H156-E156)/E156)</f>
        <v>-1</v>
      </c>
      <c r="K156" s="18">
        <f>+Bois!D157+Madeleine!D157+Tourcoing!D157</f>
        <v>0</v>
      </c>
      <c r="L156" s="2">
        <f t="shared" si="20"/>
        <v>0</v>
      </c>
    </row>
    <row r="157" spans="1:12" s="2" customFormat="1" ht="11.25">
      <c r="A157" s="590" t="s">
        <v>166</v>
      </c>
      <c r="B157" s="805">
        <f>+Bois!$G158</f>
        <v>0</v>
      </c>
      <c r="C157" s="805">
        <f>+Madeleine!$G158</f>
        <v>0</v>
      </c>
      <c r="D157" s="805">
        <f>+Lens!$G158</f>
        <v>0</v>
      </c>
      <c r="E157" s="619">
        <f>+Bois!E158+Madeleine!E158+Tourcoing!E158</f>
        <v>6688.42</v>
      </c>
      <c r="F157" s="619">
        <f>+Bois!F158+Madeleine!F158+Lens!F158</f>
        <v>137979.91999999998</v>
      </c>
      <c r="G157" s="135">
        <v>0</v>
      </c>
      <c r="H157" s="1077">
        <f>+Bois!G158+Madeleine!G158+Lens!G158</f>
        <v>0</v>
      </c>
      <c r="I157" s="1013">
        <f t="shared" si="22"/>
        <v>0</v>
      </c>
      <c r="J157" s="1014">
        <f t="shared" si="23"/>
        <v>-1</v>
      </c>
      <c r="K157" s="805">
        <f>+Bois!D158+Madeleine!D158+Tourcoing!D158</f>
        <v>0</v>
      </c>
      <c r="L157" s="678">
        <f t="shared" si="20"/>
        <v>1</v>
      </c>
    </row>
    <row r="158" spans="1:12" s="2" customFormat="1" ht="11.25" hidden="1">
      <c r="A158" s="5" t="s">
        <v>60</v>
      </c>
      <c r="B158" s="160">
        <f>+Bois!$G159</f>
        <v>0</v>
      </c>
      <c r="C158" s="113">
        <f>+Madeleine!$G159</f>
        <v>0</v>
      </c>
      <c r="D158" s="113">
        <f>+Lens!$G159</f>
        <v>0</v>
      </c>
      <c r="E158" s="344">
        <f>+Bois!E159+Madeleine!E159+Tourcoing!E159</f>
        <v>338.83</v>
      </c>
      <c r="F158" s="135">
        <f>+Bois!F159+Madeleine!F159+Lens!F159</f>
        <v>-60000</v>
      </c>
      <c r="G158" s="135">
        <v>0</v>
      </c>
      <c r="H158" s="161">
        <f>+Bois!G159+Madeleine!G159+Lens!G159</f>
        <v>0</v>
      </c>
      <c r="I158" s="149">
        <f t="shared" si="22"/>
        <v>0</v>
      </c>
      <c r="J158" s="271">
        <f t="shared" si="23"/>
        <v>-1</v>
      </c>
      <c r="K158" s="18">
        <f>+Bois!D159+Madeleine!D159+Tourcoing!D159</f>
        <v>0</v>
      </c>
      <c r="L158" s="2">
        <f t="shared" si="20"/>
        <v>0</v>
      </c>
    </row>
    <row r="159" spans="1:12" s="2" customFormat="1" ht="11.25">
      <c r="A159" s="590" t="s">
        <v>199</v>
      </c>
      <c r="B159" s="805">
        <f>+Bois!$G160</f>
        <v>0</v>
      </c>
      <c r="C159" s="805">
        <f>+Madeleine!$G160</f>
        <v>0</v>
      </c>
      <c r="D159" s="805">
        <f>+Lens!$G160</f>
        <v>0</v>
      </c>
      <c r="E159" s="619">
        <f>+Bois!E160+Madeleine!E160+Tourcoing!E160</f>
        <v>10.83</v>
      </c>
      <c r="F159" s="619">
        <f>+Bois!F160+Madeleine!F160+Lens!F160</f>
        <v>0.90666666666666629</v>
      </c>
      <c r="G159" s="135">
        <v>0</v>
      </c>
      <c r="H159" s="1077">
        <f>+Bois!G160+Madeleine!G160+Lens!G160</f>
        <v>0</v>
      </c>
      <c r="I159" s="1013">
        <f t="shared" si="22"/>
        <v>0</v>
      </c>
      <c r="J159" s="1014">
        <f t="shared" si="23"/>
        <v>-1</v>
      </c>
      <c r="K159" s="805">
        <f>+Bois!D160+Madeleine!D160+Tourcoing!D160</f>
        <v>0</v>
      </c>
      <c r="L159" s="2">
        <f t="shared" si="20"/>
        <v>1</v>
      </c>
    </row>
    <row r="160" spans="1:12" s="2" customFormat="1" ht="11.25">
      <c r="A160" s="590" t="s">
        <v>41</v>
      </c>
      <c r="B160" s="805">
        <f>+Bois!$G161</f>
        <v>0</v>
      </c>
      <c r="C160" s="805">
        <f>+Madeleine!$G161</f>
        <v>106.51573333333334</v>
      </c>
      <c r="D160" s="805">
        <f>+Lens!$G161</f>
        <v>115.26386666666669</v>
      </c>
      <c r="E160" s="619">
        <f>+Bois!E161+Madeleine!E161+Tourcoing!E161</f>
        <v>305.52</v>
      </c>
      <c r="F160" s="619">
        <f>+Bois!F161+Madeleine!F161+Lens!F161</f>
        <v>215.32000000000002</v>
      </c>
      <c r="G160" s="135">
        <v>190.40685381571006</v>
      </c>
      <c r="H160" s="1077">
        <f>+Bois!G161+Madeleine!G161+Lens!G161</f>
        <v>221.77960000000002</v>
      </c>
      <c r="I160" s="1013">
        <f t="shared" si="22"/>
        <v>1.6506138379301285</v>
      </c>
      <c r="J160" s="1014">
        <f t="shared" si="23"/>
        <v>-0.27409138517936621</v>
      </c>
      <c r="K160" s="805">
        <f>+Bois!D161+Madeleine!D161+Tourcoing!D161</f>
        <v>190.40685381571006</v>
      </c>
      <c r="L160" s="678">
        <f t="shared" si="20"/>
        <v>1</v>
      </c>
    </row>
    <row r="161" spans="1:12" s="2" customFormat="1" ht="11.25">
      <c r="A161" s="590" t="s">
        <v>355</v>
      </c>
      <c r="B161" s="805">
        <f>+Bois!$G162</f>
        <v>0</v>
      </c>
      <c r="C161" s="805">
        <f>+Madeleine!$G162</f>
        <v>0</v>
      </c>
      <c r="D161" s="805">
        <f>+Lens!$G162</f>
        <v>0</v>
      </c>
      <c r="E161" s="619">
        <f>+Bois!E162+Madeleine!E162+Tourcoing!E162</f>
        <v>13.11</v>
      </c>
      <c r="F161" s="619">
        <f>+Bois!F162+Madeleine!F162+Lens!F162</f>
        <v>0</v>
      </c>
      <c r="G161" s="135">
        <v>13.463150764478126</v>
      </c>
      <c r="H161" s="1077">
        <f>+Bois!G162+Madeleine!G162+Lens!G162</f>
        <v>0</v>
      </c>
      <c r="I161" s="1013">
        <f t="shared" si="22"/>
        <v>0</v>
      </c>
      <c r="J161" s="1014">
        <f t="shared" si="23"/>
        <v>-1</v>
      </c>
      <c r="K161" s="805">
        <f>+Bois!D162+Madeleine!D162+Tourcoing!D162</f>
        <v>13.463150764478126</v>
      </c>
      <c r="L161" s="678">
        <f t="shared" si="20"/>
        <v>1</v>
      </c>
    </row>
    <row r="162" spans="1:12" s="2" customFormat="1" ht="11.25">
      <c r="A162" s="590" t="s">
        <v>200</v>
      </c>
      <c r="B162" s="805">
        <f>+Bois!$G163</f>
        <v>188.03679999999997</v>
      </c>
      <c r="C162" s="805">
        <f>+Madeleine!$G163</f>
        <v>869.11399999999992</v>
      </c>
      <c r="D162" s="805">
        <f>+Lens!$G163</f>
        <v>0</v>
      </c>
      <c r="E162" s="619">
        <f>+Bois!E163+Madeleine!E163+Tourcoing!E163</f>
        <v>2207.54</v>
      </c>
      <c r="F162" s="619">
        <f>+Bois!F163+Madeleine!F163+Lens!F163</f>
        <v>1026.3599999999999</v>
      </c>
      <c r="G162" s="135">
        <v>1847.9090932786839</v>
      </c>
      <c r="H162" s="1077">
        <f>+Bois!G163+Madeleine!G163+Lens!G163</f>
        <v>1057.1507999999999</v>
      </c>
      <c r="I162" s="1013">
        <f t="shared" si="22"/>
        <v>0</v>
      </c>
      <c r="J162" s="1014">
        <f t="shared" si="23"/>
        <v>-0.52111816773422004</v>
      </c>
      <c r="K162" s="805">
        <f>+Bois!D163+Madeleine!D163+Tourcoing!D163</f>
        <v>1847.9090932786839</v>
      </c>
      <c r="L162" s="678">
        <f t="shared" si="20"/>
        <v>1</v>
      </c>
    </row>
    <row r="163" spans="1:12" s="2" customFormat="1" ht="11.25" hidden="1">
      <c r="A163" s="5" t="s">
        <v>271</v>
      </c>
      <c r="B163" s="160">
        <f>+Bois!$G164</f>
        <v>0</v>
      </c>
      <c r="C163" s="113">
        <f>+Madeleine!$G164</f>
        <v>-22.66</v>
      </c>
      <c r="D163" s="113">
        <f>+Lens!$G164</f>
        <v>0</v>
      </c>
      <c r="E163" s="344">
        <f>+Bois!E164+Madeleine!E164+Tourcoing!E164</f>
        <v>-78</v>
      </c>
      <c r="F163" s="135">
        <f>+Bois!F164+Madeleine!F164+Lens!F164</f>
        <v>-22</v>
      </c>
      <c r="G163" s="135">
        <v>-33.142364080364587</v>
      </c>
      <c r="H163" s="161">
        <f>+Bois!G164+Madeleine!G164+Lens!G164</f>
        <v>-22.66</v>
      </c>
      <c r="I163" s="149">
        <f t="shared" si="22"/>
        <v>0</v>
      </c>
      <c r="J163" s="271">
        <f t="shared" si="23"/>
        <v>-0.70948717948717954</v>
      </c>
      <c r="K163" s="18">
        <f>+Bois!D164+Madeleine!D164+Tourcoing!D164</f>
        <v>-33.142364080364587</v>
      </c>
      <c r="L163" s="2">
        <f t="shared" si="20"/>
        <v>0</v>
      </c>
    </row>
    <row r="164" spans="1:12" s="2" customFormat="1" ht="11.25">
      <c r="A164" s="590" t="s">
        <v>242</v>
      </c>
      <c r="B164" s="805">
        <f>+Bois!$G165</f>
        <v>24.72</v>
      </c>
      <c r="C164" s="805">
        <f>+Madeleine!$G165</f>
        <v>104.78533333333334</v>
      </c>
      <c r="D164" s="805">
        <f>+Lens!$G165</f>
        <v>12.36</v>
      </c>
      <c r="E164" s="619">
        <f>+Bois!E165+Madeleine!E165+Tourcoing!E165</f>
        <v>241.6</v>
      </c>
      <c r="F164" s="619">
        <f>+Bois!F165+Madeleine!F165+Lens!F165</f>
        <v>137.73333333333335</v>
      </c>
      <c r="G164" s="135">
        <v>192.08823843517712</v>
      </c>
      <c r="H164" s="1077">
        <f>+Bois!G165+Madeleine!G165+Lens!G165</f>
        <v>141.86533333333335</v>
      </c>
      <c r="I164" s="1013">
        <f t="shared" si="22"/>
        <v>18.546925566343045</v>
      </c>
      <c r="J164" s="1014">
        <f t="shared" si="23"/>
        <v>-0.41280905077262681</v>
      </c>
      <c r="K164" s="805">
        <f>+Bois!D165+Madeleine!D165+Tourcoing!D165</f>
        <v>192.08823843517712</v>
      </c>
      <c r="L164" s="678">
        <f t="shared" si="20"/>
        <v>1</v>
      </c>
    </row>
    <row r="165" spans="1:12" s="2" customFormat="1" ht="11.25" hidden="1">
      <c r="A165" s="5" t="s">
        <v>201</v>
      </c>
      <c r="B165" s="160">
        <f>+Bois!$G166</f>
        <v>0</v>
      </c>
      <c r="C165" s="113">
        <f>+Madeleine!$G166</f>
        <v>0</v>
      </c>
      <c r="D165" s="113">
        <f>+Lens!$G166</f>
        <v>0</v>
      </c>
      <c r="E165" s="344">
        <f>+Bois!E166+Madeleine!E166+Tourcoing!E166</f>
        <v>0</v>
      </c>
      <c r="F165" s="135">
        <f>+Bois!F166+Madeleine!F166+Lens!F166</f>
        <v>0</v>
      </c>
      <c r="G165" s="135">
        <v>-1.1724050104166669E-4</v>
      </c>
      <c r="H165" s="161">
        <f>+Bois!G166+Madeleine!G166+Lens!G166</f>
        <v>0</v>
      </c>
      <c r="I165" s="149">
        <f t="shared" si="22"/>
        <v>0</v>
      </c>
      <c r="J165" s="271">
        <f t="shared" si="23"/>
        <v>0</v>
      </c>
      <c r="K165" s="18">
        <f>+Bois!D166+Madeleine!D166+Tourcoing!D166</f>
        <v>-1.1724050104166669E-4</v>
      </c>
      <c r="L165" s="2">
        <f t="shared" si="20"/>
        <v>0</v>
      </c>
    </row>
    <row r="166" spans="1:12" s="2" customFormat="1" ht="11.25" hidden="1">
      <c r="A166" s="5"/>
      <c r="B166" s="160"/>
      <c r="C166" s="113"/>
      <c r="D166" s="113"/>
      <c r="E166" s="344"/>
      <c r="F166" s="143"/>
      <c r="G166" s="143"/>
      <c r="H166" s="162"/>
      <c r="I166" s="149"/>
      <c r="J166" s="254"/>
      <c r="K166" s="18"/>
      <c r="L166" s="2">
        <f t="shared" si="20"/>
        <v>0</v>
      </c>
    </row>
    <row r="167" spans="1:12" s="2" customFormat="1" ht="11.25">
      <c r="A167" s="13" t="s">
        <v>74</v>
      </c>
      <c r="B167" s="803">
        <f t="shared" ref="B167:H167" si="24">SUM(B154:B166)</f>
        <v>2542.7941119399998</v>
      </c>
      <c r="C167" s="803">
        <f t="shared" si="24"/>
        <v>16231.32475794667</v>
      </c>
      <c r="D167" s="803">
        <f t="shared" si="24"/>
        <v>7984.7050740266686</v>
      </c>
      <c r="E167" s="597">
        <f>SUM(E154:E166)</f>
        <v>13635.360000000002</v>
      </c>
      <c r="F167" s="597">
        <f>SUM(F154:F166)</f>
        <v>15701.973333333321</v>
      </c>
      <c r="G167" s="136">
        <v>24747.66328747318</v>
      </c>
      <c r="H167" s="803">
        <f t="shared" si="24"/>
        <v>26758.823943913343</v>
      </c>
      <c r="I167" s="596">
        <f>+IF((D167)=0,,(E167-D167)/D167)</f>
        <v>0.70768486419796106</v>
      </c>
      <c r="J167" s="1015">
        <f>+IF((E167)=0,,(H167-E167)/E167)</f>
        <v>0.96245819280996892</v>
      </c>
      <c r="K167" s="803">
        <f>SUM(K154:K166)</f>
        <v>24779.566166353179</v>
      </c>
      <c r="L167" s="678">
        <f t="shared" si="20"/>
        <v>1</v>
      </c>
    </row>
    <row r="168" spans="1:12" s="2" customFormat="1" ht="11.25" hidden="1">
      <c r="A168" s="5"/>
      <c r="B168" s="160"/>
      <c r="C168" s="113"/>
      <c r="D168" s="113"/>
      <c r="E168" s="344"/>
      <c r="F168" s="143"/>
      <c r="G168" s="143"/>
      <c r="H168" s="162"/>
      <c r="I168" s="149"/>
      <c r="J168" s="271"/>
      <c r="K168" s="18"/>
      <c r="L168" s="2">
        <f t="shared" si="20"/>
        <v>0</v>
      </c>
    </row>
    <row r="169" spans="1:12" s="2" customFormat="1" ht="11.25" hidden="1">
      <c r="A169" s="5" t="s">
        <v>167</v>
      </c>
      <c r="B169" s="160">
        <f>+Bois!$G170</f>
        <v>0</v>
      </c>
      <c r="C169" s="113">
        <f>+Madeleine!$G170</f>
        <v>0</v>
      </c>
      <c r="D169" s="113">
        <f>+Lens!$G170</f>
        <v>0</v>
      </c>
      <c r="E169" s="344">
        <f>+Bois!E170+Madeleine!E170+Tourcoing!E170</f>
        <v>0</v>
      </c>
      <c r="F169" s="135">
        <f>+Bois!F170+Madeleine!F170+Tourcoing!F170</f>
        <v>0</v>
      </c>
      <c r="G169" s="135">
        <v>0</v>
      </c>
      <c r="H169" s="161">
        <f>+Bois!G170+Madeleine!G170+Lens!G170</f>
        <v>0</v>
      </c>
      <c r="I169" s="149">
        <f>+IF((D169)=0,,(E169-D169)/D169)</f>
        <v>0</v>
      </c>
      <c r="J169" s="271">
        <f>+IF((E169)=0,,(H169-E169)/E169)</f>
        <v>0</v>
      </c>
      <c r="K169" s="18">
        <f>+Bois!D170+Madeleine!D170+Tourcoing!D170</f>
        <v>0</v>
      </c>
      <c r="L169" s="2">
        <f t="shared" si="20"/>
        <v>0</v>
      </c>
    </row>
    <row r="170" spans="1:12" s="2" customFormat="1" ht="11.25" hidden="1">
      <c r="A170" s="5" t="s">
        <v>168</v>
      </c>
      <c r="B170" s="160">
        <f>+Bois!$G171</f>
        <v>0</v>
      </c>
      <c r="C170" s="113">
        <f>+Madeleine!$G171</f>
        <v>0</v>
      </c>
      <c r="D170" s="113">
        <f>+Lens!$G171</f>
        <v>0</v>
      </c>
      <c r="E170" s="344">
        <f>+Bois!E171+Madeleine!E171+Tourcoing!E171</f>
        <v>0</v>
      </c>
      <c r="F170" s="135">
        <f>+Bois!F171+Madeleine!F171+Tourcoing!F171</f>
        <v>0</v>
      </c>
      <c r="G170" s="135">
        <v>0</v>
      </c>
      <c r="H170" s="161">
        <f>+Bois!G171+Madeleine!G171+Lens!G171</f>
        <v>0</v>
      </c>
      <c r="I170" s="149">
        <f t="shared" ref="I170:I182" si="25">+IF((D170)=0,,(E170-D170)/D170)</f>
        <v>0</v>
      </c>
      <c r="J170" s="271">
        <f t="shared" ref="J170:J182" si="26">+IF((E170)=0,,(H170-E170)/E170)</f>
        <v>0</v>
      </c>
      <c r="K170" s="18">
        <f>+Bois!D171+Madeleine!D171+Tourcoing!D171</f>
        <v>0</v>
      </c>
      <c r="L170" s="678">
        <f t="shared" si="20"/>
        <v>0</v>
      </c>
    </row>
    <row r="171" spans="1:12" s="2" customFormat="1" ht="11.25" hidden="1">
      <c r="A171" s="5" t="s">
        <v>169</v>
      </c>
      <c r="B171" s="160">
        <f>+Bois!$G172</f>
        <v>0</v>
      </c>
      <c r="C171" s="113">
        <f>+Madeleine!$G172</f>
        <v>0</v>
      </c>
      <c r="D171" s="113">
        <f>+Lens!$G172</f>
        <v>0</v>
      </c>
      <c r="E171" s="344">
        <f>+Bois!E172+Madeleine!E172+Tourcoing!E172</f>
        <v>0</v>
      </c>
      <c r="F171" s="135">
        <f>+Bois!F172+Madeleine!F172+Tourcoing!F172</f>
        <v>0</v>
      </c>
      <c r="G171" s="135">
        <v>0</v>
      </c>
      <c r="H171" s="161">
        <f>+Bois!G172+Madeleine!G172+Lens!G172</f>
        <v>0</v>
      </c>
      <c r="I171" s="149">
        <f t="shared" si="25"/>
        <v>0</v>
      </c>
      <c r="J171" s="271">
        <f t="shared" si="26"/>
        <v>0</v>
      </c>
      <c r="K171" s="18">
        <f>+Bois!D172+Madeleine!D172+Tourcoing!D172</f>
        <v>0</v>
      </c>
      <c r="L171" s="2">
        <f t="shared" si="20"/>
        <v>0</v>
      </c>
    </row>
    <row r="172" spans="1:12" s="2" customFormat="1" ht="11.25">
      <c r="A172" s="590" t="s">
        <v>170</v>
      </c>
      <c r="B172" s="805">
        <f>+Bois!$G173</f>
        <v>0</v>
      </c>
      <c r="C172" s="805">
        <f>+Madeleine!$G173</f>
        <v>63.187066666666666</v>
      </c>
      <c r="D172" s="805">
        <f>+Lens!$G173</f>
        <v>0</v>
      </c>
      <c r="E172" s="619">
        <f>+Bois!E173+Madeleine!E173+Tourcoing!E173</f>
        <v>6743.92</v>
      </c>
      <c r="F172" s="619">
        <f>+Bois!F173+Madeleine!F173+Lens!F173</f>
        <v>61.346666666666664</v>
      </c>
      <c r="G172" s="135">
        <v>8431.8091750000003</v>
      </c>
      <c r="H172" s="1077">
        <f>+Bois!G173+Madeleine!G173+Lens!G173</f>
        <v>63.187066666666666</v>
      </c>
      <c r="I172" s="1013">
        <f t="shared" si="25"/>
        <v>0</v>
      </c>
      <c r="J172" s="1014">
        <f t="shared" si="26"/>
        <v>-0.99063051360830701</v>
      </c>
      <c r="K172" s="805">
        <f>+Bois!D173+Madeleine!D173+Tourcoing!D173</f>
        <v>8431.8091750000003</v>
      </c>
      <c r="L172" s="678">
        <f t="shared" si="20"/>
        <v>1</v>
      </c>
    </row>
    <row r="173" spans="1:12" s="2" customFormat="1" ht="11.25" hidden="1">
      <c r="A173" s="5" t="s">
        <v>171</v>
      </c>
      <c r="B173" s="160">
        <f>+Bois!$G174</f>
        <v>0</v>
      </c>
      <c r="C173" s="113">
        <f>+Madeleine!$G174</f>
        <v>0</v>
      </c>
      <c r="D173" s="113">
        <f>+Lens!$G174</f>
        <v>0</v>
      </c>
      <c r="E173" s="344">
        <f>+Bois!E174+Madeleine!E174+Tourcoing!E174</f>
        <v>0</v>
      </c>
      <c r="F173" s="135">
        <f>+Bois!F174+Madeleine!F174+Tourcoing!F174</f>
        <v>0</v>
      </c>
      <c r="G173" s="135">
        <v>0</v>
      </c>
      <c r="H173" s="161">
        <f>+Bois!G174+Madeleine!G174+Lens!G174</f>
        <v>0</v>
      </c>
      <c r="I173" s="149">
        <f t="shared" si="25"/>
        <v>0</v>
      </c>
      <c r="J173" s="271">
        <f t="shared" si="26"/>
        <v>0</v>
      </c>
      <c r="K173" s="18">
        <f>+Bois!D174+Madeleine!D174+Tourcoing!D174</f>
        <v>0</v>
      </c>
      <c r="L173" s="2">
        <f t="shared" si="20"/>
        <v>0</v>
      </c>
    </row>
    <row r="174" spans="1:12" s="2" customFormat="1" ht="11.25" hidden="1">
      <c r="A174" s="5" t="s">
        <v>308</v>
      </c>
      <c r="B174" s="160">
        <f>+Bois!$G175</f>
        <v>0</v>
      </c>
      <c r="C174" s="113">
        <f>+Madeleine!$G175</f>
        <v>0</v>
      </c>
      <c r="D174" s="113">
        <f>+Lens!$G175</f>
        <v>0</v>
      </c>
      <c r="E174" s="344">
        <f>+Bois!E175+Madeleine!E175+Tourcoing!E175</f>
        <v>0</v>
      </c>
      <c r="F174" s="135">
        <f>+Bois!F175+Madeleine!F175+Tourcoing!F175</f>
        <v>0</v>
      </c>
      <c r="G174" s="135">
        <v>0</v>
      </c>
      <c r="H174" s="161">
        <f>+Bois!G175+Madeleine!G175+Lens!G175</f>
        <v>0</v>
      </c>
      <c r="I174" s="149">
        <f t="shared" si="25"/>
        <v>0</v>
      </c>
      <c r="J174" s="271">
        <f t="shared" si="26"/>
        <v>0</v>
      </c>
      <c r="K174" s="18">
        <f>+Bois!D175+Madeleine!D175+Tourcoing!D175</f>
        <v>0</v>
      </c>
      <c r="L174" s="2">
        <f t="shared" si="20"/>
        <v>0</v>
      </c>
    </row>
    <row r="175" spans="1:12" s="2" customFormat="1" ht="11.25" hidden="1">
      <c r="A175" s="5" t="s">
        <v>172</v>
      </c>
      <c r="B175" s="160">
        <f>+Bois!$G176</f>
        <v>0</v>
      </c>
      <c r="C175" s="113">
        <f>+Madeleine!$G176</f>
        <v>0</v>
      </c>
      <c r="D175" s="113">
        <f>+Lens!$G176</f>
        <v>0</v>
      </c>
      <c r="E175" s="344">
        <f>+Bois!E176+Madeleine!E176+Tourcoing!E176</f>
        <v>0</v>
      </c>
      <c r="F175" s="135">
        <f>+Bois!F176+Madeleine!F176+Tourcoing!F176</f>
        <v>0</v>
      </c>
      <c r="G175" s="135">
        <v>0</v>
      </c>
      <c r="H175" s="161">
        <f>+Bois!G176+Madeleine!G176+Lens!G176</f>
        <v>0</v>
      </c>
      <c r="I175" s="149">
        <f t="shared" si="25"/>
        <v>0</v>
      </c>
      <c r="J175" s="271">
        <f t="shared" si="26"/>
        <v>0</v>
      </c>
      <c r="K175" s="18">
        <f>+Bois!D176+Madeleine!D176+Tourcoing!D176</f>
        <v>0</v>
      </c>
      <c r="L175" s="678">
        <f t="shared" si="20"/>
        <v>0</v>
      </c>
    </row>
    <row r="176" spans="1:12" s="2" customFormat="1" ht="11.25">
      <c r="A176" s="590" t="s">
        <v>173</v>
      </c>
      <c r="B176" s="805">
        <f>+Bois!$G177</f>
        <v>0</v>
      </c>
      <c r="C176" s="805">
        <f>+Madeleine!$G177</f>
        <v>0</v>
      </c>
      <c r="D176" s="805">
        <f>+Lens!$G177</f>
        <v>0</v>
      </c>
      <c r="E176" s="619">
        <f>+Bois!E177+Madeleine!E177+Tourcoing!E177</f>
        <v>929.52</v>
      </c>
      <c r="F176" s="619">
        <f>+Bois!F177+Madeleine!F177+Lens!F177</f>
        <v>0</v>
      </c>
      <c r="G176" s="135">
        <v>0</v>
      </c>
      <c r="H176" s="1077">
        <f>+Bois!G177+Madeleine!G177+Lens!G177</f>
        <v>0</v>
      </c>
      <c r="I176" s="1013">
        <f t="shared" si="25"/>
        <v>0</v>
      </c>
      <c r="J176" s="1014">
        <f t="shared" si="26"/>
        <v>-1</v>
      </c>
      <c r="K176" s="805">
        <f>+Bois!D177+Madeleine!D177+Tourcoing!D177</f>
        <v>0</v>
      </c>
      <c r="L176" s="678">
        <f t="shared" si="20"/>
        <v>1</v>
      </c>
    </row>
    <row r="177" spans="1:12" s="2" customFormat="1" ht="11.25" hidden="1">
      <c r="A177" s="5" t="s">
        <v>174</v>
      </c>
      <c r="B177" s="160">
        <f>+Bois!$G178</f>
        <v>0</v>
      </c>
      <c r="C177" s="113">
        <f>+Madeleine!$G178</f>
        <v>0</v>
      </c>
      <c r="D177" s="113">
        <f>+Lens!$G178</f>
        <v>0</v>
      </c>
      <c r="E177" s="344">
        <f>+Bois!E178+Madeleine!E178+Tourcoing!E178</f>
        <v>0</v>
      </c>
      <c r="F177" s="135">
        <f>+Bois!F178+Madeleine!F178+Tourcoing!F178</f>
        <v>0</v>
      </c>
      <c r="G177" s="135">
        <v>0</v>
      </c>
      <c r="H177" s="161">
        <f>+Bois!G178+Madeleine!G178+Lens!G178</f>
        <v>0</v>
      </c>
      <c r="I177" s="149">
        <f t="shared" si="25"/>
        <v>0</v>
      </c>
      <c r="J177" s="271">
        <f t="shared" si="26"/>
        <v>0</v>
      </c>
      <c r="K177" s="18">
        <f>+Bois!D178+Madeleine!D178+Tourcoing!D178</f>
        <v>0</v>
      </c>
      <c r="L177" s="2">
        <f t="shared" si="20"/>
        <v>0</v>
      </c>
    </row>
    <row r="178" spans="1:12" s="2" customFormat="1" ht="11.25">
      <c r="A178" s="590" t="s">
        <v>175</v>
      </c>
      <c r="B178" s="805">
        <f>+Bois!$G179</f>
        <v>1525.39</v>
      </c>
      <c r="C178" s="805">
        <f>+Madeleine!$G179</f>
        <v>8372.119999999999</v>
      </c>
      <c r="D178" s="805">
        <f>+Lens!$G179</f>
        <v>3021.06</v>
      </c>
      <c r="E178" s="619">
        <f>+Bois!E179+Madeleine!E179+Tourcoing!E179</f>
        <v>21832.620000000003</v>
      </c>
      <c r="F178" s="619">
        <f>+Bois!F179+Madeleine!F179+Lens!F179</f>
        <v>11621.789999999999</v>
      </c>
      <c r="G178" s="135">
        <v>22205.674725000001</v>
      </c>
      <c r="H178" s="1077">
        <f>+Bois!G179+Madeleine!G179+Lens!G179</f>
        <v>12918.569999999998</v>
      </c>
      <c r="I178" s="1013">
        <f t="shared" si="25"/>
        <v>6.2268078091795598</v>
      </c>
      <c r="J178" s="1014">
        <f t="shared" si="26"/>
        <v>-0.40829043880212285</v>
      </c>
      <c r="K178" s="805">
        <f>+Bois!D179+Madeleine!D179+Tourcoing!D179</f>
        <v>19610</v>
      </c>
      <c r="L178" s="678">
        <f t="shared" si="20"/>
        <v>1</v>
      </c>
    </row>
    <row r="179" spans="1:12" s="2" customFormat="1" ht="11.25">
      <c r="A179" s="590" t="s">
        <v>78</v>
      </c>
      <c r="B179" s="805">
        <f>+Bois!$G180</f>
        <v>0</v>
      </c>
      <c r="C179" s="805">
        <f>+Madeleine!$G180</f>
        <v>0</v>
      </c>
      <c r="D179" s="805">
        <f>+Lens!$G180</f>
        <v>0</v>
      </c>
      <c r="E179" s="619">
        <f>+Bois!E180+Madeleine!E180+Tourcoing!E180</f>
        <v>3630.5699999999997</v>
      </c>
      <c r="F179" s="619">
        <f>+Bois!F180+Madeleine!F180+Lens!F180</f>
        <v>0</v>
      </c>
      <c r="G179" s="135">
        <v>0</v>
      </c>
      <c r="H179" s="1077">
        <f>+Bois!G180+Madeleine!G180+Lens!G180</f>
        <v>0</v>
      </c>
      <c r="I179" s="1013">
        <f t="shared" si="25"/>
        <v>0</v>
      </c>
      <c r="J179" s="1014">
        <f t="shared" si="26"/>
        <v>-1</v>
      </c>
      <c r="K179" s="805">
        <f>+Bois!D180+Madeleine!D180+Tourcoing!D180</f>
        <v>0</v>
      </c>
      <c r="L179" s="678">
        <f t="shared" si="20"/>
        <v>1</v>
      </c>
    </row>
    <row r="180" spans="1:12" s="2" customFormat="1" ht="11.25" hidden="1">
      <c r="A180" s="5" t="s">
        <v>327</v>
      </c>
      <c r="B180" s="160">
        <f>+Bois!$G181</f>
        <v>0</v>
      </c>
      <c r="C180" s="113">
        <f>+Madeleine!$G181</f>
        <v>0</v>
      </c>
      <c r="D180" s="113">
        <f>+Lens!$G181</f>
        <v>0</v>
      </c>
      <c r="E180" s="344">
        <f>+Bois!E181+Madeleine!E181+Tourcoing!E181</f>
        <v>0</v>
      </c>
      <c r="F180" s="135">
        <f>+Bois!F181+Madeleine!F181+Tourcoing!F181</f>
        <v>0</v>
      </c>
      <c r="G180" s="135">
        <v>0</v>
      </c>
      <c r="H180" s="161">
        <f>+Bois!G181+Madeleine!G181+Lens!G181</f>
        <v>0</v>
      </c>
      <c r="I180" s="149">
        <f t="shared" si="25"/>
        <v>0</v>
      </c>
      <c r="J180" s="271">
        <f t="shared" si="26"/>
        <v>0</v>
      </c>
      <c r="K180" s="18">
        <f>+Bois!D181+Madeleine!D181+Tourcoing!D181</f>
        <v>0</v>
      </c>
      <c r="L180" s="2">
        <f t="shared" si="20"/>
        <v>0</v>
      </c>
    </row>
    <row r="181" spans="1:12" s="2" customFormat="1" ht="11.25" hidden="1">
      <c r="A181" s="5" t="s">
        <v>82</v>
      </c>
      <c r="B181" s="160">
        <f>+Bois!$G182</f>
        <v>0</v>
      </c>
      <c r="C181" s="113">
        <f>+Madeleine!$G182</f>
        <v>0</v>
      </c>
      <c r="D181" s="113">
        <f>+Lens!$G182</f>
        <v>0</v>
      </c>
      <c r="E181" s="344">
        <f>+Bois!E182+Madeleine!E182+Tourcoing!E182</f>
        <v>0</v>
      </c>
      <c r="F181" s="135">
        <f>+Bois!F182+Madeleine!F182+Tourcoing!F182</f>
        <v>0</v>
      </c>
      <c r="G181" s="135">
        <v>0</v>
      </c>
      <c r="H181" s="161">
        <f>+Bois!G182+Madeleine!G182+Lens!G182</f>
        <v>0</v>
      </c>
      <c r="I181" s="149">
        <f t="shared" si="25"/>
        <v>0</v>
      </c>
      <c r="J181" s="271">
        <f t="shared" si="26"/>
        <v>0</v>
      </c>
      <c r="K181" s="18">
        <f>+Bois!D182+Madeleine!D182+Tourcoing!D182</f>
        <v>0</v>
      </c>
      <c r="L181" s="2">
        <f t="shared" si="20"/>
        <v>0</v>
      </c>
    </row>
    <row r="182" spans="1:12" s="2" customFormat="1" ht="11.25" hidden="1">
      <c r="A182" s="5" t="s">
        <v>331</v>
      </c>
      <c r="B182" s="160">
        <f>+Bois!$G183</f>
        <v>0</v>
      </c>
      <c r="C182" s="113">
        <f>+Madeleine!$G183</f>
        <v>0</v>
      </c>
      <c r="D182" s="113">
        <f>+Lens!$G183</f>
        <v>0</v>
      </c>
      <c r="E182" s="344">
        <f>+Bois!E183+Madeleine!E183+Tourcoing!E183</f>
        <v>0</v>
      </c>
      <c r="F182" s="135">
        <f>+Bois!F183+Madeleine!F183+Tourcoing!F183</f>
        <v>0</v>
      </c>
      <c r="G182" s="135">
        <v>0</v>
      </c>
      <c r="H182" s="161">
        <f>+Bois!G183+Madeleine!G183+Lens!G183</f>
        <v>0</v>
      </c>
      <c r="I182" s="149">
        <f t="shared" si="25"/>
        <v>0</v>
      </c>
      <c r="J182" s="271">
        <f t="shared" si="26"/>
        <v>0</v>
      </c>
      <c r="K182" s="18">
        <f>+Bois!D183+Madeleine!D183+Tourcoing!D183</f>
        <v>0</v>
      </c>
      <c r="L182" s="678">
        <f t="shared" si="20"/>
        <v>0</v>
      </c>
    </row>
    <row r="183" spans="1:12" s="2" customFormat="1" ht="11.25" hidden="1">
      <c r="A183" s="5"/>
      <c r="B183" s="160"/>
      <c r="C183" s="113"/>
      <c r="D183" s="113"/>
      <c r="E183" s="344"/>
      <c r="F183" s="143"/>
      <c r="G183" s="143"/>
      <c r="H183" s="162"/>
      <c r="I183" s="149"/>
      <c r="J183" s="254"/>
      <c r="K183" s="18"/>
      <c r="L183" s="2">
        <f t="shared" si="20"/>
        <v>0</v>
      </c>
    </row>
    <row r="184" spans="1:12" s="2" customFormat="1" ht="11.25">
      <c r="A184" s="13" t="s">
        <v>178</v>
      </c>
      <c r="B184" s="803">
        <f t="shared" ref="B184:H184" si="27">SUM(B168:B183)</f>
        <v>1525.39</v>
      </c>
      <c r="C184" s="803">
        <f t="shared" si="27"/>
        <v>8435.3070666666663</v>
      </c>
      <c r="D184" s="803">
        <f t="shared" si="27"/>
        <v>3021.06</v>
      </c>
      <c r="E184" s="597">
        <f>SUM(E168:E183)</f>
        <v>33136.630000000005</v>
      </c>
      <c r="F184" s="597">
        <f>SUM(F168:F183)</f>
        <v>11683.136666666665</v>
      </c>
      <c r="G184" s="136">
        <v>30637.483899999999</v>
      </c>
      <c r="H184" s="597">
        <f t="shared" si="27"/>
        <v>12981.757066666665</v>
      </c>
      <c r="I184" s="596">
        <f>+IF((D184)=0,,(E184-D184)/D184)</f>
        <v>9.9685441533766301</v>
      </c>
      <c r="J184" s="1015">
        <f>+IF((E184)=0,,(H184-E184)/E184)</f>
        <v>-0.60823544619152092</v>
      </c>
      <c r="K184" s="597">
        <f>SUM(K168:K183)</f>
        <v>28041.809175000002</v>
      </c>
      <c r="L184" s="678">
        <f t="shared" si="20"/>
        <v>1</v>
      </c>
    </row>
    <row r="185" spans="1:12" s="2" customFormat="1" ht="11.25" hidden="1">
      <c r="A185" s="5"/>
      <c r="B185" s="160"/>
      <c r="C185" s="113"/>
      <c r="D185" s="113"/>
      <c r="E185" s="344"/>
      <c r="F185" s="143"/>
      <c r="G185" s="143"/>
      <c r="H185" s="162"/>
      <c r="I185" s="149"/>
      <c r="J185" s="271"/>
      <c r="K185" s="18"/>
      <c r="L185" s="2">
        <f t="shared" si="20"/>
        <v>0</v>
      </c>
    </row>
    <row r="186" spans="1:12" s="2" customFormat="1" ht="11.25" hidden="1">
      <c r="A186" s="5" t="s">
        <v>179</v>
      </c>
      <c r="B186" s="160">
        <f>+Bois!$G187</f>
        <v>0</v>
      </c>
      <c r="C186" s="113">
        <f>+Madeleine!$G187</f>
        <v>0</v>
      </c>
      <c r="D186" s="113">
        <f>+Lens!$G187</f>
        <v>0</v>
      </c>
      <c r="E186" s="344">
        <f>+Bois!E187+Madeleine!E187+Tourcoing!E187</f>
        <v>1700</v>
      </c>
      <c r="F186" s="135">
        <f>+Bois!F187+Madeleine!F187+Lens!F187</f>
        <v>0</v>
      </c>
      <c r="G186" s="135">
        <v>0</v>
      </c>
      <c r="H186" s="161">
        <f>+Bois!G187+Madeleine!G187+Lens!G187</f>
        <v>0</v>
      </c>
      <c r="I186" s="149">
        <f>+IF((D186)=0,,(E186-D186)/D186)</f>
        <v>0</v>
      </c>
      <c r="J186" s="271">
        <f>+IF((E186)=0,,(H186-E186)/E186)</f>
        <v>-1</v>
      </c>
      <c r="K186" s="18">
        <f>+Bois!D187+Madeleine!D187+Tourcoing!D187</f>
        <v>0</v>
      </c>
      <c r="L186" s="2">
        <v>0</v>
      </c>
    </row>
    <row r="187" spans="1:12" s="2" customFormat="1" ht="11.25" hidden="1">
      <c r="A187" s="5" t="s">
        <v>167</v>
      </c>
      <c r="B187" s="160">
        <f>+Bois!$G188</f>
        <v>0</v>
      </c>
      <c r="C187" s="113">
        <f>+Madeleine!$G188</f>
        <v>0</v>
      </c>
      <c r="D187" s="113">
        <f>+Lens!$G188</f>
        <v>0</v>
      </c>
      <c r="E187" s="344">
        <f>+Bois!E188+Madeleine!E188+Tourcoing!E188</f>
        <v>0</v>
      </c>
      <c r="F187" s="135">
        <f>+Bois!F188+Madeleine!F188+Tourcoing!F188</f>
        <v>0</v>
      </c>
      <c r="G187" s="135">
        <v>0</v>
      </c>
      <c r="H187" s="161">
        <f>+Bois!G188+Madeleine!G188+Lens!G188</f>
        <v>0</v>
      </c>
      <c r="I187" s="149">
        <f t="shared" ref="I187:I198" si="28">+IF((D187)=0,,(E187-D187)/D187)</f>
        <v>0</v>
      </c>
      <c r="J187" s="271">
        <f t="shared" ref="J187:J198" si="29">+IF((E187)=0,,(H187-E187)/E187)</f>
        <v>0</v>
      </c>
      <c r="K187" s="18">
        <f>+Bois!D188+Madeleine!D188+Tourcoing!D188</f>
        <v>0</v>
      </c>
      <c r="L187" s="2">
        <f t="shared" si="20"/>
        <v>0</v>
      </c>
    </row>
    <row r="188" spans="1:12" s="2" customFormat="1" ht="11.25" hidden="1">
      <c r="A188" s="5" t="s">
        <v>180</v>
      </c>
      <c r="B188" s="160">
        <f>+Bois!$G189</f>
        <v>0</v>
      </c>
      <c r="C188" s="113">
        <f>+Madeleine!$G189</f>
        <v>0</v>
      </c>
      <c r="D188" s="113">
        <f>+Lens!$G189</f>
        <v>0</v>
      </c>
      <c r="E188" s="344">
        <f>+Bois!E189+Madeleine!E189+Tourcoing!E189</f>
        <v>842.32</v>
      </c>
      <c r="F188" s="135">
        <f>+Bois!F189+Madeleine!F189+Lens!F189</f>
        <v>0</v>
      </c>
      <c r="G188" s="135">
        <v>0</v>
      </c>
      <c r="H188" s="161">
        <f>+Bois!G189+Madeleine!G189+Lens!G189</f>
        <v>0</v>
      </c>
      <c r="I188" s="149">
        <f t="shared" si="28"/>
        <v>0</v>
      </c>
      <c r="J188" s="271">
        <f t="shared" si="29"/>
        <v>-1</v>
      </c>
      <c r="K188" s="18">
        <f>+Bois!D189+Madeleine!D189+Tourcoing!D189</f>
        <v>0</v>
      </c>
      <c r="L188" s="2">
        <v>0</v>
      </c>
    </row>
    <row r="189" spans="1:12" s="2" customFormat="1" ht="11.25" hidden="1">
      <c r="A189" s="5" t="s">
        <v>181</v>
      </c>
      <c r="B189" s="160">
        <f>+Bois!$G190</f>
        <v>0</v>
      </c>
      <c r="C189" s="113">
        <f>+Madeleine!$G190</f>
        <v>0</v>
      </c>
      <c r="D189" s="113">
        <f>+Lens!$G190</f>
        <v>0</v>
      </c>
      <c r="E189" s="344">
        <f>+Bois!E190+Madeleine!E190+Tourcoing!E190</f>
        <v>0</v>
      </c>
      <c r="F189" s="135">
        <f>+Bois!F190+Madeleine!F190+Tourcoing!F190</f>
        <v>0</v>
      </c>
      <c r="G189" s="135">
        <v>0</v>
      </c>
      <c r="H189" s="161">
        <f>+Bois!G190+Madeleine!G190+Lens!G190</f>
        <v>0</v>
      </c>
      <c r="I189" s="149">
        <f t="shared" si="28"/>
        <v>0</v>
      </c>
      <c r="J189" s="271">
        <f t="shared" si="29"/>
        <v>0</v>
      </c>
      <c r="K189" s="18">
        <f>+Bois!D190+Madeleine!D190+Tourcoing!D190</f>
        <v>0</v>
      </c>
      <c r="L189" s="2">
        <f t="shared" si="20"/>
        <v>0</v>
      </c>
    </row>
    <row r="190" spans="1:12" s="2" customFormat="1" ht="11.25" hidden="1">
      <c r="A190" s="5" t="s">
        <v>182</v>
      </c>
      <c r="B190" s="160">
        <f>+Bois!$G191</f>
        <v>0</v>
      </c>
      <c r="C190" s="113">
        <f>+Madeleine!$G191</f>
        <v>0</v>
      </c>
      <c r="D190" s="113">
        <f>+Lens!$G191</f>
        <v>0</v>
      </c>
      <c r="E190" s="344">
        <f>+Bois!E191+Madeleine!E191+Tourcoing!E191</f>
        <v>0</v>
      </c>
      <c r="F190" s="135">
        <f>+Bois!F191+Madeleine!F191+Tourcoing!F191</f>
        <v>0</v>
      </c>
      <c r="G190" s="135">
        <v>0</v>
      </c>
      <c r="H190" s="161">
        <f>+Bois!G191+Madeleine!G191+Lens!G191</f>
        <v>0</v>
      </c>
      <c r="I190" s="149">
        <f t="shared" si="28"/>
        <v>0</v>
      </c>
      <c r="J190" s="271">
        <f t="shared" si="29"/>
        <v>0</v>
      </c>
      <c r="K190" s="18">
        <f>+Bois!D191+Madeleine!D191+Tourcoing!D191</f>
        <v>0</v>
      </c>
      <c r="L190" s="2">
        <f t="shared" si="20"/>
        <v>0</v>
      </c>
    </row>
    <row r="191" spans="1:12" s="2" customFormat="1" ht="11.25" hidden="1">
      <c r="A191" s="5" t="s">
        <v>183</v>
      </c>
      <c r="B191" s="160">
        <f>+Bois!$G192</f>
        <v>0</v>
      </c>
      <c r="C191" s="113">
        <f>+Madeleine!$G192</f>
        <v>0</v>
      </c>
      <c r="D191" s="113">
        <f>+Lens!$G192</f>
        <v>0</v>
      </c>
      <c r="E191" s="344">
        <f>+Bois!E192+Madeleine!E192+Tourcoing!E192</f>
        <v>0</v>
      </c>
      <c r="F191" s="135">
        <f>+Bois!F192+Madeleine!F192+Tourcoing!F192</f>
        <v>0</v>
      </c>
      <c r="G191" s="135">
        <v>0</v>
      </c>
      <c r="H191" s="161">
        <f>+Bois!G192+Madeleine!G192+Lens!G192</f>
        <v>0</v>
      </c>
      <c r="I191" s="149">
        <f t="shared" si="28"/>
        <v>0</v>
      </c>
      <c r="J191" s="271">
        <f t="shared" si="29"/>
        <v>0</v>
      </c>
      <c r="K191" s="18">
        <f>+Bois!D192+Madeleine!D192+Tourcoing!D192</f>
        <v>0</v>
      </c>
      <c r="L191" s="2">
        <f t="shared" si="20"/>
        <v>0</v>
      </c>
    </row>
    <row r="192" spans="1:12" s="2" customFormat="1" ht="11.25" hidden="1">
      <c r="A192" s="5" t="s">
        <v>184</v>
      </c>
      <c r="B192" s="160">
        <f>+Bois!$G193</f>
        <v>0</v>
      </c>
      <c r="C192" s="113">
        <f>+Madeleine!$G193</f>
        <v>0</v>
      </c>
      <c r="D192" s="113">
        <f>+Lens!$G193</f>
        <v>0</v>
      </c>
      <c r="E192" s="344">
        <f>+Bois!E193+Madeleine!E193+Tourcoing!E193</f>
        <v>11938.99</v>
      </c>
      <c r="F192" s="135">
        <f>+Bois!F193+Madeleine!F193+Lens!F193</f>
        <v>0</v>
      </c>
      <c r="G192" s="135">
        <v>0</v>
      </c>
      <c r="H192" s="161">
        <f>+Bois!G193+Madeleine!G193+Lens!G193</f>
        <v>0</v>
      </c>
      <c r="I192" s="149">
        <f t="shared" si="28"/>
        <v>0</v>
      </c>
      <c r="J192" s="271">
        <f t="shared" si="29"/>
        <v>-1</v>
      </c>
      <c r="K192" s="18">
        <f>+Bois!D193+Madeleine!D193+Tourcoing!D193</f>
        <v>0</v>
      </c>
      <c r="L192" s="2">
        <v>0</v>
      </c>
    </row>
    <row r="193" spans="1:12" s="2" customFormat="1" ht="11.25" hidden="1">
      <c r="A193" s="5" t="s">
        <v>342</v>
      </c>
      <c r="B193" s="160">
        <f>+Bois!$G194</f>
        <v>0</v>
      </c>
      <c r="C193" s="113">
        <f>+Madeleine!$G194</f>
        <v>0</v>
      </c>
      <c r="D193" s="113">
        <f>+Lens!$G194</f>
        <v>0</v>
      </c>
      <c r="E193" s="344">
        <f>+Bois!E194+Madeleine!E194+Tourcoing!E194</f>
        <v>649.86</v>
      </c>
      <c r="F193" s="135">
        <f>+Bois!F194+Madeleine!F194+Lens!F194</f>
        <v>0</v>
      </c>
      <c r="G193" s="135">
        <v>0</v>
      </c>
      <c r="H193" s="161">
        <f>+Bois!G194+Madeleine!G194+Lens!G194</f>
        <v>0</v>
      </c>
      <c r="I193" s="149">
        <f t="shared" si="28"/>
        <v>0</v>
      </c>
      <c r="J193" s="271">
        <f t="shared" si="29"/>
        <v>-1</v>
      </c>
      <c r="K193" s="18">
        <f>+Bois!D194+Madeleine!D194+Tourcoing!D194</f>
        <v>0</v>
      </c>
      <c r="L193" s="2">
        <v>0</v>
      </c>
    </row>
    <row r="194" spans="1:12" s="2" customFormat="1" ht="11.25" hidden="1">
      <c r="A194" s="5" t="s">
        <v>186</v>
      </c>
      <c r="B194" s="160">
        <f>+Bois!$G195</f>
        <v>0</v>
      </c>
      <c r="C194" s="113">
        <f>+Madeleine!$G195</f>
        <v>0</v>
      </c>
      <c r="D194" s="113">
        <f>+Lens!$G195</f>
        <v>0</v>
      </c>
      <c r="E194" s="344">
        <f>+Bois!E195+Madeleine!E195+Tourcoing!E195</f>
        <v>0</v>
      </c>
      <c r="F194" s="135">
        <f>+Bois!F195+Madeleine!F195+Tourcoing!F195</f>
        <v>0</v>
      </c>
      <c r="G194" s="135">
        <v>0</v>
      </c>
      <c r="H194" s="161">
        <f>+Bois!G195+Madeleine!G195+Lens!G195</f>
        <v>0</v>
      </c>
      <c r="I194" s="149">
        <f t="shared" si="28"/>
        <v>0</v>
      </c>
      <c r="J194" s="271">
        <f t="shared" si="29"/>
        <v>0</v>
      </c>
      <c r="K194" s="18">
        <f>+Bois!D195+Madeleine!D195+Tourcoing!D195</f>
        <v>0</v>
      </c>
      <c r="L194" s="2">
        <f t="shared" si="20"/>
        <v>0</v>
      </c>
    </row>
    <row r="195" spans="1:12" s="2" customFormat="1" ht="11.25" hidden="1">
      <c r="A195" s="5" t="s">
        <v>187</v>
      </c>
      <c r="B195" s="160">
        <f>+Bois!$G196</f>
        <v>0</v>
      </c>
      <c r="C195" s="113">
        <f>+Madeleine!$G196</f>
        <v>0</v>
      </c>
      <c r="D195" s="113">
        <f>+Lens!$G196</f>
        <v>0</v>
      </c>
      <c r="E195" s="344">
        <f>+Bois!E196+Madeleine!E196+Tourcoing!E196</f>
        <v>0</v>
      </c>
      <c r="F195" s="135">
        <f>+Bois!F196+Madeleine!F196+Tourcoing!F196</f>
        <v>0</v>
      </c>
      <c r="G195" s="135">
        <v>0</v>
      </c>
      <c r="H195" s="161">
        <f>+Bois!G196+Madeleine!G196+Lens!G196</f>
        <v>0</v>
      </c>
      <c r="I195" s="149">
        <f t="shared" si="28"/>
        <v>0</v>
      </c>
      <c r="J195" s="271">
        <f t="shared" si="29"/>
        <v>0</v>
      </c>
      <c r="K195" s="18">
        <f>+Bois!D196+Madeleine!D196+Tourcoing!D196</f>
        <v>0</v>
      </c>
      <c r="L195" s="2">
        <f t="shared" si="20"/>
        <v>0</v>
      </c>
    </row>
    <row r="196" spans="1:12" s="2" customFormat="1" ht="11.25" hidden="1">
      <c r="A196" s="5" t="s">
        <v>328</v>
      </c>
      <c r="B196" s="160">
        <f>+Bois!$G197</f>
        <v>0</v>
      </c>
      <c r="C196" s="113">
        <f>+Madeleine!$G197</f>
        <v>0</v>
      </c>
      <c r="D196" s="113">
        <f>+Lens!$G197</f>
        <v>0</v>
      </c>
      <c r="E196" s="344">
        <f>+Bois!E197+Madeleine!E197+Tourcoing!E197</f>
        <v>0</v>
      </c>
      <c r="F196" s="135">
        <f>+Bois!F197+Madeleine!F197+Tourcoing!F197</f>
        <v>0</v>
      </c>
      <c r="G196" s="135">
        <v>0</v>
      </c>
      <c r="H196" s="161">
        <f>+Bois!G197+Madeleine!G197+Lens!G197</f>
        <v>0</v>
      </c>
      <c r="I196" s="149">
        <f t="shared" si="28"/>
        <v>0</v>
      </c>
      <c r="J196" s="271">
        <f t="shared" si="29"/>
        <v>0</v>
      </c>
      <c r="K196" s="18">
        <f>+Bois!D197+Madeleine!D197+Tourcoing!D197</f>
        <v>0</v>
      </c>
      <c r="L196" s="2">
        <v>0</v>
      </c>
    </row>
    <row r="197" spans="1:12" s="2" customFormat="1" ht="11.25" hidden="1">
      <c r="A197" s="5" t="s">
        <v>344</v>
      </c>
      <c r="B197" s="160">
        <f>+Bois!$G198</f>
        <v>0</v>
      </c>
      <c r="C197" s="113">
        <f>+Madeleine!$G198</f>
        <v>0</v>
      </c>
      <c r="D197" s="113">
        <f>+Lens!$G198</f>
        <v>0</v>
      </c>
      <c r="E197" s="344">
        <f>+Bois!E198+Madeleine!E198+Tourcoing!E198</f>
        <v>0</v>
      </c>
      <c r="F197" s="135">
        <f>+Bois!F198+Madeleine!F198+Tourcoing!F198</f>
        <v>0</v>
      </c>
      <c r="G197" s="135">
        <v>0</v>
      </c>
      <c r="H197" s="161">
        <f>+Bois!G198+Madeleine!G198+Lens!G198</f>
        <v>0</v>
      </c>
      <c r="I197" s="149">
        <f t="shared" si="28"/>
        <v>0</v>
      </c>
      <c r="J197" s="271">
        <f t="shared" si="29"/>
        <v>0</v>
      </c>
      <c r="K197" s="18">
        <f>+Bois!D198+Madeleine!D198+Tourcoing!D198</f>
        <v>0</v>
      </c>
      <c r="L197" s="2">
        <v>0</v>
      </c>
    </row>
    <row r="198" spans="1:12" s="2" customFormat="1" ht="11.25" hidden="1">
      <c r="A198" s="5" t="s">
        <v>77</v>
      </c>
      <c r="B198" s="160">
        <f>+Bois!$G199</f>
        <v>0</v>
      </c>
      <c r="C198" s="113">
        <f>+Madeleine!$G199</f>
        <v>0</v>
      </c>
      <c r="D198" s="113">
        <f>+Lens!$G199</f>
        <v>0</v>
      </c>
      <c r="E198" s="344">
        <f>+Bois!E199+Madeleine!E199+Tourcoing!E199</f>
        <v>7285.68</v>
      </c>
      <c r="F198" s="135">
        <f>+Bois!F199+Madeleine!F199+Lens!F199</f>
        <v>0</v>
      </c>
      <c r="G198" s="135">
        <v>0</v>
      </c>
      <c r="H198" s="161">
        <f>+Bois!G199+Madeleine!G199+Lens!G199</f>
        <v>0</v>
      </c>
      <c r="I198" s="149">
        <f t="shared" si="28"/>
        <v>0</v>
      </c>
      <c r="J198" s="271">
        <f t="shared" si="29"/>
        <v>-1</v>
      </c>
      <c r="K198" s="18">
        <f>+Bois!D199+Madeleine!D199+Tourcoing!D199</f>
        <v>0</v>
      </c>
      <c r="L198" s="2">
        <v>0</v>
      </c>
    </row>
    <row r="199" spans="1:12" s="2" customFormat="1" ht="11.25" hidden="1">
      <c r="A199" s="5"/>
      <c r="B199" s="160"/>
      <c r="C199" s="113"/>
      <c r="D199" s="113"/>
      <c r="E199" s="344"/>
      <c r="F199" s="134"/>
      <c r="G199" s="134"/>
      <c r="H199" s="162"/>
      <c r="I199" s="149"/>
      <c r="J199" s="254"/>
      <c r="K199" s="18"/>
      <c r="L199" s="2">
        <f t="shared" si="20"/>
        <v>0</v>
      </c>
    </row>
    <row r="200" spans="1:12" s="2" customFormat="1" ht="11.25">
      <c r="A200" s="13" t="s">
        <v>188</v>
      </c>
      <c r="B200" s="803">
        <f t="shared" ref="B200:H200" si="30">SUM(B185:B199)</f>
        <v>0</v>
      </c>
      <c r="C200" s="803">
        <f t="shared" si="30"/>
        <v>0</v>
      </c>
      <c r="D200" s="803">
        <f t="shared" si="30"/>
        <v>0</v>
      </c>
      <c r="E200" s="597">
        <f>SUM(E185:E199)</f>
        <v>22416.85</v>
      </c>
      <c r="F200" s="597">
        <f>SUM(F185:F199)</f>
        <v>0</v>
      </c>
      <c r="G200" s="136">
        <v>0</v>
      </c>
      <c r="H200" s="803">
        <f t="shared" si="30"/>
        <v>0</v>
      </c>
      <c r="I200" s="596">
        <f>+IF((D200)=0,,(E200-D200)/D200)</f>
        <v>0</v>
      </c>
      <c r="J200" s="1015">
        <f>+IF((E200)=0,,(H200-E200)/E200)</f>
        <v>-1</v>
      </c>
      <c r="K200" s="803">
        <f>SUM(K185:K199)</f>
        <v>0</v>
      </c>
      <c r="L200" s="678">
        <f t="shared" ref="L200:L255" si="31">IF(SUM(A200:K200)&gt;0,1,0)</f>
        <v>1</v>
      </c>
    </row>
    <row r="201" spans="1:12" s="2" customFormat="1" ht="11.25" hidden="1">
      <c r="A201" s="5"/>
      <c r="B201" s="160"/>
      <c r="C201" s="113"/>
      <c r="D201" s="113"/>
      <c r="E201" s="344"/>
      <c r="F201" s="134"/>
      <c r="G201" s="134"/>
      <c r="H201" s="162"/>
      <c r="I201" s="149"/>
      <c r="J201" s="254"/>
      <c r="K201" s="311"/>
      <c r="L201" s="2">
        <f t="shared" si="31"/>
        <v>0</v>
      </c>
    </row>
    <row r="202" spans="1:12" s="2" customFormat="1" ht="11.25">
      <c r="A202" s="14" t="s">
        <v>189</v>
      </c>
      <c r="B202" s="659">
        <f t="shared" ref="B202:H202" si="32">+B103+B116+B129+B153+B167+B184-B200</f>
        <v>85262.216490843057</v>
      </c>
      <c r="C202" s="659">
        <f t="shared" si="32"/>
        <v>302534.68859511765</v>
      </c>
      <c r="D202" s="659">
        <f t="shared" si="32"/>
        <v>151053.99066268018</v>
      </c>
      <c r="E202" s="642">
        <f>+E103+E116+E129+E153+E167+E184-E200</f>
        <v>624487.31256000011</v>
      </c>
      <c r="F202" s="642">
        <f>+F103+F116+F129+F153+F167+F184-F200</f>
        <v>531704.66</v>
      </c>
      <c r="G202" s="145">
        <v>636611.107962262</v>
      </c>
      <c r="H202" s="659">
        <f t="shared" si="32"/>
        <v>538850.89574864088</v>
      </c>
      <c r="I202" s="363">
        <f>+IF((D202)=0,,(E202-D202)/D202)</f>
        <v>3.1341993668644443</v>
      </c>
      <c r="J202" s="1035">
        <f>+IF((E202)=0,,(H202-E202)/E202)</f>
        <v>-0.13713075524353646</v>
      </c>
      <c r="K202" s="659">
        <f>+K103+K116+K129+K153+K167+K184-K200</f>
        <v>569915.72101141186</v>
      </c>
      <c r="L202" s="678">
        <f t="shared" si="31"/>
        <v>1</v>
      </c>
    </row>
    <row r="203" spans="1:12" s="2" customFormat="1" ht="11.25" hidden="1">
      <c r="A203" s="5"/>
      <c r="B203" s="160"/>
      <c r="C203" s="113"/>
      <c r="D203" s="113"/>
      <c r="E203" s="344"/>
      <c r="F203" s="134"/>
      <c r="G203" s="134"/>
      <c r="H203" s="162"/>
      <c r="I203" s="149"/>
      <c r="J203" s="254"/>
      <c r="K203" s="18"/>
      <c r="L203" s="2">
        <f t="shared" si="31"/>
        <v>0</v>
      </c>
    </row>
    <row r="204" spans="1:12" s="2" customFormat="1" ht="11.25">
      <c r="A204" s="12" t="s">
        <v>228</v>
      </c>
      <c r="B204" s="667">
        <f t="shared" ref="B204:H204" si="33">+B62-B202</f>
        <v>20244.882118154186</v>
      </c>
      <c r="C204" s="667">
        <f t="shared" si="33"/>
        <v>50266.950929974555</v>
      </c>
      <c r="D204" s="667">
        <f t="shared" si="33"/>
        <v>52810.242424341384</v>
      </c>
      <c r="E204" s="646">
        <f>+E53-E202</f>
        <v>-29445.610059999977</v>
      </c>
      <c r="F204" s="646">
        <f>+F62-F202</f>
        <v>22561.786119162338</v>
      </c>
      <c r="G204" s="146">
        <v>-5426.4284238819964</v>
      </c>
      <c r="H204" s="667">
        <f t="shared" si="33"/>
        <v>123322.07547247014</v>
      </c>
      <c r="I204" s="366">
        <f>+IF((D204)=0,,(E204-D204)/D204)</f>
        <v>-1.5575738475767318</v>
      </c>
      <c r="J204" s="1036">
        <f>+IF((E204)=0,,(H204-E204)/E204)</f>
        <v>-5.1881311075295224</v>
      </c>
      <c r="K204" s="667">
        <f>+K62-K202</f>
        <v>50615.278988588136</v>
      </c>
      <c r="L204" s="678">
        <f t="shared" si="31"/>
        <v>1</v>
      </c>
    </row>
    <row r="205" spans="1:12" s="2" customFormat="1" ht="11.25" hidden="1">
      <c r="A205" s="5"/>
      <c r="B205" s="160"/>
      <c r="C205" s="113"/>
      <c r="D205" s="113"/>
      <c r="E205" s="344"/>
      <c r="F205" s="134"/>
      <c r="G205" s="134"/>
      <c r="H205" s="162"/>
      <c r="I205" s="149"/>
      <c r="J205" s="254"/>
      <c r="K205" s="18"/>
      <c r="L205" s="2">
        <f t="shared" si="31"/>
        <v>0</v>
      </c>
    </row>
    <row r="206" spans="1:12" s="2" customFormat="1" ht="11.25">
      <c r="A206" s="63" t="s">
        <v>251</v>
      </c>
      <c r="B206" s="1105">
        <f>+Bois!$G207</f>
        <v>969.24278494827138</v>
      </c>
      <c r="C206" s="1105">
        <f>+Madeleine!$G207</f>
        <v>3857.4394939339618</v>
      </c>
      <c r="D206" s="1105">
        <f>+Lens!$G207</f>
        <v>2200.1944835980571</v>
      </c>
      <c r="E206" s="651">
        <f>+Bois!E207+Madeleine!E207+Tourcoing!E207</f>
        <v>3894.2447204436367</v>
      </c>
      <c r="F206" s="651">
        <f>+Bois!F207+Madeleine!F207+Lens!F207</f>
        <v>4169.6718518021826</v>
      </c>
      <c r="G206" s="150">
        <v>11088.178854562375</v>
      </c>
      <c r="H206" s="651">
        <f>+Bois!G207+Madeleine!G207+Lens!G207</f>
        <v>7026.8767624802895</v>
      </c>
      <c r="I206" s="1079">
        <f>+IF((D206)=0,,(E206-D206)/D206)</f>
        <v>0.76995476966892418</v>
      </c>
      <c r="J206" s="1080">
        <f>+IF((E206)=0,,(H206-E206)/E206)</f>
        <v>0.80442608693574347</v>
      </c>
      <c r="K206" s="651">
        <f>+Bois!D207+Madeleine!D207+Tourcoing!D207</f>
        <v>10136.437620536126</v>
      </c>
      <c r="L206" s="678">
        <f t="shared" si="31"/>
        <v>1</v>
      </c>
    </row>
    <row r="207" spans="1:12" s="2" customFormat="1" ht="11.25" hidden="1">
      <c r="A207" s="5"/>
      <c r="B207" s="160"/>
      <c r="C207" s="113"/>
      <c r="D207" s="113"/>
      <c r="E207" s="344"/>
      <c r="F207" s="134"/>
      <c r="G207" s="134"/>
      <c r="H207" s="162"/>
      <c r="I207" s="149"/>
      <c r="J207" s="254"/>
      <c r="K207" s="18"/>
      <c r="L207" s="2">
        <f t="shared" si="31"/>
        <v>0</v>
      </c>
    </row>
    <row r="208" spans="1:12" s="2" customFormat="1" ht="11.25">
      <c r="A208" s="12" t="s">
        <v>190</v>
      </c>
      <c r="B208" s="667">
        <f t="shared" ref="B208:H208" si="34">+B204-B206</f>
        <v>19275.639333205916</v>
      </c>
      <c r="C208" s="667">
        <f t="shared" si="34"/>
        <v>46409.511436040593</v>
      </c>
      <c r="D208" s="667">
        <f t="shared" si="34"/>
        <v>50610.04794074333</v>
      </c>
      <c r="E208" s="646">
        <f>+E204-E206</f>
        <v>-33339.854780443617</v>
      </c>
      <c r="F208" s="646">
        <f>+F204-F206</f>
        <v>18392.114267360157</v>
      </c>
      <c r="G208" s="146">
        <v>-16514.607278444371</v>
      </c>
      <c r="H208" s="667">
        <f t="shared" si="34"/>
        <v>116295.19870998985</v>
      </c>
      <c r="I208" s="366">
        <f>+IF((D208)=0,,(E208-D208)/D208)</f>
        <v>-1.6587595968982192</v>
      </c>
      <c r="J208" s="1036">
        <f>+IF((E208)=0,,(H208-E208)/E208)</f>
        <v>-4.4881735231254192</v>
      </c>
      <c r="K208" s="667">
        <f>+K204-K206</f>
        <v>40478.84136805201</v>
      </c>
      <c r="L208" s="678">
        <f t="shared" si="31"/>
        <v>1</v>
      </c>
    </row>
    <row r="209" spans="1:13" s="2" customFormat="1" ht="11.25" hidden="1">
      <c r="A209" s="5"/>
      <c r="B209" s="160"/>
      <c r="C209" s="113"/>
      <c r="D209" s="113"/>
      <c r="E209" s="344"/>
      <c r="F209" s="134"/>
      <c r="G209" s="134"/>
      <c r="H209" s="162"/>
      <c r="I209" s="149"/>
      <c r="J209" s="254"/>
      <c r="K209" s="18"/>
      <c r="L209" s="2">
        <f t="shared" si="31"/>
        <v>0</v>
      </c>
    </row>
    <row r="210" spans="1:13" s="2" customFormat="1" ht="11.25">
      <c r="A210" s="590" t="s">
        <v>191</v>
      </c>
      <c r="B210" s="805">
        <f>+Bois!$G211</f>
        <v>9644.6846793104778</v>
      </c>
      <c r="C210" s="805">
        <f>+Madeleine!$G211</f>
        <v>9644.6846793104778</v>
      </c>
      <c r="D210" s="805">
        <f>+Lens!$G211</f>
        <v>9644.6846793104778</v>
      </c>
      <c r="E210" s="619">
        <f>+Bois!E211+Madeleine!E211+Tourcoing!E211</f>
        <v>24285.258215999998</v>
      </c>
      <c r="F210" s="619">
        <f>+Bois!F211+Madeleine!F211+Lens!F211</f>
        <v>26993.88229032257</v>
      </c>
      <c r="G210" s="135">
        <v>11088.178854562375</v>
      </c>
      <c r="H210" s="1077">
        <f>+Bois!G211+Madeleine!G211+Lens!G211</f>
        <v>28934.054037931433</v>
      </c>
      <c r="I210" s="1013">
        <f>+IF((D210)=0,,(E210-D210)/D210)</f>
        <v>1.5179940063873827</v>
      </c>
      <c r="J210" s="1014">
        <f>+IF((E210)=0,,(H210-E210)/E210)</f>
        <v>0.19142459926032995</v>
      </c>
      <c r="K210" s="805">
        <f>+Bois!D211+Madeleine!D211+Tourcoing!D211</f>
        <v>27078.111664621531</v>
      </c>
      <c r="L210" s="678">
        <f t="shared" si="31"/>
        <v>1</v>
      </c>
    </row>
    <row r="211" spans="1:13">
      <c r="A211" s="590" t="s">
        <v>192</v>
      </c>
      <c r="B211" s="805">
        <f>+Bois!$G212</f>
        <v>10442.856655647107</v>
      </c>
      <c r="C211" s="805">
        <f>+Madeleine!$G212</f>
        <v>41560.987936716156</v>
      </c>
      <c r="D211" s="805">
        <f>+Lens!$G212</f>
        <v>23705.428571218377</v>
      </c>
      <c r="E211" s="619">
        <f>+Bois!E212+Madeleine!E212+Tourcoing!E212</f>
        <v>59766.88215737752</v>
      </c>
      <c r="F211" s="619">
        <f>+Bois!F212+Madeleine!F212+Lens!F212</f>
        <v>62540.613055352966</v>
      </c>
      <c r="G211" s="135">
        <v>73996.191417248003</v>
      </c>
      <c r="H211" s="1077">
        <f>+Bois!G212+Madeleine!G212+Lens!G212</f>
        <v>75709.273163581645</v>
      </c>
      <c r="I211" s="1013">
        <f>+IF((D211)=0,,(E211-D211)/D211)</f>
        <v>1.5212318763957158</v>
      </c>
      <c r="J211" s="1014">
        <f>+IF((E211)=0,,(H211-E211)/E211)</f>
        <v>0.2667428922295928</v>
      </c>
      <c r="K211" s="805">
        <f>+Bois!D212+Madeleine!D212+Tourcoing!D212</f>
        <v>64204.816320549173</v>
      </c>
      <c r="L211" s="678">
        <f t="shared" si="31"/>
        <v>1</v>
      </c>
    </row>
    <row r="212" spans="1:13" hidden="1">
      <c r="A212" s="5" t="s">
        <v>193</v>
      </c>
      <c r="B212" s="160">
        <f>+Bois!$G213</f>
        <v>-2788.5042900000003</v>
      </c>
      <c r="C212" s="113">
        <f>+Madeleine!$G213</f>
        <v>-12106.717919999999</v>
      </c>
      <c r="D212" s="113">
        <f>+Lens!$G213</f>
        <v>-6598.4862239999993</v>
      </c>
      <c r="E212" s="344">
        <f>+Bois!E213+Madeleine!E213+Tourcoing!E213</f>
        <v>-21654.36</v>
      </c>
      <c r="F212" s="135">
        <f>+Bois!F213+Madeleine!F213+Lens!F213</f>
        <v>-19845.493333333332</v>
      </c>
      <c r="G212" s="135">
        <v>-17853.560000000001</v>
      </c>
      <c r="H212" s="161">
        <f>+Bois!G213+Madeleine!G213+Lens!G213</f>
        <v>-21493.708434</v>
      </c>
      <c r="I212" s="149">
        <f>+IF((D212)=0,,(E212-D212)/D212)</f>
        <v>2.2817163308212738</v>
      </c>
      <c r="J212" s="271">
        <f>+IF((E212)=0,,(H212-E212)/E212)</f>
        <v>-7.4189015976459452E-3</v>
      </c>
      <c r="K212" s="18">
        <f>+Bois!D213+Madeleine!D213+Tourcoing!D213</f>
        <v>-16925.800000000003</v>
      </c>
      <c r="L212" s="2">
        <f t="shared" si="31"/>
        <v>0</v>
      </c>
    </row>
    <row r="213" spans="1:13" hidden="1">
      <c r="A213" s="5"/>
      <c r="B213" s="160"/>
      <c r="C213" s="113"/>
      <c r="D213" s="113"/>
      <c r="E213" s="344"/>
      <c r="F213" s="134"/>
      <c r="G213" s="134"/>
      <c r="H213" s="162"/>
      <c r="I213" s="149"/>
      <c r="J213" s="254"/>
      <c r="K213" s="18"/>
      <c r="L213" s="2">
        <f t="shared" si="31"/>
        <v>0</v>
      </c>
    </row>
    <row r="214" spans="1:13">
      <c r="A214" s="20" t="s">
        <v>194</v>
      </c>
      <c r="B214" s="668">
        <f t="shared" ref="B214:H214" si="35">SUM(B209:B212)</f>
        <v>17299.037044957582</v>
      </c>
      <c r="C214" s="668">
        <f t="shared" si="35"/>
        <v>39098.954696026631</v>
      </c>
      <c r="D214" s="668">
        <f t="shared" si="35"/>
        <v>26751.627026528855</v>
      </c>
      <c r="E214" s="653">
        <f>SUM(E209:E212)</f>
        <v>62397.780373377522</v>
      </c>
      <c r="F214" s="653">
        <f>SUM(F209:F212)</f>
        <v>69689.0020123422</v>
      </c>
      <c r="G214" s="148">
        <v>67230.810271810376</v>
      </c>
      <c r="H214" s="668">
        <f t="shared" si="35"/>
        <v>83149.618767513079</v>
      </c>
      <c r="I214" s="1079">
        <f>+IF((D214)=0,,(E214-D214)/D214)</f>
        <v>1.3324854339326484</v>
      </c>
      <c r="J214" s="1080">
        <f>+IF((E214)=0,,(H214-E214)/E214)</f>
        <v>0.3325733426727705</v>
      </c>
      <c r="K214" s="668">
        <f>SUM(K209:K212)</f>
        <v>74357.127985170708</v>
      </c>
      <c r="L214" s="678">
        <f t="shared" si="31"/>
        <v>1</v>
      </c>
    </row>
    <row r="215" spans="1:13" hidden="1">
      <c r="A215" s="5"/>
      <c r="B215" s="160"/>
      <c r="C215" s="113"/>
      <c r="D215" s="113"/>
      <c r="E215" s="344"/>
      <c r="F215" s="134"/>
      <c r="G215" s="134"/>
      <c r="H215" s="162"/>
      <c r="I215" s="149"/>
      <c r="J215" s="254"/>
      <c r="K215" s="18"/>
      <c r="L215" s="2">
        <f t="shared" si="31"/>
        <v>0</v>
      </c>
    </row>
    <row r="216" spans="1:13" ht="21.75" customHeight="1">
      <c r="A216" s="742" t="s">
        <v>332</v>
      </c>
      <c r="B216" s="806">
        <f t="shared" ref="B216:H216" si="36">+B208-B214</f>
        <v>1976.6022882483339</v>
      </c>
      <c r="C216" s="806">
        <f t="shared" si="36"/>
        <v>7310.5567400139626</v>
      </c>
      <c r="D216" s="806">
        <f t="shared" si="36"/>
        <v>23858.420914214475</v>
      </c>
      <c r="E216" s="1094">
        <f>+E208-E214</f>
        <v>-95737.635153821146</v>
      </c>
      <c r="F216" s="1094">
        <f>+F208-F214</f>
        <v>-51296.887744982043</v>
      </c>
      <c r="G216" s="749">
        <v>-83745.417550254744</v>
      </c>
      <c r="H216" s="806">
        <f t="shared" si="36"/>
        <v>33145.579942476776</v>
      </c>
      <c r="I216" s="1093">
        <f>+IF((D216)=0,,(E216-D216)/D216)</f>
        <v>-5.0127397994216025</v>
      </c>
      <c r="J216" s="1106">
        <f>+IF((E216)=0,,(H216-E216)/E216)</f>
        <v>-1.3462126455204575</v>
      </c>
      <c r="K216" s="806">
        <f>+K208-K214</f>
        <v>-33878.286617118698</v>
      </c>
      <c r="L216" s="684">
        <v>1</v>
      </c>
      <c r="M216" s="26"/>
    </row>
    <row r="217" spans="1:13" hidden="1">
      <c r="A217" s="88" t="s">
        <v>44</v>
      </c>
      <c r="B217" s="160">
        <f>+Bois!$G217</f>
        <v>1976.6022882483339</v>
      </c>
      <c r="C217" s="113">
        <f>+Madeleine!$G217</f>
        <v>7310.5567400139626</v>
      </c>
      <c r="D217" s="113">
        <f>+Lens!$G217</f>
        <v>23858.420914214475</v>
      </c>
      <c r="E217" s="344">
        <f>+Bois!E217+Madeleine!E217+Tourcoing!E217</f>
        <v>-95737.635153821029</v>
      </c>
      <c r="F217" s="135">
        <f>+Bois!F217+Madeleine!F217+Lens!F217</f>
        <v>-51296.887744982072</v>
      </c>
      <c r="G217" s="135">
        <v>-83745.417550254773</v>
      </c>
      <c r="H217" s="117">
        <f>+Bois!G217+Madeleine!G217+Lens!G217</f>
        <v>33145.579942476776</v>
      </c>
      <c r="I217" s="66"/>
      <c r="J217" s="66"/>
      <c r="K217" s="18">
        <f>+Bois!D218+Madeleine!D218+Tourcoing!D218</f>
        <v>-33878.286617118814</v>
      </c>
      <c r="L217" s="678">
        <f t="shared" si="31"/>
        <v>0</v>
      </c>
    </row>
    <row r="218" spans="1:13" hidden="1">
      <c r="A218" s="87"/>
      <c r="B218" s="110"/>
      <c r="C218" s="110"/>
      <c r="D218" s="110"/>
      <c r="E218" s="110"/>
      <c r="F218" s="110"/>
      <c r="G218" s="110"/>
      <c r="H218" s="110"/>
      <c r="I218" s="66"/>
      <c r="J218" s="66"/>
      <c r="K218" s="113"/>
      <c r="L218" s="2">
        <f t="shared" si="31"/>
        <v>0</v>
      </c>
    </row>
    <row r="219" spans="1:13" s="2" customFormat="1" ht="11.25" hidden="1">
      <c r="B219" s="17"/>
      <c r="C219" s="17"/>
      <c r="D219" s="17"/>
      <c r="E219" s="17"/>
      <c r="F219" s="17"/>
      <c r="G219" s="17"/>
      <c r="H219" s="17"/>
      <c r="I219" s="66"/>
      <c r="J219" s="66"/>
      <c r="K219" s="113"/>
      <c r="L219" s="2">
        <f t="shared" si="31"/>
        <v>0</v>
      </c>
    </row>
    <row r="220" spans="1:13" s="2" customFormat="1" ht="11.25" hidden="1">
      <c r="B220" s="17"/>
      <c r="C220" s="17"/>
      <c r="D220" s="17"/>
      <c r="E220" s="17"/>
      <c r="F220" s="17"/>
      <c r="G220" s="17"/>
      <c r="H220" s="17"/>
      <c r="K220" s="17"/>
      <c r="L220" s="2">
        <f t="shared" si="31"/>
        <v>0</v>
      </c>
    </row>
    <row r="221" spans="1:13" s="2" customFormat="1" ht="11.25">
      <c r="A221" s="654" t="s">
        <v>67</v>
      </c>
      <c r="B221" s="656">
        <f>+Bois!$G222</f>
        <v>251263.87482829145</v>
      </c>
      <c r="C221" s="656">
        <f>+Madeleine!$G222</f>
        <v>980221.6088431878</v>
      </c>
      <c r="D221" s="656">
        <f>+Lens!$G222</f>
        <v>508036.56236792845</v>
      </c>
      <c r="E221" s="656">
        <f>+(E214+E206+E202)/E60</f>
        <v>1910546.5787960961</v>
      </c>
      <c r="F221" s="656">
        <f>+(F214+F206+F202)/F60</f>
        <v>1662902.9251081005</v>
      </c>
      <c r="G221" s="265">
        <f>+(G214+G206+G202)/G60</f>
        <v>2011438.5193612606</v>
      </c>
      <c r="H221" s="656">
        <f>+(H214+H206+H202)/H60</f>
        <v>1740674.9516991582</v>
      </c>
      <c r="I221" s="656"/>
      <c r="J221" s="656"/>
      <c r="K221" s="656">
        <f>+(K214+K206+K202)/K60</f>
        <v>1764435.5272577975</v>
      </c>
      <c r="L221" s="2">
        <f t="shared" si="31"/>
        <v>1</v>
      </c>
      <c r="M221" s="264"/>
    </row>
    <row r="222" spans="1:13" s="2" customFormat="1" ht="11.25">
      <c r="A222" s="654" t="s">
        <v>66</v>
      </c>
      <c r="B222" s="656">
        <f>+Bois!$G223</f>
        <v>20938.656235690953</v>
      </c>
      <c r="C222" s="656">
        <f>+Madeleine!$G223</f>
        <v>81685.134070265645</v>
      </c>
      <c r="D222" s="656">
        <f>+Lens!$G223</f>
        <v>42336.380197327373</v>
      </c>
      <c r="E222" s="656">
        <f>+E221/12</f>
        <v>159212.21489967467</v>
      </c>
      <c r="F222" s="656">
        <f>+F221/12</f>
        <v>138575.24375900839</v>
      </c>
      <c r="G222" s="265">
        <f>+G221/12</f>
        <v>167619.87661343839</v>
      </c>
      <c r="H222" s="656">
        <f>+H221/12</f>
        <v>145056.24597492986</v>
      </c>
      <c r="I222" s="656"/>
      <c r="J222" s="656"/>
      <c r="K222" s="656">
        <f>+K221/12</f>
        <v>147036.29393814979</v>
      </c>
      <c r="L222" s="678">
        <f t="shared" si="31"/>
        <v>1</v>
      </c>
      <c r="M222" s="264"/>
    </row>
    <row r="223" spans="1:13" hidden="1">
      <c r="B223" s="26"/>
      <c r="C223" s="26"/>
      <c r="D223" s="26"/>
      <c r="E223" s="26"/>
      <c r="F223" s="26"/>
      <c r="H223" s="26"/>
      <c r="I223" s="66"/>
      <c r="J223" s="66"/>
      <c r="K223" s="17"/>
      <c r="L223" s="678">
        <f t="shared" si="31"/>
        <v>0</v>
      </c>
    </row>
    <row r="224" spans="1:13" hidden="1">
      <c r="B224" s="26"/>
      <c r="C224" s="26"/>
      <c r="D224" s="26"/>
      <c r="E224" s="26"/>
      <c r="F224" s="26"/>
      <c r="H224" s="26"/>
      <c r="I224" s="66"/>
      <c r="J224" s="66"/>
      <c r="K224" s="17"/>
      <c r="L224" s="2">
        <f t="shared" si="31"/>
        <v>0</v>
      </c>
    </row>
    <row r="225" spans="1:12" hidden="1">
      <c r="B225" s="26"/>
      <c r="C225" s="26"/>
      <c r="D225" s="26"/>
      <c r="E225" s="26"/>
      <c r="F225" s="26"/>
      <c r="H225" s="26"/>
      <c r="I225" s="66"/>
      <c r="J225" s="66"/>
      <c r="K225" s="17"/>
      <c r="L225" s="2">
        <f t="shared" si="31"/>
        <v>0</v>
      </c>
    </row>
    <row r="226" spans="1:12" s="2" customFormat="1" ht="12.75" hidden="1" customHeight="1">
      <c r="A226" s="6"/>
      <c r="B226" s="102"/>
      <c r="C226" s="211"/>
      <c r="D226" s="104"/>
      <c r="E226" s="267" t="s">
        <v>195</v>
      </c>
      <c r="F226" s="130" t="s">
        <v>364</v>
      </c>
      <c r="G226" s="130"/>
      <c r="H226" s="104" t="s">
        <v>196</v>
      </c>
      <c r="I226" s="151" t="s">
        <v>225</v>
      </c>
      <c r="J226" s="183" t="s">
        <v>225</v>
      </c>
      <c r="K226" s="8" t="s">
        <v>196</v>
      </c>
      <c r="L226" s="2">
        <f t="shared" si="31"/>
        <v>0</v>
      </c>
    </row>
    <row r="227" spans="1:12" s="2" customFormat="1" ht="20.25" hidden="1" customHeight="1">
      <c r="A227" s="7" t="str">
        <f>+A4</f>
        <v>P Blanchon</v>
      </c>
      <c r="B227" s="1428" t="s">
        <v>24</v>
      </c>
      <c r="C227" s="1430" t="s">
        <v>69</v>
      </c>
      <c r="D227" s="1439" t="s">
        <v>707</v>
      </c>
      <c r="E227" s="260" t="s">
        <v>366</v>
      </c>
      <c r="F227" s="131" t="s">
        <v>366</v>
      </c>
      <c r="G227" s="131"/>
      <c r="H227" s="105" t="s">
        <v>197</v>
      </c>
      <c r="I227" s="152"/>
      <c r="J227" s="184"/>
      <c r="K227" s="9" t="s">
        <v>197</v>
      </c>
      <c r="L227" s="2">
        <f t="shared" si="31"/>
        <v>0</v>
      </c>
    </row>
    <row r="228" spans="1:12" s="2" customFormat="1" ht="11.25" hidden="1" customHeight="1">
      <c r="A228" s="3"/>
      <c r="B228" s="1428"/>
      <c r="C228" s="1430"/>
      <c r="D228" s="1439"/>
      <c r="E228" s="268"/>
      <c r="F228" s="132"/>
      <c r="G228" s="132"/>
      <c r="H228" s="106"/>
      <c r="I228" s="152"/>
      <c r="J228" s="184"/>
      <c r="K228" s="10"/>
      <c r="L228" s="2">
        <f t="shared" si="31"/>
        <v>0</v>
      </c>
    </row>
    <row r="229" spans="1:12" s="2" customFormat="1" ht="11.25">
      <c r="A229" s="585"/>
      <c r="B229" s="583"/>
      <c r="C229" s="584"/>
      <c r="D229" s="585"/>
      <c r="E229" s="585">
        <v>2006</v>
      </c>
      <c r="F229" s="585">
        <v>2007</v>
      </c>
      <c r="G229" s="133"/>
      <c r="H229" s="585">
        <v>2008</v>
      </c>
      <c r="I229" s="583" t="s">
        <v>367</v>
      </c>
      <c r="J229" s="583" t="s">
        <v>368</v>
      </c>
      <c r="K229" s="585">
        <v>2008</v>
      </c>
      <c r="L229" s="678">
        <f t="shared" si="31"/>
        <v>1</v>
      </c>
    </row>
    <row r="230" spans="1:12" s="2" customFormat="1" ht="11.25" hidden="1" customHeight="1">
      <c r="B230" s="288"/>
      <c r="C230" s="249"/>
      <c r="D230" s="286"/>
      <c r="E230" s="248"/>
      <c r="F230" s="287"/>
      <c r="G230" s="287"/>
      <c r="H230" s="250"/>
      <c r="I230" s="288"/>
      <c r="J230" s="289"/>
      <c r="K230" s="332"/>
      <c r="L230" s="678">
        <f t="shared" si="31"/>
        <v>0</v>
      </c>
    </row>
    <row r="231" spans="1:12" s="33" customFormat="1" ht="15" customHeight="1">
      <c r="A231" s="14" t="s">
        <v>223</v>
      </c>
      <c r="B231" s="659">
        <f>+B51</f>
        <v>256061</v>
      </c>
      <c r="C231" s="659">
        <f t="shared" ref="C231:J231" si="37">+C51</f>
        <v>1000963</v>
      </c>
      <c r="D231" s="659">
        <f t="shared" si="37"/>
        <v>575373</v>
      </c>
      <c r="E231" s="659">
        <f t="shared" si="37"/>
        <v>1645756.9400000002</v>
      </c>
      <c r="F231" s="659">
        <f t="shared" si="37"/>
        <v>1522039.4680428326</v>
      </c>
      <c r="G231" s="206"/>
      <c r="H231" s="659">
        <f t="shared" si="37"/>
        <v>1832397</v>
      </c>
      <c r="I231" s="363">
        <f t="shared" si="37"/>
        <v>0</v>
      </c>
      <c r="J231" s="363">
        <f t="shared" si="37"/>
        <v>0</v>
      </c>
      <c r="K231" s="659">
        <f>+K51</f>
        <v>1673092</v>
      </c>
      <c r="L231" s="2">
        <f t="shared" si="31"/>
        <v>1</v>
      </c>
    </row>
    <row r="232" spans="1:12" s="2" customFormat="1" ht="11.25" hidden="1" customHeight="1">
      <c r="B232" s="160"/>
      <c r="C232" s="113"/>
      <c r="D232" s="162"/>
      <c r="E232" s="160"/>
      <c r="F232" s="113"/>
      <c r="G232" s="113"/>
      <c r="H232" s="162"/>
      <c r="I232" s="92"/>
      <c r="J232" s="186"/>
      <c r="K232" s="162"/>
      <c r="L232" s="678">
        <f t="shared" si="31"/>
        <v>0</v>
      </c>
    </row>
    <row r="233" spans="1:12" s="33" customFormat="1" ht="15" customHeight="1">
      <c r="A233" s="12" t="s">
        <v>295</v>
      </c>
      <c r="B233" s="660">
        <f t="shared" ref="B233:H233" si="38">+B60</f>
        <v>0.41203892279182397</v>
      </c>
      <c r="C233" s="660">
        <f t="shared" si="38"/>
        <v>0.35246221840876457</v>
      </c>
      <c r="D233" s="660">
        <f t="shared" si="38"/>
        <v>0.35431664865577905</v>
      </c>
      <c r="E233" s="660">
        <f t="shared" si="38"/>
        <v>0.36156110786323042</v>
      </c>
      <c r="F233" s="660">
        <f t="shared" si="38"/>
        <v>0.36416036361519927</v>
      </c>
      <c r="G233" s="224"/>
      <c r="H233" s="660">
        <f t="shared" si="38"/>
        <v>0.36136981845152061</v>
      </c>
      <c r="I233" s="660"/>
      <c r="J233" s="660"/>
      <c r="K233" s="660">
        <f>+K60</f>
        <v>0.37088874969218666</v>
      </c>
      <c r="L233" s="2">
        <f t="shared" si="31"/>
        <v>1</v>
      </c>
    </row>
    <row r="234" spans="1:12" s="33" customFormat="1" ht="15" customHeight="1">
      <c r="A234" s="12" t="s">
        <v>296</v>
      </c>
      <c r="B234" s="661">
        <f>+B62</f>
        <v>105507.09860899724</v>
      </c>
      <c r="C234" s="661">
        <f>+C62</f>
        <v>352801.63952509221</v>
      </c>
      <c r="D234" s="661">
        <f t="shared" ref="D234:J234" si="39">+D62</f>
        <v>203864.23308702157</v>
      </c>
      <c r="E234" s="661">
        <f t="shared" si="39"/>
        <v>595041.70250000013</v>
      </c>
      <c r="F234" s="661">
        <f t="shared" si="39"/>
        <v>554266.44611916237</v>
      </c>
      <c r="G234" s="223"/>
      <c r="H234" s="661">
        <f t="shared" si="39"/>
        <v>662172.97122111102</v>
      </c>
      <c r="I234" s="1082">
        <f t="shared" si="39"/>
        <v>1.9188136314524598</v>
      </c>
      <c r="J234" s="1082">
        <f t="shared" si="39"/>
        <v>0.11281775451882865</v>
      </c>
      <c r="K234" s="661">
        <f>+K62</f>
        <v>620531</v>
      </c>
      <c r="L234" s="678">
        <f t="shared" si="31"/>
        <v>1</v>
      </c>
    </row>
    <row r="235" spans="1:12" s="25" customFormat="1" ht="11.25" hidden="1" customHeight="1">
      <c r="B235" s="160"/>
      <c r="C235" s="113"/>
      <c r="D235" s="162"/>
      <c r="E235" s="160"/>
      <c r="F235" s="113"/>
      <c r="G235" s="113"/>
      <c r="H235" s="162"/>
      <c r="I235" s="92"/>
      <c r="J235" s="186"/>
      <c r="K235" s="162"/>
      <c r="L235" s="678">
        <f t="shared" si="31"/>
        <v>0</v>
      </c>
    </row>
    <row r="236" spans="1:12" s="298" customFormat="1" ht="15" customHeight="1">
      <c r="A236" s="662" t="s">
        <v>122</v>
      </c>
      <c r="B236" s="665">
        <f>+B103</f>
        <v>23479.504824556927</v>
      </c>
      <c r="C236" s="665">
        <f t="shared" ref="C236:J236" si="40">+C103</f>
        <v>88577.403240636166</v>
      </c>
      <c r="D236" s="665">
        <f t="shared" si="40"/>
        <v>51943.877040671439</v>
      </c>
      <c r="E236" s="665">
        <f t="shared" si="40"/>
        <v>194236.66</v>
      </c>
      <c r="F236" s="665">
        <f t="shared" si="40"/>
        <v>161597.97000000003</v>
      </c>
      <c r="G236" s="295"/>
      <c r="H236" s="665">
        <f t="shared" si="40"/>
        <v>164000.78510586455</v>
      </c>
      <c r="I236" s="663">
        <f t="shared" si="40"/>
        <v>2.739356225718673</v>
      </c>
      <c r="J236" s="663">
        <f t="shared" si="40"/>
        <v>-0.15566512981707706</v>
      </c>
      <c r="K236" s="665">
        <f>+K103</f>
        <v>170135.82164958902</v>
      </c>
      <c r="L236" s="2">
        <f t="shared" si="31"/>
        <v>1</v>
      </c>
    </row>
    <row r="237" spans="1:12" s="298" customFormat="1" ht="15" customHeight="1">
      <c r="A237" s="662" t="s">
        <v>133</v>
      </c>
      <c r="B237" s="665">
        <f>+B116</f>
        <v>5534.5899999999992</v>
      </c>
      <c r="C237" s="665">
        <f t="shared" ref="C237:J237" si="41">+C116</f>
        <v>26625.632799999999</v>
      </c>
      <c r="D237" s="665">
        <f t="shared" si="41"/>
        <v>11406.221733333336</v>
      </c>
      <c r="E237" s="665">
        <f t="shared" si="41"/>
        <v>60645.359999999993</v>
      </c>
      <c r="F237" s="665">
        <f t="shared" si="41"/>
        <v>64959.9</v>
      </c>
      <c r="G237" s="295"/>
      <c r="H237" s="665">
        <f t="shared" si="41"/>
        <v>43566.444533333335</v>
      </c>
      <c r="I237" s="663">
        <f t="shared" si="41"/>
        <v>4.3168666555701876</v>
      </c>
      <c r="J237" s="663">
        <f t="shared" si="41"/>
        <v>-0.28161949185670032</v>
      </c>
      <c r="K237" s="665">
        <f>+K116</f>
        <v>52324.453800000003</v>
      </c>
      <c r="L237" s="678">
        <f t="shared" si="31"/>
        <v>1</v>
      </c>
    </row>
    <row r="238" spans="1:12" s="298" customFormat="1" ht="15" customHeight="1">
      <c r="A238" s="662" t="s">
        <v>147</v>
      </c>
      <c r="B238" s="665">
        <f>+B129</f>
        <v>2518.3654000000001</v>
      </c>
      <c r="C238" s="665">
        <f t="shared" ref="C238:J238" si="42">+C129</f>
        <v>12933.9334</v>
      </c>
      <c r="D238" s="665">
        <f t="shared" si="42"/>
        <v>5977.2517000000007</v>
      </c>
      <c r="E238" s="665">
        <f t="shared" si="42"/>
        <v>34964.589999999997</v>
      </c>
      <c r="F238" s="665">
        <f t="shared" si="42"/>
        <v>20143.96</v>
      </c>
      <c r="G238" s="295"/>
      <c r="H238" s="665">
        <f t="shared" si="42"/>
        <v>21429.550500000005</v>
      </c>
      <c r="I238" s="663">
        <f t="shared" si="42"/>
        <v>4.8496097796918933</v>
      </c>
      <c r="J238" s="663">
        <f t="shared" si="42"/>
        <v>-0.38710705602439477</v>
      </c>
      <c r="K238" s="665">
        <f>+K129</f>
        <v>36573.709082582645</v>
      </c>
      <c r="L238" s="678">
        <f t="shared" si="31"/>
        <v>1</v>
      </c>
    </row>
    <row r="239" spans="1:12" s="298" customFormat="1" ht="15" customHeight="1">
      <c r="A239" s="662" t="s">
        <v>164</v>
      </c>
      <c r="B239" s="665">
        <f>+B153</f>
        <v>49661.572154346126</v>
      </c>
      <c r="C239" s="665">
        <f t="shared" ref="C239:J239" si="43">+C153</f>
        <v>149731.0873298682</v>
      </c>
      <c r="D239" s="665">
        <f t="shared" si="43"/>
        <v>70720.875114648748</v>
      </c>
      <c r="E239" s="665">
        <f t="shared" si="43"/>
        <v>310285.56256000005</v>
      </c>
      <c r="F239" s="665">
        <f t="shared" si="43"/>
        <v>257617.72000000003</v>
      </c>
      <c r="G239" s="295"/>
      <c r="H239" s="665">
        <f t="shared" si="43"/>
        <v>270113.53459886304</v>
      </c>
      <c r="I239" s="663">
        <f t="shared" si="43"/>
        <v>3.387467802922155</v>
      </c>
      <c r="J239" s="663">
        <f t="shared" si="43"/>
        <v>-0.1294679250613503</v>
      </c>
      <c r="K239" s="665">
        <f>+K153</f>
        <v>258060.36113788706</v>
      </c>
      <c r="L239" s="678">
        <f t="shared" si="31"/>
        <v>1</v>
      </c>
    </row>
    <row r="240" spans="1:12" s="298" customFormat="1" ht="15" customHeight="1">
      <c r="A240" s="662" t="s">
        <v>74</v>
      </c>
      <c r="B240" s="665">
        <f>+B167</f>
        <v>2542.7941119399998</v>
      </c>
      <c r="C240" s="665">
        <f t="shared" ref="C240:J240" si="44">+C167</f>
        <v>16231.32475794667</v>
      </c>
      <c r="D240" s="665">
        <f t="shared" si="44"/>
        <v>7984.7050740266686</v>
      </c>
      <c r="E240" s="665">
        <f t="shared" si="44"/>
        <v>13635.360000000002</v>
      </c>
      <c r="F240" s="665">
        <f t="shared" si="44"/>
        <v>15701.973333333321</v>
      </c>
      <c r="G240" s="295"/>
      <c r="H240" s="665">
        <f t="shared" si="44"/>
        <v>26758.823943913343</v>
      </c>
      <c r="I240" s="663">
        <f t="shared" si="44"/>
        <v>0.70768486419796106</v>
      </c>
      <c r="J240" s="663">
        <f t="shared" si="44"/>
        <v>0.96245819280996892</v>
      </c>
      <c r="K240" s="665">
        <f>+K167</f>
        <v>24779.566166353179</v>
      </c>
      <c r="L240" s="678">
        <f t="shared" si="31"/>
        <v>1</v>
      </c>
    </row>
    <row r="241" spans="1:12" s="298" customFormat="1" ht="15" customHeight="1">
      <c r="A241" s="662" t="s">
        <v>369</v>
      </c>
      <c r="B241" s="665">
        <f>+B184-B200</f>
        <v>1525.39</v>
      </c>
      <c r="C241" s="665">
        <f t="shared" ref="C241:J241" si="45">+C184-C200</f>
        <v>8435.3070666666663</v>
      </c>
      <c r="D241" s="665">
        <f t="shared" si="45"/>
        <v>3021.06</v>
      </c>
      <c r="E241" s="665">
        <f t="shared" si="45"/>
        <v>10719.780000000006</v>
      </c>
      <c r="F241" s="665">
        <f t="shared" si="45"/>
        <v>11683.136666666665</v>
      </c>
      <c r="G241" s="295"/>
      <c r="H241" s="665">
        <f t="shared" si="45"/>
        <v>12981.757066666665</v>
      </c>
      <c r="I241" s="663">
        <f t="shared" si="45"/>
        <v>9.9685441533766301</v>
      </c>
      <c r="J241" s="663">
        <f t="shared" si="45"/>
        <v>0.39176455380847908</v>
      </c>
      <c r="K241" s="665">
        <f>+K184-K200</f>
        <v>28041.809175000002</v>
      </c>
      <c r="L241" s="678">
        <f t="shared" si="31"/>
        <v>1</v>
      </c>
    </row>
    <row r="242" spans="1:12" s="25" customFormat="1" ht="11.25" hidden="1">
      <c r="B242" s="160"/>
      <c r="C242" s="113"/>
      <c r="D242" s="162"/>
      <c r="E242" s="160"/>
      <c r="F242" s="113"/>
      <c r="G242" s="113"/>
      <c r="H242" s="162"/>
      <c r="I242" s="92"/>
      <c r="J242" s="186"/>
      <c r="K242" s="162"/>
      <c r="L242" s="678">
        <f t="shared" si="31"/>
        <v>0</v>
      </c>
    </row>
    <row r="243" spans="1:12" s="33" customFormat="1" ht="15" customHeight="1">
      <c r="A243" s="14" t="s">
        <v>189</v>
      </c>
      <c r="B243" s="659">
        <f>+B202</f>
        <v>85262.216490843057</v>
      </c>
      <c r="C243" s="659">
        <f t="shared" ref="C243:J243" si="46">+C202</f>
        <v>302534.68859511765</v>
      </c>
      <c r="D243" s="659">
        <f t="shared" si="46"/>
        <v>151053.99066268018</v>
      </c>
      <c r="E243" s="659">
        <f t="shared" si="46"/>
        <v>624487.31256000011</v>
      </c>
      <c r="F243" s="659">
        <f t="shared" si="46"/>
        <v>531704.66</v>
      </c>
      <c r="G243" s="301"/>
      <c r="H243" s="659">
        <f t="shared" si="46"/>
        <v>538850.89574864088</v>
      </c>
      <c r="I243" s="363">
        <f t="shared" si="46"/>
        <v>3.1341993668644443</v>
      </c>
      <c r="J243" s="363">
        <f t="shared" si="46"/>
        <v>-0.13713075524353646</v>
      </c>
      <c r="K243" s="659">
        <f>+K202</f>
        <v>569915.72101141186</v>
      </c>
      <c r="L243" s="2">
        <f t="shared" si="31"/>
        <v>1</v>
      </c>
    </row>
    <row r="244" spans="1:12" s="2" customFormat="1" ht="11.25" hidden="1">
      <c r="B244" s="160"/>
      <c r="C244" s="113"/>
      <c r="D244" s="162"/>
      <c r="E244" s="160"/>
      <c r="F244" s="113"/>
      <c r="G244" s="113"/>
      <c r="H244" s="162"/>
      <c r="I244" s="92"/>
      <c r="J244" s="186"/>
      <c r="K244" s="162"/>
      <c r="L244" s="678">
        <f t="shared" si="31"/>
        <v>0</v>
      </c>
    </row>
    <row r="245" spans="1:12" s="33" customFormat="1" ht="15" customHeight="1">
      <c r="A245" s="12" t="s">
        <v>228</v>
      </c>
      <c r="B245" s="667">
        <f>+B204</f>
        <v>20244.882118154186</v>
      </c>
      <c r="C245" s="667">
        <f t="shared" ref="C245:J245" si="47">+C204</f>
        <v>50266.950929974555</v>
      </c>
      <c r="D245" s="667">
        <f t="shared" si="47"/>
        <v>52810.242424341384</v>
      </c>
      <c r="E245" s="667">
        <f t="shared" si="47"/>
        <v>-29445.610059999977</v>
      </c>
      <c r="F245" s="667">
        <f t="shared" si="47"/>
        <v>22561.786119162338</v>
      </c>
      <c r="G245" s="228"/>
      <c r="H245" s="667">
        <f t="shared" si="47"/>
        <v>123322.07547247014</v>
      </c>
      <c r="I245" s="366">
        <f t="shared" si="47"/>
        <v>-1.5575738475767318</v>
      </c>
      <c r="J245" s="366">
        <f t="shared" si="47"/>
        <v>-5.1881311075295224</v>
      </c>
      <c r="K245" s="667">
        <f>+K204</f>
        <v>50615.278988588136</v>
      </c>
      <c r="L245" s="2">
        <f t="shared" si="31"/>
        <v>1</v>
      </c>
    </row>
    <row r="246" spans="1:12" s="2" customFormat="1" ht="11.25" hidden="1">
      <c r="B246" s="160"/>
      <c r="C246" s="113"/>
      <c r="D246" s="162"/>
      <c r="E246" s="160"/>
      <c r="F246" s="113"/>
      <c r="G246" s="113"/>
      <c r="H246" s="162"/>
      <c r="I246" s="92"/>
      <c r="J246" s="186"/>
      <c r="K246" s="162"/>
      <c r="L246" s="678">
        <f t="shared" si="31"/>
        <v>0</v>
      </c>
    </row>
    <row r="247" spans="1:12" s="33" customFormat="1" ht="15" customHeight="1">
      <c r="A247" s="20" t="s">
        <v>370</v>
      </c>
      <c r="B247" s="668">
        <f>+B206+B214</f>
        <v>18268.279829905852</v>
      </c>
      <c r="C247" s="668">
        <f t="shared" ref="C247:J247" si="48">+C206+C214</f>
        <v>42956.394189960592</v>
      </c>
      <c r="D247" s="668">
        <f t="shared" si="48"/>
        <v>28951.821510126912</v>
      </c>
      <c r="E247" s="668">
        <f t="shared" si="48"/>
        <v>66292.025093821154</v>
      </c>
      <c r="F247" s="668">
        <f t="shared" si="48"/>
        <v>73858.673864144381</v>
      </c>
      <c r="G247" s="230"/>
      <c r="H247" s="668">
        <f t="shared" si="48"/>
        <v>90176.495529993364</v>
      </c>
      <c r="I247" s="367">
        <f t="shared" si="48"/>
        <v>2.1024402036015726</v>
      </c>
      <c r="J247" s="367">
        <f t="shared" si="48"/>
        <v>1.136999429608514</v>
      </c>
      <c r="K247" s="668">
        <f>+K206+K214</f>
        <v>84493.565605706826</v>
      </c>
      <c r="L247" s="2">
        <f t="shared" si="31"/>
        <v>1</v>
      </c>
    </row>
    <row r="248" spans="1:12" s="2" customFormat="1" ht="11.25" hidden="1">
      <c r="B248" s="160"/>
      <c r="C248" s="113"/>
      <c r="D248" s="162"/>
      <c r="E248" s="160"/>
      <c r="F248" s="113"/>
      <c r="G248" s="113"/>
      <c r="H248" s="162"/>
      <c r="I248" s="92"/>
      <c r="J248" s="186"/>
      <c r="K248" s="162"/>
      <c r="L248" s="678">
        <f t="shared" si="31"/>
        <v>0</v>
      </c>
    </row>
    <row r="249" spans="1:12" s="33" customFormat="1" ht="20.100000000000001" hidden="1" customHeight="1">
      <c r="A249" s="246" t="s">
        <v>86</v>
      </c>
      <c r="B249" s="177">
        <f>+B216</f>
        <v>1976.6022882483339</v>
      </c>
      <c r="C249" s="228">
        <f t="shared" ref="C249:J249" si="49">+C216</f>
        <v>7310.5567400139626</v>
      </c>
      <c r="D249" s="178">
        <f t="shared" si="49"/>
        <v>23858.420914214475</v>
      </c>
      <c r="E249" s="177">
        <f t="shared" si="49"/>
        <v>-95737.635153821146</v>
      </c>
      <c r="F249" s="228">
        <f t="shared" si="49"/>
        <v>-51296.887744982043</v>
      </c>
      <c r="G249" s="228"/>
      <c r="H249" s="178">
        <f t="shared" si="49"/>
        <v>33145.579942476776</v>
      </c>
      <c r="I249" s="225">
        <f t="shared" si="49"/>
        <v>-5.0127397994216025</v>
      </c>
      <c r="J249" s="193">
        <f t="shared" si="49"/>
        <v>-1.3462126455204575</v>
      </c>
      <c r="K249" s="178">
        <f>+K216</f>
        <v>-33878.286617118698</v>
      </c>
      <c r="L249" s="2">
        <f t="shared" si="31"/>
        <v>0</v>
      </c>
    </row>
    <row r="250" spans="1:12" s="2" customFormat="1" ht="11.25" hidden="1">
      <c r="B250" s="17"/>
      <c r="C250" s="113"/>
      <c r="F250" s="58"/>
      <c r="G250" s="58"/>
      <c r="I250" s="66"/>
      <c r="J250" s="66"/>
      <c r="L250" s="678">
        <f t="shared" si="31"/>
        <v>0</v>
      </c>
    </row>
    <row r="251" spans="1:12" s="298" customFormat="1" ht="11.25">
      <c r="A251" s="662" t="s">
        <v>95</v>
      </c>
      <c r="B251" s="665">
        <f>Bois!G253</f>
        <v>69712.607250000001</v>
      </c>
      <c r="C251" s="1037">
        <f>Madeleine!G253</f>
        <v>302667.94799999997</v>
      </c>
      <c r="D251" s="1037">
        <f>Lens!G253</f>
        <v>164962.15559999997</v>
      </c>
      <c r="E251" s="665">
        <f>+E28</f>
        <v>543111.1</v>
      </c>
      <c r="F251" s="665"/>
      <c r="G251" s="295"/>
      <c r="H251" s="665">
        <f>SUM(B251:D251)</f>
        <v>537342.71084999992</v>
      </c>
      <c r="I251" s="663"/>
      <c r="J251" s="663"/>
      <c r="K251" s="665">
        <f>SUM(E251:G251)</f>
        <v>543111.1</v>
      </c>
      <c r="L251" s="2">
        <f t="shared" si="31"/>
        <v>1</v>
      </c>
    </row>
    <row r="252" spans="1:12" s="298" customFormat="1" ht="11.25">
      <c r="A252" s="662" t="s">
        <v>371</v>
      </c>
      <c r="B252" s="665">
        <f>Bois!G254</f>
        <v>251263.87482829145</v>
      </c>
      <c r="C252" s="665">
        <f>Madeleine!G254</f>
        <v>980221.6088431878</v>
      </c>
      <c r="D252" s="665">
        <f>Lens!G254</f>
        <v>508036.56236792845</v>
      </c>
      <c r="E252" s="665">
        <f>+E221</f>
        <v>1910546.5787960961</v>
      </c>
      <c r="F252" s="665">
        <f>+F221</f>
        <v>1662902.9251081005</v>
      </c>
      <c r="G252" s="295"/>
      <c r="H252" s="665">
        <f>+H221</f>
        <v>1740674.9516991582</v>
      </c>
      <c r="I252" s="663"/>
      <c r="J252" s="663"/>
      <c r="K252" s="665">
        <f>+K221</f>
        <v>1764435.5272577975</v>
      </c>
      <c r="L252" s="678">
        <f t="shared" si="31"/>
        <v>1</v>
      </c>
    </row>
    <row r="253" spans="1:12" s="298" customFormat="1" ht="11.25">
      <c r="A253" s="662" t="s">
        <v>372</v>
      </c>
      <c r="B253" s="665">
        <f>Bois!G255</f>
        <v>0</v>
      </c>
      <c r="C253" s="1037">
        <f>Madeleine!G255</f>
        <v>0</v>
      </c>
      <c r="D253" s="1037">
        <f>Lens!G255</f>
        <v>11000</v>
      </c>
      <c r="E253" s="665"/>
      <c r="F253" s="665"/>
      <c r="G253" s="295"/>
      <c r="H253" s="665">
        <f>SUM(B253:D253)</f>
        <v>11000</v>
      </c>
      <c r="I253" s="663"/>
      <c r="J253" s="663"/>
      <c r="K253" s="665">
        <f>SUM(E253:G253)</f>
        <v>0</v>
      </c>
      <c r="L253" s="678">
        <f t="shared" si="31"/>
        <v>1</v>
      </c>
    </row>
    <row r="254" spans="1:12" s="2" customFormat="1" ht="11.25" hidden="1">
      <c r="B254" s="24"/>
      <c r="C254" s="113"/>
      <c r="F254" s="58"/>
      <c r="G254" s="58"/>
      <c r="I254" s="66"/>
      <c r="J254" s="66"/>
      <c r="L254" s="678">
        <f t="shared" si="31"/>
        <v>0</v>
      </c>
    </row>
    <row r="255" spans="1:12" hidden="1">
      <c r="B255" s="26"/>
      <c r="C255" s="26"/>
      <c r="D255" s="26"/>
      <c r="E255" s="26"/>
      <c r="F255" s="26"/>
      <c r="H255" s="26"/>
      <c r="I255" s="66"/>
      <c r="J255" s="66"/>
      <c r="K255" s="28"/>
      <c r="L255" s="2">
        <f t="shared" si="31"/>
        <v>0</v>
      </c>
    </row>
    <row r="256" spans="1:12" hidden="1">
      <c r="B256" s="26"/>
      <c r="C256" s="26"/>
      <c r="D256" s="26"/>
      <c r="E256" s="26"/>
      <c r="F256" s="26"/>
      <c r="H256" s="26"/>
      <c r="I256" s="66"/>
      <c r="J256" s="66"/>
      <c r="K256" s="28"/>
      <c r="L256" s="111"/>
    </row>
    <row r="257" spans="2:12" hidden="1">
      <c r="B257" s="26"/>
      <c r="C257" s="26"/>
      <c r="D257" s="26"/>
      <c r="E257" s="26"/>
      <c r="F257" s="26"/>
      <c r="H257" s="26"/>
      <c r="I257" s="66"/>
      <c r="J257" s="66"/>
      <c r="K257" s="28"/>
      <c r="L257"/>
    </row>
  </sheetData>
  <autoFilter ref="L1:L257">
    <filterColumn colId="0">
      <filters>
        <filter val="1"/>
      </filters>
    </filterColumn>
  </autoFilter>
  <mergeCells count="6">
    <mergeCell ref="B4:B5"/>
    <mergeCell ref="C4:C5"/>
    <mergeCell ref="D4:D5"/>
    <mergeCell ref="B227:B228"/>
    <mergeCell ref="C227:C228"/>
    <mergeCell ref="D227:D228"/>
  </mergeCells>
  <phoneticPr fontId="33" type="noConversion"/>
  <pageMargins left="0.86614173228346458" right="3.937007874015748E-2" top="0.23622047244094491" bottom="0.23622047244094491" header="7.874015748031496E-2" footer="7.874015748031496E-2"/>
  <pageSetup paperSize="9" scale="85" fitToHeight="13" orientation="landscape" horizontalDpi="4294967293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51"/>
    <pageSetUpPr fitToPage="1"/>
  </sheetPr>
  <dimension ref="A1:N256"/>
  <sheetViews>
    <sheetView workbookViewId="0">
      <pane xSplit="1" ySplit="6" topLeftCell="B200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5"/>
  <cols>
    <col min="1" max="1" width="72.85546875" style="686" bestFit="1" customWidth="1"/>
    <col min="2" max="2" width="12.28515625" style="750" customWidth="1"/>
    <col min="3" max="3" width="14.28515625" style="750" customWidth="1"/>
    <col min="4" max="5" width="14.7109375" style="750" bestFit="1" customWidth="1"/>
    <col min="6" max="6" width="12.28515625" style="750" customWidth="1"/>
    <col min="7" max="7" width="12.28515625" style="750" bestFit="1" customWidth="1"/>
    <col min="8" max="8" width="14.28515625" style="800" hidden="1" customWidth="1"/>
    <col min="9" max="9" width="12.28515625" style="750" customWidth="1"/>
    <col min="10" max="10" width="10.5703125" style="751" customWidth="1"/>
    <col min="11" max="11" width="9.140625" style="751" bestFit="1" customWidth="1"/>
    <col min="12" max="12" width="12.7109375" style="799" customWidth="1"/>
    <col min="13" max="13" width="14.7109375" style="686" bestFit="1" customWidth="1"/>
    <col min="14" max="14" width="11.42578125" style="1092"/>
    <col min="15" max="16384" width="11.42578125" style="686"/>
  </cols>
  <sheetData>
    <row r="1" spans="1:14">
      <c r="A1" s="685" t="s">
        <v>515</v>
      </c>
      <c r="L1" s="752"/>
    </row>
    <row r="2" spans="1:14" customFormat="1" ht="12.75" hidden="1">
      <c r="B2" s="800"/>
      <c r="C2" s="800"/>
      <c r="D2" s="1098"/>
      <c r="E2" s="1098"/>
      <c r="F2" s="800"/>
      <c r="G2" s="800"/>
      <c r="H2" s="800"/>
      <c r="I2" s="800"/>
      <c r="J2" s="801"/>
      <c r="K2" s="801"/>
      <c r="L2" s="808"/>
    </row>
    <row r="3" spans="1:14" s="678" customFormat="1" ht="12.75" customHeight="1">
      <c r="A3" s="1070"/>
      <c r="B3" s="1076"/>
      <c r="C3" s="1076"/>
      <c r="D3" s="1076"/>
      <c r="E3" s="1076"/>
      <c r="F3" s="1084" t="s">
        <v>55</v>
      </c>
      <c r="G3" s="1084" t="s">
        <v>364</v>
      </c>
      <c r="H3" s="130" t="s">
        <v>543</v>
      </c>
      <c r="I3" s="1084" t="s">
        <v>196</v>
      </c>
      <c r="J3" s="1088" t="s">
        <v>225</v>
      </c>
      <c r="K3" s="1088" t="s">
        <v>225</v>
      </c>
      <c r="L3" s="1084" t="s">
        <v>196</v>
      </c>
      <c r="M3" s="678">
        <v>1</v>
      </c>
      <c r="N3" s="1092"/>
    </row>
    <row r="4" spans="1:14" s="678" customFormat="1" ht="20.25" customHeight="1">
      <c r="A4" s="1071" t="s">
        <v>631</v>
      </c>
      <c r="B4" s="1441" t="s">
        <v>211</v>
      </c>
      <c r="C4" s="1443" t="s">
        <v>324</v>
      </c>
      <c r="D4" s="1441" t="s">
        <v>210</v>
      </c>
      <c r="E4" s="1443" t="s">
        <v>209</v>
      </c>
      <c r="F4" s="1085" t="s">
        <v>366</v>
      </c>
      <c r="G4" s="1085" t="s">
        <v>366</v>
      </c>
      <c r="H4" s="131" t="s">
        <v>432</v>
      </c>
      <c r="I4" s="1085" t="s">
        <v>197</v>
      </c>
      <c r="J4" s="1089" t="s">
        <v>55</v>
      </c>
      <c r="K4" s="1085" t="s">
        <v>432</v>
      </c>
      <c r="L4" s="1085" t="s">
        <v>197</v>
      </c>
      <c r="M4" s="678">
        <v>1</v>
      </c>
      <c r="N4" s="1092"/>
    </row>
    <row r="5" spans="1:14" s="678" customFormat="1" ht="20.25" customHeight="1">
      <c r="A5" s="1071"/>
      <c r="B5" s="1442"/>
      <c r="C5" s="1444"/>
      <c r="D5" s="1442"/>
      <c r="E5" s="1444"/>
      <c r="F5" s="1086">
        <f>F216</f>
        <v>-29198.407047531487</v>
      </c>
      <c r="G5" s="1086">
        <f>G216</f>
        <v>-97443.858649487607</v>
      </c>
      <c r="H5" s="215">
        <f>H216</f>
        <v>167514.29040791598</v>
      </c>
      <c r="I5" s="1086">
        <f>I216</f>
        <v>-12170.044472554873</v>
      </c>
      <c r="J5" s="1089"/>
      <c r="K5" s="1090" t="s">
        <v>433</v>
      </c>
      <c r="L5" s="1090"/>
      <c r="M5" s="678">
        <v>1</v>
      </c>
      <c r="N5" s="1092"/>
    </row>
    <row r="6" spans="1:14" s="678" customFormat="1" ht="18">
      <c r="A6" s="1072"/>
      <c r="B6" s="1087"/>
      <c r="C6" s="1087"/>
      <c r="D6" s="1087"/>
      <c r="E6" s="1087"/>
      <c r="F6" s="935">
        <v>2009</v>
      </c>
      <c r="G6" s="935">
        <v>2010</v>
      </c>
      <c r="H6" s="133">
        <v>2009</v>
      </c>
      <c r="I6" s="935">
        <v>2011</v>
      </c>
      <c r="J6" s="1091" t="s">
        <v>544</v>
      </c>
      <c r="K6" s="1091" t="s">
        <v>368</v>
      </c>
      <c r="L6" s="935">
        <v>2010</v>
      </c>
      <c r="M6" s="678">
        <v>1</v>
      </c>
      <c r="N6" s="1092"/>
    </row>
    <row r="7" spans="1:14" s="2" customFormat="1" ht="18" hidden="1">
      <c r="A7" s="1069"/>
      <c r="B7" s="1095"/>
      <c r="C7" s="1095"/>
      <c r="D7" s="1095"/>
      <c r="E7" s="1095"/>
      <c r="F7" s="1097"/>
      <c r="G7" s="1097"/>
      <c r="H7" s="1099"/>
      <c r="I7" s="1097"/>
      <c r="J7" s="1100"/>
      <c r="K7" s="1100"/>
      <c r="L7" s="1097"/>
      <c r="M7" s="2">
        <f>IF(SUM(B7:L7)&gt;0,1,0)</f>
        <v>0</v>
      </c>
    </row>
    <row r="8" spans="1:14" s="678" customFormat="1">
      <c r="A8" s="690" t="s">
        <v>221</v>
      </c>
      <c r="B8" s="753">
        <f>+Cambrai!G8</f>
        <v>670405</v>
      </c>
      <c r="C8" s="753">
        <f>+Caudry!G8</f>
        <v>740739</v>
      </c>
      <c r="D8" s="753">
        <f>+Amiens!$G8</f>
        <v>516851</v>
      </c>
      <c r="E8" s="753">
        <f>+Compiègne!$G8</f>
        <v>810810</v>
      </c>
      <c r="F8" s="753">
        <f>+Compiègne!E8+Amiens!E8+Cambrai!E8+Caudry!E8</f>
        <v>1843504.5</v>
      </c>
      <c r="G8" s="754">
        <f>+Compiègne!F8+Amiens!F8+Cambrai!F8+Caudry!F8</f>
        <v>2407473.9136489509</v>
      </c>
      <c r="H8" s="805">
        <v>3560759.6047999999</v>
      </c>
      <c r="I8" s="755">
        <f>+Compiègne!G8+Amiens!G8+Cambrai!G8+Caudry!G8</f>
        <v>2738805</v>
      </c>
      <c r="J8" s="756">
        <f>+IF((F8)=0,,(G8-F8)/F8)</f>
        <v>0.30592245022941406</v>
      </c>
      <c r="K8" s="757">
        <f>+IF((G8)=0,,(I8-G8)/G8)</f>
        <v>0.13762603385756256</v>
      </c>
      <c r="L8" s="753">
        <f>+Dijon!D8+Eu!D8+Nancy!D8+Roanne!D8</f>
        <v>4365364</v>
      </c>
      <c r="M8" s="678">
        <f t="shared" ref="M8:M71" si="0">IF(SUM(B8:L8)&gt;0,1,0)</f>
        <v>1</v>
      </c>
      <c r="N8" s="1092">
        <f>SUBTOTAL(9,B8:E8)</f>
        <v>2738805</v>
      </c>
    </row>
    <row r="9" spans="1:14" s="2" customFormat="1" ht="11.25" hidden="1">
      <c r="A9" s="590" t="s">
        <v>422</v>
      </c>
      <c r="B9" s="805"/>
      <c r="C9" s="805"/>
      <c r="D9" s="805"/>
      <c r="E9" s="805"/>
      <c r="F9" s="753">
        <f>+Compiègne!E9+Amiens!E9+Cambrai!E9+Caudry!E9</f>
        <v>544110.71</v>
      </c>
      <c r="G9" s="754">
        <f>+Compiègne!F9+Amiens!F9+Cambrai!F9+Caudry!F9</f>
        <v>0</v>
      </c>
      <c r="H9" s="805">
        <v>0</v>
      </c>
      <c r="I9" s="1077"/>
      <c r="J9" s="1013">
        <f t="shared" ref="J9:J19" si="1">+IF((F9)=0,,(G9-F9)/F9)</f>
        <v>-1</v>
      </c>
      <c r="K9" s="1014">
        <f t="shared" ref="K9:K19" si="2">+IF((G9)=0,,(I9-G9)/G9)</f>
        <v>0</v>
      </c>
      <c r="L9" s="805">
        <f>+Dijon!D9+Eu!D9+Nancy!D9+Roanne!D9</f>
        <v>0</v>
      </c>
      <c r="M9" s="2">
        <v>0</v>
      </c>
    </row>
    <row r="10" spans="1:14" s="2" customFormat="1" ht="11.25" hidden="1">
      <c r="A10" s="590" t="s">
        <v>84</v>
      </c>
      <c r="B10" s="805"/>
      <c r="C10" s="805"/>
      <c r="D10" s="805"/>
      <c r="E10" s="805"/>
      <c r="F10" s="753">
        <f>+Compiègne!E10+Amiens!E10+Cambrai!E10+Caudry!E10</f>
        <v>0</v>
      </c>
      <c r="G10" s="754">
        <f>+Compiègne!F10+Amiens!F10+Cambrai!F10+Caudry!F10</f>
        <v>0</v>
      </c>
      <c r="H10" s="805">
        <v>0</v>
      </c>
      <c r="I10" s="1077"/>
      <c r="J10" s="1013">
        <f t="shared" si="1"/>
        <v>0</v>
      </c>
      <c r="K10" s="1014">
        <f t="shared" si="2"/>
        <v>0</v>
      </c>
      <c r="L10" s="805">
        <f>+Dijon!D10+Eu!D10+Nancy!D10+Roanne!D10</f>
        <v>0</v>
      </c>
      <c r="M10" s="2">
        <f t="shared" si="0"/>
        <v>0</v>
      </c>
    </row>
    <row r="11" spans="1:14" s="2" customFormat="1" ht="11.25" hidden="1">
      <c r="A11" s="590" t="s">
        <v>267</v>
      </c>
      <c r="B11" s="805"/>
      <c r="C11" s="805"/>
      <c r="D11" s="805"/>
      <c r="E11" s="805"/>
      <c r="F11" s="753">
        <f>+Compiègne!E11+Amiens!E11+Cambrai!E11+Caudry!E11</f>
        <v>177.78999999999996</v>
      </c>
      <c r="G11" s="754">
        <f>+Compiègne!F11+Amiens!F11+Cambrai!F11+Caudry!F11</f>
        <v>284.39999999999998</v>
      </c>
      <c r="H11" s="805">
        <v>0</v>
      </c>
      <c r="I11" s="1077"/>
      <c r="J11" s="1013">
        <f t="shared" si="1"/>
        <v>0.59964002474829881</v>
      </c>
      <c r="K11" s="1014">
        <f t="shared" si="2"/>
        <v>-1</v>
      </c>
      <c r="L11" s="805">
        <f>+Dijon!D11+Eu!D11+Nancy!D11+Roanne!D11</f>
        <v>0</v>
      </c>
      <c r="M11" s="2">
        <v>0</v>
      </c>
    </row>
    <row r="12" spans="1:14" s="2" customFormat="1" ht="11.25" hidden="1">
      <c r="A12" s="590" t="s">
        <v>46</v>
      </c>
      <c r="B12" s="805"/>
      <c r="C12" s="805"/>
      <c r="D12" s="805"/>
      <c r="E12" s="805"/>
      <c r="F12" s="753">
        <f>+Compiègne!E12+Amiens!E12+Cambrai!E12+Caudry!E12</f>
        <v>0</v>
      </c>
      <c r="G12" s="754">
        <f>+Compiègne!F12+Amiens!F12+Cambrai!F12+Caudry!F12</f>
        <v>0</v>
      </c>
      <c r="H12" s="805">
        <v>0</v>
      </c>
      <c r="I12" s="1077"/>
      <c r="J12" s="1013">
        <f t="shared" si="1"/>
        <v>0</v>
      </c>
      <c r="K12" s="1014">
        <f t="shared" si="2"/>
        <v>0</v>
      </c>
      <c r="L12" s="805">
        <f>+Dijon!D12+Eu!D12+Nancy!D12+Roanne!D12</f>
        <v>0</v>
      </c>
      <c r="M12" s="2">
        <f t="shared" si="0"/>
        <v>0</v>
      </c>
    </row>
    <row r="13" spans="1:14" s="2" customFormat="1" ht="11.25">
      <c r="A13" s="590" t="s">
        <v>268</v>
      </c>
      <c r="B13" s="805"/>
      <c r="C13" s="805"/>
      <c r="D13" s="805"/>
      <c r="E13" s="805"/>
      <c r="F13" s="753">
        <f>+Compiègne!E13+Amiens!E13+Cambrai!E13+Caudry!E13</f>
        <v>4856.49</v>
      </c>
      <c r="G13" s="754">
        <f>+Compiègne!F13+Amiens!F13+Cambrai!F13+Caudry!F13</f>
        <v>0</v>
      </c>
      <c r="H13" s="805">
        <v>0</v>
      </c>
      <c r="I13" s="1077"/>
      <c r="J13" s="1013">
        <f t="shared" si="1"/>
        <v>-1</v>
      </c>
      <c r="K13" s="1014">
        <f t="shared" si="2"/>
        <v>0</v>
      </c>
      <c r="L13" s="805">
        <f>+Dijon!D13+Eu!D13+Nancy!D13+Roanne!D13</f>
        <v>0</v>
      </c>
      <c r="M13" s="2">
        <f t="shared" si="0"/>
        <v>1</v>
      </c>
    </row>
    <row r="14" spans="1:14" s="2" customFormat="1" ht="11.25" hidden="1">
      <c r="A14" s="590" t="s">
        <v>269</v>
      </c>
      <c r="B14" s="805"/>
      <c r="C14" s="805"/>
      <c r="D14" s="805"/>
      <c r="E14" s="805"/>
      <c r="F14" s="753">
        <f>+Compiègne!E14+Amiens!E14+Cambrai!E14+Caudry!E14</f>
        <v>263.7</v>
      </c>
      <c r="G14" s="754">
        <f>+Compiègne!F14+Amiens!F14+Cambrai!F14+Caudry!F14</f>
        <v>550.5</v>
      </c>
      <c r="H14" s="805">
        <v>0</v>
      </c>
      <c r="I14" s="1077"/>
      <c r="J14" s="1013">
        <f t="shared" si="1"/>
        <v>1.0875995449374289</v>
      </c>
      <c r="K14" s="1014">
        <f t="shared" si="2"/>
        <v>-1</v>
      </c>
      <c r="L14" s="805">
        <f>+Dijon!D14+Eu!D14+Nancy!D14+Roanne!D14</f>
        <v>0</v>
      </c>
      <c r="M14" s="2">
        <v>0</v>
      </c>
    </row>
    <row r="15" spans="1:14" s="2" customFormat="1" ht="11.25" hidden="1">
      <c r="A15" s="590" t="s">
        <v>270</v>
      </c>
      <c r="B15" s="805"/>
      <c r="C15" s="805"/>
      <c r="D15" s="805"/>
      <c r="E15" s="805"/>
      <c r="F15" s="753">
        <f>+Compiègne!E15+Amiens!E15+Cambrai!E15+Caudry!E15</f>
        <v>6315</v>
      </c>
      <c r="G15" s="754">
        <f>+Compiègne!F15+Amiens!F15+Cambrai!F15+Caudry!F15</f>
        <v>4152</v>
      </c>
      <c r="H15" s="805">
        <v>4965.63</v>
      </c>
      <c r="I15" s="1077"/>
      <c r="J15" s="1013">
        <f t="shared" si="1"/>
        <v>-0.34251781472684084</v>
      </c>
      <c r="K15" s="1014">
        <f t="shared" si="2"/>
        <v>-1</v>
      </c>
      <c r="L15" s="805">
        <f>+Dijon!D15+Eu!D15+Nancy!D15+Roanne!D15</f>
        <v>0</v>
      </c>
      <c r="M15" s="2">
        <v>0</v>
      </c>
    </row>
    <row r="16" spans="1:14" s="2" customFormat="1" ht="11.25">
      <c r="A16" s="590" t="s">
        <v>85</v>
      </c>
      <c r="B16" s="805"/>
      <c r="C16" s="805"/>
      <c r="D16" s="805"/>
      <c r="E16" s="805"/>
      <c r="F16" s="753">
        <f>+Compiègne!E16+Amiens!E16+Cambrai!E16+Caudry!E16</f>
        <v>292.64</v>
      </c>
      <c r="G16" s="754">
        <f>+Compiègne!F16+Amiens!F16+Cambrai!F16+Caudry!F16</f>
        <v>0</v>
      </c>
      <c r="H16" s="805">
        <v>-154.5</v>
      </c>
      <c r="I16" s="1077"/>
      <c r="J16" s="1013">
        <f t="shared" si="1"/>
        <v>-1</v>
      </c>
      <c r="K16" s="1014">
        <f t="shared" si="2"/>
        <v>0</v>
      </c>
      <c r="L16" s="805">
        <f>+Dijon!D16+Eu!D16+Nancy!D16+Roanne!D16</f>
        <v>0</v>
      </c>
      <c r="M16" s="2">
        <f t="shared" si="0"/>
        <v>1</v>
      </c>
    </row>
    <row r="17" spans="1:14" s="2" customFormat="1" ht="11.25" hidden="1">
      <c r="A17" s="590" t="s">
        <v>88</v>
      </c>
      <c r="B17" s="805"/>
      <c r="C17" s="805"/>
      <c r="D17" s="805"/>
      <c r="E17" s="805"/>
      <c r="F17" s="753">
        <f>+Compiègne!E17+Amiens!E17+Cambrai!E17+Caudry!E17</f>
        <v>0</v>
      </c>
      <c r="G17" s="754">
        <f>+Compiègne!F17+Amiens!F17+Cambrai!F17+Caudry!F17</f>
        <v>0</v>
      </c>
      <c r="H17" s="805">
        <v>0</v>
      </c>
      <c r="I17" s="1077"/>
      <c r="J17" s="1013">
        <f t="shared" si="1"/>
        <v>0</v>
      </c>
      <c r="K17" s="1014">
        <f t="shared" si="2"/>
        <v>0</v>
      </c>
      <c r="L17" s="805">
        <f>+Dijon!D17+Eu!D17+Nancy!D17+Roanne!D17</f>
        <v>0</v>
      </c>
      <c r="M17" s="2">
        <f t="shared" si="0"/>
        <v>0</v>
      </c>
    </row>
    <row r="18" spans="1:14" s="2" customFormat="1" ht="11.25" hidden="1">
      <c r="A18" s="590" t="s">
        <v>89</v>
      </c>
      <c r="B18" s="805"/>
      <c r="C18" s="805"/>
      <c r="D18" s="805"/>
      <c r="E18" s="805"/>
      <c r="F18" s="753">
        <f>+Compiègne!E18+Amiens!E18+Cambrai!E18+Caudry!E18</f>
        <v>0</v>
      </c>
      <c r="G18" s="754">
        <f>+Compiègne!F18+Amiens!F18+Cambrai!F18+Caudry!F18</f>
        <v>0</v>
      </c>
      <c r="H18" s="805">
        <v>0</v>
      </c>
      <c r="I18" s="1077"/>
      <c r="J18" s="1013">
        <f t="shared" si="1"/>
        <v>0</v>
      </c>
      <c r="K18" s="1014">
        <f t="shared" si="2"/>
        <v>0</v>
      </c>
      <c r="L18" s="805">
        <f>+Dijon!D18+Eu!D18+Nancy!D18+Roanne!D18</f>
        <v>0</v>
      </c>
      <c r="M18" s="2">
        <f t="shared" si="0"/>
        <v>0</v>
      </c>
    </row>
    <row r="19" spans="1:14" s="2" customFormat="1" ht="11.25" hidden="1">
      <c r="A19" s="590" t="s">
        <v>90</v>
      </c>
      <c r="B19" s="805"/>
      <c r="C19" s="805"/>
      <c r="D19" s="805"/>
      <c r="E19" s="805"/>
      <c r="F19" s="753">
        <f>+Compiègne!E19+Amiens!E19+Cambrai!E19+Caudry!E19</f>
        <v>0</v>
      </c>
      <c r="G19" s="754">
        <f>+Compiègne!F19+Amiens!F19+Cambrai!F19+Caudry!F19</f>
        <v>0</v>
      </c>
      <c r="H19" s="805">
        <v>0</v>
      </c>
      <c r="I19" s="1077"/>
      <c r="J19" s="1013">
        <f t="shared" si="1"/>
        <v>0</v>
      </c>
      <c r="K19" s="1014">
        <f t="shared" si="2"/>
        <v>0</v>
      </c>
      <c r="L19" s="805">
        <v>0</v>
      </c>
      <c r="M19" s="2">
        <f t="shared" si="0"/>
        <v>0</v>
      </c>
    </row>
    <row r="20" spans="1:14" s="2" customFormat="1" ht="11.25" hidden="1">
      <c r="A20" s="590"/>
      <c r="B20" s="805"/>
      <c r="C20" s="805"/>
      <c r="D20" s="805"/>
      <c r="E20" s="805"/>
      <c r="F20" s="805"/>
      <c r="G20" s="805"/>
      <c r="H20" s="805"/>
      <c r="I20" s="805"/>
      <c r="J20" s="1013"/>
      <c r="K20" s="1081"/>
      <c r="L20" s="805"/>
      <c r="M20" s="2">
        <f t="shared" si="0"/>
        <v>0</v>
      </c>
    </row>
    <row r="21" spans="1:14" s="699" customFormat="1">
      <c r="A21" s="695" t="s">
        <v>222</v>
      </c>
      <c r="B21" s="758">
        <f t="shared" ref="B21:G21" si="3">SUM(B7:B20)</f>
        <v>670405</v>
      </c>
      <c r="C21" s="758">
        <f t="shared" si="3"/>
        <v>740739</v>
      </c>
      <c r="D21" s="758">
        <f t="shared" si="3"/>
        <v>516851</v>
      </c>
      <c r="E21" s="758">
        <f t="shared" si="3"/>
        <v>810810</v>
      </c>
      <c r="F21" s="758">
        <f t="shared" si="3"/>
        <v>2399520.8300000005</v>
      </c>
      <c r="G21" s="758">
        <f t="shared" si="3"/>
        <v>2412460.8136489508</v>
      </c>
      <c r="H21" s="803">
        <v>3565570.7347999997</v>
      </c>
      <c r="I21" s="758">
        <f>SUM(I7:I20)</f>
        <v>2738805</v>
      </c>
      <c r="J21" s="759">
        <f>+IF((F21)=0,,(G21-F21)/F21)</f>
        <v>5.3927365360484205E-3</v>
      </c>
      <c r="K21" s="760">
        <f>+IF((G21)=0,,(I21-G21)/G21)</f>
        <v>0.13527439886471757</v>
      </c>
      <c r="L21" s="758">
        <f>SUM(L7:L20)</f>
        <v>4365364</v>
      </c>
      <c r="M21" s="678">
        <f t="shared" si="0"/>
        <v>1</v>
      </c>
      <c r="N21" s="1092">
        <f>SUBTOTAL(9,B21:E21)</f>
        <v>2738805</v>
      </c>
    </row>
    <row r="22" spans="1:14" s="57" customFormat="1" ht="15" hidden="1" customHeight="1">
      <c r="A22" s="590"/>
      <c r="B22" s="805"/>
      <c r="C22" s="805"/>
      <c r="D22" s="805"/>
      <c r="E22" s="805"/>
      <c r="F22" s="805"/>
      <c r="G22" s="805"/>
      <c r="H22" s="805"/>
      <c r="I22" s="805"/>
      <c r="J22" s="1013"/>
      <c r="K22" s="1014"/>
      <c r="L22" s="805"/>
      <c r="M22" s="2">
        <f t="shared" si="0"/>
        <v>0</v>
      </c>
    </row>
    <row r="23" spans="1:14" s="2" customFormat="1" ht="11.25" hidden="1">
      <c r="A23" s="590" t="s">
        <v>92</v>
      </c>
      <c r="B23" s="805">
        <f>+Cambrai!G23</f>
        <v>0</v>
      </c>
      <c r="C23" s="805">
        <f>+Caudry!G23</f>
        <v>0</v>
      </c>
      <c r="D23" s="805">
        <f>+Amiens!$G23</f>
        <v>0</v>
      </c>
      <c r="E23" s="805">
        <f>+Compiègne!$G23</f>
        <v>0</v>
      </c>
      <c r="F23" s="753">
        <f>+Compiègne!E23+Amiens!E23+Cambrai!E23+Caudry!E23</f>
        <v>369.21000000000004</v>
      </c>
      <c r="G23" s="753">
        <f>+Compiègne!F23+Amiens!F23+Cambrai!F23+Caudry!F23</f>
        <v>0</v>
      </c>
      <c r="H23" s="805">
        <v>0</v>
      </c>
      <c r="I23" s="1077"/>
      <c r="J23" s="1013"/>
      <c r="K23" s="1014"/>
      <c r="L23" s="805"/>
      <c r="M23" s="2">
        <v>0</v>
      </c>
    </row>
    <row r="24" spans="1:14" s="678" customFormat="1">
      <c r="A24" s="690" t="s">
        <v>93</v>
      </c>
      <c r="B24" s="753">
        <f>+Cambrai!G24</f>
        <v>274972.31388575002</v>
      </c>
      <c r="C24" s="753">
        <f>+Caudry!G24</f>
        <v>255110.51160000003</v>
      </c>
      <c r="D24" s="753">
        <f>+Amiens!$G24</f>
        <v>171795.21421040001</v>
      </c>
      <c r="E24" s="753">
        <f>+Compiègne!$G24</f>
        <v>342796.56222500006</v>
      </c>
      <c r="F24" s="753">
        <f>+Compiègne!E24+Amiens!E24+Cambrai!E24+Caudry!E24</f>
        <v>678903.74</v>
      </c>
      <c r="G24" s="753">
        <f>+Compiègne!F24+Amiens!F24+Cambrai!F24+Caudry!F24</f>
        <v>0</v>
      </c>
      <c r="H24" s="805">
        <v>0</v>
      </c>
      <c r="I24" s="753">
        <f>+Compiègne!G24+Amiens!G24+Cambrai!G24+Caudry!G24</f>
        <v>1044674.6019211502</v>
      </c>
      <c r="J24" s="756"/>
      <c r="K24" s="757"/>
      <c r="L24" s="753"/>
      <c r="M24" s="678">
        <v>1</v>
      </c>
      <c r="N24" s="1092">
        <f>SUBTOTAL(9,B24:E24)</f>
        <v>1044674.6019211502</v>
      </c>
    </row>
    <row r="25" spans="1:14" s="2" customFormat="1" ht="11.25" hidden="1">
      <c r="A25" s="590" t="s">
        <v>94</v>
      </c>
      <c r="B25" s="805">
        <f>+Cambrai!G25</f>
        <v>0</v>
      </c>
      <c r="C25" s="805">
        <f>+Caudry!G25</f>
        <v>0</v>
      </c>
      <c r="D25" s="805">
        <f>+Amiens!$G25</f>
        <v>0</v>
      </c>
      <c r="E25" s="805">
        <f>+Compiègne!$G25</f>
        <v>0</v>
      </c>
      <c r="F25" s="753">
        <f>+Compiègne!E25+Amiens!E25+Cambrai!E25+Caudry!E25</f>
        <v>94564.65</v>
      </c>
      <c r="G25" s="753">
        <f>+Compiègne!F25+Amiens!F25+Cambrai!F25+Caudry!F25</f>
        <v>0</v>
      </c>
      <c r="H25" s="805">
        <v>0</v>
      </c>
      <c r="I25" s="753">
        <f>+Compiègne!G25+Amiens!G25+Cambrai!G25+Caudry!G25</f>
        <v>0</v>
      </c>
      <c r="J25" s="1013"/>
      <c r="K25" s="1014"/>
      <c r="L25" s="805"/>
      <c r="M25" s="2">
        <v>0</v>
      </c>
    </row>
    <row r="26" spans="1:14" s="57" customFormat="1" ht="15" hidden="1" customHeight="1">
      <c r="A26" s="590" t="s">
        <v>288</v>
      </c>
      <c r="B26" s="805">
        <f>+Cambrai!G26</f>
        <v>0</v>
      </c>
      <c r="C26" s="805">
        <f>+Caudry!G26</f>
        <v>0</v>
      </c>
      <c r="D26" s="805">
        <f>+Amiens!$G26</f>
        <v>0</v>
      </c>
      <c r="E26" s="805">
        <f>+Compiègne!$G26</f>
        <v>0</v>
      </c>
      <c r="F26" s="753">
        <f>+Compiègne!E26+Amiens!E26+Cambrai!E26+Caudry!E26</f>
        <v>292755</v>
      </c>
      <c r="G26" s="753">
        <f>+Compiègne!F26+Amiens!F26+Cambrai!F26+Caudry!F26</f>
        <v>0</v>
      </c>
      <c r="H26" s="805">
        <v>0</v>
      </c>
      <c r="I26" s="753">
        <f>+Compiègne!G26+Amiens!G26+Cambrai!G26+Caudry!G26</f>
        <v>0</v>
      </c>
      <c r="J26" s="1013"/>
      <c r="K26" s="1014"/>
      <c r="L26" s="805"/>
      <c r="M26" s="2">
        <v>0</v>
      </c>
    </row>
    <row r="27" spans="1:14" s="57" customFormat="1" ht="15" hidden="1" customHeight="1">
      <c r="A27" s="590" t="s">
        <v>289</v>
      </c>
      <c r="B27" s="805">
        <f>+Cambrai!G27</f>
        <v>0</v>
      </c>
      <c r="C27" s="805">
        <f>+Caudry!G27</f>
        <v>0</v>
      </c>
      <c r="D27" s="805">
        <f>+Amiens!$G27</f>
        <v>0</v>
      </c>
      <c r="E27" s="805">
        <f>+Compiègne!$G27</f>
        <v>0</v>
      </c>
      <c r="F27" s="753">
        <f>+Compiègne!E27+Amiens!E27+Cambrai!E27+Caudry!E27</f>
        <v>-231538</v>
      </c>
      <c r="G27" s="753">
        <f>+Compiègne!F27+Amiens!F27+Cambrai!F27+Caudry!F27</f>
        <v>0</v>
      </c>
      <c r="H27" s="805">
        <v>0</v>
      </c>
      <c r="I27" s="753">
        <f>+Compiègne!G27+Amiens!G27+Cambrai!G27+Caudry!G27</f>
        <v>0</v>
      </c>
      <c r="J27" s="1013"/>
      <c r="K27" s="1014"/>
      <c r="L27" s="805"/>
      <c r="M27" s="2">
        <f t="shared" si="0"/>
        <v>0</v>
      </c>
    </row>
    <row r="28" spans="1:14" s="678" customFormat="1">
      <c r="A28" s="690" t="s">
        <v>95</v>
      </c>
      <c r="B28" s="753">
        <f>+Cambrai!G28</f>
        <v>148062.01516924999</v>
      </c>
      <c r="C28" s="753">
        <f>+Caudry!G28</f>
        <v>200443.97339999999</v>
      </c>
      <c r="D28" s="753">
        <f>+Amiens!$G28</f>
        <v>140559.72071759999</v>
      </c>
      <c r="E28" s="753">
        <f>+Compiègne!$G28</f>
        <v>184582.76427500002</v>
      </c>
      <c r="F28" s="753">
        <f>+Compiègne!E28+Amiens!E28+Cambrai!E28+Caudry!E28</f>
        <v>642240.33000000007</v>
      </c>
      <c r="G28" s="753">
        <f>+Compiègne!F28+Amiens!F28+Cambrai!F28+Caudry!F28</f>
        <v>1.5689553336708553</v>
      </c>
      <c r="H28" s="805">
        <v>0</v>
      </c>
      <c r="I28" s="753">
        <f>+Compiègne!G28+Amiens!G28+Cambrai!G28+Caudry!G28</f>
        <v>673648.47356185003</v>
      </c>
      <c r="J28" s="756"/>
      <c r="K28" s="757"/>
      <c r="L28" s="753"/>
      <c r="M28" s="678">
        <v>1</v>
      </c>
      <c r="N28" s="1092">
        <f>SUBTOTAL(9,B28:E28)</f>
        <v>673648.47356184991</v>
      </c>
    </row>
    <row r="29" spans="1:14" s="2" customFormat="1" ht="11.25" hidden="1">
      <c r="A29" s="590" t="s">
        <v>293</v>
      </c>
      <c r="B29" s="805">
        <f>+Cambrai!G29</f>
        <v>0</v>
      </c>
      <c r="C29" s="805">
        <f>+Caudry!G29</f>
        <v>0</v>
      </c>
      <c r="D29" s="805">
        <f>+Amiens!$G29</f>
        <v>0</v>
      </c>
      <c r="E29" s="805">
        <f>+Compiègne!$G29</f>
        <v>0</v>
      </c>
      <c r="F29" s="753">
        <f>+Compiègne!E29+Amiens!E29+Cambrai!E29+Caudry!E29</f>
        <v>0</v>
      </c>
      <c r="G29" s="753">
        <f>+Compiègne!F29+Amiens!F29+Cambrai!F29+Caudry!F29</f>
        <v>0</v>
      </c>
      <c r="H29" s="1077">
        <v>0</v>
      </c>
      <c r="I29" s="753">
        <f>+Compiègne!G29+Amiens!G29+Cambrai!G29+Caudry!G29</f>
        <v>0</v>
      </c>
      <c r="J29" s="1013"/>
      <c r="K29" s="1014"/>
      <c r="L29" s="805"/>
      <c r="M29" s="2">
        <v>0</v>
      </c>
    </row>
    <row r="30" spans="1:14" s="678" customFormat="1">
      <c r="A30" s="700" t="s">
        <v>292</v>
      </c>
      <c r="B30" s="761">
        <f>SUM(B23:B29)</f>
        <v>423034.32905499998</v>
      </c>
      <c r="C30" s="761">
        <f>SUM(C23:C29)</f>
        <v>455554.48499999999</v>
      </c>
      <c r="D30" s="761">
        <f>SUM(D23:D29)</f>
        <v>312354.93492799997</v>
      </c>
      <c r="E30" s="761">
        <f>SUM(E23:E29)</f>
        <v>527379.32650000008</v>
      </c>
      <c r="F30" s="753">
        <f>+Compiègne!E30+Amiens!E30+Cambrai!E30+Caudry!E30</f>
        <v>1477294.93</v>
      </c>
      <c r="G30" s="753">
        <f>+Compiègne!F30+Amiens!F30+Cambrai!F30+Caudry!F30</f>
        <v>1.5549698728723547</v>
      </c>
      <c r="H30" s="804">
        <v>0</v>
      </c>
      <c r="I30" s="753">
        <f>+Compiègne!G30+Amiens!G30+Cambrai!G30+Caudry!G30</f>
        <v>1718323.0754829999</v>
      </c>
      <c r="J30" s="762"/>
      <c r="K30" s="763"/>
      <c r="L30" s="761"/>
      <c r="M30" s="678">
        <v>1</v>
      </c>
      <c r="N30" s="1092">
        <f>SUBTOTAL(9,B30:E30)</f>
        <v>1718323.0754829999</v>
      </c>
    </row>
    <row r="31" spans="1:14" s="2" customFormat="1" ht="15" hidden="1" customHeight="1">
      <c r="A31" s="590"/>
      <c r="B31" s="805"/>
      <c r="C31" s="805"/>
      <c r="D31" s="805"/>
      <c r="E31" s="805"/>
      <c r="F31" s="753">
        <f>+Compiègne!E31+Amiens!E31+Cambrai!E31+Caudry!E31</f>
        <v>0</v>
      </c>
      <c r="G31" s="753">
        <f>+Compiègne!F31+Amiens!F31+Cambrai!F31+Caudry!F31</f>
        <v>0</v>
      </c>
      <c r="H31" s="805"/>
      <c r="I31" s="753">
        <f>+Compiègne!G31+Amiens!G31+Cambrai!G31+Caudry!G31</f>
        <v>0</v>
      </c>
      <c r="J31" s="1013"/>
      <c r="K31" s="1081"/>
      <c r="L31" s="805"/>
      <c r="M31" s="2">
        <f t="shared" si="0"/>
        <v>0</v>
      </c>
    </row>
    <row r="32" spans="1:14" s="2" customFormat="1" ht="15" hidden="1" customHeight="1">
      <c r="A32" s="56" t="s">
        <v>336</v>
      </c>
      <c r="B32" s="1022">
        <f>+B21-B30-B38</f>
        <v>247370.67094500002</v>
      </c>
      <c r="C32" s="1022">
        <f>+C21-C30-C38</f>
        <v>285184.51500000001</v>
      </c>
      <c r="D32" s="1022">
        <f>+D21-D30-D38</f>
        <v>204496.06507200003</v>
      </c>
      <c r="E32" s="1022">
        <f>+E21-E30-E38</f>
        <v>283430.67349999992</v>
      </c>
      <c r="F32" s="753">
        <f>+Compiègne!E32+Amiens!E32+Cambrai!E32+Caudry!E32</f>
        <v>886648.77190000005</v>
      </c>
      <c r="G32" s="753">
        <f>+Compiègne!F32+Amiens!F32+Cambrai!F32+Caudry!F32</f>
        <v>0</v>
      </c>
      <c r="H32" s="1022"/>
      <c r="I32" s="753">
        <f>+Compiègne!G32+Amiens!G32+Cambrai!G32+Caudry!G32</f>
        <v>0</v>
      </c>
      <c r="J32" s="606"/>
      <c r="K32" s="812"/>
      <c r="L32" s="1022"/>
      <c r="M32" s="2">
        <v>0</v>
      </c>
    </row>
    <row r="33" spans="1:13" s="2" customFormat="1" ht="11.25" hidden="1">
      <c r="A33" s="56" t="s">
        <v>337</v>
      </c>
      <c r="B33" s="1023">
        <f>+B32/B21</f>
        <v>0.36898691230673997</v>
      </c>
      <c r="C33" s="1023">
        <f>+C32/C21</f>
        <v>0.38500000000000001</v>
      </c>
      <c r="D33" s="1023">
        <f>+D32/D21</f>
        <v>0.39565767517524397</v>
      </c>
      <c r="E33" s="1023">
        <f>+E32/E21</f>
        <v>0.34956484688151346</v>
      </c>
      <c r="F33" s="753">
        <f>+Compiègne!E33+Amiens!E33+Cambrai!E33+Caudry!E33</f>
        <v>1.4852352217035216</v>
      </c>
      <c r="G33" s="753">
        <f>+Compiègne!F33+Amiens!F33+Cambrai!F33+Caudry!F33</f>
        <v>0</v>
      </c>
      <c r="H33" s="1023"/>
      <c r="I33" s="753">
        <f>+Compiègne!G33+Amiens!G33+Cambrai!G33+Caudry!G33</f>
        <v>0</v>
      </c>
      <c r="J33" s="606"/>
      <c r="K33" s="812"/>
      <c r="L33" s="1023"/>
      <c r="M33" s="2">
        <v>0</v>
      </c>
    </row>
    <row r="34" spans="1:13" s="2" customFormat="1" ht="11.25" hidden="1">
      <c r="A34" s="590"/>
      <c r="B34" s="805"/>
      <c r="C34" s="805"/>
      <c r="D34" s="805"/>
      <c r="E34" s="805"/>
      <c r="F34" s="753">
        <f>+Compiègne!E34+Amiens!E34+Cambrai!E34+Caudry!E34</f>
        <v>0</v>
      </c>
      <c r="G34" s="753">
        <f>+Compiègne!F34+Amiens!F34+Cambrai!F34+Caudry!F34</f>
        <v>0</v>
      </c>
      <c r="H34" s="805"/>
      <c r="I34" s="753">
        <f>+Compiègne!G34+Amiens!G34+Cambrai!G34+Caudry!G34</f>
        <v>0</v>
      </c>
      <c r="J34" s="1013"/>
      <c r="K34" s="1014"/>
      <c r="L34" s="805"/>
      <c r="M34" s="2">
        <f t="shared" si="0"/>
        <v>0</v>
      </c>
    </row>
    <row r="35" spans="1:13" s="33" customFormat="1" ht="15" hidden="1" customHeight="1">
      <c r="A35" s="590" t="s">
        <v>96</v>
      </c>
      <c r="B35" s="805">
        <f>+Cambrai!G35</f>
        <v>6324.3013568595015</v>
      </c>
      <c r="C35" s="805">
        <f>+Caudry!G35</f>
        <v>8304.1741201919576</v>
      </c>
      <c r="D35" s="805">
        <f>+Amiens!$G35</f>
        <v>6958.4452431795826</v>
      </c>
      <c r="E35" s="805">
        <f>+Compiègne!$G35</f>
        <v>7235.7118462177868</v>
      </c>
      <c r="F35" s="753">
        <f>+Compiègne!E35+Amiens!E35+Cambrai!E35+Caudry!E35</f>
        <v>24356.82</v>
      </c>
      <c r="G35" s="753">
        <f>+Compiègne!F35+Amiens!F35+Cambrai!F35+Caudry!F35</f>
        <v>6.9176065581166929E-2</v>
      </c>
      <c r="H35" s="805">
        <v>0</v>
      </c>
      <c r="I35" s="753">
        <f>+Compiègne!G35+Amiens!G35+Cambrai!G35+Caudry!G35</f>
        <v>28822.632566448829</v>
      </c>
      <c r="J35" s="1013"/>
      <c r="K35" s="1014"/>
      <c r="L35" s="805"/>
      <c r="M35" s="2">
        <v>0</v>
      </c>
    </row>
    <row r="36" spans="1:13" s="2" customFormat="1" ht="11.25" hidden="1">
      <c r="A36" s="590" t="s">
        <v>97</v>
      </c>
      <c r="B36" s="805">
        <f>+Cambrai!G36</f>
        <v>1780.9791631397939</v>
      </c>
      <c r="C36" s="805">
        <f>+Caudry!G36</f>
        <v>1634.4425962726812</v>
      </c>
      <c r="D36" s="805">
        <f>+Amiens!$G36</f>
        <v>2506.4824495495664</v>
      </c>
      <c r="E36" s="805">
        <f>+Compiègne!$G36</f>
        <v>1735.1266287794824</v>
      </c>
      <c r="F36" s="753">
        <f>+Compiègne!E36+Amiens!E36+Cambrai!E36+Caudry!E36</f>
        <v>6433.9800000000005</v>
      </c>
      <c r="G36" s="753">
        <f>+Compiègne!F36+Amiens!F36+Cambrai!F36+Caudry!F36</f>
        <v>1.9112381317048757E-2</v>
      </c>
      <c r="H36" s="805">
        <v>0</v>
      </c>
      <c r="I36" s="753">
        <f>+Compiègne!G36+Amiens!G36+Cambrai!G36+Caudry!G36</f>
        <v>7657.030837741524</v>
      </c>
      <c r="J36" s="1013"/>
      <c r="K36" s="1014"/>
      <c r="L36" s="805"/>
      <c r="M36" s="2">
        <v>0</v>
      </c>
    </row>
    <row r="37" spans="1:13" s="33" customFormat="1" ht="15.75" hidden="1" customHeight="1">
      <c r="A37" s="590" t="s">
        <v>98</v>
      </c>
      <c r="B37" s="805">
        <f>+Cambrai!G37</f>
        <v>0</v>
      </c>
      <c r="C37" s="805">
        <f>+Caudry!G37</f>
        <v>0</v>
      </c>
      <c r="D37" s="805">
        <f>+Amiens!$G37</f>
        <v>0</v>
      </c>
      <c r="E37" s="805">
        <f>+Compiègne!$G37</f>
        <v>0</v>
      </c>
      <c r="F37" s="753">
        <f>+Compiègne!E37+Amiens!E37+Cambrai!E37+Caudry!E37</f>
        <v>0</v>
      </c>
      <c r="G37" s="753">
        <f>+Compiègne!F37+Amiens!F37+Cambrai!F37+Caudry!F37</f>
        <v>0</v>
      </c>
      <c r="H37" s="805">
        <v>0</v>
      </c>
      <c r="I37" s="753">
        <f>+Compiègne!G37+Amiens!G37+Cambrai!G37+Caudry!G37</f>
        <v>0</v>
      </c>
      <c r="J37" s="1013"/>
      <c r="K37" s="1014"/>
      <c r="L37" s="805"/>
      <c r="M37" s="2">
        <f t="shared" si="0"/>
        <v>0</v>
      </c>
    </row>
    <row r="38" spans="1:13" s="2" customFormat="1" ht="11.25" hidden="1">
      <c r="A38" s="590" t="s">
        <v>99</v>
      </c>
      <c r="B38" s="805">
        <f>+Cambrai!G38</f>
        <v>0</v>
      </c>
      <c r="C38" s="805">
        <f>+Caudry!G38</f>
        <v>0</v>
      </c>
      <c r="D38" s="805">
        <f>+Amiens!$G38</f>
        <v>0</v>
      </c>
      <c r="E38" s="805">
        <f>+Compiègne!$G38</f>
        <v>0</v>
      </c>
      <c r="F38" s="753">
        <f>+Compiègne!E38+Amiens!E38+Cambrai!E38+Caudry!E38</f>
        <v>35577.128100000016</v>
      </c>
      <c r="G38" s="753">
        <f>+Compiègne!F38+Amiens!F38+Cambrai!F38+Caudry!F38</f>
        <v>0</v>
      </c>
      <c r="H38" s="805">
        <v>0</v>
      </c>
      <c r="I38" s="753">
        <f>+Compiègne!G38+Amiens!G38+Cambrai!G38+Caudry!G38</f>
        <v>0</v>
      </c>
      <c r="J38" s="1013"/>
      <c r="K38" s="1014"/>
      <c r="L38" s="805"/>
      <c r="M38" s="2">
        <v>0</v>
      </c>
    </row>
    <row r="39" spans="1:13" s="2" customFormat="1" ht="11.25" hidden="1">
      <c r="A39" s="590" t="s">
        <v>177</v>
      </c>
      <c r="B39" s="805">
        <f>+Cambrai!G39</f>
        <v>0</v>
      </c>
      <c r="C39" s="805">
        <f>+Caudry!G39</f>
        <v>0</v>
      </c>
      <c r="D39" s="805">
        <f>+Amiens!$G39</f>
        <v>0</v>
      </c>
      <c r="E39" s="805">
        <f>+Compiègne!$G39</f>
        <v>0</v>
      </c>
      <c r="F39" s="753">
        <f>+Compiègne!E39+Amiens!E39+Cambrai!E39+Caudry!E39</f>
        <v>19730.55</v>
      </c>
      <c r="G39" s="753">
        <f>+Compiègne!F39+Amiens!F39+Cambrai!F39+Caudry!F39</f>
        <v>0</v>
      </c>
      <c r="H39" s="805">
        <v>0</v>
      </c>
      <c r="I39" s="753">
        <f>+Compiègne!G39+Amiens!G39+Cambrai!G39+Caudry!G39</f>
        <v>0</v>
      </c>
      <c r="J39" s="1013"/>
      <c r="K39" s="1014"/>
      <c r="L39" s="805"/>
      <c r="M39" s="2">
        <v>0</v>
      </c>
    </row>
    <row r="40" spans="1:13" s="2" customFormat="1" ht="11.25" hidden="1">
      <c r="A40" s="590" t="s">
        <v>176</v>
      </c>
      <c r="B40" s="805">
        <f>+Cambrai!G40</f>
        <v>0</v>
      </c>
      <c r="C40" s="805">
        <f>+Caudry!G40</f>
        <v>0</v>
      </c>
      <c r="D40" s="805">
        <f>+Amiens!$G40</f>
        <v>0</v>
      </c>
      <c r="E40" s="805">
        <f>+Compiègne!$G40</f>
        <v>0</v>
      </c>
      <c r="F40" s="753">
        <f>+Compiègne!E40+Amiens!E40+Cambrai!E40+Caudry!E40</f>
        <v>-25011.43</v>
      </c>
      <c r="G40" s="753">
        <f>+Compiègne!F40+Amiens!F40+Cambrai!F40+Caudry!F40</f>
        <v>0</v>
      </c>
      <c r="H40" s="805">
        <v>0</v>
      </c>
      <c r="I40" s="753">
        <f>+Compiègne!G40+Amiens!G40+Cambrai!G40+Caudry!G40</f>
        <v>0</v>
      </c>
      <c r="J40" s="1013"/>
      <c r="K40" s="1014"/>
      <c r="L40" s="805"/>
      <c r="M40" s="2">
        <f t="shared" si="0"/>
        <v>0</v>
      </c>
    </row>
    <row r="41" spans="1:13" s="2" customFormat="1" ht="11.25" hidden="1">
      <c r="A41" s="590" t="s">
        <v>317</v>
      </c>
      <c r="B41" s="805">
        <f>+Cambrai!G41</f>
        <v>-5499.4462777150002</v>
      </c>
      <c r="C41" s="805">
        <f>+Caudry!G41</f>
        <v>-5102.2102320000004</v>
      </c>
      <c r="D41" s="805">
        <f>+Amiens!$G41</f>
        <v>-3435.9042842080003</v>
      </c>
      <c r="E41" s="805">
        <f>+Compiègne!$G41</f>
        <v>-6855.9312445000014</v>
      </c>
      <c r="F41" s="753">
        <f>+Compiègne!E41+Amiens!E41+Cambrai!E41+Caudry!E41</f>
        <v>-19400.099999999999</v>
      </c>
      <c r="G41" s="753">
        <f>+Compiègne!F41+Amiens!F41+Cambrai!F41+Caudry!F41</f>
        <v>-0.1194728544080291</v>
      </c>
      <c r="H41" s="805">
        <v>0</v>
      </c>
      <c r="I41" s="753">
        <f>+Compiègne!G41+Amiens!G41+Cambrai!G41+Caudry!G41</f>
        <v>-20893.492038423003</v>
      </c>
      <c r="J41" s="1013"/>
      <c r="K41" s="1014"/>
      <c r="L41" s="805"/>
      <c r="M41" s="2">
        <f t="shared" si="0"/>
        <v>0</v>
      </c>
    </row>
    <row r="42" spans="1:13" s="2" customFormat="1" ht="11.25" hidden="1">
      <c r="A42" s="590" t="s">
        <v>318</v>
      </c>
      <c r="B42" s="805">
        <f>+Cambrai!G42</f>
        <v>-10364.341061847501</v>
      </c>
      <c r="C42" s="805">
        <f>+Caudry!G42</f>
        <v>-14031.078138000001</v>
      </c>
      <c r="D42" s="805">
        <f>+Amiens!$G42</f>
        <v>-9839.180450232001</v>
      </c>
      <c r="E42" s="805">
        <f>+Compiègne!$G42</f>
        <v>-12920.793499250003</v>
      </c>
      <c r="F42" s="753">
        <f>+Compiègne!E42+Amiens!E42+Cambrai!E42+Caudry!E42</f>
        <v>-45246.55</v>
      </c>
      <c r="G42" s="753">
        <f>+Compiègne!F42+Amiens!F42+Cambrai!F42+Caudry!F42</f>
        <v>-0.28334259722804978</v>
      </c>
      <c r="H42" s="805">
        <v>0</v>
      </c>
      <c r="I42" s="753">
        <f>+Compiègne!G42+Amiens!G42+Cambrai!G42+Caudry!G42</f>
        <v>-47155.393149329509</v>
      </c>
      <c r="J42" s="1013"/>
      <c r="K42" s="1014"/>
      <c r="L42" s="805"/>
      <c r="M42" s="2">
        <f t="shared" si="0"/>
        <v>0</v>
      </c>
    </row>
    <row r="43" spans="1:13" s="2" customFormat="1" ht="11.25" hidden="1">
      <c r="A43" s="590"/>
      <c r="B43" s="805"/>
      <c r="C43" s="805"/>
      <c r="D43" s="805"/>
      <c r="E43" s="805"/>
      <c r="F43" s="805"/>
      <c r="G43" s="805"/>
      <c r="H43" s="805"/>
      <c r="I43" s="753">
        <f>+Compiègne!G43+Amiens!G43+Cambrai!G43+Caudry!G43</f>
        <v>0</v>
      </c>
      <c r="J43" s="1013"/>
      <c r="K43" s="1081"/>
      <c r="L43" s="805"/>
      <c r="M43" s="2">
        <f t="shared" si="0"/>
        <v>0</v>
      </c>
    </row>
    <row r="44" spans="1:13" s="2" customFormat="1" ht="11.25" hidden="1">
      <c r="A44" s="13" t="s">
        <v>291</v>
      </c>
      <c r="B44" s="803">
        <f>+B30+SUM(B34:B43)</f>
        <v>415275.82223543676</v>
      </c>
      <c r="C44" s="803">
        <f>+C30+SUM(C34:C43)</f>
        <v>446359.81334646465</v>
      </c>
      <c r="D44" s="803">
        <f>+D30+SUM(D34:D43)</f>
        <v>308544.77788628911</v>
      </c>
      <c r="E44" s="803">
        <f>+E30+SUM(E34:E43)</f>
        <v>516573.44023124734</v>
      </c>
      <c r="F44" s="803">
        <f>+F30+SUM(F34:F43)</f>
        <v>1473735.3281</v>
      </c>
      <c r="G44" s="803"/>
      <c r="H44" s="803">
        <v>0</v>
      </c>
      <c r="I44" s="803"/>
      <c r="J44" s="596"/>
      <c r="K44" s="1015"/>
      <c r="L44" s="803"/>
      <c r="M44" s="2">
        <v>0</v>
      </c>
    </row>
    <row r="45" spans="1:13" s="2" customFormat="1" ht="11.25" hidden="1">
      <c r="A45" s="590"/>
      <c r="B45" s="805"/>
      <c r="C45" s="805"/>
      <c r="D45" s="805"/>
      <c r="E45" s="805"/>
      <c r="F45" s="805"/>
      <c r="G45" s="805"/>
      <c r="H45" s="805"/>
      <c r="I45" s="805"/>
      <c r="J45" s="1013"/>
      <c r="K45" s="1081"/>
      <c r="L45" s="805"/>
      <c r="M45" s="2">
        <f t="shared" si="0"/>
        <v>0</v>
      </c>
    </row>
    <row r="46" spans="1:13" s="2" customFormat="1" ht="11.25" hidden="1">
      <c r="A46" s="56" t="s">
        <v>339</v>
      </c>
      <c r="B46" s="1022">
        <f>+B21-B44</f>
        <v>255129.17776456324</v>
      </c>
      <c r="C46" s="1022">
        <f>+C21-C44</f>
        <v>294379.18665353535</v>
      </c>
      <c r="D46" s="1022">
        <f>+D21-D44</f>
        <v>208306.22211371089</v>
      </c>
      <c r="E46" s="1022">
        <f>+E21-E44</f>
        <v>294236.55976875266</v>
      </c>
      <c r="F46" s="1022">
        <f>+F21-F44</f>
        <v>925785.5019000005</v>
      </c>
      <c r="G46" s="1022"/>
      <c r="H46" s="1022">
        <v>3565570.7347999997</v>
      </c>
      <c r="I46" s="1022"/>
      <c r="J46" s="606"/>
      <c r="K46" s="812"/>
      <c r="L46" s="1022"/>
      <c r="M46" s="2">
        <v>0</v>
      </c>
    </row>
    <row r="47" spans="1:13" s="2" customFormat="1" ht="11.25" hidden="1">
      <c r="A47" s="56" t="s">
        <v>340</v>
      </c>
      <c r="B47" s="1023">
        <f>+B46/B21</f>
        <v>0.38055977769342897</v>
      </c>
      <c r="C47" s="1023">
        <f>+C46/C21</f>
        <v>0.39741283590243709</v>
      </c>
      <c r="D47" s="1023">
        <f>+D46/D21</f>
        <v>0.40302954258328005</v>
      </c>
      <c r="E47" s="1023">
        <f>+E46/E21</f>
        <v>0.36289211994024823</v>
      </c>
      <c r="F47" s="1023">
        <f>+F46/F21</f>
        <v>0.38582098989321978</v>
      </c>
      <c r="G47" s="1023"/>
      <c r="H47" s="1023">
        <v>1</v>
      </c>
      <c r="I47" s="1023"/>
      <c r="J47" s="606"/>
      <c r="K47" s="812"/>
      <c r="L47" s="1023"/>
      <c r="M47" s="2">
        <v>0</v>
      </c>
    </row>
    <row r="48" spans="1:13" s="2" customFormat="1" ht="15" hidden="1" customHeight="1">
      <c r="A48" s="590"/>
      <c r="B48" s="805"/>
      <c r="C48" s="805"/>
      <c r="D48" s="805"/>
      <c r="E48" s="805"/>
      <c r="F48" s="805"/>
      <c r="G48" s="805"/>
      <c r="H48" s="805"/>
      <c r="I48" s="805"/>
      <c r="J48" s="1013"/>
      <c r="K48" s="1014"/>
      <c r="L48" s="805"/>
      <c r="M48" s="2">
        <f t="shared" si="0"/>
        <v>0</v>
      </c>
    </row>
    <row r="49" spans="1:14" s="678" customFormat="1">
      <c r="A49" s="690" t="s">
        <v>91</v>
      </c>
      <c r="B49" s="753">
        <f>+Cambrai!G49</f>
        <v>7077</v>
      </c>
      <c r="C49" s="753">
        <f>+Caudry!G49</f>
        <v>5412</v>
      </c>
      <c r="D49" s="753">
        <f>+Amiens!$G49</f>
        <v>13158</v>
      </c>
      <c r="E49" s="753">
        <f>+Compiègne!$G49</f>
        <v>10670</v>
      </c>
      <c r="F49" s="753">
        <f>+Compiègne!E49+Amiens!E49+Cambrai!E49+Caudry!E49</f>
        <v>15494.09</v>
      </c>
      <c r="G49" s="754">
        <f>+Compiègne!F49+Amiens!F49+Cambrai!F49+Caudry!F49</f>
        <v>41784</v>
      </c>
      <c r="H49" s="805">
        <v>44722.600000000006</v>
      </c>
      <c r="I49" s="755">
        <f>+Compiègne!G49+Amiens!G49+Cambrai!G49+Caudry!G49</f>
        <v>36317</v>
      </c>
      <c r="J49" s="756">
        <f>+IF((F49)=0,,(G49-F49)/F49)</f>
        <v>1.6967701878587254</v>
      </c>
      <c r="K49" s="757">
        <f>+IF((G49)=0,,(I49-G49)/G49)</f>
        <v>-0.13083955581083667</v>
      </c>
      <c r="L49" s="753">
        <f>+Dijon!D49+Eu!D49+Nancy!D49+Roanne!D49</f>
        <v>39724</v>
      </c>
      <c r="M49" s="678">
        <v>1</v>
      </c>
      <c r="N49" s="1092">
        <f>SUBTOTAL(9,B49:E49)</f>
        <v>36317</v>
      </c>
    </row>
    <row r="50" spans="1:14" s="2" customFormat="1" ht="15" hidden="1" customHeight="1">
      <c r="A50" s="590"/>
      <c r="B50" s="805"/>
      <c r="C50" s="805"/>
      <c r="D50" s="805"/>
      <c r="E50" s="805"/>
      <c r="F50" s="805"/>
      <c r="G50" s="601"/>
      <c r="H50" s="805"/>
      <c r="I50" s="805"/>
      <c r="J50" s="1013"/>
      <c r="K50" s="1014"/>
      <c r="L50" s="805"/>
      <c r="M50" s="2">
        <f t="shared" si="0"/>
        <v>0</v>
      </c>
    </row>
    <row r="51" spans="1:14" s="678" customFormat="1">
      <c r="A51" s="695" t="s">
        <v>223</v>
      </c>
      <c r="B51" s="758">
        <f t="shared" ref="B51:G51" si="4">+B21-B49</f>
        <v>663328</v>
      </c>
      <c r="C51" s="758">
        <f t="shared" si="4"/>
        <v>735327</v>
      </c>
      <c r="D51" s="758">
        <f t="shared" si="4"/>
        <v>503693</v>
      </c>
      <c r="E51" s="758">
        <f t="shared" si="4"/>
        <v>800140</v>
      </c>
      <c r="F51" s="758">
        <f t="shared" si="4"/>
        <v>2384026.7400000007</v>
      </c>
      <c r="G51" s="764">
        <f t="shared" si="4"/>
        <v>2370676.8136489508</v>
      </c>
      <c r="H51" s="803">
        <v>3520848.1347999997</v>
      </c>
      <c r="I51" s="758">
        <f>+I21-I49</f>
        <v>2702488</v>
      </c>
      <c r="J51" s="759"/>
      <c r="K51" s="760"/>
      <c r="L51" s="758">
        <f>+L21-L49</f>
        <v>4325640</v>
      </c>
      <c r="M51" s="678">
        <v>1</v>
      </c>
      <c r="N51" s="1092">
        <f>SUBTOTAL(9,B51:E51)</f>
        <v>2702488</v>
      </c>
    </row>
    <row r="52" spans="1:14" s="2" customFormat="1" ht="15" hidden="1" customHeight="1">
      <c r="A52" s="590"/>
      <c r="B52" s="805"/>
      <c r="C52" s="805"/>
      <c r="D52" s="805"/>
      <c r="E52" s="805"/>
      <c r="F52" s="805"/>
      <c r="G52" s="601"/>
      <c r="H52" s="805"/>
      <c r="I52" s="805"/>
      <c r="J52" s="1013"/>
      <c r="K52" s="1081"/>
      <c r="L52" s="805"/>
      <c r="M52" s="2">
        <f t="shared" si="0"/>
        <v>0</v>
      </c>
    </row>
    <row r="53" spans="1:14" s="2" customFormat="1" ht="11.25" hidden="1">
      <c r="A53" s="16" t="s">
        <v>3</v>
      </c>
      <c r="B53" s="661">
        <f>+B51-B44</f>
        <v>248052.17776456324</v>
      </c>
      <c r="C53" s="661">
        <f>+C51-C44</f>
        <v>288967.18665353535</v>
      </c>
      <c r="D53" s="661">
        <f>+D51-D44</f>
        <v>195148.22211371089</v>
      </c>
      <c r="E53" s="661">
        <f>+E51-E44</f>
        <v>283566.55976875266</v>
      </c>
      <c r="F53" s="661">
        <f>+F51-F44</f>
        <v>910291.41190000065</v>
      </c>
      <c r="G53" s="624"/>
      <c r="H53" s="661">
        <v>0</v>
      </c>
      <c r="I53" s="661"/>
      <c r="J53" s="660"/>
      <c r="K53" s="622"/>
      <c r="L53" s="661"/>
      <c r="M53" s="2">
        <v>0</v>
      </c>
    </row>
    <row r="54" spans="1:14" s="2" customFormat="1" ht="15" hidden="1" customHeight="1">
      <c r="A54" s="16" t="s">
        <v>4</v>
      </c>
      <c r="B54" s="660">
        <f>+B53/B51</f>
        <v>0.37395101332155922</v>
      </c>
      <c r="C54" s="660">
        <f>+C53/C51</f>
        <v>0.39297779988159737</v>
      </c>
      <c r="D54" s="660">
        <f>+D53/D51</f>
        <v>0.38743485042220338</v>
      </c>
      <c r="E54" s="660">
        <f>+E53/E51</f>
        <v>0.35439618037937443</v>
      </c>
      <c r="F54" s="660">
        <f>+F53/F51</f>
        <v>0.38182936316393851</v>
      </c>
      <c r="G54" s="622"/>
      <c r="H54" s="660">
        <v>0</v>
      </c>
      <c r="I54" s="660"/>
      <c r="J54" s="660"/>
      <c r="K54" s="622"/>
      <c r="L54" s="660"/>
      <c r="M54" s="2">
        <v>0</v>
      </c>
    </row>
    <row r="55" spans="1:14" s="2" customFormat="1" ht="11.25" hidden="1">
      <c r="A55" s="590"/>
      <c r="B55" s="805"/>
      <c r="C55" s="805"/>
      <c r="D55" s="805"/>
      <c r="E55" s="805"/>
      <c r="F55" s="805"/>
      <c r="G55" s="601"/>
      <c r="H55" s="805"/>
      <c r="I55" s="805"/>
      <c r="J55" s="1013"/>
      <c r="K55" s="1014"/>
      <c r="L55" s="805"/>
      <c r="M55" s="2">
        <f t="shared" si="0"/>
        <v>0</v>
      </c>
    </row>
    <row r="56" spans="1:14" s="2" customFormat="1" ht="11.25" hidden="1">
      <c r="A56" s="590" t="s">
        <v>290</v>
      </c>
      <c r="B56" s="805">
        <f>+Cambrai!G56</f>
        <v>0</v>
      </c>
      <c r="C56" s="805">
        <f>+Caudry!G56</f>
        <v>0</v>
      </c>
      <c r="D56" s="805">
        <f>+Amiens!$G56</f>
        <v>0</v>
      </c>
      <c r="E56" s="805">
        <f>+Compiègne!$G56</f>
        <v>0</v>
      </c>
      <c r="F56" s="753">
        <f>+Compiègne!E56+Amiens!E56+Cambrai!E56+Caudry!E56</f>
        <v>341021.59129999997</v>
      </c>
      <c r="G56" s="601"/>
      <c r="H56" s="805">
        <v>0</v>
      </c>
      <c r="I56" s="1077"/>
      <c r="J56" s="1013"/>
      <c r="K56" s="1014"/>
      <c r="L56" s="805"/>
      <c r="M56" s="2">
        <v>0</v>
      </c>
    </row>
    <row r="57" spans="1:14" s="2" customFormat="1" ht="11.25" hidden="1">
      <c r="A57" s="590" t="s">
        <v>100</v>
      </c>
      <c r="B57" s="805">
        <f>+Cambrai!G57</f>
        <v>0</v>
      </c>
      <c r="C57" s="805">
        <f>+Caudry!G57</f>
        <v>0</v>
      </c>
      <c r="D57" s="805">
        <f>+Amiens!$G57</f>
        <v>0</v>
      </c>
      <c r="E57" s="805">
        <f>+Compiègne!$G57</f>
        <v>0</v>
      </c>
      <c r="F57" s="753">
        <f>+Compiègne!E57+Amiens!E57+Cambrai!E57+Caudry!E57</f>
        <v>305444.4632</v>
      </c>
      <c r="G57" s="601"/>
      <c r="H57" s="805">
        <v>0</v>
      </c>
      <c r="I57" s="1077"/>
      <c r="J57" s="1013"/>
      <c r="K57" s="1014"/>
      <c r="L57" s="805"/>
      <c r="M57" s="2">
        <v>0</v>
      </c>
    </row>
    <row r="58" spans="1:14" s="2" customFormat="1" ht="11.25" hidden="1">
      <c r="A58" s="590"/>
      <c r="B58" s="805"/>
      <c r="C58" s="805"/>
      <c r="D58" s="805"/>
      <c r="E58" s="805"/>
      <c r="F58" s="805"/>
      <c r="G58" s="601"/>
      <c r="H58" s="805"/>
      <c r="I58" s="805"/>
      <c r="J58" s="1013"/>
      <c r="K58" s="1014"/>
      <c r="L58" s="805"/>
      <c r="M58" s="2">
        <f t="shared" si="0"/>
        <v>0</v>
      </c>
    </row>
    <row r="59" spans="1:14" s="2" customFormat="1" ht="11.25" hidden="1">
      <c r="A59" s="590"/>
      <c r="B59" s="805"/>
      <c r="C59" s="805"/>
      <c r="D59" s="805"/>
      <c r="E59" s="805"/>
      <c r="F59" s="805"/>
      <c r="G59" s="601"/>
      <c r="H59" s="805"/>
      <c r="I59" s="805"/>
      <c r="J59" s="1013"/>
      <c r="K59" s="1081"/>
      <c r="L59" s="805"/>
      <c r="M59" s="2">
        <f t="shared" si="0"/>
        <v>0</v>
      </c>
    </row>
    <row r="60" spans="1:14" s="678" customFormat="1" ht="15" customHeight="1">
      <c r="A60" s="705" t="s">
        <v>295</v>
      </c>
      <c r="B60" s="765">
        <f>+Cambrai!G60</f>
        <v>0.37396413658588806</v>
      </c>
      <c r="C60" s="765">
        <f>+Caudry!G60</f>
        <v>0.39297779988159737</v>
      </c>
      <c r="D60" s="765">
        <f>+Amiens!$G60</f>
        <v>0.38779089197614919</v>
      </c>
      <c r="E60" s="765">
        <f>+Compiègne!$G60</f>
        <v>0.35483385707850118</v>
      </c>
      <c r="F60" s="765">
        <f>+F62/F51</f>
        <v>0.38182936316393823</v>
      </c>
      <c r="G60" s="765">
        <f>+G62/G51</f>
        <v>0.37153056455841943</v>
      </c>
      <c r="H60" s="660">
        <v>0.32589352974594532</v>
      </c>
      <c r="I60" s="765">
        <f>+I62/I51</f>
        <v>0.37616588613920288</v>
      </c>
      <c r="J60" s="765"/>
      <c r="K60" s="766"/>
      <c r="L60" s="765">
        <f>+L62/L51</f>
        <v>0.43064078379153142</v>
      </c>
      <c r="M60" s="678">
        <f t="shared" si="0"/>
        <v>1</v>
      </c>
      <c r="N60" s="1092">
        <f>SUBTOTAL(9,B60:E60)</f>
        <v>1.5095666855221359</v>
      </c>
    </row>
    <row r="61" spans="1:14" s="2" customFormat="1" ht="11.25" hidden="1">
      <c r="A61" s="590" t="s">
        <v>75</v>
      </c>
      <c r="B61" s="1013">
        <f>+Cambrai!G61</f>
        <v>0</v>
      </c>
      <c r="C61" s="1013">
        <f>+Caudry!G61</f>
        <v>0</v>
      </c>
      <c r="D61" s="1013">
        <f>+Amiens!$G61</f>
        <v>0</v>
      </c>
      <c r="E61" s="1013">
        <f>+Compiègne!$G61</f>
        <v>0</v>
      </c>
      <c r="F61" s="805"/>
      <c r="G61" s="619"/>
      <c r="H61" s="805"/>
      <c r="I61" s="805"/>
      <c r="J61" s="1013"/>
      <c r="K61" s="1081"/>
      <c r="L61" s="805"/>
      <c r="M61" s="2">
        <f t="shared" si="0"/>
        <v>0</v>
      </c>
    </row>
    <row r="62" spans="1:14" s="678" customFormat="1" ht="15" customHeight="1">
      <c r="A62" s="705" t="s">
        <v>296</v>
      </c>
      <c r="B62" s="1096">
        <f>+Cambrai!G62</f>
        <v>248066.08276456321</v>
      </c>
      <c r="C62" s="1096">
        <f>+Caudry!G62</f>
        <v>288967.18665353535</v>
      </c>
      <c r="D62" s="1096">
        <f>+Amiens!$G62</f>
        <v>195441.15411371086</v>
      </c>
      <c r="E62" s="1096">
        <f>+Compiègne!$G62</f>
        <v>284109.36976875272</v>
      </c>
      <c r="F62" s="767">
        <f>+Compiègne!E62+Amiens!E62+Cambrai!E62+Caudry!E62</f>
        <v>910291.41190000006</v>
      </c>
      <c r="G62" s="768">
        <f>+Compiègne!F62+Amiens!F62+Cambrai!F62+Caudry!F62</f>
        <v>880778.89496054954</v>
      </c>
      <c r="H62" s="661">
        <v>1147421.6263493998</v>
      </c>
      <c r="I62" s="767">
        <f>+Compiègne!G62+Amiens!G62+Cambrai!G62+Caudry!G62</f>
        <v>1016583.7933005621</v>
      </c>
      <c r="J62" s="765">
        <f>+IF((F62)=0,,(G62-F62)/F62)</f>
        <v>-3.2420955041035378E-2</v>
      </c>
      <c r="K62" s="766">
        <f>+IF((G62)=0,,(I62-G62)/G62)</f>
        <v>0.15418727573631891</v>
      </c>
      <c r="L62" s="767">
        <f>+Dijon!D62+Eu!D62+Nancy!D62+Roanne!D62</f>
        <v>1862797</v>
      </c>
      <c r="M62" s="678">
        <f t="shared" si="0"/>
        <v>1</v>
      </c>
      <c r="N62" s="1092">
        <f>SUBTOTAL(9,B62:E62)</f>
        <v>1016583.7933005621</v>
      </c>
    </row>
    <row r="63" spans="1:14" s="2" customFormat="1" ht="11.25" hidden="1">
      <c r="A63" s="590"/>
      <c r="B63" s="805"/>
      <c r="C63" s="805"/>
      <c r="D63" s="805"/>
      <c r="E63" s="805"/>
      <c r="F63" s="805"/>
      <c r="G63" s="601"/>
      <c r="H63" s="805"/>
      <c r="I63" s="805"/>
      <c r="J63" s="1013"/>
      <c r="K63" s="1014"/>
      <c r="L63" s="805"/>
      <c r="M63" s="2">
        <f t="shared" si="0"/>
        <v>0</v>
      </c>
    </row>
    <row r="64" spans="1:14" s="678" customFormat="1">
      <c r="A64" s="690" t="s">
        <v>104</v>
      </c>
      <c r="B64" s="753">
        <f>+Cambrai!G64</f>
        <v>4225.5406666666668</v>
      </c>
      <c r="C64" s="753">
        <f>+Caudry!G64</f>
        <v>2922.3159999999998</v>
      </c>
      <c r="D64" s="753">
        <f>+Amiens!$G64</f>
        <v>0</v>
      </c>
      <c r="E64" s="753">
        <f>+Compiègne!$G64</f>
        <v>4971.3979999999992</v>
      </c>
      <c r="F64" s="753">
        <f>+Compiègne!E64+Amiens!E64+Cambrai!E64+Caudry!E64</f>
        <v>12650.24</v>
      </c>
      <c r="G64" s="754">
        <f>+Compiègne!F64+Amiens!F64+Cambrai!F64+Caudry!F64</f>
        <v>11766.266666666666</v>
      </c>
      <c r="H64" s="805">
        <v>10333.580575</v>
      </c>
      <c r="I64" s="755">
        <f>+Compiègne!G64+Amiens!G64+Cambrai!G64+Caudry!G64</f>
        <v>12119.254666666664</v>
      </c>
      <c r="J64" s="756">
        <f>+IF((F64)=0,,(G64-F64)/F64)</f>
        <v>-6.9877989139599986E-2</v>
      </c>
      <c r="K64" s="757">
        <f>+IF((G64)=0,,(I64-G64)/G64)</f>
        <v>2.9999999999999794E-2</v>
      </c>
      <c r="L64" s="753">
        <f>+Dijon!D64+Eu!D64+Nancy!D64+Roanne!D64</f>
        <v>10485.387125000001</v>
      </c>
      <c r="M64" s="678">
        <f t="shared" si="0"/>
        <v>1</v>
      </c>
      <c r="N64" s="1092">
        <f>SUBTOTAL(9,B64:E64)</f>
        <v>12119.254666666666</v>
      </c>
    </row>
    <row r="65" spans="1:14" s="2" customFormat="1" ht="11.25">
      <c r="A65" s="590" t="s">
        <v>314</v>
      </c>
      <c r="B65" s="805">
        <f>+Cambrai!G65</f>
        <v>0</v>
      </c>
      <c r="C65" s="805">
        <f>+Caudry!G65</f>
        <v>0</v>
      </c>
      <c r="D65" s="805">
        <f>+Amiens!$G65</f>
        <v>0</v>
      </c>
      <c r="E65" s="805">
        <f>+Compiègne!$G65</f>
        <v>0</v>
      </c>
      <c r="F65" s="753">
        <f>+Compiègne!E65+Amiens!E65+Cambrai!E65+Caudry!E65</f>
        <v>0</v>
      </c>
      <c r="G65" s="754">
        <f>+Compiègne!F65+Amiens!F65+Cambrai!F65+Caudry!F65</f>
        <v>0</v>
      </c>
      <c r="H65" s="805">
        <v>10334.580575</v>
      </c>
      <c r="I65" s="755">
        <f>+Compiègne!G65+Amiens!G65+Cambrai!G65+Caudry!G65</f>
        <v>0</v>
      </c>
      <c r="J65" s="1013">
        <f>+IF((F65)=0,,(G65-F65)/F65)</f>
        <v>0</v>
      </c>
      <c r="K65" s="1014">
        <f>+IF((G65)=0,,(I65-G65)/G65)</f>
        <v>0</v>
      </c>
      <c r="L65" s="805">
        <f>+Dijon!D65+Eu!D65+Nancy!D65+Roanne!D65</f>
        <v>0</v>
      </c>
      <c r="M65" s="2">
        <f t="shared" si="0"/>
        <v>1</v>
      </c>
    </row>
    <row r="66" spans="1:14" s="678" customFormat="1" ht="15" customHeight="1">
      <c r="A66" s="690" t="s">
        <v>110</v>
      </c>
      <c r="B66" s="753">
        <f>+Cambrai!G66</f>
        <v>1637.892266666667</v>
      </c>
      <c r="C66" s="753">
        <f>+Caudry!G66</f>
        <v>751.00733333333335</v>
      </c>
      <c r="D66" s="753">
        <f>+Amiens!$G66</f>
        <v>47.320199999999993</v>
      </c>
      <c r="E66" s="753">
        <f>+Compiègne!$G66</f>
        <v>646.92240000000004</v>
      </c>
      <c r="F66" s="753">
        <f>+Compiègne!E66+Amiens!E66+Cambrai!E66+Caudry!E66</f>
        <v>3385.41</v>
      </c>
      <c r="G66" s="754">
        <f>+Compiègne!F66+Amiens!F66+Cambrai!F66+Caudry!F66</f>
        <v>2993.1200000000003</v>
      </c>
      <c r="H66" s="805">
        <v>10335.580575</v>
      </c>
      <c r="I66" s="755">
        <f>+Compiègne!G66+Amiens!G66+Cambrai!G66+Caudry!G66</f>
        <v>3083.1422000000007</v>
      </c>
      <c r="J66" s="756">
        <f>+IF((F66)=0,,(G66-F66)/F66)</f>
        <v>-0.11587665895711288</v>
      </c>
      <c r="K66" s="757">
        <f>+IF((G66)=0,,(I66-G66)/G66)</f>
        <v>3.0076375153685896E-2</v>
      </c>
      <c r="L66" s="753">
        <f>+Dijon!D66+Eu!D66+Nancy!D66+Roanne!D66</f>
        <v>6984.9393000000009</v>
      </c>
      <c r="M66" s="678">
        <f t="shared" si="0"/>
        <v>1</v>
      </c>
      <c r="N66" s="1092">
        <f>SUBTOTAL(9,B66:E66)</f>
        <v>3083.1422000000002</v>
      </c>
    </row>
    <row r="67" spans="1:14" s="678" customFormat="1">
      <c r="A67" s="690" t="s">
        <v>107</v>
      </c>
      <c r="B67" s="753">
        <f>+Cambrai!G67</f>
        <v>1638.2081333333331</v>
      </c>
      <c r="C67" s="753">
        <f>+Caudry!G67</f>
        <v>819.93493333333333</v>
      </c>
      <c r="D67" s="753">
        <f>+Amiens!$G67</f>
        <v>0</v>
      </c>
      <c r="E67" s="753">
        <f>+Compiègne!$G67</f>
        <v>908.46</v>
      </c>
      <c r="F67" s="753">
        <f>+Compiègne!E67+Amiens!E67+Cambrai!E67+Caudry!E67</f>
        <v>14396.619999999999</v>
      </c>
      <c r="G67" s="754">
        <f>+Compiègne!F67+Amiens!F67+Cambrai!F67+Caudry!F67</f>
        <v>3268.5466666666662</v>
      </c>
      <c r="H67" s="805">
        <v>10336.580575</v>
      </c>
      <c r="I67" s="755">
        <f>+Compiègne!G67+Amiens!G67+Cambrai!G67+Caudry!G67</f>
        <v>3366.6030666666666</v>
      </c>
      <c r="J67" s="756">
        <f>+IF((F67)=0,,(G67-F67)/F67)</f>
        <v>-0.77296430226909751</v>
      </c>
      <c r="K67" s="757">
        <f>+IF((G67)=0,,(I67-G67)/G67)</f>
        <v>3.0000000000000124E-2</v>
      </c>
      <c r="L67" s="753">
        <f>+Dijon!D67+Eu!D67+Nancy!D67+Roanne!D67</f>
        <v>9574.5227750000013</v>
      </c>
      <c r="M67" s="678">
        <f t="shared" si="0"/>
        <v>1</v>
      </c>
      <c r="N67" s="1092">
        <f>SUBTOTAL(9,B67:E67)</f>
        <v>3366.6030666666666</v>
      </c>
    </row>
    <row r="68" spans="1:14" s="678" customFormat="1" ht="18.75" customHeight="1">
      <c r="A68" s="690" t="s">
        <v>125</v>
      </c>
      <c r="B68" s="753">
        <f>+Cambrai!G68</f>
        <v>3807.237066666667</v>
      </c>
      <c r="C68" s="753">
        <f>+Caudry!G68</f>
        <v>2732.4938666666667</v>
      </c>
      <c r="D68" s="753">
        <f>+Amiens!$G68</f>
        <v>0</v>
      </c>
      <c r="E68" s="753">
        <f>+Compiègne!$G68</f>
        <v>2873.7412000000004</v>
      </c>
      <c r="F68" s="753">
        <f>+Compiègne!E68+Amiens!E68+Cambrai!E68+Caudry!E68</f>
        <v>7780.2099999999991</v>
      </c>
      <c r="G68" s="754">
        <f>+Compiègne!F68+Amiens!F68+Cambrai!F68+Caudry!F68</f>
        <v>9139.2933333333349</v>
      </c>
      <c r="H68" s="805">
        <v>10337.580575</v>
      </c>
      <c r="I68" s="755">
        <f>+Compiègne!G68+Amiens!G68+Cambrai!G68+Caudry!G68</f>
        <v>9413.4721333333327</v>
      </c>
      <c r="J68" s="756">
        <f>+IF((F68)=0,,(G68-F68)/F68)</f>
        <v>0.17468465932581972</v>
      </c>
      <c r="K68" s="757">
        <f>+IF((G68)=0,,(I68-G68)/G68)</f>
        <v>2.9999999999999759E-2</v>
      </c>
      <c r="L68" s="753">
        <f>+Dijon!D68+Eu!D68+Nancy!D68+Roanne!D68</f>
        <v>11416.352225000002</v>
      </c>
      <c r="M68" s="678">
        <f t="shared" si="0"/>
        <v>1</v>
      </c>
      <c r="N68" s="1092">
        <f>SUBTOTAL(9,B68:E68)</f>
        <v>9413.4721333333346</v>
      </c>
    </row>
    <row r="69" spans="1:14" s="2" customFormat="1" ht="11.25" hidden="1">
      <c r="A69" s="590"/>
      <c r="B69" s="805"/>
      <c r="C69" s="805"/>
      <c r="D69" s="805"/>
      <c r="E69" s="805"/>
      <c r="F69" s="805"/>
      <c r="G69" s="1081"/>
      <c r="H69" s="1077"/>
      <c r="I69" s="1077"/>
      <c r="J69" s="1013"/>
      <c r="K69" s="1014"/>
      <c r="L69" s="805"/>
      <c r="M69" s="2">
        <f t="shared" si="0"/>
        <v>0</v>
      </c>
    </row>
    <row r="70" spans="1:14" s="678" customFormat="1">
      <c r="A70" s="710" t="s">
        <v>128</v>
      </c>
      <c r="B70" s="769">
        <f t="shared" ref="B70:G70" si="5">SUM(B64:B69)</f>
        <v>11308.878133333334</v>
      </c>
      <c r="C70" s="769">
        <f t="shared" si="5"/>
        <v>7225.7521333333334</v>
      </c>
      <c r="D70" s="769">
        <f t="shared" si="5"/>
        <v>47.320199999999993</v>
      </c>
      <c r="E70" s="769">
        <f t="shared" si="5"/>
        <v>9400.5216</v>
      </c>
      <c r="F70" s="753">
        <f t="shared" si="5"/>
        <v>38212.479999999996</v>
      </c>
      <c r="G70" s="770">
        <f t="shared" si="5"/>
        <v>27167.226666666669</v>
      </c>
      <c r="H70" s="1077">
        <v>36871.061925000002</v>
      </c>
      <c r="I70" s="771">
        <f>SUM(I64:I69)</f>
        <v>27982.472066666665</v>
      </c>
      <c r="J70" s="772">
        <f>+IF((F70)=0,,(G70-F70)/F70)</f>
        <v>-0.28904832487536342</v>
      </c>
      <c r="K70" s="757">
        <f>+IF((G70)=0,,(I70-G70)/G70)</f>
        <v>3.0008414550472925E-2</v>
      </c>
      <c r="L70" s="753">
        <f>SUM(L64:L69)</f>
        <v>38461.201425000007</v>
      </c>
      <c r="M70" s="678">
        <f t="shared" si="0"/>
        <v>1</v>
      </c>
      <c r="N70" s="1092">
        <f>SUBTOTAL(9,B70:E70)</f>
        <v>27982.472066666665</v>
      </c>
    </row>
    <row r="71" spans="1:14" s="2" customFormat="1" ht="11.25" hidden="1">
      <c r="A71" s="590"/>
      <c r="B71" s="805"/>
      <c r="C71" s="805"/>
      <c r="D71" s="805"/>
      <c r="E71" s="805"/>
      <c r="F71" s="805"/>
      <c r="G71" s="1081"/>
      <c r="H71" s="1077"/>
      <c r="I71" s="1077"/>
      <c r="J71" s="1013"/>
      <c r="K71" s="1014"/>
      <c r="L71" s="805"/>
      <c r="M71" s="2">
        <f t="shared" si="0"/>
        <v>0</v>
      </c>
    </row>
    <row r="72" spans="1:14" s="678" customFormat="1">
      <c r="A72" s="690" t="s">
        <v>1</v>
      </c>
      <c r="B72" s="753">
        <f>+Cambrai!G72</f>
        <v>19.748533333333334</v>
      </c>
      <c r="C72" s="753">
        <f>+Caudry!G72</f>
        <v>0</v>
      </c>
      <c r="D72" s="753">
        <f>+Amiens!$G72</f>
        <v>0</v>
      </c>
      <c r="E72" s="753">
        <f>+Compiègne!$G72</f>
        <v>11.137733333333333</v>
      </c>
      <c r="F72" s="753">
        <f>+Compiègne!E72+Amiens!E72+Cambrai!E72+Caudry!E72</f>
        <v>293.54000000000002</v>
      </c>
      <c r="G72" s="754">
        <f>+Compiègne!F72+Amiens!F72+Cambrai!F72+Caudry!F72</f>
        <v>29.986666666666668</v>
      </c>
      <c r="H72" s="805">
        <v>71.4088863101573</v>
      </c>
      <c r="I72" s="755">
        <f>+Compiègne!G72+Amiens!G72+Cambrai!G72+Caudry!G72</f>
        <v>30.886266666666668</v>
      </c>
      <c r="J72" s="756">
        <f>+IF((F72)=0,,(G72-F72)/F72)</f>
        <v>-0.89784470032477115</v>
      </c>
      <c r="K72" s="757">
        <f>+IF((G72)=0,,(I72-G72)/G72)</f>
        <v>2.9999999999999982E-2</v>
      </c>
      <c r="L72" s="753">
        <f>+Dijon!D72+Eu!D72+Nancy!D72+Roanne!D72</f>
        <v>288.89580301572914</v>
      </c>
      <c r="M72" s="678">
        <f t="shared" ref="M72:M135" si="6">IF(SUM(B72:L72)&gt;0,1,0)</f>
        <v>1</v>
      </c>
      <c r="N72" s="1092">
        <f t="shared" ref="N72:N113" si="7">SUBTOTAL(9,B72:E72)</f>
        <v>30.886266666666668</v>
      </c>
    </row>
    <row r="73" spans="1:14" s="678" customFormat="1">
      <c r="A73" s="690" t="s">
        <v>123</v>
      </c>
      <c r="B73" s="753">
        <f>+Cambrai!G73</f>
        <v>2702.6925333333334</v>
      </c>
      <c r="C73" s="753">
        <f>+Caudry!G73</f>
        <v>2809.7988</v>
      </c>
      <c r="D73" s="753">
        <f>+Amiens!$G73</f>
        <v>9497.3690666666662</v>
      </c>
      <c r="E73" s="753">
        <f>+Compiègne!$G73</f>
        <v>5153.5432000000001</v>
      </c>
      <c r="F73" s="753">
        <f>+Compiègne!E73+Amiens!E73+Cambrai!E73+Caudry!E73</f>
        <v>16642.7</v>
      </c>
      <c r="G73" s="754">
        <f>+Compiègne!F73+Amiens!F73+Cambrai!F73+Caudry!F73</f>
        <v>19576.119999999995</v>
      </c>
      <c r="H73" s="805">
        <v>72.4088863101573</v>
      </c>
      <c r="I73" s="755">
        <f>+Compiègne!G73+Amiens!G73+Cambrai!G73+Caudry!G73</f>
        <v>20163.403600000001</v>
      </c>
      <c r="J73" s="756">
        <f t="shared" ref="J73:J101" si="8">+IF((F73)=0,,(G73-F73)/F73)</f>
        <v>0.1762586599530121</v>
      </c>
      <c r="K73" s="757">
        <f t="shared" ref="K73:K101" si="9">+IF((G73)=0,,(I73-G73)/G73)</f>
        <v>3.0000000000000318E-2</v>
      </c>
      <c r="L73" s="753">
        <f>+Dijon!D73+Eu!D73+Nancy!D73+Roanne!D73</f>
        <v>15137.961087279818</v>
      </c>
      <c r="M73" s="678">
        <f t="shared" si="6"/>
        <v>1</v>
      </c>
      <c r="N73" s="1092">
        <f t="shared" si="7"/>
        <v>20163.403599999998</v>
      </c>
    </row>
    <row r="74" spans="1:14" s="678" customFormat="1">
      <c r="A74" s="690" t="s">
        <v>124</v>
      </c>
      <c r="B74" s="753">
        <f>+Cambrai!G74</f>
        <v>4168.3688000000002</v>
      </c>
      <c r="C74" s="753">
        <f>+Caudry!G74</f>
        <v>5447.7524000000003</v>
      </c>
      <c r="D74" s="753">
        <f>+Amiens!$G74</f>
        <v>0</v>
      </c>
      <c r="E74" s="753">
        <f>+Compiègne!$G74</f>
        <v>1595.0580000000002</v>
      </c>
      <c r="F74" s="753">
        <f>+Compiègne!E74+Amiens!E74+Cambrai!E74+Caudry!E74</f>
        <v>8399</v>
      </c>
      <c r="G74" s="754">
        <f>+Compiègne!F74+Amiens!F74+Cambrai!F74+Caudry!F74</f>
        <v>10884.64</v>
      </c>
      <c r="H74" s="805">
        <v>73.4088863101573</v>
      </c>
      <c r="I74" s="755">
        <f>+Compiègne!G74+Amiens!G74+Cambrai!G74+Caudry!G74</f>
        <v>11211.1792</v>
      </c>
      <c r="J74" s="756">
        <f t="shared" si="8"/>
        <v>0.29594475532801517</v>
      </c>
      <c r="K74" s="757">
        <f t="shared" si="9"/>
        <v>3.00000000000001E-2</v>
      </c>
      <c r="L74" s="753">
        <f>+Dijon!D74+Eu!D74+Nancy!D74+Roanne!D74</f>
        <v>27291.821286270664</v>
      </c>
      <c r="M74" s="678">
        <f t="shared" si="6"/>
        <v>1</v>
      </c>
      <c r="N74" s="1092">
        <f t="shared" si="7"/>
        <v>11211.179200000002</v>
      </c>
    </row>
    <row r="75" spans="1:14" s="678" customFormat="1">
      <c r="A75" s="690" t="s">
        <v>360</v>
      </c>
      <c r="B75" s="753">
        <f>+Cambrai!G75</f>
        <v>0</v>
      </c>
      <c r="C75" s="753">
        <f>+Caudry!G75</f>
        <v>0</v>
      </c>
      <c r="D75" s="753">
        <f>+Amiens!$G75</f>
        <v>0</v>
      </c>
      <c r="E75" s="753">
        <f>+Compiègne!$G75</f>
        <v>0</v>
      </c>
      <c r="F75" s="753">
        <f>+Compiègne!E75+Amiens!E75+Cambrai!E75+Caudry!E75</f>
        <v>0</v>
      </c>
      <c r="G75" s="754">
        <f>+Compiègne!F75+Amiens!F75+Cambrai!F75+Caudry!F75</f>
        <v>0</v>
      </c>
      <c r="H75" s="805">
        <v>74.4088863101573</v>
      </c>
      <c r="I75" s="755">
        <f>+Compiègne!G75+Amiens!G75+Cambrai!G75+Caudry!G75</f>
        <v>0</v>
      </c>
      <c r="J75" s="756">
        <f t="shared" si="8"/>
        <v>0</v>
      </c>
      <c r="K75" s="757">
        <f t="shared" si="9"/>
        <v>0</v>
      </c>
      <c r="L75" s="753">
        <f>+Dijon!D75+Eu!D75+Nancy!D75+Roanne!D75</f>
        <v>192.12384000000003</v>
      </c>
      <c r="M75" s="678">
        <f t="shared" si="6"/>
        <v>1</v>
      </c>
      <c r="N75" s="1092">
        <f t="shared" si="7"/>
        <v>0</v>
      </c>
    </row>
    <row r="76" spans="1:14" s="678" customFormat="1">
      <c r="A76" s="690" t="s">
        <v>126</v>
      </c>
      <c r="B76" s="753">
        <f>+Cambrai!G76</f>
        <v>58.298000000000002</v>
      </c>
      <c r="C76" s="753">
        <f>+Caudry!G76</f>
        <v>5.053866666666667</v>
      </c>
      <c r="D76" s="753">
        <f>+Amiens!$G76</f>
        <v>14.145333333333335</v>
      </c>
      <c r="E76" s="753">
        <f>+Compiègne!$G76</f>
        <v>0</v>
      </c>
      <c r="F76" s="753">
        <f>+Compiègne!E76+Amiens!E76+Cambrai!E76+Caudry!E76</f>
        <v>363.33000000000004</v>
      </c>
      <c r="G76" s="754">
        <f>+Compiègne!F76+Amiens!F76+Cambrai!F76+Caudry!F76</f>
        <v>75.240000000000009</v>
      </c>
      <c r="H76" s="805">
        <v>75.4088863101573</v>
      </c>
      <c r="I76" s="755">
        <f>+Compiègne!G76+Amiens!G76+Cambrai!G76+Caudry!G76</f>
        <v>77.497200000000007</v>
      </c>
      <c r="J76" s="756">
        <f t="shared" si="8"/>
        <v>-0.79291553133514991</v>
      </c>
      <c r="K76" s="757">
        <f t="shared" si="9"/>
        <v>2.9999999999999961E-2</v>
      </c>
      <c r="L76" s="753">
        <f>+Dijon!D76+Eu!D76+Nancy!D76+Roanne!D76</f>
        <v>586.79832143079091</v>
      </c>
      <c r="M76" s="678">
        <f t="shared" si="6"/>
        <v>1</v>
      </c>
      <c r="N76" s="1092">
        <f t="shared" si="7"/>
        <v>77.497200000000007</v>
      </c>
    </row>
    <row r="77" spans="1:14" s="678" customFormat="1">
      <c r="A77" s="690" t="s">
        <v>127</v>
      </c>
      <c r="B77" s="753">
        <f>+Cambrai!G77</f>
        <v>1396.7074666666667</v>
      </c>
      <c r="C77" s="753">
        <f>+Caudry!G77</f>
        <v>1062.8089333333335</v>
      </c>
      <c r="D77" s="753">
        <f>+Amiens!$G77</f>
        <v>774.57373333333339</v>
      </c>
      <c r="E77" s="753">
        <f>+Compiègne!$G77</f>
        <v>2413.29</v>
      </c>
      <c r="F77" s="753">
        <f>+Compiègne!E77+Amiens!E77+Cambrai!E77+Caudry!E77</f>
        <v>10100.130000000001</v>
      </c>
      <c r="G77" s="754">
        <f>+Compiègne!F77+Amiens!F77+Cambrai!F77+Caudry!F77</f>
        <v>5482.8933333333334</v>
      </c>
      <c r="H77" s="805">
        <v>76.4088863101573</v>
      </c>
      <c r="I77" s="755">
        <f>+Compiègne!G77+Amiens!G77+Cambrai!G77+Caudry!G77</f>
        <v>5647.380133333334</v>
      </c>
      <c r="J77" s="756">
        <f t="shared" si="8"/>
        <v>-0.45714626115373436</v>
      </c>
      <c r="K77" s="757">
        <f t="shared" si="9"/>
        <v>3.0000000000000106E-2</v>
      </c>
      <c r="L77" s="753">
        <f>+Dijon!D77+Eu!D77+Nancy!D77+Roanne!D77</f>
        <v>9323.9742171518337</v>
      </c>
      <c r="M77" s="678">
        <f t="shared" si="6"/>
        <v>1</v>
      </c>
      <c r="N77" s="1092">
        <f t="shared" si="7"/>
        <v>5647.380133333334</v>
      </c>
    </row>
    <row r="78" spans="1:14" s="678" customFormat="1">
      <c r="A78" s="690" t="s">
        <v>101</v>
      </c>
      <c r="B78" s="753">
        <f>+Cambrai!G78</f>
        <v>0</v>
      </c>
      <c r="C78" s="753">
        <f>+Caudry!G78</f>
        <v>0</v>
      </c>
      <c r="D78" s="753">
        <f>+Amiens!$G78</f>
        <v>0</v>
      </c>
      <c r="E78" s="753">
        <f>+Compiègne!$G78</f>
        <v>1435.5453333333335</v>
      </c>
      <c r="F78" s="753">
        <f>+Compiègne!E78+Amiens!E78+Cambrai!E78+Caudry!E78</f>
        <v>7000</v>
      </c>
      <c r="G78" s="754">
        <f>+Compiègne!F78+Amiens!F78+Cambrai!F78+Caudry!F78</f>
        <v>1393.7333333333333</v>
      </c>
      <c r="H78" s="805">
        <v>77.4088863101573</v>
      </c>
      <c r="I78" s="755">
        <f>+Compiègne!G78+Amiens!G78+Cambrai!G78+Caudry!G78</f>
        <v>1435.5453333333335</v>
      </c>
      <c r="J78" s="756">
        <f t="shared" si="8"/>
        <v>-0.8008952380952381</v>
      </c>
      <c r="K78" s="757">
        <f t="shared" si="9"/>
        <v>3.0000000000000089E-2</v>
      </c>
      <c r="L78" s="753">
        <f>+Dijon!D78+Eu!D78+Nancy!D78+Roanne!D78</f>
        <v>1389.6775262608689</v>
      </c>
      <c r="M78" s="678">
        <f t="shared" si="6"/>
        <v>1</v>
      </c>
      <c r="N78" s="1092">
        <f t="shared" si="7"/>
        <v>1435.5453333333335</v>
      </c>
    </row>
    <row r="79" spans="1:14" s="678" customFormat="1">
      <c r="A79" s="690" t="s">
        <v>102</v>
      </c>
      <c r="B79" s="753">
        <f>+Cambrai!G79</f>
        <v>14761.824000000001</v>
      </c>
      <c r="C79" s="753">
        <f>+Caudry!G79</f>
        <v>32315.600000000013</v>
      </c>
      <c r="D79" s="753">
        <f>+Amiens!$G79</f>
        <v>25591.186462630292</v>
      </c>
      <c r="E79" s="753">
        <f>+Compiègne!$G79</f>
        <v>18750</v>
      </c>
      <c r="F79" s="753">
        <f>+Compiègne!E79+Amiens!E79+Cambrai!E79+Caudry!E79</f>
        <v>85258.98</v>
      </c>
      <c r="G79" s="754">
        <f>+Compiègne!F79+Amiens!F79+Cambrai!F79+Caudry!F79</f>
        <v>90216.79</v>
      </c>
      <c r="H79" s="805">
        <v>78.4088863101573</v>
      </c>
      <c r="I79" s="755">
        <f>+Compiègne!G79+Amiens!G79+Cambrai!G79+Caudry!G79</f>
        <v>91418.610462630313</v>
      </c>
      <c r="J79" s="756">
        <f t="shared" si="8"/>
        <v>5.8150003671167516E-2</v>
      </c>
      <c r="K79" s="757">
        <f t="shared" si="9"/>
        <v>1.3321472229618452E-2</v>
      </c>
      <c r="L79" s="753">
        <f>+Dijon!D79+Eu!D79+Nancy!D79+Roanne!D79</f>
        <v>146258.34986725001</v>
      </c>
      <c r="M79" s="678">
        <f t="shared" si="6"/>
        <v>1</v>
      </c>
      <c r="N79" s="1092">
        <f t="shared" si="7"/>
        <v>91418.610462630313</v>
      </c>
    </row>
    <row r="80" spans="1:14" s="678" customFormat="1">
      <c r="A80" s="690" t="s">
        <v>325</v>
      </c>
      <c r="B80" s="753">
        <f>+Cambrai!G80</f>
        <v>0</v>
      </c>
      <c r="C80" s="753">
        <f>+Caudry!G80</f>
        <v>0</v>
      </c>
      <c r="D80" s="753">
        <f>+Amiens!$G80</f>
        <v>0</v>
      </c>
      <c r="E80" s="753">
        <f>+Compiègne!$G80</f>
        <v>0</v>
      </c>
      <c r="F80" s="753">
        <f>+Compiègne!E80+Amiens!E80+Cambrai!E80+Caudry!E80</f>
        <v>0</v>
      </c>
      <c r="G80" s="754">
        <f>+Compiègne!F80+Amiens!F80+Cambrai!F80+Caudry!F80</f>
        <v>0</v>
      </c>
      <c r="H80" s="805">
        <v>79.4088863101573</v>
      </c>
      <c r="I80" s="755">
        <f>+Compiègne!G80+Amiens!G80+Cambrai!G80+Caudry!G80</f>
        <v>0</v>
      </c>
      <c r="J80" s="756">
        <f t="shared" si="8"/>
        <v>0</v>
      </c>
      <c r="K80" s="757">
        <f t="shared" si="9"/>
        <v>0</v>
      </c>
      <c r="L80" s="753">
        <f>+Dijon!D80+Eu!D80+Nancy!D80+Roanne!D80</f>
        <v>2049.3191847737562</v>
      </c>
      <c r="M80" s="678">
        <f t="shared" si="6"/>
        <v>1</v>
      </c>
      <c r="N80" s="1092">
        <f t="shared" si="7"/>
        <v>0</v>
      </c>
    </row>
    <row r="81" spans="1:14" s="678" customFormat="1" hidden="1">
      <c r="A81" s="690" t="s">
        <v>103</v>
      </c>
      <c r="B81" s="753">
        <f>+Cambrai!G81</f>
        <v>0</v>
      </c>
      <c r="C81" s="753">
        <f>+Caudry!G81</f>
        <v>0</v>
      </c>
      <c r="D81" s="753">
        <f>+Amiens!$G81</f>
        <v>0</v>
      </c>
      <c r="E81" s="753">
        <f>+Compiègne!$G81</f>
        <v>0</v>
      </c>
      <c r="F81" s="753">
        <f>+Compiègne!E81+Amiens!E81+Cambrai!E81+Caudry!E81</f>
        <v>0</v>
      </c>
      <c r="G81" s="754">
        <f>+Compiègne!F81+Amiens!F81+Cambrai!F81+Caudry!F81</f>
        <v>0</v>
      </c>
      <c r="H81" s="805">
        <v>80.4088863101573</v>
      </c>
      <c r="I81" s="755">
        <f>+Compiègne!G81+Amiens!G81+Cambrai!G81+Caudry!G81</f>
        <v>0</v>
      </c>
      <c r="J81" s="756">
        <f t="shared" si="8"/>
        <v>0</v>
      </c>
      <c r="K81" s="757">
        <f t="shared" si="9"/>
        <v>0</v>
      </c>
      <c r="L81" s="753">
        <f>+Dijon!D81+Eu!D81+Nancy!D81+Roanne!D81</f>
        <v>-660.50041476229171</v>
      </c>
      <c r="M81" s="678">
        <f t="shared" si="6"/>
        <v>0</v>
      </c>
      <c r="N81" s="1092">
        <f t="shared" si="7"/>
        <v>0</v>
      </c>
    </row>
    <row r="82" spans="1:14" s="678" customFormat="1">
      <c r="A82" s="690" t="s">
        <v>105</v>
      </c>
      <c r="B82" s="753">
        <f>+Cambrai!G82</f>
        <v>185.4</v>
      </c>
      <c r="C82" s="753">
        <f>+Caudry!G82</f>
        <v>185.4</v>
      </c>
      <c r="D82" s="753">
        <f>+Amiens!$G82</f>
        <v>185.4</v>
      </c>
      <c r="E82" s="753">
        <f>+Compiègne!$G82</f>
        <v>61.800000000000004</v>
      </c>
      <c r="F82" s="753">
        <f>+Compiègne!E82+Amiens!E82+Cambrai!E82+Caudry!E82</f>
        <v>1080</v>
      </c>
      <c r="G82" s="754">
        <f>+Compiègne!F82+Amiens!F82+Cambrai!F82+Caudry!F82</f>
        <v>600</v>
      </c>
      <c r="H82" s="805">
        <v>81.4088863101573</v>
      </c>
      <c r="I82" s="755">
        <f>+Compiègne!G82+Amiens!G82+Cambrai!G82+Caudry!G82</f>
        <v>618</v>
      </c>
      <c r="J82" s="756">
        <f t="shared" si="8"/>
        <v>-0.44444444444444442</v>
      </c>
      <c r="K82" s="757">
        <f t="shared" si="9"/>
        <v>0.03</v>
      </c>
      <c r="L82" s="753">
        <f>+Dijon!D82+Eu!D82+Nancy!D82+Roanne!D82</f>
        <v>1938.4422635657293</v>
      </c>
      <c r="M82" s="678">
        <f t="shared" si="6"/>
        <v>1</v>
      </c>
      <c r="N82" s="1092">
        <f t="shared" si="7"/>
        <v>618</v>
      </c>
    </row>
    <row r="83" spans="1:14" s="678" customFormat="1">
      <c r="A83" s="690" t="s">
        <v>287</v>
      </c>
      <c r="B83" s="753">
        <f>+Cambrai!G83</f>
        <v>0</v>
      </c>
      <c r="C83" s="753">
        <f>+Caudry!G83</f>
        <v>0</v>
      </c>
      <c r="D83" s="753">
        <f>+Amiens!$G83</f>
        <v>0</v>
      </c>
      <c r="E83" s="753">
        <f>+Compiègne!$G83</f>
        <v>209.63933333333335</v>
      </c>
      <c r="F83" s="753">
        <f>+Compiègne!E83+Amiens!E83+Cambrai!E83+Caudry!E83</f>
        <v>585</v>
      </c>
      <c r="G83" s="754">
        <f>+Compiègne!F83+Amiens!F83+Cambrai!F83+Caudry!F83</f>
        <v>203.53333333333336</v>
      </c>
      <c r="H83" s="805">
        <v>82.4088863101573</v>
      </c>
      <c r="I83" s="755">
        <f>+Compiègne!G83+Amiens!G83+Cambrai!G83+Caudry!G83</f>
        <v>209.63933333333335</v>
      </c>
      <c r="J83" s="756">
        <f t="shared" si="8"/>
        <v>-0.65207977207977208</v>
      </c>
      <c r="K83" s="757">
        <f t="shared" si="9"/>
        <v>2.9999999999999968E-2</v>
      </c>
      <c r="L83" s="753">
        <f>+Dijon!D83+Eu!D83+Nancy!D83+Roanne!D83</f>
        <v>2351.9067219823592</v>
      </c>
      <c r="M83" s="678">
        <f t="shared" si="6"/>
        <v>1</v>
      </c>
      <c r="N83" s="1092">
        <f t="shared" si="7"/>
        <v>209.63933333333335</v>
      </c>
    </row>
    <row r="84" spans="1:14" s="678" customFormat="1">
      <c r="A84" s="690" t="s">
        <v>108</v>
      </c>
      <c r="B84" s="753">
        <f>+Cambrai!G84</f>
        <v>5111.3955999999998</v>
      </c>
      <c r="C84" s="753">
        <f>+Caudry!G84</f>
        <v>203.25333333333333</v>
      </c>
      <c r="D84" s="753">
        <f>+Amiens!$G84</f>
        <v>3679.0226666666667</v>
      </c>
      <c r="E84" s="753">
        <f>+Compiègne!$G84</f>
        <v>8287.0229333333336</v>
      </c>
      <c r="F84" s="753">
        <f>+Compiègne!E84+Amiens!E84+Cambrai!E84+Caudry!E84</f>
        <v>10270.060000000001</v>
      </c>
      <c r="G84" s="754">
        <f>+Compiègne!F84+Amiens!F84+Cambrai!F84+Caudry!F84</f>
        <v>16777.373333333333</v>
      </c>
      <c r="H84" s="805">
        <v>83.4088863101573</v>
      </c>
      <c r="I84" s="755">
        <f>+Compiègne!G84+Amiens!G84+Cambrai!G84+Caudry!G84</f>
        <v>17280.694533333335</v>
      </c>
      <c r="J84" s="756">
        <f t="shared" si="8"/>
        <v>0.63361979709303851</v>
      </c>
      <c r="K84" s="757">
        <f t="shared" si="9"/>
        <v>3.0000000000000127E-2</v>
      </c>
      <c r="L84" s="753">
        <f>+Dijon!D84+Eu!D84+Nancy!D84+Roanne!D84</f>
        <v>18040.524349858548</v>
      </c>
      <c r="M84" s="678">
        <f t="shared" si="6"/>
        <v>1</v>
      </c>
      <c r="N84" s="1092">
        <f t="shared" si="7"/>
        <v>17280.694533333335</v>
      </c>
    </row>
    <row r="85" spans="1:14" s="678" customFormat="1">
      <c r="A85" s="690" t="s">
        <v>109</v>
      </c>
      <c r="B85" s="753">
        <f>+Cambrai!G85</f>
        <v>294.4426666666667</v>
      </c>
      <c r="C85" s="753">
        <f>+Caudry!G85</f>
        <v>1282.6933333333334</v>
      </c>
      <c r="D85" s="753">
        <f>+Amiens!$G85</f>
        <v>1282.6933333333334</v>
      </c>
      <c r="E85" s="753">
        <f>+Compiègne!$G85</f>
        <v>0</v>
      </c>
      <c r="F85" s="753">
        <f>+Compiègne!E85+Amiens!E85+Cambrai!E85+Caudry!E85</f>
        <v>2983.16</v>
      </c>
      <c r="G85" s="754">
        <f>+Compiègne!F85+Amiens!F85+Cambrai!F85+Caudry!F85</f>
        <v>2776.5333333333328</v>
      </c>
      <c r="H85" s="805">
        <v>84.4088863101573</v>
      </c>
      <c r="I85" s="755">
        <f>+Compiègne!G85+Amiens!G85+Cambrai!G85+Caudry!G85</f>
        <v>2859.8293333333331</v>
      </c>
      <c r="J85" s="756">
        <f t="shared" si="8"/>
        <v>-6.9264359493512589E-2</v>
      </c>
      <c r="K85" s="757">
        <f t="shared" si="9"/>
        <v>3.0000000000000106E-2</v>
      </c>
      <c r="L85" s="753">
        <f>+Dijon!D85+Eu!D85+Nancy!D85+Roanne!D85</f>
        <v>4143.5085428956036</v>
      </c>
      <c r="M85" s="678">
        <f t="shared" si="6"/>
        <v>1</v>
      </c>
      <c r="N85" s="1092">
        <f t="shared" si="7"/>
        <v>2859.8293333333331</v>
      </c>
    </row>
    <row r="86" spans="1:14" s="678" customFormat="1">
      <c r="A86" s="690" t="s">
        <v>106</v>
      </c>
      <c r="B86" s="753">
        <f>+Cambrai!G86</f>
        <v>584.60053333333337</v>
      </c>
      <c r="C86" s="753">
        <f>+Caudry!G86</f>
        <v>1882.0572000000002</v>
      </c>
      <c r="D86" s="753">
        <f>+Amiens!$G86</f>
        <v>662.09773333333328</v>
      </c>
      <c r="E86" s="753">
        <f>+Compiègne!$G86</f>
        <v>109.35853333333333</v>
      </c>
      <c r="F86" s="753">
        <f>+Compiègne!E86+Amiens!E86+Cambrai!E86+Caudry!E86</f>
        <v>3330.84</v>
      </c>
      <c r="G86" s="754">
        <f>+Compiègne!F86+Amiens!F86+Cambrai!F86+Caudry!F86</f>
        <v>3143.8</v>
      </c>
      <c r="H86" s="805">
        <v>85.4088863101573</v>
      </c>
      <c r="I86" s="755">
        <f>+Compiègne!G86+Amiens!G86+Cambrai!G86+Caudry!G86</f>
        <v>3238.114</v>
      </c>
      <c r="J86" s="756">
        <f t="shared" si="8"/>
        <v>-5.6154003194389387E-2</v>
      </c>
      <c r="K86" s="757">
        <f t="shared" si="9"/>
        <v>2.999999999999995E-2</v>
      </c>
      <c r="L86" s="753">
        <f>+Dijon!D86+Eu!D86+Nancy!D86+Roanne!D86</f>
        <v>9709.1726401561446</v>
      </c>
      <c r="M86" s="678">
        <f t="shared" si="6"/>
        <v>1</v>
      </c>
      <c r="N86" s="1092">
        <f t="shared" si="7"/>
        <v>3238.114</v>
      </c>
    </row>
    <row r="87" spans="1:14" s="678" customFormat="1">
      <c r="A87" s="690" t="s">
        <v>363</v>
      </c>
      <c r="B87" s="753">
        <f>+Cambrai!G87</f>
        <v>0</v>
      </c>
      <c r="C87" s="753">
        <f>+Caudry!G87</f>
        <v>0</v>
      </c>
      <c r="D87" s="753">
        <f>+Amiens!$G87</f>
        <v>0</v>
      </c>
      <c r="E87" s="753">
        <f>+Compiègne!$G87</f>
        <v>0</v>
      </c>
      <c r="F87" s="753">
        <f>+Compiègne!E87+Amiens!E87+Cambrai!E87+Caudry!E87</f>
        <v>0</v>
      </c>
      <c r="G87" s="754">
        <f>+Compiègne!F87+Amiens!F87+Cambrai!F87+Caudry!F87</f>
        <v>0</v>
      </c>
      <c r="H87" s="805">
        <v>86.4088863101573</v>
      </c>
      <c r="I87" s="755">
        <f>+Compiègne!G87+Amiens!G87+Cambrai!G87+Caudry!G87</f>
        <v>0</v>
      </c>
      <c r="J87" s="756">
        <f t="shared" si="8"/>
        <v>0</v>
      </c>
      <c r="K87" s="757">
        <f t="shared" si="9"/>
        <v>0</v>
      </c>
      <c r="L87" s="753">
        <f>+Dijon!D87+Eu!D87+Nancy!D87+Roanne!D87</f>
        <v>4.3053999999999997</v>
      </c>
      <c r="M87" s="678">
        <f t="shared" si="6"/>
        <v>1</v>
      </c>
      <c r="N87" s="1092">
        <f t="shared" si="7"/>
        <v>0</v>
      </c>
    </row>
    <row r="88" spans="1:14" s="678" customFormat="1">
      <c r="A88" s="690" t="s">
        <v>111</v>
      </c>
      <c r="B88" s="753">
        <f>+Cambrai!G88</f>
        <v>2532.4314750000003</v>
      </c>
      <c r="C88" s="753">
        <f>+Caudry!G88</f>
        <v>2811.6285750000002</v>
      </c>
      <c r="D88" s="753">
        <f>+Amiens!$G88</f>
        <v>2693.7603000000004</v>
      </c>
      <c r="E88" s="753">
        <f>+Compiègne!$G88</f>
        <v>2792.9191500000002</v>
      </c>
      <c r="F88" s="753">
        <f>+Compiègne!E88+Amiens!E88+Cambrai!E88+Caudry!E88</f>
        <v>9823.7999999999993</v>
      </c>
      <c r="G88" s="754">
        <f>+Compiègne!F88+Amiens!F88+Cambrai!F88+Caudry!F88</f>
        <v>10536.23</v>
      </c>
      <c r="H88" s="805">
        <v>87.4088863101573</v>
      </c>
      <c r="I88" s="755">
        <f>+Compiègne!G88+Amiens!G88+Cambrai!G88+Caudry!G88</f>
        <v>10830.739500000001</v>
      </c>
      <c r="J88" s="756">
        <f t="shared" si="8"/>
        <v>7.2520816791872833E-2</v>
      </c>
      <c r="K88" s="757">
        <f t="shared" si="9"/>
        <v>2.7952075837372754E-2</v>
      </c>
      <c r="L88" s="753">
        <f>+Dijon!D88+Eu!D88+Nancy!D88+Roanne!D88</f>
        <v>15142.216275000001</v>
      </c>
      <c r="M88" s="678">
        <f t="shared" si="6"/>
        <v>1</v>
      </c>
      <c r="N88" s="1092">
        <f t="shared" si="7"/>
        <v>10830.7395</v>
      </c>
    </row>
    <row r="89" spans="1:14" s="2" customFormat="1" ht="11.25">
      <c r="A89" s="590" t="s">
        <v>315</v>
      </c>
      <c r="B89" s="805">
        <f>+Cambrai!G89</f>
        <v>0</v>
      </c>
      <c r="C89" s="805">
        <f>+Caudry!G89</f>
        <v>0</v>
      </c>
      <c r="D89" s="805">
        <f>+Amiens!$G89</f>
        <v>0</v>
      </c>
      <c r="E89" s="805">
        <f>+Compiègne!$G89</f>
        <v>0</v>
      </c>
      <c r="F89" s="753">
        <f>+Compiègne!E89+Amiens!E89+Cambrai!E89+Caudry!E89</f>
        <v>0</v>
      </c>
      <c r="G89" s="754">
        <f>+Compiègne!F89+Amiens!F89+Cambrai!F89+Caudry!F89</f>
        <v>0</v>
      </c>
      <c r="H89" s="805">
        <v>88.4088863101573</v>
      </c>
      <c r="I89" s="755">
        <f>+Compiègne!G89+Amiens!G89+Cambrai!G89+Caudry!G89</f>
        <v>0</v>
      </c>
      <c r="J89" s="1013">
        <f t="shared" si="8"/>
        <v>0</v>
      </c>
      <c r="K89" s="1014">
        <f t="shared" si="9"/>
        <v>0</v>
      </c>
      <c r="L89" s="805">
        <f>+Dijon!D89+Eu!D89+Nancy!D89+Roanne!D89</f>
        <v>0</v>
      </c>
      <c r="M89" s="2">
        <f t="shared" si="6"/>
        <v>1</v>
      </c>
    </row>
    <row r="90" spans="1:14" s="678" customFormat="1">
      <c r="A90" s="690" t="s">
        <v>112</v>
      </c>
      <c r="B90" s="753">
        <f>+Cambrai!G90</f>
        <v>341.82266666666669</v>
      </c>
      <c r="C90" s="753">
        <f>+Caudry!G90</f>
        <v>477.0136</v>
      </c>
      <c r="D90" s="753">
        <f>+Amiens!$G90</f>
        <v>182.11773333333335</v>
      </c>
      <c r="E90" s="753">
        <f>+Compiègne!$G90</f>
        <v>0</v>
      </c>
      <c r="F90" s="753">
        <f>+Compiègne!E90+Amiens!E90+Cambrai!E90+Caudry!E90</f>
        <v>1479.33</v>
      </c>
      <c r="G90" s="754">
        <f>+Compiègne!F90+Amiens!F90+Cambrai!F90+Caudry!F90</f>
        <v>971.8</v>
      </c>
      <c r="H90" s="805">
        <v>89.4088863101573</v>
      </c>
      <c r="I90" s="755">
        <f>+Compiègne!G90+Amiens!G90+Cambrai!G90+Caudry!G90</f>
        <v>1000.9540000000001</v>
      </c>
      <c r="J90" s="756">
        <f t="shared" si="8"/>
        <v>-0.34308098936680792</v>
      </c>
      <c r="K90" s="757">
        <f t="shared" si="9"/>
        <v>3.0000000000000113E-2</v>
      </c>
      <c r="L90" s="753">
        <f>+Dijon!D90+Eu!D90+Nancy!D90+Roanne!D90</f>
        <v>1061.798962089696</v>
      </c>
      <c r="M90" s="678">
        <f t="shared" si="6"/>
        <v>1</v>
      </c>
      <c r="N90" s="1092">
        <f t="shared" si="7"/>
        <v>1000.9540000000001</v>
      </c>
    </row>
    <row r="91" spans="1:14" s="678" customFormat="1">
      <c r="A91" s="690" t="s">
        <v>113</v>
      </c>
      <c r="B91" s="753">
        <f>+Cambrai!G91</f>
        <v>1183.3876</v>
      </c>
      <c r="C91" s="753">
        <f>+Caudry!G91</f>
        <v>1095.9474666666667</v>
      </c>
      <c r="D91" s="753">
        <f>+Amiens!$G91</f>
        <v>2716.9752000000003</v>
      </c>
      <c r="E91" s="753">
        <f>+Compiègne!$G91</f>
        <v>164.29186666666666</v>
      </c>
      <c r="F91" s="753">
        <f>+Compiègne!E91+Amiens!E91+Cambrai!E91+Caudry!E91</f>
        <v>2280.1099999999997</v>
      </c>
      <c r="G91" s="754">
        <f>+Compiègne!F91+Amiens!F91+Cambrai!F91+Caudry!F91</f>
        <v>5010.2933333333331</v>
      </c>
      <c r="H91" s="805">
        <v>90.4088863101573</v>
      </c>
      <c r="I91" s="755">
        <f>+Compiègne!G91+Amiens!G91+Cambrai!G91+Caudry!G91</f>
        <v>5160.6021333333338</v>
      </c>
      <c r="J91" s="756">
        <f t="shared" si="8"/>
        <v>1.1973910615423526</v>
      </c>
      <c r="K91" s="757">
        <f t="shared" si="9"/>
        <v>3.0000000000000141E-2</v>
      </c>
      <c r="L91" s="753">
        <f>+Dijon!D91+Eu!D91+Nancy!D91+Roanne!D91</f>
        <v>1642.0918001099672</v>
      </c>
      <c r="M91" s="678">
        <f t="shared" si="6"/>
        <v>1</v>
      </c>
      <c r="N91" s="1092">
        <f t="shared" si="7"/>
        <v>5160.6021333333338</v>
      </c>
    </row>
    <row r="92" spans="1:14" s="2" customFormat="1" ht="11.25">
      <c r="A92" s="590" t="s">
        <v>309</v>
      </c>
      <c r="B92" s="805">
        <f>+Cambrai!G92</f>
        <v>0</v>
      </c>
      <c r="C92" s="805">
        <f>+Caudry!G92</f>
        <v>0</v>
      </c>
      <c r="D92" s="805">
        <f>+Amiens!$G92</f>
        <v>0</v>
      </c>
      <c r="E92" s="805">
        <f>+Compiègne!$G92</f>
        <v>0</v>
      </c>
      <c r="F92" s="753">
        <f>+Compiègne!E92+Amiens!E92+Cambrai!E92+Caudry!E92</f>
        <v>0</v>
      </c>
      <c r="G92" s="754">
        <f>+Compiègne!F92+Amiens!F92+Cambrai!F92+Caudry!F92</f>
        <v>0</v>
      </c>
      <c r="H92" s="805">
        <v>91.4088863101573</v>
      </c>
      <c r="I92" s="755">
        <f>+Compiègne!G92+Amiens!G92+Cambrai!G92+Caudry!G92</f>
        <v>0</v>
      </c>
      <c r="J92" s="1013">
        <f t="shared" si="8"/>
        <v>0</v>
      </c>
      <c r="K92" s="1014">
        <f t="shared" si="9"/>
        <v>0</v>
      </c>
      <c r="L92" s="805">
        <f>+Dijon!D92+Eu!D92+Nancy!D92+Roanne!D92</f>
        <v>0</v>
      </c>
      <c r="M92" s="2">
        <f t="shared" si="6"/>
        <v>1</v>
      </c>
    </row>
    <row r="93" spans="1:14" s="678" customFormat="1">
      <c r="A93" s="690" t="s">
        <v>115</v>
      </c>
      <c r="B93" s="753">
        <f>+Cambrai!G93</f>
        <v>0</v>
      </c>
      <c r="C93" s="753">
        <f>+Caudry!G93</f>
        <v>0</v>
      </c>
      <c r="D93" s="753">
        <f>+Amiens!$G93</f>
        <v>0</v>
      </c>
      <c r="E93" s="753">
        <f>+Compiègne!$G93</f>
        <v>4394.6666666666661</v>
      </c>
      <c r="F93" s="753">
        <f>+Compiègne!E93+Amiens!E93+Cambrai!E93+Caudry!E93</f>
        <v>0</v>
      </c>
      <c r="G93" s="754">
        <f>+Compiègne!F93+Amiens!F93+Cambrai!F93+Caudry!F93</f>
        <v>4266.6666666666661</v>
      </c>
      <c r="H93" s="805">
        <v>92.4088863101573</v>
      </c>
      <c r="I93" s="755">
        <f>+Compiègne!G93+Amiens!G93+Cambrai!G93+Caudry!G93</f>
        <v>4394.6666666666661</v>
      </c>
      <c r="J93" s="756">
        <f t="shared" si="8"/>
        <v>0</v>
      </c>
      <c r="K93" s="757">
        <f t="shared" si="9"/>
        <v>3.0000000000000006E-2</v>
      </c>
      <c r="L93" s="753">
        <f>+Dijon!D93+Eu!D93+Nancy!D93+Roanne!D93</f>
        <v>714.18746893229161</v>
      </c>
      <c r="M93" s="678">
        <f t="shared" si="6"/>
        <v>1</v>
      </c>
      <c r="N93" s="1092">
        <f t="shared" si="7"/>
        <v>4394.6666666666661</v>
      </c>
    </row>
    <row r="94" spans="1:14" s="678" customFormat="1">
      <c r="A94" s="690" t="s">
        <v>42</v>
      </c>
      <c r="B94" s="753">
        <f>+Cambrai!G94</f>
        <v>0</v>
      </c>
      <c r="C94" s="753">
        <f>+Caudry!G94</f>
        <v>0</v>
      </c>
      <c r="D94" s="753">
        <f>+Amiens!$G94</f>
        <v>0</v>
      </c>
      <c r="E94" s="753">
        <f>+Compiègne!$G94</f>
        <v>0</v>
      </c>
      <c r="F94" s="753">
        <f>+Compiègne!E94+Amiens!E94+Cambrai!E94+Caudry!E94</f>
        <v>0</v>
      </c>
      <c r="G94" s="754">
        <f>+Compiègne!F94+Amiens!F94+Cambrai!F94+Caudry!F94</f>
        <v>0</v>
      </c>
      <c r="H94" s="805">
        <v>93.4088863101573</v>
      </c>
      <c r="I94" s="755">
        <f>+Compiègne!G94+Amiens!G94+Cambrai!G94+Caudry!G94</f>
        <v>0</v>
      </c>
      <c r="J94" s="756">
        <f t="shared" si="8"/>
        <v>0</v>
      </c>
      <c r="K94" s="757">
        <f t="shared" si="9"/>
        <v>0</v>
      </c>
      <c r="L94" s="753">
        <f>+Dijon!D94+Eu!D94+Nancy!D94+Roanne!D94</f>
        <v>589.14381004770826</v>
      </c>
      <c r="M94" s="678">
        <f t="shared" si="6"/>
        <v>1</v>
      </c>
      <c r="N94" s="1092">
        <f t="shared" si="7"/>
        <v>0</v>
      </c>
    </row>
    <row r="95" spans="1:14" s="678" customFormat="1">
      <c r="A95" s="690" t="s">
        <v>117</v>
      </c>
      <c r="B95" s="753">
        <f>+Cambrai!G95</f>
        <v>1386.7813612207642</v>
      </c>
      <c r="C95" s="753">
        <f>+Caudry!G95</f>
        <v>11095.20475352297</v>
      </c>
      <c r="D95" s="753">
        <f>+Amiens!$G95</f>
        <v>9060.4867599643003</v>
      </c>
      <c r="E95" s="753">
        <f>+Compiègne!$G95</f>
        <v>9246.1143390594843</v>
      </c>
      <c r="F95" s="753">
        <f>+Compiègne!E95+Amiens!E95+Cambrai!E95+Caudry!E95</f>
        <v>28892.989999999998</v>
      </c>
      <c r="G95" s="754">
        <f>+Compiègne!F95+Amiens!F95+Cambrai!F95+Caudry!F95</f>
        <v>27380.639999999999</v>
      </c>
      <c r="H95" s="805">
        <v>94.4088863101573</v>
      </c>
      <c r="I95" s="755">
        <f>+Compiègne!G95+Amiens!G95+Cambrai!G95+Caudry!G95</f>
        <v>30788.587213767518</v>
      </c>
      <c r="J95" s="756">
        <f t="shared" si="8"/>
        <v>-5.234314620951306E-2</v>
      </c>
      <c r="K95" s="757">
        <f t="shared" si="9"/>
        <v>0.1244655791014205</v>
      </c>
      <c r="L95" s="753">
        <f>+Dijon!D95+Eu!D95+Nancy!D95+Roanne!D95</f>
        <v>14100.94768511951</v>
      </c>
      <c r="M95" s="678">
        <f t="shared" si="6"/>
        <v>1</v>
      </c>
      <c r="N95" s="1092">
        <f t="shared" si="7"/>
        <v>30788.587213767521</v>
      </c>
    </row>
    <row r="96" spans="1:14" s="678" customFormat="1">
      <c r="A96" s="690" t="s">
        <v>118</v>
      </c>
      <c r="B96" s="753">
        <f>+Cambrai!G96</f>
        <v>3624.6936000000001</v>
      </c>
      <c r="C96" s="753">
        <f>+Caudry!G96</f>
        <v>5410.974533333334</v>
      </c>
      <c r="D96" s="753">
        <f>+Amiens!$G96</f>
        <v>10605.388133333332</v>
      </c>
      <c r="E96" s="753">
        <f>+Compiègne!$G96</f>
        <v>9233.8538666666682</v>
      </c>
      <c r="F96" s="753">
        <f>+Compiègne!E96+Amiens!E96+Cambrai!E96+Caudry!E96</f>
        <v>37457.97</v>
      </c>
      <c r="G96" s="754">
        <f>+Compiègne!F96+Amiens!F96+Cambrai!F96+Caudry!F96</f>
        <v>28033.893333333333</v>
      </c>
      <c r="H96" s="805">
        <v>95.4088863101573</v>
      </c>
      <c r="I96" s="755">
        <f>+Compiègne!G96+Amiens!G96+Cambrai!G96+Caudry!G96</f>
        <v>28874.910133333331</v>
      </c>
      <c r="J96" s="756">
        <f t="shared" si="8"/>
        <v>-0.2515906939609025</v>
      </c>
      <c r="K96" s="757">
        <f t="shared" si="9"/>
        <v>2.9999999999999916E-2</v>
      </c>
      <c r="L96" s="753">
        <f>+Dijon!D96+Eu!D96+Nancy!D96+Roanne!D96</f>
        <v>39799.463674999999</v>
      </c>
      <c r="M96" s="678">
        <f t="shared" si="6"/>
        <v>1</v>
      </c>
      <c r="N96" s="1092">
        <f t="shared" si="7"/>
        <v>28874.910133333335</v>
      </c>
    </row>
    <row r="97" spans="1:14" s="678" customFormat="1">
      <c r="A97" s="690" t="s">
        <v>7</v>
      </c>
      <c r="B97" s="753">
        <f>+Cambrai!G97</f>
        <v>0</v>
      </c>
      <c r="C97" s="753">
        <f>+Caudry!G97</f>
        <v>65.109733333333324</v>
      </c>
      <c r="D97" s="753">
        <f>+Amiens!$G97</f>
        <v>0</v>
      </c>
      <c r="E97" s="753">
        <f>+Compiègne!$G97</f>
        <v>1686.6318666666668</v>
      </c>
      <c r="F97" s="753">
        <f>+Compiègne!E97+Amiens!E97+Cambrai!E97+Caudry!E97</f>
        <v>2146.13</v>
      </c>
      <c r="G97" s="754">
        <f>+Compiègne!F97+Amiens!F97+Cambrai!F97+Caudry!F97</f>
        <v>1700.7200000000003</v>
      </c>
      <c r="H97" s="805">
        <v>96.4088863101573</v>
      </c>
      <c r="I97" s="755">
        <f>+Compiègne!G97+Amiens!G97+Cambrai!G97+Caudry!G97</f>
        <v>1751.7416000000001</v>
      </c>
      <c r="J97" s="756">
        <f t="shared" si="8"/>
        <v>-0.2075410156887047</v>
      </c>
      <c r="K97" s="757">
        <f t="shared" si="9"/>
        <v>2.9999999999999881E-2</v>
      </c>
      <c r="L97" s="753">
        <f>+Dijon!D97+Eu!D97+Nancy!D97+Roanne!D97</f>
        <v>1377.0308568746991</v>
      </c>
      <c r="M97" s="678">
        <f t="shared" si="6"/>
        <v>1</v>
      </c>
      <c r="N97" s="1092">
        <f t="shared" si="7"/>
        <v>1751.7416000000001</v>
      </c>
    </row>
    <row r="98" spans="1:14" s="678" customFormat="1">
      <c r="A98" s="690" t="s">
        <v>307</v>
      </c>
      <c r="B98" s="753">
        <f>+Cambrai!G98</f>
        <v>0</v>
      </c>
      <c r="C98" s="753">
        <f>+Caudry!G98</f>
        <v>0</v>
      </c>
      <c r="D98" s="753">
        <f>+Amiens!$G98</f>
        <v>0</v>
      </c>
      <c r="E98" s="753">
        <f>+Compiègne!$G98</f>
        <v>1000</v>
      </c>
      <c r="F98" s="753">
        <f>+Compiègne!E98+Amiens!E98+Cambrai!E98+Caudry!E98</f>
        <v>0</v>
      </c>
      <c r="G98" s="754">
        <f>+Compiègne!F98+Amiens!F98+Cambrai!F98+Caudry!F98</f>
        <v>383.4666666666667</v>
      </c>
      <c r="H98" s="805">
        <v>97.4088863101573</v>
      </c>
      <c r="I98" s="755">
        <f>+Compiègne!G98+Amiens!G98+Cambrai!G98+Caudry!G98</f>
        <v>1000</v>
      </c>
      <c r="J98" s="756">
        <f t="shared" si="8"/>
        <v>0</v>
      </c>
      <c r="K98" s="757">
        <f t="shared" si="9"/>
        <v>1.6077885952712099</v>
      </c>
      <c r="L98" s="753">
        <f>+Dijon!D98+Eu!D98+Nancy!D98+Roanne!D98</f>
        <v>0</v>
      </c>
      <c r="M98" s="678">
        <f t="shared" si="6"/>
        <v>1</v>
      </c>
      <c r="N98" s="1092">
        <f t="shared" si="7"/>
        <v>1000</v>
      </c>
    </row>
    <row r="99" spans="1:14" s="678" customFormat="1">
      <c r="A99" s="690" t="s">
        <v>119</v>
      </c>
      <c r="B99" s="753">
        <f>+Cambrai!G99</f>
        <v>3866.2666666666664</v>
      </c>
      <c r="C99" s="753">
        <f>+Caudry!G99</f>
        <v>4549.4666666666662</v>
      </c>
      <c r="D99" s="753">
        <f>+Amiens!$G99</f>
        <v>6190.6933333333345</v>
      </c>
      <c r="E99" s="753">
        <f>+Compiègne!$G99</f>
        <v>3300.6800000000003</v>
      </c>
      <c r="F99" s="753">
        <f>+Compiègne!E99+Amiens!E99+Cambrai!E99+Caudry!E99</f>
        <v>18393.04</v>
      </c>
      <c r="G99" s="754">
        <f>+Compiègne!F99+Amiens!F99+Cambrai!F99+Caudry!F99</f>
        <v>17907.106666666667</v>
      </c>
      <c r="H99" s="805">
        <v>98.4088863101573</v>
      </c>
      <c r="I99" s="755">
        <f>+Compiègne!G99+Amiens!G99+Cambrai!G99+Caudry!G99</f>
        <v>17907.106666666667</v>
      </c>
      <c r="J99" s="756">
        <f t="shared" si="8"/>
        <v>-2.6419413720262352E-2</v>
      </c>
      <c r="K99" s="757">
        <f t="shared" si="9"/>
        <v>0</v>
      </c>
      <c r="L99" s="753">
        <f>+Dijon!D99+Eu!D99+Nancy!D99+Roanne!D99</f>
        <v>17339.761467944103</v>
      </c>
      <c r="M99" s="678">
        <f t="shared" si="6"/>
        <v>1</v>
      </c>
      <c r="N99" s="1092">
        <f t="shared" si="7"/>
        <v>17907.106666666667</v>
      </c>
    </row>
    <row r="100" spans="1:14" s="678" customFormat="1">
      <c r="A100" s="690" t="s">
        <v>120</v>
      </c>
      <c r="B100" s="753">
        <f>+Cambrai!G100</f>
        <v>1765.1728000000001</v>
      </c>
      <c r="C100" s="753">
        <f>+Caudry!G100</f>
        <v>1529.2478666666668</v>
      </c>
      <c r="D100" s="753">
        <f>+Amiens!$G100</f>
        <v>731.69826666666665</v>
      </c>
      <c r="E100" s="753">
        <f>+Compiègne!$G100</f>
        <v>404.76253333333335</v>
      </c>
      <c r="F100" s="753">
        <f>+Compiègne!E100+Amiens!E100+Cambrai!E100+Caudry!E100</f>
        <v>2816.04</v>
      </c>
      <c r="G100" s="754">
        <f>+Compiègne!F100+Amiens!F100+Cambrai!F100+Caudry!F100</f>
        <v>4301.8266666666668</v>
      </c>
      <c r="H100" s="805">
        <v>99.4088863101573</v>
      </c>
      <c r="I100" s="755">
        <f>+Compiègne!G100+Amiens!G100+Cambrai!G100+Caudry!G100</f>
        <v>4430.8814666666667</v>
      </c>
      <c r="J100" s="756">
        <f t="shared" si="8"/>
        <v>0.52761561152066971</v>
      </c>
      <c r="K100" s="757">
        <f t="shared" si="9"/>
        <v>2.9999999999999971E-2</v>
      </c>
      <c r="L100" s="753">
        <f>+Dijon!D100+Eu!D100+Nancy!D100+Roanne!D100</f>
        <v>4438.9800616746606</v>
      </c>
      <c r="M100" s="678">
        <f t="shared" si="6"/>
        <v>1</v>
      </c>
      <c r="N100" s="1092">
        <f t="shared" si="7"/>
        <v>4430.8814666666667</v>
      </c>
    </row>
    <row r="101" spans="1:14" s="678" customFormat="1">
      <c r="A101" s="690" t="s">
        <v>121</v>
      </c>
      <c r="B101" s="753">
        <f>+Cambrai!G101</f>
        <v>0</v>
      </c>
      <c r="C101" s="753">
        <f>+Caudry!G101</f>
        <v>0</v>
      </c>
      <c r="D101" s="753">
        <f>+Amiens!$G101</f>
        <v>0</v>
      </c>
      <c r="E101" s="753">
        <f>+Compiègne!$G101</f>
        <v>0</v>
      </c>
      <c r="F101" s="753">
        <f>+Compiègne!E101+Amiens!E101+Cambrai!E101+Caudry!E101</f>
        <v>0</v>
      </c>
      <c r="G101" s="754">
        <f>+Compiègne!F101+Amiens!F101+Cambrai!F101+Caudry!F101</f>
        <v>0</v>
      </c>
      <c r="H101" s="805">
        <v>100.408886310157</v>
      </c>
      <c r="I101" s="755">
        <f>+Compiègne!G101+Amiens!G101+Cambrai!G101+Caudry!G101</f>
        <v>0</v>
      </c>
      <c r="J101" s="756">
        <f t="shared" si="8"/>
        <v>0</v>
      </c>
      <c r="K101" s="757">
        <f t="shared" si="9"/>
        <v>0</v>
      </c>
      <c r="L101" s="753">
        <f>+Dijon!D101+Eu!D101+Nancy!D101+Roanne!D101</f>
        <v>38.802417500000004</v>
      </c>
      <c r="M101" s="678">
        <f t="shared" si="6"/>
        <v>1</v>
      </c>
      <c r="N101" s="1092">
        <f t="shared" si="7"/>
        <v>0</v>
      </c>
    </row>
    <row r="102" spans="1:14" s="2" customFormat="1" ht="11.25" hidden="1">
      <c r="A102" s="590"/>
      <c r="B102" s="805"/>
      <c r="C102" s="805"/>
      <c r="D102" s="805"/>
      <c r="E102" s="805"/>
      <c r="F102" s="805"/>
      <c r="G102" s="1081"/>
      <c r="H102" s="805"/>
      <c r="I102" s="805"/>
      <c r="J102" s="1013"/>
      <c r="K102" s="1081"/>
      <c r="L102" s="805"/>
      <c r="M102" s="2">
        <f t="shared" si="6"/>
        <v>0</v>
      </c>
    </row>
    <row r="103" spans="1:14" s="678" customFormat="1">
      <c r="A103" s="695" t="s">
        <v>122</v>
      </c>
      <c r="B103" s="758">
        <f t="shared" ref="B103:G103" si="10">SUM(B70:B102)</f>
        <v>55292.912436220766</v>
      </c>
      <c r="C103" s="758">
        <f t="shared" si="10"/>
        <v>79454.763195189647</v>
      </c>
      <c r="D103" s="758">
        <f t="shared" si="10"/>
        <v>73914.928255927924</v>
      </c>
      <c r="E103" s="758">
        <f t="shared" si="10"/>
        <v>79650.836955726147</v>
      </c>
      <c r="F103" s="758">
        <f t="shared" si="10"/>
        <v>287808.62999999989</v>
      </c>
      <c r="G103" s="764">
        <f t="shared" si="10"/>
        <v>278820.51333333331</v>
      </c>
      <c r="H103" s="803">
        <v>239392.53089079331</v>
      </c>
      <c r="I103" s="758">
        <f>SUM(I70:I102)</f>
        <v>288313.44084306445</v>
      </c>
      <c r="J103" s="759">
        <f>+IF((F103)=0,,(G103-F103)/F103)</f>
        <v>-3.1229489771264277E-2</v>
      </c>
      <c r="K103" s="760">
        <f>+IF((G103)=0,,(I103-G103)/G103)</f>
        <v>3.4046732775297052E-2</v>
      </c>
      <c r="L103" s="758">
        <f>SUM(L72:L102)+L70</f>
        <v>372751.90654242225</v>
      </c>
      <c r="M103" s="678">
        <f t="shared" si="6"/>
        <v>1</v>
      </c>
      <c r="N103" s="1092">
        <f t="shared" si="7"/>
        <v>288313.44084306445</v>
      </c>
    </row>
    <row r="104" spans="1:14" s="2" customFormat="1" ht="11.25" hidden="1">
      <c r="A104" s="590"/>
      <c r="B104" s="805"/>
      <c r="C104" s="805"/>
      <c r="D104" s="805"/>
      <c r="E104" s="805"/>
      <c r="F104" s="805"/>
      <c r="G104" s="1081"/>
      <c r="H104" s="805"/>
      <c r="I104" s="805"/>
      <c r="J104" s="1013"/>
      <c r="K104" s="1081"/>
      <c r="L104" s="805"/>
      <c r="M104" s="2">
        <f t="shared" si="6"/>
        <v>0</v>
      </c>
    </row>
    <row r="105" spans="1:14" s="678" customFormat="1">
      <c r="A105" s="690" t="s">
        <v>129</v>
      </c>
      <c r="B105" s="753">
        <f>+Cambrai!G105</f>
        <v>0</v>
      </c>
      <c r="C105" s="753">
        <f>+Caudry!G105</f>
        <v>0</v>
      </c>
      <c r="D105" s="753">
        <f>+Amiens!$G105</f>
        <v>0</v>
      </c>
      <c r="E105" s="753">
        <f>+Compiègne!$G105</f>
        <v>0</v>
      </c>
      <c r="F105" s="753">
        <f>+Compiègne!E105+Amiens!E105+Cambrai!E105+Caudry!E105</f>
        <v>3469.2</v>
      </c>
      <c r="G105" s="754">
        <f>+Compiègne!F105+Amiens!F105+Cambrai!F105+Caudry!F105</f>
        <v>0</v>
      </c>
      <c r="H105" s="805">
        <v>2929.9895000000001</v>
      </c>
      <c r="I105" s="755">
        <f>+Compiègne!G105+Amiens!G105+Cambrai!G105+Caudry!G105</f>
        <v>0</v>
      </c>
      <c r="J105" s="756">
        <f>+IF((F105)=0,,(G105-F105)/F105)</f>
        <v>-1</v>
      </c>
      <c r="K105" s="757">
        <f>+IF((G105)=0,,(I105-G105)/G105)</f>
        <v>0</v>
      </c>
      <c r="L105" s="753">
        <f>+Dijon!D105+Eu!D105+Nancy!D105+Roanne!D105</f>
        <v>4235.3855000000003</v>
      </c>
      <c r="M105" s="678">
        <f t="shared" si="6"/>
        <v>1</v>
      </c>
      <c r="N105" s="1092">
        <f t="shared" si="7"/>
        <v>0</v>
      </c>
    </row>
    <row r="106" spans="1:14" s="678" customFormat="1">
      <c r="A106" s="690" t="s">
        <v>130</v>
      </c>
      <c r="B106" s="753">
        <f>+Cambrai!G106</f>
        <v>4500</v>
      </c>
      <c r="C106" s="753">
        <f>+Caudry!G106</f>
        <v>4715.2164000000002</v>
      </c>
      <c r="D106" s="753">
        <f>+Amiens!$G106</f>
        <v>2283.5649333333336</v>
      </c>
      <c r="E106" s="753">
        <f>+Compiègne!$G106</f>
        <v>2450.7820000000002</v>
      </c>
      <c r="F106" s="753">
        <f>+Compiègne!E106+Amiens!E106+Cambrai!E106+Caudry!E106</f>
        <v>20726.61</v>
      </c>
      <c r="G106" s="754">
        <f>+Compiègne!F106+Amiens!F106+Cambrai!F106+Caudry!F106</f>
        <v>15081.773333333334</v>
      </c>
      <c r="H106" s="805">
        <v>2930.9895000000001</v>
      </c>
      <c r="I106" s="755">
        <f>+Compiègne!G106+Amiens!G106+Cambrai!G106+Caudry!G106</f>
        <v>13949.563333333335</v>
      </c>
      <c r="J106" s="756">
        <f t="shared" ref="J106:J114" si="11">+IF((F106)=0,,(G106-F106)/F106)</f>
        <v>-0.27234731905828624</v>
      </c>
      <c r="K106" s="757">
        <f t="shared" ref="K106:K114" si="12">+IF((G106)=0,,(I106-G106)/G106)</f>
        <v>-7.5071410700598362E-2</v>
      </c>
      <c r="L106" s="753">
        <f>+Dijon!D106+Eu!D106+Nancy!D106+Roanne!D106</f>
        <v>24101.5308</v>
      </c>
      <c r="M106" s="678">
        <f t="shared" si="6"/>
        <v>1</v>
      </c>
      <c r="N106" s="1092">
        <f t="shared" si="7"/>
        <v>13949.563333333335</v>
      </c>
    </row>
    <row r="107" spans="1:14" s="2" customFormat="1" ht="11.25">
      <c r="A107" s="590" t="s">
        <v>131</v>
      </c>
      <c r="B107" s="805">
        <f>+Cambrai!G107</f>
        <v>0</v>
      </c>
      <c r="C107" s="805">
        <f>+Caudry!G107</f>
        <v>0</v>
      </c>
      <c r="D107" s="805">
        <f>+Amiens!$G107</f>
        <v>0</v>
      </c>
      <c r="E107" s="805">
        <f>+Compiègne!$G107</f>
        <v>0</v>
      </c>
      <c r="F107" s="753">
        <f>+Compiègne!E107+Amiens!E107+Cambrai!E107+Caudry!E107</f>
        <v>0</v>
      </c>
      <c r="G107" s="754">
        <f>+Compiègne!F107+Amiens!F107+Cambrai!F107+Caudry!F107</f>
        <v>0</v>
      </c>
      <c r="H107" s="805">
        <v>2931.9895000000001</v>
      </c>
      <c r="I107" s="755">
        <f>+Compiègne!G107+Amiens!G107+Cambrai!G107+Caudry!G107</f>
        <v>0</v>
      </c>
      <c r="J107" s="1013">
        <f t="shared" si="11"/>
        <v>0</v>
      </c>
      <c r="K107" s="1014">
        <f t="shared" si="12"/>
        <v>0</v>
      </c>
      <c r="L107" s="805">
        <f>+Dijon!D107+Eu!D107+Nancy!D107+Roanne!D107</f>
        <v>0</v>
      </c>
      <c r="M107" s="2">
        <f t="shared" si="6"/>
        <v>1</v>
      </c>
    </row>
    <row r="108" spans="1:14" s="678" customFormat="1">
      <c r="A108" s="690" t="s">
        <v>132</v>
      </c>
      <c r="B108" s="753">
        <f>+Cambrai!G108</f>
        <v>450</v>
      </c>
      <c r="C108" s="753">
        <f>+Caudry!G108</f>
        <v>450</v>
      </c>
      <c r="D108" s="753">
        <f>+Amiens!$G108</f>
        <v>450</v>
      </c>
      <c r="E108" s="753">
        <f>+Compiègne!$G108</f>
        <v>450</v>
      </c>
      <c r="F108" s="753">
        <f>+Compiègne!E108+Amiens!E108+Cambrai!E108+Caudry!E108</f>
        <v>523.63999999999987</v>
      </c>
      <c r="G108" s="754">
        <f>+Compiègne!F108+Amiens!F108+Cambrai!F108+Caudry!F108</f>
        <v>9715.746666666666</v>
      </c>
      <c r="H108" s="805">
        <v>2932.9895000000001</v>
      </c>
      <c r="I108" s="755">
        <f>+Compiègne!G108+Amiens!G108+Cambrai!G108+Caudry!G108</f>
        <v>1800</v>
      </c>
      <c r="J108" s="756">
        <f t="shared" si="11"/>
        <v>17.55424846586714</v>
      </c>
      <c r="K108" s="757">
        <f t="shared" si="12"/>
        <v>-0.8147337449446328</v>
      </c>
      <c r="L108" s="753">
        <f>+Dijon!D108+Eu!D108+Nancy!D108+Roanne!D108</f>
        <v>514.89</v>
      </c>
      <c r="M108" s="678">
        <f t="shared" si="6"/>
        <v>1</v>
      </c>
      <c r="N108" s="1092">
        <f t="shared" si="7"/>
        <v>1800</v>
      </c>
    </row>
    <row r="109" spans="1:14" s="678" customFormat="1">
      <c r="A109" s="690" t="s">
        <v>133</v>
      </c>
      <c r="B109" s="753">
        <f>+Cambrai!G109</f>
        <v>2879.0147999999999</v>
      </c>
      <c r="C109" s="753">
        <f>+Caudry!G109</f>
        <v>2006.288933333333</v>
      </c>
      <c r="D109" s="753">
        <f>+Amiens!$G109</f>
        <v>2298.1771999999996</v>
      </c>
      <c r="E109" s="753">
        <f>+Compiègne!$G109</f>
        <v>2987.2471999999998</v>
      </c>
      <c r="F109" s="753">
        <f>+Compiègne!E109+Amiens!E109+Cambrai!E109+Caudry!E109</f>
        <v>4843.7800000000007</v>
      </c>
      <c r="G109" s="754">
        <f>+Compiègne!F109+Amiens!F109+Cambrai!F109+Caudry!F109</f>
        <v>9874.493333333332</v>
      </c>
      <c r="H109" s="805">
        <v>2933.9895000000001</v>
      </c>
      <c r="I109" s="755">
        <f>+Compiègne!G109+Amiens!G109+Cambrai!G109+Caudry!G109</f>
        <v>10170.728133333332</v>
      </c>
      <c r="J109" s="756">
        <f t="shared" si="11"/>
        <v>1.0385924491478413</v>
      </c>
      <c r="K109" s="757">
        <f t="shared" si="12"/>
        <v>3.0000000000000023E-2</v>
      </c>
      <c r="L109" s="753">
        <f>+Dijon!D109+Eu!D109+Nancy!D109+Roanne!D109</f>
        <v>25891.5916</v>
      </c>
      <c r="M109" s="678">
        <f t="shared" si="6"/>
        <v>1</v>
      </c>
      <c r="N109" s="1092">
        <f t="shared" si="7"/>
        <v>10170.728133333332</v>
      </c>
    </row>
    <row r="110" spans="1:14" s="678" customFormat="1">
      <c r="A110" s="690" t="s">
        <v>134</v>
      </c>
      <c r="B110" s="753">
        <f>+Cambrai!G110</f>
        <v>3172.4549333333334</v>
      </c>
      <c r="C110" s="753">
        <f>+Caudry!G110</f>
        <v>7253.6719999999987</v>
      </c>
      <c r="D110" s="753">
        <f>+Amiens!$G110</f>
        <v>5076.8974666666663</v>
      </c>
      <c r="E110" s="753">
        <f>+Compiègne!$G110</f>
        <v>16000</v>
      </c>
      <c r="F110" s="753">
        <f>+Compiègne!E110+Amiens!E110+Cambrai!E110+Caudry!E110</f>
        <v>41402.78</v>
      </c>
      <c r="G110" s="754">
        <f>+Compiègne!F110+Amiens!F110+Cambrai!F110+Caudry!F110</f>
        <v>37853.946666666663</v>
      </c>
      <c r="H110" s="805">
        <v>2934.9895000000001</v>
      </c>
      <c r="I110" s="755">
        <f>+Compiègne!G110+Amiens!G110+Cambrai!G110+Caudry!G110</f>
        <v>31503.024399999998</v>
      </c>
      <c r="J110" s="756">
        <f t="shared" si="11"/>
        <v>-8.5714856184375438E-2</v>
      </c>
      <c r="K110" s="757">
        <f t="shared" si="12"/>
        <v>-0.16777437561772507</v>
      </c>
      <c r="L110" s="753">
        <f>+Dijon!D110+Eu!D110+Nancy!D110+Roanne!D110</f>
        <v>29323.885100000003</v>
      </c>
      <c r="M110" s="678">
        <f t="shared" si="6"/>
        <v>1</v>
      </c>
      <c r="N110" s="1092">
        <f t="shared" si="7"/>
        <v>31503.024399999998</v>
      </c>
    </row>
    <row r="111" spans="1:14" s="678" customFormat="1">
      <c r="A111" s="690" t="s">
        <v>135</v>
      </c>
      <c r="B111" s="753">
        <f>+Cambrai!G111</f>
        <v>166.17333333333335</v>
      </c>
      <c r="C111" s="753">
        <f>+Caudry!G111</f>
        <v>212.86666666666667</v>
      </c>
      <c r="D111" s="753">
        <f>+Amiens!$G111</f>
        <v>0</v>
      </c>
      <c r="E111" s="753">
        <f>+Compiègne!$G111</f>
        <v>5.4933333333333332</v>
      </c>
      <c r="F111" s="753">
        <f>+Compiègne!E111+Amiens!E111+Cambrai!E111+Caudry!E111</f>
        <v>560</v>
      </c>
      <c r="G111" s="754">
        <f>+Compiègne!F111+Amiens!F111+Cambrai!F111+Caudry!F111</f>
        <v>373.33333333333337</v>
      </c>
      <c r="H111" s="805">
        <v>2935.9895000000001</v>
      </c>
      <c r="I111" s="755">
        <f>+Compiègne!G111+Amiens!G111+Cambrai!G111+Caudry!G111</f>
        <v>384.53333333333336</v>
      </c>
      <c r="J111" s="756">
        <f t="shared" si="11"/>
        <v>-0.33333333333333326</v>
      </c>
      <c r="K111" s="757">
        <f t="shared" si="12"/>
        <v>2.9999999999999968E-2</v>
      </c>
      <c r="L111" s="753">
        <f>+Dijon!D111+Eu!D111+Nancy!D111+Roanne!D111</f>
        <v>159.65000000000003</v>
      </c>
      <c r="M111" s="678">
        <f t="shared" si="6"/>
        <v>1</v>
      </c>
      <c r="N111" s="1092">
        <f t="shared" si="7"/>
        <v>384.53333333333336</v>
      </c>
    </row>
    <row r="112" spans="1:14" s="678" customFormat="1">
      <c r="A112" s="690" t="s">
        <v>136</v>
      </c>
      <c r="B112" s="753">
        <f>+Cambrai!G112</f>
        <v>26.78</v>
      </c>
      <c r="C112" s="753">
        <f>+Caudry!G112</f>
        <v>26.78</v>
      </c>
      <c r="D112" s="753">
        <f>+Amiens!$G112</f>
        <v>8172.7890666666681</v>
      </c>
      <c r="E112" s="753">
        <f>+Compiègne!$G112</f>
        <v>1060.9000000000001</v>
      </c>
      <c r="F112" s="753">
        <f>+Compiègne!E112+Amiens!E112+Cambrai!E112+Caudry!E112</f>
        <v>100.93</v>
      </c>
      <c r="G112" s="754">
        <f>+Compiègne!F112+Amiens!F112+Cambrai!F112+Caudry!F112</f>
        <v>9016.7466666666678</v>
      </c>
      <c r="H112" s="805">
        <v>2936.9895000000001</v>
      </c>
      <c r="I112" s="755">
        <f>+Compiègne!G112+Amiens!G112+Cambrai!G112+Caudry!G112</f>
        <v>9287.249066666669</v>
      </c>
      <c r="J112" s="756">
        <f t="shared" si="11"/>
        <v>88.336635952310189</v>
      </c>
      <c r="K112" s="757">
        <f t="shared" si="12"/>
        <v>3.0000000000000131E-2</v>
      </c>
      <c r="L112" s="753">
        <f>+Dijon!D112+Eu!D112+Nancy!D112+Roanne!D112</f>
        <v>1081.9738</v>
      </c>
      <c r="M112" s="678">
        <f t="shared" si="6"/>
        <v>1</v>
      </c>
      <c r="N112" s="1092">
        <f t="shared" si="7"/>
        <v>9287.2490666666672</v>
      </c>
    </row>
    <row r="113" spans="1:14" s="678" customFormat="1">
      <c r="A113" s="690" t="s">
        <v>137</v>
      </c>
      <c r="B113" s="753">
        <f>+Cambrai!G113</f>
        <v>2000</v>
      </c>
      <c r="C113" s="753">
        <f>+Caudry!G113</f>
        <v>2000</v>
      </c>
      <c r="D113" s="753">
        <f>+Amiens!$G113</f>
        <v>2000</v>
      </c>
      <c r="E113" s="753">
        <f>+Compiègne!$G113</f>
        <v>2000</v>
      </c>
      <c r="F113" s="753">
        <f>+Compiègne!E113+Amiens!E113+Cambrai!E113+Caudry!E113</f>
        <v>16274.949999999999</v>
      </c>
      <c r="G113" s="754">
        <f>+Compiègne!F113+Amiens!F113+Cambrai!F113+Caudry!F113</f>
        <v>18435.07</v>
      </c>
      <c r="H113" s="805">
        <v>2937.9895000000001</v>
      </c>
      <c r="I113" s="755">
        <f>+Compiègne!G113+Amiens!G113+Cambrai!G113+Caudry!G113</f>
        <v>8000</v>
      </c>
      <c r="J113" s="756">
        <f t="shared" si="11"/>
        <v>0.13272667504354857</v>
      </c>
      <c r="K113" s="757">
        <f t="shared" si="12"/>
        <v>-0.56604450105152837</v>
      </c>
      <c r="L113" s="753">
        <f>+Dijon!D113+Eu!D113+Nancy!D113+Roanne!D113</f>
        <v>34078.379999999997</v>
      </c>
      <c r="M113" s="678">
        <f t="shared" si="6"/>
        <v>1</v>
      </c>
      <c r="N113" s="1092">
        <f t="shared" si="7"/>
        <v>8000</v>
      </c>
    </row>
    <row r="114" spans="1:14" s="2" customFormat="1" ht="11.25">
      <c r="A114" s="590" t="s">
        <v>138</v>
      </c>
      <c r="B114" s="805">
        <f>+Cambrai!G114</f>
        <v>0</v>
      </c>
      <c r="C114" s="805">
        <f>+Caudry!G114</f>
        <v>0</v>
      </c>
      <c r="D114" s="805">
        <f>+Amiens!$G114</f>
        <v>0</v>
      </c>
      <c r="E114" s="805">
        <f>+Compiègne!$G114</f>
        <v>0</v>
      </c>
      <c r="F114" s="753">
        <f>+Compiègne!E114+Amiens!E114+Cambrai!E114+Caudry!E114</f>
        <v>0</v>
      </c>
      <c r="G114" s="754">
        <f>+Compiègne!F114+Amiens!F114+Cambrai!F114+Caudry!F114</f>
        <v>0</v>
      </c>
      <c r="H114" s="805">
        <v>2938.9895000000001</v>
      </c>
      <c r="I114" s="755">
        <f>+Compiègne!G114+Amiens!G114+Cambrai!G114+Caudry!G114</f>
        <v>0</v>
      </c>
      <c r="J114" s="1013">
        <f t="shared" si="11"/>
        <v>0</v>
      </c>
      <c r="K114" s="1014">
        <f t="shared" si="12"/>
        <v>0</v>
      </c>
      <c r="L114" s="805">
        <f>+Dijon!D114+Eu!D114+Nancy!D114+Roanne!D114</f>
        <v>-666.58510000000001</v>
      </c>
      <c r="M114" s="2">
        <f t="shared" si="6"/>
        <v>1</v>
      </c>
    </row>
    <row r="115" spans="1:14" s="2" customFormat="1" ht="11.25" hidden="1">
      <c r="A115" s="590"/>
      <c r="B115" s="805"/>
      <c r="C115" s="805"/>
      <c r="D115" s="805"/>
      <c r="E115" s="805"/>
      <c r="F115" s="805"/>
      <c r="G115" s="1081"/>
      <c r="H115" s="805"/>
      <c r="I115" s="805"/>
      <c r="J115" s="1013"/>
      <c r="K115" s="1081"/>
      <c r="L115" s="805"/>
      <c r="M115" s="2">
        <f t="shared" si="6"/>
        <v>0</v>
      </c>
    </row>
    <row r="116" spans="1:14" s="678" customFormat="1">
      <c r="A116" s="695" t="s">
        <v>133</v>
      </c>
      <c r="B116" s="758">
        <f t="shared" ref="B116:G116" si="13">SUM(B104:B115)</f>
        <v>13194.423066666668</v>
      </c>
      <c r="C116" s="758">
        <f t="shared" si="13"/>
        <v>16664.824000000001</v>
      </c>
      <c r="D116" s="758">
        <f t="shared" si="13"/>
        <v>20281.428666666667</v>
      </c>
      <c r="E116" s="758">
        <f t="shared" si="13"/>
        <v>24954.422533333334</v>
      </c>
      <c r="F116" s="758">
        <f t="shared" si="13"/>
        <v>87901.89</v>
      </c>
      <c r="G116" s="764">
        <f t="shared" si="13"/>
        <v>100351.10999999999</v>
      </c>
      <c r="H116" s="803">
        <v>145714.81855375</v>
      </c>
      <c r="I116" s="758">
        <f>SUM(I104:I115)</f>
        <v>75095.098266666668</v>
      </c>
      <c r="J116" s="759">
        <f>+IF((F116)=0,,(G116-F116)/F116)</f>
        <v>0.14162630632856685</v>
      </c>
      <c r="K116" s="760">
        <f>+IF((G116)=0,,(I116-G116)/G116)</f>
        <v>-0.25167645612822143</v>
      </c>
      <c r="L116" s="758">
        <f>SUM(L105:L115)</f>
        <v>118720.70170000001</v>
      </c>
      <c r="M116" s="678">
        <f t="shared" si="6"/>
        <v>1</v>
      </c>
      <c r="N116" s="1092">
        <f>SUBTOTAL(9,B116:E116)</f>
        <v>75095.098266666668</v>
      </c>
    </row>
    <row r="117" spans="1:14" s="2" customFormat="1" ht="11.25" hidden="1">
      <c r="A117" s="590"/>
      <c r="B117" s="805"/>
      <c r="C117" s="805"/>
      <c r="D117" s="805"/>
      <c r="E117" s="805"/>
      <c r="F117" s="805"/>
      <c r="G117" s="1081"/>
      <c r="H117" s="805"/>
      <c r="I117" s="805"/>
      <c r="J117" s="1013"/>
      <c r="K117" s="1081"/>
      <c r="L117" s="805"/>
      <c r="M117" s="2">
        <f t="shared" si="6"/>
        <v>0</v>
      </c>
    </row>
    <row r="118" spans="1:14" s="678" customFormat="1">
      <c r="A118" s="690" t="s">
        <v>139</v>
      </c>
      <c r="B118" s="753">
        <f>+Cambrai!G118</f>
        <v>575.46999999999991</v>
      </c>
      <c r="C118" s="753">
        <f>+Caudry!G118</f>
        <v>630.64399999999989</v>
      </c>
      <c r="D118" s="753">
        <f>+Amiens!$G118</f>
        <v>393.38599999999997</v>
      </c>
      <c r="E118" s="753">
        <f>+Compiègne!$G118</f>
        <v>617.92499999999995</v>
      </c>
      <c r="F118" s="753">
        <f>+Compiègne!E118+Amiens!E118+Cambrai!E118+Caudry!E118</f>
        <v>3214</v>
      </c>
      <c r="G118" s="754">
        <f>+Compiègne!F118+Amiens!F118+Cambrai!F118+Caudry!F118</f>
        <v>6898</v>
      </c>
      <c r="H118" s="805">
        <v>0</v>
      </c>
      <c r="I118" s="755">
        <f>+Compiègne!G118+Amiens!G118+Cambrai!G118+Caudry!G118</f>
        <v>2217.4249999999997</v>
      </c>
      <c r="J118" s="756">
        <f>+IF((F118)=0,,(G118-F118)/F118)</f>
        <v>1.1462352209085251</v>
      </c>
      <c r="K118" s="757">
        <f>+IF((G118)=0,,(I118-G118)/G118)</f>
        <v>-0.67854088141490299</v>
      </c>
      <c r="L118" s="753">
        <f>+Dijon!D118+Eu!D118+Nancy!D118+Roanne!D118</f>
        <v>3765.2299999999996</v>
      </c>
      <c r="M118" s="678">
        <f t="shared" si="6"/>
        <v>1</v>
      </c>
      <c r="N118" s="1092">
        <f t="shared" ref="N118:N127" si="14">SUBTOTAL(9,B118:E118)</f>
        <v>2217.4249999999997</v>
      </c>
    </row>
    <row r="119" spans="1:14" s="678" customFormat="1">
      <c r="A119" s="690" t="s">
        <v>140</v>
      </c>
      <c r="B119" s="753">
        <f>+Cambrai!G119</f>
        <v>369.94500000000005</v>
      </c>
      <c r="C119" s="753">
        <f>+Caudry!G119</f>
        <v>405.41400000000004</v>
      </c>
      <c r="D119" s="753">
        <f>+Amiens!$G119</f>
        <v>252.89100000000002</v>
      </c>
      <c r="E119" s="753">
        <f>+Compiègne!$G119</f>
        <v>397.23750000000007</v>
      </c>
      <c r="F119" s="753">
        <f>+Compiègne!E119+Amiens!E119+Cambrai!E119+Caudry!E119</f>
        <v>1770</v>
      </c>
      <c r="G119" s="754">
        <f>+Compiègne!F119+Amiens!F119+Cambrai!F119+Caudry!F119</f>
        <v>0</v>
      </c>
      <c r="H119" s="805">
        <v>1</v>
      </c>
      <c r="I119" s="755">
        <f>+Compiègne!G119+Amiens!G119+Cambrai!G119+Caudry!G119</f>
        <v>1425.4875000000002</v>
      </c>
      <c r="J119" s="756">
        <f t="shared" ref="J119:J127" si="15">+IF((F119)=0,,(G119-F119)/F119)</f>
        <v>-1</v>
      </c>
      <c r="K119" s="757">
        <f t="shared" ref="K119:K127" si="16">+IF((G119)=0,,(I119-G119)/G119)</f>
        <v>0</v>
      </c>
      <c r="L119" s="753">
        <f>+Dijon!D119+Eu!D119+Nancy!D119+Roanne!D119</f>
        <v>2420.5050000000006</v>
      </c>
      <c r="M119" s="678">
        <f t="shared" si="6"/>
        <v>1</v>
      </c>
      <c r="N119" s="1092">
        <f t="shared" si="14"/>
        <v>1425.4875000000002</v>
      </c>
    </row>
    <row r="120" spans="1:14" s="678" customFormat="1">
      <c r="A120" s="690" t="s">
        <v>141</v>
      </c>
      <c r="B120" s="753">
        <f>+Cambrai!G120</f>
        <v>641.23800000000006</v>
      </c>
      <c r="C120" s="753">
        <f>+Caudry!G120</f>
        <v>702.71760000000006</v>
      </c>
      <c r="D120" s="753">
        <f>+Amiens!$G120</f>
        <v>438.34440000000001</v>
      </c>
      <c r="E120" s="753">
        <f>+Compiègne!$G120</f>
        <v>688.54500000000007</v>
      </c>
      <c r="F120" s="753">
        <f>+Compiègne!E120+Amiens!E120+Cambrai!E120+Caudry!E120</f>
        <v>2676</v>
      </c>
      <c r="G120" s="754">
        <f>+Compiègne!F120+Amiens!F120+Cambrai!F120+Caudry!F120</f>
        <v>0</v>
      </c>
      <c r="H120" s="805">
        <v>2</v>
      </c>
      <c r="I120" s="755">
        <f>+Compiègne!G120+Amiens!G120+Cambrai!G120+Caudry!G120</f>
        <v>2470.8450000000003</v>
      </c>
      <c r="J120" s="756">
        <f t="shared" si="15"/>
        <v>-1</v>
      </c>
      <c r="K120" s="757">
        <f t="shared" si="16"/>
        <v>0</v>
      </c>
      <c r="L120" s="753">
        <f>+Dijon!D120+Eu!D120+Nancy!D120+Roanne!D120</f>
        <v>4195.5420000000004</v>
      </c>
      <c r="M120" s="678">
        <f t="shared" si="6"/>
        <v>1</v>
      </c>
      <c r="N120" s="1092">
        <f t="shared" si="14"/>
        <v>2470.8450000000003</v>
      </c>
    </row>
    <row r="121" spans="1:14" s="678" customFormat="1">
      <c r="A121" s="690" t="s">
        <v>142</v>
      </c>
      <c r="B121" s="753">
        <f>+Cambrai!G121</f>
        <v>495.6</v>
      </c>
      <c r="C121" s="753">
        <f>+Caudry!G121</f>
        <v>653.1</v>
      </c>
      <c r="D121" s="753">
        <f>+Amiens!$G121</f>
        <v>2285.85</v>
      </c>
      <c r="E121" s="753">
        <f>+Compiègne!$G121</f>
        <v>2216.5500000000002</v>
      </c>
      <c r="F121" s="753">
        <f>+Compiègne!E121+Amiens!E121+Cambrai!E121+Caudry!E121</f>
        <v>14542</v>
      </c>
      <c r="G121" s="754">
        <f>+Compiègne!F121+Amiens!F121+Cambrai!F121+Caudry!F121</f>
        <v>5382</v>
      </c>
      <c r="H121" s="805">
        <v>3</v>
      </c>
      <c r="I121" s="755">
        <f>+Compiègne!G121+Amiens!G121+Cambrai!G121+Caudry!G121</f>
        <v>5651.1</v>
      </c>
      <c r="J121" s="756">
        <f t="shared" si="15"/>
        <v>-0.62989960115527432</v>
      </c>
      <c r="K121" s="757">
        <f t="shared" si="16"/>
        <v>5.0000000000000065E-2</v>
      </c>
      <c r="L121" s="753">
        <f>+Dijon!D121+Eu!D121+Nancy!D121+Roanne!D121</f>
        <v>28213.65</v>
      </c>
      <c r="M121" s="678">
        <f t="shared" si="6"/>
        <v>1</v>
      </c>
      <c r="N121" s="1092">
        <f t="shared" si="14"/>
        <v>5651.1</v>
      </c>
    </row>
    <row r="122" spans="1:14" s="678" customFormat="1">
      <c r="A122" s="690" t="s">
        <v>143</v>
      </c>
      <c r="B122" s="753">
        <f>+Cambrai!G122</f>
        <v>1705.5360000000003</v>
      </c>
      <c r="C122" s="753">
        <f>+Caudry!G122</f>
        <v>3903.9</v>
      </c>
      <c r="D122" s="753">
        <f>+Amiens!$G122</f>
        <v>4767</v>
      </c>
      <c r="E122" s="753">
        <f>+Compiègne!$G122</f>
        <v>3443.9580000000014</v>
      </c>
      <c r="F122" s="753">
        <f>+Compiègne!E122+Amiens!E122+Cambrai!E122+Caudry!E122</f>
        <v>9477.2000000000007</v>
      </c>
      <c r="G122" s="754">
        <f>+Compiègne!F122+Amiens!F122+Cambrai!F122+Caudry!F122</f>
        <v>13216.62</v>
      </c>
      <c r="H122" s="805">
        <v>4</v>
      </c>
      <c r="I122" s="755">
        <f>+Compiègne!G122+Amiens!G122+Cambrai!G122+Caudry!G122</f>
        <v>13820.394000000002</v>
      </c>
      <c r="J122" s="756">
        <f t="shared" si="15"/>
        <v>0.39457012619761106</v>
      </c>
      <c r="K122" s="757">
        <f t="shared" si="16"/>
        <v>4.5682935576569592E-2</v>
      </c>
      <c r="L122" s="753">
        <f>+Dijon!D122+Eu!D122+Nancy!D122+Roanne!D122</f>
        <v>25724.489000000001</v>
      </c>
      <c r="M122" s="678">
        <f t="shared" si="6"/>
        <v>1</v>
      </c>
      <c r="N122" s="1092">
        <f t="shared" si="14"/>
        <v>13820.394000000004</v>
      </c>
    </row>
    <row r="123" spans="1:14" s="678" customFormat="1">
      <c r="A123" s="690" t="s">
        <v>144</v>
      </c>
      <c r="B123" s="753">
        <f>+Cambrai!G123</f>
        <v>50</v>
      </c>
      <c r="C123" s="753">
        <f>+Caudry!G123</f>
        <v>50</v>
      </c>
      <c r="D123" s="753">
        <f>+Amiens!$G123</f>
        <v>446.04</v>
      </c>
      <c r="E123" s="753">
        <f>+Compiègne!$G123</f>
        <v>50</v>
      </c>
      <c r="F123" s="753">
        <f>+Compiègne!E123+Amiens!E123+Cambrai!E123+Caudry!E123</f>
        <v>0</v>
      </c>
      <c r="G123" s="754">
        <f>+Compiègne!F123+Amiens!F123+Cambrai!F123+Caudry!F123</f>
        <v>424.8</v>
      </c>
      <c r="H123" s="805">
        <v>5</v>
      </c>
      <c r="I123" s="755">
        <f>+Compiègne!G123+Amiens!G123+Cambrai!G123+Caudry!G123</f>
        <v>596.04</v>
      </c>
      <c r="J123" s="756">
        <f t="shared" si="15"/>
        <v>0</v>
      </c>
      <c r="K123" s="757">
        <f t="shared" si="16"/>
        <v>0.40310734463276826</v>
      </c>
      <c r="L123" s="753">
        <f>+Dijon!D123+Eu!D123+Nancy!D123+Roanne!D123</f>
        <v>1510.16</v>
      </c>
      <c r="M123" s="678">
        <f t="shared" si="6"/>
        <v>1</v>
      </c>
      <c r="N123" s="1092">
        <f t="shared" si="14"/>
        <v>596.04</v>
      </c>
    </row>
    <row r="124" spans="1:14" s="678" customFormat="1">
      <c r="A124" s="690" t="s">
        <v>145</v>
      </c>
      <c r="B124" s="753">
        <f>+Cambrai!G124</f>
        <v>0</v>
      </c>
      <c r="C124" s="753">
        <f>+Caudry!G124</f>
        <v>0</v>
      </c>
      <c r="D124" s="753">
        <f>+Amiens!$G124</f>
        <v>0</v>
      </c>
      <c r="E124" s="753">
        <f>+Compiègne!$G124</f>
        <v>0</v>
      </c>
      <c r="F124" s="753">
        <f>+Compiègne!E124+Amiens!E124+Cambrai!E124+Caudry!E124</f>
        <v>11</v>
      </c>
      <c r="G124" s="754">
        <f>+Compiègne!F124+Amiens!F124+Cambrai!F124+Caudry!F124</f>
        <v>278</v>
      </c>
      <c r="H124" s="805">
        <v>6</v>
      </c>
      <c r="I124" s="755">
        <f>+Compiègne!G124+Amiens!G124+Cambrai!G124+Caudry!G124</f>
        <v>0</v>
      </c>
      <c r="J124" s="756">
        <f t="shared" si="15"/>
        <v>24.272727272727273</v>
      </c>
      <c r="K124" s="757">
        <f t="shared" si="16"/>
        <v>-1</v>
      </c>
      <c r="L124" s="753">
        <f>+Dijon!D124+Eu!D124+Nancy!D124+Roanne!D124</f>
        <v>0.37516960333333338</v>
      </c>
      <c r="M124" s="678">
        <f t="shared" si="6"/>
        <v>1</v>
      </c>
      <c r="N124" s="1092">
        <f t="shared" si="14"/>
        <v>0</v>
      </c>
    </row>
    <row r="125" spans="1:14" s="678" customFormat="1">
      <c r="A125" s="690" t="s">
        <v>286</v>
      </c>
      <c r="B125" s="753">
        <f>+Cambrai!G125</f>
        <v>0</v>
      </c>
      <c r="C125" s="753">
        <f>+Caudry!G125</f>
        <v>0</v>
      </c>
      <c r="D125" s="753">
        <f>+Amiens!$G125</f>
        <v>0</v>
      </c>
      <c r="E125" s="753">
        <f>+Compiègne!$G125</f>
        <v>0</v>
      </c>
      <c r="F125" s="753">
        <f>+Compiègne!E125+Amiens!E125+Cambrai!E125+Caudry!E125</f>
        <v>0</v>
      </c>
      <c r="G125" s="754">
        <f>+Compiègne!F125+Amiens!F125+Cambrai!F125+Caudry!F125</f>
        <v>0</v>
      </c>
      <c r="H125" s="805">
        <v>7</v>
      </c>
      <c r="I125" s="755">
        <f>+Compiègne!G125+Amiens!G125+Cambrai!G125+Caudry!G125</f>
        <v>0</v>
      </c>
      <c r="J125" s="756">
        <f t="shared" si="15"/>
        <v>0</v>
      </c>
      <c r="K125" s="757">
        <f t="shared" si="16"/>
        <v>0</v>
      </c>
      <c r="L125" s="753">
        <f>+Dijon!D125+Eu!D125+Nancy!D125+Roanne!D125</f>
        <v>180.22812764958334</v>
      </c>
      <c r="M125" s="678">
        <f t="shared" si="6"/>
        <v>1</v>
      </c>
      <c r="N125" s="1092">
        <f t="shared" si="14"/>
        <v>0</v>
      </c>
    </row>
    <row r="126" spans="1:14" s="678" customFormat="1">
      <c r="A126" s="690" t="s">
        <v>361</v>
      </c>
      <c r="B126" s="753">
        <f>+Cambrai!G126</f>
        <v>0</v>
      </c>
      <c r="C126" s="753">
        <f>+Caudry!G126</f>
        <v>0</v>
      </c>
      <c r="D126" s="753">
        <f>+Amiens!$G126</f>
        <v>0</v>
      </c>
      <c r="E126" s="753">
        <f>+Compiègne!$G126</f>
        <v>0</v>
      </c>
      <c r="F126" s="753">
        <f>+Compiègne!E126+Amiens!E126+Cambrai!E126+Caudry!E126</f>
        <v>0</v>
      </c>
      <c r="G126" s="754">
        <f>+Compiègne!F126+Amiens!F126+Cambrai!F126+Caudry!F126</f>
        <v>0</v>
      </c>
      <c r="H126" s="805">
        <v>8</v>
      </c>
      <c r="I126" s="755">
        <f>+Compiègne!G126+Amiens!G126+Cambrai!G126+Caudry!G126</f>
        <v>0</v>
      </c>
      <c r="J126" s="756">
        <f t="shared" si="15"/>
        <v>0</v>
      </c>
      <c r="K126" s="757">
        <f t="shared" si="16"/>
        <v>0</v>
      </c>
      <c r="L126" s="753">
        <f>+Dijon!D126+Eu!D126+Nancy!D126+Roanne!D126</f>
        <v>0</v>
      </c>
      <c r="M126" s="678">
        <f t="shared" si="6"/>
        <v>1</v>
      </c>
      <c r="N126" s="1092">
        <f t="shared" si="14"/>
        <v>0</v>
      </c>
    </row>
    <row r="127" spans="1:14" s="678" customFormat="1">
      <c r="A127" s="690" t="s">
        <v>146</v>
      </c>
      <c r="B127" s="753">
        <f>+Cambrai!G127</f>
        <v>1061.3470480000001</v>
      </c>
      <c r="C127" s="753">
        <f>+Caudry!G127</f>
        <v>1176.5232000000001</v>
      </c>
      <c r="D127" s="753">
        <f>+Amiens!$G127</f>
        <v>806.37749120000001</v>
      </c>
      <c r="E127" s="753">
        <f>+Compiègne!$G127</f>
        <v>1281.0924960000002</v>
      </c>
      <c r="F127" s="753">
        <f>+Compiègne!E127+Amiens!E127+Cambrai!E127+Caudry!E127</f>
        <v>3868.88</v>
      </c>
      <c r="G127" s="754">
        <f>+Compiègne!F127+Amiens!F127+Cambrai!F127+Caudry!F127</f>
        <v>4376.7733333333335</v>
      </c>
      <c r="H127" s="805">
        <v>9</v>
      </c>
      <c r="I127" s="755">
        <f>+Compiègne!G127+Amiens!G127+Cambrai!G127+Caudry!G127</f>
        <v>4325.3402352000003</v>
      </c>
      <c r="J127" s="756">
        <f t="shared" si="15"/>
        <v>0.13127657961304912</v>
      </c>
      <c r="K127" s="757">
        <f t="shared" si="16"/>
        <v>-1.1751373492801377E-2</v>
      </c>
      <c r="L127" s="753">
        <f>+Dijon!D127+Eu!D127+Nancy!D127+Roanne!D127</f>
        <v>12892.964</v>
      </c>
      <c r="M127" s="678">
        <f t="shared" si="6"/>
        <v>1</v>
      </c>
      <c r="N127" s="1092">
        <f t="shared" si="14"/>
        <v>4325.3402352000003</v>
      </c>
    </row>
    <row r="128" spans="1:14" s="2" customFormat="1" ht="11.25" hidden="1">
      <c r="A128" s="590"/>
      <c r="B128" s="805"/>
      <c r="C128" s="805"/>
      <c r="D128" s="805"/>
      <c r="E128" s="805"/>
      <c r="F128" s="805"/>
      <c r="G128" s="1081"/>
      <c r="H128" s="805"/>
      <c r="I128" s="805"/>
      <c r="J128" s="1013"/>
      <c r="K128" s="1081"/>
      <c r="L128" s="805"/>
      <c r="M128" s="2">
        <f t="shared" si="6"/>
        <v>0</v>
      </c>
    </row>
    <row r="129" spans="1:14" s="678" customFormat="1">
      <c r="A129" s="695" t="s">
        <v>147</v>
      </c>
      <c r="B129" s="758">
        <f t="shared" ref="B129:G129" si="17">SUM(B117:B128)</f>
        <v>4899.1360480000003</v>
      </c>
      <c r="C129" s="758">
        <f t="shared" si="17"/>
        <v>7522.2988000000005</v>
      </c>
      <c r="D129" s="758">
        <f t="shared" si="17"/>
        <v>9389.888891200002</v>
      </c>
      <c r="E129" s="758">
        <f t="shared" si="17"/>
        <v>8695.3079960000032</v>
      </c>
      <c r="F129" s="758">
        <f t="shared" si="17"/>
        <v>35559.08</v>
      </c>
      <c r="G129" s="764">
        <f t="shared" si="17"/>
        <v>30576.193333333336</v>
      </c>
      <c r="H129" s="803">
        <v>26026.923673829653</v>
      </c>
      <c r="I129" s="758">
        <f>SUM(I117:I128)</f>
        <v>30506.631735200004</v>
      </c>
      <c r="J129" s="759">
        <f>+IF((F129)=0,,(G129-F129)/F129)</f>
        <v>-0.14012979713385906</v>
      </c>
      <c r="K129" s="760">
        <f>+IF((G129)=0,,(I129-G129)/G129)</f>
        <v>-2.2750248003402694E-3</v>
      </c>
      <c r="L129" s="758">
        <f>SUM(L117:L128)</f>
        <v>78903.143297252915</v>
      </c>
      <c r="M129" s="678">
        <f t="shared" si="6"/>
        <v>1</v>
      </c>
      <c r="N129" s="1092">
        <f>SUBTOTAL(9,B129:E129)</f>
        <v>30506.631735200004</v>
      </c>
    </row>
    <row r="130" spans="1:14" s="2" customFormat="1" ht="11.25" hidden="1">
      <c r="A130" s="590"/>
      <c r="B130" s="805"/>
      <c r="C130" s="805"/>
      <c r="D130" s="805"/>
      <c r="E130" s="805"/>
      <c r="F130" s="805"/>
      <c r="G130" s="1081"/>
      <c r="H130" s="805"/>
      <c r="I130" s="805"/>
      <c r="J130" s="1013"/>
      <c r="K130" s="1081"/>
      <c r="L130" s="805"/>
      <c r="M130" s="2">
        <f t="shared" si="6"/>
        <v>0</v>
      </c>
    </row>
    <row r="131" spans="1:14" s="678" customFormat="1">
      <c r="A131" s="690" t="s">
        <v>148</v>
      </c>
      <c r="B131" s="753">
        <f>+Cambrai!G131</f>
        <v>82210</v>
      </c>
      <c r="C131" s="753">
        <f>+Caudry!G131</f>
        <v>90092</v>
      </c>
      <c r="D131" s="753">
        <f>+Amiens!$G131</f>
        <v>56198</v>
      </c>
      <c r="E131" s="753">
        <f>+Compiègne!$G131</f>
        <v>88275</v>
      </c>
      <c r="F131" s="753">
        <f>+Compiègne!E131+Amiens!E131+Cambrai!E131+Caudry!E131</f>
        <v>318361.66000000003</v>
      </c>
      <c r="G131" s="754">
        <f>+Compiègne!F131+Amiens!F131+Cambrai!F131+Caudry!F131</f>
        <v>294836.10666666669</v>
      </c>
      <c r="H131" s="805">
        <v>243705.47779999999</v>
      </c>
      <c r="I131" s="755">
        <f>+Compiègne!G131+Amiens!G131+Cambrai!G131+Caudry!G131</f>
        <v>316775</v>
      </c>
      <c r="J131" s="756">
        <f>+IF((F131)=0,,(G131-F131)/F131)</f>
        <v>-7.3895686224695972E-2</v>
      </c>
      <c r="K131" s="757">
        <f>+IF((G131)=0,,(I131-G131)/G131)</f>
        <v>7.4410470214683708E-2</v>
      </c>
      <c r="L131" s="753">
        <f>+Dijon!D131+Eu!D131+Nancy!D131+Roanne!D131</f>
        <v>537890</v>
      </c>
      <c r="M131" s="678">
        <f t="shared" si="6"/>
        <v>1</v>
      </c>
      <c r="N131" s="1092">
        <f>SUBTOTAL(9,B131:E131)</f>
        <v>316775</v>
      </c>
    </row>
    <row r="132" spans="1:14" s="2" customFormat="1" ht="11.25">
      <c r="A132" s="590" t="s">
        <v>149</v>
      </c>
      <c r="B132" s="805">
        <f>+Cambrai!G132</f>
        <v>0</v>
      </c>
      <c r="C132" s="805">
        <f>+Caudry!G132</f>
        <v>0</v>
      </c>
      <c r="D132" s="805">
        <f>+Amiens!$G132</f>
        <v>0</v>
      </c>
      <c r="E132" s="805">
        <f>+Compiègne!$G132</f>
        <v>0</v>
      </c>
      <c r="F132" s="753">
        <f>+Compiègne!E132+Amiens!E132+Cambrai!E132+Caudry!E132</f>
        <v>-287.89999999999998</v>
      </c>
      <c r="G132" s="754">
        <f>+Compiègne!F132+Amiens!F132+Cambrai!F132+Caudry!F132</f>
        <v>-7740</v>
      </c>
      <c r="H132" s="805">
        <v>243706.47779999999</v>
      </c>
      <c r="I132" s="755">
        <f>+Compiègne!G132+Amiens!G132+Cambrai!G132+Caudry!G132</f>
        <v>0</v>
      </c>
      <c r="J132" s="1013">
        <f t="shared" ref="J132:J151" si="18">+IF((F132)=0,,(G132-F132)/F132)</f>
        <v>25.884334838485589</v>
      </c>
      <c r="K132" s="1014">
        <f t="shared" ref="K132:K151" si="19">+IF((G132)=0,,(I132-G132)/G132)</f>
        <v>-1</v>
      </c>
      <c r="L132" s="805">
        <f>+Dijon!D132+Eu!D132+Nancy!D132+Roanne!D132</f>
        <v>0</v>
      </c>
      <c r="M132" s="2">
        <f t="shared" si="6"/>
        <v>1</v>
      </c>
    </row>
    <row r="133" spans="1:14" s="678" customFormat="1">
      <c r="A133" s="690" t="s">
        <v>150</v>
      </c>
      <c r="B133" s="753">
        <f>+Cambrai!G133</f>
        <v>0</v>
      </c>
      <c r="C133" s="753">
        <f>+Caudry!G133</f>
        <v>0</v>
      </c>
      <c r="D133" s="753">
        <f>+Amiens!$G133</f>
        <v>0</v>
      </c>
      <c r="E133" s="753">
        <f>+Compiègne!$G133</f>
        <v>0</v>
      </c>
      <c r="F133" s="753">
        <f>+Compiègne!E133+Amiens!E133+Cambrai!E133+Caudry!E133</f>
        <v>0</v>
      </c>
      <c r="G133" s="754">
        <f>+Compiègne!F133+Amiens!F133+Cambrai!F133+Caudry!F133</f>
        <v>0</v>
      </c>
      <c r="H133" s="805">
        <v>243707.47779999999</v>
      </c>
      <c r="I133" s="755">
        <f>+Compiègne!G133+Amiens!G133+Cambrai!G133+Caudry!G133</f>
        <v>0</v>
      </c>
      <c r="J133" s="756">
        <f t="shared" si="18"/>
        <v>0</v>
      </c>
      <c r="K133" s="757">
        <f t="shared" si="19"/>
        <v>0</v>
      </c>
      <c r="L133" s="753">
        <f>+Dijon!D133+Eu!D133+Nancy!D133+Roanne!D133</f>
        <v>0</v>
      </c>
      <c r="M133" s="678">
        <f t="shared" si="6"/>
        <v>1</v>
      </c>
      <c r="N133" s="1092">
        <f>SUBTOTAL(9,B133:E133)</f>
        <v>0</v>
      </c>
    </row>
    <row r="134" spans="1:14" s="2" customFormat="1" ht="11.25">
      <c r="A134" s="590" t="s">
        <v>151</v>
      </c>
      <c r="B134" s="805">
        <f>+Cambrai!G134</f>
        <v>0</v>
      </c>
      <c r="C134" s="805">
        <f>+Caudry!G134</f>
        <v>0</v>
      </c>
      <c r="D134" s="805">
        <f>+Amiens!$G134</f>
        <v>0</v>
      </c>
      <c r="E134" s="805">
        <f>+Compiègne!$G134</f>
        <v>0</v>
      </c>
      <c r="F134" s="753">
        <f>+Compiègne!E134+Amiens!E134+Cambrai!E134+Caudry!E134</f>
        <v>-1175.2900000000009</v>
      </c>
      <c r="G134" s="754">
        <f>+Compiègne!F134+Amiens!F134+Cambrai!F134+Caudry!F134</f>
        <v>0</v>
      </c>
      <c r="H134" s="805">
        <v>243708.47779999999</v>
      </c>
      <c r="I134" s="755">
        <f>+Compiègne!G134+Amiens!G134+Cambrai!G134+Caudry!G134</f>
        <v>0</v>
      </c>
      <c r="J134" s="1013">
        <f t="shared" si="18"/>
        <v>-1</v>
      </c>
      <c r="K134" s="1014">
        <f t="shared" si="19"/>
        <v>0</v>
      </c>
      <c r="L134" s="805">
        <f>+Dijon!D134+Eu!D134+Nancy!D134+Roanne!D134</f>
        <v>0</v>
      </c>
      <c r="M134" s="2">
        <f t="shared" si="6"/>
        <v>1</v>
      </c>
    </row>
    <row r="135" spans="1:14" s="678" customFormat="1">
      <c r="A135" s="690" t="s">
        <v>114</v>
      </c>
      <c r="B135" s="753">
        <f>+Cambrai!G135</f>
        <v>0</v>
      </c>
      <c r="C135" s="753">
        <f>+Caudry!G135</f>
        <v>0</v>
      </c>
      <c r="D135" s="753">
        <f>+Amiens!$G135</f>
        <v>0</v>
      </c>
      <c r="E135" s="753">
        <f>+Compiègne!$G135</f>
        <v>0</v>
      </c>
      <c r="F135" s="753">
        <f>+Compiègne!E135+Amiens!E135+Cambrai!E135+Caudry!E135</f>
        <v>97</v>
      </c>
      <c r="G135" s="754">
        <f>+Compiègne!F135+Amiens!F135+Cambrai!F135+Caudry!F135</f>
        <v>9333.6400000000012</v>
      </c>
      <c r="H135" s="805">
        <v>243709.47779999999</v>
      </c>
      <c r="I135" s="755">
        <f>+Compiègne!G135+Amiens!G135+Cambrai!G135+Caudry!G135</f>
        <v>0</v>
      </c>
      <c r="J135" s="756">
        <f t="shared" si="18"/>
        <v>95.223092783505166</v>
      </c>
      <c r="K135" s="757">
        <f t="shared" si="19"/>
        <v>-1</v>
      </c>
      <c r="L135" s="753">
        <f>+Dijon!D135+Eu!D135+Nancy!D135+Roanne!D135</f>
        <v>1092.7559294168752</v>
      </c>
      <c r="M135" s="678">
        <f t="shared" si="6"/>
        <v>1</v>
      </c>
      <c r="N135" s="1092">
        <f>SUBTOTAL(9,B135:E135)</f>
        <v>0</v>
      </c>
    </row>
    <row r="136" spans="1:14" s="2" customFormat="1" ht="11.25">
      <c r="A136" s="590" t="s">
        <v>338</v>
      </c>
      <c r="B136" s="805">
        <f>+Cambrai!G136</f>
        <v>0</v>
      </c>
      <c r="C136" s="805">
        <f>+Caudry!G136</f>
        <v>0</v>
      </c>
      <c r="D136" s="805">
        <f>+Amiens!$G136</f>
        <v>0</v>
      </c>
      <c r="E136" s="805">
        <f>+Compiègne!$G136</f>
        <v>0</v>
      </c>
      <c r="F136" s="753">
        <f>+Compiègne!E136+Amiens!E136+Cambrai!E136+Caudry!E136</f>
        <v>0</v>
      </c>
      <c r="G136" s="754">
        <f>+Compiègne!F136+Amiens!F136+Cambrai!F136+Caudry!F136</f>
        <v>0</v>
      </c>
      <c r="H136" s="805">
        <v>243710.47779999999</v>
      </c>
      <c r="I136" s="755">
        <f>+Compiègne!G136+Amiens!G136+Cambrai!G136+Caudry!G136</f>
        <v>0</v>
      </c>
      <c r="J136" s="1013">
        <f t="shared" si="18"/>
        <v>0</v>
      </c>
      <c r="K136" s="1014">
        <f t="shared" si="19"/>
        <v>0</v>
      </c>
      <c r="L136" s="805">
        <f>+Dijon!D136+Eu!D136+Nancy!D136+Roanne!D136</f>
        <v>0</v>
      </c>
      <c r="M136" s="2">
        <f t="shared" ref="M136:M199" si="20">IF(SUM(B136:L136)&gt;0,1,0)</f>
        <v>1</v>
      </c>
    </row>
    <row r="137" spans="1:14" s="2" customFormat="1" ht="11.25">
      <c r="A137" s="590" t="s">
        <v>87</v>
      </c>
      <c r="B137" s="805">
        <f>+Cambrai!G137</f>
        <v>0</v>
      </c>
      <c r="C137" s="805">
        <f>+Caudry!G137</f>
        <v>0</v>
      </c>
      <c r="D137" s="805">
        <f>+Amiens!$G137</f>
        <v>0</v>
      </c>
      <c r="E137" s="805">
        <f>+Compiègne!$G137</f>
        <v>0</v>
      </c>
      <c r="F137" s="753">
        <f>+Compiègne!E137+Amiens!E137+Cambrai!E137+Caudry!E137</f>
        <v>-22777.360000000001</v>
      </c>
      <c r="G137" s="754">
        <f>+Compiègne!F137+Amiens!F137+Cambrai!F137+Caudry!F137</f>
        <v>-7463.4933333333338</v>
      </c>
      <c r="H137" s="805">
        <v>243711.47779999999</v>
      </c>
      <c r="I137" s="755">
        <f>+Compiègne!G137+Amiens!G137+Cambrai!G137+Caudry!G137</f>
        <v>0</v>
      </c>
      <c r="J137" s="1013">
        <f t="shared" si="18"/>
        <v>-0.67232842904825962</v>
      </c>
      <c r="K137" s="1014">
        <f t="shared" si="19"/>
        <v>-1</v>
      </c>
      <c r="L137" s="805">
        <f>+Dijon!D137+Eu!D137+Nancy!D137+Roanne!D137</f>
        <v>0</v>
      </c>
      <c r="M137" s="2">
        <f t="shared" si="20"/>
        <v>1</v>
      </c>
    </row>
    <row r="138" spans="1:14" s="2" customFormat="1" ht="11.25">
      <c r="A138" s="590" t="s">
        <v>152</v>
      </c>
      <c r="B138" s="805">
        <f>+Cambrai!G138</f>
        <v>0</v>
      </c>
      <c r="C138" s="805">
        <f>+Caudry!G138</f>
        <v>0</v>
      </c>
      <c r="D138" s="805">
        <f>+Amiens!$G138</f>
        <v>0</v>
      </c>
      <c r="E138" s="805">
        <f>+Compiègne!$G138</f>
        <v>0</v>
      </c>
      <c r="F138" s="753">
        <f>+Compiègne!E138+Amiens!E138+Cambrai!E138+Caudry!E138</f>
        <v>-514.3100000000004</v>
      </c>
      <c r="G138" s="754">
        <f>+Compiègne!F138+Amiens!F138+Cambrai!F138+Caudry!F138</f>
        <v>0</v>
      </c>
      <c r="H138" s="805">
        <v>243712.47779999999</v>
      </c>
      <c r="I138" s="755">
        <f>+Compiègne!G138+Amiens!G138+Cambrai!G138+Caudry!G138</f>
        <v>0</v>
      </c>
      <c r="J138" s="1013">
        <f t="shared" si="18"/>
        <v>-1</v>
      </c>
      <c r="K138" s="1014">
        <f t="shared" si="19"/>
        <v>0</v>
      </c>
      <c r="L138" s="805">
        <f>+Dijon!D138+Eu!D138+Nancy!D138+Roanne!D138</f>
        <v>0</v>
      </c>
      <c r="M138" s="2">
        <f t="shared" si="20"/>
        <v>1</v>
      </c>
    </row>
    <row r="139" spans="1:14" s="2" customFormat="1" ht="11.25">
      <c r="A139" s="590" t="s">
        <v>153</v>
      </c>
      <c r="B139" s="805">
        <f>+Cambrai!G139</f>
        <v>0</v>
      </c>
      <c r="C139" s="805">
        <f>+Caudry!G139</f>
        <v>0</v>
      </c>
      <c r="D139" s="805">
        <f>+Amiens!$G139</f>
        <v>0</v>
      </c>
      <c r="E139" s="805">
        <f>+Compiègne!$G139</f>
        <v>0</v>
      </c>
      <c r="F139" s="753">
        <f>+Compiègne!E139+Amiens!E139+Cambrai!E139+Caudry!E139</f>
        <v>0</v>
      </c>
      <c r="G139" s="754">
        <f>+Compiègne!F139+Amiens!F139+Cambrai!F139+Caudry!F139</f>
        <v>0</v>
      </c>
      <c r="H139" s="805">
        <v>243713.47779999999</v>
      </c>
      <c r="I139" s="755">
        <f>+Compiègne!G139+Amiens!G139+Cambrai!G139+Caudry!G139</f>
        <v>0</v>
      </c>
      <c r="J139" s="1013">
        <f t="shared" si="18"/>
        <v>0</v>
      </c>
      <c r="K139" s="1014">
        <f t="shared" si="19"/>
        <v>0</v>
      </c>
      <c r="L139" s="805">
        <f>+Dijon!D139+Eu!D139+Nancy!D139+Roanne!D139</f>
        <v>0</v>
      </c>
      <c r="M139" s="2">
        <f t="shared" si="20"/>
        <v>1</v>
      </c>
    </row>
    <row r="140" spans="1:14" s="678" customFormat="1">
      <c r="A140" s="690" t="s">
        <v>154</v>
      </c>
      <c r="B140" s="753">
        <f>+Cambrai!G140</f>
        <v>0</v>
      </c>
      <c r="C140" s="753">
        <f>+Caudry!G140</f>
        <v>0</v>
      </c>
      <c r="D140" s="753">
        <f>+Amiens!$G140</f>
        <v>0</v>
      </c>
      <c r="E140" s="753">
        <f>+Compiègne!$G140</f>
        <v>0</v>
      </c>
      <c r="F140" s="753">
        <f>+Compiègne!E140+Amiens!E140+Cambrai!E140+Caudry!E140</f>
        <v>0</v>
      </c>
      <c r="G140" s="754">
        <f>+Compiègne!F140+Amiens!F140+Cambrai!F140+Caudry!F140</f>
        <v>-1.3333333333333332E-2</v>
      </c>
      <c r="H140" s="805">
        <v>243714.47779999999</v>
      </c>
      <c r="I140" s="755">
        <f>+Compiègne!G140+Amiens!G140+Cambrai!G140+Caudry!G140</f>
        <v>0</v>
      </c>
      <c r="J140" s="756">
        <f t="shared" si="18"/>
        <v>0</v>
      </c>
      <c r="K140" s="757">
        <f t="shared" si="19"/>
        <v>-1</v>
      </c>
      <c r="L140" s="753">
        <f>+Dijon!D140+Eu!D140+Nancy!D140+Roanne!D140</f>
        <v>0</v>
      </c>
      <c r="M140" s="678">
        <f t="shared" si="20"/>
        <v>1</v>
      </c>
      <c r="N140" s="1092">
        <f t="shared" ref="N140:N145" si="21">SUBTOTAL(9,B140:E140)</f>
        <v>0</v>
      </c>
    </row>
    <row r="141" spans="1:14" s="678" customFormat="1">
      <c r="A141" s="690" t="s">
        <v>155</v>
      </c>
      <c r="B141" s="753">
        <f>+Cambrai!G141</f>
        <v>17409.758084536839</v>
      </c>
      <c r="C141" s="753">
        <f>+Caudry!G141</f>
        <v>26162.206200786128</v>
      </c>
      <c r="D141" s="753">
        <f>+Amiens!$G141</f>
        <v>-2471.3047662991198</v>
      </c>
      <c r="E141" s="753">
        <f>+Compiègne!$G141</f>
        <v>25983.068193541596</v>
      </c>
      <c r="F141" s="753">
        <f>+Compiègne!E141+Amiens!E141+Cambrai!E141+Caudry!E141</f>
        <v>63007.839999999997</v>
      </c>
      <c r="G141" s="754">
        <f>+Compiègne!F141+Amiens!F141+Cambrai!F141+Caudry!F141</f>
        <v>60609.586666666655</v>
      </c>
      <c r="H141" s="805">
        <v>243715.47779999999</v>
      </c>
      <c r="I141" s="755">
        <f>+Compiègne!G141+Amiens!G141+Cambrai!G141+Caudry!G141</f>
        <v>67083.727712565436</v>
      </c>
      <c r="J141" s="756">
        <f t="shared" si="18"/>
        <v>-3.8062776526434514E-2</v>
      </c>
      <c r="K141" s="757">
        <f t="shared" si="19"/>
        <v>0.10681711263771665</v>
      </c>
      <c r="L141" s="753">
        <f>+Dijon!D141+Eu!D141+Nancy!D141+Roanne!D141</f>
        <v>131553.96877798854</v>
      </c>
      <c r="M141" s="678">
        <f t="shared" si="20"/>
        <v>1</v>
      </c>
      <c r="N141" s="1092">
        <f t="shared" si="21"/>
        <v>67083.727712565436</v>
      </c>
    </row>
    <row r="142" spans="1:14" s="678" customFormat="1">
      <c r="A142" s="690" t="s">
        <v>156</v>
      </c>
      <c r="B142" s="753">
        <f>+Cambrai!G142</f>
        <v>2778.5374396887555</v>
      </c>
      <c r="C142" s="753">
        <f>+Caudry!G142</f>
        <v>1925.8339910936591</v>
      </c>
      <c r="D142" s="753">
        <f>+Amiens!$G142</f>
        <v>3823.5171508535159</v>
      </c>
      <c r="E142" s="753">
        <f>+Compiègne!$G142</f>
        <v>4386.3443644208519</v>
      </c>
      <c r="F142" s="753">
        <f>+Compiègne!E142+Amiens!E142+Cambrai!E142+Caudry!E142</f>
        <v>12316.46</v>
      </c>
      <c r="G142" s="754">
        <f>+Compiègne!F142+Amiens!F142+Cambrai!F142+Caudry!F142</f>
        <v>12009.626666666667</v>
      </c>
      <c r="H142" s="805">
        <v>243716.47779999999</v>
      </c>
      <c r="I142" s="755">
        <f>+Compiègne!G142+Amiens!G142+Cambrai!G142+Caudry!G142</f>
        <v>12914.232946056782</v>
      </c>
      <c r="J142" s="756">
        <f t="shared" si="18"/>
        <v>-2.4912461318701326E-2</v>
      </c>
      <c r="K142" s="757">
        <f t="shared" si="19"/>
        <v>7.5323430486052959E-2</v>
      </c>
      <c r="L142" s="753">
        <f>+Dijon!D142+Eu!D142+Nancy!D142+Roanne!D142</f>
        <v>15128.322380249301</v>
      </c>
      <c r="M142" s="678">
        <f t="shared" si="20"/>
        <v>1</v>
      </c>
      <c r="N142" s="1092">
        <f t="shared" si="21"/>
        <v>12914.232946056782</v>
      </c>
    </row>
    <row r="143" spans="1:14" s="678" customFormat="1">
      <c r="A143" s="690" t="s">
        <v>157</v>
      </c>
      <c r="B143" s="753">
        <f>+Cambrai!G143</f>
        <v>5996.5723470608591</v>
      </c>
      <c r="C143" s="753">
        <f>+Caudry!G143</f>
        <v>4936.3651187174619</v>
      </c>
      <c r="D143" s="753">
        <f>+Amiens!$G143</f>
        <v>11921.306545632959</v>
      </c>
      <c r="E143" s="753">
        <f>+Compiègne!$G143</f>
        <v>5436.4703668088068</v>
      </c>
      <c r="F143" s="753">
        <f>+Compiègne!E143+Amiens!E143+Cambrai!E143+Caudry!E143</f>
        <v>28339.21</v>
      </c>
      <c r="G143" s="754">
        <f>+Compiègne!F143+Amiens!F143+Cambrai!F143+Caudry!F143</f>
        <v>26726.879999999997</v>
      </c>
      <c r="H143" s="805">
        <v>243717.47779999999</v>
      </c>
      <c r="I143" s="755">
        <f>+Compiègne!G143+Amiens!G143+Cambrai!G143+Caudry!G143</f>
        <v>28290.714378220087</v>
      </c>
      <c r="J143" s="756">
        <f t="shared" si="18"/>
        <v>-5.6893964228360697E-2</v>
      </c>
      <c r="K143" s="757">
        <f t="shared" si="19"/>
        <v>5.8511669832770986E-2</v>
      </c>
      <c r="L143" s="753">
        <f>+Dijon!D143+Eu!D143+Nancy!D143+Roanne!D143</f>
        <v>32291.003939082948</v>
      </c>
      <c r="M143" s="678">
        <f t="shared" si="20"/>
        <v>1</v>
      </c>
      <c r="N143" s="1092">
        <f t="shared" si="21"/>
        <v>28290.714378220087</v>
      </c>
    </row>
    <row r="144" spans="1:14" s="678" customFormat="1">
      <c r="A144" s="690" t="s">
        <v>326</v>
      </c>
      <c r="B144" s="753">
        <f>+Cambrai!G144</f>
        <v>0</v>
      </c>
      <c r="C144" s="753">
        <f>+Caudry!G144</f>
        <v>0</v>
      </c>
      <c r="D144" s="753">
        <f>+Amiens!$G144</f>
        <v>343.35248017206607</v>
      </c>
      <c r="E144" s="753">
        <f>+Compiègne!$G144</f>
        <v>0</v>
      </c>
      <c r="F144" s="753">
        <f>+Compiègne!E144+Amiens!E144+Cambrai!E144+Caudry!E144</f>
        <v>1900.76</v>
      </c>
      <c r="G144" s="754">
        <f>+Compiègne!F144+Amiens!F144+Cambrai!F144+Caudry!F144</f>
        <v>346.2</v>
      </c>
      <c r="H144" s="805">
        <v>243718.47779999999</v>
      </c>
      <c r="I144" s="755">
        <f>+Compiègne!G144+Amiens!G144+Cambrai!G144+Caudry!G144</f>
        <v>343.35248017206607</v>
      </c>
      <c r="J144" s="756">
        <f t="shared" si="18"/>
        <v>-0.81786232875270937</v>
      </c>
      <c r="K144" s="757">
        <f t="shared" si="19"/>
        <v>-8.2250717155803663E-3</v>
      </c>
      <c r="L144" s="753">
        <f>+Dijon!D144+Eu!D144+Nancy!D144+Roanne!D144</f>
        <v>278.76778720979718</v>
      </c>
      <c r="M144" s="678">
        <f t="shared" si="20"/>
        <v>1</v>
      </c>
      <c r="N144" s="1092">
        <f t="shared" si="21"/>
        <v>343.35248017206607</v>
      </c>
    </row>
    <row r="145" spans="1:14" s="678" customFormat="1">
      <c r="A145" s="690" t="s">
        <v>158</v>
      </c>
      <c r="B145" s="753">
        <f>+Cambrai!G145</f>
        <v>4235.9637292244061</v>
      </c>
      <c r="C145" s="753">
        <f>+Caudry!G145</f>
        <v>3526.6864854798505</v>
      </c>
      <c r="D145" s="753">
        <f>+Amiens!$G145</f>
        <v>5835.5904543598153</v>
      </c>
      <c r="E145" s="753">
        <f>+Compiègne!$G145</f>
        <v>3384.4578362643656</v>
      </c>
      <c r="F145" s="753">
        <f>+Compiègne!E145+Amiens!E145+Cambrai!E145+Caudry!E145</f>
        <v>16739.349999999999</v>
      </c>
      <c r="G145" s="754">
        <f>+Compiègne!F145+Amiens!F145+Cambrai!F145+Caudry!F145</f>
        <v>15899.599999999999</v>
      </c>
      <c r="H145" s="805">
        <v>243719.47779999999</v>
      </c>
      <c r="I145" s="755">
        <f>+Compiègne!G145+Amiens!G145+Cambrai!G145+Caudry!G145</f>
        <v>16982.698505328437</v>
      </c>
      <c r="J145" s="756">
        <f t="shared" si="18"/>
        <v>-5.0166225092372167E-2</v>
      </c>
      <c r="K145" s="757">
        <f t="shared" si="19"/>
        <v>6.8121116589627329E-2</v>
      </c>
      <c r="L145" s="753">
        <f>+Dijon!D145+Eu!D145+Nancy!D145+Roanne!D145</f>
        <v>21367.615767563559</v>
      </c>
      <c r="M145" s="678">
        <f t="shared" si="20"/>
        <v>1</v>
      </c>
      <c r="N145" s="1092">
        <f t="shared" si="21"/>
        <v>16982.698505328437</v>
      </c>
    </row>
    <row r="146" spans="1:14" s="2" customFormat="1" ht="11.25">
      <c r="A146" s="590" t="s">
        <v>159</v>
      </c>
      <c r="B146" s="805">
        <f>+Cambrai!G146</f>
        <v>0</v>
      </c>
      <c r="C146" s="805">
        <f>+Caudry!G146</f>
        <v>0</v>
      </c>
      <c r="D146" s="805">
        <f>+Amiens!$G146</f>
        <v>0</v>
      </c>
      <c r="E146" s="805">
        <f>+Compiègne!$G146</f>
        <v>0</v>
      </c>
      <c r="F146" s="753">
        <f>+Compiègne!E146+Amiens!E146+Cambrai!E146+Caudry!E146</f>
        <v>0</v>
      </c>
      <c r="G146" s="754">
        <f>+Compiègne!F146+Amiens!F146+Cambrai!F146+Caudry!F146</f>
        <v>0</v>
      </c>
      <c r="H146" s="805">
        <v>243720.47779999999</v>
      </c>
      <c r="I146" s="755">
        <f>+Compiègne!G146+Amiens!G146+Cambrai!G146+Caudry!G146</f>
        <v>0</v>
      </c>
      <c r="J146" s="1013">
        <f t="shared" si="18"/>
        <v>0</v>
      </c>
      <c r="K146" s="1014">
        <f t="shared" si="19"/>
        <v>0</v>
      </c>
      <c r="L146" s="805">
        <f>+Dijon!D146+Eu!D146+Nancy!D146+Roanne!D146</f>
        <v>0</v>
      </c>
      <c r="M146" s="2">
        <f t="shared" si="20"/>
        <v>1</v>
      </c>
    </row>
    <row r="147" spans="1:14" s="678" customFormat="1">
      <c r="A147" s="690" t="s">
        <v>160</v>
      </c>
      <c r="B147" s="753">
        <f>+Cambrai!G147</f>
        <v>678.02840000000003</v>
      </c>
      <c r="C147" s="753">
        <f>+Caudry!G147</f>
        <v>948.69866666666667</v>
      </c>
      <c r="D147" s="753">
        <f>+Amiens!$G147</f>
        <v>-3404.3422666666665</v>
      </c>
      <c r="E147" s="753">
        <f>+Compiègne!$G147</f>
        <v>454.84799999999996</v>
      </c>
      <c r="F147" s="753">
        <f>+Compiègne!E147+Amiens!E147+Cambrai!E147+Caudry!E147</f>
        <v>-114.25999999999999</v>
      </c>
      <c r="G147" s="754">
        <f>+Compiègne!F147+Amiens!F147+Cambrai!F147+Caudry!F147</f>
        <v>-1284.2399999999998</v>
      </c>
      <c r="H147" s="805">
        <v>243721.47779999999</v>
      </c>
      <c r="I147" s="755">
        <f>+Compiègne!G147+Amiens!G147+Cambrai!G147+Caudry!G147</f>
        <v>-1322.7671999999998</v>
      </c>
      <c r="J147" s="756">
        <f t="shared" si="18"/>
        <v>10.239628916506213</v>
      </c>
      <c r="K147" s="757">
        <f t="shared" si="19"/>
        <v>0.03</v>
      </c>
      <c r="L147" s="753">
        <f>+Dijon!D147+Eu!D147+Nancy!D147+Roanne!D147</f>
        <v>-363.71879583500004</v>
      </c>
      <c r="M147" s="678">
        <f t="shared" si="20"/>
        <v>1</v>
      </c>
      <c r="N147" s="1092">
        <f>SUBTOTAL(9,B147:E147)</f>
        <v>-1322.7671999999998</v>
      </c>
    </row>
    <row r="148" spans="1:14" s="678" customFormat="1">
      <c r="A148" s="690" t="s">
        <v>161</v>
      </c>
      <c r="B148" s="753">
        <f>+Cambrai!G148</f>
        <v>0</v>
      </c>
      <c r="C148" s="753">
        <f>+Caudry!G148</f>
        <v>0</v>
      </c>
      <c r="D148" s="753">
        <f>+Amiens!$G148</f>
        <v>0</v>
      </c>
      <c r="E148" s="753">
        <f>+Compiègne!$G148</f>
        <v>0</v>
      </c>
      <c r="F148" s="753">
        <f>+Compiègne!E148+Amiens!E148+Cambrai!E148+Caudry!E148</f>
        <v>161.94</v>
      </c>
      <c r="G148" s="754">
        <f>+Compiègne!F148+Amiens!F148+Cambrai!F148+Caudry!F148</f>
        <v>0</v>
      </c>
      <c r="H148" s="805">
        <v>243722.47779999999</v>
      </c>
      <c r="I148" s="755">
        <f>+Compiègne!G148+Amiens!G148+Cambrai!G148+Caudry!G148</f>
        <v>0</v>
      </c>
      <c r="J148" s="756">
        <f t="shared" si="18"/>
        <v>-1</v>
      </c>
      <c r="K148" s="757">
        <f t="shared" si="19"/>
        <v>0</v>
      </c>
      <c r="L148" s="753">
        <f>+Dijon!D148+Eu!D148+Nancy!D148+Roanne!D148</f>
        <v>169.50262510875001</v>
      </c>
      <c r="M148" s="678">
        <f t="shared" si="20"/>
        <v>1</v>
      </c>
      <c r="N148" s="1092">
        <f>SUBTOTAL(9,B148:E148)</f>
        <v>0</v>
      </c>
    </row>
    <row r="149" spans="1:14" s="678" customFormat="1">
      <c r="A149" s="690" t="s">
        <v>162</v>
      </c>
      <c r="B149" s="753">
        <f>+Cambrai!G149</f>
        <v>0</v>
      </c>
      <c r="C149" s="753">
        <f>+Caudry!G149</f>
        <v>0</v>
      </c>
      <c r="D149" s="753">
        <f>+Amiens!$G149</f>
        <v>0</v>
      </c>
      <c r="E149" s="753">
        <f>+Compiègne!$G149</f>
        <v>0</v>
      </c>
      <c r="F149" s="753">
        <f>+Compiègne!E149+Amiens!E149+Cambrai!E149+Caudry!E149</f>
        <v>206.4</v>
      </c>
      <c r="G149" s="754">
        <f>+Compiègne!F149+Amiens!F149+Cambrai!F149+Caudry!F149</f>
        <v>0</v>
      </c>
      <c r="H149" s="805">
        <v>243723.47779999999</v>
      </c>
      <c r="I149" s="755">
        <f>+Compiègne!G149+Amiens!G149+Cambrai!G149+Caudry!G149</f>
        <v>0</v>
      </c>
      <c r="J149" s="756">
        <f t="shared" si="18"/>
        <v>-1</v>
      </c>
      <c r="K149" s="757">
        <f t="shared" si="19"/>
        <v>0</v>
      </c>
      <c r="L149" s="753">
        <f>+Dijon!D149+Eu!D149+Nancy!D149+Roanne!D149</f>
        <v>402.86441993541666</v>
      </c>
      <c r="M149" s="678">
        <f t="shared" si="20"/>
        <v>1</v>
      </c>
      <c r="N149" s="1092">
        <f>SUBTOTAL(9,B149:E149)</f>
        <v>0</v>
      </c>
    </row>
    <row r="150" spans="1:14" s="678" customFormat="1">
      <c r="A150" s="690" t="s">
        <v>163</v>
      </c>
      <c r="B150" s="753">
        <f>+Cambrai!G150</f>
        <v>603.15426666666667</v>
      </c>
      <c r="C150" s="753">
        <f>+Caudry!G150</f>
        <v>331.70119999999997</v>
      </c>
      <c r="D150" s="753">
        <f>+Amiens!$G150</f>
        <v>0</v>
      </c>
      <c r="E150" s="753">
        <f>+Compiègne!$G150</f>
        <v>280.16000000000003</v>
      </c>
      <c r="F150" s="753">
        <f>+Compiègne!E150+Amiens!E150+Cambrai!E150+Caudry!E150</f>
        <v>1111.31</v>
      </c>
      <c r="G150" s="754">
        <f>+Compiègne!F150+Amiens!F150+Cambrai!F150+Caudry!F150</f>
        <v>1179.6266666666666</v>
      </c>
      <c r="H150" s="805">
        <v>243724.47779999999</v>
      </c>
      <c r="I150" s="755">
        <f>+Compiègne!G150+Amiens!G150+Cambrai!G150+Caudry!G150</f>
        <v>1215.0154666666667</v>
      </c>
      <c r="J150" s="756">
        <f t="shared" si="18"/>
        <v>6.1473996154688258E-2</v>
      </c>
      <c r="K150" s="757">
        <f t="shared" si="19"/>
        <v>3.0000000000000152E-2</v>
      </c>
      <c r="L150" s="753">
        <f>+Dijon!D150+Eu!D150+Nancy!D150+Roanne!D150</f>
        <v>2255.8748737646606</v>
      </c>
      <c r="M150" s="678">
        <f t="shared" si="20"/>
        <v>1</v>
      </c>
      <c r="N150" s="1092">
        <f>SUBTOTAL(9,B150:E150)</f>
        <v>1215.0154666666667</v>
      </c>
    </row>
    <row r="151" spans="1:14" s="678" customFormat="1">
      <c r="A151" s="690" t="s">
        <v>58</v>
      </c>
      <c r="B151" s="753">
        <f>+Cambrai!G152</f>
        <v>0</v>
      </c>
      <c r="C151" s="753">
        <f>+Caudry!G152</f>
        <v>0</v>
      </c>
      <c r="D151" s="753">
        <f>+Amiens!$G152</f>
        <v>0</v>
      </c>
      <c r="E151" s="753">
        <f>+Compiègne!$G152</f>
        <v>0</v>
      </c>
      <c r="F151" s="753">
        <f>+Compiègne!E151+Amiens!E151+Cambrai!E151+Caudry!E151</f>
        <v>0</v>
      </c>
      <c r="G151" s="754">
        <f>+Compiègne!F151+Amiens!F151+Cambrai!F151+Caudry!F151</f>
        <v>0</v>
      </c>
      <c r="H151" s="805">
        <v>243725.47779999999</v>
      </c>
      <c r="I151" s="755">
        <f>+Compiègne!G151+Amiens!G151+Cambrai!G151+Caudry!G151</f>
        <v>0</v>
      </c>
      <c r="J151" s="756">
        <f t="shared" si="18"/>
        <v>0</v>
      </c>
      <c r="K151" s="757">
        <f t="shared" si="19"/>
        <v>0</v>
      </c>
      <c r="L151" s="753">
        <f>+Dijon!D152+Eu!D152+Nancy!D152+Roanne!D152</f>
        <v>6085.3275945000005</v>
      </c>
      <c r="M151" s="678">
        <f t="shared" si="20"/>
        <v>1</v>
      </c>
      <c r="N151" s="1092">
        <f>SUBTOTAL(9,B151:E151)</f>
        <v>0</v>
      </c>
    </row>
    <row r="152" spans="1:14" s="2" customFormat="1" ht="11.25" hidden="1">
      <c r="A152" s="590"/>
      <c r="B152" s="805"/>
      <c r="C152" s="805"/>
      <c r="D152" s="805"/>
      <c r="E152" s="805"/>
      <c r="F152" s="805"/>
      <c r="G152" s="1081"/>
      <c r="H152" s="805"/>
      <c r="I152" s="805"/>
      <c r="J152" s="1013"/>
      <c r="K152" s="1081"/>
      <c r="L152" s="805"/>
      <c r="M152" s="2">
        <f t="shared" si="20"/>
        <v>0</v>
      </c>
    </row>
    <row r="153" spans="1:14" s="678" customFormat="1">
      <c r="A153" s="695" t="s">
        <v>164</v>
      </c>
      <c r="B153" s="758">
        <f t="shared" ref="B153:G153" si="22">SUM(B130:B152)</f>
        <v>113912.01426717751</v>
      </c>
      <c r="C153" s="758">
        <f t="shared" si="22"/>
        <v>127923.49166274375</v>
      </c>
      <c r="D153" s="758">
        <f t="shared" si="22"/>
        <v>72246.119598052552</v>
      </c>
      <c r="E153" s="758">
        <f t="shared" si="22"/>
        <v>128200.34876103561</v>
      </c>
      <c r="F153" s="758">
        <f t="shared" si="22"/>
        <v>417372.81000000006</v>
      </c>
      <c r="G153" s="764">
        <f t="shared" si="22"/>
        <v>404453.52</v>
      </c>
      <c r="H153" s="803">
        <v>342495.1080067376</v>
      </c>
      <c r="I153" s="758">
        <f>SUM(I130:I152)</f>
        <v>442281.97428900946</v>
      </c>
      <c r="J153" s="759">
        <f>+IF((F153)=0,,(G153-F153)/F153)</f>
        <v>-3.0953837170178949E-2</v>
      </c>
      <c r="K153" s="760">
        <f>+IF((G153)=0,,(I153-G153)/G153)</f>
        <v>9.3529793705366793E-2</v>
      </c>
      <c r="L153" s="758">
        <f>SUM(L130:L152)</f>
        <v>748152.28529898485</v>
      </c>
      <c r="M153" s="678">
        <f t="shared" si="20"/>
        <v>1</v>
      </c>
      <c r="N153" s="1092">
        <f>SUBTOTAL(9,B153:E153)</f>
        <v>442281.97428900941</v>
      </c>
    </row>
    <row r="154" spans="1:14" s="2" customFormat="1" ht="11.25" hidden="1">
      <c r="A154" s="590"/>
      <c r="B154" s="805"/>
      <c r="C154" s="805"/>
      <c r="D154" s="805"/>
      <c r="E154" s="805"/>
      <c r="F154" s="805"/>
      <c r="G154" s="1081"/>
      <c r="H154" s="805"/>
      <c r="I154" s="805"/>
      <c r="J154" s="1013"/>
      <c r="K154" s="1081"/>
      <c r="L154" s="805"/>
      <c r="M154" s="2">
        <f t="shared" si="20"/>
        <v>0</v>
      </c>
    </row>
    <row r="155" spans="1:14" s="678" customFormat="1">
      <c r="A155" s="690" t="s">
        <v>227</v>
      </c>
      <c r="B155" s="753">
        <f>+Cambrai!G156</f>
        <v>6372.0232993287009</v>
      </c>
      <c r="C155" s="753">
        <f>+Caudry!G156</f>
        <v>9074.3786751600019</v>
      </c>
      <c r="D155" s="753">
        <f>+Amiens!$G156</f>
        <v>6677.0521636248013</v>
      </c>
      <c r="E155" s="753">
        <f>+Compiègne!$G156</f>
        <v>12148.921116984602</v>
      </c>
      <c r="F155" s="753">
        <f>+Compiègne!E156+Amiens!E156+Cambrai!E156+Caudry!E156</f>
        <v>11133.46</v>
      </c>
      <c r="G155" s="754">
        <f>+Compiègne!F156+Amiens!F156+Cambrai!F156+Caudry!F156</f>
        <v>19291.946666666667</v>
      </c>
      <c r="H155" s="805">
        <v>44569.634184999995</v>
      </c>
      <c r="I155" s="755">
        <f>+Compiègne!G156+Amiens!G156+Cambrai!G156+Caudry!G156</f>
        <v>34272.375255098101</v>
      </c>
      <c r="J155" s="756">
        <f>+IF((F155)=0,,(G155-F155)/F155)</f>
        <v>0.73278986646259725</v>
      </c>
      <c r="K155" s="757">
        <f>+IF((G155)=0,,(I155-G155)/G155)</f>
        <v>0.77651202583486134</v>
      </c>
      <c r="L155" s="753">
        <f>+Dijon!D156+Eu!D156+Nancy!D156+Roanne!D156</f>
        <v>42389.678066784021</v>
      </c>
      <c r="M155" s="678">
        <f t="shared" si="20"/>
        <v>1</v>
      </c>
      <c r="N155" s="1092">
        <f>SUBTOTAL(9,B155:E155)</f>
        <v>34272.375255098108</v>
      </c>
    </row>
    <row r="156" spans="1:14" s="2" customFormat="1" ht="11.25">
      <c r="A156" s="590" t="s">
        <v>165</v>
      </c>
      <c r="B156" s="805">
        <f>+Cambrai!G157</f>
        <v>0</v>
      </c>
      <c r="C156" s="805">
        <f>+Caudry!G157</f>
        <v>0</v>
      </c>
      <c r="D156" s="805">
        <f>+Amiens!$G157</f>
        <v>0</v>
      </c>
      <c r="E156" s="805">
        <f>+Compiègne!$G157</f>
        <v>0</v>
      </c>
      <c r="F156" s="753">
        <f>+Compiègne!E157+Amiens!E157+Cambrai!E157+Caudry!E157</f>
        <v>-13927.299999999997</v>
      </c>
      <c r="G156" s="754">
        <f>+Compiègne!F157+Amiens!F157+Cambrai!F157+Caudry!F157</f>
        <v>-9990.7333333333336</v>
      </c>
      <c r="H156" s="805">
        <v>44570.634185000003</v>
      </c>
      <c r="I156" s="755">
        <f>+Compiègne!G157+Amiens!G157+Cambrai!G157+Caudry!G157</f>
        <v>0</v>
      </c>
      <c r="J156" s="1013">
        <f t="shared" ref="J156:J165" si="23">+IF((F156)=0,,(G156-F156)/F156)</f>
        <v>-0.28265110011751488</v>
      </c>
      <c r="K156" s="1014">
        <f t="shared" ref="K156:K165" si="24">+IF((G156)=0,,(I156-G156)/G156)</f>
        <v>-1</v>
      </c>
      <c r="L156" s="805">
        <f>+Dijon!D157+Eu!D157+Nancy!D157+Roanne!D157</f>
        <v>0</v>
      </c>
      <c r="M156" s="2">
        <f t="shared" si="20"/>
        <v>1</v>
      </c>
    </row>
    <row r="157" spans="1:14" s="678" customFormat="1">
      <c r="A157" s="690" t="s">
        <v>166</v>
      </c>
      <c r="B157" s="753">
        <f>+Cambrai!G158</f>
        <v>0</v>
      </c>
      <c r="C157" s="753">
        <f>+Caudry!G158</f>
        <v>0</v>
      </c>
      <c r="D157" s="753">
        <f>+Amiens!$G158</f>
        <v>0</v>
      </c>
      <c r="E157" s="753">
        <f>+Compiègne!$G158</f>
        <v>0</v>
      </c>
      <c r="F157" s="753">
        <f>+Compiègne!E158+Amiens!E158+Cambrai!E158+Caudry!E158</f>
        <v>20389.740000000002</v>
      </c>
      <c r="G157" s="754">
        <f>+Compiègne!F158+Amiens!F158+Cambrai!F158+Caudry!F158</f>
        <v>11740.786666666667</v>
      </c>
      <c r="H157" s="805">
        <v>44571.634185000003</v>
      </c>
      <c r="I157" s="755">
        <f>+Compiègne!G158+Amiens!G158+Cambrai!G158+Caudry!G158</f>
        <v>0</v>
      </c>
      <c r="J157" s="756">
        <f t="shared" si="23"/>
        <v>-0.424181639066184</v>
      </c>
      <c r="K157" s="757">
        <f t="shared" si="24"/>
        <v>-1</v>
      </c>
      <c r="L157" s="753">
        <f>+Dijon!D158+Eu!D158+Nancy!D158+Roanne!D158</f>
        <v>0</v>
      </c>
      <c r="M157" s="678">
        <f t="shared" si="20"/>
        <v>1</v>
      </c>
      <c r="N157" s="1092">
        <f>SUBTOTAL(9,B157:E157)</f>
        <v>0</v>
      </c>
    </row>
    <row r="158" spans="1:14" s="2" customFormat="1" ht="11.25">
      <c r="A158" s="590" t="s">
        <v>60</v>
      </c>
      <c r="B158" s="805">
        <f>+Cambrai!G159</f>
        <v>0</v>
      </c>
      <c r="C158" s="805">
        <f>+Caudry!G159</f>
        <v>0</v>
      </c>
      <c r="D158" s="805">
        <f>+Amiens!$G159</f>
        <v>0</v>
      </c>
      <c r="E158" s="805">
        <f>+Compiègne!$G159</f>
        <v>0</v>
      </c>
      <c r="F158" s="753">
        <f>+Compiègne!E159+Amiens!E159+Cambrai!E159+Caudry!E159</f>
        <v>-2947.79</v>
      </c>
      <c r="G158" s="754">
        <f>+Compiègne!F159+Amiens!F159+Cambrai!F159+Caudry!F159</f>
        <v>326.90666666666669</v>
      </c>
      <c r="H158" s="805">
        <v>44572.634185000003</v>
      </c>
      <c r="I158" s="755">
        <f>+Compiègne!G159+Amiens!G159+Cambrai!G159+Caudry!G159</f>
        <v>0</v>
      </c>
      <c r="J158" s="1013">
        <f t="shared" si="23"/>
        <v>-1.1108988994014726</v>
      </c>
      <c r="K158" s="1014">
        <f t="shared" si="24"/>
        <v>-1</v>
      </c>
      <c r="L158" s="805">
        <f>+Dijon!D159+Eu!D159+Nancy!D159+Roanne!D159</f>
        <v>0</v>
      </c>
      <c r="M158" s="2">
        <f t="shared" si="20"/>
        <v>1</v>
      </c>
    </row>
    <row r="159" spans="1:14" s="2" customFormat="1" ht="11.25">
      <c r="A159" s="590" t="s">
        <v>199</v>
      </c>
      <c r="B159" s="805">
        <f>+Cambrai!G160</f>
        <v>0</v>
      </c>
      <c r="C159" s="805">
        <f>+Caudry!G160</f>
        <v>0</v>
      </c>
      <c r="D159" s="805">
        <f>+Amiens!$G160</f>
        <v>0</v>
      </c>
      <c r="E159" s="805">
        <f>+Compiègne!$G160</f>
        <v>0</v>
      </c>
      <c r="F159" s="753">
        <f>+Compiègne!E160+Amiens!E160+Cambrai!E160+Caudry!E160</f>
        <v>-3.05</v>
      </c>
      <c r="G159" s="754">
        <f>+Compiègne!F160+Amiens!F160+Cambrai!F160+Caudry!F160</f>
        <v>-12.64</v>
      </c>
      <c r="H159" s="805">
        <v>44573.634185000003</v>
      </c>
      <c r="I159" s="755">
        <f>+Compiègne!G160+Amiens!G160+Cambrai!G160+Caudry!G160</f>
        <v>0</v>
      </c>
      <c r="J159" s="1013">
        <f t="shared" si="23"/>
        <v>3.1442622950819672</v>
      </c>
      <c r="K159" s="1014">
        <f t="shared" si="24"/>
        <v>-1</v>
      </c>
      <c r="L159" s="805">
        <f>+Dijon!D160+Eu!D160+Nancy!D160+Roanne!D160</f>
        <v>0</v>
      </c>
      <c r="M159" s="2">
        <f t="shared" si="20"/>
        <v>1</v>
      </c>
    </row>
    <row r="160" spans="1:14" s="678" customFormat="1">
      <c r="A160" s="690" t="s">
        <v>41</v>
      </c>
      <c r="B160" s="753">
        <f>+Cambrai!G161</f>
        <v>256.92320000000001</v>
      </c>
      <c r="C160" s="753">
        <f>+Caudry!G161</f>
        <v>58.751200000000011</v>
      </c>
      <c r="D160" s="753">
        <f>+Amiens!$G161</f>
        <v>538.81360000000006</v>
      </c>
      <c r="E160" s="753">
        <f>+Compiègne!$G161</f>
        <v>137.33333333333331</v>
      </c>
      <c r="F160" s="753">
        <f>+Compiègne!E161+Amiens!E161+Cambrai!E161+Caudry!E161</f>
        <v>1633.7200000000003</v>
      </c>
      <c r="G160" s="754">
        <f>+Compiègne!F161+Amiens!F161+Cambrai!F161+Caudry!F161</f>
        <v>962.93333333333339</v>
      </c>
      <c r="H160" s="805">
        <v>44574.634185000003</v>
      </c>
      <c r="I160" s="755">
        <f>+Compiègne!G161+Amiens!G161+Cambrai!G161+Caudry!G161</f>
        <v>991.82133333333343</v>
      </c>
      <c r="J160" s="756">
        <f t="shared" si="23"/>
        <v>-0.41058851373960453</v>
      </c>
      <c r="K160" s="757">
        <f t="shared" si="24"/>
        <v>3.0000000000000034E-2</v>
      </c>
      <c r="L160" s="753">
        <f>+Dijon!D161+Eu!D161+Nancy!D161+Roanne!D161</f>
        <v>991.98280772558996</v>
      </c>
      <c r="M160" s="678">
        <f t="shared" si="20"/>
        <v>1</v>
      </c>
      <c r="N160" s="1092">
        <f>SUBTOTAL(9,B160:E160)</f>
        <v>991.82133333333331</v>
      </c>
    </row>
    <row r="161" spans="1:14" s="678" customFormat="1">
      <c r="A161" s="690" t="s">
        <v>355</v>
      </c>
      <c r="B161" s="753">
        <f>+Cambrai!G162</f>
        <v>4.9302666666666664</v>
      </c>
      <c r="C161" s="753">
        <f>+Caudry!G162</f>
        <v>14.790799999999999</v>
      </c>
      <c r="D161" s="753">
        <f>+Amiens!$G162</f>
        <v>24.678800000000003</v>
      </c>
      <c r="E161" s="753">
        <f>+Compiègne!$G162</f>
        <v>19.721066666666665</v>
      </c>
      <c r="F161" s="753">
        <f>+Compiègne!E162+Amiens!E162+Cambrai!E162+Caudry!E162</f>
        <v>42.449999999999996</v>
      </c>
      <c r="G161" s="754">
        <f>+Compiègne!F162+Amiens!F162+Cambrai!F162+Caudry!F162</f>
        <v>62.253333333333337</v>
      </c>
      <c r="H161" s="805">
        <v>44575.634185000003</v>
      </c>
      <c r="I161" s="755">
        <f>+Compiègne!G162+Amiens!G162+Cambrai!G162+Caudry!G162</f>
        <v>64.12093333333334</v>
      </c>
      <c r="J161" s="756">
        <f t="shared" si="23"/>
        <v>0.46650961915979611</v>
      </c>
      <c r="K161" s="757">
        <f t="shared" si="24"/>
        <v>3.0000000000000047E-2</v>
      </c>
      <c r="L161" s="753">
        <f>+Dijon!D162+Eu!D162+Nancy!D162+Roanne!D162</f>
        <v>40.671513529019798</v>
      </c>
      <c r="M161" s="678">
        <f t="shared" si="20"/>
        <v>1</v>
      </c>
      <c r="N161" s="1092">
        <f>SUBTOTAL(9,B161:E161)</f>
        <v>64.12093333333334</v>
      </c>
    </row>
    <row r="162" spans="1:14" s="678" customFormat="1">
      <c r="A162" s="690" t="s">
        <v>200</v>
      </c>
      <c r="B162" s="753">
        <f>+Cambrai!G163</f>
        <v>583.37826666666672</v>
      </c>
      <c r="C162" s="753">
        <f>+Caudry!G163</f>
        <v>77.510933333333327</v>
      </c>
      <c r="D162" s="753">
        <f>+Amiens!$G163</f>
        <v>0</v>
      </c>
      <c r="E162" s="753">
        <f>+Compiègne!$G163</f>
        <v>397.55253333333337</v>
      </c>
      <c r="F162" s="753">
        <f>+Compiègne!E163+Amiens!E163+Cambrai!E163+Caudry!E163</f>
        <v>1152.3599999999999</v>
      </c>
      <c r="G162" s="754">
        <f>+Compiègne!F163+Amiens!F163+Cambrai!F163+Caudry!F163</f>
        <v>1027.6133333333332</v>
      </c>
      <c r="H162" s="805">
        <v>44576.634185000003</v>
      </c>
      <c r="I162" s="755">
        <f>+Compiègne!G163+Amiens!G163+Cambrai!G163+Caudry!G163</f>
        <v>1058.4417333333333</v>
      </c>
      <c r="J162" s="756">
        <f t="shared" si="23"/>
        <v>-0.10825320790956532</v>
      </c>
      <c r="K162" s="757">
        <f t="shared" si="24"/>
        <v>3.0000000000000103E-2</v>
      </c>
      <c r="L162" s="753">
        <f>+Dijon!D163+Eu!D163+Nancy!D163+Roanne!D163</f>
        <v>2350.8858550295859</v>
      </c>
      <c r="M162" s="678">
        <f t="shared" si="20"/>
        <v>1</v>
      </c>
      <c r="N162" s="1092">
        <f>SUBTOTAL(9,B162:E162)</f>
        <v>1058.4417333333336</v>
      </c>
    </row>
    <row r="163" spans="1:14" s="2" customFormat="1" ht="11.25">
      <c r="A163" s="590" t="s">
        <v>271</v>
      </c>
      <c r="B163" s="805">
        <f>+Cambrai!G164</f>
        <v>-12.36</v>
      </c>
      <c r="C163" s="805">
        <f>+Caudry!G164</f>
        <v>-12.36</v>
      </c>
      <c r="D163" s="805">
        <f>+Amiens!$G164</f>
        <v>-37.08</v>
      </c>
      <c r="E163" s="805">
        <f>+Compiègne!$G164</f>
        <v>0</v>
      </c>
      <c r="F163" s="753">
        <f>+Compiègne!E164+Amiens!E164+Cambrai!E164+Caudry!E164</f>
        <v>-385.29</v>
      </c>
      <c r="G163" s="754">
        <f>+Compiègne!F164+Amiens!F164+Cambrai!F164+Caudry!F164</f>
        <v>-60</v>
      </c>
      <c r="H163" s="805">
        <v>44577.634185000003</v>
      </c>
      <c r="I163" s="755">
        <f>+Compiègne!G164+Amiens!G164+Cambrai!G164+Caudry!G164</f>
        <v>-61.8</v>
      </c>
      <c r="J163" s="1013">
        <f t="shared" si="23"/>
        <v>-0.84427314490383865</v>
      </c>
      <c r="K163" s="1014">
        <f t="shared" si="24"/>
        <v>2.9999999999999954E-2</v>
      </c>
      <c r="L163" s="805">
        <f>+Dijon!D164+Eu!D164+Nancy!D164+Roanne!D164</f>
        <v>-144.54733635859378</v>
      </c>
      <c r="M163" s="2">
        <f t="shared" si="20"/>
        <v>1</v>
      </c>
    </row>
    <row r="164" spans="1:14" s="678" customFormat="1">
      <c r="A164" s="690" t="s">
        <v>242</v>
      </c>
      <c r="B164" s="753">
        <f>+Cambrai!G165</f>
        <v>74.16</v>
      </c>
      <c r="C164" s="753">
        <f>+Caudry!G165</f>
        <v>114.81066666666666</v>
      </c>
      <c r="D164" s="753">
        <f>+Amiens!$G165</f>
        <v>210.12</v>
      </c>
      <c r="E164" s="753">
        <f>+Compiègne!$G165</f>
        <v>86.52</v>
      </c>
      <c r="F164" s="753">
        <f>+Compiègne!E165+Amiens!E165+Cambrai!E165+Caudry!E165</f>
        <v>575.93999999999994</v>
      </c>
      <c r="G164" s="754">
        <f>+Compiègne!F165+Amiens!F165+Cambrai!F165+Caudry!F165</f>
        <v>471.46666666666664</v>
      </c>
      <c r="H164" s="805">
        <v>44578.634185000003</v>
      </c>
      <c r="I164" s="755">
        <f>+Compiègne!G165+Amiens!G165+Cambrai!G165+Caudry!G165</f>
        <v>485.61066666666659</v>
      </c>
      <c r="J164" s="756">
        <f t="shared" si="23"/>
        <v>-0.18139621025338284</v>
      </c>
      <c r="K164" s="757">
        <f t="shared" si="24"/>
        <v>2.9999999999999891E-2</v>
      </c>
      <c r="L164" s="753">
        <f>+Dijon!D165+Eu!D165+Nancy!D165+Roanne!D165</f>
        <v>708.14919627504173</v>
      </c>
      <c r="M164" s="678">
        <f t="shared" si="20"/>
        <v>1</v>
      </c>
      <c r="N164" s="1092">
        <f>SUBTOTAL(9,B164:E164)</f>
        <v>485.61066666666665</v>
      </c>
    </row>
    <row r="165" spans="1:14" s="2" customFormat="1" ht="11.25">
      <c r="A165" s="590" t="s">
        <v>201</v>
      </c>
      <c r="B165" s="805">
        <f>+Cambrai!G166</f>
        <v>0</v>
      </c>
      <c r="C165" s="805">
        <f>+Caudry!G166</f>
        <v>0</v>
      </c>
      <c r="D165" s="805">
        <f>+Amiens!$G166</f>
        <v>0</v>
      </c>
      <c r="E165" s="805">
        <f>+Compiègne!$G166</f>
        <v>0</v>
      </c>
      <c r="F165" s="753">
        <f>+Compiègne!E166+Amiens!E166+Cambrai!E166+Caudry!E166</f>
        <v>0</v>
      </c>
      <c r="G165" s="754">
        <f>+Compiègne!F166+Amiens!F166+Cambrai!F166+Caudry!F166</f>
        <v>0</v>
      </c>
      <c r="H165" s="805">
        <v>44579.634185000003</v>
      </c>
      <c r="I165" s="755">
        <f>+Compiègne!G166+Amiens!G166+Cambrai!G166+Caudry!G166</f>
        <v>0</v>
      </c>
      <c r="J165" s="1013">
        <f t="shared" si="23"/>
        <v>0</v>
      </c>
      <c r="K165" s="1014">
        <f t="shared" si="24"/>
        <v>0</v>
      </c>
      <c r="L165" s="805">
        <f>+Dijon!D166+Eu!D166+Nancy!D166+Roanne!D166</f>
        <v>-6.8295437500000007E-4</v>
      </c>
      <c r="M165" s="2">
        <f t="shared" si="20"/>
        <v>1</v>
      </c>
    </row>
    <row r="166" spans="1:14" s="2" customFormat="1" ht="11.25" hidden="1">
      <c r="A166" s="590"/>
      <c r="B166" s="805"/>
      <c r="C166" s="805"/>
      <c r="D166" s="805"/>
      <c r="E166" s="805"/>
      <c r="F166" s="805"/>
      <c r="G166" s="1081"/>
      <c r="H166" s="805"/>
      <c r="I166" s="805"/>
      <c r="J166" s="1013"/>
      <c r="K166" s="1081"/>
      <c r="L166" s="805"/>
      <c r="M166" s="2">
        <f t="shared" si="20"/>
        <v>0</v>
      </c>
    </row>
    <row r="167" spans="1:14" s="678" customFormat="1">
      <c r="A167" s="695" t="s">
        <v>74</v>
      </c>
      <c r="B167" s="758">
        <f t="shared" ref="B167:G167" si="25">SUM(B154:B166)</f>
        <v>7279.0550326620341</v>
      </c>
      <c r="C167" s="758">
        <f t="shared" si="25"/>
        <v>9327.8822751600019</v>
      </c>
      <c r="D167" s="758">
        <f t="shared" si="25"/>
        <v>7413.5845636248014</v>
      </c>
      <c r="E167" s="758">
        <f t="shared" si="25"/>
        <v>12790.048050317937</v>
      </c>
      <c r="F167" s="758">
        <f t="shared" si="25"/>
        <v>17664.240000000002</v>
      </c>
      <c r="G167" s="764">
        <f t="shared" si="25"/>
        <v>23820.533333333336</v>
      </c>
      <c r="H167" s="803">
        <v>46975.089222620969</v>
      </c>
      <c r="I167" s="758">
        <f>SUM(I154:I166)</f>
        <v>36810.569921764763</v>
      </c>
      <c r="J167" s="759">
        <f>+IF((F167)=0,,(G167-F167)/F167)</f>
        <v>0.34851730577332135</v>
      </c>
      <c r="K167" s="760">
        <f>+IF((G167)=0,,(I167-G167)/G167)</f>
        <v>0.54532937641046764</v>
      </c>
      <c r="L167" s="758">
        <f>SUM(L154:L166)</f>
        <v>46336.81942003029</v>
      </c>
      <c r="M167" s="678">
        <f t="shared" si="20"/>
        <v>1</v>
      </c>
      <c r="N167" s="1092">
        <f>SUBTOTAL(9,B167:E167)</f>
        <v>36810.569921764778</v>
      </c>
    </row>
    <row r="168" spans="1:14" s="2" customFormat="1" ht="11.25" hidden="1">
      <c r="A168" s="590"/>
      <c r="B168" s="805"/>
      <c r="C168" s="805"/>
      <c r="D168" s="805"/>
      <c r="E168" s="805"/>
      <c r="F168" s="805"/>
      <c r="G168" s="1081"/>
      <c r="H168" s="805"/>
      <c r="I168" s="805"/>
      <c r="J168" s="1013"/>
      <c r="K168" s="1014"/>
      <c r="L168" s="805"/>
      <c r="M168" s="2">
        <f t="shared" si="20"/>
        <v>0</v>
      </c>
    </row>
    <row r="169" spans="1:14" s="2" customFormat="1" ht="11.25" hidden="1">
      <c r="A169" s="590" t="s">
        <v>167</v>
      </c>
      <c r="B169" s="805">
        <f>+Cambrai!G170</f>
        <v>0</v>
      </c>
      <c r="C169" s="805">
        <f>+Caudry!G170</f>
        <v>0</v>
      </c>
      <c r="D169" s="805">
        <f>+Amiens!$G170</f>
        <v>0</v>
      </c>
      <c r="E169" s="805">
        <f>+Compiègne!$G170</f>
        <v>0</v>
      </c>
      <c r="F169" s="753">
        <f>+Compiègne!E170+Amiens!E170+Cambrai!E170+Caudry!E170</f>
        <v>0</v>
      </c>
      <c r="G169" s="753">
        <f>+Compiègne!F170+Amiens!F170+Cambrai!F170+Caudry!F170</f>
        <v>0</v>
      </c>
      <c r="H169" s="805">
        <v>0</v>
      </c>
      <c r="I169" s="755">
        <f>+Compiègne!G170+Amiens!G170+Cambrai!G170+Caudry!G170</f>
        <v>0</v>
      </c>
      <c r="J169" s="1013">
        <f>+IF((F169)=0,,(G169-F169)/F169)</f>
        <v>0</v>
      </c>
      <c r="K169" s="1014">
        <f>+IF((G169)=0,,(I169-G169)/G169)</f>
        <v>0</v>
      </c>
      <c r="L169" s="805">
        <f>+Dijon!D170+Eu!D170+Nancy!D170+Roanne!D170</f>
        <v>0</v>
      </c>
      <c r="M169" s="2">
        <f t="shared" si="20"/>
        <v>0</v>
      </c>
    </row>
    <row r="170" spans="1:14" s="678" customFormat="1">
      <c r="A170" s="690" t="s">
        <v>168</v>
      </c>
      <c r="B170" s="753">
        <f>+Cambrai!G171</f>
        <v>0</v>
      </c>
      <c r="C170" s="753">
        <f>+Caudry!G171</f>
        <v>0</v>
      </c>
      <c r="D170" s="753">
        <f>+Amiens!$G171</f>
        <v>255.2202666666667</v>
      </c>
      <c r="E170" s="753">
        <f>+Compiègne!$G171</f>
        <v>0</v>
      </c>
      <c r="F170" s="753">
        <f>+Compiègne!E171+Amiens!E171+Cambrai!E171+Caudry!E171</f>
        <v>27.44</v>
      </c>
      <c r="G170" s="753">
        <f>+Compiègne!F171+Amiens!F171+Cambrai!F171+Caudry!F171</f>
        <v>247.78666666666669</v>
      </c>
      <c r="H170" s="805">
        <v>1</v>
      </c>
      <c r="I170" s="755">
        <f>+Compiègne!G171+Amiens!G171+Cambrai!G171+Caudry!G171</f>
        <v>255.2202666666667</v>
      </c>
      <c r="J170" s="756">
        <f t="shared" ref="J170:J182" si="26">+IF((F170)=0,,(G170-F170)/F170)</f>
        <v>8.0301263362487862</v>
      </c>
      <c r="K170" s="757">
        <f t="shared" ref="K170:K182" si="27">+IF((G170)=0,,(I170-G170)/G170)</f>
        <v>3.0000000000000047E-2</v>
      </c>
      <c r="L170" s="753">
        <f>+Dijon!D171+Eu!D171+Nancy!D171+Roanne!D171</f>
        <v>1217.6283195219096</v>
      </c>
      <c r="M170" s="678">
        <f t="shared" si="20"/>
        <v>1</v>
      </c>
      <c r="N170" s="1092">
        <f>SUBTOTAL(9,B170:E170)</f>
        <v>255.2202666666667</v>
      </c>
    </row>
    <row r="171" spans="1:14" s="2" customFormat="1" ht="11.25">
      <c r="A171" s="590" t="s">
        <v>169</v>
      </c>
      <c r="B171" s="805">
        <f>+Cambrai!G172</f>
        <v>0</v>
      </c>
      <c r="C171" s="805">
        <f>+Caudry!G172</f>
        <v>0</v>
      </c>
      <c r="D171" s="805">
        <f>+Amiens!$G172</f>
        <v>0</v>
      </c>
      <c r="E171" s="805">
        <f>+Compiègne!$G172</f>
        <v>0</v>
      </c>
      <c r="F171" s="753">
        <f>+Compiègne!E172+Amiens!E172+Cambrai!E172+Caudry!E172</f>
        <v>0</v>
      </c>
      <c r="G171" s="753">
        <f>+Compiègne!F172+Amiens!F172+Cambrai!F172+Caudry!F172</f>
        <v>0</v>
      </c>
      <c r="H171" s="805">
        <v>2</v>
      </c>
      <c r="I171" s="755">
        <f>+Compiègne!G172+Amiens!G172+Cambrai!G172+Caudry!G172</f>
        <v>0</v>
      </c>
      <c r="J171" s="1013">
        <f t="shared" si="26"/>
        <v>0</v>
      </c>
      <c r="K171" s="1014">
        <f t="shared" si="27"/>
        <v>0</v>
      </c>
      <c r="L171" s="805">
        <f>+Dijon!D172+Eu!D172+Nancy!D172+Roanne!D172</f>
        <v>0</v>
      </c>
      <c r="M171" s="2">
        <f t="shared" si="20"/>
        <v>1</v>
      </c>
    </row>
    <row r="172" spans="1:14" s="678" customFormat="1">
      <c r="A172" s="690" t="s">
        <v>170</v>
      </c>
      <c r="B172" s="753">
        <f>+Cambrai!G173</f>
        <v>221.83453333333335</v>
      </c>
      <c r="C172" s="753">
        <f>+Caudry!G173</f>
        <v>0</v>
      </c>
      <c r="D172" s="753">
        <f>+Amiens!$G173</f>
        <v>0</v>
      </c>
      <c r="E172" s="753">
        <f>+Compiègne!$G173</f>
        <v>1980.9509333333333</v>
      </c>
      <c r="F172" s="753">
        <f>+Compiègne!E173+Amiens!E173+Cambrai!E173+Caudry!E173</f>
        <v>12839.779999999999</v>
      </c>
      <c r="G172" s="753">
        <f>+Compiègne!F173+Amiens!F173+Cambrai!F173+Caudry!F173</f>
        <v>2138.6266666666666</v>
      </c>
      <c r="H172" s="805">
        <v>3</v>
      </c>
      <c r="I172" s="755">
        <f>+Compiègne!G173+Amiens!G173+Cambrai!G173+Caudry!G173</f>
        <v>2202.7854666666667</v>
      </c>
      <c r="J172" s="756">
        <f t="shared" si="26"/>
        <v>-0.83343743688235572</v>
      </c>
      <c r="K172" s="757">
        <f t="shared" si="27"/>
        <v>3.0000000000000075E-2</v>
      </c>
      <c r="L172" s="753">
        <f>+Dijon!D173+Eu!D173+Nancy!D173+Roanne!D173</f>
        <v>11538.281525</v>
      </c>
      <c r="M172" s="678">
        <f t="shared" si="20"/>
        <v>1</v>
      </c>
      <c r="N172" s="1092">
        <f>SUBTOTAL(9,B172:E172)</f>
        <v>2202.7854666666667</v>
      </c>
    </row>
    <row r="173" spans="1:14" s="2" customFormat="1" ht="11.25">
      <c r="A173" s="590" t="s">
        <v>171</v>
      </c>
      <c r="B173" s="805">
        <f>+Cambrai!G174</f>
        <v>0</v>
      </c>
      <c r="C173" s="805">
        <f>+Caudry!G174</f>
        <v>0</v>
      </c>
      <c r="D173" s="805">
        <f>+Amiens!$G174</f>
        <v>0</v>
      </c>
      <c r="E173" s="805">
        <f>+Compiègne!$G174</f>
        <v>0</v>
      </c>
      <c r="F173" s="753">
        <f>+Compiègne!E174+Amiens!E174+Cambrai!E174+Caudry!E174</f>
        <v>0</v>
      </c>
      <c r="G173" s="753">
        <f>+Compiègne!F174+Amiens!F174+Cambrai!F174+Caudry!F174</f>
        <v>0</v>
      </c>
      <c r="H173" s="805">
        <v>4</v>
      </c>
      <c r="I173" s="755">
        <f>+Compiègne!G174+Amiens!G174+Cambrai!G174+Caudry!G174</f>
        <v>0</v>
      </c>
      <c r="J173" s="1013">
        <f t="shared" si="26"/>
        <v>0</v>
      </c>
      <c r="K173" s="1014">
        <f t="shared" si="27"/>
        <v>0</v>
      </c>
      <c r="L173" s="805">
        <f>+Dijon!D174+Eu!D174+Nancy!D174+Roanne!D174</f>
        <v>0</v>
      </c>
      <c r="M173" s="2">
        <f t="shared" si="20"/>
        <v>1</v>
      </c>
    </row>
    <row r="174" spans="1:14" s="2" customFormat="1" ht="11.25">
      <c r="A174" s="590" t="s">
        <v>308</v>
      </c>
      <c r="B174" s="805">
        <f>+Cambrai!G175</f>
        <v>0</v>
      </c>
      <c r="C174" s="805">
        <f>+Caudry!G175</f>
        <v>0</v>
      </c>
      <c r="D174" s="805">
        <f>+Amiens!$G175</f>
        <v>0</v>
      </c>
      <c r="E174" s="805">
        <f>+Compiègne!$G175</f>
        <v>0</v>
      </c>
      <c r="F174" s="753">
        <f>+Compiègne!E175+Amiens!E175+Cambrai!E175+Caudry!E175</f>
        <v>0</v>
      </c>
      <c r="G174" s="753">
        <f>+Compiègne!F175+Amiens!F175+Cambrai!F175+Caudry!F175</f>
        <v>0</v>
      </c>
      <c r="H174" s="805">
        <v>5</v>
      </c>
      <c r="I174" s="755">
        <f>+Compiègne!G175+Amiens!G175+Cambrai!G175+Caudry!G175</f>
        <v>0</v>
      </c>
      <c r="J174" s="1013">
        <f t="shared" si="26"/>
        <v>0</v>
      </c>
      <c r="K174" s="1014">
        <f t="shared" si="27"/>
        <v>0</v>
      </c>
      <c r="L174" s="805">
        <f>+Dijon!D175+Eu!D175+Nancy!D175+Roanne!D175</f>
        <v>0</v>
      </c>
      <c r="M174" s="2">
        <f t="shared" si="20"/>
        <v>1</v>
      </c>
    </row>
    <row r="175" spans="1:14" s="678" customFormat="1">
      <c r="A175" s="690" t="s">
        <v>172</v>
      </c>
      <c r="B175" s="753">
        <f>+Cambrai!G176</f>
        <v>0</v>
      </c>
      <c r="C175" s="753">
        <f>+Caudry!G176</f>
        <v>0</v>
      </c>
      <c r="D175" s="753">
        <f>+Amiens!$G176</f>
        <v>0</v>
      </c>
      <c r="E175" s="753">
        <f>+Compiègne!$G176</f>
        <v>0</v>
      </c>
      <c r="F175" s="753">
        <f>+Compiègne!E176+Amiens!E176+Cambrai!E176+Caudry!E176</f>
        <v>0</v>
      </c>
      <c r="G175" s="753">
        <f>+Compiègne!F176+Amiens!F176+Cambrai!F176+Caudry!F176</f>
        <v>0</v>
      </c>
      <c r="H175" s="805">
        <v>6</v>
      </c>
      <c r="I175" s="755">
        <f>+Compiègne!G176+Amiens!G176+Cambrai!G176+Caudry!G176</f>
        <v>0</v>
      </c>
      <c r="J175" s="756">
        <f t="shared" si="26"/>
        <v>0</v>
      </c>
      <c r="K175" s="757">
        <f t="shared" si="27"/>
        <v>0</v>
      </c>
      <c r="L175" s="753">
        <f>+Dijon!D176+Eu!D176+Nancy!D176+Roanne!D176</f>
        <v>0</v>
      </c>
      <c r="M175" s="678">
        <f t="shared" si="20"/>
        <v>1</v>
      </c>
      <c r="N175" s="1092">
        <f>SUBTOTAL(9,B175:E175)</f>
        <v>0</v>
      </c>
    </row>
    <row r="176" spans="1:14" s="678" customFormat="1">
      <c r="A176" s="690" t="s">
        <v>173</v>
      </c>
      <c r="B176" s="753">
        <f>+Cambrai!G177</f>
        <v>0</v>
      </c>
      <c r="C176" s="753">
        <f>+Caudry!G177</f>
        <v>0</v>
      </c>
      <c r="D176" s="753">
        <f>+Amiens!$G177</f>
        <v>0</v>
      </c>
      <c r="E176" s="753">
        <f>+Compiègne!$G177</f>
        <v>0</v>
      </c>
      <c r="F176" s="753">
        <f>+Compiègne!E177+Amiens!E177+Cambrai!E177+Caudry!E177</f>
        <v>0</v>
      </c>
      <c r="G176" s="753">
        <f>+Compiègne!F177+Amiens!F177+Cambrai!F177+Caudry!F177</f>
        <v>16712.77</v>
      </c>
      <c r="H176" s="805">
        <v>7</v>
      </c>
      <c r="I176" s="755">
        <f>+Compiègne!G177+Amiens!G177+Cambrai!G177+Caudry!G177</f>
        <v>0</v>
      </c>
      <c r="J176" s="756">
        <f t="shared" si="26"/>
        <v>0</v>
      </c>
      <c r="K176" s="757">
        <f t="shared" si="27"/>
        <v>-1</v>
      </c>
      <c r="L176" s="753">
        <f>+Dijon!D177+Eu!D177+Nancy!D177+Roanne!D177</f>
        <v>0</v>
      </c>
      <c r="M176" s="678">
        <f t="shared" si="20"/>
        <v>1</v>
      </c>
      <c r="N176" s="1092">
        <f>SUBTOTAL(9,B176:E176)</f>
        <v>0</v>
      </c>
    </row>
    <row r="177" spans="1:14" s="2" customFormat="1" ht="11.25">
      <c r="A177" s="590" t="s">
        <v>174</v>
      </c>
      <c r="B177" s="805">
        <f>+Cambrai!G178</f>
        <v>0</v>
      </c>
      <c r="C177" s="805">
        <f>+Caudry!G178</f>
        <v>0</v>
      </c>
      <c r="D177" s="805">
        <f>+Amiens!$G178</f>
        <v>0</v>
      </c>
      <c r="E177" s="805">
        <f>+Compiègne!$G178</f>
        <v>0</v>
      </c>
      <c r="F177" s="753">
        <f>+Compiègne!E178+Amiens!E178+Cambrai!E178+Caudry!E178</f>
        <v>0</v>
      </c>
      <c r="G177" s="753">
        <f>+Compiègne!F178+Amiens!F178+Cambrai!F178+Caudry!F178</f>
        <v>0</v>
      </c>
      <c r="H177" s="805">
        <v>8</v>
      </c>
      <c r="I177" s="755">
        <f>+Compiègne!G178+Amiens!G178+Cambrai!G178+Caudry!G178</f>
        <v>0</v>
      </c>
      <c r="J177" s="1013">
        <f t="shared" si="26"/>
        <v>0</v>
      </c>
      <c r="K177" s="1014">
        <f t="shared" si="27"/>
        <v>0</v>
      </c>
      <c r="L177" s="805">
        <f>+Dijon!D178+Eu!D178+Nancy!D178+Roanne!D178</f>
        <v>0</v>
      </c>
      <c r="M177" s="2">
        <f t="shared" si="20"/>
        <v>1</v>
      </c>
    </row>
    <row r="178" spans="1:14" s="678" customFormat="1">
      <c r="A178" s="690" t="s">
        <v>175</v>
      </c>
      <c r="B178" s="753">
        <f>+Cambrai!G179</f>
        <v>4155.21</v>
      </c>
      <c r="C178" s="753">
        <f>+Caudry!G179</f>
        <v>5397.47</v>
      </c>
      <c r="D178" s="753">
        <f>+Amiens!$G179</f>
        <v>4246.2299999999996</v>
      </c>
      <c r="E178" s="753">
        <f>+Compiègne!$G179</f>
        <v>5755.77</v>
      </c>
      <c r="F178" s="753">
        <f>+Compiègne!E179+Amiens!E179+Cambrai!E179+Caudry!E179</f>
        <v>21008.350000000002</v>
      </c>
      <c r="G178" s="753">
        <f>+Compiègne!F179+Amiens!F179+Cambrai!F179+Caudry!F179</f>
        <v>16608.84</v>
      </c>
      <c r="H178" s="805">
        <v>9</v>
      </c>
      <c r="I178" s="755">
        <f>+Compiègne!G179+Amiens!G179+Cambrai!G179+Caudry!G179</f>
        <v>19554.68</v>
      </c>
      <c r="J178" s="756">
        <f t="shared" si="26"/>
        <v>-0.20941720791970819</v>
      </c>
      <c r="K178" s="757">
        <f t="shared" si="27"/>
        <v>0.17736578833922176</v>
      </c>
      <c r="L178" s="753">
        <f>+Dijon!D179+Eu!D179+Nancy!D179+Roanne!D179</f>
        <v>30400</v>
      </c>
      <c r="M178" s="678">
        <f t="shared" si="20"/>
        <v>1</v>
      </c>
      <c r="N178" s="1092">
        <f>SUBTOTAL(9,B178:E178)</f>
        <v>19554.68</v>
      </c>
    </row>
    <row r="179" spans="1:14" s="678" customFormat="1">
      <c r="A179" s="690" t="s">
        <v>78</v>
      </c>
      <c r="B179" s="753">
        <f>+Cambrai!G180</f>
        <v>0</v>
      </c>
      <c r="C179" s="753">
        <f>+Caudry!G180</f>
        <v>0</v>
      </c>
      <c r="D179" s="753">
        <f>+Amiens!$G180</f>
        <v>0</v>
      </c>
      <c r="E179" s="753">
        <f>+Compiègne!$G180</f>
        <v>0</v>
      </c>
      <c r="F179" s="753">
        <f>+Compiègne!E180+Amiens!E180+Cambrai!E180+Caudry!E180</f>
        <v>1572.9299999999998</v>
      </c>
      <c r="G179" s="753">
        <f>+Compiègne!F180+Amiens!F180+Cambrai!F180+Caudry!F180</f>
        <v>0</v>
      </c>
      <c r="H179" s="805">
        <v>10</v>
      </c>
      <c r="I179" s="755">
        <f>+Compiègne!G180+Amiens!G180+Cambrai!G180+Caudry!G180</f>
        <v>0</v>
      </c>
      <c r="J179" s="756">
        <f t="shared" si="26"/>
        <v>-1</v>
      </c>
      <c r="K179" s="757">
        <f t="shared" si="27"/>
        <v>0</v>
      </c>
      <c r="L179" s="753">
        <f>+Dijon!D180+Eu!D180+Nancy!D180+Roanne!D180</f>
        <v>0</v>
      </c>
      <c r="M179" s="678">
        <f t="shared" si="20"/>
        <v>1</v>
      </c>
      <c r="N179" s="1092">
        <f>SUBTOTAL(9,B179:E179)</f>
        <v>0</v>
      </c>
    </row>
    <row r="180" spans="1:14" s="2" customFormat="1" ht="11.25">
      <c r="A180" s="590" t="s">
        <v>327</v>
      </c>
      <c r="B180" s="805">
        <f>+Cambrai!G181</f>
        <v>0</v>
      </c>
      <c r="C180" s="805">
        <f>+Caudry!G181</f>
        <v>0</v>
      </c>
      <c r="D180" s="805">
        <f>+Amiens!$G181</f>
        <v>0</v>
      </c>
      <c r="E180" s="805">
        <f>+Compiègne!$G181</f>
        <v>0</v>
      </c>
      <c r="F180" s="753">
        <f>+Compiègne!E181+Amiens!E181+Cambrai!E181+Caudry!E181</f>
        <v>0</v>
      </c>
      <c r="G180" s="753">
        <f>+Compiègne!F181+Amiens!F181+Cambrai!F181+Caudry!F181</f>
        <v>0</v>
      </c>
      <c r="H180" s="805">
        <v>11</v>
      </c>
      <c r="I180" s="755">
        <f>+Compiègne!G181+Amiens!G181+Cambrai!G181+Caudry!G181</f>
        <v>0</v>
      </c>
      <c r="J180" s="1013">
        <f t="shared" si="26"/>
        <v>0</v>
      </c>
      <c r="K180" s="1014">
        <f t="shared" si="27"/>
        <v>0</v>
      </c>
      <c r="L180" s="805">
        <f>+Dijon!D181+Eu!D181+Nancy!D181+Roanne!D181</f>
        <v>0</v>
      </c>
      <c r="M180" s="2">
        <f t="shared" si="20"/>
        <v>1</v>
      </c>
    </row>
    <row r="181" spans="1:14" s="2" customFormat="1" ht="11.25">
      <c r="A181" s="590" t="s">
        <v>82</v>
      </c>
      <c r="B181" s="805">
        <f>+Cambrai!G182</f>
        <v>0</v>
      </c>
      <c r="C181" s="805">
        <f>+Caudry!G182</f>
        <v>0</v>
      </c>
      <c r="D181" s="805">
        <f>+Amiens!$G182</f>
        <v>0</v>
      </c>
      <c r="E181" s="805">
        <f>+Compiègne!$G182</f>
        <v>0</v>
      </c>
      <c r="F181" s="753">
        <f>+Compiègne!E182+Amiens!E182+Cambrai!E182+Caudry!E182</f>
        <v>0</v>
      </c>
      <c r="G181" s="753">
        <f>+Compiègne!F182+Amiens!F182+Cambrai!F182+Caudry!F182</f>
        <v>0</v>
      </c>
      <c r="H181" s="805">
        <v>12</v>
      </c>
      <c r="I181" s="755">
        <f>+Compiègne!G182+Amiens!G182+Cambrai!G182+Caudry!G182</f>
        <v>0</v>
      </c>
      <c r="J181" s="1013">
        <f t="shared" si="26"/>
        <v>0</v>
      </c>
      <c r="K181" s="1014">
        <f t="shared" si="27"/>
        <v>0</v>
      </c>
      <c r="L181" s="805">
        <f>+Dijon!D182+Eu!D182+Nancy!D182+Roanne!D182</f>
        <v>0</v>
      </c>
      <c r="M181" s="2">
        <f t="shared" si="20"/>
        <v>1</v>
      </c>
    </row>
    <row r="182" spans="1:14" s="678" customFormat="1">
      <c r="A182" s="690" t="s">
        <v>331</v>
      </c>
      <c r="B182" s="753">
        <f>+Cambrai!G183</f>
        <v>0</v>
      </c>
      <c r="C182" s="753">
        <f>+Caudry!G183</f>
        <v>0</v>
      </c>
      <c r="D182" s="753">
        <f>+Amiens!$G183</f>
        <v>0</v>
      </c>
      <c r="E182" s="753">
        <f>+Compiègne!$G183</f>
        <v>0</v>
      </c>
      <c r="F182" s="753">
        <f>+Compiègne!E183+Amiens!E183+Cambrai!E183+Caudry!E183</f>
        <v>17800</v>
      </c>
      <c r="G182" s="753">
        <f>+Compiègne!F183+Amiens!F183+Cambrai!F183+Caudry!F183</f>
        <v>0</v>
      </c>
      <c r="H182" s="805">
        <v>13</v>
      </c>
      <c r="I182" s="755">
        <f>+Compiègne!G183+Amiens!G183+Cambrai!G183+Caudry!G183</f>
        <v>0</v>
      </c>
      <c r="J182" s="756">
        <f t="shared" si="26"/>
        <v>-1</v>
      </c>
      <c r="K182" s="757">
        <f t="shared" si="27"/>
        <v>0</v>
      </c>
      <c r="L182" s="753">
        <f>+Dijon!D183+Eu!D183+Nancy!D183+Roanne!D183</f>
        <v>0</v>
      </c>
      <c r="M182" s="678">
        <f t="shared" si="20"/>
        <v>1</v>
      </c>
      <c r="N182" s="1092">
        <f>SUBTOTAL(9,B182:E182)</f>
        <v>0</v>
      </c>
    </row>
    <row r="183" spans="1:14" s="2" customFormat="1" ht="11.25" hidden="1">
      <c r="A183" s="590"/>
      <c r="B183" s="805"/>
      <c r="C183" s="805"/>
      <c r="D183" s="805"/>
      <c r="E183" s="805"/>
      <c r="F183" s="805"/>
      <c r="G183" s="1081"/>
      <c r="H183" s="805"/>
      <c r="I183" s="805"/>
      <c r="J183" s="1013"/>
      <c r="K183" s="1081"/>
      <c r="L183" s="805"/>
      <c r="M183" s="2">
        <f t="shared" si="20"/>
        <v>0</v>
      </c>
    </row>
    <row r="184" spans="1:14" s="678" customFormat="1">
      <c r="A184" s="695" t="s">
        <v>178</v>
      </c>
      <c r="B184" s="758">
        <f t="shared" ref="B184:G184" si="28">SUM(B168:B183)</f>
        <v>4377.0445333333337</v>
      </c>
      <c r="C184" s="758">
        <f t="shared" si="28"/>
        <v>5397.47</v>
      </c>
      <c r="D184" s="758">
        <f t="shared" si="28"/>
        <v>4501.4502666666667</v>
      </c>
      <c r="E184" s="758">
        <f t="shared" si="28"/>
        <v>7736.720933333334</v>
      </c>
      <c r="F184" s="764">
        <f t="shared" si="28"/>
        <v>53248.5</v>
      </c>
      <c r="G184" s="764">
        <f t="shared" si="28"/>
        <v>35708.023333333331</v>
      </c>
      <c r="H184" s="597">
        <v>37032.099563888893</v>
      </c>
      <c r="I184" s="764">
        <f>SUM(I168:I183)</f>
        <v>22012.685733333332</v>
      </c>
      <c r="J184" s="759">
        <f>+IF((F184)=0,,(G184-F184)/F184)</f>
        <v>-0.32940790194402975</v>
      </c>
      <c r="K184" s="760">
        <f>+IF((G184)=0,,(I184-G184)/G184)</f>
        <v>-0.38353670468271045</v>
      </c>
      <c r="L184" s="764">
        <f>SUM(L168:L183)</f>
        <v>43155.909844521913</v>
      </c>
      <c r="M184" s="678">
        <f t="shared" si="20"/>
        <v>1</v>
      </c>
      <c r="N184" s="1092">
        <f>SUBTOTAL(9,B184:E184)</f>
        <v>22012.685733333336</v>
      </c>
    </row>
    <row r="185" spans="1:14" s="2" customFormat="1" ht="11.25" hidden="1">
      <c r="A185" s="590"/>
      <c r="B185" s="805"/>
      <c r="C185" s="805"/>
      <c r="D185" s="805"/>
      <c r="E185" s="805"/>
      <c r="F185" s="805"/>
      <c r="G185" s="1081"/>
      <c r="H185" s="805"/>
      <c r="I185" s="805"/>
      <c r="J185" s="1013"/>
      <c r="K185" s="1014"/>
      <c r="L185" s="805"/>
      <c r="M185" s="2">
        <f t="shared" si="20"/>
        <v>0</v>
      </c>
    </row>
    <row r="186" spans="1:14" s="2" customFormat="1" ht="11.25" hidden="1">
      <c r="A186" s="590" t="s">
        <v>179</v>
      </c>
      <c r="B186" s="805">
        <f>+Cambrai!G187</f>
        <v>0</v>
      </c>
      <c r="C186" s="805">
        <f>+Caudry!G187</f>
        <v>0</v>
      </c>
      <c r="D186" s="805">
        <f>+Amiens!$G187</f>
        <v>0</v>
      </c>
      <c r="E186" s="805">
        <f>+Compiègne!$G187</f>
        <v>0</v>
      </c>
      <c r="F186" s="753">
        <f>+Compiègne!E187+Amiens!E187+Cambrai!E187+Caudry!E187</f>
        <v>3400</v>
      </c>
      <c r="G186" s="753">
        <f>+Compiègne!F187+Amiens!F187+Cambrai!F187+Caudry!F187</f>
        <v>2896.666666666667</v>
      </c>
      <c r="H186" s="753">
        <f>+Compiègne!G187+Amiens!G187+Cambrai!G187+Caudry!G187</f>
        <v>0</v>
      </c>
      <c r="I186" s="753">
        <f>+Compiègne!H187+Amiens!H187+Cambrai!H187+Caudry!H187</f>
        <v>0</v>
      </c>
      <c r="J186" s="1013">
        <f>+IF((F186)=0,,(G186-F186)/F186)</f>
        <v>-0.14803921568627443</v>
      </c>
      <c r="K186" s="1014">
        <f>+IF((G186)=0,,(I186-G186)/G186)</f>
        <v>-1</v>
      </c>
      <c r="L186" s="805">
        <f>+Dijon!D187+Eu!D187+Nancy!D187+Roanne!D187</f>
        <v>0</v>
      </c>
      <c r="M186" s="2">
        <v>0</v>
      </c>
    </row>
    <row r="187" spans="1:14" s="2" customFormat="1" ht="11.25" hidden="1">
      <c r="A187" s="590" t="s">
        <v>167</v>
      </c>
      <c r="B187" s="805">
        <f>+Cambrai!G188</f>
        <v>0</v>
      </c>
      <c r="C187" s="805">
        <f>+Caudry!G188</f>
        <v>0</v>
      </c>
      <c r="D187" s="805">
        <f>+Amiens!$G188</f>
        <v>0</v>
      </c>
      <c r="E187" s="805">
        <f>+Compiègne!$G188</f>
        <v>0</v>
      </c>
      <c r="F187" s="753">
        <f>+Compiègne!E188+Amiens!E188+Cambrai!E188+Caudry!E188</f>
        <v>0</v>
      </c>
      <c r="G187" s="753">
        <f>+Compiègne!F188+Amiens!F188+Cambrai!F188+Caudry!F188</f>
        <v>0</v>
      </c>
      <c r="H187" s="753">
        <f>+Compiègne!G188+Amiens!G188+Cambrai!G188+Caudry!G188</f>
        <v>0</v>
      </c>
      <c r="I187" s="753">
        <f>+Compiègne!H188+Amiens!H188+Cambrai!H188+Caudry!H188</f>
        <v>0</v>
      </c>
      <c r="J187" s="1013">
        <f t="shared" ref="J187:J198" si="29">+IF((F187)=0,,(G187-F187)/F187)</f>
        <v>0</v>
      </c>
      <c r="K187" s="1014">
        <f t="shared" ref="K187:K198" si="30">+IF((G187)=0,,(I187-G187)/G187)</f>
        <v>0</v>
      </c>
      <c r="L187" s="805">
        <f>+Dijon!D188+Eu!D188+Nancy!D188+Roanne!D188</f>
        <v>0</v>
      </c>
      <c r="M187" s="2">
        <f t="shared" si="20"/>
        <v>0</v>
      </c>
    </row>
    <row r="188" spans="1:14" s="2" customFormat="1" ht="11.25" hidden="1">
      <c r="A188" s="590" t="s">
        <v>180</v>
      </c>
      <c r="B188" s="805">
        <f>+Cambrai!G189</f>
        <v>0</v>
      </c>
      <c r="C188" s="805">
        <f>+Caudry!G189</f>
        <v>0</v>
      </c>
      <c r="D188" s="805">
        <f>+Amiens!$G189</f>
        <v>0</v>
      </c>
      <c r="E188" s="805">
        <f>+Compiègne!$G189</f>
        <v>0</v>
      </c>
      <c r="F188" s="753">
        <f>+Compiègne!E189+Amiens!E189+Cambrai!E189+Caudry!E189</f>
        <v>13951.59</v>
      </c>
      <c r="G188" s="753">
        <f>+Compiègne!F189+Amiens!F189+Cambrai!F189+Caudry!F189</f>
        <v>3313.7066666666669</v>
      </c>
      <c r="H188" s="753">
        <f>+Compiègne!G189+Amiens!G189+Cambrai!G189+Caudry!G189</f>
        <v>0</v>
      </c>
      <c r="I188" s="753">
        <f>+Compiègne!H189+Amiens!H189+Cambrai!H189+Caudry!H189</f>
        <v>0</v>
      </c>
      <c r="J188" s="1013">
        <f t="shared" si="29"/>
        <v>-0.76248537502416092</v>
      </c>
      <c r="K188" s="1014">
        <f t="shared" si="30"/>
        <v>-1</v>
      </c>
      <c r="L188" s="805">
        <f>+Dijon!D189+Eu!D189+Nancy!D189+Roanne!D189</f>
        <v>0</v>
      </c>
      <c r="M188" s="2">
        <v>0</v>
      </c>
    </row>
    <row r="189" spans="1:14" s="2" customFormat="1" ht="11.25" hidden="1">
      <c r="A189" s="590" t="s">
        <v>181</v>
      </c>
      <c r="B189" s="805">
        <f>+Cambrai!G190</f>
        <v>0</v>
      </c>
      <c r="C189" s="805">
        <f>+Caudry!G190</f>
        <v>0</v>
      </c>
      <c r="D189" s="805">
        <f>+Amiens!$G190</f>
        <v>0</v>
      </c>
      <c r="E189" s="805">
        <f>+Compiègne!$G190</f>
        <v>0</v>
      </c>
      <c r="F189" s="753">
        <f>+Compiègne!E190+Amiens!E190+Cambrai!E190+Caudry!E190</f>
        <v>0</v>
      </c>
      <c r="G189" s="753">
        <f>+Compiègne!F190+Amiens!F190+Cambrai!F190+Caudry!F190</f>
        <v>0</v>
      </c>
      <c r="H189" s="753">
        <f>+Compiègne!G190+Amiens!G190+Cambrai!G190+Caudry!G190</f>
        <v>0</v>
      </c>
      <c r="I189" s="753">
        <f>+Compiègne!H190+Amiens!H190+Cambrai!H190+Caudry!H190</f>
        <v>0</v>
      </c>
      <c r="J189" s="1013">
        <f t="shared" si="29"/>
        <v>0</v>
      </c>
      <c r="K189" s="1014">
        <f t="shared" si="30"/>
        <v>0</v>
      </c>
      <c r="L189" s="805">
        <f>+Dijon!D190+Eu!D190+Nancy!D190+Roanne!D190</f>
        <v>0</v>
      </c>
      <c r="M189" s="2">
        <f t="shared" si="20"/>
        <v>0</v>
      </c>
    </row>
    <row r="190" spans="1:14" s="2" customFormat="1" ht="11.25" hidden="1">
      <c r="A190" s="590" t="s">
        <v>182</v>
      </c>
      <c r="B190" s="805">
        <f>+Cambrai!G191</f>
        <v>0</v>
      </c>
      <c r="C190" s="805">
        <f>+Caudry!G191</f>
        <v>0</v>
      </c>
      <c r="D190" s="805">
        <f>+Amiens!$G191</f>
        <v>0</v>
      </c>
      <c r="E190" s="805">
        <f>+Compiègne!$G191</f>
        <v>0</v>
      </c>
      <c r="F190" s="753">
        <f>+Compiègne!E191+Amiens!E191+Cambrai!E191+Caudry!E191</f>
        <v>0</v>
      </c>
      <c r="G190" s="753">
        <f>+Compiègne!F191+Amiens!F191+Cambrai!F191+Caudry!F191</f>
        <v>0</v>
      </c>
      <c r="H190" s="753">
        <f>+Compiègne!G191+Amiens!G191+Cambrai!G191+Caudry!G191</f>
        <v>0</v>
      </c>
      <c r="I190" s="753">
        <f>+Compiègne!H191+Amiens!H191+Cambrai!H191+Caudry!H191</f>
        <v>0</v>
      </c>
      <c r="J190" s="1013">
        <f t="shared" si="29"/>
        <v>0</v>
      </c>
      <c r="K190" s="1014">
        <f t="shared" si="30"/>
        <v>0</v>
      </c>
      <c r="L190" s="805">
        <f>+Dijon!D191+Eu!D191+Nancy!D191+Roanne!D191</f>
        <v>0</v>
      </c>
      <c r="M190" s="2">
        <f t="shared" si="20"/>
        <v>0</v>
      </c>
    </row>
    <row r="191" spans="1:14" s="2" customFormat="1" ht="11.25" hidden="1">
      <c r="A191" s="590" t="s">
        <v>183</v>
      </c>
      <c r="B191" s="805">
        <f>+Cambrai!G192</f>
        <v>0</v>
      </c>
      <c r="C191" s="805">
        <f>+Caudry!G192</f>
        <v>0</v>
      </c>
      <c r="D191" s="805">
        <f>+Amiens!$G192</f>
        <v>0</v>
      </c>
      <c r="E191" s="805">
        <f>+Compiègne!$G192</f>
        <v>0</v>
      </c>
      <c r="F191" s="753">
        <f>+Compiègne!E192+Amiens!E192+Cambrai!E192+Caudry!E192</f>
        <v>0</v>
      </c>
      <c r="G191" s="753">
        <f>+Compiègne!F192+Amiens!F192+Cambrai!F192+Caudry!F192</f>
        <v>0</v>
      </c>
      <c r="H191" s="753">
        <f>+Compiègne!G192+Amiens!G192+Cambrai!G192+Caudry!G192</f>
        <v>0</v>
      </c>
      <c r="I191" s="753">
        <f>+Compiègne!H192+Amiens!H192+Cambrai!H192+Caudry!H192</f>
        <v>0</v>
      </c>
      <c r="J191" s="1013">
        <f t="shared" si="29"/>
        <v>0</v>
      </c>
      <c r="K191" s="1014">
        <f t="shared" si="30"/>
        <v>0</v>
      </c>
      <c r="L191" s="805">
        <f>+Dijon!D192+Eu!D192+Nancy!D192+Roanne!D192</f>
        <v>0</v>
      </c>
      <c r="M191" s="2">
        <f t="shared" si="20"/>
        <v>0</v>
      </c>
    </row>
    <row r="192" spans="1:14" s="2" customFormat="1" ht="11.25" hidden="1">
      <c r="A192" s="590" t="s">
        <v>184</v>
      </c>
      <c r="B192" s="805">
        <f>+Cambrai!G193</f>
        <v>0</v>
      </c>
      <c r="C192" s="805">
        <f>+Caudry!G193</f>
        <v>0</v>
      </c>
      <c r="D192" s="805">
        <f>+Amiens!$G193</f>
        <v>0</v>
      </c>
      <c r="E192" s="805">
        <f>+Compiègne!$G193</f>
        <v>0</v>
      </c>
      <c r="F192" s="753">
        <f>+Compiègne!E193+Amiens!E193+Cambrai!E193+Caudry!E193</f>
        <v>21118</v>
      </c>
      <c r="G192" s="753">
        <f>+Compiègne!F193+Amiens!F193+Cambrai!F193+Caudry!F193</f>
        <v>910.4</v>
      </c>
      <c r="H192" s="753">
        <f>+Compiègne!G193+Amiens!G193+Cambrai!G193+Caudry!G193</f>
        <v>0</v>
      </c>
      <c r="I192" s="753">
        <f>+Compiègne!H193+Amiens!H193+Cambrai!H193+Caudry!H193</f>
        <v>0</v>
      </c>
      <c r="J192" s="1013">
        <f t="shared" si="29"/>
        <v>-0.95688985699403351</v>
      </c>
      <c r="K192" s="1014">
        <f t="shared" si="30"/>
        <v>-1</v>
      </c>
      <c r="L192" s="805">
        <f>+Dijon!D193+Eu!D193+Nancy!D193+Roanne!D193</f>
        <v>0</v>
      </c>
      <c r="M192" s="2">
        <v>0</v>
      </c>
    </row>
    <row r="193" spans="1:14" s="2" customFormat="1" ht="11.25" hidden="1">
      <c r="A193" s="590" t="s">
        <v>342</v>
      </c>
      <c r="B193" s="805">
        <f>+Cambrai!G194</f>
        <v>0</v>
      </c>
      <c r="C193" s="805">
        <f>+Caudry!G194</f>
        <v>0</v>
      </c>
      <c r="D193" s="805">
        <f>+Amiens!$G194</f>
        <v>0</v>
      </c>
      <c r="E193" s="805">
        <f>+Compiègne!$G194</f>
        <v>0</v>
      </c>
      <c r="F193" s="753">
        <f>+Compiègne!E194+Amiens!E194+Cambrai!E194+Caudry!E194</f>
        <v>8423.02</v>
      </c>
      <c r="G193" s="753">
        <f>+Compiègne!F194+Amiens!F194+Cambrai!F194+Caudry!F194</f>
        <v>6.6666666666666666E-2</v>
      </c>
      <c r="H193" s="753">
        <f>+Compiègne!G194+Amiens!G194+Cambrai!G194+Caudry!G194</f>
        <v>0</v>
      </c>
      <c r="I193" s="753">
        <f>+Compiègne!H194+Amiens!H194+Cambrai!H194+Caudry!H194</f>
        <v>0</v>
      </c>
      <c r="J193" s="1013">
        <f t="shared" si="29"/>
        <v>-0.99999208518243243</v>
      </c>
      <c r="K193" s="1014">
        <f t="shared" si="30"/>
        <v>-1</v>
      </c>
      <c r="L193" s="805">
        <f>+Dijon!D194+Eu!D194+Nancy!D194+Roanne!D194</f>
        <v>0</v>
      </c>
      <c r="M193" s="2">
        <v>0</v>
      </c>
    </row>
    <row r="194" spans="1:14" s="2" customFormat="1" ht="11.25" hidden="1">
      <c r="A194" s="590" t="s">
        <v>186</v>
      </c>
      <c r="B194" s="805">
        <f>+Cambrai!G195</f>
        <v>0</v>
      </c>
      <c r="C194" s="805">
        <f>+Caudry!G195</f>
        <v>0</v>
      </c>
      <c r="D194" s="805">
        <f>+Amiens!$G195</f>
        <v>0</v>
      </c>
      <c r="E194" s="805">
        <f>+Compiègne!$G195</f>
        <v>0</v>
      </c>
      <c r="F194" s="753">
        <f>+Compiègne!E195+Amiens!E195+Cambrai!E195+Caudry!E195</f>
        <v>0</v>
      </c>
      <c r="G194" s="753">
        <f>+Compiègne!F195+Amiens!F195+Cambrai!F195+Caudry!F195</f>
        <v>0</v>
      </c>
      <c r="H194" s="753">
        <f>+Compiègne!G195+Amiens!G195+Cambrai!G195+Caudry!G195</f>
        <v>0</v>
      </c>
      <c r="I194" s="753">
        <f>+Compiègne!H195+Amiens!H195+Cambrai!H195+Caudry!H195</f>
        <v>0</v>
      </c>
      <c r="J194" s="1013">
        <f t="shared" si="29"/>
        <v>0</v>
      </c>
      <c r="K194" s="1014">
        <f t="shared" si="30"/>
        <v>0</v>
      </c>
      <c r="L194" s="805">
        <f>+Dijon!D195+Eu!D195+Nancy!D195+Roanne!D195</f>
        <v>0</v>
      </c>
      <c r="M194" s="2">
        <f t="shared" si="20"/>
        <v>0</v>
      </c>
    </row>
    <row r="195" spans="1:14" s="2" customFormat="1" ht="11.25" hidden="1">
      <c r="A195" s="590" t="s">
        <v>187</v>
      </c>
      <c r="B195" s="805">
        <f>+Cambrai!G196</f>
        <v>0</v>
      </c>
      <c r="C195" s="805">
        <f>+Caudry!G196</f>
        <v>0</v>
      </c>
      <c r="D195" s="805">
        <f>+Amiens!$G196</f>
        <v>0</v>
      </c>
      <c r="E195" s="805">
        <f>+Compiègne!$G196</f>
        <v>0</v>
      </c>
      <c r="F195" s="753">
        <f>+Compiègne!E196+Amiens!E196+Cambrai!E196+Caudry!E196</f>
        <v>0</v>
      </c>
      <c r="G195" s="753">
        <f>+Compiègne!F196+Amiens!F196+Cambrai!F196+Caudry!F196</f>
        <v>0</v>
      </c>
      <c r="H195" s="753">
        <f>+Compiègne!G196+Amiens!G196+Cambrai!G196+Caudry!G196</f>
        <v>0</v>
      </c>
      <c r="I195" s="753">
        <f>+Compiègne!H196+Amiens!H196+Cambrai!H196+Caudry!H196</f>
        <v>0</v>
      </c>
      <c r="J195" s="1013">
        <f t="shared" si="29"/>
        <v>0</v>
      </c>
      <c r="K195" s="1014">
        <f t="shared" si="30"/>
        <v>0</v>
      </c>
      <c r="L195" s="805">
        <f>+Dijon!D196+Eu!D196+Nancy!D196+Roanne!D196</f>
        <v>0</v>
      </c>
      <c r="M195" s="2">
        <f t="shared" si="20"/>
        <v>0</v>
      </c>
    </row>
    <row r="196" spans="1:14" s="2" customFormat="1" ht="11.25" hidden="1">
      <c r="A196" s="590" t="s">
        <v>328</v>
      </c>
      <c r="B196" s="805">
        <f>+Cambrai!G197</f>
        <v>0</v>
      </c>
      <c r="C196" s="805">
        <f>+Caudry!G197</f>
        <v>0</v>
      </c>
      <c r="D196" s="805">
        <f>+Amiens!$G197</f>
        <v>0</v>
      </c>
      <c r="E196" s="805">
        <f>+Compiègne!$G197</f>
        <v>0</v>
      </c>
      <c r="F196" s="753">
        <f>+Compiègne!E197+Amiens!E197+Cambrai!E197+Caudry!E197</f>
        <v>3500</v>
      </c>
      <c r="G196" s="753">
        <f>+Compiègne!F197+Amiens!F197+Cambrai!F197+Caudry!F197</f>
        <v>0</v>
      </c>
      <c r="H196" s="753">
        <f>+Compiègne!G197+Amiens!G197+Cambrai!G197+Caudry!G197</f>
        <v>0</v>
      </c>
      <c r="I196" s="753">
        <f>+Compiègne!H197+Amiens!H197+Cambrai!H197+Caudry!H197</f>
        <v>0</v>
      </c>
      <c r="J196" s="1013">
        <f t="shared" si="29"/>
        <v>-1</v>
      </c>
      <c r="K196" s="1014">
        <f t="shared" si="30"/>
        <v>0</v>
      </c>
      <c r="L196" s="805">
        <f>+Dijon!D197+Eu!D197+Nancy!D197+Roanne!D197</f>
        <v>0</v>
      </c>
      <c r="M196" s="2">
        <v>0</v>
      </c>
    </row>
    <row r="197" spans="1:14" s="2" customFormat="1" ht="11.25" hidden="1">
      <c r="A197" s="590" t="s">
        <v>344</v>
      </c>
      <c r="B197" s="805">
        <f>+Cambrai!G198</f>
        <v>0</v>
      </c>
      <c r="C197" s="805">
        <f>+Caudry!G198</f>
        <v>0</v>
      </c>
      <c r="D197" s="805">
        <f>+Amiens!$G198</f>
        <v>0</v>
      </c>
      <c r="E197" s="805">
        <f>+Compiègne!$G198</f>
        <v>0</v>
      </c>
      <c r="F197" s="753">
        <f>+Compiègne!E198+Amiens!E198+Cambrai!E198+Caudry!E198</f>
        <v>3500</v>
      </c>
      <c r="G197" s="753">
        <f>+Compiègne!F198+Amiens!F198+Cambrai!F198+Caudry!F198</f>
        <v>0</v>
      </c>
      <c r="H197" s="753">
        <f>+Compiègne!G198+Amiens!G198+Cambrai!G198+Caudry!G198</f>
        <v>0</v>
      </c>
      <c r="I197" s="753">
        <f>+Compiègne!H198+Amiens!H198+Cambrai!H198+Caudry!H198</f>
        <v>0</v>
      </c>
      <c r="J197" s="1013">
        <f t="shared" si="29"/>
        <v>-1</v>
      </c>
      <c r="K197" s="1014">
        <f t="shared" si="30"/>
        <v>0</v>
      </c>
      <c r="L197" s="805">
        <f>+Dijon!D198+Eu!D198+Nancy!D198+Roanne!D198</f>
        <v>0</v>
      </c>
      <c r="M197" s="2">
        <v>0</v>
      </c>
    </row>
    <row r="198" spans="1:14" s="2" customFormat="1" ht="11.25" hidden="1">
      <c r="A198" s="590" t="s">
        <v>77</v>
      </c>
      <c r="B198" s="805">
        <f>+Cambrai!G199</f>
        <v>0</v>
      </c>
      <c r="C198" s="805">
        <f>+Caudry!G199</f>
        <v>0</v>
      </c>
      <c r="D198" s="805">
        <f>+Amiens!$G199</f>
        <v>0</v>
      </c>
      <c r="E198" s="805">
        <f>+Compiègne!$G199</f>
        <v>0</v>
      </c>
      <c r="F198" s="753">
        <f>+Compiègne!E199+Amiens!E199+Cambrai!E199+Caudry!E199</f>
        <v>4360.17</v>
      </c>
      <c r="G198" s="753">
        <f>+Compiègne!F199+Amiens!F199+Cambrai!F199+Caudry!F199</f>
        <v>0</v>
      </c>
      <c r="H198" s="753">
        <f>+Compiègne!G199+Amiens!G199+Cambrai!G199+Caudry!G199</f>
        <v>0</v>
      </c>
      <c r="I198" s="753">
        <f>+Compiègne!H199+Amiens!H199+Cambrai!H199+Caudry!H199</f>
        <v>0</v>
      </c>
      <c r="J198" s="1013">
        <f t="shared" si="29"/>
        <v>-1</v>
      </c>
      <c r="K198" s="1014">
        <f t="shared" si="30"/>
        <v>0</v>
      </c>
      <c r="L198" s="805">
        <f>+Dijon!D199+Eu!D199+Nancy!D199+Roanne!D199</f>
        <v>0</v>
      </c>
      <c r="M198" s="2">
        <v>0</v>
      </c>
    </row>
    <row r="199" spans="1:14" s="2" customFormat="1" ht="11.25" hidden="1">
      <c r="A199" s="590"/>
      <c r="B199" s="805"/>
      <c r="C199" s="805"/>
      <c r="D199" s="805"/>
      <c r="E199" s="805"/>
      <c r="F199" s="805"/>
      <c r="G199" s="601"/>
      <c r="H199" s="805"/>
      <c r="I199" s="805"/>
      <c r="J199" s="1013"/>
      <c r="K199" s="1081"/>
      <c r="L199" s="805"/>
      <c r="M199" s="2">
        <f t="shared" si="20"/>
        <v>0</v>
      </c>
    </row>
    <row r="200" spans="1:14" s="678" customFormat="1">
      <c r="A200" s="695" t="s">
        <v>188</v>
      </c>
      <c r="B200" s="758">
        <f t="shared" ref="B200:G200" si="31">SUM(B185:B199)</f>
        <v>0</v>
      </c>
      <c r="C200" s="758">
        <f t="shared" si="31"/>
        <v>0</v>
      </c>
      <c r="D200" s="758">
        <f t="shared" si="31"/>
        <v>0</v>
      </c>
      <c r="E200" s="758">
        <f t="shared" si="31"/>
        <v>0</v>
      </c>
      <c r="F200" s="758">
        <f t="shared" si="31"/>
        <v>58252.78</v>
      </c>
      <c r="G200" s="764">
        <f t="shared" si="31"/>
        <v>7120.84</v>
      </c>
      <c r="H200" s="803">
        <v>0</v>
      </c>
      <c r="I200" s="758">
        <f>SUM(I185:I199)</f>
        <v>0</v>
      </c>
      <c r="J200" s="759">
        <f>+IF((F200)=0,,(G200-F200)/F200)</f>
        <v>-0.87775965370236408</v>
      </c>
      <c r="K200" s="760">
        <f>+IF((G200)=0,,(I200-G200)/G200)</f>
        <v>-1</v>
      </c>
      <c r="L200" s="758">
        <f>SUM(L185:L199)</f>
        <v>0</v>
      </c>
      <c r="M200" s="678">
        <f t="shared" ref="M200:M254" si="32">IF(SUM(B200:L200)&gt;0,1,0)</f>
        <v>1</v>
      </c>
      <c r="N200" s="1092">
        <f>SUBTOTAL(9,B200:E200)</f>
        <v>0</v>
      </c>
    </row>
    <row r="201" spans="1:14" s="2" customFormat="1" ht="11.25" hidden="1">
      <c r="A201" s="590"/>
      <c r="B201" s="805"/>
      <c r="C201" s="805"/>
      <c r="D201" s="805"/>
      <c r="E201" s="805"/>
      <c r="F201" s="805"/>
      <c r="G201" s="601"/>
      <c r="H201" s="805"/>
      <c r="I201" s="805"/>
      <c r="J201" s="1013"/>
      <c r="K201" s="1081"/>
      <c r="L201" s="805"/>
      <c r="M201" s="2">
        <f t="shared" si="32"/>
        <v>0</v>
      </c>
    </row>
    <row r="202" spans="1:14" s="678" customFormat="1">
      <c r="A202" s="713" t="s">
        <v>189</v>
      </c>
      <c r="B202" s="773">
        <f t="shared" ref="B202:G202" si="33">+B103+B116+B129+B153+B167+B184-B200</f>
        <v>198954.58538406031</v>
      </c>
      <c r="C202" s="773">
        <f t="shared" si="33"/>
        <v>246290.72993309339</v>
      </c>
      <c r="D202" s="773">
        <f t="shared" si="33"/>
        <v>187747.4002421386</v>
      </c>
      <c r="E202" s="773">
        <f t="shared" si="33"/>
        <v>262027.68522974636</v>
      </c>
      <c r="F202" s="773">
        <f t="shared" si="33"/>
        <v>841302.36999999988</v>
      </c>
      <c r="G202" s="774">
        <f t="shared" si="33"/>
        <v>866609.05333333334</v>
      </c>
      <c r="H202" s="659">
        <v>837636.56991162035</v>
      </c>
      <c r="I202" s="773">
        <f>+I103+I116+I129+I153+I167+I184-I200</f>
        <v>895020.40078903863</v>
      </c>
      <c r="J202" s="775">
        <f>+IF((F202)=0,,(G202-F202)/F202)</f>
        <v>3.0080366151034935E-2</v>
      </c>
      <c r="K202" s="776">
        <f>+IF((G202)=0,,(I202-G202)/G202)</f>
        <v>3.2784503400262906E-2</v>
      </c>
      <c r="L202" s="773">
        <f>+L103+L116+L129+L153+L167+L184-L200</f>
        <v>1408020.7661032123</v>
      </c>
      <c r="M202" s="678">
        <f t="shared" si="32"/>
        <v>1</v>
      </c>
      <c r="N202" s="1092">
        <f>SUBTOTAL(9,B202:E202)</f>
        <v>895020.40078903874</v>
      </c>
    </row>
    <row r="203" spans="1:14" s="2" customFormat="1" ht="11.25" hidden="1">
      <c r="A203" s="590"/>
      <c r="B203" s="805"/>
      <c r="C203" s="805"/>
      <c r="D203" s="805"/>
      <c r="E203" s="805"/>
      <c r="F203" s="805"/>
      <c r="G203" s="601"/>
      <c r="H203" s="1099"/>
      <c r="I203" s="805"/>
      <c r="J203" s="1013"/>
      <c r="K203" s="1081"/>
      <c r="L203" s="805"/>
      <c r="M203" s="2">
        <f t="shared" si="32"/>
        <v>0</v>
      </c>
    </row>
    <row r="204" spans="1:14" s="678" customFormat="1">
      <c r="A204" s="673" t="s">
        <v>228</v>
      </c>
      <c r="B204" s="777">
        <f>+B62-B202</f>
        <v>49111.4973805029</v>
      </c>
      <c r="C204" s="777">
        <f>+C62-C202</f>
        <v>42676.456720441958</v>
      </c>
      <c r="D204" s="777">
        <f>+D62-D202</f>
        <v>7693.7538715722621</v>
      </c>
      <c r="E204" s="777">
        <f>+E62-E202</f>
        <v>22081.684539006354</v>
      </c>
      <c r="F204" s="777">
        <f>+F53-F202</f>
        <v>68989.041900000768</v>
      </c>
      <c r="G204" s="778">
        <f>+G62-G202</f>
        <v>14169.841627216199</v>
      </c>
      <c r="H204" s="667">
        <v>309785.05643777945</v>
      </c>
      <c r="I204" s="777">
        <f>+I62-I202</f>
        <v>121563.39251152345</v>
      </c>
      <c r="J204" s="779">
        <f>+IF((F204)=0,,(G204-F204)/F204)</f>
        <v>-0.79460735738647736</v>
      </c>
      <c r="K204" s="780">
        <f>+IF((G204)=0,,(I204-G204)/G204)</f>
        <v>7.5790226672706806</v>
      </c>
      <c r="L204" s="777">
        <f>+L62-L202</f>
        <v>454776.23389678774</v>
      </c>
      <c r="M204" s="678">
        <f t="shared" si="32"/>
        <v>1</v>
      </c>
      <c r="N204" s="1092">
        <f>SUBTOTAL(9,B204:E204)</f>
        <v>121563.39251152347</v>
      </c>
    </row>
    <row r="205" spans="1:14" s="2" customFormat="1" ht="11.25" hidden="1">
      <c r="A205" s="590"/>
      <c r="B205" s="805"/>
      <c r="C205" s="805"/>
      <c r="D205" s="805"/>
      <c r="E205" s="805"/>
      <c r="F205" s="805"/>
      <c r="G205" s="601"/>
      <c r="H205" s="805"/>
      <c r="I205" s="805"/>
      <c r="J205" s="1013"/>
      <c r="K205" s="1081"/>
      <c r="L205" s="805"/>
      <c r="M205" s="2">
        <f t="shared" si="32"/>
        <v>0</v>
      </c>
    </row>
    <row r="206" spans="1:14" s="678" customFormat="1">
      <c r="A206" s="718" t="s">
        <v>251</v>
      </c>
      <c r="B206" s="781">
        <f>+Cambrai!G207</f>
        <v>2537.6714398685103</v>
      </c>
      <c r="C206" s="781">
        <f>+Caudry!G207</f>
        <v>2803.8472523336141</v>
      </c>
      <c r="D206" s="781">
        <f>+Amiens!$G207</f>
        <v>1957.4946003912328</v>
      </c>
      <c r="E206" s="781">
        <f>+Compiègne!$G207</f>
        <v>3071.134835605601</v>
      </c>
      <c r="F206" s="782">
        <f>+Compiègne!E207+Amiens!E207+Cambrai!E207+Caudry!E207</f>
        <v>5607.1160952241544</v>
      </c>
      <c r="G206" s="782">
        <f>+Compiègne!F207+Amiens!F207+Cambrai!F207+Caudry!F207</f>
        <v>6516.7975203267397</v>
      </c>
      <c r="H206" s="651">
        <v>21490.909252861464</v>
      </c>
      <c r="I206" s="782">
        <f>+Compiègne!G207+Amiens!G207+Cambrai!G207+Caudry!G207</f>
        <v>10370.148128198958</v>
      </c>
      <c r="J206" s="783">
        <f>+IF((F206)=0,,(G206-F206)/F206)</f>
        <v>0.16223695205408784</v>
      </c>
      <c r="K206" s="784">
        <f>+IF((G206)=0,,(I206-G206)/G206)</f>
        <v>0.59129512553568164</v>
      </c>
      <c r="L206" s="782">
        <f>+Dijon!D207+Eu!D207+Nancy!D207+Roanne!D207</f>
        <v>25614.593618466813</v>
      </c>
      <c r="M206" s="678">
        <f t="shared" si="32"/>
        <v>1</v>
      </c>
      <c r="N206" s="1092">
        <f>SUBTOTAL(9,B206:E206)</f>
        <v>10370.148128198958</v>
      </c>
    </row>
    <row r="207" spans="1:14" s="2" customFormat="1" ht="11.25" hidden="1">
      <c r="A207" s="590"/>
      <c r="B207" s="805"/>
      <c r="C207" s="805"/>
      <c r="D207" s="805"/>
      <c r="E207" s="805"/>
      <c r="F207" s="805"/>
      <c r="G207" s="601"/>
      <c r="H207" s="805"/>
      <c r="I207" s="805"/>
      <c r="J207" s="1013"/>
      <c r="K207" s="1081"/>
      <c r="L207" s="805"/>
      <c r="M207" s="2">
        <f t="shared" si="32"/>
        <v>0</v>
      </c>
    </row>
    <row r="208" spans="1:14" s="678" customFormat="1">
      <c r="A208" s="673" t="s">
        <v>190</v>
      </c>
      <c r="B208" s="777">
        <f t="shared" ref="B208:G208" si="34">+B204-B206</f>
        <v>46573.825940634393</v>
      </c>
      <c r="C208" s="777">
        <f t="shared" si="34"/>
        <v>39872.609468108341</v>
      </c>
      <c r="D208" s="777">
        <f t="shared" si="34"/>
        <v>5736.2592711810294</v>
      </c>
      <c r="E208" s="777">
        <f t="shared" si="34"/>
        <v>19010.549703400753</v>
      </c>
      <c r="F208" s="777">
        <f t="shared" si="34"/>
        <v>63381.925804776612</v>
      </c>
      <c r="G208" s="778">
        <f t="shared" si="34"/>
        <v>7653.0441068894597</v>
      </c>
      <c r="H208" s="667">
        <v>288294.14718491799</v>
      </c>
      <c r="I208" s="777">
        <f>+I204-I206</f>
        <v>111193.24438332449</v>
      </c>
      <c r="J208" s="779">
        <f>+IF((F208)=0,,(G208-F208)/F208)</f>
        <v>-0.87925510293799392</v>
      </c>
      <c r="K208" s="780">
        <f>+IF((G208)=0,,(I208-G208)/G208)</f>
        <v>13.529283097065335</v>
      </c>
      <c r="L208" s="777">
        <f>+L204-L206</f>
        <v>429161.64027832093</v>
      </c>
      <c r="M208" s="678">
        <f t="shared" si="32"/>
        <v>1</v>
      </c>
      <c r="N208" s="1092">
        <f>SUBTOTAL(9,B208:E208)</f>
        <v>111193.24438332452</v>
      </c>
    </row>
    <row r="209" spans="1:14" s="2" customFormat="1" ht="11.25" hidden="1">
      <c r="A209" s="590"/>
      <c r="B209" s="805"/>
      <c r="C209" s="805"/>
      <c r="D209" s="805"/>
      <c r="E209" s="805"/>
      <c r="F209" s="805"/>
      <c r="G209" s="601"/>
      <c r="H209" s="805"/>
      <c r="I209" s="805"/>
      <c r="J209" s="1013"/>
      <c r="K209" s="1081"/>
      <c r="L209" s="805"/>
      <c r="M209" s="2">
        <f t="shared" si="32"/>
        <v>0</v>
      </c>
    </row>
    <row r="210" spans="1:14" s="678" customFormat="1">
      <c r="A210" s="690" t="s">
        <v>191</v>
      </c>
      <c r="B210" s="753">
        <f>+Cambrai!G211</f>
        <v>9644.6846793104778</v>
      </c>
      <c r="C210" s="753">
        <f>+Caudry!G211</f>
        <v>9644.6846793104778</v>
      </c>
      <c r="D210" s="753">
        <f>+Amiens!$G211</f>
        <v>9644.6846793104778</v>
      </c>
      <c r="E210" s="753">
        <f>+Compiègne!$G211</f>
        <v>9644.6846793104778</v>
      </c>
      <c r="F210" s="753">
        <f>+Compiègne!E211+Amiens!E211+Cambrai!E211+Caudry!E211</f>
        <v>32380.344287999997</v>
      </c>
      <c r="G210" s="754">
        <f>+Compiègne!F211+Amiens!F211+Cambrai!F211+Caudry!F211</f>
        <v>35991.843053763427</v>
      </c>
      <c r="H210" s="805">
        <v>18331.52660513256</v>
      </c>
      <c r="I210" s="755">
        <f>+Compiègne!G211+Amiens!G211+Cambrai!G211+Caudry!G211</f>
        <v>38578.738717241911</v>
      </c>
      <c r="J210" s="756">
        <f>+IF((F210)=0,,(G210-F210)/F210)</f>
        <v>0.11153367405984731</v>
      </c>
      <c r="K210" s="757">
        <f>+IF((G210)=0,,(I210-G210)/G210)</f>
        <v>7.1874498330476308E-2</v>
      </c>
      <c r="L210" s="753">
        <f>+Dijon!D211+Eu!D211+Nancy!D211+Roanne!D211</f>
        <v>33828.111664621531</v>
      </c>
      <c r="M210" s="678">
        <f t="shared" si="32"/>
        <v>1</v>
      </c>
      <c r="N210" s="1092">
        <f>SUBTOTAL(9,B210:E210)</f>
        <v>38578.738717241911</v>
      </c>
    </row>
    <row r="211" spans="1:14">
      <c r="A211" s="690" t="s">
        <v>192</v>
      </c>
      <c r="B211" s="753">
        <f>+Cambrai!G212</f>
        <v>27341.487083745262</v>
      </c>
      <c r="C211" s="753">
        <f>+Caudry!G212</f>
        <v>30209.329793476485</v>
      </c>
      <c r="D211" s="753">
        <f>+Amiens!$G212</f>
        <v>21090.52121257714</v>
      </c>
      <c r="E211" s="753">
        <f>+Compiègne!$G212</f>
        <v>33089.150991312548</v>
      </c>
      <c r="F211" s="753">
        <f>+Compiègne!E212+Amiens!E212+Cambrai!E212+Caudry!E212</f>
        <v>86055.158564308105</v>
      </c>
      <c r="G211" s="754">
        <f>+Compiègne!F212+Amiens!F212+Cambrai!F212+Caudry!F212</f>
        <v>97857.059702613624</v>
      </c>
      <c r="H211" s="805">
        <v>143418.09017186947</v>
      </c>
      <c r="I211" s="755">
        <f>+Compiègne!G212+Amiens!G212+Cambrai!G212+Caudry!G212</f>
        <v>111730.48908111143</v>
      </c>
      <c r="J211" s="756">
        <f>+IF((F211)=0,,(G211-F211)/F211)</f>
        <v>0.13714344770495174</v>
      </c>
      <c r="K211" s="757">
        <f>+IF((G211)=0,,(I211-G211)/G211)</f>
        <v>0.14177239149284665</v>
      </c>
      <c r="L211" s="753">
        <f>+Dijon!D212+Eu!D212+Nancy!D212+Roanne!D212</f>
        <v>158576.28138374342</v>
      </c>
      <c r="M211" s="678">
        <f t="shared" si="32"/>
        <v>1</v>
      </c>
      <c r="N211" s="1092">
        <f>SUBTOTAL(9,B211:E211)</f>
        <v>111730.48908111143</v>
      </c>
    </row>
    <row r="212" spans="1:14" customFormat="1" ht="12.75" hidden="1">
      <c r="A212" s="590" t="s">
        <v>193</v>
      </c>
      <c r="B212" s="805">
        <f>+Cambrai!G213</f>
        <v>-5922.4806067700001</v>
      </c>
      <c r="C212" s="805">
        <f>+Caudry!G213</f>
        <v>-8017.7589359999993</v>
      </c>
      <c r="D212" s="805">
        <f>+Amiens!$G213</f>
        <v>-5622.3888287039999</v>
      </c>
      <c r="E212" s="805">
        <f>+Compiègne!$G213</f>
        <v>-7383.3105710000009</v>
      </c>
      <c r="F212" s="753">
        <f>+Compiègne!E213+Amiens!E213+Cambrai!E213+Caudry!E213</f>
        <v>-25855.17</v>
      </c>
      <c r="G212" s="754">
        <f>+Compiègne!F213+Amiens!F213+Cambrai!F213+Caudry!F213</f>
        <v>-28752</v>
      </c>
      <c r="H212" s="805">
        <v>143419.090171869</v>
      </c>
      <c r="I212" s="755">
        <f>+Compiègne!G213+Amiens!G213+Cambrai!G213+Caudry!G213</f>
        <v>-26945.938942474</v>
      </c>
      <c r="J212" s="1013">
        <f>+IF((F212)=0,,(G212-F212)/F212)</f>
        <v>0.11204064796325075</v>
      </c>
      <c r="K212" s="1014">
        <f>+IF((G212)=0,,(I212-G212)/G212)</f>
        <v>-6.2815145295144675E-2</v>
      </c>
      <c r="L212" s="805">
        <f>+Dijon!D213+Eu!D213+Nancy!D213+Roanne!D213</f>
        <v>-39680.479999999996</v>
      </c>
      <c r="M212" s="2">
        <f t="shared" si="32"/>
        <v>0</v>
      </c>
    </row>
    <row r="213" spans="1:14" customFormat="1" ht="12.75" hidden="1">
      <c r="A213" s="590"/>
      <c r="B213" s="805"/>
      <c r="C213" s="805"/>
      <c r="D213" s="805"/>
      <c r="E213" s="805"/>
      <c r="F213" s="805"/>
      <c r="G213" s="601"/>
      <c r="H213" s="805"/>
      <c r="I213" s="805"/>
      <c r="J213" s="1013"/>
      <c r="K213" s="1081"/>
      <c r="L213" s="805"/>
      <c r="M213" s="2">
        <f t="shared" si="32"/>
        <v>0</v>
      </c>
    </row>
    <row r="214" spans="1:14">
      <c r="A214" s="721" t="s">
        <v>194</v>
      </c>
      <c r="B214" s="785">
        <f t="shared" ref="B214:G214" si="35">SUM(B209:B212)</f>
        <v>31063.691156285739</v>
      </c>
      <c r="C214" s="785">
        <f t="shared" si="35"/>
        <v>31836.255536786965</v>
      </c>
      <c r="D214" s="785">
        <f t="shared" si="35"/>
        <v>25112.817063183618</v>
      </c>
      <c r="E214" s="785">
        <f t="shared" si="35"/>
        <v>35350.525099623024</v>
      </c>
      <c r="F214" s="785">
        <f t="shared" si="35"/>
        <v>92580.3328523081</v>
      </c>
      <c r="G214" s="786">
        <f t="shared" si="35"/>
        <v>105096.90275637707</v>
      </c>
      <c r="H214" s="668">
        <v>120779.85677700202</v>
      </c>
      <c r="I214" s="785">
        <f>SUM(I209:I212)</f>
        <v>123363.28885587936</v>
      </c>
      <c r="J214" s="783">
        <f>+IF((F214)=0,,(G214-F214)/F214)</f>
        <v>0.13519685573000095</v>
      </c>
      <c r="K214" s="784">
        <f>+IF((G214)=0,,(I214-G214)/G214)</f>
        <v>0.17380517998561029</v>
      </c>
      <c r="L214" s="785">
        <f>SUM(L209:L212)</f>
        <v>152723.91304836498</v>
      </c>
      <c r="M214" s="678">
        <f t="shared" si="32"/>
        <v>1</v>
      </c>
      <c r="N214" s="1092">
        <f>SUBTOTAL(9,B214:E214)</f>
        <v>123363.28885587933</v>
      </c>
    </row>
    <row r="215" spans="1:14" customFormat="1" ht="12.75" hidden="1">
      <c r="A215" s="590"/>
      <c r="B215" s="805"/>
      <c r="C215" s="805"/>
      <c r="D215" s="805"/>
      <c r="E215" s="805"/>
      <c r="F215" s="805"/>
      <c r="G215" s="601"/>
      <c r="H215" s="805"/>
      <c r="I215" s="805"/>
      <c r="J215" s="1013"/>
      <c r="K215" s="1081"/>
      <c r="L215" s="805"/>
      <c r="M215" s="2">
        <f t="shared" si="32"/>
        <v>0</v>
      </c>
    </row>
    <row r="216" spans="1:14" s="684" customFormat="1" ht="24" customHeight="1">
      <c r="A216" s="740" t="s">
        <v>332</v>
      </c>
      <c r="B216" s="806">
        <f t="shared" ref="B216:G216" si="36">+B208-B214</f>
        <v>15510.134784348655</v>
      </c>
      <c r="C216" s="806">
        <f t="shared" si="36"/>
        <v>8036.3539313213769</v>
      </c>
      <c r="D216" s="806">
        <f t="shared" si="36"/>
        <v>-19376.55779200259</v>
      </c>
      <c r="E216" s="806">
        <f t="shared" si="36"/>
        <v>-16339.975396222271</v>
      </c>
      <c r="F216" s="806">
        <f t="shared" si="36"/>
        <v>-29198.407047531487</v>
      </c>
      <c r="G216" s="806">
        <f t="shared" si="36"/>
        <v>-97443.858649487607</v>
      </c>
      <c r="H216" s="806">
        <v>167514.29040791598</v>
      </c>
      <c r="I216" s="806">
        <f>+I208-I214</f>
        <v>-12170.044472554873</v>
      </c>
      <c r="J216" s="1066">
        <f>+IF((F216)=0,,(G216-F216)/F216)</f>
        <v>2.3373005072112583</v>
      </c>
      <c r="K216" s="787">
        <f>+IF((G216)=0,,(I216-G216)/G216)</f>
        <v>-0.87510711663901386</v>
      </c>
      <c r="L216" s="788">
        <f>+L208-L214</f>
        <v>276437.72722995596</v>
      </c>
      <c r="M216" s="684">
        <f t="shared" si="32"/>
        <v>1</v>
      </c>
      <c r="N216" s="1092">
        <f>SUBTOTAL(9,B216:E216)</f>
        <v>-12170.04447255483</v>
      </c>
    </row>
    <row r="217" spans="1:14">
      <c r="A217" s="724" t="s">
        <v>44</v>
      </c>
      <c r="B217" s="753">
        <f>+Cambrai!G217</f>
        <v>15510.134784348655</v>
      </c>
      <c r="C217" s="753">
        <f>+Caudry!G217</f>
        <v>8036.3539313213769</v>
      </c>
      <c r="D217" s="753">
        <f>+Amiens!$G217</f>
        <v>-19376.55779200259</v>
      </c>
      <c r="E217" s="753">
        <f>+Compiègne!$G217</f>
        <v>-16339.975396222271</v>
      </c>
      <c r="F217" s="754">
        <f>+Compiègne!E217+Amiens!E217+Cambrai!E217+Caudry!E217</f>
        <v>-36738.115207532166</v>
      </c>
      <c r="G217" s="754">
        <f>+Compiègne!F217+Amiens!F217+Cambrai!F217+Caudry!F217</f>
        <v>-97443.858649487622</v>
      </c>
      <c r="H217" s="805">
        <v>167514.29040791569</v>
      </c>
      <c r="I217" s="754">
        <f>+Compiègne!G217+Amiens!G217+Cambrai!G217+Caudry!G217</f>
        <v>-12170.044472554826</v>
      </c>
      <c r="J217" s="789"/>
      <c r="K217" s="789"/>
      <c r="L217" s="753">
        <f>+Dijon!D217+Eu!D217+Nancy!D217+Roanne!D217</f>
        <v>276437.72722995642</v>
      </c>
      <c r="M217" s="678">
        <f t="shared" si="32"/>
        <v>1</v>
      </c>
      <c r="N217" s="1092">
        <f>SUBTOTAL(9,B217:E217)</f>
        <v>-12170.04447255483</v>
      </c>
    </row>
    <row r="218" spans="1:14" customFormat="1" ht="12.75" hidden="1">
      <c r="A218" s="1067"/>
      <c r="B218" s="1101"/>
      <c r="C218" s="1101"/>
      <c r="D218" s="1101"/>
      <c r="E218" s="1101"/>
      <c r="F218" s="1101"/>
      <c r="G218" s="1101"/>
      <c r="H218" s="1101"/>
      <c r="I218" s="1101"/>
      <c r="J218" s="1081"/>
      <c r="K218" s="1081"/>
      <c r="L218" s="805"/>
      <c r="M218" s="2">
        <f t="shared" si="32"/>
        <v>0</v>
      </c>
    </row>
    <row r="219" spans="1:14" s="2" customFormat="1" ht="11.25" hidden="1">
      <c r="A219" s="590"/>
      <c r="B219" s="805"/>
      <c r="C219" s="805"/>
      <c r="D219" s="805"/>
      <c r="E219" s="805"/>
      <c r="F219" s="805"/>
      <c r="G219" s="805"/>
      <c r="H219" s="805"/>
      <c r="I219" s="805"/>
      <c r="J219" s="1081"/>
      <c r="K219" s="1081"/>
      <c r="L219" s="805"/>
      <c r="M219" s="2">
        <f t="shared" si="32"/>
        <v>0</v>
      </c>
    </row>
    <row r="220" spans="1:14" s="2" customFormat="1" ht="11.25" hidden="1">
      <c r="A220" s="590"/>
      <c r="B220" s="805"/>
      <c r="C220" s="805"/>
      <c r="D220" s="805"/>
      <c r="E220" s="805"/>
      <c r="F220" s="1099"/>
      <c r="G220" s="1099"/>
      <c r="H220" s="1099"/>
      <c r="I220" s="1099"/>
      <c r="J220" s="1099"/>
      <c r="K220" s="1099"/>
      <c r="L220" s="1099"/>
      <c r="M220" s="2">
        <f t="shared" si="32"/>
        <v>0</v>
      </c>
    </row>
    <row r="221" spans="1:14" s="678" customFormat="1">
      <c r="A221" s="725" t="s">
        <v>67</v>
      </c>
      <c r="B221" s="790">
        <f>+Cambrai!G223</f>
        <v>51822.248273889309</v>
      </c>
      <c r="C221" s="790">
        <f>+Caudry!G223</f>
        <v>59573.092255859687</v>
      </c>
      <c r="D221" s="790">
        <f>+Amiens!$G222</f>
        <v>553952.44279983162</v>
      </c>
      <c r="E221" s="790">
        <f>+Compiègne!$G222</f>
        <v>846732.46132345672</v>
      </c>
      <c r="F221" s="790">
        <f>+(F214+F206+F202)/F60</f>
        <v>2460496.5190803376</v>
      </c>
      <c r="G221" s="790">
        <f>+(G214+G206+G202)/G60</f>
        <v>2632953.643457836</v>
      </c>
      <c r="H221" s="656">
        <f>+(H214+H206+H202)/H60</f>
        <v>3006832.7429065062</v>
      </c>
      <c r="I221" s="790">
        <f>+(I214+I206+I202)/I60</f>
        <v>2734840.8659056854</v>
      </c>
      <c r="J221" s="790"/>
      <c r="K221" s="790"/>
      <c r="L221" s="790">
        <f>+(L214+L206+L202)/L60</f>
        <v>3683718.1532206745</v>
      </c>
      <c r="M221" s="678">
        <f t="shared" si="32"/>
        <v>1</v>
      </c>
      <c r="N221" s="1092">
        <f>SUBTOTAL(9,B221:E221)</f>
        <v>1512080.2446530373</v>
      </c>
    </row>
    <row r="222" spans="1:14" s="678" customFormat="1">
      <c r="A222" s="725" t="s">
        <v>66</v>
      </c>
      <c r="B222" s="790">
        <f>+B221/12</f>
        <v>4318.520689490776</v>
      </c>
      <c r="C222" s="790">
        <f>+C221/12</f>
        <v>4964.4243546549742</v>
      </c>
      <c r="D222" s="790">
        <f>+Amiens!$G223</f>
        <v>46162.703566652635</v>
      </c>
      <c r="E222" s="790">
        <f>+Compiègne!$G223</f>
        <v>70561.038443621394</v>
      </c>
      <c r="F222" s="790">
        <f>+F221/12</f>
        <v>205041.37659002814</v>
      </c>
      <c r="G222" s="790">
        <f>+G221/12</f>
        <v>219412.80362148632</v>
      </c>
      <c r="H222" s="656">
        <f>+H221/12</f>
        <v>250569.39524220885</v>
      </c>
      <c r="I222" s="790">
        <f>+I221/12</f>
        <v>227903.40549214045</v>
      </c>
      <c r="J222" s="790"/>
      <c r="K222" s="790"/>
      <c r="L222" s="790">
        <f>+L221/12</f>
        <v>306976.51276838954</v>
      </c>
      <c r="M222" s="678">
        <f t="shared" si="32"/>
        <v>1</v>
      </c>
      <c r="N222" s="1092">
        <f>SUBTOTAL(9,B222:E222)</f>
        <v>126006.68705441977</v>
      </c>
    </row>
    <row r="223" spans="1:14" customFormat="1" ht="12.75" hidden="1">
      <c r="A223" s="672"/>
      <c r="B223" s="1102"/>
      <c r="C223" s="1102"/>
      <c r="D223" s="1102"/>
      <c r="E223" s="1102"/>
      <c r="F223" s="1102"/>
      <c r="G223" s="1102"/>
      <c r="H223" s="1102"/>
      <c r="I223" s="1102"/>
      <c r="J223" s="1081"/>
      <c r="K223" s="1081"/>
      <c r="L223" s="805"/>
      <c r="M223" s="2">
        <f t="shared" si="32"/>
        <v>0</v>
      </c>
    </row>
    <row r="224" spans="1:14" customFormat="1" ht="12.75" hidden="1">
      <c r="A224" s="672"/>
      <c r="B224" s="1102"/>
      <c r="C224" s="1102"/>
      <c r="D224" s="1102"/>
      <c r="E224" s="1102"/>
      <c r="F224" s="1102"/>
      <c r="G224" s="1102"/>
      <c r="H224" s="1102"/>
      <c r="I224" s="1102"/>
      <c r="J224" s="1081"/>
      <c r="K224" s="1081"/>
      <c r="L224" s="805"/>
      <c r="M224" s="2">
        <f t="shared" si="32"/>
        <v>0</v>
      </c>
    </row>
    <row r="225" spans="1:14" customFormat="1" ht="12.75" hidden="1">
      <c r="A225" s="672"/>
      <c r="B225" s="1102"/>
      <c r="C225" s="1102"/>
      <c r="D225" s="1102"/>
      <c r="E225" s="1102"/>
      <c r="F225" s="1102"/>
      <c r="G225" s="1102"/>
      <c r="H225" s="1102"/>
      <c r="I225" s="1102"/>
      <c r="J225" s="1081"/>
      <c r="K225" s="1081"/>
      <c r="L225" s="805"/>
      <c r="M225" s="2">
        <f t="shared" si="32"/>
        <v>0</v>
      </c>
    </row>
    <row r="226" spans="1:14" s="2" customFormat="1" ht="12.75" hidden="1" customHeight="1">
      <c r="A226" s="582"/>
      <c r="B226" s="583"/>
      <c r="C226" s="584"/>
      <c r="D226" s="584"/>
      <c r="E226" s="584"/>
      <c r="F226" s="585" t="s">
        <v>54</v>
      </c>
      <c r="G226" s="585" t="s">
        <v>196</v>
      </c>
      <c r="H226" s="585" t="s">
        <v>54</v>
      </c>
      <c r="I226" s="585" t="s">
        <v>54</v>
      </c>
      <c r="J226" s="583" t="s">
        <v>225</v>
      </c>
      <c r="K226" s="583" t="s">
        <v>225</v>
      </c>
      <c r="L226" s="585" t="s">
        <v>196</v>
      </c>
      <c r="M226" s="2">
        <f t="shared" si="32"/>
        <v>0</v>
      </c>
    </row>
    <row r="227" spans="1:14" s="2" customFormat="1" ht="20.25" hidden="1" customHeight="1">
      <c r="A227" s="586" t="str">
        <f>+A4</f>
        <v>Thierry Strozyk</v>
      </c>
      <c r="B227" s="1445" t="str">
        <f>+B4</f>
        <v>CAMBRAI</v>
      </c>
      <c r="C227" s="1445" t="str">
        <f>+C4</f>
        <v>CAUDRY</v>
      </c>
      <c r="D227" s="1447" t="s">
        <v>210</v>
      </c>
      <c r="E227" s="1448" t="s">
        <v>209</v>
      </c>
      <c r="F227" s="587" t="str">
        <f>Clients!E13</f>
        <v>Septembre</v>
      </c>
      <c r="G227" s="587" t="s">
        <v>224</v>
      </c>
      <c r="H227" s="587" t="str">
        <f>+F227</f>
        <v>Septembre</v>
      </c>
      <c r="I227" s="587" t="str">
        <f>+F227</f>
        <v>Septembre</v>
      </c>
      <c r="J227" s="583"/>
      <c r="K227" s="585" t="str">
        <f>+K4</f>
        <v>PERIMETRE</v>
      </c>
      <c r="L227" s="587" t="s">
        <v>197</v>
      </c>
      <c r="M227" s="2">
        <f t="shared" si="32"/>
        <v>0</v>
      </c>
    </row>
    <row r="228" spans="1:14" s="678" customFormat="1" ht="11.25" customHeight="1">
      <c r="A228" s="728"/>
      <c r="B228" s="1446"/>
      <c r="C228" s="1446"/>
      <c r="D228" s="1446"/>
      <c r="E228" s="1449"/>
      <c r="F228" s="688"/>
      <c r="G228" s="688"/>
      <c r="H228" s="585">
        <v>2009</v>
      </c>
      <c r="I228" s="688"/>
      <c r="J228" s="689"/>
      <c r="K228" s="688" t="str">
        <f>+K5</f>
        <v>IDENTIQUE</v>
      </c>
      <c r="L228" s="688"/>
      <c r="M228" s="678">
        <f t="shared" si="32"/>
        <v>1</v>
      </c>
      <c r="N228" s="1092">
        <f>SUBTOTAL(9,B228:E228)</f>
        <v>0</v>
      </c>
    </row>
    <row r="229" spans="1:14" s="678" customFormat="1">
      <c r="A229" s="688"/>
      <c r="B229" s="689"/>
      <c r="C229" s="687"/>
      <c r="D229" s="687"/>
      <c r="E229" s="687"/>
      <c r="F229" s="688">
        <f>+Clients!E14</f>
        <v>2010</v>
      </c>
      <c r="G229" s="688">
        <v>2009</v>
      </c>
      <c r="H229" s="585" t="s">
        <v>429</v>
      </c>
      <c r="I229" s="688">
        <f>+F229-1</f>
        <v>2009</v>
      </c>
      <c r="J229" s="689" t="s">
        <v>367</v>
      </c>
      <c r="K229" s="689" t="s">
        <v>368</v>
      </c>
      <c r="L229" s="688">
        <v>2008</v>
      </c>
      <c r="M229" s="678">
        <f t="shared" si="32"/>
        <v>1</v>
      </c>
      <c r="N229" s="1092">
        <f>SUBTOTAL(9,B229:E229)</f>
        <v>0</v>
      </c>
    </row>
    <row r="230" spans="1:14" s="2" customFormat="1" ht="11.25" hidden="1" customHeight="1">
      <c r="A230" s="590"/>
      <c r="B230" s="1013"/>
      <c r="C230" s="805"/>
      <c r="D230" s="1013"/>
      <c r="E230" s="805"/>
      <c r="F230" s="805"/>
      <c r="G230" s="657"/>
      <c r="H230" s="657"/>
      <c r="I230" s="805"/>
      <c r="J230" s="1013"/>
      <c r="K230" s="1013"/>
      <c r="L230" s="1103"/>
      <c r="M230" s="2">
        <f t="shared" si="32"/>
        <v>0</v>
      </c>
    </row>
    <row r="231" spans="1:14" s="729" customFormat="1" ht="15" customHeight="1">
      <c r="A231" s="713" t="s">
        <v>223</v>
      </c>
      <c r="B231" s="773">
        <f>+B51</f>
        <v>663328</v>
      </c>
      <c r="C231" s="773">
        <f>+C51</f>
        <v>735327</v>
      </c>
      <c r="D231" s="773">
        <f>+D51</f>
        <v>503693</v>
      </c>
      <c r="E231" s="773">
        <f>+E51</f>
        <v>800140</v>
      </c>
      <c r="F231" s="773">
        <f t="shared" ref="F231:L231" si="37">+F51</f>
        <v>2384026.7400000007</v>
      </c>
      <c r="G231" s="773">
        <f t="shared" si="37"/>
        <v>2370676.8136489508</v>
      </c>
      <c r="H231" s="659">
        <f>+H51</f>
        <v>3520848.1347999997</v>
      </c>
      <c r="I231" s="773">
        <f t="shared" si="37"/>
        <v>2702488</v>
      </c>
      <c r="J231" s="775">
        <f t="shared" si="37"/>
        <v>0</v>
      </c>
      <c r="K231" s="775">
        <f t="shared" si="37"/>
        <v>0</v>
      </c>
      <c r="L231" s="773">
        <f t="shared" si="37"/>
        <v>4325640</v>
      </c>
      <c r="M231" s="678">
        <f t="shared" si="32"/>
        <v>1</v>
      </c>
      <c r="N231" s="1092">
        <f>SUBTOTAL(9,B231:E231)</f>
        <v>2702488</v>
      </c>
    </row>
    <row r="232" spans="1:14" s="2" customFormat="1" ht="11.25" hidden="1" customHeight="1">
      <c r="A232" s="590"/>
      <c r="B232" s="805"/>
      <c r="C232" s="805"/>
      <c r="D232" s="805"/>
      <c r="E232" s="805"/>
      <c r="F232" s="805"/>
      <c r="G232" s="805"/>
      <c r="H232" s="805"/>
      <c r="I232" s="805"/>
      <c r="J232" s="1013"/>
      <c r="K232" s="1013"/>
      <c r="L232" s="805"/>
      <c r="M232" s="2">
        <f t="shared" si="32"/>
        <v>0</v>
      </c>
    </row>
    <row r="233" spans="1:14" s="729" customFormat="1" ht="15" customHeight="1">
      <c r="A233" s="673" t="s">
        <v>295</v>
      </c>
      <c r="B233" s="765">
        <f t="shared" ref="B233:I233" si="38">+B60</f>
        <v>0.37396413658588806</v>
      </c>
      <c r="C233" s="765">
        <f t="shared" si="38"/>
        <v>0.39297779988159737</v>
      </c>
      <c r="D233" s="765">
        <f t="shared" si="38"/>
        <v>0.38779089197614919</v>
      </c>
      <c r="E233" s="765">
        <f t="shared" si="38"/>
        <v>0.35483385707850118</v>
      </c>
      <c r="F233" s="765">
        <f t="shared" si="38"/>
        <v>0.38182936316393823</v>
      </c>
      <c r="G233" s="765">
        <f t="shared" si="38"/>
        <v>0.37153056455841943</v>
      </c>
      <c r="H233" s="660">
        <f t="shared" si="38"/>
        <v>0.32589352974594532</v>
      </c>
      <c r="I233" s="765">
        <f t="shared" si="38"/>
        <v>0.37616588613920288</v>
      </c>
      <c r="J233" s="765"/>
      <c r="K233" s="765"/>
      <c r="L233" s="765"/>
      <c r="M233" s="678">
        <f t="shared" si="32"/>
        <v>1</v>
      </c>
      <c r="N233" s="1092">
        <f>SUBTOTAL(9,B233:E233)</f>
        <v>1.5095666855221359</v>
      </c>
    </row>
    <row r="234" spans="1:14" s="729" customFormat="1" ht="15" customHeight="1">
      <c r="A234" s="673" t="s">
        <v>296</v>
      </c>
      <c r="B234" s="767">
        <f>+B62</f>
        <v>248066.08276456321</v>
      </c>
      <c r="C234" s="767">
        <f>+C62</f>
        <v>288967.18665353535</v>
      </c>
      <c r="D234" s="767">
        <f>+D62</f>
        <v>195441.15411371086</v>
      </c>
      <c r="E234" s="767">
        <f>+E62</f>
        <v>284109.36976875272</v>
      </c>
      <c r="F234" s="767">
        <f t="shared" ref="F234:L234" si="39">+F62</f>
        <v>910291.41190000006</v>
      </c>
      <c r="G234" s="767">
        <f t="shared" si="39"/>
        <v>880778.89496054954</v>
      </c>
      <c r="H234" s="661">
        <f>+H62</f>
        <v>1147421.6263493998</v>
      </c>
      <c r="I234" s="767">
        <f t="shared" si="39"/>
        <v>1016583.7933005621</v>
      </c>
      <c r="J234" s="791">
        <f t="shared" si="39"/>
        <v>-3.2420955041035378E-2</v>
      </c>
      <c r="K234" s="791">
        <f t="shared" si="39"/>
        <v>0.15418727573631891</v>
      </c>
      <c r="L234" s="767">
        <f t="shared" si="39"/>
        <v>1862797</v>
      </c>
      <c r="M234" s="678">
        <f t="shared" si="32"/>
        <v>1</v>
      </c>
      <c r="N234" s="1092">
        <f>SUBTOTAL(9,B234:E234)</f>
        <v>1016583.7933005621</v>
      </c>
    </row>
    <row r="235" spans="1:14" s="25" customFormat="1" ht="11.25" hidden="1" customHeight="1">
      <c r="A235" s="590"/>
      <c r="B235" s="805"/>
      <c r="C235" s="805"/>
      <c r="D235" s="805"/>
      <c r="E235" s="805"/>
      <c r="F235" s="805"/>
      <c r="G235" s="805"/>
      <c r="H235" s="805"/>
      <c r="I235" s="805"/>
      <c r="J235" s="1013"/>
      <c r="K235" s="1013"/>
      <c r="L235" s="805"/>
      <c r="M235" s="2">
        <f t="shared" si="32"/>
        <v>0</v>
      </c>
    </row>
    <row r="236" spans="1:14" s="733" customFormat="1" ht="15" customHeight="1">
      <c r="A236" s="730" t="s">
        <v>122</v>
      </c>
      <c r="B236" s="792">
        <f>+B103</f>
        <v>55292.912436220766</v>
      </c>
      <c r="C236" s="792">
        <f>+C103</f>
        <v>79454.763195189647</v>
      </c>
      <c r="D236" s="792">
        <f>+D103</f>
        <v>73914.928255927924</v>
      </c>
      <c r="E236" s="792">
        <f>+E103</f>
        <v>79650.836955726147</v>
      </c>
      <c r="F236" s="792">
        <f t="shared" ref="F236:L236" si="40">+F103</f>
        <v>287808.62999999989</v>
      </c>
      <c r="G236" s="792">
        <f t="shared" si="40"/>
        <v>278820.51333333331</v>
      </c>
      <c r="H236" s="665">
        <f>+H103</f>
        <v>239392.53089079331</v>
      </c>
      <c r="I236" s="792">
        <f t="shared" si="40"/>
        <v>288313.44084306445</v>
      </c>
      <c r="J236" s="793">
        <f t="shared" si="40"/>
        <v>-3.1229489771264277E-2</v>
      </c>
      <c r="K236" s="793">
        <f t="shared" si="40"/>
        <v>3.4046732775297052E-2</v>
      </c>
      <c r="L236" s="792">
        <f t="shared" si="40"/>
        <v>372751.90654242225</v>
      </c>
      <c r="M236" s="678">
        <f t="shared" si="32"/>
        <v>1</v>
      </c>
      <c r="N236" s="1092">
        <f t="shared" ref="N236:N241" si="41">SUBTOTAL(9,B236:E236)</f>
        <v>288313.44084306445</v>
      </c>
    </row>
    <row r="237" spans="1:14" s="733" customFormat="1" ht="15" customHeight="1">
      <c r="A237" s="730" t="s">
        <v>133</v>
      </c>
      <c r="B237" s="792">
        <f>+B116</f>
        <v>13194.423066666668</v>
      </c>
      <c r="C237" s="792">
        <f>+C116</f>
        <v>16664.824000000001</v>
      </c>
      <c r="D237" s="792">
        <f>+D116</f>
        <v>20281.428666666667</v>
      </c>
      <c r="E237" s="792">
        <f>+E116</f>
        <v>24954.422533333334</v>
      </c>
      <c r="F237" s="792">
        <f t="shared" ref="F237:L237" si="42">+F116</f>
        <v>87901.89</v>
      </c>
      <c r="G237" s="792">
        <f t="shared" si="42"/>
        <v>100351.10999999999</v>
      </c>
      <c r="H237" s="665">
        <f>+H116</f>
        <v>145714.81855375</v>
      </c>
      <c r="I237" s="792">
        <f t="shared" si="42"/>
        <v>75095.098266666668</v>
      </c>
      <c r="J237" s="793">
        <f t="shared" si="42"/>
        <v>0.14162630632856685</v>
      </c>
      <c r="K237" s="793">
        <f t="shared" si="42"/>
        <v>-0.25167645612822143</v>
      </c>
      <c r="L237" s="792">
        <f t="shared" si="42"/>
        <v>118720.70170000001</v>
      </c>
      <c r="M237" s="678">
        <f t="shared" si="32"/>
        <v>1</v>
      </c>
      <c r="N237" s="1092">
        <f t="shared" si="41"/>
        <v>75095.098266666668</v>
      </c>
    </row>
    <row r="238" spans="1:14" s="733" customFormat="1" ht="15" customHeight="1">
      <c r="A238" s="730" t="s">
        <v>147</v>
      </c>
      <c r="B238" s="792">
        <f>+B129</f>
        <v>4899.1360480000003</v>
      </c>
      <c r="C238" s="792">
        <f>+C129</f>
        <v>7522.2988000000005</v>
      </c>
      <c r="D238" s="792">
        <f>+D129</f>
        <v>9389.888891200002</v>
      </c>
      <c r="E238" s="792">
        <f>+E129</f>
        <v>8695.3079960000032</v>
      </c>
      <c r="F238" s="792">
        <f t="shared" ref="F238:L238" si="43">+F129</f>
        <v>35559.08</v>
      </c>
      <c r="G238" s="792">
        <f t="shared" si="43"/>
        <v>30576.193333333336</v>
      </c>
      <c r="H238" s="665">
        <f>+H129</f>
        <v>26026.923673829653</v>
      </c>
      <c r="I238" s="792">
        <f t="shared" si="43"/>
        <v>30506.631735200004</v>
      </c>
      <c r="J238" s="793">
        <f t="shared" si="43"/>
        <v>-0.14012979713385906</v>
      </c>
      <c r="K238" s="793">
        <f t="shared" si="43"/>
        <v>-2.2750248003402694E-3</v>
      </c>
      <c r="L238" s="792">
        <f t="shared" si="43"/>
        <v>78903.143297252915</v>
      </c>
      <c r="M238" s="678">
        <f t="shared" si="32"/>
        <v>1</v>
      </c>
      <c r="N238" s="1092">
        <f t="shared" si="41"/>
        <v>30506.631735200004</v>
      </c>
    </row>
    <row r="239" spans="1:14" s="733" customFormat="1" ht="15" customHeight="1">
      <c r="A239" s="730" t="s">
        <v>164</v>
      </c>
      <c r="B239" s="792">
        <f>+B153</f>
        <v>113912.01426717751</v>
      </c>
      <c r="C239" s="792">
        <f>+C153</f>
        <v>127923.49166274375</v>
      </c>
      <c r="D239" s="792">
        <f>+D153</f>
        <v>72246.119598052552</v>
      </c>
      <c r="E239" s="792">
        <f>+E153</f>
        <v>128200.34876103561</v>
      </c>
      <c r="F239" s="792">
        <f t="shared" ref="F239:L239" si="44">+F153</f>
        <v>417372.81000000006</v>
      </c>
      <c r="G239" s="792">
        <f t="shared" si="44"/>
        <v>404453.52</v>
      </c>
      <c r="H239" s="665">
        <f>+H153</f>
        <v>342495.1080067376</v>
      </c>
      <c r="I239" s="792">
        <f t="shared" si="44"/>
        <v>442281.97428900946</v>
      </c>
      <c r="J239" s="793">
        <f t="shared" si="44"/>
        <v>-3.0953837170178949E-2</v>
      </c>
      <c r="K239" s="793">
        <f t="shared" si="44"/>
        <v>9.3529793705366793E-2</v>
      </c>
      <c r="L239" s="792">
        <f t="shared" si="44"/>
        <v>748152.28529898485</v>
      </c>
      <c r="M239" s="678">
        <f t="shared" si="32"/>
        <v>1</v>
      </c>
      <c r="N239" s="1092">
        <f t="shared" si="41"/>
        <v>442281.97428900941</v>
      </c>
    </row>
    <row r="240" spans="1:14" s="733" customFormat="1" ht="15" customHeight="1">
      <c r="A240" s="730" t="s">
        <v>74</v>
      </c>
      <c r="B240" s="792">
        <f>+B167</f>
        <v>7279.0550326620341</v>
      </c>
      <c r="C240" s="792">
        <f>+C167</f>
        <v>9327.8822751600019</v>
      </c>
      <c r="D240" s="792">
        <f>+D167</f>
        <v>7413.5845636248014</v>
      </c>
      <c r="E240" s="792">
        <f>+E167</f>
        <v>12790.048050317937</v>
      </c>
      <c r="F240" s="792">
        <f t="shared" ref="F240:L240" si="45">+F167</f>
        <v>17664.240000000002</v>
      </c>
      <c r="G240" s="792">
        <f t="shared" si="45"/>
        <v>23820.533333333336</v>
      </c>
      <c r="H240" s="665">
        <f>+H167</f>
        <v>46975.089222620969</v>
      </c>
      <c r="I240" s="792">
        <f t="shared" si="45"/>
        <v>36810.569921764763</v>
      </c>
      <c r="J240" s="793">
        <f t="shared" si="45"/>
        <v>0.34851730577332135</v>
      </c>
      <c r="K240" s="793">
        <f t="shared" si="45"/>
        <v>0.54532937641046764</v>
      </c>
      <c r="L240" s="792">
        <f t="shared" si="45"/>
        <v>46336.81942003029</v>
      </c>
      <c r="M240" s="678">
        <f t="shared" si="32"/>
        <v>1</v>
      </c>
      <c r="N240" s="1092">
        <f t="shared" si="41"/>
        <v>36810.569921764778</v>
      </c>
    </row>
    <row r="241" spans="1:14" s="733" customFormat="1" ht="15" customHeight="1">
      <c r="A241" s="730" t="s">
        <v>369</v>
      </c>
      <c r="B241" s="792">
        <f>+B184-B200</f>
        <v>4377.0445333333337</v>
      </c>
      <c r="C241" s="792">
        <f>+C184-C200</f>
        <v>5397.47</v>
      </c>
      <c r="D241" s="792">
        <f>+D184-D200</f>
        <v>4501.4502666666667</v>
      </c>
      <c r="E241" s="792">
        <f>+E184-E200</f>
        <v>7736.720933333334</v>
      </c>
      <c r="F241" s="792">
        <f t="shared" ref="F241:L241" si="46">+F184-F200</f>
        <v>-5004.2799999999988</v>
      </c>
      <c r="G241" s="792">
        <f t="shared" si="46"/>
        <v>28587.183333333331</v>
      </c>
      <c r="H241" s="665">
        <f>+H184-H200</f>
        <v>37032.099563888893</v>
      </c>
      <c r="I241" s="792">
        <f t="shared" si="46"/>
        <v>22012.685733333332</v>
      </c>
      <c r="J241" s="793">
        <f t="shared" si="46"/>
        <v>0.54835175175833428</v>
      </c>
      <c r="K241" s="793">
        <f t="shared" si="46"/>
        <v>0.61646329531728949</v>
      </c>
      <c r="L241" s="792">
        <f t="shared" si="46"/>
        <v>43155.909844521913</v>
      </c>
      <c r="M241" s="678">
        <f t="shared" si="32"/>
        <v>1</v>
      </c>
      <c r="N241" s="1092">
        <f t="shared" si="41"/>
        <v>22012.685733333336</v>
      </c>
    </row>
    <row r="242" spans="1:14" s="25" customFormat="1" ht="11.25" hidden="1">
      <c r="A242" s="590"/>
      <c r="B242" s="805"/>
      <c r="C242" s="805"/>
      <c r="D242" s="805"/>
      <c r="E242" s="805"/>
      <c r="F242" s="805"/>
      <c r="G242" s="805"/>
      <c r="H242" s="805"/>
      <c r="I242" s="805"/>
      <c r="J242" s="1013"/>
      <c r="K242" s="1013"/>
      <c r="L242" s="805"/>
      <c r="M242" s="2">
        <f t="shared" si="32"/>
        <v>0</v>
      </c>
    </row>
    <row r="243" spans="1:14" s="729" customFormat="1" ht="15" customHeight="1">
      <c r="A243" s="713" t="s">
        <v>189</v>
      </c>
      <c r="B243" s="773">
        <f>+B202</f>
        <v>198954.58538406031</v>
      </c>
      <c r="C243" s="773">
        <f>+C202</f>
        <v>246290.72993309339</v>
      </c>
      <c r="D243" s="773">
        <f>+D202</f>
        <v>187747.4002421386</v>
      </c>
      <c r="E243" s="773">
        <f>+E202</f>
        <v>262027.68522974636</v>
      </c>
      <c r="F243" s="773">
        <f t="shared" ref="F243:L243" si="47">+F202</f>
        <v>841302.36999999988</v>
      </c>
      <c r="G243" s="773">
        <f t="shared" si="47"/>
        <v>866609.05333333334</v>
      </c>
      <c r="H243" s="659">
        <f>+H202</f>
        <v>837636.56991162035</v>
      </c>
      <c r="I243" s="773">
        <f t="shared" si="47"/>
        <v>895020.40078903863</v>
      </c>
      <c r="J243" s="775">
        <f t="shared" si="47"/>
        <v>3.0080366151034935E-2</v>
      </c>
      <c r="K243" s="775">
        <f t="shared" si="47"/>
        <v>3.2784503400262906E-2</v>
      </c>
      <c r="L243" s="773">
        <f t="shared" si="47"/>
        <v>1408020.7661032123</v>
      </c>
      <c r="M243" s="678">
        <f t="shared" si="32"/>
        <v>1</v>
      </c>
      <c r="N243" s="1092">
        <f>SUBTOTAL(9,B243:E243)</f>
        <v>895020.40078903874</v>
      </c>
    </row>
    <row r="244" spans="1:14" s="2" customFormat="1" ht="11.25" hidden="1">
      <c r="A244" s="590"/>
      <c r="B244" s="805"/>
      <c r="C244" s="805"/>
      <c r="D244" s="805"/>
      <c r="E244" s="805"/>
      <c r="F244" s="805"/>
      <c r="G244" s="805"/>
      <c r="H244" s="805"/>
      <c r="I244" s="805"/>
      <c r="J244" s="1013"/>
      <c r="K244" s="1013"/>
      <c r="L244" s="805"/>
      <c r="M244" s="2">
        <f t="shared" si="32"/>
        <v>0</v>
      </c>
    </row>
    <row r="245" spans="1:14" s="729" customFormat="1" ht="15" customHeight="1">
      <c r="A245" s="673" t="s">
        <v>228</v>
      </c>
      <c r="B245" s="777">
        <f>+B204</f>
        <v>49111.4973805029</v>
      </c>
      <c r="C245" s="777">
        <f>+C204</f>
        <v>42676.456720441958</v>
      </c>
      <c r="D245" s="777">
        <f>+D204</f>
        <v>7693.7538715722621</v>
      </c>
      <c r="E245" s="777">
        <f>+E204</f>
        <v>22081.684539006354</v>
      </c>
      <c r="F245" s="777">
        <f t="shared" ref="F245:L245" si="48">+F204</f>
        <v>68989.041900000768</v>
      </c>
      <c r="G245" s="777">
        <f t="shared" si="48"/>
        <v>14169.841627216199</v>
      </c>
      <c r="H245" s="667">
        <f>+H204</f>
        <v>309785.05643777945</v>
      </c>
      <c r="I245" s="777">
        <f t="shared" si="48"/>
        <v>121563.39251152345</v>
      </c>
      <c r="J245" s="779">
        <f t="shared" si="48"/>
        <v>-0.79460735738647736</v>
      </c>
      <c r="K245" s="779">
        <f t="shared" si="48"/>
        <v>7.5790226672706806</v>
      </c>
      <c r="L245" s="777">
        <f t="shared" si="48"/>
        <v>454776.23389678774</v>
      </c>
      <c r="M245" s="678">
        <f t="shared" si="32"/>
        <v>1</v>
      </c>
      <c r="N245" s="1092">
        <f>SUBTOTAL(9,B245:E245)</f>
        <v>121563.39251152347</v>
      </c>
    </row>
    <row r="246" spans="1:14" s="2" customFormat="1" ht="11.25" hidden="1">
      <c r="A246" s="590"/>
      <c r="B246" s="805"/>
      <c r="C246" s="805"/>
      <c r="D246" s="805"/>
      <c r="E246" s="805"/>
      <c r="F246" s="805"/>
      <c r="G246" s="805"/>
      <c r="H246" s="805"/>
      <c r="I246" s="805"/>
      <c r="J246" s="1013"/>
      <c r="K246" s="1013"/>
      <c r="L246" s="805"/>
      <c r="M246" s="2">
        <f t="shared" si="32"/>
        <v>0</v>
      </c>
    </row>
    <row r="247" spans="1:14" s="729" customFormat="1" ht="15" customHeight="1">
      <c r="A247" s="721" t="s">
        <v>370</v>
      </c>
      <c r="B247" s="785">
        <f>+B206+B214</f>
        <v>33601.362596154249</v>
      </c>
      <c r="C247" s="785">
        <f>+C206+C214</f>
        <v>34640.102789120581</v>
      </c>
      <c r="D247" s="785">
        <f>+D206+D214</f>
        <v>27070.311663574852</v>
      </c>
      <c r="E247" s="785">
        <f>+E206+E214</f>
        <v>38421.659935228628</v>
      </c>
      <c r="F247" s="785">
        <f t="shared" ref="F247:L247" si="49">+F206+F214</f>
        <v>98187.448947532248</v>
      </c>
      <c r="G247" s="785">
        <f t="shared" si="49"/>
        <v>111613.70027670381</v>
      </c>
      <c r="H247" s="668">
        <f>+H206+H214</f>
        <v>142270.76602986347</v>
      </c>
      <c r="I247" s="785">
        <f t="shared" si="49"/>
        <v>133733.43698407832</v>
      </c>
      <c r="J247" s="794">
        <f t="shared" si="49"/>
        <v>0.29743380778408879</v>
      </c>
      <c r="K247" s="794">
        <f t="shared" si="49"/>
        <v>0.76510030552129193</v>
      </c>
      <c r="L247" s="785">
        <f t="shared" si="49"/>
        <v>178338.50666683179</v>
      </c>
      <c r="M247" s="678">
        <f t="shared" si="32"/>
        <v>1</v>
      </c>
      <c r="N247" s="1092">
        <f>SUBTOTAL(9,B247:E247)</f>
        <v>133733.43698407832</v>
      </c>
    </row>
    <row r="248" spans="1:14" s="2" customFormat="1" ht="11.25" hidden="1">
      <c r="A248" s="590"/>
      <c r="B248" s="805"/>
      <c r="C248" s="805"/>
      <c r="D248" s="805"/>
      <c r="E248" s="805"/>
      <c r="F248" s="805"/>
      <c r="G248" s="805"/>
      <c r="H248" s="805"/>
      <c r="I248" s="805"/>
      <c r="J248" s="1013"/>
      <c r="K248" s="1013"/>
      <c r="L248" s="805"/>
      <c r="M248" s="2">
        <f t="shared" si="32"/>
        <v>0</v>
      </c>
    </row>
    <row r="249" spans="1:14" s="729" customFormat="1" ht="20.100000000000001" customHeight="1">
      <c r="A249" s="673" t="s">
        <v>86</v>
      </c>
      <c r="B249" s="777">
        <f>+B216</f>
        <v>15510.134784348655</v>
      </c>
      <c r="C249" s="777">
        <f>+C216</f>
        <v>8036.3539313213769</v>
      </c>
      <c r="D249" s="777">
        <f>+D216</f>
        <v>-19376.55779200259</v>
      </c>
      <c r="E249" s="777">
        <f>+E216</f>
        <v>-16339.975396222271</v>
      </c>
      <c r="F249" s="777">
        <f t="shared" ref="F249:L249" si="50">+F216</f>
        <v>-29198.407047531487</v>
      </c>
      <c r="G249" s="777">
        <f t="shared" si="50"/>
        <v>-97443.858649487607</v>
      </c>
      <c r="H249" s="667">
        <f>+H216</f>
        <v>167514.29040791598</v>
      </c>
      <c r="I249" s="777">
        <f t="shared" si="50"/>
        <v>-12170.044472554873</v>
      </c>
      <c r="J249" s="779">
        <f t="shared" si="50"/>
        <v>2.3373005072112583</v>
      </c>
      <c r="K249" s="779">
        <f t="shared" si="50"/>
        <v>-0.87510711663901386</v>
      </c>
      <c r="L249" s="777">
        <f t="shared" si="50"/>
        <v>276437.72722995596</v>
      </c>
      <c r="M249" s="678">
        <f t="shared" si="32"/>
        <v>1</v>
      </c>
      <c r="N249" s="1092">
        <f>SUBTOTAL(9,B249:E249)</f>
        <v>-12170.04447255483</v>
      </c>
    </row>
    <row r="250" spans="1:14" s="2" customFormat="1" ht="11.25" hidden="1">
      <c r="A250" s="590"/>
      <c r="B250" s="805"/>
      <c r="C250" s="805"/>
      <c r="D250" s="805"/>
      <c r="E250" s="805"/>
      <c r="F250" s="1099"/>
      <c r="G250" s="657"/>
      <c r="H250" s="657"/>
      <c r="I250" s="1099"/>
      <c r="J250" s="1081"/>
      <c r="K250" s="1081"/>
      <c r="L250" s="657"/>
      <c r="M250" s="2">
        <f t="shared" si="32"/>
        <v>0</v>
      </c>
    </row>
    <row r="251" spans="1:14" s="733" customFormat="1" ht="15" customHeight="1">
      <c r="A251" s="730" t="s">
        <v>95</v>
      </c>
      <c r="B251" s="792">
        <f>Cambrai!$G$253</f>
        <v>148062.01516924999</v>
      </c>
      <c r="C251" s="792">
        <f>Caudry!$G$253</f>
        <v>200443.97339999999</v>
      </c>
      <c r="D251" s="792">
        <f>Amiens!$G$253</f>
        <v>140559.72071759999</v>
      </c>
      <c r="E251" s="792">
        <f>Compiègne!$G$253</f>
        <v>184582.76427500002</v>
      </c>
      <c r="F251" s="792">
        <f>+F28</f>
        <v>642240.33000000007</v>
      </c>
      <c r="G251" s="792"/>
      <c r="H251" s="665"/>
      <c r="I251" s="792">
        <f>SUM(B251:E251)</f>
        <v>673648.47356184991</v>
      </c>
      <c r="J251" s="793"/>
      <c r="K251" s="793"/>
      <c r="L251" s="792"/>
      <c r="M251" s="678">
        <f t="shared" si="32"/>
        <v>1</v>
      </c>
      <c r="N251" s="1092">
        <f>SUBTOTAL(9,B251:E251)</f>
        <v>673648.47356184991</v>
      </c>
    </row>
    <row r="252" spans="1:14" s="733" customFormat="1" ht="15" customHeight="1">
      <c r="A252" s="730" t="s">
        <v>371</v>
      </c>
      <c r="B252" s="792">
        <f>Cambrai!$G$254</f>
        <v>621866.97928667173</v>
      </c>
      <c r="C252" s="792">
        <f>Caudry!$G$254</f>
        <v>714877.10707031621</v>
      </c>
      <c r="D252" s="792">
        <f>Amiens!$G$254</f>
        <v>553952.44279983162</v>
      </c>
      <c r="E252" s="792">
        <f>Compiègne!$G$254</f>
        <v>846732.46132345672</v>
      </c>
      <c r="F252" s="792">
        <f>+F221</f>
        <v>2460496.5190803376</v>
      </c>
      <c r="G252" s="792">
        <f>+G221</f>
        <v>2632953.643457836</v>
      </c>
      <c r="H252" s="665">
        <f>+H221</f>
        <v>3006832.7429065062</v>
      </c>
      <c r="I252" s="792">
        <f>+I221</f>
        <v>2734840.8659056854</v>
      </c>
      <c r="J252" s="793"/>
      <c r="K252" s="793"/>
      <c r="L252" s="792">
        <f>+L221</f>
        <v>3683718.1532206745</v>
      </c>
      <c r="M252" s="678">
        <f t="shared" si="32"/>
        <v>1</v>
      </c>
      <c r="N252" s="1092">
        <f>SUBTOTAL(9,B252:E252)</f>
        <v>2737428.9904802763</v>
      </c>
    </row>
    <row r="253" spans="1:14" s="733" customFormat="1" ht="15" customHeight="1">
      <c r="A253" s="730" t="s">
        <v>372</v>
      </c>
      <c r="B253" s="792">
        <f>Cambrai!$G$255</f>
        <v>0</v>
      </c>
      <c r="C253" s="792">
        <f>Caudry!$G$255</f>
        <v>3000</v>
      </c>
      <c r="D253" s="792">
        <f>Amiens!$G$255</f>
        <v>1500</v>
      </c>
      <c r="E253" s="792">
        <f>Compiègne!$G$255</f>
        <v>4000</v>
      </c>
      <c r="F253" s="792"/>
      <c r="G253" s="1068"/>
      <c r="H253" s="1083">
        <f>+Angers!C254+Cham!C254+Thouars!C254</f>
        <v>2599987.1949516642</v>
      </c>
      <c r="I253" s="792">
        <f>SUM(B253:E253)</f>
        <v>8500</v>
      </c>
      <c r="J253" s="793"/>
      <c r="K253" s="793"/>
      <c r="L253" s="1068"/>
      <c r="M253" s="678">
        <f t="shared" si="32"/>
        <v>1</v>
      </c>
      <c r="N253" s="1092">
        <f>SUBTOTAL(9,B253:E253)</f>
        <v>8500</v>
      </c>
    </row>
    <row r="254" spans="1:14" s="2" customFormat="1" ht="11.25" hidden="1">
      <c r="B254" s="1104"/>
      <c r="C254" s="435"/>
      <c r="D254" s="30"/>
      <c r="E254" s="30"/>
      <c r="F254" s="30"/>
      <c r="G254" s="30"/>
      <c r="H254" s="1104"/>
      <c r="I254" s="801"/>
      <c r="J254" s="30"/>
      <c r="K254" s="30"/>
      <c r="L254" s="30"/>
      <c r="M254" s="2">
        <f t="shared" si="32"/>
        <v>0</v>
      </c>
    </row>
    <row r="255" spans="1:14" customFormat="1" ht="12.75" hidden="1">
      <c r="B255" s="1104"/>
      <c r="C255" s="435"/>
      <c r="D255" s="30"/>
      <c r="E255" s="800"/>
      <c r="F255" s="800"/>
      <c r="G255" s="800"/>
      <c r="H255" s="800"/>
      <c r="I255" s="800"/>
      <c r="J255" s="801"/>
      <c r="K255" s="801"/>
      <c r="L255" s="808"/>
      <c r="M255" s="111"/>
    </row>
    <row r="256" spans="1:14" customFormat="1" ht="12.75" hidden="1">
      <c r="B256" s="800"/>
      <c r="C256" s="800"/>
      <c r="D256" s="800"/>
      <c r="E256" s="800"/>
      <c r="F256" s="800"/>
      <c r="G256" s="800"/>
      <c r="H256" s="800"/>
      <c r="I256" s="800"/>
      <c r="J256" s="801"/>
      <c r="K256" s="801"/>
      <c r="L256" s="808"/>
    </row>
  </sheetData>
  <autoFilter ref="M1:M256">
    <filterColumn colId="0">
      <filters>
        <filter val="1"/>
      </filters>
    </filterColumn>
  </autoFilter>
  <mergeCells count="8">
    <mergeCell ref="B4:B5"/>
    <mergeCell ref="C4:C5"/>
    <mergeCell ref="D4:D5"/>
    <mergeCell ref="E4:E5"/>
    <mergeCell ref="B227:B228"/>
    <mergeCell ref="C227:C228"/>
    <mergeCell ref="D227:D228"/>
    <mergeCell ref="E227:E228"/>
  </mergeCells>
  <pageMargins left="0.51181102362204722" right="0.11811023622047245" top="0.23622047244094491" bottom="0.22" header="7.874015748031496E-2" footer="0.08"/>
  <pageSetup paperSize="9" scale="72" fitToHeight="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51"/>
    <pageSetUpPr fitToPage="1"/>
  </sheetPr>
  <dimension ref="A1:V256"/>
  <sheetViews>
    <sheetView workbookViewId="0">
      <pane xSplit="1" ySplit="6" topLeftCell="B150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72.85546875" style="686" bestFit="1" customWidth="1"/>
    <col min="2" max="2" width="12.28515625" style="750" customWidth="1"/>
    <col min="3" max="3" width="14.28515625" style="750" customWidth="1"/>
    <col min="4" max="5" width="14.7109375" style="750" bestFit="1" customWidth="1"/>
    <col min="6" max="6" width="12.28515625" style="750" customWidth="1"/>
    <col min="7" max="7" width="12.28515625" style="750" bestFit="1" customWidth="1"/>
    <col min="8" max="8" width="14.28515625" style="26" hidden="1" customWidth="1"/>
    <col min="9" max="9" width="12.28515625" style="750" customWidth="1"/>
    <col min="10" max="10" width="10.5703125" style="751" customWidth="1"/>
    <col min="11" max="11" width="9.140625" style="751" bestFit="1" customWidth="1"/>
    <col min="12" max="12" width="12.7109375" style="799" customWidth="1"/>
    <col min="13" max="13" width="14.7109375" style="686" bestFit="1" customWidth="1"/>
    <col min="14" max="16384" width="11.42578125" style="686"/>
  </cols>
  <sheetData>
    <row r="1" spans="1:22">
      <c r="A1" s="685" t="s">
        <v>515</v>
      </c>
      <c r="L1" s="752"/>
    </row>
    <row r="2" spans="1:22" customFormat="1" hidden="1">
      <c r="B2" s="26"/>
      <c r="C2" s="26"/>
      <c r="D2" s="86"/>
      <c r="E2" s="86"/>
      <c r="F2" s="26"/>
      <c r="G2" s="26"/>
      <c r="H2" s="26"/>
      <c r="I2" s="26"/>
      <c r="J2" s="66"/>
      <c r="K2" s="66"/>
      <c r="L2" s="28"/>
    </row>
    <row r="3" spans="1:22" s="678" customFormat="1" ht="12.75" customHeight="1">
      <c r="A3" s="1111"/>
      <c r="B3" s="1112"/>
      <c r="C3" s="1112"/>
      <c r="D3" s="1112"/>
      <c r="E3" s="1112"/>
      <c r="F3" s="1113" t="s">
        <v>55</v>
      </c>
      <c r="G3" s="1113" t="s">
        <v>364</v>
      </c>
      <c r="H3" s="1084" t="s">
        <v>543</v>
      </c>
      <c r="I3" s="1119" t="s">
        <v>196</v>
      </c>
      <c r="J3" s="1119" t="s">
        <v>225</v>
      </c>
      <c r="K3" s="1113" t="s">
        <v>225</v>
      </c>
      <c r="L3" s="1120" t="s">
        <v>196</v>
      </c>
      <c r="M3" s="678">
        <v>1</v>
      </c>
    </row>
    <row r="4" spans="1:22" s="678" customFormat="1" ht="20.25" customHeight="1">
      <c r="A4" s="1114" t="s">
        <v>710</v>
      </c>
      <c r="B4" s="1443" t="s">
        <v>214</v>
      </c>
      <c r="C4" s="1443" t="s">
        <v>438</v>
      </c>
      <c r="D4" s="1443" t="s">
        <v>439</v>
      </c>
      <c r="E4" s="1443" t="s">
        <v>213</v>
      </c>
      <c r="F4" s="1115" t="s">
        <v>366</v>
      </c>
      <c r="G4" s="1115" t="s">
        <v>366</v>
      </c>
      <c r="H4" s="1085" t="s">
        <v>432</v>
      </c>
      <c r="I4" s="1121" t="s">
        <v>197</v>
      </c>
      <c r="J4" s="1115" t="s">
        <v>55</v>
      </c>
      <c r="K4" s="1115" t="s">
        <v>432</v>
      </c>
      <c r="L4" s="1122" t="s">
        <v>197</v>
      </c>
      <c r="M4" s="678">
        <v>1</v>
      </c>
    </row>
    <row r="5" spans="1:22" s="678" customFormat="1" ht="20.25" customHeight="1">
      <c r="A5" s="1114"/>
      <c r="B5" s="1444"/>
      <c r="C5" s="1444"/>
      <c r="D5" s="1444"/>
      <c r="E5" s="1444"/>
      <c r="F5" s="1160">
        <f>F216</f>
        <v>202829.39793128066</v>
      </c>
      <c r="G5" s="1160">
        <f>G216</f>
        <v>30931.375961272861</v>
      </c>
      <c r="H5" s="1086">
        <f>H216</f>
        <v>167514.29040791598</v>
      </c>
      <c r="I5" s="1159">
        <f>I216</f>
        <v>111444.33392675524</v>
      </c>
      <c r="J5" s="1123"/>
      <c r="K5" s="1123" t="s">
        <v>433</v>
      </c>
      <c r="L5" s="1124"/>
      <c r="M5" s="678">
        <v>1</v>
      </c>
    </row>
    <row r="6" spans="1:22" s="678" customFormat="1" ht="18">
      <c r="A6" s="1116"/>
      <c r="B6" s="1117"/>
      <c r="C6" s="1117"/>
      <c r="D6" s="1117"/>
      <c r="E6" s="1117"/>
      <c r="F6" s="1118">
        <v>2009</v>
      </c>
      <c r="G6" s="1118">
        <v>2010</v>
      </c>
      <c r="H6" s="935">
        <v>2009</v>
      </c>
      <c r="I6" s="1125">
        <v>2011</v>
      </c>
      <c r="J6" s="1125" t="s">
        <v>544</v>
      </c>
      <c r="K6" s="1118" t="s">
        <v>368</v>
      </c>
      <c r="L6" s="1126">
        <v>2010</v>
      </c>
      <c r="M6" s="678">
        <v>1</v>
      </c>
    </row>
    <row r="7" spans="1:22" s="2" customFormat="1" ht="18" hidden="1">
      <c r="A7" s="67"/>
      <c r="B7" s="160"/>
      <c r="C7" s="113"/>
      <c r="D7" s="113"/>
      <c r="E7" s="113"/>
      <c r="F7" s="237"/>
      <c r="G7" s="25"/>
      <c r="H7" s="25"/>
      <c r="I7" s="154"/>
      <c r="J7" s="149"/>
      <c r="K7" s="186"/>
      <c r="L7" s="1070"/>
      <c r="M7" s="1076">
        <f>IF(SUM(B7:L7)&gt;0,1,0)</f>
        <v>0</v>
      </c>
      <c r="N7" s="1076"/>
      <c r="O7" s="1076"/>
      <c r="P7" s="1076"/>
      <c r="Q7" s="1084"/>
      <c r="R7" s="1084"/>
      <c r="S7" s="1084"/>
      <c r="T7" s="1088"/>
      <c r="U7" s="1088"/>
      <c r="V7" s="1084"/>
    </row>
    <row r="8" spans="1:22" s="678" customFormat="1" ht="18">
      <c r="A8" s="690" t="s">
        <v>221</v>
      </c>
      <c r="B8" s="753">
        <f>+Grenoble!$G8</f>
        <v>2061415</v>
      </c>
      <c r="C8" s="753">
        <f>+STMarcelin!$G8</f>
        <v>328645</v>
      </c>
      <c r="D8" s="753">
        <f>+PSA!$G8</f>
        <v>2350978</v>
      </c>
      <c r="E8" s="753">
        <f>+Montpe!$G8</f>
        <v>867313</v>
      </c>
      <c r="F8" s="753">
        <f>+Montpe!E8+Grenoble!E8+STMarcelin!E8+PSA!E8</f>
        <v>4400175.59</v>
      </c>
      <c r="G8" s="754">
        <f>+Montpe!F8+Grenoble!F8+STMarcelin!F8+PSA!F8</f>
        <v>5346532.6682709809</v>
      </c>
      <c r="H8" s="113">
        <v>3560759.6047999999</v>
      </c>
      <c r="I8" s="755">
        <f>+Montpe!G8+Grenoble!G8+STMarcelin!G8+PSA!G8</f>
        <v>5608351</v>
      </c>
      <c r="J8" s="756">
        <f>+IF((F8)=0,,(G8-F8)/F8)</f>
        <v>0.21507257129049731</v>
      </c>
      <c r="K8" s="757">
        <f>+IF((G8)=0,,(I8-G8)/G8)</f>
        <v>4.8969743191280016E-2</v>
      </c>
      <c r="L8" s="1071">
        <f>+Dijon!D8+Eu!D8+Nancy!D8+Roanne!D8</f>
        <v>4365364</v>
      </c>
      <c r="M8" s="1441">
        <f t="shared" ref="M8:M71" si="0">IF(SUM(B8:L8)&gt;0,1,0)</f>
        <v>1</v>
      </c>
      <c r="N8" s="1443"/>
      <c r="O8" s="1441"/>
      <c r="P8" s="1443"/>
      <c r="Q8" s="1085"/>
      <c r="R8" s="1085"/>
      <c r="S8" s="1085"/>
      <c r="T8" s="1089"/>
      <c r="U8" s="1085"/>
      <c r="V8" s="1085"/>
    </row>
    <row r="9" spans="1:22" s="2" customFormat="1" ht="18" hidden="1">
      <c r="A9" s="1074" t="s">
        <v>422</v>
      </c>
      <c r="B9" s="1073">
        <f>+Grenoble!$G9</f>
        <v>0</v>
      </c>
      <c r="C9" s="1073">
        <f>+STMarcelin!$G9</f>
        <v>0</v>
      </c>
      <c r="D9" s="1073">
        <f>+PSA!$G9</f>
        <v>0</v>
      </c>
      <c r="E9" s="1073">
        <f>+Montpe!$G9</f>
        <v>0</v>
      </c>
      <c r="F9" s="1073">
        <f>+Montpe!E9+Grenoble!E9+STMarcelin!E9+PSA!E9</f>
        <v>1172307.56</v>
      </c>
      <c r="G9" s="1107"/>
      <c r="H9" s="113">
        <v>0</v>
      </c>
      <c r="I9" s="1108"/>
      <c r="J9" s="1075">
        <f t="shared" ref="J9:J19" si="1">+IF((F9)=0,,(G9-F9)/F9)</f>
        <v>-1</v>
      </c>
      <c r="K9" s="1109">
        <f t="shared" ref="K9:K19" si="2">+IF((G9)=0,,(I9-G9)/G9)</f>
        <v>0</v>
      </c>
      <c r="L9" s="1071">
        <f>+Dijon!D9+Eu!D9+Nancy!D9+Roanne!D9</f>
        <v>0</v>
      </c>
      <c r="M9" s="1442">
        <v>0</v>
      </c>
      <c r="N9" s="1444"/>
      <c r="O9" s="1442"/>
      <c r="P9" s="1444"/>
      <c r="Q9" s="1086"/>
      <c r="R9" s="1086"/>
      <c r="S9" s="1086"/>
      <c r="T9" s="1089"/>
      <c r="U9" s="1090"/>
      <c r="V9" s="1090"/>
    </row>
    <row r="10" spans="1:22" s="2" customFormat="1" ht="18" hidden="1">
      <c r="A10" s="5" t="s">
        <v>84</v>
      </c>
      <c r="B10" s="160">
        <f>+Grenoble!$G10</f>
        <v>0</v>
      </c>
      <c r="C10" s="113">
        <f>+STMarcelin!$G10</f>
        <v>0</v>
      </c>
      <c r="D10" s="113">
        <f>+PSA!$G10</f>
        <v>0</v>
      </c>
      <c r="E10" s="113">
        <f>+Montpe!$G10</f>
        <v>0</v>
      </c>
      <c r="F10" s="160">
        <f>+Montpe!E10+Grenoble!E10+STMarcelin!E10+PSA!E10</f>
        <v>0</v>
      </c>
      <c r="G10" s="135"/>
      <c r="H10" s="113">
        <v>0</v>
      </c>
      <c r="I10" s="161"/>
      <c r="J10" s="149">
        <f t="shared" si="1"/>
        <v>0</v>
      </c>
      <c r="K10" s="271">
        <f t="shared" si="2"/>
        <v>0</v>
      </c>
      <c r="L10" s="1072">
        <f>+Dijon!D10+Eu!D10+Nancy!D10+Roanne!D10</f>
        <v>0</v>
      </c>
      <c r="M10" s="1087">
        <f t="shared" si="0"/>
        <v>0</v>
      </c>
      <c r="N10" s="1087"/>
      <c r="O10" s="1087"/>
      <c r="P10" s="1087"/>
      <c r="Q10" s="935"/>
      <c r="R10" s="935"/>
      <c r="S10" s="935"/>
      <c r="T10" s="1091"/>
      <c r="U10" s="1091"/>
      <c r="V10" s="935"/>
    </row>
    <row r="11" spans="1:22" s="2" customFormat="1" ht="11.25" hidden="1">
      <c r="A11" s="590" t="s">
        <v>267</v>
      </c>
      <c r="B11" s="311">
        <f>+Grenoble!$G11</f>
        <v>0</v>
      </c>
      <c r="C11" s="311">
        <f>+STMarcelin!$G11</f>
        <v>0</v>
      </c>
      <c r="D11" s="311">
        <f>+PSA!$G11</f>
        <v>0</v>
      </c>
      <c r="E11" s="311">
        <f>+Montpe!$G11</f>
        <v>0</v>
      </c>
      <c r="F11" s="311">
        <f>+Montpe!E11+Grenoble!E11+STMarcelin!E11+PSA!E11</f>
        <v>3422.0800000000004</v>
      </c>
      <c r="G11" s="592"/>
      <c r="H11" s="113">
        <v>0</v>
      </c>
      <c r="I11" s="605"/>
      <c r="J11" s="591">
        <f t="shared" si="1"/>
        <v>-1</v>
      </c>
      <c r="K11" s="595">
        <f t="shared" si="2"/>
        <v>0</v>
      </c>
      <c r="L11" s="311">
        <f>+Dijon!D11+Eu!D11+Nancy!D11+Roanne!D11</f>
        <v>0</v>
      </c>
      <c r="M11" s="2">
        <v>0</v>
      </c>
    </row>
    <row r="12" spans="1:22" s="2" customFormat="1" ht="11.25" hidden="1">
      <c r="A12" s="5" t="s">
        <v>46</v>
      </c>
      <c r="B12" s="160">
        <f>+Grenoble!$G12</f>
        <v>0</v>
      </c>
      <c r="C12" s="113">
        <f>+STMarcelin!$G12</f>
        <v>0</v>
      </c>
      <c r="D12" s="113">
        <f>+PSA!$G12</f>
        <v>0</v>
      </c>
      <c r="E12" s="113">
        <f>+Montpe!$G12</f>
        <v>0</v>
      </c>
      <c r="F12" s="160">
        <f>+Montpe!E12+Grenoble!E12+STMarcelin!E12+PSA!E12</f>
        <v>0</v>
      </c>
      <c r="G12" s="135"/>
      <c r="H12" s="113">
        <v>0</v>
      </c>
      <c r="I12" s="161"/>
      <c r="J12" s="149">
        <f t="shared" si="1"/>
        <v>0</v>
      </c>
      <c r="K12" s="271">
        <f t="shared" si="2"/>
        <v>0</v>
      </c>
      <c r="L12" s="18">
        <f>+Dijon!D12+Eu!D12+Nancy!D12+Roanne!D12</f>
        <v>0</v>
      </c>
      <c r="M12" s="2">
        <f t="shared" si="0"/>
        <v>0</v>
      </c>
    </row>
    <row r="13" spans="1:22" s="2" customFormat="1" ht="11.25" hidden="1">
      <c r="A13" s="5" t="s">
        <v>268</v>
      </c>
      <c r="B13" s="160">
        <f>+Grenoble!$G13</f>
        <v>0</v>
      </c>
      <c r="C13" s="113">
        <f>+STMarcelin!$G13</f>
        <v>0</v>
      </c>
      <c r="D13" s="113">
        <f>+PSA!$G13</f>
        <v>0</v>
      </c>
      <c r="E13" s="113">
        <f>+Montpe!$G13</f>
        <v>0</v>
      </c>
      <c r="F13" s="160">
        <f>+Montpe!E13+Grenoble!E13+STMarcelin!E13+PSA!E13</f>
        <v>0</v>
      </c>
      <c r="G13" s="135"/>
      <c r="H13" s="113">
        <v>0</v>
      </c>
      <c r="I13" s="161"/>
      <c r="J13" s="149">
        <f t="shared" si="1"/>
        <v>0</v>
      </c>
      <c r="K13" s="271">
        <f t="shared" si="2"/>
        <v>0</v>
      </c>
      <c r="L13" s="18">
        <f>+Dijon!D13+Eu!D13+Nancy!D13+Roanne!D13</f>
        <v>0</v>
      </c>
      <c r="M13" s="2">
        <f t="shared" si="0"/>
        <v>0</v>
      </c>
    </row>
    <row r="14" spans="1:22" s="2" customFormat="1" ht="11.25" hidden="1">
      <c r="A14" s="590" t="s">
        <v>269</v>
      </c>
      <c r="B14" s="311">
        <f>+Grenoble!$G14</f>
        <v>0</v>
      </c>
      <c r="C14" s="311">
        <f>+STMarcelin!$G14</f>
        <v>0</v>
      </c>
      <c r="D14" s="311">
        <f>+PSA!$G14</f>
        <v>0</v>
      </c>
      <c r="E14" s="311">
        <f>+Montpe!$G14</f>
        <v>0</v>
      </c>
      <c r="F14" s="311">
        <f>+Montpe!E14+Grenoble!E14+STMarcelin!E14+PSA!E14</f>
        <v>2433.9899999999998</v>
      </c>
      <c r="G14" s="592"/>
      <c r="H14" s="113">
        <v>0</v>
      </c>
      <c r="I14" s="605"/>
      <c r="J14" s="591">
        <f t="shared" si="1"/>
        <v>-1</v>
      </c>
      <c r="K14" s="595">
        <f t="shared" si="2"/>
        <v>0</v>
      </c>
      <c r="L14" s="311">
        <f>+Dijon!D14+Eu!D14+Nancy!D14+Roanne!D14</f>
        <v>0</v>
      </c>
      <c r="M14" s="2">
        <v>0</v>
      </c>
    </row>
    <row r="15" spans="1:22" s="2" customFormat="1" ht="11.25" hidden="1">
      <c r="A15" s="590" t="s">
        <v>270</v>
      </c>
      <c r="B15" s="311">
        <f>+Grenoble!$G15</f>
        <v>0</v>
      </c>
      <c r="C15" s="311">
        <f>+STMarcelin!$G15</f>
        <v>0</v>
      </c>
      <c r="D15" s="311">
        <f>+PSA!$G15</f>
        <v>0</v>
      </c>
      <c r="E15" s="311">
        <f>+Montpe!$G15</f>
        <v>0</v>
      </c>
      <c r="F15" s="311">
        <f>+Montpe!E15+Grenoble!E15+STMarcelin!E15+PSA!E15</f>
        <v>6058</v>
      </c>
      <c r="G15" s="592"/>
      <c r="H15" s="113">
        <v>4965.63</v>
      </c>
      <c r="I15" s="605"/>
      <c r="J15" s="591">
        <f t="shared" si="1"/>
        <v>-1</v>
      </c>
      <c r="K15" s="595">
        <f t="shared" si="2"/>
        <v>0</v>
      </c>
      <c r="L15" s="311">
        <f>+Dijon!D15+Eu!D15+Nancy!D15+Roanne!D15</f>
        <v>0</v>
      </c>
      <c r="M15" s="2">
        <v>0</v>
      </c>
    </row>
    <row r="16" spans="1:22" s="2" customFormat="1" ht="11.25" hidden="1">
      <c r="A16" s="5" t="s">
        <v>85</v>
      </c>
      <c r="B16" s="160">
        <f>+Grenoble!$G16</f>
        <v>0</v>
      </c>
      <c r="C16" s="113">
        <f>+STMarcelin!$G16</f>
        <v>0</v>
      </c>
      <c r="D16" s="113">
        <f>+PSA!$G16</f>
        <v>0</v>
      </c>
      <c r="E16" s="113">
        <f>+Montpe!$G16</f>
        <v>0</v>
      </c>
      <c r="F16" s="160">
        <f>+Montpe!E16+Grenoble!E16+STMarcelin!E16+PSA!E16</f>
        <v>0</v>
      </c>
      <c r="G16" s="135"/>
      <c r="H16" s="113">
        <v>-154.5</v>
      </c>
      <c r="I16" s="161"/>
      <c r="J16" s="149">
        <f t="shared" si="1"/>
        <v>0</v>
      </c>
      <c r="K16" s="271">
        <f t="shared" si="2"/>
        <v>0</v>
      </c>
      <c r="L16" s="18">
        <f>+Dijon!D16+Eu!D16+Nancy!D16+Roanne!D16</f>
        <v>0</v>
      </c>
      <c r="M16" s="2">
        <f t="shared" si="0"/>
        <v>0</v>
      </c>
    </row>
    <row r="17" spans="1:13" s="2" customFormat="1" ht="11.25" hidden="1">
      <c r="A17" s="5" t="s">
        <v>88</v>
      </c>
      <c r="B17" s="160">
        <f>+Grenoble!$G17</f>
        <v>0</v>
      </c>
      <c r="C17" s="113">
        <f>+STMarcelin!$G17</f>
        <v>0</v>
      </c>
      <c r="D17" s="113">
        <f>+PSA!$G17</f>
        <v>0</v>
      </c>
      <c r="E17" s="113">
        <f>+Montpe!$G17</f>
        <v>0</v>
      </c>
      <c r="F17" s="160">
        <f>+Montpe!E17+Grenoble!E17+STMarcelin!E17+PSA!E17</f>
        <v>0</v>
      </c>
      <c r="G17" s="135"/>
      <c r="H17" s="113">
        <v>0</v>
      </c>
      <c r="I17" s="161"/>
      <c r="J17" s="149">
        <f t="shared" si="1"/>
        <v>0</v>
      </c>
      <c r="K17" s="271">
        <f t="shared" si="2"/>
        <v>0</v>
      </c>
      <c r="L17" s="18">
        <f>+Dijon!D17+Eu!D17+Nancy!D17+Roanne!D17</f>
        <v>0</v>
      </c>
      <c r="M17" s="2">
        <f t="shared" si="0"/>
        <v>0</v>
      </c>
    </row>
    <row r="18" spans="1:13" s="2" customFormat="1" ht="11.25" hidden="1">
      <c r="A18" s="5" t="s">
        <v>89</v>
      </c>
      <c r="B18" s="160">
        <f>+Grenoble!$G18</f>
        <v>0</v>
      </c>
      <c r="C18" s="113">
        <f>+STMarcelin!$G18</f>
        <v>0</v>
      </c>
      <c r="D18" s="113">
        <f>+PSA!$G18</f>
        <v>0</v>
      </c>
      <c r="E18" s="113">
        <f>+Montpe!$G18</f>
        <v>0</v>
      </c>
      <c r="F18" s="160">
        <f>+Montpe!E18+Grenoble!E18+STMarcelin!E18+PSA!E18</f>
        <v>0</v>
      </c>
      <c r="G18" s="135"/>
      <c r="H18" s="113">
        <v>0</v>
      </c>
      <c r="I18" s="161"/>
      <c r="J18" s="149">
        <f t="shared" si="1"/>
        <v>0</v>
      </c>
      <c r="K18" s="271">
        <f t="shared" si="2"/>
        <v>0</v>
      </c>
      <c r="L18" s="18">
        <f>+Dijon!D18+Eu!D18+Nancy!D18+Roanne!D18</f>
        <v>0</v>
      </c>
      <c r="M18" s="2">
        <f t="shared" si="0"/>
        <v>0</v>
      </c>
    </row>
    <row r="19" spans="1:13" s="2" customFormat="1" ht="11.25" hidden="1">
      <c r="A19" s="5" t="s">
        <v>90</v>
      </c>
      <c r="B19" s="160">
        <f>+Grenoble!$G19</f>
        <v>0</v>
      </c>
      <c r="C19" s="113">
        <f>+STMarcelin!$G19</f>
        <v>0</v>
      </c>
      <c r="D19" s="113">
        <f>+PSA!$G19</f>
        <v>0</v>
      </c>
      <c r="E19" s="113">
        <f>+Montpe!$G19</f>
        <v>0</v>
      </c>
      <c r="F19" s="160">
        <f>+Montpe!E19+Grenoble!E19+STMarcelin!E19+PSA!E19</f>
        <v>0</v>
      </c>
      <c r="G19" s="135"/>
      <c r="H19" s="113">
        <v>0</v>
      </c>
      <c r="I19" s="161"/>
      <c r="J19" s="149">
        <f t="shared" si="1"/>
        <v>0</v>
      </c>
      <c r="K19" s="271">
        <f t="shared" si="2"/>
        <v>0</v>
      </c>
      <c r="L19" s="18">
        <v>0</v>
      </c>
      <c r="M19" s="2">
        <f t="shared" si="0"/>
        <v>0</v>
      </c>
    </row>
    <row r="20" spans="1:13" s="2" customFormat="1" ht="11.25" hidden="1">
      <c r="A20" s="5"/>
      <c r="B20" s="160"/>
      <c r="C20" s="113"/>
      <c r="D20" s="113"/>
      <c r="E20" s="113"/>
      <c r="F20" s="160"/>
      <c r="G20" s="113"/>
      <c r="H20" s="113"/>
      <c r="I20" s="162"/>
      <c r="J20" s="149"/>
      <c r="K20" s="254"/>
      <c r="L20" s="18"/>
      <c r="M20" s="2">
        <f t="shared" si="0"/>
        <v>0</v>
      </c>
    </row>
    <row r="21" spans="1:13" s="699" customFormat="1" ht="15" customHeight="1">
      <c r="A21" s="695" t="s">
        <v>222</v>
      </c>
      <c r="B21" s="758">
        <f t="shared" ref="B21:G21" si="3">SUM(B7:B20)</f>
        <v>2061415</v>
      </c>
      <c r="C21" s="758">
        <f t="shared" si="3"/>
        <v>328645</v>
      </c>
      <c r="D21" s="758">
        <f t="shared" si="3"/>
        <v>2350978</v>
      </c>
      <c r="E21" s="758">
        <f t="shared" si="3"/>
        <v>867313</v>
      </c>
      <c r="F21" s="758">
        <f t="shared" si="3"/>
        <v>5584397.2200000007</v>
      </c>
      <c r="G21" s="758">
        <f t="shared" si="3"/>
        <v>5346532.6682709809</v>
      </c>
      <c r="H21" s="204">
        <v>3565570.7347999997</v>
      </c>
      <c r="I21" s="758">
        <f>SUM(I7:I20)</f>
        <v>5608351</v>
      </c>
      <c r="J21" s="759">
        <f>+IF((F21)=0,,(G21-F21)/F21)</f>
        <v>-4.2594490033253704E-2</v>
      </c>
      <c r="K21" s="760">
        <f>+IF((G21)=0,,(I21-G21)/G21)</f>
        <v>4.8969743191280016E-2</v>
      </c>
      <c r="L21" s="758">
        <f>SUM(L7:L20)</f>
        <v>4365364</v>
      </c>
      <c r="M21" s="678">
        <f t="shared" si="0"/>
        <v>1</v>
      </c>
    </row>
    <row r="22" spans="1:13" s="57" customFormat="1" ht="15" hidden="1" customHeight="1">
      <c r="A22" s="5"/>
      <c r="B22" s="160"/>
      <c r="C22" s="113"/>
      <c r="D22" s="113"/>
      <c r="E22" s="113"/>
      <c r="F22" s="160"/>
      <c r="G22" s="113"/>
      <c r="H22" s="113"/>
      <c r="I22" s="162"/>
      <c r="J22" s="149"/>
      <c r="K22" s="271"/>
      <c r="L22" s="18"/>
      <c r="M22" s="2">
        <f t="shared" si="0"/>
        <v>0</v>
      </c>
    </row>
    <row r="23" spans="1:13" s="2" customFormat="1" ht="11.25" hidden="1">
      <c r="A23" s="5" t="s">
        <v>92</v>
      </c>
      <c r="B23" s="160">
        <f>+Grenoble!$G23</f>
        <v>0</v>
      </c>
      <c r="C23" s="113">
        <f>+STMarcelin!$G23</f>
        <v>0</v>
      </c>
      <c r="D23" s="113">
        <f>+PSA!$G23</f>
        <v>0</v>
      </c>
      <c r="E23" s="113">
        <f>+Montpe!$G23</f>
        <v>0</v>
      </c>
      <c r="F23" s="160">
        <f>+Montpe!E23+Grenoble!E23+STMarcelin!E23+PSA!E23</f>
        <v>53.4</v>
      </c>
      <c r="G23" s="270"/>
      <c r="H23" s="113">
        <v>0</v>
      </c>
      <c r="I23" s="161"/>
      <c r="J23" s="149"/>
      <c r="K23" s="271"/>
      <c r="L23" s="18"/>
      <c r="M23" s="2">
        <v>0</v>
      </c>
    </row>
    <row r="24" spans="1:13" s="678" customFormat="1" ht="11.25">
      <c r="A24" s="690" t="s">
        <v>93</v>
      </c>
      <c r="B24" s="753">
        <f>+Grenoble!$G24</f>
        <v>809084.77334999992</v>
      </c>
      <c r="C24" s="753">
        <f>+STMarcelin!$G24</f>
        <v>120203.55197499999</v>
      </c>
      <c r="D24" s="753">
        <f>+PSA!$G24</f>
        <v>1122262.8580800002</v>
      </c>
      <c r="E24" s="753">
        <f>+Montpe!$G24</f>
        <v>366439.74250000005</v>
      </c>
      <c r="F24" s="753">
        <f>+Montpe!E24+Grenoble!E24+STMarcelin!E24+PSA!E24</f>
        <v>2139019.12</v>
      </c>
      <c r="G24" s="753"/>
      <c r="H24" s="113">
        <v>0</v>
      </c>
      <c r="I24" s="753">
        <f>+Montpe!G24+Grenoble!G24+STMarcelin!G24+PSA!G24</f>
        <v>2417990.9259050004</v>
      </c>
      <c r="J24" s="756"/>
      <c r="K24" s="757"/>
      <c r="L24" s="753"/>
      <c r="M24" s="678">
        <v>1</v>
      </c>
    </row>
    <row r="25" spans="1:13" s="2" customFormat="1" ht="11.25" hidden="1">
      <c r="A25" s="5" t="s">
        <v>94</v>
      </c>
      <c r="B25" s="160">
        <f>+Grenoble!$G25</f>
        <v>0</v>
      </c>
      <c r="C25" s="113">
        <f>+STMarcelin!$G25</f>
        <v>0</v>
      </c>
      <c r="D25" s="113">
        <f>+PSA!$G25</f>
        <v>0</v>
      </c>
      <c r="E25" s="113">
        <f>+Montpe!$G25</f>
        <v>0</v>
      </c>
      <c r="F25" s="160">
        <f>+Montpe!E25+Grenoble!E25+STMarcelin!E25+PSA!E25</f>
        <v>183269.87</v>
      </c>
      <c r="G25" s="160"/>
      <c r="H25" s="113">
        <v>0</v>
      </c>
      <c r="I25" s="160">
        <f>+Montpe!G25+Grenoble!G25+STMarcelin!G25+PSA!G25</f>
        <v>0</v>
      </c>
      <c r="J25" s="149"/>
      <c r="K25" s="271"/>
      <c r="L25" s="18"/>
      <c r="M25" s="2">
        <v>0</v>
      </c>
    </row>
    <row r="26" spans="1:13" s="57" customFormat="1" ht="15" hidden="1" customHeight="1">
      <c r="A26" s="5" t="s">
        <v>288</v>
      </c>
      <c r="B26" s="160">
        <f>+Grenoble!$G26</f>
        <v>0</v>
      </c>
      <c r="C26" s="113">
        <f>+STMarcelin!$G26</f>
        <v>0</v>
      </c>
      <c r="D26" s="113">
        <f>+PSA!$G26</f>
        <v>0</v>
      </c>
      <c r="E26" s="113">
        <f>+Montpe!$G26</f>
        <v>0</v>
      </c>
      <c r="F26" s="160">
        <f>+Montpe!E26+Grenoble!E26+STMarcelin!E26+PSA!E26</f>
        <v>154299</v>
      </c>
      <c r="G26" s="160"/>
      <c r="H26" s="113">
        <v>0</v>
      </c>
      <c r="I26" s="160">
        <f>+Montpe!G26+Grenoble!G26+STMarcelin!G26+PSA!G26</f>
        <v>0</v>
      </c>
      <c r="J26" s="149"/>
      <c r="K26" s="271"/>
      <c r="L26" s="18"/>
      <c r="M26" s="2">
        <v>0</v>
      </c>
    </row>
    <row r="27" spans="1:13" s="57" customFormat="1" ht="15" hidden="1" customHeight="1">
      <c r="A27" s="5" t="s">
        <v>289</v>
      </c>
      <c r="B27" s="160">
        <f>+Grenoble!$G27</f>
        <v>0</v>
      </c>
      <c r="C27" s="113">
        <f>+STMarcelin!$G27</f>
        <v>0</v>
      </c>
      <c r="D27" s="113">
        <f>+PSA!$G27</f>
        <v>0</v>
      </c>
      <c r="E27" s="113">
        <f>+Montpe!$G27</f>
        <v>0</v>
      </c>
      <c r="F27" s="160">
        <f>+Montpe!E27+Grenoble!E27+STMarcelin!E27+PSA!E27</f>
        <v>-141091</v>
      </c>
      <c r="G27" s="270"/>
      <c r="H27" s="113">
        <v>0</v>
      </c>
      <c r="I27" s="161"/>
      <c r="J27" s="149"/>
      <c r="K27" s="271"/>
      <c r="L27" s="18"/>
      <c r="M27" s="2">
        <f t="shared" si="0"/>
        <v>0</v>
      </c>
    </row>
    <row r="28" spans="1:13" s="678" customFormat="1" ht="11.25">
      <c r="A28" s="690" t="s">
        <v>95</v>
      </c>
      <c r="B28" s="753">
        <f>+Grenoble!$G28</f>
        <v>475176.77164999995</v>
      </c>
      <c r="C28" s="753">
        <f>+STMarcelin!$G28</f>
        <v>64724.98952499999</v>
      </c>
      <c r="D28" s="753">
        <f>+PSA!$G28</f>
        <v>436435.55592000007</v>
      </c>
      <c r="E28" s="753">
        <f>+Montpe!$G28</f>
        <v>197313.70750000002</v>
      </c>
      <c r="F28" s="753">
        <f>+Montpe!E28+Grenoble!E28+STMarcelin!E28+PSA!E28</f>
        <v>1079065.03</v>
      </c>
      <c r="G28" s="753"/>
      <c r="H28" s="113">
        <v>0</v>
      </c>
      <c r="I28" s="753">
        <f>+Montpe!G28+Grenoble!G28+STMarcelin!G28+PSA!G28</f>
        <v>1173651.0245950001</v>
      </c>
      <c r="J28" s="756"/>
      <c r="K28" s="757"/>
      <c r="L28" s="753"/>
      <c r="M28" s="678">
        <v>1</v>
      </c>
    </row>
    <row r="29" spans="1:13" s="2" customFormat="1" ht="11.25" hidden="1">
      <c r="A29" s="5" t="s">
        <v>293</v>
      </c>
      <c r="B29" s="160">
        <f>+Grenoble!$G29</f>
        <v>0</v>
      </c>
      <c r="C29" s="113">
        <f>+STMarcelin!$G29</f>
        <v>0</v>
      </c>
      <c r="D29" s="113">
        <f>+PSA!$G29</f>
        <v>0</v>
      </c>
      <c r="E29" s="113">
        <f>+Montpe!$G29</f>
        <v>0</v>
      </c>
      <c r="F29" s="160">
        <f>+Montpe!E29+Grenoble!E29+STMarcelin!E29+PSA!E29</f>
        <v>121636.85999999999</v>
      </c>
      <c r="G29" s="160"/>
      <c r="H29" s="270">
        <v>0</v>
      </c>
      <c r="I29" s="160">
        <f>+Montpe!G29+Grenoble!G29+STMarcelin!G29+PSA!G29</f>
        <v>0</v>
      </c>
      <c r="J29" s="149"/>
      <c r="K29" s="271"/>
      <c r="L29" s="18"/>
      <c r="M29" s="2">
        <v>0</v>
      </c>
    </row>
    <row r="30" spans="1:13" s="678" customFormat="1" ht="11.25">
      <c r="A30" s="700" t="s">
        <v>292</v>
      </c>
      <c r="B30" s="761">
        <f>SUM(B23:B29)</f>
        <v>1284261.5449999999</v>
      </c>
      <c r="C30" s="761">
        <f>SUM(C23:C29)</f>
        <v>184928.54149999999</v>
      </c>
      <c r="D30" s="761">
        <f>SUM(D23:D29)</f>
        <v>1558698.4140000003</v>
      </c>
      <c r="E30" s="761">
        <f>SUM(E23:E29)</f>
        <v>563753.45000000007</v>
      </c>
      <c r="F30" s="761">
        <f>SUM(F23:F29)</f>
        <v>3536252.28</v>
      </c>
      <c r="G30" s="761"/>
      <c r="H30" s="220">
        <v>0</v>
      </c>
      <c r="I30" s="753">
        <f>+Montpe!G30+Grenoble!G30+STMarcelin!G30+PSA!G30</f>
        <v>3591641.9505000003</v>
      </c>
      <c r="J30" s="762"/>
      <c r="K30" s="763"/>
      <c r="L30" s="761"/>
      <c r="M30" s="678">
        <v>1</v>
      </c>
    </row>
    <row r="31" spans="1:13" s="2" customFormat="1" ht="15" hidden="1" customHeight="1">
      <c r="A31" s="5"/>
      <c r="B31" s="160"/>
      <c r="C31" s="113"/>
      <c r="D31" s="113"/>
      <c r="E31" s="113"/>
      <c r="F31" s="160"/>
      <c r="G31" s="113"/>
      <c r="H31" s="113"/>
      <c r="I31" s="162"/>
      <c r="J31" s="149"/>
      <c r="K31" s="254"/>
      <c r="L31" s="18"/>
      <c r="M31" s="2">
        <f t="shared" si="0"/>
        <v>0</v>
      </c>
    </row>
    <row r="32" spans="1:13" s="2" customFormat="1" ht="15" hidden="1" customHeight="1">
      <c r="A32" s="56" t="s">
        <v>336</v>
      </c>
      <c r="B32" s="166">
        <f>+B21-B30-B38</f>
        <v>777153.45500000007</v>
      </c>
      <c r="C32" s="221">
        <f>+C21-C30-C38</f>
        <v>143716.45850000001</v>
      </c>
      <c r="D32" s="221">
        <f>+D21-D30-D38</f>
        <v>792279.58599999966</v>
      </c>
      <c r="E32" s="221">
        <f>+E21-E30-E38</f>
        <v>303559.54999999993</v>
      </c>
      <c r="F32" s="221">
        <f>+F21-F30-F38</f>
        <v>2016373.6211000008</v>
      </c>
      <c r="G32" s="221"/>
      <c r="H32" s="221"/>
      <c r="I32" s="160"/>
      <c r="J32" s="273"/>
      <c r="K32" s="274"/>
      <c r="L32" s="307"/>
      <c r="M32" s="2">
        <v>0</v>
      </c>
    </row>
    <row r="33" spans="1:13" s="2" customFormat="1" ht="11.25" hidden="1">
      <c r="A33" s="56" t="s">
        <v>337</v>
      </c>
      <c r="B33" s="196">
        <f>+B32/B21</f>
        <v>0.37700000000000006</v>
      </c>
      <c r="C33" s="222">
        <f>+C32/C21</f>
        <v>0.43730000000000002</v>
      </c>
      <c r="D33" s="222">
        <f>+D32/D21</f>
        <v>0.33699999999999986</v>
      </c>
      <c r="E33" s="222">
        <f>+E32/E21</f>
        <v>0.34999999999999992</v>
      </c>
      <c r="F33" s="222">
        <f>+F32/F21</f>
        <v>0.3610727427981924</v>
      </c>
      <c r="G33" s="222"/>
      <c r="H33" s="222"/>
      <c r="I33" s="160"/>
      <c r="J33" s="273"/>
      <c r="K33" s="274"/>
      <c r="L33" s="308"/>
      <c r="M33" s="2">
        <v>0</v>
      </c>
    </row>
    <row r="34" spans="1:13" s="2" customFormat="1" ht="11.25" hidden="1">
      <c r="A34" s="5"/>
      <c r="B34" s="160"/>
      <c r="C34" s="113"/>
      <c r="D34" s="113"/>
      <c r="E34" s="113"/>
      <c r="F34" s="160"/>
      <c r="G34" s="113"/>
      <c r="H34" s="113"/>
      <c r="I34" s="162"/>
      <c r="J34" s="149"/>
      <c r="K34" s="271"/>
      <c r="L34" s="18"/>
      <c r="M34" s="2">
        <f t="shared" si="0"/>
        <v>0</v>
      </c>
    </row>
    <row r="35" spans="1:13" s="33" customFormat="1" ht="15" hidden="1" customHeight="1">
      <c r="A35" s="5" t="s">
        <v>96</v>
      </c>
      <c r="B35" s="160">
        <f>+Grenoble!$G35</f>
        <v>9792.1002729041811</v>
      </c>
      <c r="C35" s="113">
        <f>+STMarcelin!$G35</f>
        <v>1186.2057586627584</v>
      </c>
      <c r="D35" s="113">
        <f>+PSA!$G35</f>
        <v>13573.103286387211</v>
      </c>
      <c r="E35" s="113">
        <f>+Montpe!$G35</f>
        <v>4878.7701307818334</v>
      </c>
      <c r="F35" s="160">
        <f>+Montpe!E35+Grenoble!E35+STMarcelin!E35+PSA!E35</f>
        <v>28959.010000000002</v>
      </c>
      <c r="G35" s="270"/>
      <c r="H35" s="113">
        <v>0</v>
      </c>
      <c r="I35" s="161"/>
      <c r="J35" s="149"/>
      <c r="K35" s="271"/>
      <c r="L35" s="18"/>
      <c r="M35" s="2">
        <v>0</v>
      </c>
    </row>
    <row r="36" spans="1:13" s="2" customFormat="1" ht="11.25" hidden="1">
      <c r="A36" s="5" t="s">
        <v>97</v>
      </c>
      <c r="B36" s="160">
        <f>+Grenoble!$G36</f>
        <v>2477.1469668971358</v>
      </c>
      <c r="C36" s="113">
        <f>+STMarcelin!$G36</f>
        <v>142.27482297029746</v>
      </c>
      <c r="D36" s="113">
        <f>+PSA!$G36</f>
        <v>457.66372701079132</v>
      </c>
      <c r="E36" s="113">
        <f>+Montpe!$G36</f>
        <v>2191.7497604531295</v>
      </c>
      <c r="F36" s="160">
        <f>+Montpe!E36+Grenoble!E36+STMarcelin!E36+PSA!E36</f>
        <v>5093.97</v>
      </c>
      <c r="G36" s="270"/>
      <c r="H36" s="113">
        <v>0</v>
      </c>
      <c r="I36" s="161"/>
      <c r="J36" s="149"/>
      <c r="K36" s="271"/>
      <c r="L36" s="18"/>
      <c r="M36" s="2">
        <v>0</v>
      </c>
    </row>
    <row r="37" spans="1:13" s="33" customFormat="1" ht="15.75" hidden="1" customHeight="1">
      <c r="A37" s="5" t="s">
        <v>98</v>
      </c>
      <c r="B37" s="160">
        <f>+Grenoble!$G37</f>
        <v>0</v>
      </c>
      <c r="C37" s="113">
        <f>+STMarcelin!$G37</f>
        <v>0</v>
      </c>
      <c r="D37" s="113">
        <f>+PSA!$G37</f>
        <v>0</v>
      </c>
      <c r="E37" s="113">
        <f>+Montpe!$G37</f>
        <v>0</v>
      </c>
      <c r="F37" s="160">
        <f>+Montpe!E37+Grenoble!E37+STMarcelin!E37+PSA!E37</f>
        <v>0</v>
      </c>
      <c r="G37" s="270"/>
      <c r="H37" s="113">
        <v>0</v>
      </c>
      <c r="I37" s="161"/>
      <c r="J37" s="149"/>
      <c r="K37" s="271"/>
      <c r="L37" s="18"/>
      <c r="M37" s="2">
        <f t="shared" si="0"/>
        <v>0</v>
      </c>
    </row>
    <row r="38" spans="1:13" s="2" customFormat="1" ht="11.25" hidden="1">
      <c r="A38" s="5" t="s">
        <v>99</v>
      </c>
      <c r="B38" s="160">
        <f>+Grenoble!$G38</f>
        <v>0</v>
      </c>
      <c r="C38" s="113">
        <f>+STMarcelin!$G38</f>
        <v>0</v>
      </c>
      <c r="D38" s="113">
        <f>+PSA!$G38</f>
        <v>0</v>
      </c>
      <c r="E38" s="113">
        <f>+Montpe!$G38</f>
        <v>0</v>
      </c>
      <c r="F38" s="160">
        <f>+Montpe!E38+Grenoble!E38+STMarcelin!E38+PSA!E38</f>
        <v>31771.318900000086</v>
      </c>
      <c r="G38" s="270"/>
      <c r="H38" s="113">
        <v>0</v>
      </c>
      <c r="I38" s="161"/>
      <c r="J38" s="149"/>
      <c r="K38" s="271"/>
      <c r="L38" s="18"/>
      <c r="M38" s="2">
        <v>0</v>
      </c>
    </row>
    <row r="39" spans="1:13" s="2" customFormat="1" ht="11.25" hidden="1">
      <c r="A39" s="5" t="s">
        <v>177</v>
      </c>
      <c r="B39" s="160">
        <f>+Grenoble!$G39</f>
        <v>0</v>
      </c>
      <c r="C39" s="113">
        <f>+STMarcelin!$G39</f>
        <v>0</v>
      </c>
      <c r="D39" s="113">
        <f>+PSA!$G39</f>
        <v>0</v>
      </c>
      <c r="E39" s="113">
        <f>+Montpe!$G39</f>
        <v>0</v>
      </c>
      <c r="F39" s="160">
        <f>+Montpe!E39+Grenoble!E39+STMarcelin!E39+PSA!E39</f>
        <v>36624.839999999997</v>
      </c>
      <c r="G39" s="270"/>
      <c r="H39" s="113">
        <v>0</v>
      </c>
      <c r="I39" s="161"/>
      <c r="J39" s="149"/>
      <c r="K39" s="271"/>
      <c r="L39" s="18"/>
      <c r="M39" s="2">
        <v>0</v>
      </c>
    </row>
    <row r="40" spans="1:13" s="2" customFormat="1" ht="11.25" hidden="1">
      <c r="A40" s="5" t="s">
        <v>176</v>
      </c>
      <c r="B40" s="160">
        <f>+Grenoble!$G40</f>
        <v>0</v>
      </c>
      <c r="C40" s="113">
        <f>+STMarcelin!$G40</f>
        <v>0</v>
      </c>
      <c r="D40" s="113">
        <f>+PSA!$G40</f>
        <v>0</v>
      </c>
      <c r="E40" s="113">
        <f>+Montpe!$G40</f>
        <v>0</v>
      </c>
      <c r="F40" s="160">
        <f>+Montpe!E40+Grenoble!E40+STMarcelin!E40+PSA!E40</f>
        <v>-31682.890000000003</v>
      </c>
      <c r="G40" s="270"/>
      <c r="H40" s="113">
        <v>0</v>
      </c>
      <c r="I40" s="161"/>
      <c r="J40" s="149"/>
      <c r="K40" s="271"/>
      <c r="L40" s="18"/>
      <c r="M40" s="2">
        <f t="shared" si="0"/>
        <v>0</v>
      </c>
    </row>
    <row r="41" spans="1:13" s="2" customFormat="1" ht="11.25" hidden="1">
      <c r="A41" s="5" t="s">
        <v>317</v>
      </c>
      <c r="B41" s="160">
        <f>+Grenoble!$G41</f>
        <v>-16181.695467</v>
      </c>
      <c r="C41" s="113">
        <f>+STMarcelin!$G41</f>
        <v>-2404.0710395000001</v>
      </c>
      <c r="D41" s="113">
        <f>+PSA!$G41</f>
        <v>-22445.257161600002</v>
      </c>
      <c r="E41" s="113">
        <f>+Montpe!$G41</f>
        <v>-7328.7948500000011</v>
      </c>
      <c r="F41" s="160">
        <f>+Montpe!E41+Grenoble!E41+STMarcelin!E41+PSA!E41</f>
        <v>-53816.979999999996</v>
      </c>
      <c r="G41" s="270"/>
      <c r="H41" s="113">
        <v>0</v>
      </c>
      <c r="I41" s="161"/>
      <c r="J41" s="149"/>
      <c r="K41" s="271"/>
      <c r="L41" s="18"/>
      <c r="M41" s="2">
        <f t="shared" si="0"/>
        <v>0</v>
      </c>
    </row>
    <row r="42" spans="1:13" s="2" customFormat="1" ht="11.25" hidden="1">
      <c r="A42" s="5" t="s">
        <v>318</v>
      </c>
      <c r="B42" s="160">
        <f>+Grenoble!$G42</f>
        <v>-33262.374015499998</v>
      </c>
      <c r="C42" s="113">
        <f>+STMarcelin!$G42</f>
        <v>-4530.7492667500001</v>
      </c>
      <c r="D42" s="113">
        <f>+PSA!$G42</f>
        <v>-30550.488914400008</v>
      </c>
      <c r="E42" s="113">
        <f>+Montpe!$G42</f>
        <v>-13811.959525000002</v>
      </c>
      <c r="F42" s="160">
        <f>+Montpe!E42+Grenoble!E42+STMarcelin!E42+PSA!E42</f>
        <v>-76169.820000000007</v>
      </c>
      <c r="G42" s="270"/>
      <c r="H42" s="113">
        <v>0</v>
      </c>
      <c r="I42" s="161"/>
      <c r="J42" s="149"/>
      <c r="K42" s="271"/>
      <c r="L42" s="18"/>
      <c r="M42" s="2">
        <f t="shared" si="0"/>
        <v>0</v>
      </c>
    </row>
    <row r="43" spans="1:13" s="2" customFormat="1" ht="11.25" hidden="1">
      <c r="A43" s="5"/>
      <c r="B43" s="160"/>
      <c r="C43" s="113"/>
      <c r="D43" s="113"/>
      <c r="E43" s="113"/>
      <c r="F43" s="160"/>
      <c r="G43" s="113"/>
      <c r="H43" s="113"/>
      <c r="I43" s="162"/>
      <c r="J43" s="149"/>
      <c r="K43" s="254"/>
      <c r="L43" s="18"/>
      <c r="M43" s="2">
        <f t="shared" si="0"/>
        <v>0</v>
      </c>
    </row>
    <row r="44" spans="1:13" s="2" customFormat="1" ht="11.25" hidden="1">
      <c r="A44" s="13" t="s">
        <v>291</v>
      </c>
      <c r="B44" s="163">
        <f>+B30+SUM(B34:B43)</f>
        <v>1247086.7227573013</v>
      </c>
      <c r="C44" s="204">
        <f>+C30+SUM(C34:C43)</f>
        <v>179322.20177538306</v>
      </c>
      <c r="D44" s="204">
        <f>+D30+SUM(D34:D43)</f>
        <v>1519733.4349373984</v>
      </c>
      <c r="E44" s="204">
        <f>+E30+SUM(E34:E43)</f>
        <v>549683.21551623498</v>
      </c>
      <c r="F44" s="204">
        <f>+F30+SUM(F34:F43)</f>
        <v>3477031.7289</v>
      </c>
      <c r="G44" s="204"/>
      <c r="H44" s="204">
        <v>0</v>
      </c>
      <c r="I44" s="168"/>
      <c r="J44" s="272"/>
      <c r="K44" s="188"/>
      <c r="L44" s="305"/>
      <c r="M44" s="2">
        <v>0</v>
      </c>
    </row>
    <row r="45" spans="1:13" s="2" customFormat="1" ht="11.25" hidden="1">
      <c r="A45" s="5"/>
      <c r="B45" s="160"/>
      <c r="C45" s="113"/>
      <c r="D45" s="113"/>
      <c r="E45" s="113"/>
      <c r="F45" s="160"/>
      <c r="G45" s="113"/>
      <c r="H45" s="113"/>
      <c r="I45" s="162"/>
      <c r="J45" s="149"/>
      <c r="K45" s="254"/>
      <c r="L45" s="18"/>
      <c r="M45" s="2">
        <f t="shared" si="0"/>
        <v>0</v>
      </c>
    </row>
    <row r="46" spans="1:13" s="2" customFormat="1" ht="11.25" hidden="1">
      <c r="A46" s="56" t="s">
        <v>339</v>
      </c>
      <c r="B46" s="166">
        <f>+B21-B44</f>
        <v>814328.27724269871</v>
      </c>
      <c r="C46" s="221">
        <f>+C21-C44</f>
        <v>149322.79822461694</v>
      </c>
      <c r="D46" s="221">
        <f>+D21-D44</f>
        <v>831244.56506260158</v>
      </c>
      <c r="E46" s="221">
        <f>+E21-E44</f>
        <v>317629.78448376502</v>
      </c>
      <c r="F46" s="221">
        <f>+F21-F44</f>
        <v>2107365.4911000007</v>
      </c>
      <c r="G46" s="221"/>
      <c r="H46" s="221">
        <v>3565570.7347999997</v>
      </c>
      <c r="I46" s="167"/>
      <c r="J46" s="273"/>
      <c r="K46" s="274"/>
      <c r="L46" s="307"/>
      <c r="M46" s="2">
        <v>0</v>
      </c>
    </row>
    <row r="47" spans="1:13" s="2" customFormat="1" ht="11.25" hidden="1">
      <c r="A47" s="56" t="s">
        <v>340</v>
      </c>
      <c r="B47" s="196">
        <f>+B46/B21</f>
        <v>0.39503364302806504</v>
      </c>
      <c r="C47" s="222">
        <f>+C46/C21</f>
        <v>0.45435895335275733</v>
      </c>
      <c r="D47" s="222">
        <f>+D46/D21</f>
        <v>0.35357394457225955</v>
      </c>
      <c r="E47" s="222">
        <f>+E46/E21</f>
        <v>0.36622278748706061</v>
      </c>
      <c r="F47" s="222">
        <f>+F46/F21</f>
        <v>0.37736668938102519</v>
      </c>
      <c r="G47" s="222"/>
      <c r="H47" s="222">
        <v>1</v>
      </c>
      <c r="I47" s="189"/>
      <c r="J47" s="273"/>
      <c r="K47" s="274"/>
      <c r="L47" s="308"/>
      <c r="M47" s="2">
        <v>0</v>
      </c>
    </row>
    <row r="48" spans="1:13" s="2" customFormat="1" ht="15" hidden="1" customHeight="1">
      <c r="A48" s="5"/>
      <c r="B48" s="160"/>
      <c r="C48" s="113"/>
      <c r="D48" s="113"/>
      <c r="E48" s="113"/>
      <c r="F48" s="160"/>
      <c r="G48" s="113"/>
      <c r="H48" s="113"/>
      <c r="I48" s="162"/>
      <c r="J48" s="149"/>
      <c r="K48" s="271"/>
      <c r="L48" s="18"/>
      <c r="M48" s="2">
        <f t="shared" si="0"/>
        <v>0</v>
      </c>
    </row>
    <row r="49" spans="1:13" s="678" customFormat="1" ht="11.25">
      <c r="A49" s="690" t="s">
        <v>91</v>
      </c>
      <c r="B49" s="753">
        <f>+Grenoble!$G49</f>
        <v>62468</v>
      </c>
      <c r="C49" s="753">
        <f>+STMarcelin!$G49</f>
        <v>2446</v>
      </c>
      <c r="D49" s="753">
        <f>+PSA!$G49</f>
        <v>46222</v>
      </c>
      <c r="E49" s="753">
        <f>+Montpe!$G49</f>
        <v>18466</v>
      </c>
      <c r="F49" s="753">
        <f>+Montpe!E49+Grenoble!E49+STMarcelin!E49+PSA!E49</f>
        <v>105362.48999999999</v>
      </c>
      <c r="G49" s="754">
        <f>+Montpe!F49+Grenoble!F49+STMarcelin!F49+PSA!F49</f>
        <v>126349</v>
      </c>
      <c r="H49" s="113">
        <v>44722.600000000006</v>
      </c>
      <c r="I49" s="755">
        <f>+Montpe!G49+Grenoble!G49+STMarcelin!G49+PSA!G49</f>
        <v>129602</v>
      </c>
      <c r="J49" s="756">
        <f>+IF((F49)=0,,(G49-F49)/F49)</f>
        <v>0.1991838841318197</v>
      </c>
      <c r="K49" s="757">
        <f>+IF((G49)=0,,(I49-G49)/G49)</f>
        <v>2.5746147575366644E-2</v>
      </c>
      <c r="L49" s="753">
        <f>+Dijon!D49+Eu!D49+Nancy!D49+Roanne!D49</f>
        <v>39724</v>
      </c>
      <c r="M49" s="678">
        <v>1</v>
      </c>
    </row>
    <row r="50" spans="1:13" s="2" customFormat="1" ht="15" hidden="1" customHeight="1">
      <c r="A50" s="5"/>
      <c r="B50" s="160"/>
      <c r="C50" s="113"/>
      <c r="D50" s="113"/>
      <c r="E50" s="113"/>
      <c r="F50" s="160"/>
      <c r="G50" s="134"/>
      <c r="H50" s="113"/>
      <c r="I50" s="162"/>
      <c r="J50" s="149"/>
      <c r="K50" s="271"/>
      <c r="L50" s="18"/>
      <c r="M50" s="2">
        <f t="shared" si="0"/>
        <v>0</v>
      </c>
    </row>
    <row r="51" spans="1:13" s="678" customFormat="1" ht="11.25">
      <c r="A51" s="695" t="s">
        <v>223</v>
      </c>
      <c r="B51" s="758">
        <f t="shared" ref="B51:G51" si="4">+B21-B49</f>
        <v>1998947</v>
      </c>
      <c r="C51" s="758">
        <f t="shared" si="4"/>
        <v>326199</v>
      </c>
      <c r="D51" s="758">
        <f t="shared" si="4"/>
        <v>2304756</v>
      </c>
      <c r="E51" s="758">
        <f t="shared" si="4"/>
        <v>848847</v>
      </c>
      <c r="F51" s="758">
        <f t="shared" si="4"/>
        <v>5479034.7300000004</v>
      </c>
      <c r="G51" s="764">
        <f t="shared" si="4"/>
        <v>5220183.6682709809</v>
      </c>
      <c r="H51" s="204">
        <v>3520848.1347999997</v>
      </c>
      <c r="I51" s="758">
        <f>+I21-I49</f>
        <v>5478749</v>
      </c>
      <c r="J51" s="759"/>
      <c r="K51" s="760"/>
      <c r="L51" s="758">
        <f>+L21-L49</f>
        <v>4325640</v>
      </c>
      <c r="M51" s="678">
        <v>1</v>
      </c>
    </row>
    <row r="52" spans="1:13" s="2" customFormat="1" ht="15" hidden="1" customHeight="1">
      <c r="A52" s="5"/>
      <c r="B52" s="160"/>
      <c r="C52" s="113"/>
      <c r="D52" s="113"/>
      <c r="E52" s="113"/>
      <c r="F52" s="160"/>
      <c r="G52" s="134"/>
      <c r="H52" s="113"/>
      <c r="I52" s="162"/>
      <c r="J52" s="149"/>
      <c r="K52" s="254"/>
      <c r="L52" s="18"/>
      <c r="M52" s="2">
        <f t="shared" si="0"/>
        <v>0</v>
      </c>
    </row>
    <row r="53" spans="1:13" s="2" customFormat="1" ht="11.25" hidden="1">
      <c r="A53" s="16" t="s">
        <v>3</v>
      </c>
      <c r="B53" s="169">
        <f>+B51-B44</f>
        <v>751860.27724269871</v>
      </c>
      <c r="C53" s="223">
        <f>+C51-C44</f>
        <v>146876.79822461694</v>
      </c>
      <c r="D53" s="223">
        <f>+D51-D44</f>
        <v>785022.56506260158</v>
      </c>
      <c r="E53" s="223">
        <f>+E51-E44</f>
        <v>299163.78448376502</v>
      </c>
      <c r="F53" s="169">
        <f>+F51-F44</f>
        <v>2002003.0011000005</v>
      </c>
      <c r="G53" s="140"/>
      <c r="H53" s="223">
        <v>0</v>
      </c>
      <c r="I53" s="170"/>
      <c r="J53" s="224"/>
      <c r="K53" s="123"/>
      <c r="L53" s="309"/>
      <c r="M53" s="2">
        <v>0</v>
      </c>
    </row>
    <row r="54" spans="1:13" s="2" customFormat="1" ht="15" hidden="1" customHeight="1">
      <c r="A54" s="16" t="s">
        <v>4</v>
      </c>
      <c r="B54" s="197">
        <f>+B53/B51</f>
        <v>0.37612817010290855</v>
      </c>
      <c r="C54" s="224">
        <f>+C53/C51</f>
        <v>0.45026746931970035</v>
      </c>
      <c r="D54" s="224">
        <f>+D53/D51</f>
        <v>0.34060983681682644</v>
      </c>
      <c r="E54" s="224">
        <f>+E53/E51</f>
        <v>0.35243546184856051</v>
      </c>
      <c r="F54" s="197">
        <f>+F53/F51</f>
        <v>0.36539337670889344</v>
      </c>
      <c r="G54" s="141"/>
      <c r="H54" s="224">
        <v>0</v>
      </c>
      <c r="I54" s="191"/>
      <c r="J54" s="224"/>
      <c r="K54" s="123"/>
      <c r="L54" s="15"/>
      <c r="M54" s="2">
        <v>0</v>
      </c>
    </row>
    <row r="55" spans="1:13" s="2" customFormat="1" ht="11.25" hidden="1">
      <c r="A55" s="5"/>
      <c r="B55" s="160"/>
      <c r="C55" s="113"/>
      <c r="D55" s="113"/>
      <c r="E55" s="113"/>
      <c r="F55" s="160"/>
      <c r="G55" s="134"/>
      <c r="H55" s="113"/>
      <c r="I55" s="162"/>
      <c r="J55" s="149"/>
      <c r="K55" s="271"/>
      <c r="L55" s="18"/>
      <c r="M55" s="2">
        <f t="shared" si="0"/>
        <v>0</v>
      </c>
    </row>
    <row r="56" spans="1:13" s="2" customFormat="1" ht="11.25" hidden="1">
      <c r="A56" s="5" t="s">
        <v>290</v>
      </c>
      <c r="B56" s="160">
        <f>+Grenoble!$G56</f>
        <v>0</v>
      </c>
      <c r="C56" s="113">
        <f>+STMarcelin!$G56</f>
        <v>0</v>
      </c>
      <c r="D56" s="113">
        <f>+PSA!$G56</f>
        <v>0</v>
      </c>
      <c r="E56" s="113">
        <f>+Montpe!$G56</f>
        <v>0</v>
      </c>
      <c r="F56" s="160">
        <f>+Montpe!E56+Grenoble!E56+STMarcelin!E56+PSA!E56</f>
        <v>717543.36150000012</v>
      </c>
      <c r="G56" s="134"/>
      <c r="H56" s="113">
        <v>0</v>
      </c>
      <c r="I56" s="161"/>
      <c r="J56" s="149"/>
      <c r="K56" s="271"/>
      <c r="L56" s="18"/>
      <c r="M56" s="2">
        <v>0</v>
      </c>
    </row>
    <row r="57" spans="1:13" s="2" customFormat="1" ht="11.25" hidden="1">
      <c r="A57" s="5" t="s">
        <v>100</v>
      </c>
      <c r="B57" s="160">
        <f>+Grenoble!$G57</f>
        <v>0</v>
      </c>
      <c r="C57" s="113">
        <f>+STMarcelin!$G57</f>
        <v>0</v>
      </c>
      <c r="D57" s="113">
        <f>+PSA!$G57</f>
        <v>0</v>
      </c>
      <c r="E57" s="113">
        <f>+Montpe!$G57</f>
        <v>0</v>
      </c>
      <c r="F57" s="160">
        <f>+Montpe!E57+Grenoble!E57+STMarcelin!E57+PSA!E57</f>
        <v>685772.04259999993</v>
      </c>
      <c r="G57" s="134"/>
      <c r="H57" s="113">
        <v>0</v>
      </c>
      <c r="I57" s="161"/>
      <c r="J57" s="149"/>
      <c r="K57" s="271"/>
      <c r="L57" s="18"/>
      <c r="M57" s="2">
        <v>0</v>
      </c>
    </row>
    <row r="58" spans="1:13" s="2" customFormat="1" ht="12" hidden="1" thickBot="1">
      <c r="A58" s="21"/>
      <c r="B58" s="171"/>
      <c r="C58" s="205"/>
      <c r="D58" s="205"/>
      <c r="E58" s="205"/>
      <c r="F58" s="171"/>
      <c r="G58" s="142"/>
      <c r="H58" s="205"/>
      <c r="I58" s="172"/>
      <c r="J58" s="236"/>
      <c r="K58" s="275"/>
      <c r="L58" s="310"/>
      <c r="M58" s="2">
        <f t="shared" si="0"/>
        <v>0</v>
      </c>
    </row>
    <row r="59" spans="1:13" s="2" customFormat="1" ht="11.25" hidden="1">
      <c r="A59" s="5"/>
      <c r="B59" s="160"/>
      <c r="C59" s="113"/>
      <c r="D59" s="113"/>
      <c r="E59" s="113"/>
      <c r="F59" s="160"/>
      <c r="G59" s="134"/>
      <c r="H59" s="113"/>
      <c r="I59" s="162"/>
      <c r="J59" s="149"/>
      <c r="K59" s="254"/>
      <c r="L59" s="18"/>
      <c r="M59" s="2">
        <f t="shared" si="0"/>
        <v>0</v>
      </c>
    </row>
    <row r="60" spans="1:13" s="678" customFormat="1" ht="15" customHeight="1">
      <c r="A60" s="705" t="s">
        <v>295</v>
      </c>
      <c r="B60" s="765">
        <f>+Grenoble!$G60</f>
        <v>0.37612817010290855</v>
      </c>
      <c r="C60" s="765">
        <f>+STMarcelin!$G60</f>
        <v>0.45026746931970035</v>
      </c>
      <c r="D60" s="765">
        <f>+PSA!$G60</f>
        <v>0.34060983681682649</v>
      </c>
      <c r="E60" s="765">
        <f>+Montpe!$G60</f>
        <v>0.35243546184856051</v>
      </c>
      <c r="F60" s="765">
        <f>+F62/F51</f>
        <v>0.36539337670889338</v>
      </c>
      <c r="G60" s="765">
        <f>+G62/G51</f>
        <v>0.3515232271489791</v>
      </c>
      <c r="H60" s="224">
        <v>0.32589352974594532</v>
      </c>
      <c r="I60" s="765">
        <f>+I62/I51</f>
        <v>0.3619299633937752</v>
      </c>
      <c r="J60" s="765"/>
      <c r="K60" s="766"/>
      <c r="L60" s="765">
        <f>+L62/L51</f>
        <v>0.43064078379153142</v>
      </c>
      <c r="M60" s="678">
        <f t="shared" si="0"/>
        <v>1</v>
      </c>
    </row>
    <row r="61" spans="1:13" s="2" customFormat="1" ht="11.25" hidden="1">
      <c r="A61" s="5" t="s">
        <v>75</v>
      </c>
      <c r="B61" s="92">
        <f>+Grenoble!$G61</f>
        <v>0</v>
      </c>
      <c r="C61" s="149">
        <f>+STMarcelin!$G61</f>
        <v>0</v>
      </c>
      <c r="D61" s="149">
        <f>+PSA!$G61</f>
        <v>0</v>
      </c>
      <c r="E61" s="149">
        <f>+Montpe!$G61</f>
        <v>0</v>
      </c>
      <c r="F61" s="160"/>
      <c r="G61" s="135"/>
      <c r="H61" s="113"/>
      <c r="I61" s="162"/>
      <c r="J61" s="149"/>
      <c r="K61" s="254"/>
      <c r="L61" s="18"/>
      <c r="M61" s="2">
        <f t="shared" si="0"/>
        <v>0</v>
      </c>
    </row>
    <row r="62" spans="1:13" s="678" customFormat="1" ht="15" customHeight="1">
      <c r="A62" s="705" t="s">
        <v>296</v>
      </c>
      <c r="B62" s="767">
        <f>+B51*B60</f>
        <v>751860.27724269871</v>
      </c>
      <c r="C62" s="767">
        <f>+C51*C60</f>
        <v>146876.79822461694</v>
      </c>
      <c r="D62" s="767">
        <f>+D51*D60</f>
        <v>785022.56506260182</v>
      </c>
      <c r="E62" s="767">
        <f>+E51*E60</f>
        <v>299163.78448376502</v>
      </c>
      <c r="F62" s="767">
        <f>+Montpe!E62+Grenoble!E62+STMarcelin!E62+PSA!E62</f>
        <v>2002003.0011000002</v>
      </c>
      <c r="G62" s="768">
        <f>+Montpe!F62+Grenoble!F62+STMarcelin!F62+PSA!F62</f>
        <v>1835015.8093810109</v>
      </c>
      <c r="H62" s="223">
        <v>1147421.6263493998</v>
      </c>
      <c r="I62" s="767">
        <f>+Montpe!G62+Grenoble!G62+STMarcelin!G62+PSA!G62</f>
        <v>1982923.4250136826</v>
      </c>
      <c r="J62" s="765">
        <f>+IF((F62)=0,,(G62-F62)/F62)</f>
        <v>-8.3410060637890249E-2</v>
      </c>
      <c r="K62" s="766">
        <f>+IF((G62)=0,,(I62-G62)/G62)</f>
        <v>8.0602910817735102E-2</v>
      </c>
      <c r="L62" s="767">
        <f>+Dijon!D62+Eu!D62+Nancy!D62+Roanne!D62</f>
        <v>1862797</v>
      </c>
      <c r="M62" s="678">
        <f t="shared" si="0"/>
        <v>1</v>
      </c>
    </row>
    <row r="63" spans="1:13" s="2" customFormat="1" ht="11.25" hidden="1">
      <c r="A63" s="5"/>
      <c r="B63" s="160"/>
      <c r="C63" s="113"/>
      <c r="D63" s="113"/>
      <c r="E63" s="113"/>
      <c r="F63" s="160"/>
      <c r="G63" s="134"/>
      <c r="H63" s="113"/>
      <c r="I63" s="162"/>
      <c r="J63" s="149"/>
      <c r="K63" s="271"/>
      <c r="L63" s="18"/>
      <c r="M63" s="2">
        <f t="shared" si="0"/>
        <v>0</v>
      </c>
    </row>
    <row r="64" spans="1:13" s="678" customFormat="1" ht="11.25">
      <c r="A64" s="690" t="s">
        <v>104</v>
      </c>
      <c r="B64" s="753">
        <f>+Grenoble!$G64</f>
        <v>10481.911733333334</v>
      </c>
      <c r="C64" s="753">
        <f>+STMarcelin!$G64</f>
        <v>0</v>
      </c>
      <c r="D64" s="753">
        <f>+PSA!$G64</f>
        <v>12000</v>
      </c>
      <c r="E64" s="753">
        <f>+Montpe!$G64</f>
        <v>7727.2248</v>
      </c>
      <c r="F64" s="753">
        <f>+Montpe!E64+Grenoble!E64+STMarcelin!E64+PSA!E64</f>
        <v>30951.030000000002</v>
      </c>
      <c r="G64" s="754">
        <f>+Montpe!F64+Grenoble!F64+STMarcelin!F64+PSA!F64</f>
        <v>28611</v>
      </c>
      <c r="H64" s="113">
        <v>10333.580575</v>
      </c>
      <c r="I64" s="755">
        <f>+Montpe!G64+Grenoble!G64+STMarcelin!G64+PSA!G64</f>
        <v>30209.136533333334</v>
      </c>
      <c r="J64" s="756">
        <f>+IF((F64)=0,,(G64-F64)/F64)</f>
        <v>-7.5604269066328403E-2</v>
      </c>
      <c r="K64" s="757">
        <f>+IF((G64)=0,,(I64-G64)/G64)</f>
        <v>5.5857416145305448E-2</v>
      </c>
      <c r="L64" s="753">
        <f>+Dijon!D64+Eu!D64+Nancy!D64+Roanne!D64</f>
        <v>10485.387125000001</v>
      </c>
      <c r="M64" s="678">
        <f t="shared" si="0"/>
        <v>1</v>
      </c>
    </row>
    <row r="65" spans="1:13" s="2" customFormat="1" ht="11.25" hidden="1">
      <c r="A65" s="5" t="s">
        <v>314</v>
      </c>
      <c r="B65" s="160">
        <f>+Grenoble!$G65</f>
        <v>0</v>
      </c>
      <c r="C65" s="113">
        <f>+STMarcelin!$G65</f>
        <v>0</v>
      </c>
      <c r="D65" s="113">
        <f>+PSA!$G65</f>
        <v>0</v>
      </c>
      <c r="E65" s="113">
        <f>+Montpe!$G65</f>
        <v>0</v>
      </c>
      <c r="F65" s="160">
        <f>+Montpe!E65+Grenoble!E65+STMarcelin!E65+PSA!E65</f>
        <v>0</v>
      </c>
      <c r="G65" s="135">
        <f>+Montpe!F65+Grenoble!F65+STMarcelin!F65+PSA!F65</f>
        <v>0</v>
      </c>
      <c r="H65" s="113">
        <v>0</v>
      </c>
      <c r="I65" s="161">
        <f>+Montpe!G65+Grenoble!G65+STMarcelin!G65+PSA!G65</f>
        <v>0</v>
      </c>
      <c r="J65" s="149">
        <f>+IF((F65)=0,,(G65-F65)/F65)</f>
        <v>0</v>
      </c>
      <c r="K65" s="271">
        <f>+IF((G65)=0,,(I65-G65)/G65)</f>
        <v>0</v>
      </c>
      <c r="L65" s="18">
        <f>+Dijon!D65+Eu!D65+Nancy!D65+Roanne!D65</f>
        <v>0</v>
      </c>
      <c r="M65" s="2">
        <f t="shared" si="0"/>
        <v>0</v>
      </c>
    </row>
    <row r="66" spans="1:13" s="678" customFormat="1" ht="15" customHeight="1">
      <c r="A66" s="690" t="s">
        <v>110</v>
      </c>
      <c r="B66" s="753">
        <f>+Grenoble!$G66</f>
        <v>2736.0096000000003</v>
      </c>
      <c r="C66" s="753">
        <f>+STMarcelin!$G66</f>
        <v>559.53719999999998</v>
      </c>
      <c r="D66" s="753">
        <f>+PSA!$G66</f>
        <v>2891.7000000000003</v>
      </c>
      <c r="E66" s="753">
        <f>+Montpe!$G66</f>
        <v>2119.231866666667</v>
      </c>
      <c r="F66" s="753">
        <f>+Montpe!E66+Grenoble!E66+STMarcelin!E66+PSA!E66</f>
        <v>8009.92</v>
      </c>
      <c r="G66" s="754">
        <f>+Montpe!F66+Grenoble!F66+STMarcelin!F66+PSA!F66</f>
        <v>8275.506666666668</v>
      </c>
      <c r="H66" s="113">
        <v>3158.2941499999997</v>
      </c>
      <c r="I66" s="755">
        <f>+Montpe!G66+Grenoble!G66+STMarcelin!G66+PSA!G66</f>
        <v>8306.4786666666678</v>
      </c>
      <c r="J66" s="756">
        <f>+IF((F66)=0,,(G66-F66)/F66)</f>
        <v>3.3157218382539148E-2</v>
      </c>
      <c r="K66" s="757">
        <f>+IF((G66)=0,,(I66-G66)/G66)</f>
        <v>3.7426107243382981E-3</v>
      </c>
      <c r="L66" s="753">
        <f>+Dijon!D66+Eu!D66+Nancy!D66+Roanne!D66</f>
        <v>6984.9393000000009</v>
      </c>
      <c r="M66" s="678">
        <f t="shared" si="0"/>
        <v>1</v>
      </c>
    </row>
    <row r="67" spans="1:13" s="678" customFormat="1" ht="11.25">
      <c r="A67" s="690" t="s">
        <v>107</v>
      </c>
      <c r="B67" s="753">
        <f>+Grenoble!$G67</f>
        <v>4493.3955999999998</v>
      </c>
      <c r="C67" s="753">
        <f>+STMarcelin!$G67</f>
        <v>78.073999999999998</v>
      </c>
      <c r="D67" s="753">
        <f>+PSA!$G67</f>
        <v>3500</v>
      </c>
      <c r="E67" s="753">
        <f>+Montpe!$G67</f>
        <v>2641.5517333333332</v>
      </c>
      <c r="F67" s="753">
        <f>+Montpe!E67+Grenoble!E67+STMarcelin!E67+PSA!E67</f>
        <v>23816.29</v>
      </c>
      <c r="G67" s="754">
        <f>+Montpe!F67+Grenoble!F67+STMarcelin!F67+PSA!F67</f>
        <v>8905.56</v>
      </c>
      <c r="H67" s="113">
        <v>11102.730500000001</v>
      </c>
      <c r="I67" s="755">
        <f>+Montpe!G67+Grenoble!G67+STMarcelin!G67+PSA!G67</f>
        <v>10713.021333333334</v>
      </c>
      <c r="J67" s="756">
        <f>+IF((F67)=0,,(G67-F67)/F67)</f>
        <v>-0.62607274264799428</v>
      </c>
      <c r="K67" s="757">
        <f>+IF((G67)=0,,(I67-G67)/G67)</f>
        <v>0.20295875086275705</v>
      </c>
      <c r="L67" s="753">
        <f>+Dijon!D67+Eu!D67+Nancy!D67+Roanne!D67</f>
        <v>9574.5227750000013</v>
      </c>
      <c r="M67" s="678">
        <f t="shared" si="0"/>
        <v>1</v>
      </c>
    </row>
    <row r="68" spans="1:13" s="678" customFormat="1" ht="18.75" customHeight="1">
      <c r="A68" s="690" t="s">
        <v>125</v>
      </c>
      <c r="B68" s="753">
        <f>+Grenoble!$G68</f>
        <v>6432.2676000000001</v>
      </c>
      <c r="C68" s="753">
        <f>+STMarcelin!$G68</f>
        <v>259.40893333333332</v>
      </c>
      <c r="D68" s="753">
        <f>+PSA!$G68</f>
        <v>4879.8104000000003</v>
      </c>
      <c r="E68" s="753">
        <f>+Montpe!$G68</f>
        <v>4143.0857333333333</v>
      </c>
      <c r="F68" s="753">
        <f>+Montpe!E68+Grenoble!E68+STMarcelin!E68+PSA!E68</f>
        <v>19731.03</v>
      </c>
      <c r="G68" s="754">
        <f>+Montpe!F68+Grenoble!F68+STMarcelin!F68+PSA!F68</f>
        <v>15256.866666666667</v>
      </c>
      <c r="H68" s="113">
        <v>12276.456700000001</v>
      </c>
      <c r="I68" s="755">
        <f>+Montpe!G68+Grenoble!G68+STMarcelin!G68+PSA!G68</f>
        <v>15714.572666666667</v>
      </c>
      <c r="J68" s="756">
        <f>+IF((F68)=0,,(G68-F68)/F68)</f>
        <v>-0.2267577178349702</v>
      </c>
      <c r="K68" s="757">
        <f>+IF((G68)=0,,(I68-G68)/G68)</f>
        <v>3.0000000000000009E-2</v>
      </c>
      <c r="L68" s="753">
        <f>+Dijon!D68+Eu!D68+Nancy!D68+Roanne!D68</f>
        <v>11416.352225000002</v>
      </c>
      <c r="M68" s="678">
        <f t="shared" si="0"/>
        <v>1</v>
      </c>
    </row>
    <row r="69" spans="1:13" s="2" customFormat="1" ht="11.25" hidden="1">
      <c r="A69" s="5"/>
      <c r="B69" s="160"/>
      <c r="C69" s="113"/>
      <c r="D69" s="113"/>
      <c r="E69" s="113"/>
      <c r="F69" s="160"/>
      <c r="G69" s="143"/>
      <c r="H69" s="270"/>
      <c r="I69" s="161"/>
      <c r="J69" s="149"/>
      <c r="K69" s="271"/>
      <c r="L69" s="18"/>
      <c r="M69" s="2">
        <f t="shared" si="0"/>
        <v>0</v>
      </c>
    </row>
    <row r="70" spans="1:13" s="678" customFormat="1" ht="11.25">
      <c r="A70" s="710" t="s">
        <v>128</v>
      </c>
      <c r="B70" s="769">
        <f t="shared" ref="B70:G70" si="5">SUM(B64:B69)</f>
        <v>24143.584533333335</v>
      </c>
      <c r="C70" s="769">
        <f t="shared" si="5"/>
        <v>897.02013333333321</v>
      </c>
      <c r="D70" s="769">
        <f t="shared" si="5"/>
        <v>23271.510399999999</v>
      </c>
      <c r="E70" s="769">
        <f t="shared" si="5"/>
        <v>16631.094133333332</v>
      </c>
      <c r="F70" s="753">
        <f t="shared" si="5"/>
        <v>82508.27</v>
      </c>
      <c r="G70" s="770">
        <f t="shared" si="5"/>
        <v>61048.933333333334</v>
      </c>
      <c r="H70" s="343">
        <v>36871.061925000002</v>
      </c>
      <c r="I70" s="771">
        <f>SUM(I64:I69)</f>
        <v>64943.209200000005</v>
      </c>
      <c r="J70" s="772">
        <f>+IF((F70)=0,,(G70-F70)/F70)</f>
        <v>-0.26008709995575802</v>
      </c>
      <c r="K70" s="757">
        <f>+IF((G70)=0,,(I70-G70)/G70)</f>
        <v>6.3789417014111144E-2</v>
      </c>
      <c r="L70" s="753">
        <f>SUM(L64:L69)</f>
        <v>38461.201425000007</v>
      </c>
      <c r="M70" s="678">
        <f t="shared" si="0"/>
        <v>1</v>
      </c>
    </row>
    <row r="71" spans="1:13" s="2" customFormat="1" ht="11.25" hidden="1">
      <c r="A71" s="5"/>
      <c r="B71" s="160"/>
      <c r="C71" s="113"/>
      <c r="D71" s="113"/>
      <c r="E71" s="113"/>
      <c r="F71" s="160"/>
      <c r="G71" s="143"/>
      <c r="H71" s="270"/>
      <c r="I71" s="161"/>
      <c r="J71" s="149"/>
      <c r="K71" s="271"/>
      <c r="L71" s="18"/>
      <c r="M71" s="2">
        <f t="shared" si="0"/>
        <v>0</v>
      </c>
    </row>
    <row r="72" spans="1:13" s="678" customFormat="1" ht="11.25">
      <c r="A72" s="690" t="s">
        <v>1</v>
      </c>
      <c r="B72" s="753">
        <f>+Grenoble!$G72</f>
        <v>0</v>
      </c>
      <c r="C72" s="753">
        <f>+STMarcelin!$G72</f>
        <v>0</v>
      </c>
      <c r="D72" s="753">
        <f>+PSA!$G72</f>
        <v>1398.6988000000001</v>
      </c>
      <c r="E72" s="753">
        <f>+Montpe!$G72</f>
        <v>8.6245333333333356</v>
      </c>
      <c r="F72" s="753">
        <f>+Montpe!E72+Grenoble!E72+STMarcelin!E72+PSA!E72</f>
        <v>1185.99</v>
      </c>
      <c r="G72" s="754">
        <f>+Montpe!F72+Grenoble!F72+STMarcelin!F72+PSA!F72</f>
        <v>1366.3333333333335</v>
      </c>
      <c r="H72" s="113">
        <v>71.4088863101573</v>
      </c>
      <c r="I72" s="755">
        <f>+Montpe!G72+Grenoble!G72+STMarcelin!G72+PSA!G72</f>
        <v>1407.3233333333335</v>
      </c>
      <c r="J72" s="756">
        <f>+IF((F72)=0,,(G72-F72)/F72)</f>
        <v>0.15206142828635441</v>
      </c>
      <c r="K72" s="757">
        <f>+IF((G72)=0,,(I72-G72)/G72)</f>
        <v>3.0000000000000002E-2</v>
      </c>
      <c r="L72" s="753">
        <f>+Dijon!D72+Eu!D72+Nancy!D72+Roanne!D72</f>
        <v>288.89580301572914</v>
      </c>
      <c r="M72" s="678">
        <f t="shared" ref="M72:M135" si="6">IF(SUM(B72:L72)&gt;0,1,0)</f>
        <v>1</v>
      </c>
    </row>
    <row r="73" spans="1:13" s="678" customFormat="1" ht="11.25">
      <c r="A73" s="690" t="s">
        <v>123</v>
      </c>
      <c r="B73" s="753">
        <f>+Grenoble!$G73</f>
        <v>6149.2647999999999</v>
      </c>
      <c r="C73" s="753">
        <f>+STMarcelin!$G73</f>
        <v>276.02626666666669</v>
      </c>
      <c r="D73" s="753">
        <f>+PSA!$G73</f>
        <v>16495.559866666666</v>
      </c>
      <c r="E73" s="753">
        <f>+Montpe!$G73</f>
        <v>3864.8758666666663</v>
      </c>
      <c r="F73" s="753">
        <f>+Montpe!E73+Grenoble!E73+STMarcelin!E73+PSA!E73</f>
        <v>21899.17</v>
      </c>
      <c r="G73" s="754">
        <f>+Montpe!F73+Grenoble!F73+STMarcelin!F73+PSA!F73</f>
        <v>26005.56</v>
      </c>
      <c r="H73" s="113">
        <v>9887.6796010435028</v>
      </c>
      <c r="I73" s="755">
        <f>+Montpe!G73+Grenoble!G73+STMarcelin!G73+PSA!G73</f>
        <v>26785.726799999997</v>
      </c>
      <c r="J73" s="756">
        <f t="shared" ref="J73:J101" si="7">+IF((F73)=0,,(G73-F73)/F73)</f>
        <v>0.18751349937006762</v>
      </c>
      <c r="K73" s="757">
        <f t="shared" ref="K73:K101" si="8">+IF((G73)=0,,(I73-G73)/G73)</f>
        <v>2.9999999999999822E-2</v>
      </c>
      <c r="L73" s="753">
        <f>+Dijon!D73+Eu!D73+Nancy!D73+Roanne!D73</f>
        <v>15137.961087279818</v>
      </c>
      <c r="M73" s="678">
        <f t="shared" si="6"/>
        <v>1</v>
      </c>
    </row>
    <row r="74" spans="1:13" s="678" customFormat="1" ht="11.25">
      <c r="A74" s="690" t="s">
        <v>124</v>
      </c>
      <c r="B74" s="753">
        <f>+Grenoble!$G74</f>
        <v>3470.3172</v>
      </c>
      <c r="C74" s="753">
        <f>+STMarcelin!$G74</f>
        <v>2559.7147999999997</v>
      </c>
      <c r="D74" s="753">
        <f>+PSA!$G74</f>
        <v>3022.2671999999998</v>
      </c>
      <c r="E74" s="753">
        <f>+Montpe!$G74</f>
        <v>0</v>
      </c>
      <c r="F74" s="753">
        <f>+Montpe!E74+Grenoble!E74+STMarcelin!E74+PSA!E74</f>
        <v>6309.6</v>
      </c>
      <c r="G74" s="754">
        <f>+Montpe!F74+Grenoble!F74+STMarcelin!F74+PSA!F74</f>
        <v>8788.64</v>
      </c>
      <c r="H74" s="113">
        <v>3831.0974282417565</v>
      </c>
      <c r="I74" s="755">
        <f>+Montpe!G74+Grenoble!G74+STMarcelin!G74+PSA!G74</f>
        <v>9052.2991999999995</v>
      </c>
      <c r="J74" s="756">
        <f t="shared" si="7"/>
        <v>0.39289970838087973</v>
      </c>
      <c r="K74" s="757">
        <f t="shared" si="8"/>
        <v>3.0000000000000009E-2</v>
      </c>
      <c r="L74" s="753">
        <f>+Dijon!D74+Eu!D74+Nancy!D74+Roanne!D74</f>
        <v>27291.821286270664</v>
      </c>
      <c r="M74" s="678">
        <f t="shared" si="6"/>
        <v>1</v>
      </c>
    </row>
    <row r="75" spans="1:13" s="678" customFormat="1" ht="11.25">
      <c r="A75" s="690" t="s">
        <v>360</v>
      </c>
      <c r="B75" s="753">
        <f>+Grenoble!$G75</f>
        <v>0</v>
      </c>
      <c r="C75" s="753">
        <f>+STMarcelin!$G75</f>
        <v>0</v>
      </c>
      <c r="D75" s="753">
        <f>+PSA!$G75</f>
        <v>0</v>
      </c>
      <c r="E75" s="753">
        <f>+Montpe!$G75</f>
        <v>0</v>
      </c>
      <c r="F75" s="753">
        <f>+Montpe!E75+Grenoble!E75+STMarcelin!E75+PSA!E75</f>
        <v>0</v>
      </c>
      <c r="G75" s="754">
        <f>+Montpe!F75+Grenoble!F75+STMarcelin!F75+PSA!F75</f>
        <v>0</v>
      </c>
      <c r="H75" s="113">
        <v>0</v>
      </c>
      <c r="I75" s="755">
        <f>+Montpe!G75+Grenoble!G75+STMarcelin!G75+PSA!G75</f>
        <v>0</v>
      </c>
      <c r="J75" s="756">
        <f t="shared" si="7"/>
        <v>0</v>
      </c>
      <c r="K75" s="757">
        <f t="shared" si="8"/>
        <v>0</v>
      </c>
      <c r="L75" s="753">
        <f>+Dijon!D75+Eu!D75+Nancy!D75+Roanne!D75</f>
        <v>192.12384000000003</v>
      </c>
      <c r="M75" s="678">
        <f t="shared" si="6"/>
        <v>1</v>
      </c>
    </row>
    <row r="76" spans="1:13" s="678" customFormat="1" ht="11.25">
      <c r="A76" s="690" t="s">
        <v>126</v>
      </c>
      <c r="B76" s="753">
        <f>+Grenoble!$G76</f>
        <v>105.78786666666669</v>
      </c>
      <c r="C76" s="753">
        <f>+STMarcelin!$G76</f>
        <v>25.365466666666666</v>
      </c>
      <c r="D76" s="753">
        <f>+PSA!$G76</f>
        <v>331.35786666666667</v>
      </c>
      <c r="E76" s="753">
        <f>+Montpe!$G76</f>
        <v>78.568399999999997</v>
      </c>
      <c r="F76" s="753">
        <f>+Montpe!E76+Grenoble!E76+STMarcelin!E76+PSA!E76</f>
        <v>1261.9499999999998</v>
      </c>
      <c r="G76" s="754">
        <f>+Montpe!F76+Grenoble!F76+STMarcelin!F76+PSA!F76</f>
        <v>525.31999999999994</v>
      </c>
      <c r="H76" s="113">
        <v>88.771155807303472</v>
      </c>
      <c r="I76" s="755">
        <f>+Montpe!G76+Grenoble!G76+STMarcelin!G76+PSA!G76</f>
        <v>541.07960000000003</v>
      </c>
      <c r="J76" s="756">
        <f t="shared" si="7"/>
        <v>-0.58372360236142473</v>
      </c>
      <c r="K76" s="757">
        <f t="shared" si="8"/>
        <v>3.0000000000000176E-2</v>
      </c>
      <c r="L76" s="753">
        <f>+Dijon!D76+Eu!D76+Nancy!D76+Roanne!D76</f>
        <v>586.79832143079091</v>
      </c>
      <c r="M76" s="678">
        <f t="shared" si="6"/>
        <v>1</v>
      </c>
    </row>
    <row r="77" spans="1:13" s="678" customFormat="1" ht="11.25">
      <c r="A77" s="690" t="s">
        <v>127</v>
      </c>
      <c r="B77" s="753">
        <f>+Grenoble!$G77</f>
        <v>2782.3596000000002</v>
      </c>
      <c r="C77" s="753">
        <f>+STMarcelin!$G77</f>
        <v>1065.7753333333333</v>
      </c>
      <c r="D77" s="753">
        <f>+PSA!$G77</f>
        <v>4280.3778666666667</v>
      </c>
      <c r="E77" s="753">
        <f>+Montpe!$G77</f>
        <v>1899.553466666667</v>
      </c>
      <c r="F77" s="753">
        <f>+Montpe!E77+Grenoble!E77+STMarcelin!E77+PSA!E77</f>
        <v>11510.98</v>
      </c>
      <c r="G77" s="754">
        <f>+Montpe!F77+Grenoble!F77+STMarcelin!F77+PSA!F77</f>
        <v>9735.9866666666676</v>
      </c>
      <c r="H77" s="113">
        <v>7255.5533120449272</v>
      </c>
      <c r="I77" s="755">
        <f>+Montpe!G77+Grenoble!G77+STMarcelin!G77+PSA!G77</f>
        <v>10028.066266666667</v>
      </c>
      <c r="J77" s="756">
        <f t="shared" si="7"/>
        <v>-0.15420001888052381</v>
      </c>
      <c r="K77" s="757">
        <f t="shared" si="8"/>
        <v>2.9999999999999905E-2</v>
      </c>
      <c r="L77" s="753">
        <f>+Dijon!D77+Eu!D77+Nancy!D77+Roanne!D77</f>
        <v>9323.9742171518337</v>
      </c>
      <c r="M77" s="678">
        <f t="shared" si="6"/>
        <v>1</v>
      </c>
    </row>
    <row r="78" spans="1:13" s="678" customFormat="1" ht="11.25">
      <c r="A78" s="690" t="s">
        <v>101</v>
      </c>
      <c r="B78" s="753">
        <f>+Grenoble!$G78</f>
        <v>306.2808</v>
      </c>
      <c r="C78" s="753">
        <f>+STMarcelin!$G78</f>
        <v>0</v>
      </c>
      <c r="D78" s="753">
        <f>+PSA!$G78</f>
        <v>34.6492</v>
      </c>
      <c r="E78" s="753">
        <f>+Montpe!$G78</f>
        <v>118.2852</v>
      </c>
      <c r="F78" s="753">
        <f>+Montpe!E78+Grenoble!E78+STMarcelin!E78+PSA!E78</f>
        <v>1020.27</v>
      </c>
      <c r="G78" s="754">
        <f>+Montpe!F78+Grenoble!F78+STMarcelin!F78+PSA!F78</f>
        <v>445.84000000000003</v>
      </c>
      <c r="H78" s="113">
        <v>10.682149189972916</v>
      </c>
      <c r="I78" s="755">
        <f>+Montpe!G78+Grenoble!G78+STMarcelin!G78+PSA!G78</f>
        <v>459.21520000000004</v>
      </c>
      <c r="J78" s="756">
        <f t="shared" si="7"/>
        <v>-0.5630176325874523</v>
      </c>
      <c r="K78" s="757">
        <f t="shared" si="8"/>
        <v>3.0000000000000013E-2</v>
      </c>
      <c r="L78" s="753">
        <f>+Dijon!D78+Eu!D78+Nancy!D78+Roanne!D78</f>
        <v>1389.6775262608689</v>
      </c>
      <c r="M78" s="678">
        <f t="shared" si="6"/>
        <v>1</v>
      </c>
    </row>
    <row r="79" spans="1:13" s="678" customFormat="1" ht="11.25">
      <c r="A79" s="690" t="s">
        <v>102</v>
      </c>
      <c r="B79" s="753">
        <f>+Grenoble!$G79</f>
        <v>40749.066288384514</v>
      </c>
      <c r="C79" s="753">
        <f>+STMarcelin!$G79</f>
        <v>46414.33</v>
      </c>
      <c r="D79" s="753">
        <f>+PSA!$G79</f>
        <v>76087.932000000001</v>
      </c>
      <c r="E79" s="753">
        <f>+Montpe!$G79</f>
        <v>36701.444517399868</v>
      </c>
      <c r="F79" s="753">
        <f>+Montpe!E79+Grenoble!E79+STMarcelin!E79+PSA!E79</f>
        <v>172187.94</v>
      </c>
      <c r="G79" s="754">
        <f>+Montpe!F79+Grenoble!F79+STMarcelin!F79+PSA!F79</f>
        <v>184215.86</v>
      </c>
      <c r="H79" s="113">
        <v>60088.136021625003</v>
      </c>
      <c r="I79" s="755">
        <f>+Montpe!G79+Grenoble!G79+STMarcelin!G79+PSA!G79</f>
        <v>199952.77280578436</v>
      </c>
      <c r="J79" s="756">
        <f t="shared" si="7"/>
        <v>6.9853440374511619E-2</v>
      </c>
      <c r="K79" s="757">
        <f t="shared" si="8"/>
        <v>8.5426481768640219E-2</v>
      </c>
      <c r="L79" s="753">
        <f>+Dijon!D79+Eu!D79+Nancy!D79+Roanne!D79</f>
        <v>146258.34986725001</v>
      </c>
      <c r="M79" s="678">
        <f t="shared" si="6"/>
        <v>1</v>
      </c>
    </row>
    <row r="80" spans="1:13" s="678" customFormat="1" ht="11.25">
      <c r="A80" s="690" t="s">
        <v>325</v>
      </c>
      <c r="B80" s="753">
        <f>+Grenoble!$G80</f>
        <v>0</v>
      </c>
      <c r="C80" s="753">
        <f>+STMarcelin!$G80</f>
        <v>0</v>
      </c>
      <c r="D80" s="753">
        <f>+PSA!$G80</f>
        <v>3423.4453333333336</v>
      </c>
      <c r="E80" s="753">
        <f>+Montpe!$G80</f>
        <v>0</v>
      </c>
      <c r="F80" s="753">
        <f>+Montpe!E80+Grenoble!E80+STMarcelin!E80+PSA!E80</f>
        <v>2035.55</v>
      </c>
      <c r="G80" s="754">
        <f>+Montpe!F80+Grenoble!F80+STMarcelin!F80+PSA!F80</f>
        <v>3323.7333333333336</v>
      </c>
      <c r="H80" s="113">
        <v>208.86543522174063</v>
      </c>
      <c r="I80" s="755">
        <f>+Montpe!G80+Grenoble!G80+STMarcelin!G80+PSA!G80</f>
        <v>3423.4453333333336</v>
      </c>
      <c r="J80" s="756">
        <f t="shared" si="7"/>
        <v>0.6328428843965187</v>
      </c>
      <c r="K80" s="757">
        <f t="shared" si="8"/>
        <v>2.9999999999999995E-2</v>
      </c>
      <c r="L80" s="753">
        <f>+Dijon!D80+Eu!D80+Nancy!D80+Roanne!D80</f>
        <v>2049.3191847737562</v>
      </c>
      <c r="M80" s="678">
        <f t="shared" si="6"/>
        <v>1</v>
      </c>
    </row>
    <row r="81" spans="1:13" s="678" customFormat="1" ht="11.25">
      <c r="A81" s="690" t="s">
        <v>103</v>
      </c>
      <c r="B81" s="753">
        <f>+Grenoble!$G81</f>
        <v>0</v>
      </c>
      <c r="C81" s="753">
        <f>+STMarcelin!$G81</f>
        <v>0</v>
      </c>
      <c r="D81" s="753">
        <f>+PSA!$G81</f>
        <v>765.79813333333334</v>
      </c>
      <c r="E81" s="753">
        <f>+Montpe!$G81</f>
        <v>0</v>
      </c>
      <c r="F81" s="753">
        <f>+Montpe!E81+Grenoble!E81+STMarcelin!E81+PSA!E81</f>
        <v>0</v>
      </c>
      <c r="G81" s="754">
        <f>+Montpe!F81+Grenoble!F81+STMarcelin!F81+PSA!F81</f>
        <v>743.49333333333334</v>
      </c>
      <c r="H81" s="113">
        <v>0</v>
      </c>
      <c r="I81" s="755">
        <f>+Montpe!G81+Grenoble!G81+STMarcelin!G81+PSA!G81</f>
        <v>765.79813333333334</v>
      </c>
      <c r="J81" s="756">
        <f t="shared" si="7"/>
        <v>0</v>
      </c>
      <c r="K81" s="757">
        <f t="shared" si="8"/>
        <v>0.03</v>
      </c>
      <c r="L81" s="753">
        <f>+Dijon!D81+Eu!D81+Nancy!D81+Roanne!D81</f>
        <v>-660.50041476229171</v>
      </c>
      <c r="M81" s="678">
        <f t="shared" si="6"/>
        <v>1</v>
      </c>
    </row>
    <row r="82" spans="1:13" s="678" customFormat="1" ht="11.25">
      <c r="A82" s="690" t="s">
        <v>105</v>
      </c>
      <c r="B82" s="753">
        <f>+Grenoble!$G82</f>
        <v>828.57320000000004</v>
      </c>
      <c r="C82" s="753">
        <f>+STMarcelin!$G82</f>
        <v>185.4</v>
      </c>
      <c r="D82" s="753">
        <f>+PSA!$G82</f>
        <v>586.9763999999999</v>
      </c>
      <c r="E82" s="753">
        <f>+Montpe!$G82</f>
        <v>185.4</v>
      </c>
      <c r="F82" s="753">
        <f>+Montpe!E82+Grenoble!E82+STMarcelin!E82+PSA!E82</f>
        <v>1751.95</v>
      </c>
      <c r="G82" s="754">
        <f>+Montpe!F82+Grenoble!F82+STMarcelin!F82+PSA!F82</f>
        <v>1734.32</v>
      </c>
      <c r="H82" s="113">
        <v>629.08481323799992</v>
      </c>
      <c r="I82" s="755">
        <f>+Montpe!G82+Grenoble!G82+STMarcelin!G82+PSA!G82</f>
        <v>1786.3496</v>
      </c>
      <c r="J82" s="756">
        <f t="shared" si="7"/>
        <v>-1.0063072576272217E-2</v>
      </c>
      <c r="K82" s="757">
        <f t="shared" si="8"/>
        <v>3.0000000000000044E-2</v>
      </c>
      <c r="L82" s="753">
        <f>+Dijon!D82+Eu!D82+Nancy!D82+Roanne!D82</f>
        <v>1938.4422635657293</v>
      </c>
      <c r="M82" s="678">
        <f t="shared" si="6"/>
        <v>1</v>
      </c>
    </row>
    <row r="83" spans="1:13" s="678" customFormat="1" ht="11.25">
      <c r="A83" s="690" t="s">
        <v>287</v>
      </c>
      <c r="B83" s="753">
        <f>+Grenoble!$G83</f>
        <v>465.72479999999996</v>
      </c>
      <c r="C83" s="753">
        <f>+STMarcelin!$G83</f>
        <v>0</v>
      </c>
      <c r="D83" s="753">
        <f>+PSA!$G83</f>
        <v>11116.087466666668</v>
      </c>
      <c r="E83" s="753">
        <f>+Montpe!$G83</f>
        <v>0</v>
      </c>
      <c r="F83" s="753">
        <f>+Montpe!E83+Grenoble!E83+STMarcelin!E83+PSA!E83</f>
        <v>3042.8999999999996</v>
      </c>
      <c r="G83" s="754">
        <f>+Montpe!F83+Grenoble!F83+STMarcelin!F83+PSA!F83</f>
        <v>4254.1866666666665</v>
      </c>
      <c r="H83" s="113">
        <v>1.1724050104166666</v>
      </c>
      <c r="I83" s="755">
        <f>+Montpe!G83+Grenoble!G83+STMarcelin!G83+PSA!G83</f>
        <v>11581.812266666668</v>
      </c>
      <c r="J83" s="756">
        <f t="shared" si="7"/>
        <v>0.39806982374270172</v>
      </c>
      <c r="K83" s="757">
        <f t="shared" si="8"/>
        <v>1.7224504174711033</v>
      </c>
      <c r="L83" s="753">
        <f>+Dijon!D83+Eu!D83+Nancy!D83+Roanne!D83</f>
        <v>2351.9067219823592</v>
      </c>
      <c r="M83" s="678">
        <f t="shared" si="6"/>
        <v>1</v>
      </c>
    </row>
    <row r="84" spans="1:13" s="678" customFormat="1" ht="11.25">
      <c r="A84" s="690" t="s">
        <v>108</v>
      </c>
      <c r="B84" s="753">
        <f>+Grenoble!$G84</f>
        <v>18106.823200000003</v>
      </c>
      <c r="C84" s="753">
        <f>+STMarcelin!$G84</f>
        <v>1795.5509333333334</v>
      </c>
      <c r="D84" s="753">
        <f>+PSA!$G84</f>
        <v>6921.5862666666662</v>
      </c>
      <c r="E84" s="753">
        <f>+Montpe!$G84</f>
        <v>1344.15</v>
      </c>
      <c r="F84" s="753">
        <f>+Montpe!E84+Grenoble!E84+STMarcelin!E84+PSA!E84</f>
        <v>25371.16</v>
      </c>
      <c r="G84" s="754">
        <f>+Montpe!F84+Grenoble!F84+STMarcelin!F84+PSA!F84</f>
        <v>27347.68</v>
      </c>
      <c r="H84" s="113">
        <v>4815.0656490531401</v>
      </c>
      <c r="I84" s="755">
        <f>+Montpe!G84+Grenoble!G84+STMarcelin!G84+PSA!G84</f>
        <v>28168.110400000001</v>
      </c>
      <c r="J84" s="756">
        <f t="shared" si="7"/>
        <v>7.7904203039987158E-2</v>
      </c>
      <c r="K84" s="757">
        <f t="shared" si="8"/>
        <v>3.0000000000000041E-2</v>
      </c>
      <c r="L84" s="753">
        <f>+Dijon!D84+Eu!D84+Nancy!D84+Roanne!D84</f>
        <v>18040.524349858548</v>
      </c>
      <c r="M84" s="678">
        <f t="shared" si="6"/>
        <v>1</v>
      </c>
    </row>
    <row r="85" spans="1:13" s="678" customFormat="1" ht="11.25">
      <c r="A85" s="690" t="s">
        <v>109</v>
      </c>
      <c r="B85" s="753">
        <f>+Grenoble!$G85</f>
        <v>0</v>
      </c>
      <c r="C85" s="753">
        <f>+STMarcelin!$G85</f>
        <v>1433.76</v>
      </c>
      <c r="D85" s="753">
        <f>+PSA!$G85</f>
        <v>2137.5933333333337</v>
      </c>
      <c r="E85" s="753">
        <f>+Montpe!$G85</f>
        <v>93.414133333333325</v>
      </c>
      <c r="F85" s="753">
        <f>+Montpe!E85+Grenoble!E85+STMarcelin!E85+PSA!E85</f>
        <v>2998.3900000000003</v>
      </c>
      <c r="G85" s="754">
        <f>+Montpe!F85+Grenoble!F85+STMarcelin!F85+PSA!F85</f>
        <v>3558.0266666666666</v>
      </c>
      <c r="H85" s="113">
        <v>3158.5363368615717</v>
      </c>
      <c r="I85" s="755">
        <f>+Montpe!G85+Grenoble!G85+STMarcelin!G85+PSA!G85</f>
        <v>3664.7674666666671</v>
      </c>
      <c r="J85" s="756">
        <f t="shared" si="7"/>
        <v>0.1866457220930787</v>
      </c>
      <c r="K85" s="757">
        <f t="shared" si="8"/>
        <v>3.0000000000000138E-2</v>
      </c>
      <c r="L85" s="753">
        <f>+Dijon!D85+Eu!D85+Nancy!D85+Roanne!D85</f>
        <v>4143.5085428956036</v>
      </c>
      <c r="M85" s="678">
        <f t="shared" si="6"/>
        <v>1</v>
      </c>
    </row>
    <row r="86" spans="1:13" s="678" customFormat="1" ht="11.25">
      <c r="A86" s="690" t="s">
        <v>106</v>
      </c>
      <c r="B86" s="753">
        <f>+Grenoble!$G86</f>
        <v>1583.4258666666667</v>
      </c>
      <c r="C86" s="753">
        <f>+STMarcelin!$G86</f>
        <v>306.11599999999999</v>
      </c>
      <c r="D86" s="753">
        <f>+PSA!$G86</f>
        <v>5443.8109333333341</v>
      </c>
      <c r="E86" s="753">
        <f>+Montpe!$G86</f>
        <v>769.47866666666664</v>
      </c>
      <c r="F86" s="753">
        <f>+Montpe!E86+Grenoble!E86+STMarcelin!E86+PSA!E86</f>
        <v>5608.84</v>
      </c>
      <c r="G86" s="754">
        <f>+Montpe!F86+Grenoble!F86+STMarcelin!F86+PSA!F86</f>
        <v>7866.8266666666668</v>
      </c>
      <c r="H86" s="113">
        <v>2564.1938068838895</v>
      </c>
      <c r="I86" s="755">
        <f>+Montpe!G86+Grenoble!G86+STMarcelin!G86+PSA!G86</f>
        <v>8102.8314666666674</v>
      </c>
      <c r="J86" s="756">
        <f t="shared" si="7"/>
        <v>0.40257640914461218</v>
      </c>
      <c r="K86" s="757">
        <f t="shared" si="8"/>
        <v>3.0000000000000079E-2</v>
      </c>
      <c r="L86" s="753">
        <f>+Dijon!D86+Eu!D86+Nancy!D86+Roanne!D86</f>
        <v>9709.1726401561446</v>
      </c>
      <c r="M86" s="678">
        <f t="shared" si="6"/>
        <v>1</v>
      </c>
    </row>
    <row r="87" spans="1:13" s="678" customFormat="1" ht="11.25">
      <c r="A87" s="690" t="s">
        <v>363</v>
      </c>
      <c r="B87" s="753">
        <f>+Grenoble!$G87</f>
        <v>0</v>
      </c>
      <c r="C87" s="753">
        <f>+STMarcelin!$G87</f>
        <v>0</v>
      </c>
      <c r="D87" s="753">
        <f>+PSA!$G87</f>
        <v>0</v>
      </c>
      <c r="E87" s="753">
        <f>+Montpe!$G87</f>
        <v>0</v>
      </c>
      <c r="F87" s="753">
        <f>+Montpe!E87+Grenoble!E87+STMarcelin!E87+PSA!E87</f>
        <v>446.26</v>
      </c>
      <c r="G87" s="754">
        <f>+Montpe!F87+Grenoble!F87+STMarcelin!F87+PSA!F87</f>
        <v>0</v>
      </c>
      <c r="H87" s="113">
        <v>0</v>
      </c>
      <c r="I87" s="755">
        <f>+Montpe!G87+Grenoble!G87+STMarcelin!G87+PSA!G87</f>
        <v>0</v>
      </c>
      <c r="J87" s="756">
        <f t="shared" si="7"/>
        <v>-1</v>
      </c>
      <c r="K87" s="757">
        <f t="shared" si="8"/>
        <v>0</v>
      </c>
      <c r="L87" s="753">
        <f>+Dijon!D87+Eu!D87+Nancy!D87+Roanne!D87</f>
        <v>4.3053999999999997</v>
      </c>
      <c r="M87" s="678">
        <f t="shared" si="6"/>
        <v>1</v>
      </c>
    </row>
    <row r="88" spans="1:13" s="678" customFormat="1" ht="11.25">
      <c r="A88" s="690" t="s">
        <v>111</v>
      </c>
      <c r="B88" s="753">
        <f>+Grenoble!$G88</f>
        <v>3755.7434250000006</v>
      </c>
      <c r="C88" s="753">
        <f>+STMarcelin!$G88</f>
        <v>2020.3312500000002</v>
      </c>
      <c r="D88" s="753">
        <f>+PSA!$G88</f>
        <v>4000</v>
      </c>
      <c r="E88" s="753">
        <f>+Montpe!$G88</f>
        <v>3235.8044250000003</v>
      </c>
      <c r="F88" s="753">
        <f>+Montpe!E88+Grenoble!E88+STMarcelin!E88+PSA!E88</f>
        <v>11838.35</v>
      </c>
      <c r="G88" s="754">
        <f>+Montpe!F88+Grenoble!F88+STMarcelin!F88+PSA!F88</f>
        <v>13136.279999999999</v>
      </c>
      <c r="H88" s="113">
        <v>8688.9872080908299</v>
      </c>
      <c r="I88" s="755">
        <f>+Montpe!G88+Grenoble!G88+STMarcelin!G88+PSA!G88</f>
        <v>13011.879100000002</v>
      </c>
      <c r="J88" s="756">
        <f t="shared" si="7"/>
        <v>0.10963774512495393</v>
      </c>
      <c r="K88" s="757">
        <f t="shared" si="8"/>
        <v>-9.47002499946689E-3</v>
      </c>
      <c r="L88" s="753">
        <f>+Dijon!D88+Eu!D88+Nancy!D88+Roanne!D88</f>
        <v>15142.216275000001</v>
      </c>
      <c r="M88" s="678">
        <f t="shared" si="6"/>
        <v>1</v>
      </c>
    </row>
    <row r="89" spans="1:13" s="2" customFormat="1" ht="11.25" hidden="1">
      <c r="A89" s="5" t="s">
        <v>315</v>
      </c>
      <c r="B89" s="160">
        <f>+Grenoble!$G89</f>
        <v>0</v>
      </c>
      <c r="C89" s="113">
        <f>+STMarcelin!$G89</f>
        <v>0</v>
      </c>
      <c r="D89" s="113">
        <f>+PSA!$G89</f>
        <v>0</v>
      </c>
      <c r="E89" s="113">
        <f>+Montpe!$G89</f>
        <v>0</v>
      </c>
      <c r="F89" s="160">
        <f>+Montpe!E89+Grenoble!E89+STMarcelin!E89+PSA!E89</f>
        <v>0</v>
      </c>
      <c r="G89" s="135">
        <f>+Montpe!F89+Grenoble!F89+STMarcelin!F89+PSA!F89</f>
        <v>0</v>
      </c>
      <c r="H89" s="113">
        <v>0</v>
      </c>
      <c r="I89" s="161">
        <f>+Montpe!G89+Grenoble!G89+STMarcelin!G89+PSA!G89</f>
        <v>0</v>
      </c>
      <c r="J89" s="149">
        <f t="shared" si="7"/>
        <v>0</v>
      </c>
      <c r="K89" s="271">
        <f t="shared" si="8"/>
        <v>0</v>
      </c>
      <c r="L89" s="18">
        <f>+Dijon!D89+Eu!D89+Nancy!D89+Roanne!D89</f>
        <v>0</v>
      </c>
      <c r="M89" s="2">
        <f t="shared" si="6"/>
        <v>0</v>
      </c>
    </row>
    <row r="90" spans="1:13" s="678" customFormat="1" ht="11.25">
      <c r="A90" s="690" t="s">
        <v>112</v>
      </c>
      <c r="B90" s="753">
        <f>+Grenoble!$G90</f>
        <v>89.26666666666668</v>
      </c>
      <c r="C90" s="753">
        <f>+STMarcelin!$G90</f>
        <v>0</v>
      </c>
      <c r="D90" s="753">
        <f>+PSA!$G90</f>
        <v>406.50666666666666</v>
      </c>
      <c r="E90" s="753">
        <f>+Montpe!$G90</f>
        <v>293.09680000000003</v>
      </c>
      <c r="F90" s="753">
        <f>+Montpe!E90+Grenoble!E90+STMarcelin!E90+PSA!E90</f>
        <v>1379.58</v>
      </c>
      <c r="G90" s="754">
        <f>+Montpe!F90+Grenoble!F90+STMarcelin!F90+PSA!F90</f>
        <v>765.89333333333332</v>
      </c>
      <c r="H90" s="113">
        <v>942.92679813651739</v>
      </c>
      <c r="I90" s="755">
        <f>+Montpe!G90+Grenoble!G90+STMarcelin!G90+PSA!G90</f>
        <v>788.87013333333334</v>
      </c>
      <c r="J90" s="756">
        <f t="shared" si="7"/>
        <v>-0.4448358679211547</v>
      </c>
      <c r="K90" s="757">
        <f t="shared" si="8"/>
        <v>3.0000000000000034E-2</v>
      </c>
      <c r="L90" s="753">
        <f>+Dijon!D90+Eu!D90+Nancy!D90+Roanne!D90</f>
        <v>1061.798962089696</v>
      </c>
      <c r="M90" s="678">
        <f t="shared" si="6"/>
        <v>1</v>
      </c>
    </row>
    <row r="91" spans="1:13" s="678" customFormat="1" ht="11.25">
      <c r="A91" s="690" t="s">
        <v>113</v>
      </c>
      <c r="B91" s="753">
        <f>+Grenoble!$G91</f>
        <v>2351.3938666666668</v>
      </c>
      <c r="C91" s="753">
        <f>+STMarcelin!$G91</f>
        <v>132.58160000000001</v>
      </c>
      <c r="D91" s="753">
        <f>+PSA!$G91</f>
        <v>2562.5438666666669</v>
      </c>
      <c r="E91" s="753">
        <f>+Montpe!$G91</f>
        <v>2004.2564000000002</v>
      </c>
      <c r="F91" s="753">
        <f>+Montpe!E91+Grenoble!E91+STMarcelin!E91+PSA!E91</f>
        <v>3697.2300000000005</v>
      </c>
      <c r="G91" s="754">
        <f>+Montpe!F91+Grenoble!F91+STMarcelin!F91+PSA!F91</f>
        <v>6845.4133333333339</v>
      </c>
      <c r="H91" s="113">
        <v>1769.5807036566976</v>
      </c>
      <c r="I91" s="755">
        <f>+Montpe!G91+Grenoble!G91+STMarcelin!G91+PSA!G91</f>
        <v>7050.7757333333348</v>
      </c>
      <c r="J91" s="756">
        <f t="shared" si="7"/>
        <v>0.85149783306240967</v>
      </c>
      <c r="K91" s="757">
        <f t="shared" si="8"/>
        <v>3.0000000000000127E-2</v>
      </c>
      <c r="L91" s="753">
        <f>+Dijon!D91+Eu!D91+Nancy!D91+Roanne!D91</f>
        <v>1642.0918001099672</v>
      </c>
      <c r="M91" s="678">
        <f t="shared" si="6"/>
        <v>1</v>
      </c>
    </row>
    <row r="92" spans="1:13" s="2" customFormat="1" ht="11.25" hidden="1">
      <c r="A92" s="5" t="s">
        <v>309</v>
      </c>
      <c r="B92" s="160">
        <f>+Grenoble!$G92</f>
        <v>0</v>
      </c>
      <c r="C92" s="113">
        <f>+STMarcelin!$G92</f>
        <v>0</v>
      </c>
      <c r="D92" s="113">
        <f>+PSA!$G92</f>
        <v>0</v>
      </c>
      <c r="E92" s="113">
        <f>+Montpe!$G92</f>
        <v>0</v>
      </c>
      <c r="F92" s="160">
        <f>+Montpe!E92+Grenoble!E92+STMarcelin!E92+PSA!E92</f>
        <v>0</v>
      </c>
      <c r="G92" s="135">
        <f>+Montpe!F92+Grenoble!F92+STMarcelin!F92+PSA!F92</f>
        <v>0</v>
      </c>
      <c r="H92" s="113">
        <v>0</v>
      </c>
      <c r="I92" s="161">
        <f>+Montpe!G92+Grenoble!G92+STMarcelin!G92+PSA!G92</f>
        <v>0</v>
      </c>
      <c r="J92" s="149">
        <f t="shared" si="7"/>
        <v>0</v>
      </c>
      <c r="K92" s="271">
        <f t="shared" si="8"/>
        <v>0</v>
      </c>
      <c r="L92" s="18">
        <f>+Dijon!D92+Eu!D92+Nancy!D92+Roanne!D92</f>
        <v>0</v>
      </c>
      <c r="M92" s="2">
        <f t="shared" si="6"/>
        <v>0</v>
      </c>
    </row>
    <row r="93" spans="1:13" s="678" customFormat="1" ht="11.25">
      <c r="A93" s="690" t="s">
        <v>115</v>
      </c>
      <c r="B93" s="753">
        <f>+Grenoble!$G93</f>
        <v>0</v>
      </c>
      <c r="C93" s="753">
        <f>+STMarcelin!$G93</f>
        <v>0</v>
      </c>
      <c r="D93" s="753">
        <f>+PSA!$G93</f>
        <v>0</v>
      </c>
      <c r="E93" s="753">
        <f>+Montpe!$G93</f>
        <v>0</v>
      </c>
      <c r="F93" s="753">
        <f>+Montpe!E93+Grenoble!E93+STMarcelin!E93+PSA!E93</f>
        <v>0</v>
      </c>
      <c r="G93" s="754">
        <f>+Montpe!F93+Grenoble!F93+STMarcelin!F93+PSA!F93</f>
        <v>0</v>
      </c>
      <c r="H93" s="113">
        <v>1.7586075156250005</v>
      </c>
      <c r="I93" s="755">
        <f>+Montpe!G93+Grenoble!G93+STMarcelin!G93+PSA!G93</f>
        <v>0</v>
      </c>
      <c r="J93" s="756">
        <f t="shared" si="7"/>
        <v>0</v>
      </c>
      <c r="K93" s="757">
        <f t="shared" si="8"/>
        <v>0</v>
      </c>
      <c r="L93" s="753">
        <f>+Dijon!D93+Eu!D93+Nancy!D93+Roanne!D93</f>
        <v>714.18746893229161</v>
      </c>
      <c r="M93" s="678">
        <f t="shared" si="6"/>
        <v>1</v>
      </c>
    </row>
    <row r="94" spans="1:13" s="678" customFormat="1" ht="11.25">
      <c r="A94" s="690" t="s">
        <v>42</v>
      </c>
      <c r="B94" s="753">
        <f>+Grenoble!$G94</f>
        <v>0</v>
      </c>
      <c r="C94" s="753">
        <f>+STMarcelin!$G94</f>
        <v>0</v>
      </c>
      <c r="D94" s="753">
        <f>+PSA!$G94</f>
        <v>0</v>
      </c>
      <c r="E94" s="753">
        <f>+Montpe!$G94</f>
        <v>86.657333333333327</v>
      </c>
      <c r="F94" s="753">
        <f>+Montpe!E94+Grenoble!E94+STMarcelin!E94+PSA!E94</f>
        <v>354.41</v>
      </c>
      <c r="G94" s="754">
        <f>+Montpe!F94+Grenoble!F94+STMarcelin!F94+PSA!F94</f>
        <v>84.133333333333326</v>
      </c>
      <c r="H94" s="113">
        <v>2.3705346356249999</v>
      </c>
      <c r="I94" s="755">
        <f>+Montpe!G94+Grenoble!G94+STMarcelin!G94+PSA!G94</f>
        <v>86.657333333333327</v>
      </c>
      <c r="J94" s="756">
        <f t="shared" si="7"/>
        <v>-0.76261015960798706</v>
      </c>
      <c r="K94" s="757">
        <f t="shared" si="8"/>
        <v>3.0000000000000013E-2</v>
      </c>
      <c r="L94" s="753">
        <f>+Dijon!D94+Eu!D94+Nancy!D94+Roanne!D94</f>
        <v>589.14381004770826</v>
      </c>
      <c r="M94" s="678">
        <f t="shared" si="6"/>
        <v>1</v>
      </c>
    </row>
    <row r="95" spans="1:13" s="678" customFormat="1" ht="11.25">
      <c r="A95" s="690" t="s">
        <v>117</v>
      </c>
      <c r="B95" s="753">
        <f>+Grenoble!$G95</f>
        <v>7521.4705268445168</v>
      </c>
      <c r="C95" s="753">
        <f>+STMarcelin!$G95</f>
        <v>25.838246601054628</v>
      </c>
      <c r="D95" s="753">
        <f>+PSA!$G95</f>
        <v>11526.831462207398</v>
      </c>
      <c r="E95" s="753">
        <f>+Montpe!$G95</f>
        <v>8149.4320196521185</v>
      </c>
      <c r="F95" s="753">
        <f>+Montpe!E95+Grenoble!E95+STMarcelin!E95+PSA!E95</f>
        <v>25195.58</v>
      </c>
      <c r="G95" s="754">
        <f>+Montpe!F95+Grenoble!F95+STMarcelin!F95+PSA!F95</f>
        <v>26638.546666666669</v>
      </c>
      <c r="H95" s="113">
        <v>63743.487456511248</v>
      </c>
      <c r="I95" s="755">
        <f>+Montpe!G95+Grenoble!G95+STMarcelin!G95+PSA!G95</f>
        <v>27223.572255305087</v>
      </c>
      <c r="J95" s="756">
        <f t="shared" si="7"/>
        <v>5.7270627096763282E-2</v>
      </c>
      <c r="K95" s="757">
        <f t="shared" si="8"/>
        <v>2.1961618100227377E-2</v>
      </c>
      <c r="L95" s="753">
        <f>+Dijon!D95+Eu!D95+Nancy!D95+Roanne!D95</f>
        <v>14100.94768511951</v>
      </c>
      <c r="M95" s="678">
        <f t="shared" si="6"/>
        <v>1</v>
      </c>
    </row>
    <row r="96" spans="1:13" s="678" customFormat="1" ht="11.25">
      <c r="A96" s="690" t="s">
        <v>118</v>
      </c>
      <c r="B96" s="753">
        <f>+Grenoble!$G96</f>
        <v>13086.740533333334</v>
      </c>
      <c r="C96" s="753">
        <f>+STMarcelin!$G96</f>
        <v>3711.8316000000004</v>
      </c>
      <c r="D96" s="753">
        <f>+PSA!$G96</f>
        <v>13200</v>
      </c>
      <c r="E96" s="753">
        <f>+Montpe!$G96</f>
        <v>5000</v>
      </c>
      <c r="F96" s="753">
        <f>+Montpe!E96+Grenoble!E96+STMarcelin!E96+PSA!E96</f>
        <v>41569.89</v>
      </c>
      <c r="G96" s="754">
        <f>+Montpe!F96+Grenoble!F96+STMarcelin!F96+PSA!F96</f>
        <v>46627.426666666674</v>
      </c>
      <c r="H96" s="113">
        <v>15857.099775000001</v>
      </c>
      <c r="I96" s="755">
        <f>+Montpe!G96+Grenoble!G96+STMarcelin!G96+PSA!G96</f>
        <v>34998.572133333335</v>
      </c>
      <c r="J96" s="756">
        <f t="shared" si="7"/>
        <v>0.12166346041970942</v>
      </c>
      <c r="K96" s="757">
        <f t="shared" si="8"/>
        <v>-0.24939944930837565</v>
      </c>
      <c r="L96" s="753">
        <f>+Dijon!D96+Eu!D96+Nancy!D96+Roanne!D96</f>
        <v>39799.463674999999</v>
      </c>
      <c r="M96" s="678">
        <f t="shared" si="6"/>
        <v>1</v>
      </c>
    </row>
    <row r="97" spans="1:13" s="678" customFormat="1" ht="11.25">
      <c r="A97" s="690" t="s">
        <v>7</v>
      </c>
      <c r="B97" s="753">
        <f>+Grenoble!$G97</f>
        <v>0</v>
      </c>
      <c r="C97" s="753">
        <f>+STMarcelin!$G97</f>
        <v>0</v>
      </c>
      <c r="D97" s="753">
        <f>+PSA!$G97</f>
        <v>329.6</v>
      </c>
      <c r="E97" s="753">
        <f>+Montpe!$G97</f>
        <v>632.26893333333339</v>
      </c>
      <c r="F97" s="753">
        <f>+Montpe!E97+Grenoble!E97+STMarcelin!E97+PSA!E97</f>
        <v>1490.83</v>
      </c>
      <c r="G97" s="754">
        <f>+Montpe!F97+Grenoble!F97+STMarcelin!F97+PSA!F97</f>
        <v>933.85333333333335</v>
      </c>
      <c r="H97" s="113">
        <v>355.56756511337915</v>
      </c>
      <c r="I97" s="755">
        <f>+Montpe!G97+Grenoble!G97+STMarcelin!G97+PSA!G97</f>
        <v>961.86893333333342</v>
      </c>
      <c r="J97" s="756">
        <f t="shared" si="7"/>
        <v>-0.37360172968525357</v>
      </c>
      <c r="K97" s="757">
        <f t="shared" si="8"/>
        <v>3.0000000000000068E-2</v>
      </c>
      <c r="L97" s="753">
        <f>+Dijon!D97+Eu!D97+Nancy!D97+Roanne!D97</f>
        <v>1377.0308568746991</v>
      </c>
      <c r="M97" s="678">
        <f t="shared" si="6"/>
        <v>1</v>
      </c>
    </row>
    <row r="98" spans="1:13" s="678" customFormat="1" ht="11.25">
      <c r="A98" s="690" t="s">
        <v>307</v>
      </c>
      <c r="B98" s="753">
        <f>+Grenoble!$G98</f>
        <v>0</v>
      </c>
      <c r="C98" s="753">
        <f>+STMarcelin!$G98</f>
        <v>0</v>
      </c>
      <c r="D98" s="753">
        <f>+PSA!$G98</f>
        <v>0</v>
      </c>
      <c r="E98" s="753">
        <f>+Montpe!$G98</f>
        <v>0</v>
      </c>
      <c r="F98" s="753">
        <f>+Montpe!E98+Grenoble!E98+STMarcelin!E98+PSA!E98</f>
        <v>855</v>
      </c>
      <c r="G98" s="754">
        <f>+Montpe!F98+Grenoble!F98+STMarcelin!F98+PSA!F98</f>
        <v>0</v>
      </c>
      <c r="H98" s="113">
        <v>0</v>
      </c>
      <c r="I98" s="755">
        <f>+Montpe!G98+Grenoble!G98+STMarcelin!G98+PSA!G98</f>
        <v>0</v>
      </c>
      <c r="J98" s="756">
        <f t="shared" si="7"/>
        <v>-1</v>
      </c>
      <c r="K98" s="757">
        <f t="shared" si="8"/>
        <v>0</v>
      </c>
      <c r="L98" s="753">
        <f>+Dijon!D98+Eu!D98+Nancy!D98+Roanne!D98</f>
        <v>0</v>
      </c>
      <c r="M98" s="678">
        <f t="shared" si="6"/>
        <v>1</v>
      </c>
    </row>
    <row r="99" spans="1:13" s="678" customFormat="1" ht="11.25">
      <c r="A99" s="690" t="s">
        <v>119</v>
      </c>
      <c r="B99" s="753">
        <f>+Grenoble!$G99</f>
        <v>5448.3866666666672</v>
      </c>
      <c r="C99" s="753">
        <f>+STMarcelin!$G99</f>
        <v>2513.3733333333334</v>
      </c>
      <c r="D99" s="753">
        <f>+PSA!$G99</f>
        <v>8062.08</v>
      </c>
      <c r="E99" s="753">
        <f>+Montpe!$G99</f>
        <v>5839.3066666666655</v>
      </c>
      <c r="F99" s="753">
        <f>+Montpe!E99+Grenoble!E99+STMarcelin!E99+PSA!E99</f>
        <v>23264.04</v>
      </c>
      <c r="G99" s="754">
        <f>+Montpe!F99+Grenoble!F99+STMarcelin!F99+PSA!F99</f>
        <v>21863.146666666667</v>
      </c>
      <c r="H99" s="113">
        <v>16061.190716340308</v>
      </c>
      <c r="I99" s="755">
        <f>+Montpe!G99+Grenoble!G99+STMarcelin!G99+PSA!G99</f>
        <v>21863.146666666667</v>
      </c>
      <c r="J99" s="756">
        <f t="shared" si="7"/>
        <v>-6.0217113336004123E-2</v>
      </c>
      <c r="K99" s="757">
        <f t="shared" si="8"/>
        <v>0</v>
      </c>
      <c r="L99" s="753">
        <f>+Dijon!D99+Eu!D99+Nancy!D99+Roanne!D99</f>
        <v>17339.761467944103</v>
      </c>
      <c r="M99" s="678">
        <f t="shared" si="6"/>
        <v>1</v>
      </c>
    </row>
    <row r="100" spans="1:13" s="678" customFormat="1" ht="11.25">
      <c r="A100" s="690" t="s">
        <v>120</v>
      </c>
      <c r="B100" s="753">
        <f>+Grenoble!$G100</f>
        <v>1705.6250666666667</v>
      </c>
      <c r="C100" s="753">
        <f>+STMarcelin!$G100</f>
        <v>1088.7511999999999</v>
      </c>
      <c r="D100" s="753">
        <f>+PSA!$G100</f>
        <v>1907.6012000000001</v>
      </c>
      <c r="E100" s="753">
        <f>+Montpe!$G100</f>
        <v>1054.8573333333334</v>
      </c>
      <c r="F100" s="753">
        <f>+Montpe!E100+Grenoble!E100+STMarcelin!E100+PSA!E100</f>
        <v>3392.43</v>
      </c>
      <c r="G100" s="754">
        <f>+Montpe!F100+Grenoble!F100+STMarcelin!F100+PSA!F100</f>
        <v>5589.16</v>
      </c>
      <c r="H100" s="113">
        <v>2476.283923226305</v>
      </c>
      <c r="I100" s="755">
        <f>+Montpe!G100+Grenoble!G100+STMarcelin!G100+PSA!G100</f>
        <v>5756.8347999999996</v>
      </c>
      <c r="J100" s="756">
        <f t="shared" si="7"/>
        <v>0.64753878488281269</v>
      </c>
      <c r="K100" s="757">
        <f t="shared" si="8"/>
        <v>2.9999999999999961E-2</v>
      </c>
      <c r="L100" s="753">
        <f>+Dijon!D100+Eu!D100+Nancy!D100+Roanne!D100</f>
        <v>4438.9800616746606</v>
      </c>
      <c r="M100" s="678">
        <f t="shared" si="6"/>
        <v>1</v>
      </c>
    </row>
    <row r="101" spans="1:13" s="678" customFormat="1" ht="11.25">
      <c r="A101" s="690" t="s">
        <v>121</v>
      </c>
      <c r="B101" s="753">
        <f>+Grenoble!$G101</f>
        <v>0</v>
      </c>
      <c r="C101" s="753">
        <f>+STMarcelin!$G101</f>
        <v>0</v>
      </c>
      <c r="D101" s="753">
        <f>+PSA!$G101</f>
        <v>0</v>
      </c>
      <c r="E101" s="753">
        <f>+Montpe!$G101</f>
        <v>0</v>
      </c>
      <c r="F101" s="753">
        <f>+Montpe!E101+Grenoble!E101+STMarcelin!E101+PSA!E101</f>
        <v>0</v>
      </c>
      <c r="G101" s="754">
        <f>+Montpe!F101+Grenoble!F101+STMarcelin!F101+PSA!F101</f>
        <v>0</v>
      </c>
      <c r="H101" s="113">
        <v>11.968677035416668</v>
      </c>
      <c r="I101" s="755">
        <f>+Montpe!G101+Grenoble!G101+STMarcelin!G101+PSA!G101</f>
        <v>0</v>
      </c>
      <c r="J101" s="756">
        <f t="shared" si="7"/>
        <v>0</v>
      </c>
      <c r="K101" s="757">
        <f t="shared" si="8"/>
        <v>0</v>
      </c>
      <c r="L101" s="753">
        <f>+Dijon!D101+Eu!D101+Nancy!D101+Roanne!D101</f>
        <v>38.802417500000004</v>
      </c>
      <c r="M101" s="678">
        <f t="shared" si="6"/>
        <v>1</v>
      </c>
    </row>
    <row r="102" spans="1:13" s="2" customFormat="1" ht="11.25" hidden="1">
      <c r="A102" s="5"/>
      <c r="B102" s="160"/>
      <c r="C102" s="113"/>
      <c r="D102" s="113"/>
      <c r="E102" s="113"/>
      <c r="F102" s="160"/>
      <c r="G102" s="143"/>
      <c r="H102" s="113"/>
      <c r="I102" s="162"/>
      <c r="J102" s="149"/>
      <c r="K102" s="254"/>
      <c r="L102" s="18"/>
      <c r="M102" s="2">
        <f t="shared" si="6"/>
        <v>0</v>
      </c>
    </row>
    <row r="103" spans="1:13" s="678" customFormat="1" ht="11.25">
      <c r="A103" s="695" t="s">
        <v>122</v>
      </c>
      <c r="B103" s="758">
        <f t="shared" ref="B103:G103" si="9">SUM(B70:B102)</f>
        <v>132649.8349068957</v>
      </c>
      <c r="C103" s="758">
        <f t="shared" si="9"/>
        <v>64451.766163267726</v>
      </c>
      <c r="D103" s="758">
        <f t="shared" si="9"/>
        <v>197312.81426220739</v>
      </c>
      <c r="E103" s="758">
        <f t="shared" si="9"/>
        <v>87990.568828718664</v>
      </c>
      <c r="F103" s="758">
        <f t="shared" si="9"/>
        <v>452176.56000000006</v>
      </c>
      <c r="G103" s="764">
        <f t="shared" si="9"/>
        <v>463444.59333333338</v>
      </c>
      <c r="H103" s="204">
        <v>239392.53089079331</v>
      </c>
      <c r="I103" s="758">
        <f>SUM(I70:I102)</f>
        <v>482404.98416108941</v>
      </c>
      <c r="J103" s="759">
        <f>+IF((F103)=0,,(G103-F103)/F103)</f>
        <v>2.4919543227391806E-2</v>
      </c>
      <c r="K103" s="760">
        <f>+IF((G103)=0,,(I103-G103)/G103)</f>
        <v>4.0911882672711924E-2</v>
      </c>
      <c r="L103" s="758">
        <f>SUM(L72:L102)+L70</f>
        <v>372751.90654242225</v>
      </c>
      <c r="M103" s="678">
        <f t="shared" si="6"/>
        <v>1</v>
      </c>
    </row>
    <row r="104" spans="1:13" s="2" customFormat="1" ht="11.25" hidden="1">
      <c r="A104" s="5"/>
      <c r="B104" s="160"/>
      <c r="C104" s="113"/>
      <c r="D104" s="113"/>
      <c r="E104" s="113"/>
      <c r="F104" s="160"/>
      <c r="G104" s="143"/>
      <c r="H104" s="113"/>
      <c r="I104" s="162"/>
      <c r="J104" s="149"/>
      <c r="K104" s="254"/>
      <c r="L104" s="18"/>
      <c r="M104" s="2">
        <f t="shared" si="6"/>
        <v>0</v>
      </c>
    </row>
    <row r="105" spans="1:13" s="678" customFormat="1" ht="11.25">
      <c r="A105" s="690" t="s">
        <v>129</v>
      </c>
      <c r="B105" s="753">
        <f>+Grenoble!$G105</f>
        <v>0</v>
      </c>
      <c r="C105" s="753">
        <f>+STMarcelin!$G105</f>
        <v>0</v>
      </c>
      <c r="D105" s="753">
        <f>+PSA!$G105</f>
        <v>0</v>
      </c>
      <c r="E105" s="753">
        <f>+Montpe!$G105</f>
        <v>0</v>
      </c>
      <c r="F105" s="753">
        <f>+Montpe!E105+Grenoble!E105+STMarcelin!E105+PSA!E105</f>
        <v>2466.5099999999998</v>
      </c>
      <c r="G105" s="754">
        <f>+Montpe!F105+Grenoble!F105+STMarcelin!F105+PSA!F105</f>
        <v>0</v>
      </c>
      <c r="H105" s="113">
        <v>2929.9895000000001</v>
      </c>
      <c r="I105" s="755">
        <f>+Montpe!G105+Grenoble!G105+STMarcelin!G105+PSA!G105</f>
        <v>0</v>
      </c>
      <c r="J105" s="756">
        <f>+IF((F105)=0,,(G105-F105)/F105)</f>
        <v>-1</v>
      </c>
      <c r="K105" s="757">
        <f>+IF((G105)=0,,(I105-G105)/G105)</f>
        <v>0</v>
      </c>
      <c r="L105" s="753">
        <f>+Dijon!D105+Eu!D105+Nancy!D105+Roanne!D105</f>
        <v>4235.3855000000003</v>
      </c>
      <c r="M105" s="678">
        <f t="shared" si="6"/>
        <v>1</v>
      </c>
    </row>
    <row r="106" spans="1:13" s="678" customFormat="1" ht="11.25">
      <c r="A106" s="690" t="s">
        <v>130</v>
      </c>
      <c r="B106" s="753">
        <f>+Grenoble!$G106</f>
        <v>12789.070533333334</v>
      </c>
      <c r="C106" s="753">
        <f>+STMarcelin!$G106</f>
        <v>1730.6060000000002</v>
      </c>
      <c r="D106" s="753">
        <f>+PSA!$G106</f>
        <v>10000</v>
      </c>
      <c r="E106" s="753">
        <f>+Montpe!$G106</f>
        <v>5729.1346666666668</v>
      </c>
      <c r="F106" s="753">
        <f>+Montpe!E106+Grenoble!E106+STMarcelin!E106+PSA!E106</f>
        <v>30498.82</v>
      </c>
      <c r="G106" s="754">
        <f>+Montpe!F106+Grenoble!F106+STMarcelin!F106+PSA!F106</f>
        <v>37150.506666666668</v>
      </c>
      <c r="H106" s="113">
        <v>22103.614600000001</v>
      </c>
      <c r="I106" s="755">
        <f>+Montpe!G106+Grenoble!G106+STMarcelin!G106+PSA!G106</f>
        <v>30248.8112</v>
      </c>
      <c r="J106" s="756">
        <f t="shared" ref="J106:J114" si="10">+IF((F106)=0,,(G106-F106)/F106)</f>
        <v>0.21809652526447476</v>
      </c>
      <c r="K106" s="757">
        <f t="shared" ref="K106:K114" si="11">+IF((G106)=0,,(I106-G106)/G106)</f>
        <v>-0.18577661749252053</v>
      </c>
      <c r="L106" s="753">
        <f>+Dijon!D106+Eu!D106+Nancy!D106+Roanne!D106</f>
        <v>24101.5308</v>
      </c>
      <c r="M106" s="678">
        <f t="shared" si="6"/>
        <v>1</v>
      </c>
    </row>
    <row r="107" spans="1:13" s="2" customFormat="1" ht="11.25" hidden="1">
      <c r="A107" s="5" t="s">
        <v>131</v>
      </c>
      <c r="B107" s="160">
        <f>+Grenoble!$G107</f>
        <v>0</v>
      </c>
      <c r="C107" s="113">
        <f>+STMarcelin!$G107</f>
        <v>0</v>
      </c>
      <c r="D107" s="113">
        <f>+PSA!$G107</f>
        <v>0</v>
      </c>
      <c r="E107" s="113">
        <f>+Montpe!$G107</f>
        <v>0</v>
      </c>
      <c r="F107" s="160">
        <f>+Montpe!E107+Grenoble!E107+STMarcelin!E107+PSA!E107</f>
        <v>0</v>
      </c>
      <c r="G107" s="135">
        <f>+Montpe!F107+Grenoble!F107+STMarcelin!F107+PSA!F107</f>
        <v>0</v>
      </c>
      <c r="H107" s="113">
        <v>0</v>
      </c>
      <c r="I107" s="161">
        <f>+Montpe!G107+Grenoble!G107+STMarcelin!G107+PSA!G107</f>
        <v>0</v>
      </c>
      <c r="J107" s="149">
        <f t="shared" si="10"/>
        <v>0</v>
      </c>
      <c r="K107" s="271">
        <f t="shared" si="11"/>
        <v>0</v>
      </c>
      <c r="L107" s="18">
        <f>+Dijon!D107+Eu!D107+Nancy!D107+Roanne!D107</f>
        <v>0</v>
      </c>
      <c r="M107" s="2">
        <f t="shared" si="6"/>
        <v>0</v>
      </c>
    </row>
    <row r="108" spans="1:13" s="678" customFormat="1" ht="11.25">
      <c r="A108" s="690" t="s">
        <v>132</v>
      </c>
      <c r="B108" s="753">
        <f>+Grenoble!$G108</f>
        <v>2264.5167999999999</v>
      </c>
      <c r="C108" s="753">
        <f>+STMarcelin!$G108</f>
        <v>452.7056</v>
      </c>
      <c r="D108" s="753">
        <f>+PSA!$G108</f>
        <v>3063.3161333333328</v>
      </c>
      <c r="E108" s="753">
        <f>+Montpe!$G108</f>
        <v>0</v>
      </c>
      <c r="F108" s="753">
        <f>+Montpe!E108+Grenoble!E108+STMarcelin!E108+PSA!E108</f>
        <v>0</v>
      </c>
      <c r="G108" s="754">
        <f>+Montpe!F108+Grenoble!F108+STMarcelin!F108+PSA!F108</f>
        <v>5612.1733333333323</v>
      </c>
      <c r="H108" s="113">
        <v>859.20295375000001</v>
      </c>
      <c r="I108" s="755">
        <f>+Montpe!G108+Grenoble!G108+STMarcelin!G108+PSA!G108</f>
        <v>5780.5385333333325</v>
      </c>
      <c r="J108" s="756">
        <f t="shared" si="10"/>
        <v>0</v>
      </c>
      <c r="K108" s="757">
        <f t="shared" si="11"/>
        <v>3.0000000000000041E-2</v>
      </c>
      <c r="L108" s="753">
        <f>+Dijon!D108+Eu!D108+Nancy!D108+Roanne!D108</f>
        <v>514.89</v>
      </c>
      <c r="M108" s="678">
        <f t="shared" si="6"/>
        <v>1</v>
      </c>
    </row>
    <row r="109" spans="1:13" s="678" customFormat="1" ht="11.25">
      <c r="A109" s="690" t="s">
        <v>133</v>
      </c>
      <c r="B109" s="753">
        <f>+Grenoble!$G109</f>
        <v>10415.950533333333</v>
      </c>
      <c r="C109" s="753">
        <f>+STMarcelin!$G109</f>
        <v>2093.8114666666665</v>
      </c>
      <c r="D109" s="753">
        <f>+PSA!$G109</f>
        <v>11000</v>
      </c>
      <c r="E109" s="753">
        <f>+Montpe!$G109</f>
        <v>2326.6601333333333</v>
      </c>
      <c r="F109" s="753">
        <f>+Montpe!E109+Grenoble!E109+STMarcelin!E109+PSA!E109</f>
        <v>8450.26</v>
      </c>
      <c r="G109" s="754">
        <f>+Montpe!F109+Grenoble!F109+STMarcelin!F109+PSA!F109</f>
        <v>19590.986666666664</v>
      </c>
      <c r="H109" s="113">
        <v>23819.934499999999</v>
      </c>
      <c r="I109" s="755">
        <f>+Montpe!G109+Grenoble!G109+STMarcelin!G109+PSA!G109</f>
        <v>25836.422133333333</v>
      </c>
      <c r="J109" s="756">
        <f t="shared" si="10"/>
        <v>1.3183886255176365</v>
      </c>
      <c r="K109" s="757">
        <f t="shared" si="11"/>
        <v>0.31879126727665258</v>
      </c>
      <c r="L109" s="753">
        <f>+Dijon!D109+Eu!D109+Nancy!D109+Roanne!D109</f>
        <v>25891.5916</v>
      </c>
      <c r="M109" s="678">
        <f t="shared" si="6"/>
        <v>1</v>
      </c>
    </row>
    <row r="110" spans="1:13" s="678" customFormat="1" ht="11.25">
      <c r="A110" s="690" t="s">
        <v>134</v>
      </c>
      <c r="B110" s="753">
        <f>+Grenoble!$G110</f>
        <v>46706.10533333334</v>
      </c>
      <c r="C110" s="753">
        <f>+STMarcelin!$G110</f>
        <v>1500</v>
      </c>
      <c r="D110" s="753">
        <f>+PSA!$G110</f>
        <v>29000</v>
      </c>
      <c r="E110" s="753">
        <f>+Montpe!$G110</f>
        <v>10000</v>
      </c>
      <c r="F110" s="753">
        <f>+Montpe!E110+Grenoble!E110+STMarcelin!E110+PSA!E110</f>
        <v>99498</v>
      </c>
      <c r="G110" s="754">
        <f>+Montpe!F110+Grenoble!F110+STMarcelin!F110+PSA!F110</f>
        <v>92173.853333333333</v>
      </c>
      <c r="H110" s="113">
        <v>65359.875700000004</v>
      </c>
      <c r="I110" s="755">
        <f>+Montpe!G110+Grenoble!G110+STMarcelin!G110+PSA!G110</f>
        <v>87206.10533333334</v>
      </c>
      <c r="J110" s="756">
        <f t="shared" si="10"/>
        <v>-7.3610993855822912E-2</v>
      </c>
      <c r="K110" s="757">
        <f t="shared" si="11"/>
        <v>-5.3895414158664438E-2</v>
      </c>
      <c r="L110" s="753">
        <f>+Dijon!D110+Eu!D110+Nancy!D110+Roanne!D110</f>
        <v>29323.885100000003</v>
      </c>
      <c r="M110" s="678">
        <f t="shared" si="6"/>
        <v>1</v>
      </c>
    </row>
    <row r="111" spans="1:13" s="678" customFormat="1" ht="11.25">
      <c r="A111" s="690" t="s">
        <v>135</v>
      </c>
      <c r="B111" s="753">
        <f>+Grenoble!$G111</f>
        <v>0</v>
      </c>
      <c r="C111" s="753">
        <f>+STMarcelin!$G111</f>
        <v>0</v>
      </c>
      <c r="D111" s="753">
        <f>+PSA!$G111</f>
        <v>100</v>
      </c>
      <c r="E111" s="753">
        <f>+Montpe!$G111</f>
        <v>0</v>
      </c>
      <c r="F111" s="753">
        <f>+Montpe!E111+Grenoble!E111+STMarcelin!E111+PSA!E111</f>
        <v>190</v>
      </c>
      <c r="G111" s="754">
        <f>+Montpe!F111+Grenoble!F111+STMarcelin!F111+PSA!F111</f>
        <v>93.333333333333329</v>
      </c>
      <c r="H111" s="113">
        <v>0</v>
      </c>
      <c r="I111" s="755">
        <f>+Montpe!G111+Grenoble!G111+STMarcelin!G111+PSA!G111</f>
        <v>100</v>
      </c>
      <c r="J111" s="756">
        <f t="shared" si="10"/>
        <v>-0.50877192982456143</v>
      </c>
      <c r="K111" s="757">
        <f t="shared" si="11"/>
        <v>7.142857142857148E-2</v>
      </c>
      <c r="L111" s="753">
        <f>+Dijon!D111+Eu!D111+Nancy!D111+Roanne!D111</f>
        <v>159.65000000000003</v>
      </c>
      <c r="M111" s="678">
        <f t="shared" si="6"/>
        <v>1</v>
      </c>
    </row>
    <row r="112" spans="1:13" s="678" customFormat="1" ht="11.25">
      <c r="A112" s="690" t="s">
        <v>136</v>
      </c>
      <c r="B112" s="753">
        <f>+Grenoble!$G112</f>
        <v>9548.1</v>
      </c>
      <c r="C112" s="753">
        <f>+STMarcelin!$G112</f>
        <v>26.78</v>
      </c>
      <c r="D112" s="753">
        <f>+PSA!$G112</f>
        <v>3000</v>
      </c>
      <c r="E112" s="753">
        <f>+Montpe!$G112</f>
        <v>2227.89</v>
      </c>
      <c r="F112" s="753">
        <f>+Montpe!E112+Grenoble!E112+STMarcelin!E112+PSA!E112</f>
        <v>100.92</v>
      </c>
      <c r="G112" s="754">
        <f>+Montpe!F112+Grenoble!F112+STMarcelin!F112+PSA!F112</f>
        <v>14459</v>
      </c>
      <c r="H112" s="113">
        <v>77.981300000000005</v>
      </c>
      <c r="I112" s="755">
        <f>+Montpe!G112+Grenoble!G112+STMarcelin!G112+PSA!G112</f>
        <v>14802.77</v>
      </c>
      <c r="J112" s="756">
        <f t="shared" si="10"/>
        <v>142.27189853349188</v>
      </c>
      <c r="K112" s="757">
        <f t="shared" si="11"/>
        <v>2.3775503146828993E-2</v>
      </c>
      <c r="L112" s="753">
        <f>+Dijon!D112+Eu!D112+Nancy!D112+Roanne!D112</f>
        <v>1081.9738</v>
      </c>
      <c r="M112" s="678">
        <f t="shared" si="6"/>
        <v>1</v>
      </c>
    </row>
    <row r="113" spans="1:13" s="678" customFormat="1" ht="11.25">
      <c r="A113" s="690" t="s">
        <v>137</v>
      </c>
      <c r="B113" s="753">
        <f>+Grenoble!$G113</f>
        <v>2000</v>
      </c>
      <c r="C113" s="753">
        <f>+STMarcelin!$G113</f>
        <v>2000</v>
      </c>
      <c r="D113" s="753">
        <f>+PSA!$G113</f>
        <v>2000</v>
      </c>
      <c r="E113" s="753">
        <f>+Montpe!$G113</f>
        <v>2000</v>
      </c>
      <c r="F113" s="753">
        <f>+Montpe!E113+Grenoble!E113+STMarcelin!E113+PSA!E113</f>
        <v>44201.279999999999</v>
      </c>
      <c r="G113" s="754">
        <f>+Montpe!F113+Grenoble!F113+STMarcelin!F113+PSA!F113</f>
        <v>41174.019999999997</v>
      </c>
      <c r="H113" s="113">
        <v>30564.22</v>
      </c>
      <c r="I113" s="755">
        <f>+Montpe!G113+Grenoble!G113+STMarcelin!G113+PSA!G113</f>
        <v>8000</v>
      </c>
      <c r="J113" s="756">
        <f t="shared" si="10"/>
        <v>-6.8488061884180773E-2</v>
      </c>
      <c r="K113" s="757">
        <f t="shared" si="11"/>
        <v>-0.80570272225058426</v>
      </c>
      <c r="L113" s="753">
        <f>+Dijon!D113+Eu!D113+Nancy!D113+Roanne!D113</f>
        <v>34078.379999999997</v>
      </c>
      <c r="M113" s="678">
        <f t="shared" si="6"/>
        <v>1</v>
      </c>
    </row>
    <row r="114" spans="1:13" s="2" customFormat="1" ht="11.25" hidden="1">
      <c r="A114" s="5" t="s">
        <v>138</v>
      </c>
      <c r="B114" s="160">
        <f>+Grenoble!$G114</f>
        <v>0</v>
      </c>
      <c r="C114" s="113">
        <f>+STMarcelin!$G114</f>
        <v>0</v>
      </c>
      <c r="D114" s="113">
        <f>+PSA!$G114</f>
        <v>-5000</v>
      </c>
      <c r="E114" s="113">
        <f>+Montpe!$G114</f>
        <v>0</v>
      </c>
      <c r="F114" s="160">
        <f>+Montpe!E114+Grenoble!E114+STMarcelin!E114+PSA!E114</f>
        <v>-1554.33</v>
      </c>
      <c r="G114" s="135">
        <f>+Montpe!F114+Grenoble!F114+STMarcelin!F114+PSA!F114</f>
        <v>-5000</v>
      </c>
      <c r="H114" s="113">
        <v>0</v>
      </c>
      <c r="I114" s="161">
        <f>+Montpe!G114+Grenoble!G114+STMarcelin!G114+PSA!G114</f>
        <v>-5000</v>
      </c>
      <c r="J114" s="149">
        <f t="shared" si="10"/>
        <v>2.2168201089858655</v>
      </c>
      <c r="K114" s="271">
        <f t="shared" si="11"/>
        <v>0</v>
      </c>
      <c r="L114" s="18">
        <f>+Dijon!D114+Eu!D114+Nancy!D114+Roanne!D114</f>
        <v>-666.58510000000001</v>
      </c>
      <c r="M114" s="2">
        <f t="shared" si="6"/>
        <v>0</v>
      </c>
    </row>
    <row r="115" spans="1:13" s="2" customFormat="1" ht="11.25" hidden="1">
      <c r="A115" s="5"/>
      <c r="B115" s="160"/>
      <c r="C115" s="113"/>
      <c r="D115" s="113"/>
      <c r="E115" s="113"/>
      <c r="F115" s="160"/>
      <c r="G115" s="143"/>
      <c r="H115" s="113"/>
      <c r="I115" s="162"/>
      <c r="J115" s="149"/>
      <c r="K115" s="254"/>
      <c r="L115" s="18"/>
      <c r="M115" s="2">
        <f t="shared" si="6"/>
        <v>0</v>
      </c>
    </row>
    <row r="116" spans="1:13" s="678" customFormat="1" ht="11.25">
      <c r="A116" s="695" t="s">
        <v>133</v>
      </c>
      <c r="B116" s="758">
        <f t="shared" ref="B116:G116" si="12">SUM(B104:B115)</f>
        <v>83723.743200000012</v>
      </c>
      <c r="C116" s="758">
        <f t="shared" si="12"/>
        <v>7803.9030666666667</v>
      </c>
      <c r="D116" s="758">
        <f t="shared" si="12"/>
        <v>53163.316133333334</v>
      </c>
      <c r="E116" s="758">
        <f t="shared" si="12"/>
        <v>22283.684799999999</v>
      </c>
      <c r="F116" s="758">
        <f t="shared" si="12"/>
        <v>183851.46000000002</v>
      </c>
      <c r="G116" s="764">
        <f t="shared" si="12"/>
        <v>205253.87333333332</v>
      </c>
      <c r="H116" s="204">
        <v>145714.81855375</v>
      </c>
      <c r="I116" s="758">
        <f>SUM(I104:I115)</f>
        <v>166974.64720000001</v>
      </c>
      <c r="J116" s="759">
        <f>+IF((F116)=0,,(G116-F116)/F116)</f>
        <v>0.11641144069964578</v>
      </c>
      <c r="K116" s="760">
        <f>+IF((G116)=0,,(I116-G116)/G116)</f>
        <v>-0.18649697329300899</v>
      </c>
      <c r="L116" s="758">
        <f>SUM(L105:L115)</f>
        <v>118720.70170000001</v>
      </c>
      <c r="M116" s="678">
        <f t="shared" si="6"/>
        <v>1</v>
      </c>
    </row>
    <row r="117" spans="1:13" s="2" customFormat="1" ht="11.25" hidden="1">
      <c r="A117" s="5"/>
      <c r="B117" s="160"/>
      <c r="C117" s="113"/>
      <c r="D117" s="113"/>
      <c r="E117" s="113"/>
      <c r="F117" s="160"/>
      <c r="G117" s="143"/>
      <c r="H117" s="113"/>
      <c r="I117" s="162"/>
      <c r="J117" s="149"/>
      <c r="K117" s="254"/>
      <c r="L117" s="18"/>
      <c r="M117" s="2">
        <f t="shared" si="6"/>
        <v>0</v>
      </c>
    </row>
    <row r="118" spans="1:13" s="678" customFormat="1" ht="11.25">
      <c r="A118" s="690" t="s">
        <v>139</v>
      </c>
      <c r="B118" s="753">
        <f>+Grenoble!$G118</f>
        <v>1294.1599999999999</v>
      </c>
      <c r="C118" s="753">
        <f>+STMarcelin!$G118</f>
        <v>341.42499999999995</v>
      </c>
      <c r="D118" s="753">
        <f>+PSA!$G118</f>
        <v>1677.0459999999998</v>
      </c>
      <c r="E118" s="753">
        <f>+Montpe!$G118</f>
        <v>686.9799999999999</v>
      </c>
      <c r="F118" s="753">
        <f>+Montpe!E118+Grenoble!E118+STMarcelin!E118+PSA!E118</f>
        <v>4453</v>
      </c>
      <c r="G118" s="754">
        <f>+Montpe!F118+Grenoble!F118+STMarcelin!F118+PSA!F118</f>
        <v>10474.706666666665</v>
      </c>
      <c r="H118" s="113">
        <v>0</v>
      </c>
      <c r="I118" s="755">
        <f>+Montpe!G118+Grenoble!G118+STMarcelin!G118+PSA!G118</f>
        <v>3999.6109999999994</v>
      </c>
      <c r="J118" s="756">
        <f>+IF((F118)=0,,(G118-F118)/F118)</f>
        <v>1.3522808593457591</v>
      </c>
      <c r="K118" s="757">
        <f>+IF((G118)=0,,(I118-G118)/G118)</f>
        <v>-0.61816486826043182</v>
      </c>
      <c r="L118" s="753">
        <f>+Dijon!D118+Eu!D118+Nancy!D118+Roanne!D118</f>
        <v>3765.2299999999996</v>
      </c>
      <c r="M118" s="678">
        <f t="shared" si="6"/>
        <v>1</v>
      </c>
    </row>
    <row r="119" spans="1:13" s="678" customFormat="1" ht="11.25">
      <c r="A119" s="690" t="s">
        <v>140</v>
      </c>
      <c r="B119" s="753">
        <f>+Grenoble!$G119</f>
        <v>831.96000000000015</v>
      </c>
      <c r="C119" s="753">
        <f>+STMarcelin!$G119</f>
        <v>219.48750000000004</v>
      </c>
      <c r="D119" s="753">
        <f>+PSA!$G119</f>
        <v>1078.1010000000001</v>
      </c>
      <c r="E119" s="753">
        <f>+Montpe!$G119</f>
        <v>441.63000000000005</v>
      </c>
      <c r="F119" s="753">
        <f>+Montpe!E119+Grenoble!E119+STMarcelin!E119+PSA!E119</f>
        <v>2371</v>
      </c>
      <c r="G119" s="754">
        <f>+Montpe!F119+Grenoble!F119+STMarcelin!F119+PSA!F119</f>
        <v>0</v>
      </c>
      <c r="H119" s="113">
        <v>0</v>
      </c>
      <c r="I119" s="755">
        <f>+Montpe!G119+Grenoble!G119+STMarcelin!G119+PSA!G119</f>
        <v>2571.1785</v>
      </c>
      <c r="J119" s="756">
        <f t="shared" ref="J119:J127" si="13">+IF((F119)=0,,(G119-F119)/F119)</f>
        <v>-1</v>
      </c>
      <c r="K119" s="757">
        <f t="shared" ref="K119:K127" si="14">+IF((G119)=0,,(I119-G119)/G119)</f>
        <v>0</v>
      </c>
      <c r="L119" s="753">
        <f>+Dijon!D119+Eu!D119+Nancy!D119+Roanne!D119</f>
        <v>2420.5050000000006</v>
      </c>
      <c r="M119" s="678">
        <f t="shared" si="6"/>
        <v>1</v>
      </c>
    </row>
    <row r="120" spans="1:13" s="678" customFormat="1" ht="11.25">
      <c r="A120" s="690" t="s">
        <v>141</v>
      </c>
      <c r="B120" s="753">
        <f>+Grenoble!$G120</f>
        <v>1442.0640000000001</v>
      </c>
      <c r="C120" s="753">
        <f>+STMarcelin!$G120</f>
        <v>380.44500000000005</v>
      </c>
      <c r="D120" s="753">
        <f>+PSA!$G120</f>
        <v>1868.7084000000002</v>
      </c>
      <c r="E120" s="753">
        <f>+Montpe!$G120</f>
        <v>765.49200000000008</v>
      </c>
      <c r="F120" s="753">
        <f>+Montpe!E120+Grenoble!E120+STMarcelin!E120+PSA!E120</f>
        <v>3584</v>
      </c>
      <c r="G120" s="754">
        <f>+Montpe!F120+Grenoble!F120+STMarcelin!F120+PSA!F120</f>
        <v>0</v>
      </c>
      <c r="H120" s="113">
        <v>0</v>
      </c>
      <c r="I120" s="755">
        <f>+Montpe!G120+Grenoble!G120+STMarcelin!G120+PSA!G120</f>
        <v>4456.7094000000006</v>
      </c>
      <c r="J120" s="756">
        <f t="shared" si="13"/>
        <v>-1</v>
      </c>
      <c r="K120" s="757">
        <f t="shared" si="14"/>
        <v>0</v>
      </c>
      <c r="L120" s="753">
        <f>+Dijon!D120+Eu!D120+Nancy!D120+Roanne!D120</f>
        <v>4195.5420000000004</v>
      </c>
      <c r="M120" s="678">
        <f t="shared" si="6"/>
        <v>1</v>
      </c>
    </row>
    <row r="121" spans="1:13" s="678" customFormat="1" ht="11.25">
      <c r="A121" s="690" t="s">
        <v>142</v>
      </c>
      <c r="B121" s="753">
        <f>+Grenoble!$G121</f>
        <v>3490.2000000000003</v>
      </c>
      <c r="C121" s="753">
        <f>+STMarcelin!$G121</f>
        <v>1369.2</v>
      </c>
      <c r="D121" s="753">
        <f>+PSA!$G121</f>
        <v>6958.35</v>
      </c>
      <c r="E121" s="753">
        <f>+Montpe!$G121</f>
        <v>2842.35</v>
      </c>
      <c r="F121" s="753">
        <f>+Montpe!E121+Grenoble!E121+STMarcelin!E121+PSA!E121</f>
        <v>19089</v>
      </c>
      <c r="G121" s="754">
        <f>+Montpe!F121+Grenoble!F121+STMarcelin!F121+PSA!F121</f>
        <v>13962</v>
      </c>
      <c r="H121" s="113">
        <v>12874.227500000001</v>
      </c>
      <c r="I121" s="755">
        <f>+Montpe!G121+Grenoble!G121+STMarcelin!G121+PSA!G121</f>
        <v>14660.1</v>
      </c>
      <c r="J121" s="756">
        <f t="shared" si="13"/>
        <v>-0.26858400125726856</v>
      </c>
      <c r="K121" s="757">
        <f t="shared" si="14"/>
        <v>5.0000000000000024E-2</v>
      </c>
      <c r="L121" s="753">
        <f>+Dijon!D121+Eu!D121+Nancy!D121+Roanne!D121</f>
        <v>28213.65</v>
      </c>
      <c r="M121" s="678">
        <f t="shared" si="6"/>
        <v>1</v>
      </c>
    </row>
    <row r="122" spans="1:13" s="678" customFormat="1" ht="11.25">
      <c r="A122" s="690" t="s">
        <v>143</v>
      </c>
      <c r="B122" s="753">
        <f>+Grenoble!$G122</f>
        <v>5867.4000000000005</v>
      </c>
      <c r="C122" s="753">
        <f>+STMarcelin!$G122</f>
        <v>3268.2719999999999</v>
      </c>
      <c r="D122" s="753">
        <f>+PSA!$G122</f>
        <v>20198.850000000002</v>
      </c>
      <c r="E122" s="753">
        <f>+Montpe!$G122</f>
        <v>5964.4620000000004</v>
      </c>
      <c r="F122" s="753">
        <f>+Montpe!E122+Grenoble!E122+STMarcelin!E122+PSA!E122</f>
        <v>30344.879999999997</v>
      </c>
      <c r="G122" s="754">
        <f>+Montpe!F122+Grenoble!F122+STMarcelin!F122+PSA!F122</f>
        <v>33618.080000000002</v>
      </c>
      <c r="H122" s="113">
        <v>7511.8748462499989</v>
      </c>
      <c r="I122" s="755">
        <f>+Montpe!G122+Grenoble!G122+STMarcelin!G122+PSA!G122</f>
        <v>35298.984000000004</v>
      </c>
      <c r="J122" s="756">
        <f t="shared" si="13"/>
        <v>0.10786663186672693</v>
      </c>
      <c r="K122" s="757">
        <f t="shared" si="14"/>
        <v>5.0000000000000065E-2</v>
      </c>
      <c r="L122" s="753">
        <f>+Dijon!D122+Eu!D122+Nancy!D122+Roanne!D122</f>
        <v>25724.489000000001</v>
      </c>
      <c r="M122" s="678">
        <f t="shared" si="6"/>
        <v>1</v>
      </c>
    </row>
    <row r="123" spans="1:13" s="678" customFormat="1" ht="11.25">
      <c r="A123" s="690" t="s">
        <v>144</v>
      </c>
      <c r="B123" s="753">
        <f>+Grenoble!$G123</f>
        <v>50</v>
      </c>
      <c r="C123" s="753">
        <f>+STMarcelin!$G123</f>
        <v>50</v>
      </c>
      <c r="D123" s="753">
        <f>+PSA!$G123</f>
        <v>1437.03</v>
      </c>
      <c r="E123" s="753">
        <f>+Montpe!$G123</f>
        <v>671.22</v>
      </c>
      <c r="F123" s="753">
        <f>+Montpe!E123+Grenoble!E123+STMarcelin!E123+PSA!E123</f>
        <v>0</v>
      </c>
      <c r="G123" s="754">
        <f>+Montpe!F123+Grenoble!F123+STMarcelin!F123+PSA!F123</f>
        <v>1592.34</v>
      </c>
      <c r="H123" s="113">
        <v>0</v>
      </c>
      <c r="I123" s="755">
        <f>+Montpe!G123+Grenoble!G123+STMarcelin!G123+PSA!G123</f>
        <v>2208.25</v>
      </c>
      <c r="J123" s="756">
        <f t="shared" si="13"/>
        <v>0</v>
      </c>
      <c r="K123" s="757">
        <f t="shared" si="14"/>
        <v>0.38679553361719238</v>
      </c>
      <c r="L123" s="753">
        <f>+Dijon!D123+Eu!D123+Nancy!D123+Roanne!D123</f>
        <v>1510.16</v>
      </c>
      <c r="M123" s="678">
        <f t="shared" si="6"/>
        <v>1</v>
      </c>
    </row>
    <row r="124" spans="1:13" s="678" customFormat="1" ht="11.25">
      <c r="A124" s="690" t="s">
        <v>145</v>
      </c>
      <c r="B124" s="753">
        <f>+Grenoble!$G124</f>
        <v>0</v>
      </c>
      <c r="C124" s="753">
        <f>+STMarcelin!$G124</f>
        <v>0</v>
      </c>
      <c r="D124" s="753">
        <f>+PSA!$G124</f>
        <v>350</v>
      </c>
      <c r="E124" s="753">
        <f>+Montpe!$G124</f>
        <v>0</v>
      </c>
      <c r="F124" s="753">
        <f>+Montpe!E124+Grenoble!E124+STMarcelin!E124+PSA!E124</f>
        <v>326</v>
      </c>
      <c r="G124" s="754">
        <f>+Montpe!F124+Grenoble!F124+STMarcelin!F124+PSA!F124</f>
        <v>0</v>
      </c>
      <c r="H124" s="113">
        <v>7.4643118996527784</v>
      </c>
      <c r="I124" s="755">
        <f>+Montpe!G124+Grenoble!G124+STMarcelin!G124+PSA!G124</f>
        <v>350</v>
      </c>
      <c r="J124" s="756">
        <f t="shared" si="13"/>
        <v>-1</v>
      </c>
      <c r="K124" s="757">
        <f t="shared" si="14"/>
        <v>0</v>
      </c>
      <c r="L124" s="753">
        <f>+Dijon!D124+Eu!D124+Nancy!D124+Roanne!D124</f>
        <v>0.37516960333333338</v>
      </c>
      <c r="M124" s="678">
        <f t="shared" si="6"/>
        <v>1</v>
      </c>
    </row>
    <row r="125" spans="1:13" s="678" customFormat="1" ht="11.25">
      <c r="A125" s="690" t="s">
        <v>286</v>
      </c>
      <c r="B125" s="753">
        <f>+Grenoble!$G125</f>
        <v>0</v>
      </c>
      <c r="C125" s="753">
        <f>+STMarcelin!$G125</f>
        <v>0</v>
      </c>
      <c r="D125" s="753">
        <f>+PSA!$G125</f>
        <v>500</v>
      </c>
      <c r="E125" s="753">
        <f>+Montpe!$G125</f>
        <v>0</v>
      </c>
      <c r="F125" s="753">
        <f>+Montpe!E125+Grenoble!E125+STMarcelin!E125+PSA!E125</f>
        <v>118</v>
      </c>
      <c r="G125" s="754">
        <f>+Montpe!F125+Grenoble!F125+STMarcelin!F125+PSA!F125</f>
        <v>0</v>
      </c>
      <c r="H125" s="113">
        <v>0</v>
      </c>
      <c r="I125" s="755">
        <f>+Montpe!G125+Grenoble!G125+STMarcelin!G125+PSA!G125</f>
        <v>500</v>
      </c>
      <c r="J125" s="756">
        <f t="shared" si="13"/>
        <v>-1</v>
      </c>
      <c r="K125" s="757">
        <f t="shared" si="14"/>
        <v>0</v>
      </c>
      <c r="L125" s="753">
        <f>+Dijon!D125+Eu!D125+Nancy!D125+Roanne!D125</f>
        <v>180.22812764958334</v>
      </c>
      <c r="M125" s="678">
        <f t="shared" si="6"/>
        <v>1</v>
      </c>
    </row>
    <row r="126" spans="1:13" s="678" customFormat="1" ht="11.25">
      <c r="A126" s="690" t="s">
        <v>361</v>
      </c>
      <c r="B126" s="753">
        <f>+Grenoble!$G126</f>
        <v>0</v>
      </c>
      <c r="C126" s="753">
        <f>+STMarcelin!$G126</f>
        <v>0</v>
      </c>
      <c r="D126" s="753">
        <f>+PSA!$G126</f>
        <v>0</v>
      </c>
      <c r="E126" s="753">
        <f>+Montpe!$G126</f>
        <v>0</v>
      </c>
      <c r="F126" s="753">
        <f>+Montpe!E126+Grenoble!E126+STMarcelin!E126+PSA!E126</f>
        <v>375</v>
      </c>
      <c r="G126" s="754">
        <f>+Montpe!F126+Grenoble!F126+STMarcelin!F126+PSA!F126</f>
        <v>0</v>
      </c>
      <c r="H126" s="113">
        <v>0</v>
      </c>
      <c r="I126" s="755">
        <f>+Montpe!G126+Grenoble!G126+STMarcelin!G126+PSA!G126</f>
        <v>0</v>
      </c>
      <c r="J126" s="756">
        <f t="shared" si="13"/>
        <v>-1</v>
      </c>
      <c r="K126" s="757">
        <f t="shared" si="14"/>
        <v>0</v>
      </c>
      <c r="L126" s="753">
        <f>+Dijon!D126+Eu!D126+Nancy!D126+Roanne!D126</f>
        <v>0</v>
      </c>
      <c r="M126" s="678">
        <f t="shared" si="6"/>
        <v>1</v>
      </c>
    </row>
    <row r="127" spans="1:13" s="678" customFormat="1" ht="11.25">
      <c r="A127" s="690" t="s">
        <v>146</v>
      </c>
      <c r="B127" s="753">
        <f>+Grenoble!$G127</f>
        <v>3198.3152</v>
      </c>
      <c r="C127" s="753">
        <f>+STMarcelin!$G127</f>
        <v>521.91840000000002</v>
      </c>
      <c r="D127" s="753">
        <f>+PSA!$G127</f>
        <v>8654.2695999999996</v>
      </c>
      <c r="E127" s="753">
        <f>+Montpe!$G127</f>
        <v>1358.1552000000001</v>
      </c>
      <c r="F127" s="753">
        <f>+Montpe!E127+Grenoble!E127+STMarcelin!E127+PSA!E127</f>
        <v>11664.5</v>
      </c>
      <c r="G127" s="754">
        <f>+Montpe!F127+Grenoble!F127+STMarcelin!F127+PSA!F127</f>
        <v>12613.346666666666</v>
      </c>
      <c r="H127" s="113">
        <v>5633.3570156799988</v>
      </c>
      <c r="I127" s="755">
        <f>+Montpe!G127+Grenoble!G127+STMarcelin!G127+PSA!G127</f>
        <v>13732.6584</v>
      </c>
      <c r="J127" s="756">
        <f t="shared" si="13"/>
        <v>8.1344821181076457E-2</v>
      </c>
      <c r="K127" s="757">
        <f t="shared" si="14"/>
        <v>8.8740265602256285E-2</v>
      </c>
      <c r="L127" s="753">
        <f>+Dijon!D127+Eu!D127+Nancy!D127+Roanne!D127</f>
        <v>12892.964</v>
      </c>
      <c r="M127" s="678">
        <f t="shared" si="6"/>
        <v>1</v>
      </c>
    </row>
    <row r="128" spans="1:13" s="2" customFormat="1" ht="11.25" hidden="1">
      <c r="A128" s="5"/>
      <c r="B128" s="160"/>
      <c r="C128" s="113"/>
      <c r="D128" s="113"/>
      <c r="E128" s="113"/>
      <c r="F128" s="160"/>
      <c r="G128" s="143"/>
      <c r="H128" s="113"/>
      <c r="I128" s="162"/>
      <c r="J128" s="149"/>
      <c r="K128" s="254"/>
      <c r="L128" s="18"/>
      <c r="M128" s="2">
        <f t="shared" si="6"/>
        <v>0</v>
      </c>
    </row>
    <row r="129" spans="1:13" s="678" customFormat="1" ht="11.25">
      <c r="A129" s="695" t="s">
        <v>147</v>
      </c>
      <c r="B129" s="758">
        <f t="shared" ref="B129:G129" si="15">SUM(B117:B128)</f>
        <v>16174.099200000001</v>
      </c>
      <c r="C129" s="758">
        <f t="shared" si="15"/>
        <v>6150.7479000000003</v>
      </c>
      <c r="D129" s="758">
        <f t="shared" si="15"/>
        <v>42722.355000000003</v>
      </c>
      <c r="E129" s="758">
        <f t="shared" si="15"/>
        <v>12730.289199999999</v>
      </c>
      <c r="F129" s="758">
        <f t="shared" si="15"/>
        <v>72325.38</v>
      </c>
      <c r="G129" s="764">
        <f t="shared" si="15"/>
        <v>72260.473333333328</v>
      </c>
      <c r="H129" s="204">
        <v>26026.923673829653</v>
      </c>
      <c r="I129" s="758">
        <f>SUM(I117:I128)</f>
        <v>77777.491299999994</v>
      </c>
      <c r="J129" s="759">
        <f>+IF((F129)=0,,(G129-F129)/F129)</f>
        <v>-8.9742586442928822E-4</v>
      </c>
      <c r="K129" s="760">
        <f>+IF((G129)=0,,(I129-G129)/G129)</f>
        <v>7.6349042736227113E-2</v>
      </c>
      <c r="L129" s="758">
        <f>SUM(L117:L128)</f>
        <v>78903.143297252915</v>
      </c>
      <c r="M129" s="678">
        <f t="shared" si="6"/>
        <v>1</v>
      </c>
    </row>
    <row r="130" spans="1:13" s="2" customFormat="1" ht="11.25" hidden="1">
      <c r="A130" s="5"/>
      <c r="B130" s="160"/>
      <c r="C130" s="113"/>
      <c r="D130" s="113"/>
      <c r="E130" s="113"/>
      <c r="F130" s="160"/>
      <c r="G130" s="143"/>
      <c r="H130" s="113"/>
      <c r="I130" s="162"/>
      <c r="J130" s="149"/>
      <c r="K130" s="254"/>
      <c r="L130" s="18"/>
      <c r="M130" s="2">
        <f t="shared" si="6"/>
        <v>0</v>
      </c>
    </row>
    <row r="131" spans="1:13" s="678" customFormat="1" ht="11.25">
      <c r="A131" s="690" t="s">
        <v>148</v>
      </c>
      <c r="B131" s="753">
        <f>+Grenoble!$G131</f>
        <v>184880</v>
      </c>
      <c r="C131" s="753">
        <f>+STMarcelin!$G131</f>
        <v>48775</v>
      </c>
      <c r="D131" s="753">
        <f>+PSA!$G131</f>
        <v>239578</v>
      </c>
      <c r="E131" s="753">
        <f>+Montpe!$G131</f>
        <v>98140</v>
      </c>
      <c r="F131" s="753">
        <f>+Montpe!E131+Grenoble!E131+STMarcelin!E131+PSA!E131</f>
        <v>545629.47</v>
      </c>
      <c r="G131" s="754">
        <f>+Montpe!F131+Grenoble!F131+STMarcelin!F131+PSA!F131</f>
        <v>553857.05333333323</v>
      </c>
      <c r="H131" s="113">
        <v>243705.47779999999</v>
      </c>
      <c r="I131" s="755">
        <f>+Montpe!G131+Grenoble!G131+STMarcelin!G131+PSA!G131</f>
        <v>571373</v>
      </c>
      <c r="J131" s="756">
        <f>+IF((F131)=0,,(G131-F131)/F131)</f>
        <v>1.507906699638723E-2</v>
      </c>
      <c r="K131" s="757">
        <f>+IF((G131)=0,,(I131-G131)/G131)</f>
        <v>3.1625392438804925E-2</v>
      </c>
      <c r="L131" s="753">
        <f>+Dijon!D131+Eu!D131+Nancy!D131+Roanne!D131</f>
        <v>537890</v>
      </c>
      <c r="M131" s="678">
        <f t="shared" si="6"/>
        <v>1</v>
      </c>
    </row>
    <row r="132" spans="1:13" s="2" customFormat="1" ht="11.25" hidden="1">
      <c r="A132" s="5" t="s">
        <v>149</v>
      </c>
      <c r="B132" s="160">
        <f>+Grenoble!$G132</f>
        <v>0</v>
      </c>
      <c r="C132" s="113">
        <f>+STMarcelin!$G132</f>
        <v>0</v>
      </c>
      <c r="D132" s="113">
        <f>+PSA!$G132</f>
        <v>0</v>
      </c>
      <c r="E132" s="113">
        <f>+Montpe!$G132</f>
        <v>0</v>
      </c>
      <c r="F132" s="160">
        <f>+Montpe!E132+Grenoble!E132+STMarcelin!E132+PSA!E132</f>
        <v>1655</v>
      </c>
      <c r="G132" s="135">
        <f>+Montpe!F132+Grenoble!F132+STMarcelin!F132+PSA!F132</f>
        <v>-11400</v>
      </c>
      <c r="H132" s="113">
        <v>-1390.5</v>
      </c>
      <c r="I132" s="161">
        <f>+Montpe!G132+Grenoble!G132+STMarcelin!G132+PSA!G132</f>
        <v>0</v>
      </c>
      <c r="J132" s="149">
        <f t="shared" ref="J132:J151" si="16">+IF((F132)=0,,(G132-F132)/F132)</f>
        <v>-7.8882175226586106</v>
      </c>
      <c r="K132" s="271">
        <f t="shared" ref="K132:K151" si="17">+IF((G132)=0,,(I132-G132)/G132)</f>
        <v>-1</v>
      </c>
      <c r="L132" s="18">
        <f>+Dijon!D132+Eu!D132+Nancy!D132+Roanne!D132</f>
        <v>0</v>
      </c>
      <c r="M132" s="2">
        <f t="shared" si="6"/>
        <v>0</v>
      </c>
    </row>
    <row r="133" spans="1:13" s="678" customFormat="1" ht="11.25">
      <c r="A133" s="690" t="s">
        <v>150</v>
      </c>
      <c r="B133" s="753">
        <f>+Grenoble!$G133</f>
        <v>0</v>
      </c>
      <c r="C133" s="753">
        <f>+STMarcelin!$G133</f>
        <v>0</v>
      </c>
      <c r="D133" s="753">
        <f>+PSA!$G133</f>
        <v>0</v>
      </c>
      <c r="E133" s="753">
        <f>+Montpe!$G133</f>
        <v>0</v>
      </c>
      <c r="F133" s="753">
        <f>+Montpe!E133+Grenoble!E133+STMarcelin!E133+PSA!E133</f>
        <v>75</v>
      </c>
      <c r="G133" s="754">
        <f>+Montpe!F133+Grenoble!F133+STMarcelin!F133+PSA!F133</f>
        <v>366.66666666666669</v>
      </c>
      <c r="H133" s="113">
        <v>0</v>
      </c>
      <c r="I133" s="755">
        <f>+Montpe!G133+Grenoble!G133+STMarcelin!G133+PSA!G133</f>
        <v>0</v>
      </c>
      <c r="J133" s="756">
        <f t="shared" si="16"/>
        <v>3.8888888888888893</v>
      </c>
      <c r="K133" s="757">
        <f t="shared" si="17"/>
        <v>-1</v>
      </c>
      <c r="L133" s="753">
        <f>+Dijon!D133+Eu!D133+Nancy!D133+Roanne!D133</f>
        <v>0</v>
      </c>
      <c r="M133" s="678">
        <f t="shared" si="6"/>
        <v>1</v>
      </c>
    </row>
    <row r="134" spans="1:13" s="2" customFormat="1" ht="11.25" hidden="1">
      <c r="A134" s="5" t="s">
        <v>151</v>
      </c>
      <c r="B134" s="160">
        <f>+Grenoble!$G134</f>
        <v>0</v>
      </c>
      <c r="C134" s="113">
        <f>+STMarcelin!$G134</f>
        <v>0</v>
      </c>
      <c r="D134" s="113">
        <f>+PSA!$G134</f>
        <v>0</v>
      </c>
      <c r="E134" s="113">
        <f>+Montpe!$G134</f>
        <v>0</v>
      </c>
      <c r="F134" s="160">
        <f>+Montpe!E134+Grenoble!E134+STMarcelin!E134+PSA!E134</f>
        <v>-2795.3899999999994</v>
      </c>
      <c r="G134" s="135">
        <f>+Montpe!F134+Grenoble!F134+STMarcelin!F134+PSA!F134</f>
        <v>0</v>
      </c>
      <c r="H134" s="113">
        <v>0</v>
      </c>
      <c r="I134" s="161">
        <f>+Montpe!G134+Grenoble!G134+STMarcelin!G134+PSA!G134</f>
        <v>0</v>
      </c>
      <c r="J134" s="149">
        <f t="shared" si="16"/>
        <v>-1</v>
      </c>
      <c r="K134" s="271">
        <f t="shared" si="17"/>
        <v>0</v>
      </c>
      <c r="L134" s="18">
        <f>+Dijon!D134+Eu!D134+Nancy!D134+Roanne!D134</f>
        <v>0</v>
      </c>
      <c r="M134" s="2">
        <f t="shared" si="6"/>
        <v>0</v>
      </c>
    </row>
    <row r="135" spans="1:13" s="678" customFormat="1" ht="11.25">
      <c r="A135" s="690" t="s">
        <v>114</v>
      </c>
      <c r="B135" s="753">
        <f>+Grenoble!$G135</f>
        <v>0</v>
      </c>
      <c r="C135" s="753">
        <f>+STMarcelin!$G135</f>
        <v>0</v>
      </c>
      <c r="D135" s="753">
        <f>+PSA!$G135</f>
        <v>0</v>
      </c>
      <c r="E135" s="753">
        <f>+Montpe!$G135</f>
        <v>0</v>
      </c>
      <c r="F135" s="753">
        <f>+Montpe!E135+Grenoble!E135+STMarcelin!E135+PSA!E135</f>
        <v>27832.909999999996</v>
      </c>
      <c r="G135" s="754">
        <f>+Montpe!F135+Grenoble!F135+STMarcelin!F135+PSA!F135</f>
        <v>3277.6133333333337</v>
      </c>
      <c r="H135" s="113">
        <v>4525.9683199999999</v>
      </c>
      <c r="I135" s="755">
        <f>+Montpe!G135+Grenoble!G135+STMarcelin!G135+PSA!G135</f>
        <v>0</v>
      </c>
      <c r="J135" s="756">
        <f t="shared" si="16"/>
        <v>-0.88223964604012539</v>
      </c>
      <c r="K135" s="757">
        <f t="shared" si="17"/>
        <v>-1</v>
      </c>
      <c r="L135" s="753">
        <f>+Dijon!D135+Eu!D135+Nancy!D135+Roanne!D135</f>
        <v>1092.7559294168752</v>
      </c>
      <c r="M135" s="678">
        <f t="shared" si="6"/>
        <v>1</v>
      </c>
    </row>
    <row r="136" spans="1:13" s="2" customFormat="1" ht="11.25" hidden="1">
      <c r="A136" s="5" t="s">
        <v>338</v>
      </c>
      <c r="B136" s="160">
        <f>+Grenoble!$G136</f>
        <v>0</v>
      </c>
      <c r="C136" s="113">
        <f>+STMarcelin!$G136</f>
        <v>0</v>
      </c>
      <c r="D136" s="113">
        <f>+PSA!$G136</f>
        <v>0</v>
      </c>
      <c r="E136" s="113">
        <f>+Montpe!$G136</f>
        <v>0</v>
      </c>
      <c r="F136" s="160">
        <f>+Montpe!E136+Grenoble!E136+STMarcelin!E136+PSA!E136</f>
        <v>0</v>
      </c>
      <c r="G136" s="135">
        <f>+Montpe!F136+Grenoble!F136+STMarcelin!F136+PSA!F136</f>
        <v>0</v>
      </c>
      <c r="H136" s="113">
        <v>0</v>
      </c>
      <c r="I136" s="161">
        <f>+Montpe!G136+Grenoble!G136+STMarcelin!G136+PSA!G136</f>
        <v>0</v>
      </c>
      <c r="J136" s="149">
        <f t="shared" si="16"/>
        <v>0</v>
      </c>
      <c r="K136" s="271">
        <f t="shared" si="17"/>
        <v>0</v>
      </c>
      <c r="L136" s="18">
        <f>+Dijon!D136+Eu!D136+Nancy!D136+Roanne!D136</f>
        <v>0</v>
      </c>
      <c r="M136" s="2">
        <f t="shared" ref="M136:M199" si="18">IF(SUM(B136:L136)&gt;0,1,0)</f>
        <v>0</v>
      </c>
    </row>
    <row r="137" spans="1:13" s="2" customFormat="1" ht="11.25" hidden="1">
      <c r="A137" s="5" t="s">
        <v>87</v>
      </c>
      <c r="B137" s="160">
        <f>+Grenoble!$G137</f>
        <v>0</v>
      </c>
      <c r="C137" s="113">
        <f>+STMarcelin!$G137</f>
        <v>0</v>
      </c>
      <c r="D137" s="113">
        <f>+PSA!$G137</f>
        <v>0</v>
      </c>
      <c r="E137" s="113">
        <f>+Montpe!$G137</f>
        <v>0</v>
      </c>
      <c r="F137" s="160">
        <f>+Montpe!E137+Grenoble!E137+STMarcelin!E137+PSA!E137</f>
        <v>0</v>
      </c>
      <c r="G137" s="135">
        <f>+Montpe!F137+Grenoble!F137+STMarcelin!F137+PSA!F137</f>
        <v>0</v>
      </c>
      <c r="H137" s="113">
        <v>0</v>
      </c>
      <c r="I137" s="161">
        <f>+Montpe!G137+Grenoble!G137+STMarcelin!G137+PSA!G137</f>
        <v>0</v>
      </c>
      <c r="J137" s="149">
        <f t="shared" si="16"/>
        <v>0</v>
      </c>
      <c r="K137" s="271">
        <f t="shared" si="17"/>
        <v>0</v>
      </c>
      <c r="L137" s="18">
        <f>+Dijon!D137+Eu!D137+Nancy!D137+Roanne!D137</f>
        <v>0</v>
      </c>
      <c r="M137" s="2">
        <f t="shared" si="18"/>
        <v>0</v>
      </c>
    </row>
    <row r="138" spans="1:13" s="2" customFormat="1" ht="11.25" hidden="1">
      <c r="A138" s="5" t="s">
        <v>152</v>
      </c>
      <c r="B138" s="160">
        <f>+Grenoble!$G138</f>
        <v>0</v>
      </c>
      <c r="C138" s="113">
        <f>+STMarcelin!$G138</f>
        <v>0</v>
      </c>
      <c r="D138" s="113">
        <f>+PSA!$G138</f>
        <v>0</v>
      </c>
      <c r="E138" s="113">
        <f>+Montpe!$G138</f>
        <v>0</v>
      </c>
      <c r="F138" s="160">
        <f>+Montpe!E138+Grenoble!E138+STMarcelin!E138+PSA!E138</f>
        <v>-1140.0799999999997</v>
      </c>
      <c r="G138" s="135">
        <f>+Montpe!F138+Grenoble!F138+STMarcelin!F138+PSA!F138</f>
        <v>0</v>
      </c>
      <c r="H138" s="113">
        <v>0</v>
      </c>
      <c r="I138" s="161">
        <f>+Montpe!G138+Grenoble!G138+STMarcelin!G138+PSA!G138</f>
        <v>0</v>
      </c>
      <c r="J138" s="149">
        <f t="shared" si="16"/>
        <v>-1</v>
      </c>
      <c r="K138" s="271">
        <f t="shared" si="17"/>
        <v>0</v>
      </c>
      <c r="L138" s="18">
        <f>+Dijon!D138+Eu!D138+Nancy!D138+Roanne!D138</f>
        <v>0</v>
      </c>
      <c r="M138" s="2">
        <f t="shared" si="18"/>
        <v>0</v>
      </c>
    </row>
    <row r="139" spans="1:13" s="2" customFormat="1" ht="11.25" hidden="1">
      <c r="A139" s="5" t="s">
        <v>153</v>
      </c>
      <c r="B139" s="160">
        <f>+Grenoble!$G139</f>
        <v>0</v>
      </c>
      <c r="C139" s="113">
        <f>+STMarcelin!$G139</f>
        <v>0</v>
      </c>
      <c r="D139" s="113">
        <f>+PSA!$G139</f>
        <v>0</v>
      </c>
      <c r="E139" s="113">
        <f>+Montpe!$G139</f>
        <v>0</v>
      </c>
      <c r="F139" s="160">
        <f>+Montpe!E139+Grenoble!E139+STMarcelin!E139+PSA!E139</f>
        <v>0</v>
      </c>
      <c r="G139" s="135">
        <f>+Montpe!F139+Grenoble!F139+STMarcelin!F139+PSA!F139</f>
        <v>0</v>
      </c>
      <c r="H139" s="113">
        <v>0</v>
      </c>
      <c r="I139" s="161">
        <f>+Montpe!G139+Grenoble!G139+STMarcelin!G139+PSA!G139</f>
        <v>0</v>
      </c>
      <c r="J139" s="149">
        <f t="shared" si="16"/>
        <v>0</v>
      </c>
      <c r="K139" s="271">
        <f t="shared" si="17"/>
        <v>0</v>
      </c>
      <c r="L139" s="18">
        <f>+Dijon!D139+Eu!D139+Nancy!D139+Roanne!D139</f>
        <v>0</v>
      </c>
      <c r="M139" s="2">
        <f t="shared" si="18"/>
        <v>0</v>
      </c>
    </row>
    <row r="140" spans="1:13" s="678" customFormat="1" ht="11.25">
      <c r="A140" s="690" t="s">
        <v>154</v>
      </c>
      <c r="B140" s="753">
        <f>+Grenoble!$G140</f>
        <v>0</v>
      </c>
      <c r="C140" s="753">
        <f>+STMarcelin!$G140</f>
        <v>0</v>
      </c>
      <c r="D140" s="753">
        <f>+PSA!$G140</f>
        <v>0</v>
      </c>
      <c r="E140" s="753">
        <f>+Montpe!$G140</f>
        <v>0</v>
      </c>
      <c r="F140" s="753">
        <f>+Montpe!E140+Grenoble!E140+STMarcelin!E140+PSA!E140</f>
        <v>3383.37</v>
      </c>
      <c r="G140" s="754">
        <f>+Montpe!F140+Grenoble!F140+STMarcelin!F140+PSA!F140</f>
        <v>0</v>
      </c>
      <c r="H140" s="113">
        <v>22.852336341875002</v>
      </c>
      <c r="I140" s="755">
        <f>+Montpe!G140+Grenoble!G140+STMarcelin!G140+PSA!G140</f>
        <v>0</v>
      </c>
      <c r="J140" s="756">
        <f t="shared" si="16"/>
        <v>-1</v>
      </c>
      <c r="K140" s="757">
        <f t="shared" si="17"/>
        <v>0</v>
      </c>
      <c r="L140" s="753">
        <f>+Dijon!D140+Eu!D140+Nancy!D140+Roanne!D140</f>
        <v>0</v>
      </c>
      <c r="M140" s="678">
        <f t="shared" si="18"/>
        <v>1</v>
      </c>
    </row>
    <row r="141" spans="1:13" s="678" customFormat="1" ht="11.25">
      <c r="A141" s="690" t="s">
        <v>155</v>
      </c>
      <c r="B141" s="753">
        <f>+Grenoble!$G141</f>
        <v>44772.353662610076</v>
      </c>
      <c r="C141" s="753">
        <f>+STMarcelin!$G141</f>
        <v>8632.3909469870759</v>
      </c>
      <c r="D141" s="753">
        <f>+PSA!$G141</f>
        <v>53745.420304851796</v>
      </c>
      <c r="E141" s="753">
        <f>+Montpe!$G141</f>
        <v>27989.340625116667</v>
      </c>
      <c r="F141" s="753">
        <f>+Montpe!E141+Grenoble!E141+STMarcelin!E141+PSA!E141</f>
        <v>128994.73000000001</v>
      </c>
      <c r="G141" s="754">
        <f>+Montpe!F141+Grenoble!F141+STMarcelin!F141+PSA!F141</f>
        <v>129656.37333333332</v>
      </c>
      <c r="H141" s="113">
        <v>63084.527000482602</v>
      </c>
      <c r="I141" s="755">
        <f>+Montpe!G141+Grenoble!G141+STMarcelin!G141+PSA!G141</f>
        <v>135139.50553956561</v>
      </c>
      <c r="J141" s="756">
        <f t="shared" si="16"/>
        <v>5.1292276307203519E-3</v>
      </c>
      <c r="K141" s="757">
        <f t="shared" si="17"/>
        <v>4.2289723715591775E-2</v>
      </c>
      <c r="L141" s="753">
        <f>+Dijon!D141+Eu!D141+Nancy!D141+Roanne!D141</f>
        <v>131553.96877798854</v>
      </c>
      <c r="M141" s="678">
        <f t="shared" si="18"/>
        <v>1</v>
      </c>
    </row>
    <row r="142" spans="1:13" s="678" customFormat="1" ht="11.25">
      <c r="A142" s="690" t="s">
        <v>156</v>
      </c>
      <c r="B142" s="753">
        <f>+Grenoble!$G142</f>
        <v>3551.9877180858821</v>
      </c>
      <c r="C142" s="753">
        <f>+STMarcelin!$G142</f>
        <v>1306.1453018483796</v>
      </c>
      <c r="D142" s="753">
        <f>+PSA!$G142</f>
        <v>7514.1916235338813</v>
      </c>
      <c r="E142" s="753">
        <f>+Montpe!$G142</f>
        <v>2589.181209166979</v>
      </c>
      <c r="F142" s="753">
        <f>+Montpe!E142+Grenoble!E142+STMarcelin!E142+PSA!E142</f>
        <v>16102.14</v>
      </c>
      <c r="G142" s="754">
        <f>+Montpe!F142+Grenoble!F142+STMarcelin!F142+PSA!F142</f>
        <v>14372.866666666667</v>
      </c>
      <c r="H142" s="113">
        <v>6460.3180708115478</v>
      </c>
      <c r="I142" s="755">
        <f>+Montpe!G142+Grenoble!G142+STMarcelin!G142+PSA!G142</f>
        <v>14961.505852635122</v>
      </c>
      <c r="J142" s="756">
        <f t="shared" si="16"/>
        <v>-0.10739400684215469</v>
      </c>
      <c r="K142" s="757">
        <f t="shared" si="17"/>
        <v>4.0954890880162305E-2</v>
      </c>
      <c r="L142" s="753">
        <f>+Dijon!D142+Eu!D142+Nancy!D142+Roanne!D142</f>
        <v>15128.322380249301</v>
      </c>
      <c r="M142" s="678">
        <f t="shared" si="18"/>
        <v>1</v>
      </c>
    </row>
    <row r="143" spans="1:13" s="678" customFormat="1" ht="11.25">
      <c r="A143" s="690" t="s">
        <v>157</v>
      </c>
      <c r="B143" s="753">
        <f>+Grenoble!$G143</f>
        <v>11557.72436818954</v>
      </c>
      <c r="C143" s="753">
        <f>+STMarcelin!$G143</f>
        <v>2203.6906587615367</v>
      </c>
      <c r="D143" s="753">
        <f>+PSA!$G143</f>
        <v>16233.371319278023</v>
      </c>
      <c r="E143" s="753">
        <f>+Montpe!$G143</f>
        <v>6027.9066948245299</v>
      </c>
      <c r="F143" s="753">
        <f>+Montpe!E143+Grenoble!E143+STMarcelin!E143+PSA!E143</f>
        <v>34589.75</v>
      </c>
      <c r="G143" s="754">
        <f>+Montpe!F143+Grenoble!F143+STMarcelin!F143+PSA!F143</f>
        <v>34633.68</v>
      </c>
      <c r="H143" s="113">
        <v>14254.353489938971</v>
      </c>
      <c r="I143" s="755">
        <f>+Montpe!G143+Grenoble!G143+STMarcelin!G143+PSA!G143</f>
        <v>36022.69304105363</v>
      </c>
      <c r="J143" s="756">
        <f t="shared" si="16"/>
        <v>1.2700294162288045E-3</v>
      </c>
      <c r="K143" s="757">
        <f t="shared" si="17"/>
        <v>4.0105846131673832E-2</v>
      </c>
      <c r="L143" s="753">
        <f>+Dijon!D143+Eu!D143+Nancy!D143+Roanne!D143</f>
        <v>32291.003939082948</v>
      </c>
      <c r="M143" s="678">
        <f t="shared" si="18"/>
        <v>1</v>
      </c>
    </row>
    <row r="144" spans="1:13" s="678" customFormat="1" ht="11.25">
      <c r="A144" s="690" t="s">
        <v>326</v>
      </c>
      <c r="B144" s="753">
        <f>+Grenoble!$G144</f>
        <v>0</v>
      </c>
      <c r="C144" s="753">
        <f>+STMarcelin!$G144</f>
        <v>0</v>
      </c>
      <c r="D144" s="753">
        <f>+PSA!$G144</f>
        <v>0</v>
      </c>
      <c r="E144" s="753">
        <f>+Montpe!$G144</f>
        <v>0</v>
      </c>
      <c r="F144" s="753">
        <f>+Montpe!E144+Grenoble!E144+STMarcelin!E144+PSA!E144</f>
        <v>0</v>
      </c>
      <c r="G144" s="754">
        <f>+Montpe!F144+Grenoble!F144+STMarcelin!F144+PSA!F144</f>
        <v>0</v>
      </c>
      <c r="H144" s="113">
        <v>0</v>
      </c>
      <c r="I144" s="755">
        <f>+Montpe!G144+Grenoble!G144+STMarcelin!G144+PSA!G144</f>
        <v>0</v>
      </c>
      <c r="J144" s="756">
        <f t="shared" si="16"/>
        <v>0</v>
      </c>
      <c r="K144" s="757">
        <f t="shared" si="17"/>
        <v>0</v>
      </c>
      <c r="L144" s="753">
        <f>+Dijon!D144+Eu!D144+Nancy!D144+Roanne!D144</f>
        <v>278.76778720979718</v>
      </c>
      <c r="M144" s="678">
        <f t="shared" si="18"/>
        <v>1</v>
      </c>
    </row>
    <row r="145" spans="1:13" s="678" customFormat="1" ht="11.25">
      <c r="A145" s="690" t="s">
        <v>158</v>
      </c>
      <c r="B145" s="753">
        <f>+Grenoble!$G145</f>
        <v>7800.9462315992359</v>
      </c>
      <c r="C145" s="753">
        <f>+STMarcelin!$G145</f>
        <v>1701.1019516369877</v>
      </c>
      <c r="D145" s="753">
        <f>+PSA!$G145</f>
        <v>10904.525514950661</v>
      </c>
      <c r="E145" s="753">
        <f>+Montpe!$G145</f>
        <v>4154.1229203726443</v>
      </c>
      <c r="F145" s="753">
        <f>+Montpe!E145+Grenoble!E145+STMarcelin!E145+PSA!E145</f>
        <v>22399.18</v>
      </c>
      <c r="G145" s="754">
        <f>+Montpe!F145+Grenoble!F145+STMarcelin!F145+PSA!F145</f>
        <v>23600.68</v>
      </c>
      <c r="H145" s="113">
        <v>9760.097979903896</v>
      </c>
      <c r="I145" s="755">
        <f>+Montpe!G145+Grenoble!G145+STMarcelin!G145+PSA!G145</f>
        <v>24560.69661855953</v>
      </c>
      <c r="J145" s="756">
        <f t="shared" si="16"/>
        <v>5.3640356477335331E-2</v>
      </c>
      <c r="K145" s="757">
        <f t="shared" si="17"/>
        <v>4.0677498214438307E-2</v>
      </c>
      <c r="L145" s="753">
        <f>+Dijon!D145+Eu!D145+Nancy!D145+Roanne!D145</f>
        <v>21367.615767563559</v>
      </c>
      <c r="M145" s="678">
        <f t="shared" si="18"/>
        <v>1</v>
      </c>
    </row>
    <row r="146" spans="1:13" s="2" customFormat="1" ht="11.25" hidden="1">
      <c r="A146" s="5" t="s">
        <v>159</v>
      </c>
      <c r="B146" s="160">
        <f>+Grenoble!$G146</f>
        <v>0</v>
      </c>
      <c r="C146" s="113">
        <f>+STMarcelin!$G146</f>
        <v>0</v>
      </c>
      <c r="D146" s="113">
        <f>+PSA!$G146</f>
        <v>0</v>
      </c>
      <c r="E146" s="113">
        <f>+Montpe!$G146</f>
        <v>0</v>
      </c>
      <c r="F146" s="160">
        <f>+Montpe!E146+Grenoble!E146+STMarcelin!E146+PSA!E146</f>
        <v>0</v>
      </c>
      <c r="G146" s="135">
        <f>+Montpe!F146+Grenoble!F146+STMarcelin!F146+PSA!F146</f>
        <v>0</v>
      </c>
      <c r="H146" s="113">
        <v>0</v>
      </c>
      <c r="I146" s="161">
        <f>+Montpe!G146+Grenoble!G146+STMarcelin!G146+PSA!G146</f>
        <v>0</v>
      </c>
      <c r="J146" s="149">
        <f t="shared" si="16"/>
        <v>0</v>
      </c>
      <c r="K146" s="271">
        <f t="shared" si="17"/>
        <v>0</v>
      </c>
      <c r="L146" s="18">
        <f>+Dijon!D146+Eu!D146+Nancy!D146+Roanne!D146</f>
        <v>0</v>
      </c>
      <c r="M146" s="2">
        <f t="shared" si="18"/>
        <v>0</v>
      </c>
    </row>
    <row r="147" spans="1:13" s="678" customFormat="1" ht="11.25">
      <c r="A147" s="690" t="s">
        <v>160</v>
      </c>
      <c r="B147" s="753">
        <f>+Grenoble!$G147</f>
        <v>-1588.3973333333333</v>
      </c>
      <c r="C147" s="753">
        <f>+STMarcelin!$G147</f>
        <v>351.13386666666662</v>
      </c>
      <c r="D147" s="753">
        <f>+PSA!$G147</f>
        <v>960.93506666666678</v>
      </c>
      <c r="E147" s="753">
        <f>+Montpe!$G147</f>
        <v>692.26986666666676</v>
      </c>
      <c r="F147" s="753">
        <f>+Montpe!E147+Grenoble!E147+STMarcelin!E147+PSA!E147</f>
        <v>593.58999999999992</v>
      </c>
      <c r="G147" s="754">
        <f>+Montpe!F147+Grenoble!F147+STMarcelin!F147+PSA!F147</f>
        <v>403.82666666666682</v>
      </c>
      <c r="H147" s="113">
        <v>733.89561699500007</v>
      </c>
      <c r="I147" s="755">
        <f>+Montpe!G147+Grenoble!G147+STMarcelin!G147+PSA!G147</f>
        <v>415.94146666666677</v>
      </c>
      <c r="J147" s="756">
        <f t="shared" si="16"/>
        <v>-0.31968755089090639</v>
      </c>
      <c r="K147" s="757">
        <f t="shared" si="17"/>
        <v>2.9999999999999853E-2</v>
      </c>
      <c r="L147" s="753">
        <f>+Dijon!D147+Eu!D147+Nancy!D147+Roanne!D147</f>
        <v>-363.71879583500004</v>
      </c>
      <c r="M147" s="678">
        <f t="shared" si="18"/>
        <v>1</v>
      </c>
    </row>
    <row r="148" spans="1:13" s="678" customFormat="1" ht="11.25">
      <c r="A148" s="690" t="s">
        <v>161</v>
      </c>
      <c r="B148" s="753">
        <f>+Grenoble!$G148</f>
        <v>0</v>
      </c>
      <c r="C148" s="753">
        <f>+STMarcelin!$G148</f>
        <v>0</v>
      </c>
      <c r="D148" s="753">
        <f>+PSA!$G148</f>
        <v>33.935066666666671</v>
      </c>
      <c r="E148" s="753">
        <f>+Montpe!$G148</f>
        <v>0</v>
      </c>
      <c r="F148" s="753">
        <f>+Montpe!E148+Grenoble!E148+STMarcelin!E148+PSA!E148</f>
        <v>158.4</v>
      </c>
      <c r="G148" s="754">
        <f>+Montpe!F148+Grenoble!F148+STMarcelin!F148+PSA!F148</f>
        <v>32.946666666666673</v>
      </c>
      <c r="H148" s="113">
        <v>125.23924500000001</v>
      </c>
      <c r="I148" s="755">
        <f>+Montpe!G148+Grenoble!G148+STMarcelin!G148+PSA!G148</f>
        <v>33.935066666666671</v>
      </c>
      <c r="J148" s="756">
        <f t="shared" si="16"/>
        <v>-0.79200336700336693</v>
      </c>
      <c r="K148" s="757">
        <f t="shared" si="17"/>
        <v>2.9999999999999954E-2</v>
      </c>
      <c r="L148" s="753">
        <f>+Dijon!D148+Eu!D148+Nancy!D148+Roanne!D148</f>
        <v>169.50262510875001</v>
      </c>
      <c r="M148" s="678">
        <f t="shared" si="18"/>
        <v>1</v>
      </c>
    </row>
    <row r="149" spans="1:13" s="678" customFormat="1" ht="11.25">
      <c r="A149" s="690" t="s">
        <v>162</v>
      </c>
      <c r="B149" s="753">
        <f>+Grenoble!$G149</f>
        <v>0</v>
      </c>
      <c r="C149" s="753">
        <f>+STMarcelin!$G149</f>
        <v>0</v>
      </c>
      <c r="D149" s="753">
        <f>+PSA!$G149</f>
        <v>0</v>
      </c>
      <c r="E149" s="753">
        <f>+Montpe!$G149</f>
        <v>89.26666666666668</v>
      </c>
      <c r="F149" s="753">
        <f>+Montpe!E149+Grenoble!E149+STMarcelin!E149+PSA!E149</f>
        <v>443.83000000000004</v>
      </c>
      <c r="G149" s="754">
        <f>+Montpe!F149+Grenoble!F149+STMarcelin!F149+PSA!F149</f>
        <v>86.666666666666671</v>
      </c>
      <c r="H149" s="113">
        <v>108.72129722500003</v>
      </c>
      <c r="I149" s="755">
        <f>+Montpe!G149+Grenoble!G149+STMarcelin!G149+PSA!G149</f>
        <v>89.26666666666668</v>
      </c>
      <c r="J149" s="756">
        <f t="shared" si="16"/>
        <v>-0.80473003927930364</v>
      </c>
      <c r="K149" s="757">
        <f t="shared" si="17"/>
        <v>3.0000000000000096E-2</v>
      </c>
      <c r="L149" s="753">
        <f>+Dijon!D149+Eu!D149+Nancy!D149+Roanne!D149</f>
        <v>402.86441993541666</v>
      </c>
      <c r="M149" s="678">
        <f t="shared" si="18"/>
        <v>1</v>
      </c>
    </row>
    <row r="150" spans="1:13" s="678" customFormat="1" ht="11.25">
      <c r="A150" s="690" t="s">
        <v>163</v>
      </c>
      <c r="B150" s="753">
        <f>+Grenoble!$G150</f>
        <v>458.14400000000006</v>
      </c>
      <c r="C150" s="753">
        <f>+STMarcelin!$G150</f>
        <v>190.89333333333335</v>
      </c>
      <c r="D150" s="753">
        <f>+PSA!$G150</f>
        <v>1084.9333333333334</v>
      </c>
      <c r="E150" s="753">
        <f>+Montpe!$G150</f>
        <v>438.02466666666669</v>
      </c>
      <c r="F150" s="753">
        <f>+Montpe!E150+Grenoble!E150+STMarcelin!E150+PSA!E150</f>
        <v>1844.6</v>
      </c>
      <c r="G150" s="754">
        <f>+Montpe!F150+Grenoble!F150+STMarcelin!F150+PSA!F150</f>
        <v>2108.7333333333336</v>
      </c>
      <c r="H150" s="113">
        <v>1104.1568500387289</v>
      </c>
      <c r="I150" s="755">
        <f>+Montpe!G150+Grenoble!G150+STMarcelin!G150+PSA!G150</f>
        <v>2171.9953333333333</v>
      </c>
      <c r="J150" s="756">
        <f t="shared" si="16"/>
        <v>0.14319274278072952</v>
      </c>
      <c r="K150" s="757">
        <f t="shared" si="17"/>
        <v>2.9999999999999864E-2</v>
      </c>
      <c r="L150" s="753">
        <f>+Dijon!D150+Eu!D150+Nancy!D150+Roanne!D150</f>
        <v>2255.8748737646606</v>
      </c>
      <c r="M150" s="678">
        <f t="shared" si="18"/>
        <v>1</v>
      </c>
    </row>
    <row r="151" spans="1:13" s="678" customFormat="1" ht="11.25">
      <c r="A151" s="690" t="s">
        <v>58</v>
      </c>
      <c r="B151" s="753">
        <f>+Grenoble!$G152</f>
        <v>0</v>
      </c>
      <c r="C151" s="753">
        <f>+STMarcelin!$G152</f>
        <v>0</v>
      </c>
      <c r="D151" s="753">
        <f>+PSA!$G152</f>
        <v>0</v>
      </c>
      <c r="E151" s="753">
        <f>+Montpe!$G152</f>
        <v>0</v>
      </c>
      <c r="F151" s="753">
        <f>+Montpe!E152+Grenoble!E152+STMarcelin!E152+PSA!E152</f>
        <v>30019.937680000003</v>
      </c>
      <c r="G151" s="754">
        <f>+Montpe!F152+Grenoble!F152+STMarcelin!F152+PSA!F152</f>
        <v>0</v>
      </c>
      <c r="H151" s="113">
        <v>0</v>
      </c>
      <c r="I151" s="755">
        <f>+Montpe!G152+Grenoble!G152+STMarcelin!G152+PSA!G152</f>
        <v>0</v>
      </c>
      <c r="J151" s="756">
        <f t="shared" si="16"/>
        <v>-1</v>
      </c>
      <c r="K151" s="757">
        <f t="shared" si="17"/>
        <v>0</v>
      </c>
      <c r="L151" s="753">
        <f>+Dijon!D152+Eu!D152+Nancy!D152+Roanne!D152</f>
        <v>6085.3275945000005</v>
      </c>
      <c r="M151" s="678">
        <f t="shared" si="18"/>
        <v>1</v>
      </c>
    </row>
    <row r="152" spans="1:13" s="2" customFormat="1" ht="11.25" hidden="1">
      <c r="A152" s="5"/>
      <c r="B152" s="160"/>
      <c r="C152" s="113"/>
      <c r="D152" s="113"/>
      <c r="E152" s="113"/>
      <c r="F152" s="160"/>
      <c r="G152" s="143"/>
      <c r="H152" s="113"/>
      <c r="I152" s="162"/>
      <c r="J152" s="149"/>
      <c r="K152" s="254"/>
      <c r="L152" s="18"/>
      <c r="M152" s="2">
        <f t="shared" si="18"/>
        <v>0</v>
      </c>
    </row>
    <row r="153" spans="1:13" s="678" customFormat="1" ht="11.25">
      <c r="A153" s="695" t="s">
        <v>164</v>
      </c>
      <c r="B153" s="758">
        <f t="shared" ref="B153:G153" si="19">SUM(B130:B152)</f>
        <v>251432.75864715141</v>
      </c>
      <c r="C153" s="758">
        <f t="shared" si="19"/>
        <v>63160.356059233978</v>
      </c>
      <c r="D153" s="758">
        <f t="shared" si="19"/>
        <v>330055.31222928112</v>
      </c>
      <c r="E153" s="758">
        <f t="shared" si="19"/>
        <v>140120.11264948081</v>
      </c>
      <c r="F153" s="758">
        <f t="shared" si="19"/>
        <v>809786.43767999997</v>
      </c>
      <c r="G153" s="764">
        <f t="shared" si="19"/>
        <v>750997.10666666646</v>
      </c>
      <c r="H153" s="204">
        <v>342495.1080067376</v>
      </c>
      <c r="I153" s="758">
        <f>SUM(I130:I152)</f>
        <v>784768.53958514729</v>
      </c>
      <c r="J153" s="759">
        <f>+IF((F153)=0,,(G153-F153)/F153)</f>
        <v>-7.25985621366569E-2</v>
      </c>
      <c r="K153" s="760">
        <f>+IF((G153)=0,,(I153-G153)/G153)</f>
        <v>4.4968792314496145E-2</v>
      </c>
      <c r="L153" s="758">
        <f>SUM(L130:L152)</f>
        <v>748152.28529898485</v>
      </c>
      <c r="M153" s="678">
        <f t="shared" si="18"/>
        <v>1</v>
      </c>
    </row>
    <row r="154" spans="1:13" s="2" customFormat="1" ht="11.25" hidden="1">
      <c r="A154" s="5"/>
      <c r="B154" s="160"/>
      <c r="C154" s="113"/>
      <c r="D154" s="113"/>
      <c r="E154" s="113"/>
      <c r="F154" s="160"/>
      <c r="G154" s="143"/>
      <c r="H154" s="113"/>
      <c r="I154" s="162"/>
      <c r="J154" s="149"/>
      <c r="K154" s="254"/>
      <c r="L154" s="18"/>
      <c r="M154" s="2">
        <f t="shared" si="18"/>
        <v>0</v>
      </c>
    </row>
    <row r="155" spans="1:13" s="678" customFormat="1" ht="11.25">
      <c r="A155" s="690" t="s">
        <v>227</v>
      </c>
      <c r="B155" s="753">
        <f>+Grenoble!$G156</f>
        <v>27327.065490900008</v>
      </c>
      <c r="C155" s="753">
        <f>+STMarcelin!$G156</f>
        <v>2428.2987489000002</v>
      </c>
      <c r="D155" s="753">
        <f>+PSA!$G156</f>
        <v>28754.811918000003</v>
      </c>
      <c r="E155" s="753">
        <f>+Montpe!$G156</f>
        <v>12582.196422300001</v>
      </c>
      <c r="F155" s="753">
        <f>+Montpe!E156+Grenoble!E156+STMarcelin!E156+PSA!E156</f>
        <v>77454.81</v>
      </c>
      <c r="G155" s="754">
        <f>+Montpe!F156+Grenoble!F156+STMarcelin!F156+PSA!F156</f>
        <v>49948.546666666669</v>
      </c>
      <c r="H155" s="113">
        <v>44569.634184999995</v>
      </c>
      <c r="I155" s="755">
        <f>+Montpe!G156+Grenoble!G156+STMarcelin!G156+PSA!G156</f>
        <v>71092.372580100011</v>
      </c>
      <c r="J155" s="756">
        <f>+IF((F155)=0,,(G155-F155)/F155)</f>
        <v>-0.35512660005664376</v>
      </c>
      <c r="K155" s="757">
        <f>+IF((G155)=0,,(I155-G155)/G155)</f>
        <v>0.42331213467605744</v>
      </c>
      <c r="L155" s="753">
        <f>+Dijon!D156+Eu!D156+Nancy!D156+Roanne!D156</f>
        <v>42389.678066784021</v>
      </c>
      <c r="M155" s="678">
        <f t="shared" si="18"/>
        <v>1</v>
      </c>
    </row>
    <row r="156" spans="1:13" s="2" customFormat="1" ht="11.25" hidden="1">
      <c r="A156" s="5" t="s">
        <v>165</v>
      </c>
      <c r="B156" s="160">
        <f>+Grenoble!$G157</f>
        <v>0</v>
      </c>
      <c r="C156" s="113">
        <f>+STMarcelin!$G157</f>
        <v>0</v>
      </c>
      <c r="D156" s="113">
        <f>+PSA!$G157</f>
        <v>0</v>
      </c>
      <c r="E156" s="113">
        <f>+Montpe!$G157</f>
        <v>0</v>
      </c>
      <c r="F156" s="160">
        <f>+Montpe!E157+Grenoble!E157+STMarcelin!E157+PSA!E157</f>
        <v>-7008.48</v>
      </c>
      <c r="G156" s="135">
        <f>+Montpe!F157+Grenoble!F157+STMarcelin!F157+PSA!F157</f>
        <v>-28415.920000000006</v>
      </c>
      <c r="H156" s="113">
        <v>0</v>
      </c>
      <c r="I156" s="161">
        <f>+Montpe!G157+Grenoble!G157+STMarcelin!G157+PSA!G157</f>
        <v>0</v>
      </c>
      <c r="J156" s="149">
        <f t="shared" ref="J156:J165" si="20">+IF((F156)=0,,(G156-F156)/F156)</f>
        <v>3.0545053991735736</v>
      </c>
      <c r="K156" s="271">
        <f t="shared" ref="K156:K165" si="21">+IF((G156)=0,,(I156-G156)/G156)</f>
        <v>-1</v>
      </c>
      <c r="L156" s="18">
        <f>+Dijon!D157+Eu!D157+Nancy!D157+Roanne!D157</f>
        <v>0</v>
      </c>
      <c r="M156" s="2">
        <f t="shared" si="18"/>
        <v>0</v>
      </c>
    </row>
    <row r="157" spans="1:13" s="678" customFormat="1" ht="11.25">
      <c r="A157" s="690" t="s">
        <v>166</v>
      </c>
      <c r="B157" s="753">
        <f>+Grenoble!$G158</f>
        <v>0</v>
      </c>
      <c r="C157" s="753">
        <f>+STMarcelin!$G158</f>
        <v>0</v>
      </c>
      <c r="D157" s="753">
        <f>+PSA!$G158</f>
        <v>0</v>
      </c>
      <c r="E157" s="753">
        <f>+Montpe!$G158</f>
        <v>0</v>
      </c>
      <c r="F157" s="753">
        <f>+Montpe!E158+Grenoble!E158+STMarcelin!E158+PSA!E158</f>
        <v>4968.7700000000004</v>
      </c>
      <c r="G157" s="754">
        <f>+Montpe!F158+Grenoble!F158+STMarcelin!F158+PSA!F158</f>
        <v>38891.759999999995</v>
      </c>
      <c r="H157" s="113">
        <v>0</v>
      </c>
      <c r="I157" s="755">
        <f>+Montpe!G158+Grenoble!G158+STMarcelin!G158+PSA!G158</f>
        <v>0</v>
      </c>
      <c r="J157" s="756">
        <f t="shared" si="20"/>
        <v>6.8272409469546762</v>
      </c>
      <c r="K157" s="757">
        <f t="shared" si="21"/>
        <v>-1</v>
      </c>
      <c r="L157" s="753">
        <f>+Dijon!D158+Eu!D158+Nancy!D158+Roanne!D158</f>
        <v>0</v>
      </c>
      <c r="M157" s="678">
        <f t="shared" si="18"/>
        <v>1</v>
      </c>
    </row>
    <row r="158" spans="1:13" s="2" customFormat="1" ht="11.25" hidden="1">
      <c r="A158" s="5" t="s">
        <v>60</v>
      </c>
      <c r="B158" s="160">
        <f>+Grenoble!$G159</f>
        <v>0</v>
      </c>
      <c r="C158" s="113">
        <f>+STMarcelin!$G159</f>
        <v>0</v>
      </c>
      <c r="D158" s="113">
        <f>+PSA!$G159</f>
        <v>0</v>
      </c>
      <c r="E158" s="113">
        <f>+Montpe!$G159</f>
        <v>0</v>
      </c>
      <c r="F158" s="160">
        <f>+Montpe!E159+Grenoble!E159+STMarcelin!E159+PSA!E159</f>
        <v>-19103.440000000002</v>
      </c>
      <c r="G158" s="135">
        <f>+Montpe!F159+Grenoble!F159+STMarcelin!F159+PSA!F159</f>
        <v>-6160.9466666666667</v>
      </c>
      <c r="H158" s="113">
        <v>0</v>
      </c>
      <c r="I158" s="161">
        <f>+Montpe!G159+Grenoble!G159+STMarcelin!G159+PSA!G159</f>
        <v>0</v>
      </c>
      <c r="J158" s="149">
        <f t="shared" si="20"/>
        <v>-0.67749543188731109</v>
      </c>
      <c r="K158" s="271">
        <f t="shared" si="21"/>
        <v>-1</v>
      </c>
      <c r="L158" s="18">
        <f>+Dijon!D159+Eu!D159+Nancy!D159+Roanne!D159</f>
        <v>0</v>
      </c>
      <c r="M158" s="2">
        <f t="shared" si="18"/>
        <v>0</v>
      </c>
    </row>
    <row r="159" spans="1:13" s="2" customFormat="1" ht="11.25" hidden="1">
      <c r="A159" s="5" t="s">
        <v>199</v>
      </c>
      <c r="B159" s="160">
        <f>+Grenoble!$G160</f>
        <v>0</v>
      </c>
      <c r="C159" s="113">
        <f>+STMarcelin!$G160</f>
        <v>0</v>
      </c>
      <c r="D159" s="113">
        <f>+PSA!$G160</f>
        <v>0</v>
      </c>
      <c r="E159" s="113">
        <f>+Montpe!$G160</f>
        <v>0</v>
      </c>
      <c r="F159" s="160">
        <f>+Montpe!E160+Grenoble!E160+STMarcelin!E160+PSA!E160</f>
        <v>-38.390000000000008</v>
      </c>
      <c r="G159" s="135">
        <f>+Montpe!F160+Grenoble!F160+STMarcelin!F160+PSA!F160</f>
        <v>10.439999999999998</v>
      </c>
      <c r="H159" s="113">
        <v>0</v>
      </c>
      <c r="I159" s="161">
        <f>+Montpe!G160+Grenoble!G160+STMarcelin!G160+PSA!G160</f>
        <v>0</v>
      </c>
      <c r="J159" s="149">
        <f t="shared" si="20"/>
        <v>-1.271945819223756</v>
      </c>
      <c r="K159" s="271">
        <f t="shared" si="21"/>
        <v>-1</v>
      </c>
      <c r="L159" s="18">
        <f>+Dijon!D160+Eu!D160+Nancy!D160+Roanne!D160</f>
        <v>0</v>
      </c>
      <c r="M159" s="2">
        <f t="shared" si="18"/>
        <v>0</v>
      </c>
    </row>
    <row r="160" spans="1:13" s="678" customFormat="1" ht="11.25">
      <c r="A160" s="690" t="s">
        <v>41</v>
      </c>
      <c r="B160" s="753">
        <f>+Grenoble!$G161</f>
        <v>564.60479999999995</v>
      </c>
      <c r="C160" s="753">
        <f>+STMarcelin!$G161</f>
        <v>0</v>
      </c>
      <c r="D160" s="753">
        <f>+PSA!$G161</f>
        <v>1348.3112000000001</v>
      </c>
      <c r="E160" s="753">
        <f>+Montpe!$G161</f>
        <v>600</v>
      </c>
      <c r="F160" s="753">
        <f>+Montpe!E161+Grenoble!E161+STMarcelin!E161+PSA!E161</f>
        <v>2241.64</v>
      </c>
      <c r="G160" s="754">
        <f>+Montpe!F161+Grenoble!F161+STMarcelin!F161+PSA!F161</f>
        <v>3816.3599999999997</v>
      </c>
      <c r="H160" s="113">
        <v>635.18188921319722</v>
      </c>
      <c r="I160" s="755">
        <f>+Montpe!G161+Grenoble!G161+STMarcelin!G161+PSA!G161</f>
        <v>2512.9160000000002</v>
      </c>
      <c r="J160" s="756">
        <f t="shared" si="20"/>
        <v>0.70248568012704982</v>
      </c>
      <c r="K160" s="757">
        <f t="shared" si="21"/>
        <v>-0.34154115439843191</v>
      </c>
      <c r="L160" s="753">
        <f>+Dijon!D161+Eu!D161+Nancy!D161+Roanne!D161</f>
        <v>991.98280772558996</v>
      </c>
      <c r="M160" s="678">
        <f t="shared" si="18"/>
        <v>1</v>
      </c>
    </row>
    <row r="161" spans="1:13" s="678" customFormat="1" ht="11.25">
      <c r="A161" s="690" t="s">
        <v>355</v>
      </c>
      <c r="B161" s="753">
        <f>+Grenoble!$G162</f>
        <v>42.710666666666668</v>
      </c>
      <c r="C161" s="753">
        <f>+STMarcelin!$G162</f>
        <v>0</v>
      </c>
      <c r="D161" s="753">
        <f>+PSA!$G162</f>
        <v>6.4958666666666671</v>
      </c>
      <c r="E161" s="753">
        <f>+Montpe!$G162</f>
        <v>4.9302666666666664</v>
      </c>
      <c r="F161" s="753">
        <f>+Montpe!E162+Grenoble!E162+STMarcelin!E162+PSA!E162</f>
        <v>74.589999999999989</v>
      </c>
      <c r="G161" s="754">
        <f>+Montpe!F162+Grenoble!F162+STMarcelin!F162+PSA!F162</f>
        <v>52.56</v>
      </c>
      <c r="H161" s="113">
        <v>43.81827975554306</v>
      </c>
      <c r="I161" s="755">
        <f>+Montpe!G162+Grenoble!G162+STMarcelin!G162+PSA!G162</f>
        <v>54.136800000000001</v>
      </c>
      <c r="J161" s="756">
        <f t="shared" si="20"/>
        <v>-0.29534790186352045</v>
      </c>
      <c r="K161" s="757">
        <f t="shared" si="21"/>
        <v>2.9999999999999975E-2</v>
      </c>
      <c r="L161" s="753">
        <f>+Dijon!D162+Eu!D162+Nancy!D162+Roanne!D162</f>
        <v>40.671513529019798</v>
      </c>
      <c r="M161" s="678">
        <f t="shared" si="18"/>
        <v>1</v>
      </c>
    </row>
    <row r="162" spans="1:13" s="678" customFormat="1" ht="11.25">
      <c r="A162" s="690" t="s">
        <v>200</v>
      </c>
      <c r="B162" s="753">
        <f>+Grenoble!$G163</f>
        <v>1799.8357333333336</v>
      </c>
      <c r="C162" s="753">
        <f>+STMarcelin!$G163</f>
        <v>0</v>
      </c>
      <c r="D162" s="753">
        <f>+PSA!$G163</f>
        <v>1938.0892000000001</v>
      </c>
      <c r="E162" s="753">
        <f>+Montpe!$G163</f>
        <v>694.34359999999992</v>
      </c>
      <c r="F162" s="753">
        <f>+Montpe!E163+Grenoble!E163+STMarcelin!E163+PSA!E163</f>
        <v>1434.98</v>
      </c>
      <c r="G162" s="754">
        <f>+Montpe!F163+Grenoble!F163+STMarcelin!F163+PSA!F163</f>
        <v>4303.1733333333332</v>
      </c>
      <c r="H162" s="113">
        <v>682.98971601334063</v>
      </c>
      <c r="I162" s="755">
        <f>+Montpe!G163+Grenoble!G163+STMarcelin!G163+PSA!G163</f>
        <v>4432.2685333333338</v>
      </c>
      <c r="J162" s="756">
        <f t="shared" si="20"/>
        <v>1.9987688562442216</v>
      </c>
      <c r="K162" s="757">
        <f t="shared" si="21"/>
        <v>3.0000000000000155E-2</v>
      </c>
      <c r="L162" s="753">
        <f>+Dijon!D163+Eu!D163+Nancy!D163+Roanne!D163</f>
        <v>2350.8858550295859</v>
      </c>
      <c r="M162" s="678">
        <f t="shared" si="18"/>
        <v>1</v>
      </c>
    </row>
    <row r="163" spans="1:13" s="2" customFormat="1" ht="11.25" hidden="1">
      <c r="A163" s="5" t="s">
        <v>271</v>
      </c>
      <c r="B163" s="160">
        <f>+Grenoble!$G164</f>
        <v>-88.58</v>
      </c>
      <c r="C163" s="113">
        <f>+STMarcelin!$G164</f>
        <v>0</v>
      </c>
      <c r="D163" s="113">
        <f>+PSA!$G164</f>
        <v>-94.76</v>
      </c>
      <c r="E163" s="113">
        <f>+Montpe!$G164</f>
        <v>-109.18</v>
      </c>
      <c r="F163" s="160">
        <f>+Montpe!E164+Grenoble!E164+STMarcelin!E164+PSA!E164</f>
        <v>-358.30999999999995</v>
      </c>
      <c r="G163" s="135">
        <f>+Montpe!F164+Grenoble!F164+STMarcelin!F164+PSA!F164</f>
        <v>-284</v>
      </c>
      <c r="H163" s="113">
        <v>-431.38951890769795</v>
      </c>
      <c r="I163" s="161">
        <f>+Montpe!G164+Grenoble!G164+STMarcelin!G164+PSA!G164</f>
        <v>-292.52</v>
      </c>
      <c r="J163" s="149">
        <f t="shared" si="20"/>
        <v>-0.20739024866735498</v>
      </c>
      <c r="K163" s="271">
        <f t="shared" si="21"/>
        <v>2.9999999999999936E-2</v>
      </c>
      <c r="L163" s="18">
        <f>+Dijon!D164+Eu!D164+Nancy!D164+Roanne!D164</f>
        <v>-144.54733635859378</v>
      </c>
      <c r="M163" s="2">
        <f t="shared" si="18"/>
        <v>0</v>
      </c>
    </row>
    <row r="164" spans="1:13" s="678" customFormat="1" ht="11.25">
      <c r="A164" s="690" t="s">
        <v>242</v>
      </c>
      <c r="B164" s="753">
        <f>+Grenoble!$G165</f>
        <v>585.04</v>
      </c>
      <c r="C164" s="753">
        <f>+STMarcelin!$G165</f>
        <v>12.36</v>
      </c>
      <c r="D164" s="753">
        <f>+PSA!$G165</f>
        <v>323.14533333333338</v>
      </c>
      <c r="E164" s="753">
        <f>+Montpe!$G165</f>
        <v>555.92533333333336</v>
      </c>
      <c r="F164" s="753">
        <f>+Montpe!E165+Grenoble!E165+STMarcelin!E165+PSA!E165</f>
        <v>1118.8</v>
      </c>
      <c r="G164" s="754">
        <f>+Montpe!F165+Grenoble!F165+STMarcelin!F165+PSA!F165</f>
        <v>1433.4666666666667</v>
      </c>
      <c r="H164" s="113">
        <v>1474.8546715465939</v>
      </c>
      <c r="I164" s="755">
        <f>+Montpe!G165+Grenoble!G165+STMarcelin!G165+PSA!G165</f>
        <v>1476.4706666666666</v>
      </c>
      <c r="J164" s="756">
        <f t="shared" si="20"/>
        <v>0.28125372422833994</v>
      </c>
      <c r="K164" s="757">
        <f t="shared" si="21"/>
        <v>2.9999999999999933E-2</v>
      </c>
      <c r="L164" s="753">
        <f>+Dijon!D165+Eu!D165+Nancy!D165+Roanne!D165</f>
        <v>708.14919627504173</v>
      </c>
      <c r="M164" s="678">
        <f t="shared" si="18"/>
        <v>1</v>
      </c>
    </row>
    <row r="165" spans="1:13" s="2" customFormat="1" ht="11.25" hidden="1">
      <c r="A165" s="5" t="s">
        <v>201</v>
      </c>
      <c r="B165" s="160">
        <f>+Grenoble!$G166</f>
        <v>0</v>
      </c>
      <c r="C165" s="113">
        <f>+STMarcelin!$G166</f>
        <v>0</v>
      </c>
      <c r="D165" s="113">
        <f>+PSA!$G166</f>
        <v>0</v>
      </c>
      <c r="E165" s="113">
        <f>+Montpe!$G166</f>
        <v>0</v>
      </c>
      <c r="F165" s="160">
        <f>+Montpe!E166+Grenoble!E166+STMarcelin!E166+PSA!E166</f>
        <v>0</v>
      </c>
      <c r="G165" s="135">
        <f>+Montpe!F166+Grenoble!F166+STMarcelin!F166+PSA!F166</f>
        <v>0</v>
      </c>
      <c r="H165" s="113">
        <v>0</v>
      </c>
      <c r="I165" s="161">
        <f>+Montpe!G166+Grenoble!G166+STMarcelin!G166+PSA!G166</f>
        <v>0</v>
      </c>
      <c r="J165" s="149">
        <f t="shared" si="20"/>
        <v>0</v>
      </c>
      <c r="K165" s="271">
        <f t="shared" si="21"/>
        <v>0</v>
      </c>
      <c r="L165" s="18">
        <f>+Dijon!D166+Eu!D166+Nancy!D166+Roanne!D166</f>
        <v>-6.8295437500000007E-4</v>
      </c>
      <c r="M165" s="2">
        <f t="shared" si="18"/>
        <v>0</v>
      </c>
    </row>
    <row r="166" spans="1:13" s="2" customFormat="1" ht="11.25" hidden="1">
      <c r="A166" s="5"/>
      <c r="B166" s="160"/>
      <c r="C166" s="113"/>
      <c r="D166" s="113"/>
      <c r="E166" s="113"/>
      <c r="F166" s="160"/>
      <c r="G166" s="143"/>
      <c r="H166" s="113"/>
      <c r="I166" s="162"/>
      <c r="J166" s="149"/>
      <c r="K166" s="254"/>
      <c r="L166" s="18"/>
      <c r="M166" s="2">
        <f t="shared" si="18"/>
        <v>0</v>
      </c>
    </row>
    <row r="167" spans="1:13" s="678" customFormat="1" ht="11.25">
      <c r="A167" s="695" t="s">
        <v>74</v>
      </c>
      <c r="B167" s="758">
        <f t="shared" ref="B167:G167" si="22">SUM(B154:B166)</f>
        <v>30230.676690900007</v>
      </c>
      <c r="C167" s="758">
        <f t="shared" si="22"/>
        <v>2440.6587489000003</v>
      </c>
      <c r="D167" s="758">
        <f t="shared" si="22"/>
        <v>32276.093518000005</v>
      </c>
      <c r="E167" s="758">
        <f t="shared" si="22"/>
        <v>14328.2156223</v>
      </c>
      <c r="F167" s="758">
        <f t="shared" si="22"/>
        <v>60784.970000000008</v>
      </c>
      <c r="G167" s="764">
        <f t="shared" si="22"/>
        <v>63595.439999999988</v>
      </c>
      <c r="H167" s="204">
        <v>46975.089222620969</v>
      </c>
      <c r="I167" s="758">
        <f>SUM(I154:I166)</f>
        <v>79275.644580099994</v>
      </c>
      <c r="J167" s="759">
        <f>+IF((F167)=0,,(G167-F167)/F167)</f>
        <v>4.6236265313612544E-2</v>
      </c>
      <c r="K167" s="760">
        <f>+IF((G167)=0,,(I167-G167)/G167)</f>
        <v>0.24656177518545369</v>
      </c>
      <c r="L167" s="758">
        <f>SUM(L154:L166)</f>
        <v>46336.81942003029</v>
      </c>
      <c r="M167" s="678">
        <f t="shared" si="18"/>
        <v>1</v>
      </c>
    </row>
    <row r="168" spans="1:13" s="2" customFormat="1" ht="11.25" hidden="1">
      <c r="A168" s="5"/>
      <c r="B168" s="160"/>
      <c r="C168" s="113"/>
      <c r="D168" s="113"/>
      <c r="E168" s="113"/>
      <c r="F168" s="160"/>
      <c r="G168" s="143"/>
      <c r="H168" s="113"/>
      <c r="I168" s="162"/>
      <c r="J168" s="149"/>
      <c r="K168" s="271"/>
      <c r="L168" s="18"/>
      <c r="M168" s="2">
        <f t="shared" si="18"/>
        <v>0</v>
      </c>
    </row>
    <row r="169" spans="1:13" s="2" customFormat="1" ht="11.25" hidden="1">
      <c r="A169" s="5" t="s">
        <v>167</v>
      </c>
      <c r="B169" s="160">
        <f>+Grenoble!$G170</f>
        <v>0</v>
      </c>
      <c r="C169" s="113">
        <f>+STMarcelin!$G170</f>
        <v>0</v>
      </c>
      <c r="D169" s="113">
        <f>+PSA!$G170</f>
        <v>0</v>
      </c>
      <c r="E169" s="113">
        <f>+Montpe!$G170</f>
        <v>0</v>
      </c>
      <c r="F169" s="160">
        <f>+Montpe!E170+Grenoble!E170+STMarcelin!E170+PSA!E170</f>
        <v>0</v>
      </c>
      <c r="G169" s="135">
        <f>+Montpe!F170+Grenoble!F170+STMarcelin!F170+PSA!F170</f>
        <v>0</v>
      </c>
      <c r="H169" s="113">
        <v>0</v>
      </c>
      <c r="I169" s="161">
        <f>+Montpe!G170+Grenoble!G170+STMarcelin!G170+PSA!G170</f>
        <v>0</v>
      </c>
      <c r="J169" s="149">
        <f>+IF((F169)=0,,(G169-F169)/F169)</f>
        <v>0</v>
      </c>
      <c r="K169" s="271">
        <f>+IF((G169)=0,,(I169-G169)/G169)</f>
        <v>0</v>
      </c>
      <c r="L169" s="18">
        <f>+Dijon!D170+Eu!D170+Nancy!D170+Roanne!D170</f>
        <v>0</v>
      </c>
      <c r="M169" s="2">
        <f t="shared" si="18"/>
        <v>0</v>
      </c>
    </row>
    <row r="170" spans="1:13" s="678" customFormat="1" ht="11.25">
      <c r="A170" s="690" t="s">
        <v>168</v>
      </c>
      <c r="B170" s="753">
        <f>+Grenoble!$G171</f>
        <v>0</v>
      </c>
      <c r="C170" s="753">
        <f>+STMarcelin!$G171</f>
        <v>0</v>
      </c>
      <c r="D170" s="753">
        <f>+PSA!$G171</f>
        <v>0</v>
      </c>
      <c r="E170" s="753">
        <f>+Montpe!$G171</f>
        <v>304.72893333333337</v>
      </c>
      <c r="F170" s="753">
        <f>+Montpe!E171+Grenoble!E171+STMarcelin!E171+PSA!E171</f>
        <v>1040.83</v>
      </c>
      <c r="G170" s="754">
        <f>+Montpe!F171+Grenoble!F171+STMarcelin!F171+PSA!F171</f>
        <v>295.85333333333335</v>
      </c>
      <c r="H170" s="113">
        <v>0</v>
      </c>
      <c r="I170" s="755">
        <f>+Montpe!G171+Grenoble!G171+STMarcelin!G171+PSA!G171</f>
        <v>304.72893333333337</v>
      </c>
      <c r="J170" s="756">
        <f t="shared" ref="J170:J182" si="23">+IF((F170)=0,,(G170-F170)/F170)</f>
        <v>-0.7157524924018972</v>
      </c>
      <c r="K170" s="757">
        <f t="shared" ref="K170:K182" si="24">+IF((G170)=0,,(I170-G170)/G170)</f>
        <v>3.0000000000000065E-2</v>
      </c>
      <c r="L170" s="753">
        <f>+Dijon!D171+Eu!D171+Nancy!D171+Roanne!D171</f>
        <v>1217.6283195219096</v>
      </c>
      <c r="M170" s="678">
        <f t="shared" si="18"/>
        <v>1</v>
      </c>
    </row>
    <row r="171" spans="1:13" s="2" customFormat="1" ht="11.25" hidden="1">
      <c r="A171" s="5" t="s">
        <v>169</v>
      </c>
      <c r="B171" s="160">
        <f>+Grenoble!$G172</f>
        <v>0</v>
      </c>
      <c r="C171" s="113">
        <f>+STMarcelin!$G172</f>
        <v>0</v>
      </c>
      <c r="D171" s="113">
        <f>+PSA!$G172</f>
        <v>0</v>
      </c>
      <c r="E171" s="113">
        <f>+Montpe!$G172</f>
        <v>0</v>
      </c>
      <c r="F171" s="160">
        <f>+Montpe!E172+Grenoble!E172+STMarcelin!E172+PSA!E172</f>
        <v>0</v>
      </c>
      <c r="G171" s="135">
        <f>+Montpe!F172+Grenoble!F172+STMarcelin!F172+PSA!F172</f>
        <v>0</v>
      </c>
      <c r="H171" s="113">
        <v>0</v>
      </c>
      <c r="I171" s="161">
        <f>+Montpe!G172+Grenoble!G172+STMarcelin!G172+PSA!G172</f>
        <v>0</v>
      </c>
      <c r="J171" s="149">
        <f t="shared" si="23"/>
        <v>0</v>
      </c>
      <c r="K171" s="271">
        <f t="shared" si="24"/>
        <v>0</v>
      </c>
      <c r="L171" s="18">
        <f>+Dijon!D172+Eu!D172+Nancy!D172+Roanne!D172</f>
        <v>0</v>
      </c>
      <c r="M171" s="2">
        <f t="shared" si="18"/>
        <v>0</v>
      </c>
    </row>
    <row r="172" spans="1:13" s="678" customFormat="1" ht="11.25">
      <c r="A172" s="690" t="s">
        <v>170</v>
      </c>
      <c r="B172" s="753">
        <f>+Grenoble!$G173</f>
        <v>399.29666666666668</v>
      </c>
      <c r="C172" s="753">
        <f>+STMarcelin!$G173</f>
        <v>672.48013333333347</v>
      </c>
      <c r="D172" s="753">
        <f>+PSA!$G173</f>
        <v>7974.6308000000008</v>
      </c>
      <c r="E172" s="753">
        <f>+Montpe!$G173</f>
        <v>530.62853333333328</v>
      </c>
      <c r="F172" s="753">
        <f>+Montpe!E173+Grenoble!E173+STMarcelin!E173+PSA!E173</f>
        <v>30666.2</v>
      </c>
      <c r="G172" s="754">
        <f>+Montpe!F173+Grenoble!F173+STMarcelin!F173+PSA!F173</f>
        <v>9298.0933333333342</v>
      </c>
      <c r="H172" s="113">
        <v>4973.8931750000002</v>
      </c>
      <c r="I172" s="755">
        <f>+Montpe!G173+Grenoble!G173+STMarcelin!G173+PSA!G173</f>
        <v>9577.0361333333349</v>
      </c>
      <c r="J172" s="756">
        <f t="shared" si="23"/>
        <v>-0.69679669038441883</v>
      </c>
      <c r="K172" s="757">
        <f t="shared" si="24"/>
        <v>3.0000000000000075E-2</v>
      </c>
      <c r="L172" s="753">
        <f>+Dijon!D173+Eu!D173+Nancy!D173+Roanne!D173</f>
        <v>11538.281525</v>
      </c>
      <c r="M172" s="678">
        <f t="shared" si="18"/>
        <v>1</v>
      </c>
    </row>
    <row r="173" spans="1:13" s="2" customFormat="1" ht="11.25" hidden="1">
      <c r="A173" s="5" t="s">
        <v>171</v>
      </c>
      <c r="B173" s="160">
        <f>+Grenoble!$G174</f>
        <v>0</v>
      </c>
      <c r="C173" s="113">
        <f>+STMarcelin!$G174</f>
        <v>0</v>
      </c>
      <c r="D173" s="113">
        <f>+PSA!$G174</f>
        <v>0</v>
      </c>
      <c r="E173" s="113">
        <f>+Montpe!$G174</f>
        <v>0</v>
      </c>
      <c r="F173" s="160">
        <f>+Montpe!E174+Grenoble!E174+STMarcelin!E174+PSA!E174</f>
        <v>0</v>
      </c>
      <c r="G173" s="135">
        <f>+Montpe!F174+Grenoble!F174+STMarcelin!F174+PSA!F174</f>
        <v>0</v>
      </c>
      <c r="H173" s="113">
        <v>0</v>
      </c>
      <c r="I173" s="161">
        <f>+Montpe!G174+Grenoble!G174+STMarcelin!G174+PSA!G174</f>
        <v>0</v>
      </c>
      <c r="J173" s="149">
        <f t="shared" si="23"/>
        <v>0</v>
      </c>
      <c r="K173" s="271">
        <f t="shared" si="24"/>
        <v>0</v>
      </c>
      <c r="L173" s="18">
        <f>+Dijon!D174+Eu!D174+Nancy!D174+Roanne!D174</f>
        <v>0</v>
      </c>
      <c r="M173" s="2">
        <f t="shared" si="18"/>
        <v>0</v>
      </c>
    </row>
    <row r="174" spans="1:13" s="2" customFormat="1" ht="11.25" hidden="1">
      <c r="A174" s="5" t="s">
        <v>308</v>
      </c>
      <c r="B174" s="160">
        <f>+Grenoble!$G175</f>
        <v>0</v>
      </c>
      <c r="C174" s="113">
        <f>+STMarcelin!$G175</f>
        <v>0</v>
      </c>
      <c r="D174" s="113">
        <f>+PSA!$G175</f>
        <v>0</v>
      </c>
      <c r="E174" s="113">
        <f>+Montpe!$G175</f>
        <v>0</v>
      </c>
      <c r="F174" s="160">
        <f>+Montpe!E175+Grenoble!E175+STMarcelin!E175+PSA!E175</f>
        <v>0</v>
      </c>
      <c r="G174" s="135">
        <f>+Montpe!F175+Grenoble!F175+STMarcelin!F175+PSA!F175</f>
        <v>0</v>
      </c>
      <c r="H174" s="113">
        <v>0</v>
      </c>
      <c r="I174" s="161">
        <f>+Montpe!G175+Grenoble!G175+STMarcelin!G175+PSA!G175</f>
        <v>0</v>
      </c>
      <c r="J174" s="149">
        <f t="shared" si="23"/>
        <v>0</v>
      </c>
      <c r="K174" s="271">
        <f t="shared" si="24"/>
        <v>0</v>
      </c>
      <c r="L174" s="18">
        <f>+Dijon!D175+Eu!D175+Nancy!D175+Roanne!D175</f>
        <v>0</v>
      </c>
      <c r="M174" s="2">
        <f t="shared" si="18"/>
        <v>0</v>
      </c>
    </row>
    <row r="175" spans="1:13" s="678" customFormat="1" ht="11.25">
      <c r="A175" s="690" t="s">
        <v>172</v>
      </c>
      <c r="B175" s="753">
        <f>+Grenoble!$G176</f>
        <v>0</v>
      </c>
      <c r="C175" s="753">
        <f>+STMarcelin!$G176</f>
        <v>0</v>
      </c>
      <c r="D175" s="753">
        <f>+PSA!$G176</f>
        <v>0</v>
      </c>
      <c r="E175" s="753">
        <f>+Montpe!$G176</f>
        <v>0</v>
      </c>
      <c r="F175" s="753">
        <f>+Montpe!E176+Grenoble!E176+STMarcelin!E176+PSA!E176</f>
        <v>366.22</v>
      </c>
      <c r="G175" s="754">
        <f>+Montpe!F176+Grenoble!F176+STMarcelin!F176+PSA!F176</f>
        <v>0</v>
      </c>
      <c r="H175" s="113">
        <v>0</v>
      </c>
      <c r="I175" s="755">
        <f>+Montpe!G176+Grenoble!G176+STMarcelin!G176+PSA!G176</f>
        <v>0</v>
      </c>
      <c r="J175" s="756">
        <f t="shared" si="23"/>
        <v>-1</v>
      </c>
      <c r="K175" s="757">
        <f t="shared" si="24"/>
        <v>0</v>
      </c>
      <c r="L175" s="753">
        <f>+Dijon!D176+Eu!D176+Nancy!D176+Roanne!D176</f>
        <v>0</v>
      </c>
      <c r="M175" s="678">
        <f t="shared" si="18"/>
        <v>1</v>
      </c>
    </row>
    <row r="176" spans="1:13" s="678" customFormat="1" ht="11.25">
      <c r="A176" s="690" t="s">
        <v>173</v>
      </c>
      <c r="B176" s="753">
        <f>+Grenoble!$G177</f>
        <v>0</v>
      </c>
      <c r="C176" s="753">
        <f>+STMarcelin!$G177</f>
        <v>0</v>
      </c>
      <c r="D176" s="753">
        <f>+PSA!$G177</f>
        <v>0</v>
      </c>
      <c r="E176" s="753">
        <f>+Montpe!$G177</f>
        <v>0</v>
      </c>
      <c r="F176" s="753">
        <f>+Montpe!E177+Grenoble!E177+STMarcelin!E177+PSA!E177</f>
        <v>11418.54</v>
      </c>
      <c r="G176" s="754">
        <f>+Montpe!F177+Grenoble!F177+STMarcelin!F177+PSA!F177</f>
        <v>0</v>
      </c>
      <c r="H176" s="113">
        <v>0</v>
      </c>
      <c r="I176" s="755">
        <f>+Montpe!G177+Grenoble!G177+STMarcelin!G177+PSA!G177</f>
        <v>0</v>
      </c>
      <c r="J176" s="756">
        <f t="shared" si="23"/>
        <v>-1</v>
      </c>
      <c r="K176" s="757">
        <f t="shared" si="24"/>
        <v>0</v>
      </c>
      <c r="L176" s="753">
        <f>+Dijon!D177+Eu!D177+Nancy!D177+Roanne!D177</f>
        <v>0</v>
      </c>
      <c r="M176" s="678">
        <f t="shared" si="18"/>
        <v>1</v>
      </c>
    </row>
    <row r="177" spans="1:13" s="2" customFormat="1" ht="11.25" hidden="1">
      <c r="A177" s="5" t="s">
        <v>174</v>
      </c>
      <c r="B177" s="160">
        <f>+Grenoble!$G178</f>
        <v>0</v>
      </c>
      <c r="C177" s="113">
        <f>+STMarcelin!$G178</f>
        <v>0</v>
      </c>
      <c r="D177" s="113">
        <f>+PSA!$G178</f>
        <v>0</v>
      </c>
      <c r="E177" s="113">
        <f>+Montpe!$G178</f>
        <v>0</v>
      </c>
      <c r="F177" s="160">
        <f>+Montpe!E178+Grenoble!E178+STMarcelin!E178+PSA!E178</f>
        <v>0.89</v>
      </c>
      <c r="G177" s="135">
        <f>+Montpe!F178+Grenoble!F178+STMarcelin!F178+PSA!F178</f>
        <v>0</v>
      </c>
      <c r="H177" s="113">
        <v>0</v>
      </c>
      <c r="I177" s="161">
        <f>+Montpe!G178+Grenoble!G178+STMarcelin!G178+PSA!G178</f>
        <v>0</v>
      </c>
      <c r="J177" s="149">
        <f t="shared" si="23"/>
        <v>-1</v>
      </c>
      <c r="K177" s="271">
        <f t="shared" si="24"/>
        <v>0</v>
      </c>
      <c r="L177" s="18">
        <f>+Dijon!D178+Eu!D178+Nancy!D178+Roanne!D178</f>
        <v>0</v>
      </c>
      <c r="M177" s="2">
        <f t="shared" si="18"/>
        <v>0</v>
      </c>
    </row>
    <row r="178" spans="1:13" s="678" customFormat="1" ht="11.25">
      <c r="A178" s="690" t="s">
        <v>175</v>
      </c>
      <c r="B178" s="753">
        <f>+Grenoble!$G179</f>
        <v>10161.720000000001</v>
      </c>
      <c r="C178" s="753">
        <f>+STMarcelin!$G179</f>
        <v>2713.58</v>
      </c>
      <c r="D178" s="753">
        <f>+PSA!$G179</f>
        <v>10475.450000000001</v>
      </c>
      <c r="E178" s="753">
        <f>+Montpe!$G179</f>
        <v>5460.18</v>
      </c>
      <c r="F178" s="753">
        <f>+Montpe!E179+Grenoble!E179+STMarcelin!E179+PSA!E179</f>
        <v>28825.919999999998</v>
      </c>
      <c r="G178" s="754">
        <f>+Montpe!F179+Grenoble!F179+STMarcelin!F179+PSA!F179</f>
        <v>26273.839999999997</v>
      </c>
      <c r="H178" s="113">
        <v>32058.206388888892</v>
      </c>
      <c r="I178" s="755">
        <f>+Montpe!G179+Grenoble!G179+STMarcelin!G179+PSA!G179</f>
        <v>28810.930000000004</v>
      </c>
      <c r="J178" s="756">
        <f t="shared" si="23"/>
        <v>-8.8534208101597511E-2</v>
      </c>
      <c r="K178" s="757">
        <f t="shared" si="24"/>
        <v>9.6563349704497245E-2</v>
      </c>
      <c r="L178" s="753">
        <f>+Dijon!D179+Eu!D179+Nancy!D179+Roanne!D179</f>
        <v>30400</v>
      </c>
      <c r="M178" s="678">
        <f t="shared" si="18"/>
        <v>1</v>
      </c>
    </row>
    <row r="179" spans="1:13" s="678" customFormat="1" ht="11.25">
      <c r="A179" s="690" t="s">
        <v>78</v>
      </c>
      <c r="B179" s="753">
        <f>+Grenoble!$G180</f>
        <v>0</v>
      </c>
      <c r="C179" s="753">
        <f>+STMarcelin!$G180</f>
        <v>0</v>
      </c>
      <c r="D179" s="753">
        <f>+PSA!$G180</f>
        <v>0</v>
      </c>
      <c r="E179" s="753">
        <f>+Montpe!$G180</f>
        <v>0</v>
      </c>
      <c r="F179" s="753">
        <f>+Montpe!E180+Grenoble!E180+STMarcelin!E180+PSA!E180</f>
        <v>2955.79</v>
      </c>
      <c r="G179" s="754">
        <f>+Montpe!F180+Grenoble!F180+STMarcelin!F180+PSA!F180</f>
        <v>0</v>
      </c>
      <c r="H179" s="113">
        <v>0</v>
      </c>
      <c r="I179" s="755">
        <f>+Montpe!G180+Grenoble!G180+STMarcelin!G180+PSA!G180</f>
        <v>0</v>
      </c>
      <c r="J179" s="756">
        <f t="shared" si="23"/>
        <v>-1</v>
      </c>
      <c r="K179" s="757">
        <f t="shared" si="24"/>
        <v>0</v>
      </c>
      <c r="L179" s="753">
        <f>+Dijon!D180+Eu!D180+Nancy!D180+Roanne!D180</f>
        <v>0</v>
      </c>
      <c r="M179" s="678">
        <f t="shared" si="18"/>
        <v>1</v>
      </c>
    </row>
    <row r="180" spans="1:13" s="2" customFormat="1" ht="11.25" hidden="1">
      <c r="A180" s="5" t="s">
        <v>327</v>
      </c>
      <c r="B180" s="160">
        <f>+Grenoble!$G181</f>
        <v>0</v>
      </c>
      <c r="C180" s="113">
        <f>+STMarcelin!$G181</f>
        <v>0</v>
      </c>
      <c r="D180" s="113">
        <f>+PSA!$G181</f>
        <v>0</v>
      </c>
      <c r="E180" s="113">
        <f>+Montpe!$G181</f>
        <v>0</v>
      </c>
      <c r="F180" s="160">
        <f>+Montpe!E181+Grenoble!E181+STMarcelin!E181+PSA!E181</f>
        <v>0</v>
      </c>
      <c r="G180" s="135">
        <f>+Montpe!F181+Grenoble!F181+STMarcelin!F181+PSA!F181</f>
        <v>0</v>
      </c>
      <c r="H180" s="113">
        <v>0</v>
      </c>
      <c r="I180" s="161">
        <f>+Montpe!G181+Grenoble!G181+STMarcelin!G181+PSA!G181</f>
        <v>0</v>
      </c>
      <c r="J180" s="149">
        <f t="shared" si="23"/>
        <v>0</v>
      </c>
      <c r="K180" s="271">
        <f t="shared" si="24"/>
        <v>0</v>
      </c>
      <c r="L180" s="18">
        <f>+Dijon!D181+Eu!D181+Nancy!D181+Roanne!D181</f>
        <v>0</v>
      </c>
      <c r="M180" s="2">
        <f t="shared" si="18"/>
        <v>0</v>
      </c>
    </row>
    <row r="181" spans="1:13" s="2" customFormat="1" ht="11.25" hidden="1">
      <c r="A181" s="5" t="s">
        <v>82</v>
      </c>
      <c r="B181" s="160">
        <f>+Grenoble!$G182</f>
        <v>0</v>
      </c>
      <c r="C181" s="113">
        <f>+STMarcelin!$G182</f>
        <v>0</v>
      </c>
      <c r="D181" s="113">
        <f>+PSA!$G182</f>
        <v>0</v>
      </c>
      <c r="E181" s="113">
        <f>+Montpe!$G182</f>
        <v>0</v>
      </c>
      <c r="F181" s="160">
        <f>+Montpe!E182+Grenoble!E182+STMarcelin!E182+PSA!E182</f>
        <v>0</v>
      </c>
      <c r="G181" s="135">
        <f>+Montpe!F182+Grenoble!F182+STMarcelin!F182+PSA!F182</f>
        <v>0</v>
      </c>
      <c r="H181" s="113">
        <v>0</v>
      </c>
      <c r="I181" s="161">
        <f>+Montpe!G182+Grenoble!G182+STMarcelin!G182+PSA!G182</f>
        <v>0</v>
      </c>
      <c r="J181" s="149">
        <f t="shared" si="23"/>
        <v>0</v>
      </c>
      <c r="K181" s="271">
        <f t="shared" si="24"/>
        <v>0</v>
      </c>
      <c r="L181" s="18">
        <f>+Dijon!D182+Eu!D182+Nancy!D182+Roanne!D182</f>
        <v>0</v>
      </c>
      <c r="M181" s="2">
        <f t="shared" si="18"/>
        <v>0</v>
      </c>
    </row>
    <row r="182" spans="1:13" s="678" customFormat="1" ht="11.25">
      <c r="A182" s="690" t="s">
        <v>331</v>
      </c>
      <c r="B182" s="753">
        <f>+Grenoble!$G183</f>
        <v>0</v>
      </c>
      <c r="C182" s="753">
        <f>+STMarcelin!$G183</f>
        <v>0</v>
      </c>
      <c r="D182" s="753">
        <f>+PSA!$G183</f>
        <v>0</v>
      </c>
      <c r="E182" s="753">
        <f>+Montpe!$G183</f>
        <v>0</v>
      </c>
      <c r="F182" s="753">
        <f>+Montpe!E183+Grenoble!E183+STMarcelin!E183+PSA!E183</f>
        <v>22500</v>
      </c>
      <c r="G182" s="754">
        <f>+Montpe!F183+Grenoble!F183+STMarcelin!F183+PSA!F183</f>
        <v>0</v>
      </c>
      <c r="H182" s="113">
        <v>0</v>
      </c>
      <c r="I182" s="755">
        <f>+Montpe!G183+Grenoble!G183+STMarcelin!G183+PSA!G183</f>
        <v>0</v>
      </c>
      <c r="J182" s="756">
        <f t="shared" si="23"/>
        <v>-1</v>
      </c>
      <c r="K182" s="757">
        <f t="shared" si="24"/>
        <v>0</v>
      </c>
      <c r="L182" s="753">
        <f>+Dijon!D183+Eu!D183+Nancy!D183+Roanne!D183</f>
        <v>0</v>
      </c>
      <c r="M182" s="678">
        <f t="shared" si="18"/>
        <v>1</v>
      </c>
    </row>
    <row r="183" spans="1:13" s="2" customFormat="1" ht="11.25" hidden="1">
      <c r="A183" s="5"/>
      <c r="B183" s="160"/>
      <c r="C183" s="113"/>
      <c r="D183" s="113"/>
      <c r="E183" s="113"/>
      <c r="F183" s="160"/>
      <c r="G183" s="143"/>
      <c r="H183" s="113"/>
      <c r="I183" s="162"/>
      <c r="J183" s="149"/>
      <c r="K183" s="254"/>
      <c r="L183" s="18"/>
      <c r="M183" s="2">
        <f t="shared" si="18"/>
        <v>0</v>
      </c>
    </row>
    <row r="184" spans="1:13" s="678" customFormat="1" ht="11.25">
      <c r="A184" s="695" t="s">
        <v>178</v>
      </c>
      <c r="B184" s="758">
        <f t="shared" ref="B184:G184" si="25">SUM(B168:B183)</f>
        <v>10561.016666666668</v>
      </c>
      <c r="C184" s="758">
        <f t="shared" si="25"/>
        <v>3386.0601333333334</v>
      </c>
      <c r="D184" s="758">
        <f t="shared" si="25"/>
        <v>18450.080800000003</v>
      </c>
      <c r="E184" s="758">
        <f t="shared" si="25"/>
        <v>6295.5374666666667</v>
      </c>
      <c r="F184" s="764">
        <f t="shared" si="25"/>
        <v>97774.39</v>
      </c>
      <c r="G184" s="764">
        <f t="shared" si="25"/>
        <v>35867.786666666667</v>
      </c>
      <c r="H184" s="136">
        <v>37032.099563888893</v>
      </c>
      <c r="I184" s="764">
        <f>SUM(I168:I183)</f>
        <v>38692.695066666674</v>
      </c>
      <c r="J184" s="759">
        <f>+IF((F184)=0,,(G184-F184)/F184)</f>
        <v>-0.63315765338278596</v>
      </c>
      <c r="K184" s="760">
        <f>+IF((G184)=0,,(I184-G184)/G184)</f>
        <v>7.8758927230525355E-2</v>
      </c>
      <c r="L184" s="764">
        <f>SUM(L168:L183)</f>
        <v>43155.909844521913</v>
      </c>
      <c r="M184" s="678">
        <f t="shared" si="18"/>
        <v>1</v>
      </c>
    </row>
    <row r="185" spans="1:13" s="2" customFormat="1" ht="11.25" hidden="1">
      <c r="A185" s="5"/>
      <c r="B185" s="160"/>
      <c r="C185" s="113"/>
      <c r="D185" s="113"/>
      <c r="E185" s="113"/>
      <c r="F185" s="160"/>
      <c r="G185" s="143"/>
      <c r="H185" s="113"/>
      <c r="I185" s="162"/>
      <c r="J185" s="149"/>
      <c r="K185" s="271"/>
      <c r="L185" s="18"/>
      <c r="M185" s="2">
        <f t="shared" si="18"/>
        <v>0</v>
      </c>
    </row>
    <row r="186" spans="1:13" s="2" customFormat="1" ht="11.25" hidden="1">
      <c r="A186" s="590" t="s">
        <v>179</v>
      </c>
      <c r="B186" s="311">
        <f>+Grenoble!$G187</f>
        <v>0</v>
      </c>
      <c r="C186" s="311">
        <f>+STMarcelin!$G187</f>
        <v>0</v>
      </c>
      <c r="D186" s="311">
        <f>+PSA!$G187</f>
        <v>0</v>
      </c>
      <c r="E186" s="311">
        <f>+Montpe!$G187</f>
        <v>0</v>
      </c>
      <c r="F186" s="311">
        <f>+Montpe!E187+Grenoble!E187+STMarcelin!E187+PSA!E187</f>
        <v>0</v>
      </c>
      <c r="G186" s="592">
        <f>+Montpe!F187+Grenoble!F187+STMarcelin!F187+PSA!F187</f>
        <v>1600</v>
      </c>
      <c r="H186" s="113">
        <v>0</v>
      </c>
      <c r="I186" s="605">
        <f>+Montpe!G187+Grenoble!G187+STMarcelin!G187+PSA!G187</f>
        <v>0</v>
      </c>
      <c r="J186" s="591">
        <f>+IF((F186)=0,,(G186-F186)/F186)</f>
        <v>0</v>
      </c>
      <c r="K186" s="595">
        <f>+IF((G186)=0,,(I186-G186)/G186)</f>
        <v>-1</v>
      </c>
      <c r="L186" s="311">
        <f>+Dijon!D187+Eu!D187+Nancy!D187+Roanne!D187</f>
        <v>0</v>
      </c>
      <c r="M186" s="2">
        <v>0</v>
      </c>
    </row>
    <row r="187" spans="1:13" s="2" customFormat="1" ht="11.25" hidden="1">
      <c r="A187" s="5" t="s">
        <v>167</v>
      </c>
      <c r="B187" s="160">
        <f>+Grenoble!$G188</f>
        <v>0</v>
      </c>
      <c r="C187" s="113">
        <f>+STMarcelin!$G188</f>
        <v>0</v>
      </c>
      <c r="D187" s="113">
        <f>+PSA!$G188</f>
        <v>0</v>
      </c>
      <c r="E187" s="113">
        <f>+Montpe!$G188</f>
        <v>0</v>
      </c>
      <c r="F187" s="160">
        <f>+Montpe!E188+Grenoble!E188+STMarcelin!E188+PSA!E188</f>
        <v>0</v>
      </c>
      <c r="G187" s="135">
        <f>+Montpe!F188+Grenoble!F188+STMarcelin!F188+PSA!F188</f>
        <v>0</v>
      </c>
      <c r="H187" s="113">
        <v>0</v>
      </c>
      <c r="I187" s="161">
        <f>+Montpe!G188+Grenoble!G188+STMarcelin!G188+PSA!G188</f>
        <v>0</v>
      </c>
      <c r="J187" s="149">
        <f t="shared" ref="J187:J198" si="26">+IF((F187)=0,,(G187-F187)/F187)</f>
        <v>0</v>
      </c>
      <c r="K187" s="271">
        <f t="shared" ref="K187:K198" si="27">+IF((G187)=0,,(I187-G187)/G187)</f>
        <v>0</v>
      </c>
      <c r="L187" s="18">
        <f>+Dijon!D188+Eu!D188+Nancy!D188+Roanne!D188</f>
        <v>0</v>
      </c>
      <c r="M187" s="2">
        <f t="shared" si="18"/>
        <v>0</v>
      </c>
    </row>
    <row r="188" spans="1:13" s="2" customFormat="1" ht="11.25" hidden="1">
      <c r="A188" s="590" t="s">
        <v>180</v>
      </c>
      <c r="B188" s="311">
        <f>+Grenoble!$G189</f>
        <v>0</v>
      </c>
      <c r="C188" s="311">
        <f>+STMarcelin!$G189</f>
        <v>0</v>
      </c>
      <c r="D188" s="311">
        <f>+PSA!$G189</f>
        <v>0</v>
      </c>
      <c r="E188" s="311">
        <f>+Montpe!$G189</f>
        <v>0</v>
      </c>
      <c r="F188" s="311">
        <f>+Montpe!E189+Grenoble!E189+STMarcelin!E189+PSA!E189</f>
        <v>40234.369999999995</v>
      </c>
      <c r="G188" s="592">
        <f>+Montpe!F189+Grenoble!F189+STMarcelin!F189+PSA!F189</f>
        <v>9631.6933333333345</v>
      </c>
      <c r="H188" s="113">
        <v>0</v>
      </c>
      <c r="I188" s="605">
        <f>+Montpe!G189+Grenoble!G189+STMarcelin!G189+PSA!G189</f>
        <v>0</v>
      </c>
      <c r="J188" s="591">
        <f t="shared" si="26"/>
        <v>-0.76061031070367602</v>
      </c>
      <c r="K188" s="595">
        <f t="shared" si="27"/>
        <v>-1</v>
      </c>
      <c r="L188" s="311">
        <f>+Dijon!D189+Eu!D189+Nancy!D189+Roanne!D189</f>
        <v>0</v>
      </c>
      <c r="M188" s="2">
        <v>0</v>
      </c>
    </row>
    <row r="189" spans="1:13" s="2" customFormat="1" ht="11.25" hidden="1">
      <c r="A189" s="5" t="s">
        <v>181</v>
      </c>
      <c r="B189" s="160">
        <f>+Grenoble!$G190</f>
        <v>0</v>
      </c>
      <c r="C189" s="113">
        <f>+STMarcelin!$G190</f>
        <v>0</v>
      </c>
      <c r="D189" s="113">
        <f>+PSA!$G190</f>
        <v>0</v>
      </c>
      <c r="E189" s="113">
        <f>+Montpe!$G190</f>
        <v>0</v>
      </c>
      <c r="F189" s="160">
        <f>+Montpe!E190+Grenoble!E190+STMarcelin!E190+PSA!E190</f>
        <v>0</v>
      </c>
      <c r="G189" s="135">
        <f>+Montpe!F190+Grenoble!F190+STMarcelin!F190+PSA!F190</f>
        <v>0</v>
      </c>
      <c r="H189" s="113">
        <v>0</v>
      </c>
      <c r="I189" s="161">
        <f>+Montpe!G190+Grenoble!G190+STMarcelin!G190+PSA!G190</f>
        <v>0</v>
      </c>
      <c r="J189" s="149">
        <f t="shared" si="26"/>
        <v>0</v>
      </c>
      <c r="K189" s="271">
        <f t="shared" si="27"/>
        <v>0</v>
      </c>
      <c r="L189" s="18">
        <f>+Dijon!D190+Eu!D190+Nancy!D190+Roanne!D190</f>
        <v>0</v>
      </c>
      <c r="M189" s="2">
        <f t="shared" si="18"/>
        <v>0</v>
      </c>
    </row>
    <row r="190" spans="1:13" s="2" customFormat="1" ht="11.25" hidden="1">
      <c r="A190" s="5" t="s">
        <v>182</v>
      </c>
      <c r="B190" s="160">
        <f>+Grenoble!$G191</f>
        <v>0</v>
      </c>
      <c r="C190" s="113">
        <f>+STMarcelin!$G191</f>
        <v>0</v>
      </c>
      <c r="D190" s="113">
        <f>+PSA!$G191</f>
        <v>0</v>
      </c>
      <c r="E190" s="113">
        <f>+Montpe!$G191</f>
        <v>0</v>
      </c>
      <c r="F190" s="160">
        <f>+Montpe!E191+Grenoble!E191+STMarcelin!E191+PSA!E191</f>
        <v>0</v>
      </c>
      <c r="G190" s="135">
        <f>+Montpe!F191+Grenoble!F191+STMarcelin!F191+PSA!F191</f>
        <v>0</v>
      </c>
      <c r="H190" s="113">
        <v>0</v>
      </c>
      <c r="I190" s="161">
        <f>+Montpe!G191+Grenoble!G191+STMarcelin!G191+PSA!G191</f>
        <v>0</v>
      </c>
      <c r="J190" s="149">
        <f t="shared" si="26"/>
        <v>0</v>
      </c>
      <c r="K190" s="271">
        <f t="shared" si="27"/>
        <v>0</v>
      </c>
      <c r="L190" s="18">
        <f>+Dijon!D191+Eu!D191+Nancy!D191+Roanne!D191</f>
        <v>0</v>
      </c>
      <c r="M190" s="2">
        <f t="shared" si="18"/>
        <v>0</v>
      </c>
    </row>
    <row r="191" spans="1:13" s="2" customFormat="1" ht="11.25" hidden="1">
      <c r="A191" s="5" t="s">
        <v>183</v>
      </c>
      <c r="B191" s="160">
        <f>+Grenoble!$G192</f>
        <v>0</v>
      </c>
      <c r="C191" s="113">
        <f>+STMarcelin!$G192</f>
        <v>0</v>
      </c>
      <c r="D191" s="113">
        <f>+PSA!$G192</f>
        <v>0</v>
      </c>
      <c r="E191" s="113">
        <f>+Montpe!$G192</f>
        <v>0</v>
      </c>
      <c r="F191" s="160">
        <f>+Montpe!E192+Grenoble!E192+STMarcelin!E192+PSA!E192</f>
        <v>0</v>
      </c>
      <c r="G191" s="135">
        <f>+Montpe!F192+Grenoble!F192+STMarcelin!F192+PSA!F192</f>
        <v>0</v>
      </c>
      <c r="H191" s="113">
        <v>0</v>
      </c>
      <c r="I191" s="161">
        <f>+Montpe!G192+Grenoble!G192+STMarcelin!G192+PSA!G192</f>
        <v>0</v>
      </c>
      <c r="J191" s="149">
        <f t="shared" si="26"/>
        <v>0</v>
      </c>
      <c r="K191" s="271">
        <f t="shared" si="27"/>
        <v>0</v>
      </c>
      <c r="L191" s="18">
        <f>+Dijon!D192+Eu!D192+Nancy!D192+Roanne!D192</f>
        <v>0</v>
      </c>
      <c r="M191" s="2">
        <f t="shared" si="18"/>
        <v>0</v>
      </c>
    </row>
    <row r="192" spans="1:13" s="2" customFormat="1" ht="11.25" hidden="1">
      <c r="A192" s="590" t="s">
        <v>184</v>
      </c>
      <c r="B192" s="311">
        <f>+Grenoble!$G193</f>
        <v>0</v>
      </c>
      <c r="C192" s="311">
        <f>+STMarcelin!$G193</f>
        <v>0</v>
      </c>
      <c r="D192" s="311">
        <f>+PSA!$G193</f>
        <v>0</v>
      </c>
      <c r="E192" s="311">
        <f>+Montpe!$G193</f>
        <v>0</v>
      </c>
      <c r="F192" s="311">
        <f>+Montpe!E193+Grenoble!E193+STMarcelin!E193+PSA!E193</f>
        <v>17835.719999999998</v>
      </c>
      <c r="G192" s="592">
        <f>+Montpe!F193+Grenoble!F193+STMarcelin!F193+PSA!F193</f>
        <v>193.21333333333331</v>
      </c>
      <c r="H192" s="113">
        <v>0</v>
      </c>
      <c r="I192" s="605">
        <f>+Montpe!G193+Grenoble!G193+STMarcelin!G193+PSA!G193</f>
        <v>0</v>
      </c>
      <c r="J192" s="591">
        <f t="shared" si="26"/>
        <v>-0.98916705726859733</v>
      </c>
      <c r="K192" s="595">
        <f t="shared" si="27"/>
        <v>-1</v>
      </c>
      <c r="L192" s="311">
        <f>+Dijon!D193+Eu!D193+Nancy!D193+Roanne!D193</f>
        <v>0</v>
      </c>
      <c r="M192" s="2">
        <v>0</v>
      </c>
    </row>
    <row r="193" spans="1:13" s="2" customFormat="1" ht="11.25" hidden="1">
      <c r="A193" s="590" t="s">
        <v>342</v>
      </c>
      <c r="B193" s="311">
        <f>+Grenoble!$G194</f>
        <v>0</v>
      </c>
      <c r="C193" s="311">
        <f>+STMarcelin!$G194</f>
        <v>0</v>
      </c>
      <c r="D193" s="311">
        <f>+PSA!$G194</f>
        <v>0</v>
      </c>
      <c r="E193" s="311">
        <f>+Montpe!$G194</f>
        <v>0</v>
      </c>
      <c r="F193" s="311">
        <f>+Montpe!E194+Grenoble!E194+STMarcelin!E194+PSA!E194</f>
        <v>15478.72</v>
      </c>
      <c r="G193" s="592">
        <f>+Montpe!F194+Grenoble!F194+STMarcelin!F194+PSA!F194</f>
        <v>0</v>
      </c>
      <c r="H193" s="113">
        <v>0</v>
      </c>
      <c r="I193" s="605">
        <f>+Montpe!G194+Grenoble!G194+STMarcelin!G194+PSA!G194</f>
        <v>0</v>
      </c>
      <c r="J193" s="591">
        <f t="shared" si="26"/>
        <v>-1</v>
      </c>
      <c r="K193" s="595">
        <f t="shared" si="27"/>
        <v>0</v>
      </c>
      <c r="L193" s="311">
        <f>+Dijon!D194+Eu!D194+Nancy!D194+Roanne!D194</f>
        <v>0</v>
      </c>
      <c r="M193" s="2">
        <v>0</v>
      </c>
    </row>
    <row r="194" spans="1:13" s="2" customFormat="1" ht="11.25" hidden="1">
      <c r="A194" s="5" t="s">
        <v>186</v>
      </c>
      <c r="B194" s="160">
        <f>+Grenoble!$G195</f>
        <v>0</v>
      </c>
      <c r="C194" s="113">
        <f>+STMarcelin!$G195</f>
        <v>0</v>
      </c>
      <c r="D194" s="113">
        <f>+PSA!$G195</f>
        <v>0</v>
      </c>
      <c r="E194" s="113">
        <f>+Montpe!$G195</f>
        <v>0</v>
      </c>
      <c r="F194" s="160">
        <f>+Montpe!E195+Grenoble!E195+STMarcelin!E195+PSA!E195</f>
        <v>0</v>
      </c>
      <c r="G194" s="135">
        <f>+Montpe!F195+Grenoble!F195+STMarcelin!F195+PSA!F195</f>
        <v>0</v>
      </c>
      <c r="H194" s="113">
        <v>0</v>
      </c>
      <c r="I194" s="161">
        <f>+Montpe!G195+Grenoble!G195+STMarcelin!G195+PSA!G195</f>
        <v>0</v>
      </c>
      <c r="J194" s="149">
        <f t="shared" si="26"/>
        <v>0</v>
      </c>
      <c r="K194" s="271">
        <f t="shared" si="27"/>
        <v>0</v>
      </c>
      <c r="L194" s="18">
        <f>+Dijon!D195+Eu!D195+Nancy!D195+Roanne!D195</f>
        <v>0</v>
      </c>
      <c r="M194" s="2">
        <f t="shared" si="18"/>
        <v>0</v>
      </c>
    </row>
    <row r="195" spans="1:13" s="2" customFormat="1" ht="11.25" hidden="1">
      <c r="A195" s="5" t="s">
        <v>187</v>
      </c>
      <c r="B195" s="160">
        <f>+Grenoble!$G196</f>
        <v>0</v>
      </c>
      <c r="C195" s="113">
        <f>+STMarcelin!$G196</f>
        <v>0</v>
      </c>
      <c r="D195" s="113">
        <f>+PSA!$G196</f>
        <v>0</v>
      </c>
      <c r="E195" s="113">
        <f>+Montpe!$G196</f>
        <v>0</v>
      </c>
      <c r="F195" s="160">
        <f>+Montpe!E196+Grenoble!E196+STMarcelin!E196+PSA!E196</f>
        <v>0</v>
      </c>
      <c r="G195" s="135">
        <f>+Montpe!F196+Grenoble!F196+STMarcelin!F196+PSA!F196</f>
        <v>0</v>
      </c>
      <c r="H195" s="113">
        <v>0</v>
      </c>
      <c r="I195" s="161">
        <f>+Montpe!G196+Grenoble!G196+STMarcelin!G196+PSA!G196</f>
        <v>0</v>
      </c>
      <c r="J195" s="149">
        <f t="shared" si="26"/>
        <v>0</v>
      </c>
      <c r="K195" s="271">
        <f t="shared" si="27"/>
        <v>0</v>
      </c>
      <c r="L195" s="18">
        <f>+Dijon!D196+Eu!D196+Nancy!D196+Roanne!D196</f>
        <v>0</v>
      </c>
      <c r="M195" s="2">
        <f t="shared" si="18"/>
        <v>0</v>
      </c>
    </row>
    <row r="196" spans="1:13" s="2" customFormat="1" ht="11.25" hidden="1">
      <c r="A196" s="590" t="s">
        <v>328</v>
      </c>
      <c r="B196" s="311">
        <f>+Grenoble!$G197</f>
        <v>0</v>
      </c>
      <c r="C196" s="311">
        <f>+STMarcelin!$G197</f>
        <v>0</v>
      </c>
      <c r="D196" s="311">
        <f>+PSA!$G197</f>
        <v>0</v>
      </c>
      <c r="E196" s="311">
        <f>+Montpe!$G197</f>
        <v>0</v>
      </c>
      <c r="F196" s="311">
        <f>+Montpe!E197+Grenoble!E197+STMarcelin!E197+PSA!E197</f>
        <v>74.91</v>
      </c>
      <c r="G196" s="592">
        <f>+Montpe!F197+Grenoble!F197+STMarcelin!F197+PSA!F197</f>
        <v>93.333333333333329</v>
      </c>
      <c r="H196" s="113">
        <v>0</v>
      </c>
      <c r="I196" s="605">
        <f>+Montpe!G197+Grenoble!G197+STMarcelin!G197+PSA!G197</f>
        <v>0</v>
      </c>
      <c r="J196" s="591">
        <f t="shared" si="26"/>
        <v>0.24593957193076135</v>
      </c>
      <c r="K196" s="595">
        <f t="shared" si="27"/>
        <v>-1</v>
      </c>
      <c r="L196" s="311">
        <f>+Dijon!D197+Eu!D197+Nancy!D197+Roanne!D197</f>
        <v>0</v>
      </c>
      <c r="M196" s="2">
        <v>0</v>
      </c>
    </row>
    <row r="197" spans="1:13" s="2" customFormat="1" ht="11.25" hidden="1">
      <c r="A197" s="590" t="s">
        <v>344</v>
      </c>
      <c r="B197" s="311">
        <f>+Grenoble!$G198</f>
        <v>0</v>
      </c>
      <c r="C197" s="311">
        <f>+STMarcelin!$G198</f>
        <v>0</v>
      </c>
      <c r="D197" s="311">
        <f>+PSA!$G198</f>
        <v>0</v>
      </c>
      <c r="E197" s="311">
        <f>+Montpe!$G198</f>
        <v>0</v>
      </c>
      <c r="F197" s="311">
        <f>+Montpe!E198+Grenoble!E198+STMarcelin!E198+PSA!E198</f>
        <v>0</v>
      </c>
      <c r="G197" s="592">
        <f>+Montpe!F198+Grenoble!F198+STMarcelin!F198+PSA!F198</f>
        <v>929.33333333333337</v>
      </c>
      <c r="H197" s="113">
        <v>0</v>
      </c>
      <c r="I197" s="605">
        <f>+Montpe!G198+Grenoble!G198+STMarcelin!G198+PSA!G198</f>
        <v>0</v>
      </c>
      <c r="J197" s="591">
        <f t="shared" si="26"/>
        <v>0</v>
      </c>
      <c r="K197" s="595">
        <f t="shared" si="27"/>
        <v>-1</v>
      </c>
      <c r="L197" s="311">
        <f>+Dijon!D198+Eu!D198+Nancy!D198+Roanne!D198</f>
        <v>0</v>
      </c>
      <c r="M197" s="2">
        <v>0</v>
      </c>
    </row>
    <row r="198" spans="1:13" s="2" customFormat="1" ht="11.25" hidden="1">
      <c r="A198" s="590" t="s">
        <v>77</v>
      </c>
      <c r="B198" s="311">
        <f>+Grenoble!$G199</f>
        <v>0</v>
      </c>
      <c r="C198" s="311">
        <f>+STMarcelin!$G199</f>
        <v>0</v>
      </c>
      <c r="D198" s="311">
        <f>+PSA!$G199</f>
        <v>0</v>
      </c>
      <c r="E198" s="311">
        <f>+Montpe!$G199</f>
        <v>0</v>
      </c>
      <c r="F198" s="311">
        <f>+Montpe!E199+Grenoble!E199+STMarcelin!E199+PSA!E199</f>
        <v>4273.2800000000007</v>
      </c>
      <c r="G198" s="592">
        <f>+Montpe!F199+Grenoble!F199+STMarcelin!F199+PSA!F199</f>
        <v>0</v>
      </c>
      <c r="H198" s="113">
        <v>0</v>
      </c>
      <c r="I198" s="605">
        <f>+Montpe!G199+Grenoble!G199+STMarcelin!G199+PSA!G199</f>
        <v>0</v>
      </c>
      <c r="J198" s="591">
        <f t="shared" si="26"/>
        <v>-1</v>
      </c>
      <c r="K198" s="595">
        <f t="shared" si="27"/>
        <v>0</v>
      </c>
      <c r="L198" s="311">
        <f>+Dijon!D199+Eu!D199+Nancy!D199+Roanne!D199</f>
        <v>0</v>
      </c>
      <c r="M198" s="2">
        <v>0</v>
      </c>
    </row>
    <row r="199" spans="1:13" s="2" customFormat="1" ht="11.25" hidden="1">
      <c r="A199" s="5"/>
      <c r="B199" s="160"/>
      <c r="C199" s="113"/>
      <c r="D199" s="113"/>
      <c r="E199" s="113"/>
      <c r="F199" s="160"/>
      <c r="G199" s="134"/>
      <c r="H199" s="113"/>
      <c r="I199" s="162"/>
      <c r="J199" s="149"/>
      <c r="K199" s="254"/>
      <c r="L199" s="18"/>
      <c r="M199" s="2">
        <f t="shared" si="18"/>
        <v>0</v>
      </c>
    </row>
    <row r="200" spans="1:13" s="678" customFormat="1" ht="11.25">
      <c r="A200" s="695" t="s">
        <v>188</v>
      </c>
      <c r="B200" s="758">
        <f t="shared" ref="B200:G200" si="28">SUM(B185:B199)</f>
        <v>0</v>
      </c>
      <c r="C200" s="758">
        <f t="shared" si="28"/>
        <v>0</v>
      </c>
      <c r="D200" s="758">
        <f t="shared" si="28"/>
        <v>0</v>
      </c>
      <c r="E200" s="758">
        <f t="shared" si="28"/>
        <v>0</v>
      </c>
      <c r="F200" s="758">
        <f t="shared" si="28"/>
        <v>77897</v>
      </c>
      <c r="G200" s="764">
        <f t="shared" si="28"/>
        <v>12447.573333333336</v>
      </c>
      <c r="H200" s="204">
        <v>0</v>
      </c>
      <c r="I200" s="758">
        <f>SUM(I185:I199)</f>
        <v>0</v>
      </c>
      <c r="J200" s="759">
        <f>+IF((F200)=0,,(G200-F200)/F200)</f>
        <v>-0.84020471477292669</v>
      </c>
      <c r="K200" s="760">
        <f>+IF((G200)=0,,(I200-G200)/G200)</f>
        <v>-1</v>
      </c>
      <c r="L200" s="758">
        <f>SUM(L185:L199)</f>
        <v>0</v>
      </c>
      <c r="M200" s="678">
        <f t="shared" ref="M200:M254" si="29">IF(SUM(B200:L200)&gt;0,1,0)</f>
        <v>1</v>
      </c>
    </row>
    <row r="201" spans="1:13" s="2" customFormat="1" ht="11.25" hidden="1">
      <c r="A201" s="5"/>
      <c r="B201" s="160"/>
      <c r="C201" s="113"/>
      <c r="D201" s="113"/>
      <c r="E201" s="113"/>
      <c r="F201" s="160"/>
      <c r="G201" s="134"/>
      <c r="H201" s="113"/>
      <c r="I201" s="162"/>
      <c r="J201" s="149"/>
      <c r="K201" s="254"/>
      <c r="L201" s="18"/>
      <c r="M201" s="2">
        <f t="shared" si="29"/>
        <v>0</v>
      </c>
    </row>
    <row r="202" spans="1:13" s="678" customFormat="1" ht="11.25">
      <c r="A202" s="713" t="s">
        <v>189</v>
      </c>
      <c r="B202" s="773">
        <f t="shared" ref="B202:G202" si="30">+B103+B116+B129+B153+B167+B184-B200</f>
        <v>524772.12931161385</v>
      </c>
      <c r="C202" s="773">
        <f t="shared" si="30"/>
        <v>147393.49207140171</v>
      </c>
      <c r="D202" s="773">
        <f t="shared" si="30"/>
        <v>673979.97194282175</v>
      </c>
      <c r="E202" s="773">
        <f t="shared" si="30"/>
        <v>283748.40856716613</v>
      </c>
      <c r="F202" s="773">
        <f t="shared" si="30"/>
        <v>1598802.1976799998</v>
      </c>
      <c r="G202" s="774">
        <f t="shared" si="30"/>
        <v>1578971.6999999997</v>
      </c>
      <c r="H202" s="206">
        <v>837636.56991162035</v>
      </c>
      <c r="I202" s="773">
        <f>+I103+I116+I129+I153+I167+I184-I200</f>
        <v>1629894.0018930032</v>
      </c>
      <c r="J202" s="775">
        <f>+IF((F202)=0,,(G202-F202)/F202)</f>
        <v>-1.2403346523275861E-2</v>
      </c>
      <c r="K202" s="776">
        <f>+IF((G202)=0,,(I202-G202)/G202)</f>
        <v>3.2250294221868273E-2</v>
      </c>
      <c r="L202" s="773">
        <f>+L103+L116+L129+L153+L167+L184-L200</f>
        <v>1408020.7661032123</v>
      </c>
      <c r="M202" s="678">
        <f t="shared" si="29"/>
        <v>1</v>
      </c>
    </row>
    <row r="203" spans="1:13" s="2" customFormat="1" ht="11.25" hidden="1">
      <c r="A203" s="5"/>
      <c r="B203" s="160"/>
      <c r="C203" s="113"/>
      <c r="D203" s="113"/>
      <c r="E203" s="113"/>
      <c r="F203" s="160"/>
      <c r="G203" s="134"/>
      <c r="H203" s="25"/>
      <c r="I203" s="162"/>
      <c r="J203" s="149"/>
      <c r="K203" s="254"/>
      <c r="L203" s="18"/>
      <c r="M203" s="2">
        <f t="shared" si="29"/>
        <v>0</v>
      </c>
    </row>
    <row r="204" spans="1:13" s="678" customFormat="1" ht="11.25">
      <c r="A204" s="673" t="s">
        <v>228</v>
      </c>
      <c r="B204" s="777">
        <f>+B62-B202</f>
        <v>227088.14793108485</v>
      </c>
      <c r="C204" s="777">
        <f>+C62-C202</f>
        <v>-516.6938467847649</v>
      </c>
      <c r="D204" s="777">
        <f>+D62-D202</f>
        <v>111042.59311978007</v>
      </c>
      <c r="E204" s="777">
        <f>+E62-E202</f>
        <v>15415.375916598889</v>
      </c>
      <c r="F204" s="777">
        <f>+F53-F202</f>
        <v>403200.80342000071</v>
      </c>
      <c r="G204" s="778">
        <f>+G62-G202</f>
        <v>256044.10938101122</v>
      </c>
      <c r="H204" s="228">
        <v>309785.05643777945</v>
      </c>
      <c r="I204" s="777">
        <f>+I62-I202</f>
        <v>353029.42312067933</v>
      </c>
      <c r="J204" s="779">
        <f>+IF((F204)=0,,(G204-F204)/F204)</f>
        <v>-0.36497123217708799</v>
      </c>
      <c r="K204" s="780">
        <f>+IF((G204)=0,,(I204-G204)/G204)</f>
        <v>0.37878361651877451</v>
      </c>
      <c r="L204" s="777">
        <f>+L62-L202</f>
        <v>454776.23389678774</v>
      </c>
      <c r="M204" s="678">
        <f t="shared" si="29"/>
        <v>1</v>
      </c>
    </row>
    <row r="205" spans="1:13" s="2" customFormat="1" ht="11.25" hidden="1">
      <c r="A205" s="5"/>
      <c r="B205" s="160"/>
      <c r="C205" s="113"/>
      <c r="D205" s="113"/>
      <c r="E205" s="113"/>
      <c r="F205" s="160"/>
      <c r="G205" s="134"/>
      <c r="H205" s="113"/>
      <c r="I205" s="162"/>
      <c r="J205" s="149"/>
      <c r="K205" s="254"/>
      <c r="L205" s="18"/>
      <c r="M205" s="2">
        <f t="shared" si="29"/>
        <v>0</v>
      </c>
    </row>
    <row r="206" spans="1:13" s="678" customFormat="1" ht="11.25">
      <c r="A206" s="718" t="s">
        <v>251</v>
      </c>
      <c r="B206" s="781">
        <f>+Grenoble!$G207</f>
        <v>7802.8735947064988</v>
      </c>
      <c r="C206" s="781">
        <f>+STMarcelin!$G207</f>
        <v>1243.9879366999451</v>
      </c>
      <c r="D206" s="781">
        <f>+PSA!$G207</f>
        <v>8898.9282400370121</v>
      </c>
      <c r="E206" s="781">
        <f>+Montpe!$G207</f>
        <v>3282.9554970957706</v>
      </c>
      <c r="F206" s="782">
        <f>+Montpe!E207+Grenoble!E207+STMarcelin!E207+PSA!E207</f>
        <v>11240.763511104517</v>
      </c>
      <c r="G206" s="782">
        <f>+Montpe!F207+Grenoble!F207+STMarcelin!F207+PSA!F207</f>
        <v>14405.492161155325</v>
      </c>
      <c r="H206" s="150">
        <v>21490.909252861464</v>
      </c>
      <c r="I206" s="782">
        <f>+Montpe!G207+Grenoble!G207+STMarcelin!G207+PSA!G207</f>
        <v>21228.745268539227</v>
      </c>
      <c r="J206" s="783">
        <f>+IF((F206)=0,,(G206-F206)/F206)</f>
        <v>0.28154036395520993</v>
      </c>
      <c r="K206" s="784">
        <f>+IF((G206)=0,,(I206-G206)/G206)</f>
        <v>0.47365636876905387</v>
      </c>
      <c r="L206" s="782">
        <f>+Dijon!D207+Eu!D207+Nancy!D207+Roanne!D207</f>
        <v>25614.593618466813</v>
      </c>
      <c r="M206" s="678">
        <f t="shared" si="29"/>
        <v>1</v>
      </c>
    </row>
    <row r="207" spans="1:13" s="2" customFormat="1" ht="11.25" hidden="1">
      <c r="A207" s="5"/>
      <c r="B207" s="160"/>
      <c r="C207" s="113"/>
      <c r="D207" s="113"/>
      <c r="E207" s="113"/>
      <c r="F207" s="160"/>
      <c r="G207" s="134"/>
      <c r="H207" s="113"/>
      <c r="I207" s="162"/>
      <c r="J207" s="149"/>
      <c r="K207" s="254"/>
      <c r="L207" s="18"/>
      <c r="M207" s="2">
        <f t="shared" si="29"/>
        <v>0</v>
      </c>
    </row>
    <row r="208" spans="1:13" s="678" customFormat="1" ht="11.25">
      <c r="A208" s="673" t="s">
        <v>190</v>
      </c>
      <c r="B208" s="777">
        <f t="shared" ref="B208:G208" si="31">+B204-B206</f>
        <v>219285.27433637835</v>
      </c>
      <c r="C208" s="777">
        <f t="shared" si="31"/>
        <v>-1760.68178348471</v>
      </c>
      <c r="D208" s="777">
        <f t="shared" si="31"/>
        <v>102143.66487974305</v>
      </c>
      <c r="E208" s="777">
        <f t="shared" si="31"/>
        <v>12132.420419503118</v>
      </c>
      <c r="F208" s="777">
        <f t="shared" si="31"/>
        <v>391960.0399088962</v>
      </c>
      <c r="G208" s="778">
        <f t="shared" si="31"/>
        <v>241638.61721985589</v>
      </c>
      <c r="H208" s="228">
        <v>288294.14718491799</v>
      </c>
      <c r="I208" s="777">
        <f>+I204-I206</f>
        <v>331800.6778521401</v>
      </c>
      <c r="J208" s="779">
        <f>+IF((F208)=0,,(G208-F208)/F208)</f>
        <v>-0.3835121119080907</v>
      </c>
      <c r="K208" s="780">
        <f>+IF((G208)=0,,(I208-G208)/G208)</f>
        <v>0.37312769651487404</v>
      </c>
      <c r="L208" s="777">
        <f>+L204-L206</f>
        <v>429161.64027832093</v>
      </c>
      <c r="M208" s="678">
        <f t="shared" si="29"/>
        <v>1</v>
      </c>
    </row>
    <row r="209" spans="1:14" s="2" customFormat="1" ht="11.25" hidden="1">
      <c r="A209" s="5"/>
      <c r="B209" s="160"/>
      <c r="C209" s="113"/>
      <c r="D209" s="113"/>
      <c r="E209" s="113"/>
      <c r="F209" s="160"/>
      <c r="G209" s="134"/>
      <c r="H209" s="113"/>
      <c r="I209" s="162"/>
      <c r="J209" s="149"/>
      <c r="K209" s="254"/>
      <c r="L209" s="18"/>
      <c r="M209" s="2">
        <f t="shared" si="29"/>
        <v>0</v>
      </c>
    </row>
    <row r="210" spans="1:14" s="678" customFormat="1" ht="11.25">
      <c r="A210" s="690" t="s">
        <v>191</v>
      </c>
      <c r="B210" s="753">
        <f>+Grenoble!$G211</f>
        <v>9644.6846793104778</v>
      </c>
      <c r="C210" s="753">
        <f>+STMarcelin!$G211</f>
        <v>9644.6846793104778</v>
      </c>
      <c r="D210" s="753">
        <f>+PSA!$G211</f>
        <v>9644.6846793104778</v>
      </c>
      <c r="E210" s="753">
        <f>+Montpe!$G211</f>
        <v>9644.6846793104778</v>
      </c>
      <c r="F210" s="753">
        <f>+Montpe!E211+Grenoble!E211+STMarcelin!E211+PSA!E211</f>
        <v>32380.344287999997</v>
      </c>
      <c r="G210" s="754">
        <f>+Montpe!F211+Grenoble!F211+STMarcelin!F211+PSA!F211</f>
        <v>35991.843053763427</v>
      </c>
      <c r="H210" s="113">
        <v>18331.52660513256</v>
      </c>
      <c r="I210" s="755">
        <f>+Montpe!G211+Grenoble!G211+STMarcelin!G211+PSA!G211</f>
        <v>38578.738717241911</v>
      </c>
      <c r="J210" s="756">
        <f>+IF((F210)=0,,(G210-F210)/F210)</f>
        <v>0.11153367405984731</v>
      </c>
      <c r="K210" s="757">
        <f>+IF((G210)=0,,(I210-G210)/G210)</f>
        <v>7.1874498330476308E-2</v>
      </c>
      <c r="L210" s="753">
        <f>+Dijon!D211+Eu!D211+Nancy!D211+Roanne!D211</f>
        <v>33828.111664621531</v>
      </c>
      <c r="M210" s="678">
        <f t="shared" si="29"/>
        <v>1</v>
      </c>
    </row>
    <row r="211" spans="1:14">
      <c r="A211" s="690" t="s">
        <v>192</v>
      </c>
      <c r="B211" s="753">
        <f>+Grenoble!$G212</f>
        <v>84070.051092516165</v>
      </c>
      <c r="C211" s="753">
        <f>+STMarcelin!$G212</f>
        <v>13403.027503583691</v>
      </c>
      <c r="D211" s="753">
        <f>+PSA!$G212</f>
        <v>95879.209464072715</v>
      </c>
      <c r="E211" s="753">
        <f>+Montpe!$G212</f>
        <v>35371.358131770394</v>
      </c>
      <c r="F211" s="753">
        <f>+Montpe!E212+Grenoble!E212+STMarcelin!E212+PSA!E212</f>
        <v>200275.89768961555</v>
      </c>
      <c r="G211" s="754">
        <f>+Montpe!F212+Grenoble!F212+STMarcelin!F212+PSA!F212</f>
        <v>217273.54487148626</v>
      </c>
      <c r="H211" s="113">
        <v>143418.09017186947</v>
      </c>
      <c r="I211" s="755">
        <f>+Montpe!G212+Grenoble!G212+STMarcelin!G212+PSA!G212</f>
        <v>228723.64619194297</v>
      </c>
      <c r="J211" s="756">
        <f>+IF((F211)=0,,(G211-F211)/F211)</f>
        <v>8.4871157128519753E-2</v>
      </c>
      <c r="K211" s="757">
        <f>+IF((G211)=0,,(I211-G211)/G211)</f>
        <v>5.2699012791590713E-2</v>
      </c>
      <c r="L211" s="753">
        <f>+Dijon!D212+Eu!D212+Nancy!D212+Roanne!D212</f>
        <v>158576.28138374342</v>
      </c>
      <c r="M211" s="678">
        <f t="shared" si="29"/>
        <v>1</v>
      </c>
    </row>
    <row r="212" spans="1:14" customFormat="1" hidden="1">
      <c r="A212" s="5" t="s">
        <v>193</v>
      </c>
      <c r="B212" s="160">
        <f>+Grenoble!$G213</f>
        <v>-19007.070865999998</v>
      </c>
      <c r="C212" s="113">
        <f>+STMarcelin!$G213</f>
        <v>-2588.9995809999996</v>
      </c>
      <c r="D212" s="113">
        <f>+PSA!$G213</f>
        <v>-17457.422236800005</v>
      </c>
      <c r="E212" s="113">
        <f>+Montpe!$G213</f>
        <v>-7892.5483000000013</v>
      </c>
      <c r="F212" s="160">
        <f>+Montpe!E213+Grenoble!E213+STMarcelin!E213+PSA!E213</f>
        <v>-43525.600000000006</v>
      </c>
      <c r="G212" s="135">
        <f>+Montpe!F213+Grenoble!F213+STMarcelin!F213+PSA!F213</f>
        <v>-42558.146666666667</v>
      </c>
      <c r="H212" s="113">
        <v>-40969.760000000002</v>
      </c>
      <c r="I212" s="161">
        <f>+Montpe!G213+Grenoble!G213+STMarcelin!G213+PSA!G213</f>
        <v>-46946.040983800005</v>
      </c>
      <c r="J212" s="149">
        <f>+IF((F212)=0,,(G212-F212)/F212)</f>
        <v>-2.2227225663364509E-2</v>
      </c>
      <c r="K212" s="271">
        <f>+IF((G212)=0,,(I212-G212)/G212)</f>
        <v>0.10310351039252659</v>
      </c>
      <c r="L212" s="18">
        <f>+Dijon!D213+Eu!D213+Nancy!D213+Roanne!D213</f>
        <v>-39680.479999999996</v>
      </c>
      <c r="M212" s="2">
        <f t="shared" si="29"/>
        <v>0</v>
      </c>
    </row>
    <row r="213" spans="1:14" customFormat="1" hidden="1">
      <c r="A213" s="5"/>
      <c r="B213" s="160"/>
      <c r="C213" s="113"/>
      <c r="D213" s="113"/>
      <c r="E213" s="113"/>
      <c r="F213" s="160"/>
      <c r="G213" s="134"/>
      <c r="H213" s="113"/>
      <c r="I213" s="162"/>
      <c r="J213" s="149"/>
      <c r="K213" s="254"/>
      <c r="L213" s="18"/>
      <c r="M213" s="2">
        <f t="shared" si="29"/>
        <v>0</v>
      </c>
    </row>
    <row r="214" spans="1:14">
      <c r="A214" s="721" t="s">
        <v>194</v>
      </c>
      <c r="B214" s="785">
        <f t="shared" ref="B214:G214" si="32">SUM(B209:B212)</f>
        <v>74707.664905826648</v>
      </c>
      <c r="C214" s="785">
        <f t="shared" si="32"/>
        <v>20458.712601894167</v>
      </c>
      <c r="D214" s="785">
        <f t="shared" si="32"/>
        <v>88066.471906583189</v>
      </c>
      <c r="E214" s="785">
        <f t="shared" si="32"/>
        <v>37123.494511080869</v>
      </c>
      <c r="F214" s="785">
        <f t="shared" si="32"/>
        <v>189130.64197761554</v>
      </c>
      <c r="G214" s="786">
        <f t="shared" si="32"/>
        <v>210707.24125858303</v>
      </c>
      <c r="H214" s="230">
        <v>120779.85677700202</v>
      </c>
      <c r="I214" s="785">
        <f>SUM(I209:I212)</f>
        <v>220356.34392538486</v>
      </c>
      <c r="J214" s="783">
        <f>+IF((F214)=0,,(G214-F214)/F214)</f>
        <v>0.11408304363246005</v>
      </c>
      <c r="K214" s="784">
        <f>+IF((G214)=0,,(I214-G214)/G214)</f>
        <v>4.5793882588782558E-2</v>
      </c>
      <c r="L214" s="785">
        <f>SUM(L209:L212)</f>
        <v>152723.91304836498</v>
      </c>
      <c r="M214" s="678">
        <f t="shared" si="29"/>
        <v>1</v>
      </c>
    </row>
    <row r="215" spans="1:14" customFormat="1" hidden="1">
      <c r="A215" s="5"/>
      <c r="B215" s="160"/>
      <c r="C215" s="113"/>
      <c r="D215" s="113"/>
      <c r="E215" s="113"/>
      <c r="F215" s="160"/>
      <c r="G215" s="134"/>
      <c r="H215" s="113"/>
      <c r="I215" s="162"/>
      <c r="J215" s="149"/>
      <c r="K215" s="254"/>
      <c r="L215" s="18"/>
      <c r="M215" s="2">
        <f t="shared" si="29"/>
        <v>0</v>
      </c>
    </row>
    <row r="216" spans="1:14" s="684" customFormat="1" ht="24" customHeight="1">
      <c r="A216" s="740" t="s">
        <v>332</v>
      </c>
      <c r="B216" s="809">
        <f t="shared" ref="B216:G216" si="33">+B208-B214</f>
        <v>144577.6094305517</v>
      </c>
      <c r="C216" s="809">
        <f t="shared" si="33"/>
        <v>-22219.394385378877</v>
      </c>
      <c r="D216" s="809">
        <f t="shared" si="33"/>
        <v>14077.192973159865</v>
      </c>
      <c r="E216" s="809">
        <f t="shared" si="33"/>
        <v>-24991.07409157775</v>
      </c>
      <c r="F216" s="809">
        <f t="shared" si="33"/>
        <v>202829.39793128066</v>
      </c>
      <c r="G216" s="1065">
        <f t="shared" si="33"/>
        <v>30931.375961272861</v>
      </c>
      <c r="H216" s="741">
        <v>167514.29040791598</v>
      </c>
      <c r="I216" s="809">
        <f>+I208-I214</f>
        <v>111444.33392675524</v>
      </c>
      <c r="J216" s="1066">
        <f>+IF((F216)=0,,(G216-F216)/F216)</f>
        <v>-0.8475005286376065</v>
      </c>
      <c r="K216" s="787">
        <f>+IF((G216)=0,,(I216-G216)/G216)</f>
        <v>2.6029542968372099</v>
      </c>
      <c r="L216" s="788">
        <f>+L208-L214</f>
        <v>276437.72722995596</v>
      </c>
      <c r="M216" s="684">
        <f t="shared" si="29"/>
        <v>1</v>
      </c>
    </row>
    <row r="217" spans="1:14">
      <c r="A217" s="724" t="s">
        <v>44</v>
      </c>
      <c r="B217" s="753">
        <f>+Grenoble!$G217</f>
        <v>144577.6094305517</v>
      </c>
      <c r="C217" s="753">
        <f>+STMarcelin!$G217</f>
        <v>-22219.394385378877</v>
      </c>
      <c r="D217" s="753">
        <f>+PSA!$G217</f>
        <v>14077.192973159865</v>
      </c>
      <c r="E217" s="753">
        <f>+Montpe!$G217</f>
        <v>-24991.07409157775</v>
      </c>
      <c r="F217" s="754">
        <f>+Montpe!E217+Grenoble!E217+STMarcelin!E217+PSA!E217</f>
        <v>202829.39793128049</v>
      </c>
      <c r="G217" s="754">
        <f>+Montpe!F217+Grenoble!F217+STMarcelin!F217+PSA!F217</f>
        <v>30931.375961272701</v>
      </c>
      <c r="H217" s="113">
        <v>167514.29040791569</v>
      </c>
      <c r="I217" s="754">
        <f>+Montpe!G217+Grenoble!G217+STMarcelin!G217+PSA!G217</f>
        <v>111444.33392675493</v>
      </c>
      <c r="J217" s="789"/>
      <c r="K217" s="789"/>
      <c r="L217" s="753">
        <f>+Dijon!D217+Eu!D217+Nancy!D217+Roanne!D217</f>
        <v>276437.72722995642</v>
      </c>
      <c r="M217" s="678">
        <f t="shared" si="29"/>
        <v>1</v>
      </c>
    </row>
    <row r="218" spans="1:14" customFormat="1" hidden="1">
      <c r="A218" s="87"/>
      <c r="B218" s="110"/>
      <c r="C218" s="110"/>
      <c r="D218" s="110"/>
      <c r="E218" s="110"/>
      <c r="F218" s="110"/>
      <c r="G218" s="110"/>
      <c r="H218" s="110"/>
      <c r="I218" s="110"/>
      <c r="J218" s="66"/>
      <c r="K218" s="66"/>
      <c r="L218" s="113"/>
      <c r="M218" s="2">
        <f t="shared" si="29"/>
        <v>0</v>
      </c>
    </row>
    <row r="219" spans="1:14" s="2" customFormat="1" ht="11.25" hidden="1">
      <c r="B219" s="17"/>
      <c r="C219" s="17"/>
      <c r="D219" s="17"/>
      <c r="E219" s="17"/>
      <c r="F219" s="17"/>
      <c r="G219" s="17"/>
      <c r="H219" s="17"/>
      <c r="I219" s="17"/>
      <c r="J219" s="66"/>
      <c r="K219" s="66"/>
      <c r="L219" s="113"/>
      <c r="M219" s="2">
        <f t="shared" si="29"/>
        <v>0</v>
      </c>
    </row>
    <row r="220" spans="1:14" s="2" customFormat="1" ht="11.25" hidden="1">
      <c r="M220" s="2">
        <f t="shared" si="29"/>
        <v>0</v>
      </c>
    </row>
    <row r="221" spans="1:14" s="2" customFormat="1" ht="11.25" hidden="1">
      <c r="B221" s="17"/>
      <c r="C221" s="17"/>
      <c r="D221" s="17"/>
      <c r="E221" s="17"/>
      <c r="F221" s="17"/>
      <c r="G221" s="17"/>
      <c r="H221" s="17"/>
      <c r="I221" s="17"/>
      <c r="L221" s="17"/>
      <c r="M221" s="2">
        <f t="shared" si="29"/>
        <v>0</v>
      </c>
    </row>
    <row r="222" spans="1:14" s="678" customFormat="1" ht="11.25">
      <c r="A222" s="725" t="s">
        <v>67</v>
      </c>
      <c r="B222" s="790">
        <f>+Grenoble!$G222</f>
        <v>1614563.1092879712</v>
      </c>
      <c r="C222" s="790">
        <f>+STMarcelin!$G222</f>
        <v>375546.10122174647</v>
      </c>
      <c r="D222" s="790">
        <f>+PSA!$G222</f>
        <v>2263426.6211872259</v>
      </c>
      <c r="E222" s="790">
        <f>+Montpe!$G222</f>
        <v>919756.6467208406</v>
      </c>
      <c r="F222" s="790">
        <f>+(F214+F206+F202)/F60</f>
        <v>4923936.0039142426</v>
      </c>
      <c r="G222" s="790">
        <f>+(G214+G206+G202)/G60</f>
        <v>5132191.2581758043</v>
      </c>
      <c r="H222" s="265">
        <f>+(H214+H206+H202)/H60</f>
        <v>3006832.7429065062</v>
      </c>
      <c r="I222" s="790">
        <f>+(I214+I206+I202)/I60</f>
        <v>5170832.1508898726</v>
      </c>
      <c r="J222" s="790"/>
      <c r="K222" s="790"/>
      <c r="L222" s="790">
        <f>+(L214+L206+L202)/L60</f>
        <v>3683718.1532206745</v>
      </c>
      <c r="M222" s="678">
        <f t="shared" si="29"/>
        <v>1</v>
      </c>
      <c r="N222" s="727"/>
    </row>
    <row r="223" spans="1:14" s="678" customFormat="1" ht="11.25">
      <c r="A223" s="725" t="s">
        <v>66</v>
      </c>
      <c r="B223" s="790">
        <f>+Grenoble!$G223</f>
        <v>134546.92577399759</v>
      </c>
      <c r="C223" s="790">
        <f>+STMarcelin!$G223</f>
        <v>31295.508435145541</v>
      </c>
      <c r="D223" s="790">
        <f>+PSA!$G223</f>
        <v>188618.88509893548</v>
      </c>
      <c r="E223" s="790">
        <f>+Montpe!$G223</f>
        <v>76646.387226736711</v>
      </c>
      <c r="F223" s="790">
        <f>+F222/12</f>
        <v>410328.00032618688</v>
      </c>
      <c r="G223" s="790">
        <f>+G222/12</f>
        <v>427682.60484798369</v>
      </c>
      <c r="H223" s="265">
        <f>+H222/12</f>
        <v>250569.39524220885</v>
      </c>
      <c r="I223" s="790">
        <f>+I222/12</f>
        <v>430902.67924082273</v>
      </c>
      <c r="J223" s="790"/>
      <c r="K223" s="790"/>
      <c r="L223" s="790">
        <f>+L222/12</f>
        <v>306976.51276838954</v>
      </c>
      <c r="M223" s="678">
        <f t="shared" si="29"/>
        <v>1</v>
      </c>
      <c r="N223" s="727"/>
    </row>
    <row r="224" spans="1:14" customFormat="1" hidden="1">
      <c r="B224" s="26"/>
      <c r="C224" s="26"/>
      <c r="D224" s="26"/>
      <c r="E224" s="26"/>
      <c r="F224" s="26"/>
      <c r="G224" s="26"/>
      <c r="H224" s="26"/>
      <c r="I224" s="26"/>
      <c r="J224" s="66"/>
      <c r="K224" s="66"/>
      <c r="L224" s="17"/>
      <c r="M224" s="2">
        <f t="shared" si="29"/>
        <v>0</v>
      </c>
    </row>
    <row r="225" spans="1:13" customFormat="1" hidden="1">
      <c r="B225" s="26"/>
      <c r="C225" s="26"/>
      <c r="D225" s="26"/>
      <c r="E225" s="26"/>
      <c r="F225" s="26"/>
      <c r="G225" s="26"/>
      <c r="H225" s="26"/>
      <c r="I225" s="26"/>
      <c r="J225" s="66"/>
      <c r="K225" s="66"/>
      <c r="L225" s="17"/>
      <c r="M225" s="2">
        <f t="shared" si="29"/>
        <v>0</v>
      </c>
    </row>
    <row r="226" spans="1:13" s="2" customFormat="1" ht="12.75" hidden="1" customHeight="1">
      <c r="A226" s="6"/>
      <c r="B226" s="155"/>
      <c r="C226" s="211"/>
      <c r="D226" s="211"/>
      <c r="E226" s="211"/>
      <c r="F226" s="267" t="s">
        <v>54</v>
      </c>
      <c r="G226" s="130" t="s">
        <v>196</v>
      </c>
      <c r="H226" s="130" t="s">
        <v>54</v>
      </c>
      <c r="I226" s="104" t="s">
        <v>54</v>
      </c>
      <c r="J226" s="151" t="s">
        <v>225</v>
      </c>
      <c r="K226" s="183" t="s">
        <v>225</v>
      </c>
      <c r="L226" s="8" t="s">
        <v>196</v>
      </c>
      <c r="M226" s="2">
        <f t="shared" si="29"/>
        <v>0</v>
      </c>
    </row>
    <row r="227" spans="1:13" s="2" customFormat="1" ht="20.25" hidden="1" customHeight="1">
      <c r="A227" s="7" t="str">
        <f>+A4</f>
        <v>DAVID FAVARIO</v>
      </c>
      <c r="B227" s="1432" t="s">
        <v>214</v>
      </c>
      <c r="C227" s="1434" t="s">
        <v>438</v>
      </c>
      <c r="D227" s="1450" t="s">
        <v>439</v>
      </c>
      <c r="E227" s="1426" t="s">
        <v>424</v>
      </c>
      <c r="F227" s="260" t="str">
        <f>Clients!E13</f>
        <v>Septembre</v>
      </c>
      <c r="G227" s="131" t="s">
        <v>224</v>
      </c>
      <c r="H227" s="131" t="str">
        <f>+F227</f>
        <v>Septembre</v>
      </c>
      <c r="I227" s="105" t="str">
        <f>+F227</f>
        <v>Septembre</v>
      </c>
      <c r="J227" s="152"/>
      <c r="K227" s="132" t="str">
        <f>+K4</f>
        <v>PERIMETRE</v>
      </c>
      <c r="L227" s="9" t="s">
        <v>197</v>
      </c>
      <c r="M227" s="2">
        <f t="shared" si="29"/>
        <v>0</v>
      </c>
    </row>
    <row r="228" spans="1:13" s="678" customFormat="1" ht="11.25" customHeight="1">
      <c r="A228" s="728"/>
      <c r="B228" s="1446"/>
      <c r="C228" s="1449"/>
      <c r="D228" s="1449"/>
      <c r="E228" s="1446"/>
      <c r="F228" s="688"/>
      <c r="G228" s="688"/>
      <c r="H228" s="132">
        <v>2009</v>
      </c>
      <c r="I228" s="688"/>
      <c r="J228" s="689"/>
      <c r="K228" s="688" t="str">
        <f>+K5</f>
        <v>IDENTIQUE</v>
      </c>
      <c r="L228" s="688"/>
      <c r="M228" s="678">
        <f t="shared" si="29"/>
        <v>1</v>
      </c>
    </row>
    <row r="229" spans="1:13" s="678" customFormat="1" ht="11.25">
      <c r="A229" s="688"/>
      <c r="B229" s="687"/>
      <c r="C229" s="687"/>
      <c r="D229" s="687"/>
      <c r="E229" s="687"/>
      <c r="F229" s="688">
        <f>+Clients!E14</f>
        <v>2010</v>
      </c>
      <c r="G229" s="688">
        <v>2009</v>
      </c>
      <c r="H229" s="133" t="s">
        <v>429</v>
      </c>
      <c r="I229" s="688">
        <f>+F229-1</f>
        <v>2009</v>
      </c>
      <c r="J229" s="689" t="s">
        <v>367</v>
      </c>
      <c r="K229" s="689" t="s">
        <v>368</v>
      </c>
      <c r="L229" s="688">
        <v>2008</v>
      </c>
      <c r="M229" s="678">
        <f t="shared" si="29"/>
        <v>1</v>
      </c>
    </row>
    <row r="230" spans="1:13" s="2" customFormat="1" ht="11.25" hidden="1" customHeight="1">
      <c r="B230" s="92"/>
      <c r="C230" s="113"/>
      <c r="D230" s="154"/>
      <c r="E230" s="154"/>
      <c r="F230" s="160"/>
      <c r="G230" s="431"/>
      <c r="H230" s="287"/>
      <c r="I230" s="162"/>
      <c r="J230" s="92"/>
      <c r="K230" s="186"/>
      <c r="L230" s="1110"/>
      <c r="M230" s="2">
        <f t="shared" si="29"/>
        <v>0</v>
      </c>
    </row>
    <row r="231" spans="1:13" s="729" customFormat="1" ht="15" customHeight="1">
      <c r="A231" s="713" t="s">
        <v>223</v>
      </c>
      <c r="B231" s="773">
        <f>+B51</f>
        <v>1998947</v>
      </c>
      <c r="C231" s="773">
        <f>+C51</f>
        <v>326199</v>
      </c>
      <c r="D231" s="773">
        <f>+D51</f>
        <v>2304756</v>
      </c>
      <c r="E231" s="773">
        <f t="shared" ref="E231:L231" si="34">+E51</f>
        <v>848847</v>
      </c>
      <c r="F231" s="773">
        <f t="shared" si="34"/>
        <v>5479034.7300000004</v>
      </c>
      <c r="G231" s="773">
        <f t="shared" si="34"/>
        <v>5220183.6682709809</v>
      </c>
      <c r="H231" s="206">
        <f>+H51</f>
        <v>3520848.1347999997</v>
      </c>
      <c r="I231" s="773">
        <f t="shared" si="34"/>
        <v>5478749</v>
      </c>
      <c r="J231" s="775">
        <f t="shared" si="34"/>
        <v>0</v>
      </c>
      <c r="K231" s="775">
        <f t="shared" si="34"/>
        <v>0</v>
      </c>
      <c r="L231" s="773">
        <f t="shared" si="34"/>
        <v>4325640</v>
      </c>
      <c r="M231" s="678">
        <f t="shared" si="29"/>
        <v>1</v>
      </c>
    </row>
    <row r="232" spans="1:13" s="2" customFormat="1" ht="11.25" hidden="1" customHeight="1">
      <c r="B232" s="160"/>
      <c r="C232" s="113"/>
      <c r="D232" s="162"/>
      <c r="E232" s="162"/>
      <c r="F232" s="160"/>
      <c r="G232" s="113"/>
      <c r="H232" s="113"/>
      <c r="I232" s="162"/>
      <c r="J232" s="92"/>
      <c r="K232" s="186"/>
      <c r="L232" s="162"/>
      <c r="M232" s="2">
        <f t="shared" si="29"/>
        <v>0</v>
      </c>
    </row>
    <row r="233" spans="1:13" s="729" customFormat="1" ht="15" customHeight="1">
      <c r="A233" s="673" t="s">
        <v>295</v>
      </c>
      <c r="B233" s="765">
        <f t="shared" ref="B233:I233" si="35">+B60</f>
        <v>0.37612817010290855</v>
      </c>
      <c r="C233" s="765">
        <f t="shared" si="35"/>
        <v>0.45026746931970035</v>
      </c>
      <c r="D233" s="765">
        <f t="shared" si="35"/>
        <v>0.34060983681682649</v>
      </c>
      <c r="E233" s="765">
        <f t="shared" si="35"/>
        <v>0.35243546184856051</v>
      </c>
      <c r="F233" s="765">
        <f t="shared" si="35"/>
        <v>0.36539337670889338</v>
      </c>
      <c r="G233" s="765">
        <f t="shared" si="35"/>
        <v>0.3515232271489791</v>
      </c>
      <c r="H233" s="224">
        <f t="shared" si="35"/>
        <v>0.32589352974594532</v>
      </c>
      <c r="I233" s="765">
        <f t="shared" si="35"/>
        <v>0.3619299633937752</v>
      </c>
      <c r="J233" s="765"/>
      <c r="K233" s="765"/>
      <c r="L233" s="765"/>
      <c r="M233" s="678">
        <f t="shared" si="29"/>
        <v>1</v>
      </c>
    </row>
    <row r="234" spans="1:13" s="729" customFormat="1" ht="15" customHeight="1">
      <c r="A234" s="673" t="s">
        <v>296</v>
      </c>
      <c r="B234" s="767">
        <f>+B62</f>
        <v>751860.27724269871</v>
      </c>
      <c r="C234" s="767">
        <f>+C62</f>
        <v>146876.79822461694</v>
      </c>
      <c r="D234" s="767">
        <f>+D62</f>
        <v>785022.56506260182</v>
      </c>
      <c r="E234" s="767">
        <f t="shared" ref="E234:L234" si="36">+E62</f>
        <v>299163.78448376502</v>
      </c>
      <c r="F234" s="767">
        <f t="shared" si="36"/>
        <v>2002003.0011000002</v>
      </c>
      <c r="G234" s="767">
        <f t="shared" si="36"/>
        <v>1835015.8093810109</v>
      </c>
      <c r="H234" s="223">
        <f>+H62</f>
        <v>1147421.6263493998</v>
      </c>
      <c r="I234" s="767">
        <f t="shared" si="36"/>
        <v>1982923.4250136826</v>
      </c>
      <c r="J234" s="791">
        <f t="shared" si="36"/>
        <v>-8.3410060637890249E-2</v>
      </c>
      <c r="K234" s="791">
        <f t="shared" si="36"/>
        <v>8.0602910817735102E-2</v>
      </c>
      <c r="L234" s="767">
        <f t="shared" si="36"/>
        <v>1862797</v>
      </c>
      <c r="M234" s="678">
        <f t="shared" si="29"/>
        <v>1</v>
      </c>
    </row>
    <row r="235" spans="1:13" s="25" customFormat="1" ht="11.25" hidden="1" customHeight="1">
      <c r="B235" s="160"/>
      <c r="C235" s="113"/>
      <c r="D235" s="162"/>
      <c r="E235" s="162"/>
      <c r="F235" s="160"/>
      <c r="G235" s="113"/>
      <c r="H235" s="113"/>
      <c r="I235" s="162"/>
      <c r="J235" s="92"/>
      <c r="K235" s="186"/>
      <c r="L235" s="162"/>
      <c r="M235" s="2">
        <f t="shared" si="29"/>
        <v>0</v>
      </c>
    </row>
    <row r="236" spans="1:13" s="733" customFormat="1" ht="15" customHeight="1">
      <c r="A236" s="730" t="s">
        <v>122</v>
      </c>
      <c r="B236" s="792">
        <f>+B103</f>
        <v>132649.8349068957</v>
      </c>
      <c r="C236" s="792">
        <f>+C103</f>
        <v>64451.766163267726</v>
      </c>
      <c r="D236" s="792">
        <f>+D103</f>
        <v>197312.81426220739</v>
      </c>
      <c r="E236" s="792">
        <f t="shared" ref="E236:L236" si="37">+E103</f>
        <v>87990.568828718664</v>
      </c>
      <c r="F236" s="792">
        <f t="shared" si="37"/>
        <v>452176.56000000006</v>
      </c>
      <c r="G236" s="792">
        <f t="shared" si="37"/>
        <v>463444.59333333338</v>
      </c>
      <c r="H236" s="295">
        <f>+H103</f>
        <v>239392.53089079331</v>
      </c>
      <c r="I236" s="792">
        <f t="shared" si="37"/>
        <v>482404.98416108941</v>
      </c>
      <c r="J236" s="793">
        <f t="shared" si="37"/>
        <v>2.4919543227391806E-2</v>
      </c>
      <c r="K236" s="793">
        <f t="shared" si="37"/>
        <v>4.0911882672711924E-2</v>
      </c>
      <c r="L236" s="792">
        <f t="shared" si="37"/>
        <v>372751.90654242225</v>
      </c>
      <c r="M236" s="678">
        <f t="shared" si="29"/>
        <v>1</v>
      </c>
    </row>
    <row r="237" spans="1:13" s="733" customFormat="1" ht="15" customHeight="1">
      <c r="A237" s="730" t="s">
        <v>133</v>
      </c>
      <c r="B237" s="792">
        <f>+B116</f>
        <v>83723.743200000012</v>
      </c>
      <c r="C237" s="792">
        <f>+C116</f>
        <v>7803.9030666666667</v>
      </c>
      <c r="D237" s="792">
        <f>+D116</f>
        <v>53163.316133333334</v>
      </c>
      <c r="E237" s="792">
        <f t="shared" ref="E237:L237" si="38">+E116</f>
        <v>22283.684799999999</v>
      </c>
      <c r="F237" s="792">
        <f t="shared" si="38"/>
        <v>183851.46000000002</v>
      </c>
      <c r="G237" s="792">
        <f t="shared" si="38"/>
        <v>205253.87333333332</v>
      </c>
      <c r="H237" s="295">
        <f>+H116</f>
        <v>145714.81855375</v>
      </c>
      <c r="I237" s="792">
        <f t="shared" si="38"/>
        <v>166974.64720000001</v>
      </c>
      <c r="J237" s="793">
        <f t="shared" si="38"/>
        <v>0.11641144069964578</v>
      </c>
      <c r="K237" s="793">
        <f t="shared" si="38"/>
        <v>-0.18649697329300899</v>
      </c>
      <c r="L237" s="792">
        <f t="shared" si="38"/>
        <v>118720.70170000001</v>
      </c>
      <c r="M237" s="678">
        <f t="shared" si="29"/>
        <v>1</v>
      </c>
    </row>
    <row r="238" spans="1:13" s="733" customFormat="1" ht="15" customHeight="1">
      <c r="A238" s="730" t="s">
        <v>147</v>
      </c>
      <c r="B238" s="792">
        <f>+B129</f>
        <v>16174.099200000001</v>
      </c>
      <c r="C238" s="792">
        <f>+C129</f>
        <v>6150.7479000000003</v>
      </c>
      <c r="D238" s="792">
        <f>+D129</f>
        <v>42722.355000000003</v>
      </c>
      <c r="E238" s="792">
        <f t="shared" ref="E238:L238" si="39">+E129</f>
        <v>12730.289199999999</v>
      </c>
      <c r="F238" s="792">
        <f t="shared" si="39"/>
        <v>72325.38</v>
      </c>
      <c r="G238" s="792">
        <f t="shared" si="39"/>
        <v>72260.473333333328</v>
      </c>
      <c r="H238" s="295">
        <f>+H129</f>
        <v>26026.923673829653</v>
      </c>
      <c r="I238" s="792">
        <f t="shared" si="39"/>
        <v>77777.491299999994</v>
      </c>
      <c r="J238" s="793">
        <f t="shared" si="39"/>
        <v>-8.9742586442928822E-4</v>
      </c>
      <c r="K238" s="793">
        <f t="shared" si="39"/>
        <v>7.6349042736227113E-2</v>
      </c>
      <c r="L238" s="792">
        <f t="shared" si="39"/>
        <v>78903.143297252915</v>
      </c>
      <c r="M238" s="678">
        <f t="shared" si="29"/>
        <v>1</v>
      </c>
    </row>
    <row r="239" spans="1:13" s="733" customFormat="1" ht="15" customHeight="1">
      <c r="A239" s="730" t="s">
        <v>164</v>
      </c>
      <c r="B239" s="792">
        <f>+B153</f>
        <v>251432.75864715141</v>
      </c>
      <c r="C239" s="792">
        <f>+C153</f>
        <v>63160.356059233978</v>
      </c>
      <c r="D239" s="792">
        <f>+D153</f>
        <v>330055.31222928112</v>
      </c>
      <c r="E239" s="792">
        <f t="shared" ref="E239:L239" si="40">+E153</f>
        <v>140120.11264948081</v>
      </c>
      <c r="F239" s="792">
        <f t="shared" si="40"/>
        <v>809786.43767999997</v>
      </c>
      <c r="G239" s="792">
        <f t="shared" si="40"/>
        <v>750997.10666666646</v>
      </c>
      <c r="H239" s="295">
        <f>+H153</f>
        <v>342495.1080067376</v>
      </c>
      <c r="I239" s="792">
        <f t="shared" si="40"/>
        <v>784768.53958514729</v>
      </c>
      <c r="J239" s="793">
        <f t="shared" si="40"/>
        <v>-7.25985621366569E-2</v>
      </c>
      <c r="K239" s="793">
        <f t="shared" si="40"/>
        <v>4.4968792314496145E-2</v>
      </c>
      <c r="L239" s="792">
        <f t="shared" si="40"/>
        <v>748152.28529898485</v>
      </c>
      <c r="M239" s="678">
        <f t="shared" si="29"/>
        <v>1</v>
      </c>
    </row>
    <row r="240" spans="1:13" s="733" customFormat="1" ht="15" customHeight="1">
      <c r="A240" s="730" t="s">
        <v>74</v>
      </c>
      <c r="B240" s="792">
        <f>+B167</f>
        <v>30230.676690900007</v>
      </c>
      <c r="C240" s="792">
        <f>+C167</f>
        <v>2440.6587489000003</v>
      </c>
      <c r="D240" s="792">
        <f>+D167</f>
        <v>32276.093518000005</v>
      </c>
      <c r="E240" s="792">
        <f t="shared" ref="E240:L240" si="41">+E167</f>
        <v>14328.2156223</v>
      </c>
      <c r="F240" s="792">
        <f t="shared" si="41"/>
        <v>60784.970000000008</v>
      </c>
      <c r="G240" s="792">
        <f t="shared" si="41"/>
        <v>63595.439999999988</v>
      </c>
      <c r="H240" s="295">
        <f>+H167</f>
        <v>46975.089222620969</v>
      </c>
      <c r="I240" s="792">
        <f t="shared" si="41"/>
        <v>79275.644580099994</v>
      </c>
      <c r="J240" s="793">
        <f t="shared" si="41"/>
        <v>4.6236265313612544E-2</v>
      </c>
      <c r="K240" s="793">
        <f t="shared" si="41"/>
        <v>0.24656177518545369</v>
      </c>
      <c r="L240" s="792">
        <f t="shared" si="41"/>
        <v>46336.81942003029</v>
      </c>
      <c r="M240" s="678">
        <f t="shared" si="29"/>
        <v>1</v>
      </c>
    </row>
    <row r="241" spans="1:13" s="733" customFormat="1" ht="15" customHeight="1">
      <c r="A241" s="730" t="s">
        <v>369</v>
      </c>
      <c r="B241" s="792">
        <f>+B184-B200</f>
        <v>10561.016666666668</v>
      </c>
      <c r="C241" s="792">
        <f>+C184-C200</f>
        <v>3386.0601333333334</v>
      </c>
      <c r="D241" s="792">
        <f>+D184-D200</f>
        <v>18450.080800000003</v>
      </c>
      <c r="E241" s="792">
        <f t="shared" ref="E241:L241" si="42">+E184-E200</f>
        <v>6295.5374666666667</v>
      </c>
      <c r="F241" s="792">
        <f t="shared" si="42"/>
        <v>19877.39</v>
      </c>
      <c r="G241" s="792">
        <f t="shared" si="42"/>
        <v>23420.213333333333</v>
      </c>
      <c r="H241" s="295">
        <f>+H184-H200</f>
        <v>37032.099563888893</v>
      </c>
      <c r="I241" s="792">
        <f t="shared" si="42"/>
        <v>38692.695066666674</v>
      </c>
      <c r="J241" s="793">
        <f t="shared" si="42"/>
        <v>0.20704706139014073</v>
      </c>
      <c r="K241" s="793">
        <f t="shared" si="42"/>
        <v>1.0787589272305254</v>
      </c>
      <c r="L241" s="792">
        <f t="shared" si="42"/>
        <v>43155.909844521913</v>
      </c>
      <c r="M241" s="678">
        <f t="shared" si="29"/>
        <v>1</v>
      </c>
    </row>
    <row r="242" spans="1:13" s="25" customFormat="1" ht="11.25" hidden="1">
      <c r="B242" s="160"/>
      <c r="C242" s="113"/>
      <c r="D242" s="162"/>
      <c r="E242" s="162"/>
      <c r="F242" s="160"/>
      <c r="G242" s="113"/>
      <c r="H242" s="113"/>
      <c r="I242" s="162"/>
      <c r="J242" s="92"/>
      <c r="K242" s="186"/>
      <c r="L242" s="162"/>
      <c r="M242" s="2">
        <f t="shared" si="29"/>
        <v>0</v>
      </c>
    </row>
    <row r="243" spans="1:13" s="729" customFormat="1" ht="15" customHeight="1">
      <c r="A243" s="713" t="s">
        <v>189</v>
      </c>
      <c r="B243" s="773">
        <f>+B202</f>
        <v>524772.12931161385</v>
      </c>
      <c r="C243" s="773">
        <f>+C202</f>
        <v>147393.49207140171</v>
      </c>
      <c r="D243" s="773">
        <f>+D202</f>
        <v>673979.97194282175</v>
      </c>
      <c r="E243" s="773">
        <f t="shared" ref="E243:L243" si="43">+E202</f>
        <v>283748.40856716613</v>
      </c>
      <c r="F243" s="773">
        <f t="shared" si="43"/>
        <v>1598802.1976799998</v>
      </c>
      <c r="G243" s="773">
        <f t="shared" si="43"/>
        <v>1578971.6999999997</v>
      </c>
      <c r="H243" s="301">
        <f>+H202</f>
        <v>837636.56991162035</v>
      </c>
      <c r="I243" s="773">
        <f t="shared" si="43"/>
        <v>1629894.0018930032</v>
      </c>
      <c r="J243" s="775">
        <f t="shared" si="43"/>
        <v>-1.2403346523275861E-2</v>
      </c>
      <c r="K243" s="775">
        <f t="shared" si="43"/>
        <v>3.2250294221868273E-2</v>
      </c>
      <c r="L243" s="773">
        <f t="shared" si="43"/>
        <v>1408020.7661032123</v>
      </c>
      <c r="M243" s="678">
        <f t="shared" si="29"/>
        <v>1</v>
      </c>
    </row>
    <row r="244" spans="1:13" s="2" customFormat="1" ht="11.25" hidden="1">
      <c r="B244" s="160"/>
      <c r="C244" s="113"/>
      <c r="D244" s="162"/>
      <c r="E244" s="162"/>
      <c r="F244" s="160"/>
      <c r="G244" s="113"/>
      <c r="H244" s="113"/>
      <c r="I244" s="162"/>
      <c r="J244" s="92"/>
      <c r="K244" s="186"/>
      <c r="L244" s="162"/>
      <c r="M244" s="2">
        <f t="shared" si="29"/>
        <v>0</v>
      </c>
    </row>
    <row r="245" spans="1:13" s="729" customFormat="1" ht="15" customHeight="1">
      <c r="A245" s="673" t="s">
        <v>228</v>
      </c>
      <c r="B245" s="777">
        <f>+B204</f>
        <v>227088.14793108485</v>
      </c>
      <c r="C245" s="777">
        <f>+C204</f>
        <v>-516.6938467847649</v>
      </c>
      <c r="D245" s="777">
        <f>+D204</f>
        <v>111042.59311978007</v>
      </c>
      <c r="E245" s="777">
        <f t="shared" ref="E245:L245" si="44">+E204</f>
        <v>15415.375916598889</v>
      </c>
      <c r="F245" s="777">
        <f t="shared" si="44"/>
        <v>403200.80342000071</v>
      </c>
      <c r="G245" s="777">
        <f t="shared" si="44"/>
        <v>256044.10938101122</v>
      </c>
      <c r="H245" s="228">
        <f>+H204</f>
        <v>309785.05643777945</v>
      </c>
      <c r="I245" s="777">
        <f t="shared" si="44"/>
        <v>353029.42312067933</v>
      </c>
      <c r="J245" s="779">
        <f t="shared" si="44"/>
        <v>-0.36497123217708799</v>
      </c>
      <c r="K245" s="779">
        <f t="shared" si="44"/>
        <v>0.37878361651877451</v>
      </c>
      <c r="L245" s="777">
        <f t="shared" si="44"/>
        <v>454776.23389678774</v>
      </c>
      <c r="M245" s="678">
        <f t="shared" si="29"/>
        <v>1</v>
      </c>
    </row>
    <row r="246" spans="1:13" s="2" customFormat="1" ht="11.25" hidden="1">
      <c r="B246" s="160"/>
      <c r="C246" s="113"/>
      <c r="D246" s="162"/>
      <c r="E246" s="162"/>
      <c r="F246" s="160"/>
      <c r="G246" s="113"/>
      <c r="H246" s="113"/>
      <c r="I246" s="162"/>
      <c r="J246" s="92"/>
      <c r="K246" s="186"/>
      <c r="L246" s="162"/>
      <c r="M246" s="2">
        <f t="shared" si="29"/>
        <v>0</v>
      </c>
    </row>
    <row r="247" spans="1:13" s="729" customFormat="1" ht="15" customHeight="1">
      <c r="A247" s="721" t="s">
        <v>370</v>
      </c>
      <c r="B247" s="785">
        <f>+B206+B214</f>
        <v>82510.538500533148</v>
      </c>
      <c r="C247" s="785">
        <f>+C206+C214</f>
        <v>21702.700538594112</v>
      </c>
      <c r="D247" s="785">
        <f>+D206+D214</f>
        <v>96965.400146620203</v>
      </c>
      <c r="E247" s="785">
        <f t="shared" ref="E247:L247" si="45">+E206+E214</f>
        <v>40406.450008176638</v>
      </c>
      <c r="F247" s="785">
        <f t="shared" si="45"/>
        <v>200371.40548872005</v>
      </c>
      <c r="G247" s="785">
        <f t="shared" si="45"/>
        <v>225112.73341973836</v>
      </c>
      <c r="H247" s="230">
        <f>+H206+H214</f>
        <v>142270.76602986347</v>
      </c>
      <c r="I247" s="785">
        <f t="shared" si="45"/>
        <v>241585.0891939241</v>
      </c>
      <c r="J247" s="794">
        <f t="shared" si="45"/>
        <v>0.39562340758767001</v>
      </c>
      <c r="K247" s="794">
        <f t="shared" si="45"/>
        <v>0.5194502513578364</v>
      </c>
      <c r="L247" s="785">
        <f t="shared" si="45"/>
        <v>178338.50666683179</v>
      </c>
      <c r="M247" s="678">
        <f t="shared" si="29"/>
        <v>1</v>
      </c>
    </row>
    <row r="248" spans="1:13" s="2" customFormat="1" ht="11.25" hidden="1">
      <c r="B248" s="160"/>
      <c r="C248" s="113"/>
      <c r="D248" s="162"/>
      <c r="E248" s="162"/>
      <c r="F248" s="160"/>
      <c r="G248" s="113"/>
      <c r="H248" s="113"/>
      <c r="I248" s="162"/>
      <c r="J248" s="92"/>
      <c r="K248" s="186"/>
      <c r="L248" s="162"/>
      <c r="M248" s="2">
        <f t="shared" si="29"/>
        <v>0</v>
      </c>
    </row>
    <row r="249" spans="1:13" s="729" customFormat="1" ht="20.100000000000001" customHeight="1">
      <c r="A249" s="673" t="s">
        <v>86</v>
      </c>
      <c r="B249" s="777">
        <f>+B216</f>
        <v>144577.6094305517</v>
      </c>
      <c r="C249" s="777">
        <f>+C216</f>
        <v>-22219.394385378877</v>
      </c>
      <c r="D249" s="777">
        <f>+D216</f>
        <v>14077.192973159865</v>
      </c>
      <c r="E249" s="777">
        <f t="shared" ref="E249:L249" si="46">+E216</f>
        <v>-24991.07409157775</v>
      </c>
      <c r="F249" s="777">
        <f t="shared" si="46"/>
        <v>202829.39793128066</v>
      </c>
      <c r="G249" s="777">
        <f t="shared" si="46"/>
        <v>30931.375961272861</v>
      </c>
      <c r="H249" s="228">
        <f>+H216</f>
        <v>167514.29040791598</v>
      </c>
      <c r="I249" s="777">
        <f t="shared" si="46"/>
        <v>111444.33392675524</v>
      </c>
      <c r="J249" s="779">
        <f t="shared" si="46"/>
        <v>-0.8475005286376065</v>
      </c>
      <c r="K249" s="779">
        <f t="shared" si="46"/>
        <v>2.6029542968372099</v>
      </c>
      <c r="L249" s="777">
        <f t="shared" si="46"/>
        <v>276437.72722995596</v>
      </c>
      <c r="M249" s="678">
        <f t="shared" si="29"/>
        <v>1</v>
      </c>
    </row>
    <row r="250" spans="1:13" s="2" customFormat="1" ht="13.5" hidden="1" customHeight="1">
      <c r="B250" s="17"/>
      <c r="C250" s="113"/>
      <c r="G250" s="58"/>
      <c r="H250" s="58"/>
      <c r="J250" s="66"/>
      <c r="K250" s="66"/>
      <c r="L250" s="182"/>
      <c r="M250" s="2">
        <f t="shared" si="29"/>
        <v>0</v>
      </c>
    </row>
    <row r="251" spans="1:13" s="733" customFormat="1" ht="15" customHeight="1">
      <c r="A251" s="730" t="s">
        <v>95</v>
      </c>
      <c r="B251" s="792">
        <f>Grenoble!$G$253</f>
        <v>475176.77164999995</v>
      </c>
      <c r="C251" s="792">
        <f>STMarcelin!$G$253</f>
        <v>64724.98952499999</v>
      </c>
      <c r="D251" s="792">
        <f>PSA!$G$253</f>
        <v>436435.55592000007</v>
      </c>
      <c r="E251" s="792">
        <f>Montpe!$G$253</f>
        <v>197313.70750000002</v>
      </c>
      <c r="F251" s="792">
        <f>+F28</f>
        <v>1079065.03</v>
      </c>
      <c r="G251" s="792"/>
      <c r="H251" s="295"/>
      <c r="I251" s="792">
        <f>SUM(B251:E251)</f>
        <v>1173651.0245950001</v>
      </c>
      <c r="J251" s="793"/>
      <c r="K251" s="793"/>
      <c r="L251" s="792"/>
      <c r="M251" s="678">
        <f t="shared" si="29"/>
        <v>1</v>
      </c>
    </row>
    <row r="252" spans="1:13" s="733" customFormat="1" ht="15" customHeight="1">
      <c r="A252" s="730" t="s">
        <v>371</v>
      </c>
      <c r="B252" s="792">
        <f>Grenoble!$G$254</f>
        <v>1614563.1092879712</v>
      </c>
      <c r="C252" s="792">
        <f>STMarcelin!$G$254</f>
        <v>375546.10122174647</v>
      </c>
      <c r="D252" s="792">
        <f>PSA!$G$254</f>
        <v>2263426.6211872259</v>
      </c>
      <c r="E252" s="792">
        <f>Montpe!$G$254</f>
        <v>919756.6467208406</v>
      </c>
      <c r="F252" s="792">
        <f>+F222</f>
        <v>4923936.0039142426</v>
      </c>
      <c r="G252" s="792">
        <f>+G222</f>
        <v>5132191.2581758043</v>
      </c>
      <c r="H252" s="295">
        <f>+H222</f>
        <v>3006832.7429065062</v>
      </c>
      <c r="I252" s="792">
        <f>+I222</f>
        <v>5170832.1508898726</v>
      </c>
      <c r="J252" s="793"/>
      <c r="K252" s="793"/>
      <c r="L252" s="792">
        <f>+L222</f>
        <v>3683718.1532206745</v>
      </c>
      <c r="M252" s="678">
        <f t="shared" si="29"/>
        <v>1</v>
      </c>
    </row>
    <row r="253" spans="1:13" s="733" customFormat="1" ht="15" customHeight="1">
      <c r="A253" s="730" t="s">
        <v>372</v>
      </c>
      <c r="B253" s="792">
        <f>Grenoble!$G$255</f>
        <v>24500</v>
      </c>
      <c r="C253" s="792">
        <f>STMarcelin!$G$255</f>
        <v>0</v>
      </c>
      <c r="D253" s="792">
        <f>PSA!$G$255</f>
        <v>3000</v>
      </c>
      <c r="E253" s="792">
        <f>Montpe!$G$255</f>
        <v>0</v>
      </c>
      <c r="F253" s="792"/>
      <c r="G253" s="1068"/>
      <c r="H253" s="333">
        <f>+Angers!C254+Cham!C254+Thouars!C254</f>
        <v>2599987.1949516642</v>
      </c>
      <c r="I253" s="792">
        <f>SUM(B253:E253)</f>
        <v>27500</v>
      </c>
      <c r="J253" s="793"/>
      <c r="K253" s="793"/>
      <c r="L253" s="1068"/>
      <c r="M253" s="678">
        <f t="shared" si="29"/>
        <v>1</v>
      </c>
    </row>
    <row r="254" spans="1:13" s="2" customFormat="1" ht="11.25" hidden="1">
      <c r="B254" s="24"/>
      <c r="C254" s="17"/>
      <c r="H254" s="24"/>
      <c r="I254" s="66"/>
      <c r="M254" s="2">
        <f t="shared" si="29"/>
        <v>0</v>
      </c>
    </row>
    <row r="255" spans="1:13" customFormat="1" hidden="1">
      <c r="B255" s="24"/>
      <c r="C255" s="17"/>
      <c r="D255" s="2"/>
      <c r="E255" s="26"/>
      <c r="F255" s="26"/>
      <c r="G255" s="26"/>
      <c r="H255" s="26"/>
      <c r="I255" s="26"/>
      <c r="J255" s="66"/>
      <c r="K255" s="66"/>
      <c r="L255" s="28"/>
      <c r="M255" s="111"/>
    </row>
    <row r="256" spans="1:13" customFormat="1" hidden="1">
      <c r="B256" s="26"/>
      <c r="C256" s="26"/>
      <c r="D256" s="26"/>
      <c r="E256" s="26"/>
      <c r="F256" s="26"/>
      <c r="G256" s="26"/>
      <c r="H256" s="26"/>
      <c r="I256" s="26"/>
      <c r="J256" s="66"/>
      <c r="K256" s="66"/>
      <c r="L256" s="28"/>
    </row>
  </sheetData>
  <autoFilter ref="M1:M256">
    <filterColumn colId="0">
      <filters>
        <filter val="1"/>
      </filters>
    </filterColumn>
  </autoFilter>
  <mergeCells count="12">
    <mergeCell ref="O8:O9"/>
    <mergeCell ref="P8:P9"/>
    <mergeCell ref="B4:B5"/>
    <mergeCell ref="C4:C5"/>
    <mergeCell ref="D4:D5"/>
    <mergeCell ref="E4:E5"/>
    <mergeCell ref="N8:N9"/>
    <mergeCell ref="B227:B228"/>
    <mergeCell ref="C227:C228"/>
    <mergeCell ref="D227:D228"/>
    <mergeCell ref="E227:E228"/>
    <mergeCell ref="M8:M9"/>
  </mergeCells>
  <pageMargins left="0.15748031496062992" right="7.874015748031496E-2" top="0.31496062992125984" bottom="0.27559055118110237" header="0.15748031496062992" footer="7.874015748031496E-2"/>
  <pageSetup paperSize="9" scale="74" fitToHeight="7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51"/>
    <pageSetUpPr fitToPage="1"/>
  </sheetPr>
  <dimension ref="A1:N257"/>
  <sheetViews>
    <sheetView workbookViewId="0">
      <pane xSplit="1" ySplit="6" topLeftCell="B204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baseColWidth="10" defaultRowHeight="12.75"/>
  <cols>
    <col min="1" max="1" width="72.85546875" bestFit="1" customWidth="1"/>
    <col min="2" max="2" width="12.28515625" style="800" customWidth="1"/>
    <col min="3" max="3" width="14.28515625" style="800" customWidth="1"/>
    <col min="4" max="5" width="14.7109375" style="800" bestFit="1" customWidth="1"/>
    <col min="6" max="6" width="12.28515625" style="800" customWidth="1"/>
    <col min="7" max="7" width="12.28515625" style="800" bestFit="1" customWidth="1"/>
    <col min="8" max="8" width="14.28515625" style="26" hidden="1" customWidth="1"/>
    <col min="9" max="9" width="12.28515625" style="800" customWidth="1"/>
    <col min="10" max="10" width="9.7109375" style="801" customWidth="1"/>
    <col min="11" max="11" width="9.140625" style="801" bestFit="1" customWidth="1"/>
    <col min="12" max="12" width="12.7109375" style="808" customWidth="1"/>
    <col min="13" max="13" width="14.7109375" style="686" bestFit="1" customWidth="1"/>
  </cols>
  <sheetData>
    <row r="1" spans="1:13">
      <c r="A1" s="1" t="s">
        <v>515</v>
      </c>
      <c r="L1" s="802"/>
    </row>
    <row r="2" spans="1:13" hidden="1">
      <c r="B2" s="26"/>
      <c r="C2" s="26"/>
      <c r="D2" s="86"/>
      <c r="E2" s="86"/>
      <c r="F2" s="26"/>
      <c r="G2" s="26"/>
      <c r="I2" s="26"/>
      <c r="J2" s="66"/>
      <c r="K2" s="66"/>
      <c r="L2" s="28"/>
      <c r="M2"/>
    </row>
    <row r="3" spans="1:13" s="2" customFormat="1" ht="12.75" customHeight="1">
      <c r="A3" s="6"/>
      <c r="B3" s="155"/>
      <c r="C3" s="211"/>
      <c r="D3" s="211"/>
      <c r="E3" s="211"/>
      <c r="F3" s="267" t="s">
        <v>55</v>
      </c>
      <c r="G3" s="130" t="s">
        <v>364</v>
      </c>
      <c r="H3" s="130" t="s">
        <v>543</v>
      </c>
      <c r="I3" s="104" t="s">
        <v>196</v>
      </c>
      <c r="J3" s="151" t="s">
        <v>225</v>
      </c>
      <c r="K3" s="183" t="s">
        <v>225</v>
      </c>
      <c r="L3" s="8" t="s">
        <v>196</v>
      </c>
      <c r="M3" s="678">
        <v>1</v>
      </c>
    </row>
    <row r="4" spans="1:13" s="2" customFormat="1" ht="20.25" customHeight="1">
      <c r="A4" s="7" t="s">
        <v>711</v>
      </c>
      <c r="B4" s="1428" t="s">
        <v>702</v>
      </c>
      <c r="C4" s="1430" t="s">
        <v>334</v>
      </c>
      <c r="D4" s="1426" t="s">
        <v>375</v>
      </c>
      <c r="E4" s="1426" t="s">
        <v>278</v>
      </c>
      <c r="F4" s="260" t="s">
        <v>366</v>
      </c>
      <c r="G4" s="131" t="s">
        <v>366</v>
      </c>
      <c r="H4" s="131" t="s">
        <v>432</v>
      </c>
      <c r="I4" s="105" t="s">
        <v>197</v>
      </c>
      <c r="J4" s="152" t="s">
        <v>55</v>
      </c>
      <c r="K4" s="131" t="s">
        <v>432</v>
      </c>
      <c r="L4" s="9" t="s">
        <v>197</v>
      </c>
      <c r="M4" s="678">
        <v>1</v>
      </c>
    </row>
    <row r="5" spans="1:13" s="2" customFormat="1" ht="20.25" customHeight="1">
      <c r="A5" s="7"/>
      <c r="B5" s="1429"/>
      <c r="C5" s="1431"/>
      <c r="D5" s="1427"/>
      <c r="E5" s="1427"/>
      <c r="F5" s="157">
        <f>F216</f>
        <v>336655.5224512011</v>
      </c>
      <c r="G5" s="157">
        <f>G216</f>
        <v>146146.93713168555</v>
      </c>
      <c r="H5" s="157">
        <f>H216</f>
        <v>167514.29040791598</v>
      </c>
      <c r="I5" s="157">
        <f>I216</f>
        <v>226424.65286637886</v>
      </c>
      <c r="J5" s="152"/>
      <c r="K5" s="132" t="s">
        <v>433</v>
      </c>
      <c r="L5" s="10"/>
      <c r="M5" s="678">
        <v>1</v>
      </c>
    </row>
    <row r="6" spans="1:13" s="2" customFormat="1" ht="18">
      <c r="A6" s="68"/>
      <c r="B6" s="158"/>
      <c r="C6" s="216"/>
      <c r="D6" s="216"/>
      <c r="E6" s="216"/>
      <c r="F6" s="269">
        <v>2009</v>
      </c>
      <c r="G6" s="133">
        <v>2010</v>
      </c>
      <c r="H6" s="133">
        <v>2009</v>
      </c>
      <c r="I6" s="159">
        <v>2011</v>
      </c>
      <c r="J6" s="153" t="s">
        <v>544</v>
      </c>
      <c r="K6" s="185" t="s">
        <v>368</v>
      </c>
      <c r="L6" s="4">
        <v>2010</v>
      </c>
      <c r="M6" s="678">
        <v>1</v>
      </c>
    </row>
    <row r="7" spans="1:13" s="2" customFormat="1" ht="18" hidden="1">
      <c r="A7" s="67"/>
      <c r="B7" s="160"/>
      <c r="C7" s="113"/>
      <c r="D7" s="113"/>
      <c r="E7" s="113"/>
      <c r="F7" s="237"/>
      <c r="G7" s="25"/>
      <c r="H7" s="25"/>
      <c r="I7" s="154"/>
      <c r="J7" s="149"/>
      <c r="K7" s="186"/>
      <c r="L7" s="5"/>
      <c r="M7" s="2">
        <f>IF(SUM(B7:L7)&gt;0,1,0)</f>
        <v>0</v>
      </c>
    </row>
    <row r="8" spans="1:13" s="2" customFormat="1" ht="11.25">
      <c r="A8" s="590" t="s">
        <v>221</v>
      </c>
      <c r="B8" s="805">
        <f>+Dijon!$G8</f>
        <v>651115</v>
      </c>
      <c r="C8" s="805">
        <f>+Eu!$G8</f>
        <v>1272071</v>
      </c>
      <c r="D8" s="805">
        <f>+Nancy!$G8</f>
        <v>913405</v>
      </c>
      <c r="E8" s="805">
        <f>+Roanne!$G8</f>
        <v>1420317</v>
      </c>
      <c r="F8" s="805">
        <f>+Dijon!E8+Eu!E8+Nancy!E8+Roanne!E8</f>
        <v>2052862.7300000002</v>
      </c>
      <c r="G8" s="619">
        <f>+Dijon!F8+Eu!F8+Nancy!F8+Roanne!F8</f>
        <v>3803920.9780975543</v>
      </c>
      <c r="H8" s="113">
        <v>3560759.6047999999</v>
      </c>
      <c r="I8" s="1077">
        <f>+Dijon!G8+Eu!G8+Nancy!G8+Roanne!G8</f>
        <v>4256908</v>
      </c>
      <c r="J8" s="1013">
        <f>+IF((F8)=0,,(G8-F8)/F8)</f>
        <v>0.85298360309632293</v>
      </c>
      <c r="K8" s="1014">
        <f>+IF((G8)=0,,(I8-G8)/G8)</f>
        <v>0.11908423558498762</v>
      </c>
      <c r="L8" s="805">
        <f>+Dijon!D8+Eu!D8+Nancy!D8+Roanne!D8</f>
        <v>4365364</v>
      </c>
      <c r="M8" s="678">
        <f t="shared" ref="M8:M71" si="0">IF(SUM(B8:L8)&gt;0,1,0)</f>
        <v>1</v>
      </c>
    </row>
    <row r="9" spans="1:13" s="2" customFormat="1" ht="11.25" hidden="1">
      <c r="A9" s="5" t="s">
        <v>422</v>
      </c>
      <c r="B9" s="160">
        <f>+Dijon!$G9</f>
        <v>0</v>
      </c>
      <c r="C9" s="113">
        <f>+Eu!$G9</f>
        <v>0</v>
      </c>
      <c r="D9" s="113">
        <f>+Nancy!$G9</f>
        <v>0</v>
      </c>
      <c r="E9" s="113">
        <f>+Roanne!$G9</f>
        <v>0</v>
      </c>
      <c r="F9" s="160">
        <f>+Dijon!E9+Eu!E9+Nancy!E9+Roanne!E9</f>
        <v>1577435.3399999999</v>
      </c>
      <c r="G9" s="135"/>
      <c r="H9" s="113">
        <v>0</v>
      </c>
      <c r="I9" s="161"/>
      <c r="J9" s="149">
        <f t="shared" ref="J9:J19" si="1">+IF((F9)=0,,(G9-F9)/F9)</f>
        <v>-1</v>
      </c>
      <c r="K9" s="271">
        <f t="shared" ref="K9:K19" si="2">+IF((G9)=0,,(I9-G9)/G9)</f>
        <v>0</v>
      </c>
      <c r="L9" s="18">
        <f>+Dijon!D9+Eu!D9+Nancy!D9+Roanne!D9</f>
        <v>0</v>
      </c>
      <c r="M9" s="2">
        <v>0</v>
      </c>
    </row>
    <row r="10" spans="1:13" s="2" customFormat="1" ht="11.25" hidden="1">
      <c r="A10" s="5" t="s">
        <v>84</v>
      </c>
      <c r="B10" s="160">
        <f>+Dijon!$G10</f>
        <v>0</v>
      </c>
      <c r="C10" s="113">
        <f>+Eu!$G10</f>
        <v>0</v>
      </c>
      <c r="D10" s="113">
        <f>+Nancy!$G10</f>
        <v>0</v>
      </c>
      <c r="E10" s="113">
        <f>+Roanne!$G10</f>
        <v>0</v>
      </c>
      <c r="F10" s="160">
        <f>+Dijon!E10+Eu!E10+Nancy!E10+Roanne!E10</f>
        <v>0</v>
      </c>
      <c r="G10" s="135"/>
      <c r="H10" s="113">
        <v>0</v>
      </c>
      <c r="I10" s="161"/>
      <c r="J10" s="149">
        <f t="shared" si="1"/>
        <v>0</v>
      </c>
      <c r="K10" s="271">
        <f t="shared" si="2"/>
        <v>0</v>
      </c>
      <c r="L10" s="18">
        <f>+Dijon!D10+Eu!D10+Nancy!D10+Roanne!D10</f>
        <v>0</v>
      </c>
      <c r="M10" s="2">
        <f t="shared" si="0"/>
        <v>0</v>
      </c>
    </row>
    <row r="11" spans="1:13" s="2" customFormat="1" ht="11.25" hidden="1">
      <c r="A11" s="5" t="s">
        <v>267</v>
      </c>
      <c r="B11" s="160">
        <f>+Dijon!$G11</f>
        <v>0</v>
      </c>
      <c r="C11" s="113">
        <f>+Eu!$G11</f>
        <v>0</v>
      </c>
      <c r="D11" s="113">
        <f>+Nancy!$G11</f>
        <v>0</v>
      </c>
      <c r="E11" s="113">
        <f>+Roanne!$G11</f>
        <v>0</v>
      </c>
      <c r="F11" s="160">
        <f>+Dijon!E11+Eu!E11+Nancy!E11+Roanne!E11</f>
        <v>2155.2800000000002</v>
      </c>
      <c r="G11" s="135"/>
      <c r="H11" s="113">
        <v>0</v>
      </c>
      <c r="I11" s="161"/>
      <c r="J11" s="149">
        <f t="shared" si="1"/>
        <v>-1</v>
      </c>
      <c r="K11" s="271">
        <f t="shared" si="2"/>
        <v>0</v>
      </c>
      <c r="L11" s="18">
        <f>+Dijon!D11+Eu!D11+Nancy!D11+Roanne!D11</f>
        <v>0</v>
      </c>
      <c r="M11" s="2">
        <v>0</v>
      </c>
    </row>
    <row r="12" spans="1:13" s="2" customFormat="1" ht="11.25" hidden="1">
      <c r="A12" s="5" t="s">
        <v>46</v>
      </c>
      <c r="B12" s="160">
        <f>+Dijon!$G12</f>
        <v>0</v>
      </c>
      <c r="C12" s="113">
        <f>+Eu!$G12</f>
        <v>0</v>
      </c>
      <c r="D12" s="113">
        <f>+Nancy!$G12</f>
        <v>0</v>
      </c>
      <c r="E12" s="113">
        <f>+Roanne!$G12</f>
        <v>0</v>
      </c>
      <c r="F12" s="160">
        <f>+Dijon!E12+Eu!E12+Nancy!E12+Roanne!E12</f>
        <v>0</v>
      </c>
      <c r="G12" s="135"/>
      <c r="H12" s="113">
        <v>0</v>
      </c>
      <c r="I12" s="161"/>
      <c r="J12" s="149">
        <f t="shared" si="1"/>
        <v>0</v>
      </c>
      <c r="K12" s="271">
        <f t="shared" si="2"/>
        <v>0</v>
      </c>
      <c r="L12" s="18">
        <f>+Dijon!D12+Eu!D12+Nancy!D12+Roanne!D12</f>
        <v>0</v>
      </c>
      <c r="M12" s="2">
        <f t="shared" si="0"/>
        <v>0</v>
      </c>
    </row>
    <row r="13" spans="1:13" s="2" customFormat="1" ht="11.25">
      <c r="A13" s="590" t="s">
        <v>268</v>
      </c>
      <c r="B13" s="805">
        <f>+Dijon!$G13</f>
        <v>0</v>
      </c>
      <c r="C13" s="805">
        <f>+Eu!$G13</f>
        <v>0</v>
      </c>
      <c r="D13" s="805">
        <f>+Nancy!$G13</f>
        <v>0</v>
      </c>
      <c r="E13" s="805">
        <f>+Roanne!$G13</f>
        <v>0</v>
      </c>
      <c r="F13" s="805">
        <f>+Dijon!E13+Eu!E13+Nancy!E13+Roanne!E13</f>
        <v>117845.04000000001</v>
      </c>
      <c r="G13" s="619"/>
      <c r="H13" s="113">
        <v>0</v>
      </c>
      <c r="I13" s="1077"/>
      <c r="J13" s="1013">
        <f t="shared" si="1"/>
        <v>-1</v>
      </c>
      <c r="K13" s="1014">
        <f t="shared" si="2"/>
        <v>0</v>
      </c>
      <c r="L13" s="805">
        <f>+Dijon!D13+Eu!D13+Nancy!D13+Roanne!D13</f>
        <v>0</v>
      </c>
      <c r="M13" s="2">
        <f t="shared" si="0"/>
        <v>1</v>
      </c>
    </row>
    <row r="14" spans="1:13" s="2" customFormat="1" ht="11.25" hidden="1">
      <c r="A14" s="5" t="s">
        <v>269</v>
      </c>
      <c r="B14" s="160">
        <f>+Dijon!$G14</f>
        <v>0</v>
      </c>
      <c r="C14" s="113">
        <f>+Eu!$G14</f>
        <v>0</v>
      </c>
      <c r="D14" s="113">
        <f>+Nancy!$G14</f>
        <v>0</v>
      </c>
      <c r="E14" s="113">
        <f>+Roanne!$G14</f>
        <v>0</v>
      </c>
      <c r="F14" s="160">
        <f>+Dijon!E14+Eu!E14+Nancy!E14+Roanne!E14</f>
        <v>296.36</v>
      </c>
      <c r="G14" s="135"/>
      <c r="H14" s="113">
        <v>0</v>
      </c>
      <c r="I14" s="161"/>
      <c r="J14" s="149">
        <f t="shared" si="1"/>
        <v>-1</v>
      </c>
      <c r="K14" s="271">
        <f t="shared" si="2"/>
        <v>0</v>
      </c>
      <c r="L14" s="18">
        <f>+Dijon!D14+Eu!D14+Nancy!D14+Roanne!D14</f>
        <v>0</v>
      </c>
      <c r="M14" s="2">
        <v>0</v>
      </c>
    </row>
    <row r="15" spans="1:13" s="2" customFormat="1" ht="11.25" hidden="1">
      <c r="A15" s="5" t="s">
        <v>270</v>
      </c>
      <c r="B15" s="160">
        <f>+Dijon!$G15</f>
        <v>0</v>
      </c>
      <c r="C15" s="113">
        <f>+Eu!$G15</f>
        <v>0</v>
      </c>
      <c r="D15" s="113">
        <f>+Nancy!$G15</f>
        <v>0</v>
      </c>
      <c r="E15" s="113">
        <f>+Roanne!$G15</f>
        <v>0</v>
      </c>
      <c r="F15" s="160">
        <f>+Dijon!E15+Eu!E15+Nancy!E15+Roanne!E15</f>
        <v>7443</v>
      </c>
      <c r="G15" s="135"/>
      <c r="H15" s="113">
        <v>4965.63</v>
      </c>
      <c r="I15" s="161"/>
      <c r="J15" s="149">
        <f t="shared" si="1"/>
        <v>-1</v>
      </c>
      <c r="K15" s="271">
        <f t="shared" si="2"/>
        <v>0</v>
      </c>
      <c r="L15" s="18">
        <f>+Dijon!D15+Eu!D15+Nancy!D15+Roanne!D15</f>
        <v>0</v>
      </c>
      <c r="M15" s="2">
        <v>0</v>
      </c>
    </row>
    <row r="16" spans="1:13" s="2" customFormat="1" ht="11.25">
      <c r="A16" s="590" t="s">
        <v>85</v>
      </c>
      <c r="B16" s="805">
        <f>+Dijon!$G16</f>
        <v>0</v>
      </c>
      <c r="C16" s="805">
        <f>+Eu!$G16</f>
        <v>0</v>
      </c>
      <c r="D16" s="805">
        <f>+Nancy!$G16</f>
        <v>0</v>
      </c>
      <c r="E16" s="805">
        <f>+Roanne!$G16</f>
        <v>0</v>
      </c>
      <c r="F16" s="805">
        <f>+Dijon!E16+Eu!E16+Nancy!E16+Roanne!E16</f>
        <v>281.5</v>
      </c>
      <c r="G16" s="619"/>
      <c r="H16" s="113">
        <v>-154.5</v>
      </c>
      <c r="I16" s="1077"/>
      <c r="J16" s="1013">
        <f t="shared" si="1"/>
        <v>-1</v>
      </c>
      <c r="K16" s="1014">
        <f t="shared" si="2"/>
        <v>0</v>
      </c>
      <c r="L16" s="805">
        <f>+Dijon!D16+Eu!D16+Nancy!D16+Roanne!D16</f>
        <v>0</v>
      </c>
      <c r="M16" s="2">
        <f t="shared" si="0"/>
        <v>1</v>
      </c>
    </row>
    <row r="17" spans="1:13" s="2" customFormat="1" ht="11.25" hidden="1">
      <c r="A17" s="5" t="s">
        <v>88</v>
      </c>
      <c r="B17" s="160">
        <f>+Dijon!$G17</f>
        <v>0</v>
      </c>
      <c r="C17" s="113">
        <f>+Eu!$G17</f>
        <v>0</v>
      </c>
      <c r="D17" s="113">
        <f>+Nancy!$G17</f>
        <v>0</v>
      </c>
      <c r="E17" s="113">
        <f>+Roanne!$G17</f>
        <v>0</v>
      </c>
      <c r="F17" s="160">
        <f>+Dijon!E17+Eu!E17+Nancy!E17+Roanne!E17</f>
        <v>0</v>
      </c>
      <c r="G17" s="135"/>
      <c r="H17" s="113">
        <v>0</v>
      </c>
      <c r="I17" s="161"/>
      <c r="J17" s="149">
        <f t="shared" si="1"/>
        <v>0</v>
      </c>
      <c r="K17" s="271">
        <f t="shared" si="2"/>
        <v>0</v>
      </c>
      <c r="L17" s="18">
        <f>+Dijon!D17+Eu!D17+Nancy!D17+Roanne!D17</f>
        <v>0</v>
      </c>
      <c r="M17" s="2">
        <f t="shared" si="0"/>
        <v>0</v>
      </c>
    </row>
    <row r="18" spans="1:13" s="2" customFormat="1" ht="11.25" hidden="1">
      <c r="A18" s="5" t="s">
        <v>89</v>
      </c>
      <c r="B18" s="160">
        <f>+Dijon!$G18</f>
        <v>0</v>
      </c>
      <c r="C18" s="113">
        <f>+Eu!$G18</f>
        <v>0</v>
      </c>
      <c r="D18" s="113">
        <f>+Nancy!$G18</f>
        <v>0</v>
      </c>
      <c r="E18" s="113">
        <f>+Roanne!$G18</f>
        <v>0</v>
      </c>
      <c r="F18" s="160">
        <f>+Dijon!E18+Eu!E18+Nancy!E18+Roanne!E18</f>
        <v>0</v>
      </c>
      <c r="G18" s="135"/>
      <c r="H18" s="113">
        <v>0</v>
      </c>
      <c r="I18" s="161"/>
      <c r="J18" s="149">
        <f t="shared" si="1"/>
        <v>0</v>
      </c>
      <c r="K18" s="271">
        <f t="shared" si="2"/>
        <v>0</v>
      </c>
      <c r="L18" s="18">
        <f>+Dijon!D18+Eu!D18+Nancy!D18+Roanne!D18</f>
        <v>0</v>
      </c>
      <c r="M18" s="2">
        <f t="shared" si="0"/>
        <v>0</v>
      </c>
    </row>
    <row r="19" spans="1:13" s="2" customFormat="1" ht="11.25" hidden="1">
      <c r="A19" s="5" t="s">
        <v>90</v>
      </c>
      <c r="B19" s="160">
        <f>+Dijon!$G19</f>
        <v>0</v>
      </c>
      <c r="C19" s="113">
        <f>+Eu!$G19</f>
        <v>0</v>
      </c>
      <c r="D19" s="113">
        <f>+Nancy!$G19</f>
        <v>0</v>
      </c>
      <c r="E19" s="113">
        <f>+Roanne!$G19</f>
        <v>0</v>
      </c>
      <c r="F19" s="160">
        <f>+Dijon!E19+Eu!E19+Nancy!E19+Roanne!E19</f>
        <v>0</v>
      </c>
      <c r="G19" s="135"/>
      <c r="H19" s="113">
        <v>0</v>
      </c>
      <c r="I19" s="161"/>
      <c r="J19" s="149">
        <f t="shared" si="1"/>
        <v>0</v>
      </c>
      <c r="K19" s="271">
        <f t="shared" si="2"/>
        <v>0</v>
      </c>
      <c r="L19" s="18">
        <v>0</v>
      </c>
      <c r="M19" s="2">
        <f t="shared" si="0"/>
        <v>0</v>
      </c>
    </row>
    <row r="20" spans="1:13" s="2" customFormat="1" ht="11.25" hidden="1">
      <c r="A20" s="5"/>
      <c r="B20" s="160"/>
      <c r="C20" s="113"/>
      <c r="D20" s="113"/>
      <c r="E20" s="113"/>
      <c r="F20" s="160"/>
      <c r="G20" s="113"/>
      <c r="H20" s="113"/>
      <c r="I20" s="162"/>
      <c r="J20" s="149"/>
      <c r="K20" s="254"/>
      <c r="L20" s="18"/>
      <c r="M20" s="2">
        <f t="shared" si="0"/>
        <v>0</v>
      </c>
    </row>
    <row r="21" spans="1:13" s="57" customFormat="1" ht="15" customHeight="1">
      <c r="A21" s="13" t="s">
        <v>222</v>
      </c>
      <c r="B21" s="803">
        <f t="shared" ref="B21:G21" si="3">SUM(B7:B20)</f>
        <v>651115</v>
      </c>
      <c r="C21" s="803">
        <f t="shared" si="3"/>
        <v>1272071</v>
      </c>
      <c r="D21" s="803">
        <f t="shared" si="3"/>
        <v>913405</v>
      </c>
      <c r="E21" s="803">
        <f t="shared" si="3"/>
        <v>1420317</v>
      </c>
      <c r="F21" s="803">
        <f>SUM(F7:F20)</f>
        <v>3758319.25</v>
      </c>
      <c r="G21" s="803">
        <f t="shared" si="3"/>
        <v>3803920.9780975543</v>
      </c>
      <c r="H21" s="204">
        <v>3565570.7347999997</v>
      </c>
      <c r="I21" s="803">
        <f>SUM(I7:I20)</f>
        <v>4256908</v>
      </c>
      <c r="J21" s="596">
        <f>+IF((F21)=0,,(G21-F21)/F21)</f>
        <v>1.2133542965397178E-2</v>
      </c>
      <c r="K21" s="1015">
        <f>+IF((G21)=0,,(I21-G21)/G21)</f>
        <v>0.11908423558498762</v>
      </c>
      <c r="L21" s="803">
        <f>SUM(L7:L20)</f>
        <v>4365364</v>
      </c>
      <c r="M21" s="678">
        <f t="shared" si="0"/>
        <v>1</v>
      </c>
    </row>
    <row r="22" spans="1:13" s="57" customFormat="1" ht="15" hidden="1" customHeight="1">
      <c r="A22" s="5"/>
      <c r="B22" s="160"/>
      <c r="C22" s="113"/>
      <c r="D22" s="113"/>
      <c r="E22" s="113"/>
      <c r="F22" s="160"/>
      <c r="G22" s="113"/>
      <c r="H22" s="113"/>
      <c r="I22" s="162"/>
      <c r="J22" s="149"/>
      <c r="K22" s="271"/>
      <c r="L22" s="18"/>
      <c r="M22" s="2">
        <f t="shared" si="0"/>
        <v>0</v>
      </c>
    </row>
    <row r="23" spans="1:13" s="2" customFormat="1" ht="11.25" hidden="1">
      <c r="A23" s="5" t="s">
        <v>92</v>
      </c>
      <c r="B23" s="160">
        <f>+Dijon!$G23</f>
        <v>0</v>
      </c>
      <c r="C23" s="113">
        <f>+Eu!$G23</f>
        <v>0</v>
      </c>
      <c r="D23" s="113">
        <f>+Nancy!$G23</f>
        <v>0</v>
      </c>
      <c r="E23" s="113">
        <f>+Roanne!$G23</f>
        <v>0</v>
      </c>
      <c r="F23" s="160">
        <f>+Dijon!E23+Eu!E23+Nancy!E23+Roanne!E23</f>
        <v>0</v>
      </c>
      <c r="G23" s="270"/>
      <c r="H23" s="113">
        <v>0</v>
      </c>
      <c r="I23" s="161"/>
      <c r="J23" s="149"/>
      <c r="K23" s="271"/>
      <c r="L23" s="18"/>
      <c r="M23" s="2">
        <v>0</v>
      </c>
    </row>
    <row r="24" spans="1:13" s="2" customFormat="1" ht="11.25">
      <c r="A24" s="590" t="s">
        <v>93</v>
      </c>
      <c r="B24" s="805">
        <f>+Dijon!$G24</f>
        <v>259794.88500000001</v>
      </c>
      <c r="C24" s="805">
        <f>+Eu!$G24</f>
        <v>386518.77335000009</v>
      </c>
      <c r="D24" s="805">
        <f>+Nancy!$G24</f>
        <v>368102.21500000003</v>
      </c>
      <c r="E24" s="805">
        <f>+Roanne!$G24</f>
        <v>481203.39960000006</v>
      </c>
      <c r="F24" s="805">
        <f>+Dijon!E24+Eu!E24+Nancy!E24+Roanne!E24</f>
        <v>1184704.3499999999</v>
      </c>
      <c r="G24" s="1077"/>
      <c r="H24" s="113">
        <v>0</v>
      </c>
      <c r="I24" s="1077"/>
      <c r="J24" s="1013"/>
      <c r="K24" s="1014"/>
      <c r="L24" s="805"/>
      <c r="M24" s="678">
        <v>1</v>
      </c>
    </row>
    <row r="25" spans="1:13" s="2" customFormat="1" ht="11.25" hidden="1">
      <c r="A25" s="5" t="s">
        <v>94</v>
      </c>
      <c r="B25" s="160">
        <f>+Dijon!$G25</f>
        <v>0</v>
      </c>
      <c r="C25" s="113">
        <f>+Eu!$G25</f>
        <v>0</v>
      </c>
      <c r="D25" s="113">
        <f>+Nancy!$G25</f>
        <v>0</v>
      </c>
      <c r="E25" s="113">
        <f>+Roanne!$G25</f>
        <v>0</v>
      </c>
      <c r="F25" s="160">
        <f>+Dijon!E25+Eu!E25+Nancy!E25+Roanne!E25</f>
        <v>89153.279999999999</v>
      </c>
      <c r="G25" s="270"/>
      <c r="H25" s="113">
        <v>0</v>
      </c>
      <c r="I25" s="161"/>
      <c r="J25" s="149"/>
      <c r="K25" s="271"/>
      <c r="L25" s="18"/>
      <c r="M25" s="2">
        <v>0</v>
      </c>
    </row>
    <row r="26" spans="1:13" s="57" customFormat="1" ht="15" hidden="1" customHeight="1">
      <c r="A26" s="5" t="s">
        <v>288</v>
      </c>
      <c r="B26" s="160">
        <f>+Dijon!$G26</f>
        <v>0</v>
      </c>
      <c r="C26" s="113">
        <f>+Eu!$G26</f>
        <v>0</v>
      </c>
      <c r="D26" s="113">
        <f>+Nancy!$G26</f>
        <v>0</v>
      </c>
      <c r="E26" s="113">
        <f>+Roanne!$G26</f>
        <v>0</v>
      </c>
      <c r="F26" s="160">
        <f>+Dijon!E26+Eu!E26+Nancy!E26+Roanne!E26</f>
        <v>91499</v>
      </c>
      <c r="G26" s="270"/>
      <c r="H26" s="113">
        <v>0</v>
      </c>
      <c r="I26" s="161"/>
      <c r="J26" s="149"/>
      <c r="K26" s="271"/>
      <c r="L26" s="18"/>
      <c r="M26" s="2">
        <v>0</v>
      </c>
    </row>
    <row r="27" spans="1:13" s="57" customFormat="1" ht="15" hidden="1" customHeight="1">
      <c r="A27" s="5" t="s">
        <v>289</v>
      </c>
      <c r="B27" s="160">
        <f>+Dijon!$G27</f>
        <v>0</v>
      </c>
      <c r="C27" s="113">
        <f>+Eu!$G27</f>
        <v>0</v>
      </c>
      <c r="D27" s="113">
        <f>+Nancy!$G27</f>
        <v>0</v>
      </c>
      <c r="E27" s="113">
        <f>+Roanne!$G27</f>
        <v>0</v>
      </c>
      <c r="F27" s="160">
        <f>+Dijon!E27+Eu!E27+Nancy!E27+Roanne!E27</f>
        <v>-154862</v>
      </c>
      <c r="G27" s="270"/>
      <c r="H27" s="113">
        <v>0</v>
      </c>
      <c r="I27" s="161"/>
      <c r="J27" s="149"/>
      <c r="K27" s="271"/>
      <c r="L27" s="18"/>
      <c r="M27" s="2">
        <f t="shared" si="0"/>
        <v>0</v>
      </c>
    </row>
    <row r="28" spans="1:13" s="2" customFormat="1" ht="11.25">
      <c r="A28" s="590" t="s">
        <v>95</v>
      </c>
      <c r="B28" s="805">
        <f>+Dijon!$G28</f>
        <v>173196.59000000003</v>
      </c>
      <c r="C28" s="805">
        <f>+Eu!$G28</f>
        <v>268597.79165000003</v>
      </c>
      <c r="D28" s="805">
        <f>+Nancy!$G28</f>
        <v>198208.88499999998</v>
      </c>
      <c r="E28" s="805">
        <f>+Roanne!$G28</f>
        <v>393711.87239999999</v>
      </c>
      <c r="F28" s="805">
        <f>+Dijon!E28+Eu!E28+Nancy!E28+Roanne!E28</f>
        <v>934682.67999999993</v>
      </c>
      <c r="G28" s="1077"/>
      <c r="H28" s="113">
        <v>0</v>
      </c>
      <c r="I28" s="1077"/>
      <c r="J28" s="1013"/>
      <c r="K28" s="1014"/>
      <c r="L28" s="805"/>
      <c r="M28" s="678">
        <v>1</v>
      </c>
    </row>
    <row r="29" spans="1:13" s="2" customFormat="1" ht="11.25" hidden="1">
      <c r="A29" s="5" t="s">
        <v>293</v>
      </c>
      <c r="B29" s="160">
        <f>+Dijon!$G29</f>
        <v>0</v>
      </c>
      <c r="C29" s="113">
        <f>+Eu!$G29</f>
        <v>0</v>
      </c>
      <c r="D29" s="113">
        <f>+Nancy!$G29</f>
        <v>0</v>
      </c>
      <c r="E29" s="113">
        <f>+Roanne!$G29</f>
        <v>0</v>
      </c>
      <c r="F29" s="160">
        <f>+Dijon!E29+Eu!E29+Nancy!E29+Roanne!E29</f>
        <v>36338.949999999997</v>
      </c>
      <c r="G29" s="270"/>
      <c r="H29" s="270">
        <v>0</v>
      </c>
      <c r="I29" s="161"/>
      <c r="J29" s="149"/>
      <c r="K29" s="271"/>
      <c r="L29" s="18"/>
      <c r="M29" s="2">
        <v>0</v>
      </c>
    </row>
    <row r="30" spans="1:13" s="2" customFormat="1" ht="11.25">
      <c r="A30" s="42" t="s">
        <v>292</v>
      </c>
      <c r="B30" s="804">
        <f>SUM(B23:B29)</f>
        <v>432991.47500000003</v>
      </c>
      <c r="C30" s="804">
        <f>SUM(C23:C29)</f>
        <v>655116.56500000018</v>
      </c>
      <c r="D30" s="804">
        <f>SUM(D23:D29)</f>
        <v>566311.1</v>
      </c>
      <c r="E30" s="804">
        <f>SUM(E23:E29)</f>
        <v>874915.27200000011</v>
      </c>
      <c r="F30" s="804">
        <f>SUM(F23:F29)</f>
        <v>2181516.2599999998</v>
      </c>
      <c r="G30" s="804"/>
      <c r="H30" s="220">
        <v>0</v>
      </c>
      <c r="I30" s="804"/>
      <c r="J30" s="606"/>
      <c r="K30" s="1021"/>
      <c r="L30" s="804"/>
      <c r="M30" s="678">
        <v>1</v>
      </c>
    </row>
    <row r="31" spans="1:13" s="2" customFormat="1" ht="15" hidden="1" customHeight="1">
      <c r="A31" s="5"/>
      <c r="B31" s="160"/>
      <c r="C31" s="113"/>
      <c r="D31" s="113"/>
      <c r="E31" s="113"/>
      <c r="F31" s="160"/>
      <c r="G31" s="113"/>
      <c r="H31" s="113"/>
      <c r="I31" s="162"/>
      <c r="J31" s="149"/>
      <c r="K31" s="254"/>
      <c r="L31" s="18"/>
      <c r="M31" s="2">
        <f t="shared" si="0"/>
        <v>0</v>
      </c>
    </row>
    <row r="32" spans="1:13" s="2" customFormat="1" ht="15" hidden="1" customHeight="1">
      <c r="A32" s="56" t="s">
        <v>336</v>
      </c>
      <c r="B32" s="166">
        <f>+B21-B30-B38</f>
        <v>218123.52499999997</v>
      </c>
      <c r="C32" s="221">
        <f>+C21-C30-C38</f>
        <v>616954.43499999982</v>
      </c>
      <c r="D32" s="221">
        <f>+D21-D30-D38</f>
        <v>347093.9</v>
      </c>
      <c r="E32" s="221">
        <f>+E21-E30-E38</f>
        <v>545401.72799999989</v>
      </c>
      <c r="F32" s="221">
        <f>+F21-F30-F38</f>
        <v>1580154.1497000002</v>
      </c>
      <c r="G32" s="221"/>
      <c r="H32" s="221"/>
      <c r="I32" s="167"/>
      <c r="J32" s="273"/>
      <c r="K32" s="274"/>
      <c r="L32" s="307"/>
      <c r="M32" s="2">
        <v>0</v>
      </c>
    </row>
    <row r="33" spans="1:13" s="2" customFormat="1" ht="11.25" hidden="1">
      <c r="A33" s="56" t="s">
        <v>337</v>
      </c>
      <c r="B33" s="196">
        <f>+B32/B21</f>
        <v>0.33499999999999996</v>
      </c>
      <c r="C33" s="222">
        <f>+C32/C21</f>
        <v>0.48499999999999988</v>
      </c>
      <c r="D33" s="222">
        <f>+D32/D21</f>
        <v>0.38</v>
      </c>
      <c r="E33" s="222">
        <f>+E32/E21</f>
        <v>0.3839999999999999</v>
      </c>
      <c r="F33" s="222">
        <f>+F32/F21</f>
        <v>0.42044170401436765</v>
      </c>
      <c r="G33" s="222"/>
      <c r="H33" s="222"/>
      <c r="I33" s="189"/>
      <c r="J33" s="273"/>
      <c r="K33" s="274"/>
      <c r="L33" s="308"/>
      <c r="M33" s="2">
        <v>0</v>
      </c>
    </row>
    <row r="34" spans="1:13" s="2" customFormat="1" ht="11.25" hidden="1">
      <c r="A34" s="5"/>
      <c r="B34" s="160"/>
      <c r="C34" s="113"/>
      <c r="D34" s="113"/>
      <c r="E34" s="113"/>
      <c r="F34" s="160"/>
      <c r="G34" s="113"/>
      <c r="H34" s="113"/>
      <c r="I34" s="162"/>
      <c r="J34" s="149"/>
      <c r="K34" s="271"/>
      <c r="L34" s="18"/>
      <c r="M34" s="2">
        <f t="shared" si="0"/>
        <v>0</v>
      </c>
    </row>
    <row r="35" spans="1:13" s="33" customFormat="1" ht="15" hidden="1" customHeight="1">
      <c r="A35" s="5" t="s">
        <v>96</v>
      </c>
      <c r="B35" s="160">
        <f>+Dijon!$G35</f>
        <v>4329.9147500000008</v>
      </c>
      <c r="C35" s="113">
        <f>+Eu!$G35</f>
        <v>3079.3433767610368</v>
      </c>
      <c r="D35" s="113">
        <f>+Nancy!$G35</f>
        <v>7307.4292993998633</v>
      </c>
      <c r="E35" s="113">
        <f>+Roanne!$G35</f>
        <v>7044.3928463973598</v>
      </c>
      <c r="F35" s="160">
        <f>+Dijon!E35+Eu!E35+Nancy!E35+Roanne!E35</f>
        <v>18129.04</v>
      </c>
      <c r="G35" s="270"/>
      <c r="H35" s="113">
        <v>0</v>
      </c>
      <c r="I35" s="161"/>
      <c r="J35" s="149"/>
      <c r="K35" s="271"/>
      <c r="L35" s="18"/>
      <c r="M35" s="2">
        <v>0</v>
      </c>
    </row>
    <row r="36" spans="1:13" s="2" customFormat="1" ht="11.25" hidden="1">
      <c r="A36" s="5" t="s">
        <v>97</v>
      </c>
      <c r="B36" s="160">
        <f>+Dijon!$G36</f>
        <v>865.98295000000007</v>
      </c>
      <c r="C36" s="113">
        <f>+Eu!$G36</f>
        <v>646.93726532858966</v>
      </c>
      <c r="D36" s="113">
        <f>+Nancy!$G36</f>
        <v>1337.1576006438968</v>
      </c>
      <c r="E36" s="113">
        <f>+Roanne!$G36</f>
        <v>3117.1909381053001</v>
      </c>
      <c r="F36" s="160">
        <f>+Dijon!E36+Eu!E36+Nancy!E36+Roanne!E36</f>
        <v>5333.29</v>
      </c>
      <c r="G36" s="270"/>
      <c r="H36" s="113">
        <v>0</v>
      </c>
      <c r="I36" s="161"/>
      <c r="J36" s="149"/>
      <c r="K36" s="271"/>
      <c r="L36" s="18"/>
      <c r="M36" s="2">
        <v>0</v>
      </c>
    </row>
    <row r="37" spans="1:13" s="33" customFormat="1" ht="15.75" hidden="1" customHeight="1">
      <c r="A37" s="5" t="s">
        <v>98</v>
      </c>
      <c r="B37" s="160">
        <f>+Dijon!$G37</f>
        <v>0</v>
      </c>
      <c r="C37" s="113">
        <f>+Eu!$G37</f>
        <v>0</v>
      </c>
      <c r="D37" s="113">
        <f>+Nancy!$G37</f>
        <v>0</v>
      </c>
      <c r="E37" s="113">
        <f>+Roanne!$G37</f>
        <v>0</v>
      </c>
      <c r="F37" s="160">
        <f>+Dijon!E37+Eu!E37+Nancy!E37+Roanne!E37</f>
        <v>0</v>
      </c>
      <c r="G37" s="270"/>
      <c r="H37" s="113">
        <v>0</v>
      </c>
      <c r="I37" s="161"/>
      <c r="J37" s="149"/>
      <c r="K37" s="271"/>
      <c r="L37" s="18"/>
      <c r="M37" s="2">
        <f t="shared" si="0"/>
        <v>0</v>
      </c>
    </row>
    <row r="38" spans="1:13" s="2" customFormat="1" ht="11.25" hidden="1">
      <c r="A38" s="5" t="s">
        <v>99</v>
      </c>
      <c r="B38" s="160">
        <f>+Dijon!$G38</f>
        <v>0</v>
      </c>
      <c r="C38" s="113">
        <f>+Eu!$G38</f>
        <v>0</v>
      </c>
      <c r="D38" s="113">
        <f>+Nancy!$G38</f>
        <v>0</v>
      </c>
      <c r="E38" s="113">
        <f>+Roanne!$G38</f>
        <v>0</v>
      </c>
      <c r="F38" s="160">
        <f>+Dijon!E38+Eu!E38+Nancy!E38+Roanne!E38</f>
        <v>-3351.1596999999892</v>
      </c>
      <c r="G38" s="270"/>
      <c r="H38" s="113">
        <v>0</v>
      </c>
      <c r="I38" s="161"/>
      <c r="J38" s="149"/>
      <c r="K38" s="271"/>
      <c r="L38" s="18"/>
      <c r="M38" s="2">
        <v>0</v>
      </c>
    </row>
    <row r="39" spans="1:13" s="2" customFormat="1" ht="11.25" hidden="1">
      <c r="A39" s="5" t="s">
        <v>177</v>
      </c>
      <c r="B39" s="160">
        <f>+Dijon!$G39</f>
        <v>0</v>
      </c>
      <c r="C39" s="113">
        <f>+Eu!$G39</f>
        <v>0</v>
      </c>
      <c r="D39" s="113">
        <f>+Nancy!$G39</f>
        <v>0</v>
      </c>
      <c r="E39" s="113">
        <f>+Roanne!$G39</f>
        <v>0</v>
      </c>
      <c r="F39" s="160">
        <f>+Dijon!E39+Eu!E39+Nancy!E39+Roanne!E39</f>
        <v>23120.21</v>
      </c>
      <c r="G39" s="270"/>
      <c r="H39" s="113">
        <v>0</v>
      </c>
      <c r="I39" s="161"/>
      <c r="J39" s="149"/>
      <c r="K39" s="271"/>
      <c r="L39" s="18"/>
      <c r="M39" s="2">
        <v>0</v>
      </c>
    </row>
    <row r="40" spans="1:13" s="2" customFormat="1" ht="11.25" hidden="1">
      <c r="A40" s="5" t="s">
        <v>176</v>
      </c>
      <c r="B40" s="160">
        <f>+Dijon!$G40</f>
        <v>0</v>
      </c>
      <c r="C40" s="113">
        <f>+Eu!$G40</f>
        <v>0</v>
      </c>
      <c r="D40" s="113">
        <f>+Nancy!$G40</f>
        <v>0</v>
      </c>
      <c r="E40" s="113">
        <f>+Roanne!$G40</f>
        <v>0</v>
      </c>
      <c r="F40" s="160">
        <f>+Dijon!E40+Eu!E40+Nancy!E40+Roanne!E40</f>
        <v>-22216.89</v>
      </c>
      <c r="G40" s="270"/>
      <c r="H40" s="113">
        <v>0</v>
      </c>
      <c r="I40" s="161"/>
      <c r="J40" s="149"/>
      <c r="K40" s="271"/>
      <c r="L40" s="18"/>
      <c r="M40" s="2">
        <f t="shared" si="0"/>
        <v>0</v>
      </c>
    </row>
    <row r="41" spans="1:13" s="2" customFormat="1" ht="11.25" hidden="1">
      <c r="A41" s="5" t="s">
        <v>317</v>
      </c>
      <c r="B41" s="160">
        <f>+Dijon!$G41</f>
        <v>-5195.8977000000004</v>
      </c>
      <c r="C41" s="113">
        <f>+Eu!$G41</f>
        <v>-7730.3754670000017</v>
      </c>
      <c r="D41" s="113">
        <f>+Nancy!$G41</f>
        <v>-7362.0443000000005</v>
      </c>
      <c r="E41" s="113">
        <f>+Roanne!$G41</f>
        <v>-9624.0679920000021</v>
      </c>
      <c r="F41" s="160">
        <f>+Dijon!E41+Eu!E41+Nancy!E41+Roanne!E41</f>
        <v>-27222.300000000003</v>
      </c>
      <c r="G41" s="270"/>
      <c r="H41" s="113">
        <v>0</v>
      </c>
      <c r="I41" s="161"/>
      <c r="J41" s="149"/>
      <c r="K41" s="271"/>
      <c r="L41" s="18"/>
      <c r="M41" s="2">
        <f t="shared" si="0"/>
        <v>0</v>
      </c>
    </row>
    <row r="42" spans="1:13" s="2" customFormat="1" ht="11.25" hidden="1">
      <c r="A42" s="5" t="s">
        <v>318</v>
      </c>
      <c r="B42" s="160">
        <f>+Dijon!$G42</f>
        <v>-12123.761300000004</v>
      </c>
      <c r="C42" s="113">
        <f>+Eu!$G42</f>
        <v>-18801.845415500004</v>
      </c>
      <c r="D42" s="113">
        <f>+Nancy!$G42</f>
        <v>-13874.621950000001</v>
      </c>
      <c r="E42" s="113">
        <f>+Roanne!$G42</f>
        <v>-27559.831068000003</v>
      </c>
      <c r="F42" s="160">
        <f>+Dijon!E42+Eu!E42+Nancy!E42+Roanne!E42</f>
        <v>-65114.930000000008</v>
      </c>
      <c r="G42" s="270"/>
      <c r="H42" s="113">
        <v>0</v>
      </c>
      <c r="I42" s="161"/>
      <c r="J42" s="149"/>
      <c r="K42" s="271"/>
      <c r="L42" s="18"/>
      <c r="M42" s="2">
        <f t="shared" si="0"/>
        <v>0</v>
      </c>
    </row>
    <row r="43" spans="1:13" s="2" customFormat="1" ht="11.25" hidden="1">
      <c r="A43" s="5"/>
      <c r="B43" s="160"/>
      <c r="C43" s="113"/>
      <c r="D43" s="113"/>
      <c r="E43" s="113"/>
      <c r="F43" s="160"/>
      <c r="G43" s="113"/>
      <c r="H43" s="113"/>
      <c r="I43" s="162"/>
      <c r="J43" s="149"/>
      <c r="K43" s="254"/>
      <c r="L43" s="18"/>
      <c r="M43" s="2">
        <f t="shared" si="0"/>
        <v>0</v>
      </c>
    </row>
    <row r="44" spans="1:13" s="2" customFormat="1" ht="11.25" hidden="1">
      <c r="A44" s="13" t="s">
        <v>291</v>
      </c>
      <c r="B44" s="163">
        <f>+B30+SUM(B34:B43)</f>
        <v>420867.71370000002</v>
      </c>
      <c r="C44" s="204">
        <f>+C30+SUM(C34:C43)</f>
        <v>632310.62475958979</v>
      </c>
      <c r="D44" s="204">
        <f>+D30+SUM(D34:D43)</f>
        <v>553719.02065004373</v>
      </c>
      <c r="E44" s="204">
        <f>+E30+SUM(E34:E43)</f>
        <v>847892.95672450273</v>
      </c>
      <c r="F44" s="204">
        <f>+F30+SUM(F34:F43)</f>
        <v>2110193.5203</v>
      </c>
      <c r="G44" s="204"/>
      <c r="H44" s="204">
        <v>0</v>
      </c>
      <c r="I44" s="168"/>
      <c r="J44" s="272"/>
      <c r="K44" s="188"/>
      <c r="L44" s="305"/>
      <c r="M44" s="2">
        <v>0</v>
      </c>
    </row>
    <row r="45" spans="1:13" s="2" customFormat="1" ht="11.25" hidden="1">
      <c r="A45" s="5"/>
      <c r="B45" s="160"/>
      <c r="C45" s="113"/>
      <c r="D45" s="113"/>
      <c r="E45" s="113"/>
      <c r="F45" s="160"/>
      <c r="G45" s="113"/>
      <c r="H45" s="113"/>
      <c r="I45" s="162"/>
      <c r="J45" s="149"/>
      <c r="K45" s="254"/>
      <c r="L45" s="18"/>
      <c r="M45" s="2">
        <f t="shared" si="0"/>
        <v>0</v>
      </c>
    </row>
    <row r="46" spans="1:13" s="2" customFormat="1" ht="11.25" hidden="1">
      <c r="A46" s="56" t="s">
        <v>339</v>
      </c>
      <c r="B46" s="166">
        <f>+B21-B44</f>
        <v>230247.28629999998</v>
      </c>
      <c r="C46" s="221">
        <f>+C21-C44</f>
        <v>639760.37524041021</v>
      </c>
      <c r="D46" s="221">
        <f>+D21-D44</f>
        <v>359685.97934995627</v>
      </c>
      <c r="E46" s="221">
        <f>+E21-E44</f>
        <v>572424.04327549727</v>
      </c>
      <c r="F46" s="221">
        <f>+F21-F44</f>
        <v>1648125.7297</v>
      </c>
      <c r="G46" s="221"/>
      <c r="H46" s="221">
        <v>3565570.7347999997</v>
      </c>
      <c r="I46" s="167"/>
      <c r="J46" s="273"/>
      <c r="K46" s="274"/>
      <c r="L46" s="307"/>
      <c r="M46" s="2">
        <v>0</v>
      </c>
    </row>
    <row r="47" spans="1:13" s="2" customFormat="1" ht="11.25" hidden="1">
      <c r="A47" s="56" t="s">
        <v>340</v>
      </c>
      <c r="B47" s="196">
        <f>+B46/B21</f>
        <v>0.35361999999999999</v>
      </c>
      <c r="C47" s="222">
        <f>+C46/C21</f>
        <v>0.50292819759306695</v>
      </c>
      <c r="D47" s="222">
        <f>+D46/D21</f>
        <v>0.39378586645568642</v>
      </c>
      <c r="E47" s="222">
        <f>+E46/E21</f>
        <v>0.40302555223622422</v>
      </c>
      <c r="F47" s="222">
        <f>+F46/F21</f>
        <v>0.43852733630864382</v>
      </c>
      <c r="G47" s="222"/>
      <c r="H47" s="222">
        <v>1</v>
      </c>
      <c r="I47" s="189"/>
      <c r="J47" s="273"/>
      <c r="K47" s="274"/>
      <c r="L47" s="308"/>
      <c r="M47" s="2">
        <v>0</v>
      </c>
    </row>
    <row r="48" spans="1:13" s="2" customFormat="1" ht="15" hidden="1" customHeight="1">
      <c r="A48" s="5"/>
      <c r="B48" s="160"/>
      <c r="C48" s="113"/>
      <c r="D48" s="113"/>
      <c r="E48" s="113"/>
      <c r="F48" s="160"/>
      <c r="G48" s="113"/>
      <c r="H48" s="113"/>
      <c r="I48" s="162"/>
      <c r="J48" s="149"/>
      <c r="K48" s="271"/>
      <c r="L48" s="18"/>
      <c r="M48" s="2">
        <f t="shared" si="0"/>
        <v>0</v>
      </c>
    </row>
    <row r="49" spans="1:13" s="2" customFormat="1" ht="11.25">
      <c r="A49" s="590" t="s">
        <v>91</v>
      </c>
      <c r="B49" s="805">
        <f>+Dijon!$G49</f>
        <v>8000</v>
      </c>
      <c r="C49" s="805">
        <f>+Eu!$G49</f>
        <v>2706</v>
      </c>
      <c r="D49" s="805">
        <f>+Nancy!$G49</f>
        <v>11946</v>
      </c>
      <c r="E49" s="805">
        <f>+Roanne!$G49</f>
        <v>25019</v>
      </c>
      <c r="F49" s="805">
        <f>+Dijon!E49+Eu!E49+Nancy!E49+Roanne!E49</f>
        <v>28223.21</v>
      </c>
      <c r="G49" s="619">
        <f>+Dijon!F49+Eu!F49+Nancy!F49+Roanne!F49</f>
        <v>40356.880000000005</v>
      </c>
      <c r="H49" s="113">
        <v>44722.600000000006</v>
      </c>
      <c r="I49" s="1077">
        <f>+Dijon!G49+Eu!G49+Nancy!G49+Roanne!G49</f>
        <v>47671</v>
      </c>
      <c r="J49" s="1013">
        <f>+IF((F49)=0,,(G49-F49)/F49)</f>
        <v>0.42991814184141369</v>
      </c>
      <c r="K49" s="1014">
        <f>+IF((G49)=0,,(I49-G49)/G49)</f>
        <v>0.18123601229827466</v>
      </c>
      <c r="L49" s="805">
        <f>+Dijon!D49+Eu!D49+Nancy!D49+Roanne!D49</f>
        <v>39724</v>
      </c>
      <c r="M49" s="678">
        <v>1</v>
      </c>
    </row>
    <row r="50" spans="1:13" s="2" customFormat="1" ht="15" hidden="1" customHeight="1">
      <c r="A50" s="5"/>
      <c r="B50" s="160"/>
      <c r="C50" s="113"/>
      <c r="D50" s="113"/>
      <c r="E50" s="113"/>
      <c r="F50" s="160"/>
      <c r="G50" s="134"/>
      <c r="H50" s="113"/>
      <c r="I50" s="162"/>
      <c r="J50" s="149"/>
      <c r="K50" s="271"/>
      <c r="L50" s="18"/>
      <c r="M50" s="2">
        <f t="shared" si="0"/>
        <v>0</v>
      </c>
    </row>
    <row r="51" spans="1:13" s="2" customFormat="1" ht="11.25">
      <c r="A51" s="13" t="s">
        <v>223</v>
      </c>
      <c r="B51" s="803">
        <f t="shared" ref="B51:G51" si="4">+B21-B49</f>
        <v>643115</v>
      </c>
      <c r="C51" s="803">
        <f t="shared" si="4"/>
        <v>1269365</v>
      </c>
      <c r="D51" s="803">
        <f t="shared" si="4"/>
        <v>901459</v>
      </c>
      <c r="E51" s="803">
        <f t="shared" si="4"/>
        <v>1395298</v>
      </c>
      <c r="F51" s="803">
        <f t="shared" si="4"/>
        <v>3730096.04</v>
      </c>
      <c r="G51" s="597">
        <f t="shared" si="4"/>
        <v>3763564.0980975544</v>
      </c>
      <c r="H51" s="204">
        <v>3520848.1347999997</v>
      </c>
      <c r="I51" s="803">
        <f>+I21-I49</f>
        <v>4209237</v>
      </c>
      <c r="J51" s="596"/>
      <c r="K51" s="1015"/>
      <c r="L51" s="803">
        <f>+L21-L49</f>
        <v>4325640</v>
      </c>
      <c r="M51" s="678">
        <v>1</v>
      </c>
    </row>
    <row r="52" spans="1:13" s="2" customFormat="1" ht="15" hidden="1" customHeight="1">
      <c r="A52" s="5"/>
      <c r="B52" s="160"/>
      <c r="C52" s="113"/>
      <c r="D52" s="113"/>
      <c r="E52" s="113"/>
      <c r="F52" s="160"/>
      <c r="G52" s="134"/>
      <c r="H52" s="113"/>
      <c r="I52" s="162"/>
      <c r="J52" s="149"/>
      <c r="K52" s="254"/>
      <c r="L52" s="18"/>
      <c r="M52" s="2">
        <f t="shared" si="0"/>
        <v>0</v>
      </c>
    </row>
    <row r="53" spans="1:13" s="2" customFormat="1" ht="11.25" hidden="1">
      <c r="A53" s="16" t="s">
        <v>3</v>
      </c>
      <c r="B53" s="169">
        <f>+B51-B44</f>
        <v>222247.28629999998</v>
      </c>
      <c r="C53" s="223">
        <f>+C51-C44</f>
        <v>637054.37524041021</v>
      </c>
      <c r="D53" s="223">
        <f>+D51-D44</f>
        <v>347739.97934995627</v>
      </c>
      <c r="E53" s="223">
        <f>+E51-E44</f>
        <v>547405.04327549727</v>
      </c>
      <c r="F53" s="169">
        <f>+F51-F44</f>
        <v>1619902.5197000001</v>
      </c>
      <c r="G53" s="140"/>
      <c r="H53" s="223">
        <v>0</v>
      </c>
      <c r="I53" s="170"/>
      <c r="J53" s="224"/>
      <c r="K53" s="123"/>
      <c r="L53" s="309"/>
      <c r="M53" s="2">
        <v>0</v>
      </c>
    </row>
    <row r="54" spans="1:13" s="2" customFormat="1" ht="15" hidden="1" customHeight="1">
      <c r="A54" s="16" t="s">
        <v>4</v>
      </c>
      <c r="B54" s="197">
        <f>+B53/B51</f>
        <v>0.34557938517994446</v>
      </c>
      <c r="C54" s="224">
        <f>+C53/C51</f>
        <v>0.50186855257582352</v>
      </c>
      <c r="D54" s="224">
        <f>+D53/D51</f>
        <v>0.385752407319641</v>
      </c>
      <c r="E54" s="224">
        <f>+E53/E51</f>
        <v>0.39232124125132928</v>
      </c>
      <c r="F54" s="197">
        <f>+F53/F51</f>
        <v>0.43427903794670125</v>
      </c>
      <c r="G54" s="141"/>
      <c r="H54" s="224">
        <v>0</v>
      </c>
      <c r="I54" s="191"/>
      <c r="J54" s="224"/>
      <c r="K54" s="123"/>
      <c r="L54" s="15"/>
      <c r="M54" s="2">
        <v>0</v>
      </c>
    </row>
    <row r="55" spans="1:13" s="2" customFormat="1" ht="11.25" hidden="1">
      <c r="A55" s="5"/>
      <c r="B55" s="160"/>
      <c r="C55" s="113"/>
      <c r="D55" s="113"/>
      <c r="E55" s="113"/>
      <c r="F55" s="160"/>
      <c r="G55" s="134"/>
      <c r="H55" s="113"/>
      <c r="I55" s="162"/>
      <c r="J55" s="149"/>
      <c r="K55" s="271"/>
      <c r="L55" s="18"/>
      <c r="M55" s="2">
        <f t="shared" si="0"/>
        <v>0</v>
      </c>
    </row>
    <row r="56" spans="1:13" s="2" customFormat="1" ht="11.25" hidden="1">
      <c r="A56" s="5" t="s">
        <v>290</v>
      </c>
      <c r="B56" s="160">
        <f>+Dijon!$G56</f>
        <v>0</v>
      </c>
      <c r="C56" s="113">
        <f>+Eu!$G56</f>
        <v>0</v>
      </c>
      <c r="D56" s="113">
        <f>+Nancy!$G56</f>
        <v>0</v>
      </c>
      <c r="E56" s="113">
        <f>+Roanne!$G56</f>
        <v>0</v>
      </c>
      <c r="F56" s="160">
        <f>+Dijon!E56+Eu!E56+Nancy!E56+Roanne!E56</f>
        <v>478901.52729999996</v>
      </c>
      <c r="G56" s="134"/>
      <c r="H56" s="113">
        <v>0</v>
      </c>
      <c r="I56" s="161"/>
      <c r="J56" s="149"/>
      <c r="K56" s="271"/>
      <c r="L56" s="18"/>
      <c r="M56" s="2">
        <v>0</v>
      </c>
    </row>
    <row r="57" spans="1:13" s="2" customFormat="1" ht="11.25" hidden="1">
      <c r="A57" s="5" t="s">
        <v>100</v>
      </c>
      <c r="B57" s="160">
        <f>+Dijon!$G57</f>
        <v>0</v>
      </c>
      <c r="C57" s="113">
        <f>+Eu!$G57</f>
        <v>0</v>
      </c>
      <c r="D57" s="113">
        <f>+Nancy!$G57</f>
        <v>0</v>
      </c>
      <c r="E57" s="113">
        <f>+Roanne!$G57</f>
        <v>0</v>
      </c>
      <c r="F57" s="160">
        <f>+Dijon!E57+Eu!E57+Nancy!E57+Roanne!E57</f>
        <v>482252.68699999998</v>
      </c>
      <c r="G57" s="134"/>
      <c r="H57" s="113">
        <v>0</v>
      </c>
      <c r="I57" s="161"/>
      <c r="J57" s="149"/>
      <c r="K57" s="271"/>
      <c r="L57" s="18"/>
      <c r="M57" s="2">
        <v>0</v>
      </c>
    </row>
    <row r="58" spans="1:13" s="2" customFormat="1" ht="12" hidden="1" thickBot="1">
      <c r="A58" s="21"/>
      <c r="B58" s="171"/>
      <c r="C58" s="205"/>
      <c r="D58" s="205"/>
      <c r="E58" s="205"/>
      <c r="F58" s="171"/>
      <c r="G58" s="142"/>
      <c r="H58" s="205"/>
      <c r="I58" s="172"/>
      <c r="J58" s="236"/>
      <c r="K58" s="275"/>
      <c r="L58" s="310"/>
      <c r="M58" s="2">
        <f t="shared" si="0"/>
        <v>0</v>
      </c>
    </row>
    <row r="59" spans="1:13" s="2" customFormat="1" ht="11.25" hidden="1">
      <c r="A59" s="5"/>
      <c r="B59" s="160"/>
      <c r="C59" s="113"/>
      <c r="D59" s="113"/>
      <c r="E59" s="113"/>
      <c r="F59" s="160"/>
      <c r="G59" s="134"/>
      <c r="H59" s="113"/>
      <c r="I59" s="162"/>
      <c r="J59" s="149"/>
      <c r="K59" s="254"/>
      <c r="L59" s="18"/>
      <c r="M59" s="2">
        <f t="shared" si="0"/>
        <v>0</v>
      </c>
    </row>
    <row r="60" spans="1:13" s="2" customFormat="1" ht="15" customHeight="1">
      <c r="A60" s="16" t="s">
        <v>295</v>
      </c>
      <c r="B60" s="660">
        <f>+Dijon!$G60</f>
        <v>0.34557938517994446</v>
      </c>
      <c r="C60" s="660">
        <f>+Eu!$G60</f>
        <v>0.50186855257582363</v>
      </c>
      <c r="D60" s="660">
        <f>+Nancy!$G60</f>
        <v>0.385752407319641</v>
      </c>
      <c r="E60" s="660">
        <f>+Roanne!$G60</f>
        <v>0.39232124125132939</v>
      </c>
      <c r="F60" s="660">
        <f>+F62/F51</f>
        <v>0.43427903794670125</v>
      </c>
      <c r="G60" s="660">
        <f>+G62/G51</f>
        <v>0.42315691029297214</v>
      </c>
      <c r="H60" s="224">
        <v>0.32589352974594532</v>
      </c>
      <c r="I60" s="660">
        <f>+I62/I51</f>
        <v>0.41680871952942156</v>
      </c>
      <c r="J60" s="660"/>
      <c r="K60" s="622"/>
      <c r="L60" s="660">
        <f>+L62/L51</f>
        <v>0.43064078379153142</v>
      </c>
      <c r="M60" s="678">
        <f t="shared" si="0"/>
        <v>1</v>
      </c>
    </row>
    <row r="61" spans="1:13" s="2" customFormat="1" ht="11.25" hidden="1">
      <c r="A61" s="5" t="s">
        <v>75</v>
      </c>
      <c r="B61" s="92">
        <f>+Dijon!$G61</f>
        <v>0</v>
      </c>
      <c r="C61" s="149">
        <f>+Eu!$G61</f>
        <v>0</v>
      </c>
      <c r="D61" s="149">
        <f>+Nancy!$G61</f>
        <v>0</v>
      </c>
      <c r="E61" s="149">
        <f>+Roanne!$G61</f>
        <v>0</v>
      </c>
      <c r="F61" s="160"/>
      <c r="G61" s="135"/>
      <c r="H61" s="113"/>
      <c r="I61" s="162"/>
      <c r="J61" s="149"/>
      <c r="K61" s="254"/>
      <c r="L61" s="18"/>
      <c r="M61" s="2">
        <f t="shared" si="0"/>
        <v>0</v>
      </c>
    </row>
    <row r="62" spans="1:13" s="2" customFormat="1" ht="15" customHeight="1">
      <c r="A62" s="16" t="s">
        <v>296</v>
      </c>
      <c r="B62" s="661">
        <f>+B51*B60</f>
        <v>222247.28629999998</v>
      </c>
      <c r="C62" s="661">
        <f>+C51*C60</f>
        <v>637054.37524041033</v>
      </c>
      <c r="D62" s="661">
        <f>+D51*D60</f>
        <v>347739.97934995627</v>
      </c>
      <c r="E62" s="661">
        <f>+E51*E60</f>
        <v>547405.04327549739</v>
      </c>
      <c r="F62" s="661">
        <f>+Dijon!E62+Eu!E62+Nancy!E62+Roanne!E62</f>
        <v>1619902.5197000001</v>
      </c>
      <c r="G62" s="624">
        <f>+Dijon!F62+Eu!F62+Nancy!F62+Roanne!F62</f>
        <v>1592578.1554405175</v>
      </c>
      <c r="H62" s="223">
        <v>1147421.6263493998</v>
      </c>
      <c r="I62" s="661">
        <f>+Dijon!G62+Eu!G62+Nancy!G62+Roanne!G62</f>
        <v>1754446.6841658638</v>
      </c>
      <c r="J62" s="660">
        <f>+IF((F62)=0,,(G62-F62)/F62)</f>
        <v>-1.6867906511154118E-2</v>
      </c>
      <c r="K62" s="622">
        <f>+IF((G62)=0,,(I62-G62)/G62)</f>
        <v>0.10163929988137532</v>
      </c>
      <c r="L62" s="661">
        <f>+Dijon!D62+Eu!D62+Nancy!D62+Roanne!D62</f>
        <v>1862797</v>
      </c>
      <c r="M62" s="678">
        <f t="shared" si="0"/>
        <v>1</v>
      </c>
    </row>
    <row r="63" spans="1:13" s="2" customFormat="1" ht="11.25" hidden="1">
      <c r="A63" s="5"/>
      <c r="B63" s="160"/>
      <c r="C63" s="113"/>
      <c r="D63" s="113"/>
      <c r="E63" s="113"/>
      <c r="F63" s="160"/>
      <c r="G63" s="134"/>
      <c r="H63" s="113"/>
      <c r="I63" s="162"/>
      <c r="J63" s="149"/>
      <c r="K63" s="271"/>
      <c r="L63" s="18"/>
      <c r="M63" s="2">
        <f t="shared" si="0"/>
        <v>0</v>
      </c>
    </row>
    <row r="64" spans="1:13" s="2" customFormat="1" ht="11.25">
      <c r="A64" s="590" t="s">
        <v>104</v>
      </c>
      <c r="B64" s="805">
        <f>+Dijon!$G64</f>
        <v>0</v>
      </c>
      <c r="C64" s="805">
        <f>+Eu!$G64</f>
        <v>0</v>
      </c>
      <c r="D64" s="805">
        <f>+Nancy!$G64</f>
        <v>3739.5729333333329</v>
      </c>
      <c r="E64" s="805">
        <f>+Roanne!$G64</f>
        <v>6661.5456000000004</v>
      </c>
      <c r="F64" s="805">
        <f>+Dijon!E64+Eu!E64+Nancy!E64+Roanne!E64</f>
        <v>9992.14</v>
      </c>
      <c r="G64" s="619">
        <f>+Dijon!F64+Eu!F64+Nancy!F64+Roanne!F64</f>
        <v>10098.173333333332</v>
      </c>
      <c r="H64" s="113">
        <v>10333.580575</v>
      </c>
      <c r="I64" s="1077">
        <f>+Dijon!G64+Eu!G64+Nancy!G64+Roanne!G64</f>
        <v>10401.118533333334</v>
      </c>
      <c r="J64" s="1013">
        <f>+IF((F64)=0,,(G64-F64)/F64)</f>
        <v>1.0611674109183103E-2</v>
      </c>
      <c r="K64" s="1014">
        <f>+IF((G64)=0,,(I64-G64)/G64)</f>
        <v>3.0000000000000193E-2</v>
      </c>
      <c r="L64" s="805">
        <f>+Dijon!D64+Eu!D64+Nancy!D64+Roanne!D64</f>
        <v>10485.387125000001</v>
      </c>
      <c r="M64" s="678">
        <f t="shared" si="0"/>
        <v>1</v>
      </c>
    </row>
    <row r="65" spans="1:13" s="2" customFormat="1" ht="11.25" hidden="1">
      <c r="A65" s="5" t="s">
        <v>314</v>
      </c>
      <c r="B65" s="160">
        <f>+Dijon!$G65</f>
        <v>0</v>
      </c>
      <c r="C65" s="113">
        <f>+Eu!$G65</f>
        <v>0</v>
      </c>
      <c r="D65" s="113">
        <f>+Nancy!$G65</f>
        <v>0</v>
      </c>
      <c r="E65" s="113">
        <f>+Roanne!$G65</f>
        <v>0</v>
      </c>
      <c r="F65" s="160">
        <f>+Dijon!E65+Eu!E65+Nancy!E65+Roanne!E65</f>
        <v>0</v>
      </c>
      <c r="G65" s="135">
        <f>+Dijon!F65+Eu!F65+Nancy!F65+Roanne!F65</f>
        <v>0</v>
      </c>
      <c r="H65" s="113">
        <v>0</v>
      </c>
      <c r="I65" s="161">
        <f>+Dijon!G65+Eu!G65+Nancy!G65+Roanne!G65</f>
        <v>0</v>
      </c>
      <c r="J65" s="149">
        <f>+IF((F65)=0,,(G65-F65)/F65)</f>
        <v>0</v>
      </c>
      <c r="K65" s="271">
        <f>+IF((G65)=0,,(I65-G65)/G65)</f>
        <v>0</v>
      </c>
      <c r="L65" s="18">
        <f>+Dijon!D65+Eu!D65+Nancy!D65+Roanne!D65</f>
        <v>0</v>
      </c>
      <c r="M65" s="2">
        <f t="shared" si="0"/>
        <v>0</v>
      </c>
    </row>
    <row r="66" spans="1:13" s="2" customFormat="1" ht="15" customHeight="1">
      <c r="A66" s="590" t="s">
        <v>110</v>
      </c>
      <c r="B66" s="805">
        <f>+Dijon!$G66</f>
        <v>3436.08</v>
      </c>
      <c r="C66" s="805">
        <f>+Eu!$G66</f>
        <v>1056.6563999999998</v>
      </c>
      <c r="D66" s="805">
        <f>+Nancy!$G66</f>
        <v>1660.167733333333</v>
      </c>
      <c r="E66" s="805">
        <f>+Roanne!$G66</f>
        <v>2098.9752000000003</v>
      </c>
      <c r="F66" s="805">
        <f>+Dijon!E66+Eu!E66+Nancy!E66+Roanne!E66</f>
        <v>4833.53</v>
      </c>
      <c r="G66" s="619">
        <f>+Dijon!F66+Eu!F66+Nancy!F66+Roanne!F66</f>
        <v>7177.5333333333328</v>
      </c>
      <c r="H66" s="113">
        <v>3158.2941499999997</v>
      </c>
      <c r="I66" s="1077">
        <f>+Dijon!G66+Eu!G66+Nancy!G66+Roanne!G66</f>
        <v>8251.8793333333324</v>
      </c>
      <c r="J66" s="1013">
        <f>+IF((F66)=0,,(G66-F66)/F66)</f>
        <v>0.48494647459172346</v>
      </c>
      <c r="K66" s="1014">
        <f>+IF((G66)=0,,(I66-G66)/G66)</f>
        <v>0.14968178482858543</v>
      </c>
      <c r="L66" s="805">
        <f>+Dijon!D66+Eu!D66+Nancy!D66+Roanne!D66</f>
        <v>6984.9393000000009</v>
      </c>
      <c r="M66" s="678">
        <f t="shared" si="0"/>
        <v>1</v>
      </c>
    </row>
    <row r="67" spans="1:13" s="2" customFormat="1" ht="11.25">
      <c r="A67" s="590" t="s">
        <v>107</v>
      </c>
      <c r="B67" s="805">
        <f>+Dijon!$G67</f>
        <v>55.125599999999999</v>
      </c>
      <c r="C67" s="805">
        <f>+Eu!$G67</f>
        <v>565.15413333333345</v>
      </c>
      <c r="D67" s="805">
        <f>+Nancy!$G67</f>
        <v>4177.9134666666669</v>
      </c>
      <c r="E67" s="805">
        <f>+Roanne!$G67</f>
        <v>3568.1534666666666</v>
      </c>
      <c r="F67" s="805">
        <f>+Dijon!E67+Eu!E67+Nancy!E67+Roanne!E67</f>
        <v>12853.99</v>
      </c>
      <c r="G67" s="619">
        <f>+Dijon!F67+Eu!F67+Nancy!F67+Roanne!F67</f>
        <v>8109.2866666666669</v>
      </c>
      <c r="H67" s="113">
        <v>11102.730500000001</v>
      </c>
      <c r="I67" s="1077">
        <f>+Dijon!G67+Eu!G67+Nancy!G67+Roanne!G67</f>
        <v>8366.3466666666682</v>
      </c>
      <c r="J67" s="1013">
        <f>+IF((F67)=0,,(G67-F67)/F67)</f>
        <v>-0.36912299864348214</v>
      </c>
      <c r="K67" s="1014">
        <f>+IF((G67)=0,,(I67-G67)/G67)</f>
        <v>3.169945897419682E-2</v>
      </c>
      <c r="L67" s="805">
        <f>+Dijon!D67+Eu!D67+Nancy!D67+Roanne!D67</f>
        <v>9574.5227750000013</v>
      </c>
      <c r="M67" s="678">
        <f t="shared" si="0"/>
        <v>1</v>
      </c>
    </row>
    <row r="68" spans="1:13" s="2" customFormat="1" ht="18.75" customHeight="1">
      <c r="A68" s="590" t="s">
        <v>125</v>
      </c>
      <c r="B68" s="805">
        <f>+Dijon!$G68</f>
        <v>43.053999999999995</v>
      </c>
      <c r="C68" s="805">
        <f>+Eu!$G68</f>
        <v>1710.3493333333336</v>
      </c>
      <c r="D68" s="805">
        <f>+Nancy!$G68</f>
        <v>3095.9465333333333</v>
      </c>
      <c r="E68" s="805">
        <f>+Roanne!$G68</f>
        <v>4106.9258666666674</v>
      </c>
      <c r="F68" s="805">
        <f>+Dijon!E68+Eu!E68+Nancy!E68+Roanne!E68</f>
        <v>10060.51</v>
      </c>
      <c r="G68" s="619">
        <f>+Dijon!F68+Eu!F68+Nancy!F68+Roanne!F68</f>
        <v>8684.9633333333331</v>
      </c>
      <c r="H68" s="113">
        <v>12276.456700000001</v>
      </c>
      <c r="I68" s="1077">
        <f>+Dijon!G68+Eu!G68+Nancy!G68+Roanne!G68</f>
        <v>8956.2757333333357</v>
      </c>
      <c r="J68" s="1013">
        <f>+IF((F68)=0,,(G68-F68)/F68)</f>
        <v>-0.13672732959528563</v>
      </c>
      <c r="K68" s="1014">
        <f>+IF((G68)=0,,(I68-G68)/G68)</f>
        <v>3.1239325900052066E-2</v>
      </c>
      <c r="L68" s="805">
        <f>+Dijon!D68+Eu!D68+Nancy!D68+Roanne!D68</f>
        <v>11416.352225000002</v>
      </c>
      <c r="M68" s="678">
        <f t="shared" si="0"/>
        <v>1</v>
      </c>
    </row>
    <row r="69" spans="1:13" s="2" customFormat="1" ht="11.25" hidden="1">
      <c r="A69" s="5"/>
      <c r="B69" s="160"/>
      <c r="C69" s="113"/>
      <c r="D69" s="113"/>
      <c r="E69" s="113"/>
      <c r="F69" s="160"/>
      <c r="G69" s="143"/>
      <c r="H69" s="270"/>
      <c r="I69" s="161"/>
      <c r="J69" s="149"/>
      <c r="K69" s="271"/>
      <c r="L69" s="18"/>
      <c r="M69" s="2">
        <f t="shared" si="0"/>
        <v>0</v>
      </c>
    </row>
    <row r="70" spans="1:13" s="2" customFormat="1" ht="11.25">
      <c r="A70" s="11" t="s">
        <v>128</v>
      </c>
      <c r="B70" s="1028">
        <f t="shared" ref="B70:G70" si="5">SUM(B64:B69)</f>
        <v>3534.2595999999999</v>
      </c>
      <c r="C70" s="1028">
        <f t="shared" si="5"/>
        <v>3332.1598666666669</v>
      </c>
      <c r="D70" s="1028">
        <f t="shared" si="5"/>
        <v>12673.600666666667</v>
      </c>
      <c r="E70" s="1028">
        <f t="shared" si="5"/>
        <v>16435.600133333333</v>
      </c>
      <c r="F70" s="805">
        <f t="shared" si="5"/>
        <v>37740.17</v>
      </c>
      <c r="G70" s="1029">
        <f t="shared" si="5"/>
        <v>34069.956666666665</v>
      </c>
      <c r="H70" s="343">
        <v>36871.061925000002</v>
      </c>
      <c r="I70" s="1078">
        <f>SUM(I64:I69)</f>
        <v>35975.620266666665</v>
      </c>
      <c r="J70" s="626">
        <f>+IF((F70)=0,,(G70-F70)/F70)</f>
        <v>-9.7249517777300246E-2</v>
      </c>
      <c r="K70" s="1014">
        <f>+IF((G70)=0,,(I70-G70)/G70)</f>
        <v>5.5933842788372587E-2</v>
      </c>
      <c r="L70" s="805">
        <f>SUM(L64:L69)</f>
        <v>38461.201425000007</v>
      </c>
      <c r="M70" s="678">
        <f t="shared" si="0"/>
        <v>1</v>
      </c>
    </row>
    <row r="71" spans="1:13" s="2" customFormat="1" ht="11.25" hidden="1">
      <c r="A71" s="5"/>
      <c r="B71" s="160"/>
      <c r="C71" s="113"/>
      <c r="D71" s="113"/>
      <c r="E71" s="113"/>
      <c r="F71" s="160"/>
      <c r="G71" s="143"/>
      <c r="H71" s="270"/>
      <c r="I71" s="161"/>
      <c r="J71" s="149"/>
      <c r="K71" s="271"/>
      <c r="L71" s="18"/>
      <c r="M71" s="2">
        <f t="shared" si="0"/>
        <v>0</v>
      </c>
    </row>
    <row r="72" spans="1:13" s="2" customFormat="1" ht="11.25">
      <c r="A72" s="590" t="s">
        <v>1</v>
      </c>
      <c r="B72" s="805">
        <f>+Dijon!$G72</f>
        <v>0</v>
      </c>
      <c r="C72" s="805">
        <f>+Eu!$G72</f>
        <v>39.14</v>
      </c>
      <c r="D72" s="805">
        <f>+Nancy!$G72</f>
        <v>78.705733333333342</v>
      </c>
      <c r="E72" s="805">
        <f>+Roanne!$G72</f>
        <v>0</v>
      </c>
      <c r="F72" s="805">
        <f>+Dijon!E72+Eu!E72+Nancy!E72+Roanne!E72</f>
        <v>351.48999999999995</v>
      </c>
      <c r="G72" s="619">
        <f>+Dijon!F72+Eu!F72+Nancy!F72+Roanne!F72</f>
        <v>114.41333333333334</v>
      </c>
      <c r="H72" s="113">
        <v>71.4088863101573</v>
      </c>
      <c r="I72" s="1077">
        <f>+Dijon!G72+Eu!G72+Nancy!G72+Roanne!G72</f>
        <v>117.84573333333334</v>
      </c>
      <c r="J72" s="1013">
        <f>+IF((F72)=0,,(G72-F72)/F72)</f>
        <v>-0.67449050233766716</v>
      </c>
      <c r="K72" s="1014">
        <f>+IF((G72)=0,,(I72-G72)/G72)</f>
        <v>3.0000000000000009E-2</v>
      </c>
      <c r="L72" s="805">
        <f>+Dijon!D72+Eu!D72+Nancy!D72+Roanne!D72</f>
        <v>288.89580301572914</v>
      </c>
      <c r="M72" s="678">
        <f t="shared" ref="M72:M135" si="6">IF(SUM(B72:L72)&gt;0,1,0)</f>
        <v>1</v>
      </c>
    </row>
    <row r="73" spans="1:13" s="2" customFormat="1" ht="11.25">
      <c r="A73" s="590" t="s">
        <v>123</v>
      </c>
      <c r="B73" s="805">
        <f>+Dijon!$G73</f>
        <v>319.03220000000005</v>
      </c>
      <c r="C73" s="805">
        <f>+Eu!$G73</f>
        <v>6778.2789333333349</v>
      </c>
      <c r="D73" s="805">
        <f>+Nancy!$G73</f>
        <v>3881.8640000000005</v>
      </c>
      <c r="E73" s="805">
        <f>+Roanne!$G73</f>
        <v>1578.5917333333334</v>
      </c>
      <c r="F73" s="805">
        <f>+Dijon!E73+Eu!E73+Nancy!E73+Roanne!E73</f>
        <v>10302.810000000001</v>
      </c>
      <c r="G73" s="619">
        <f>+Dijon!F73+Eu!F73+Nancy!F73+Roanne!F73</f>
        <v>12114.571666666669</v>
      </c>
      <c r="H73" s="113">
        <v>9887.6796010435028</v>
      </c>
      <c r="I73" s="1077">
        <f>+Dijon!G73+Eu!G73+Nancy!G73+Roanne!G73</f>
        <v>12557.766866666667</v>
      </c>
      <c r="J73" s="1013">
        <f t="shared" ref="J73:J101" si="7">+IF((F73)=0,,(G73-F73)/F73)</f>
        <v>0.17585121599511852</v>
      </c>
      <c r="K73" s="1014">
        <f t="shared" ref="K73:K101" si="8">+IF((G73)=0,,(I73-G73)/G73)</f>
        <v>3.6583645893106816E-2</v>
      </c>
      <c r="L73" s="805">
        <f>+Dijon!D73+Eu!D73+Nancy!D73+Roanne!D73</f>
        <v>15137.961087279818</v>
      </c>
      <c r="M73" s="678">
        <f t="shared" si="6"/>
        <v>1</v>
      </c>
    </row>
    <row r="74" spans="1:13" s="2" customFormat="1" ht="11.25">
      <c r="A74" s="590" t="s">
        <v>124</v>
      </c>
      <c r="B74" s="805">
        <f>+Dijon!$G74</f>
        <v>1301.1990000000001</v>
      </c>
      <c r="C74" s="805">
        <f>+Eu!$G74</f>
        <v>16641.874800000001</v>
      </c>
      <c r="D74" s="805">
        <f>+Nancy!$G74</f>
        <v>4796.6825333333336</v>
      </c>
      <c r="E74" s="805">
        <f>+Roanne!$G74</f>
        <v>4356.1584000000003</v>
      </c>
      <c r="F74" s="805">
        <f>+Dijon!E74+Eu!E74+Nancy!E74+Roanne!E74</f>
        <v>29550.880000000001</v>
      </c>
      <c r="G74" s="619">
        <f>+Dijon!F74+Eu!F74+Nancy!F74+Roanne!F74</f>
        <v>25990.888333333329</v>
      </c>
      <c r="H74" s="113">
        <v>3831.0974282417565</v>
      </c>
      <c r="I74" s="1077">
        <f>+Dijon!G74+Eu!G74+Nancy!G74+Roanne!G74</f>
        <v>27095.914733333335</v>
      </c>
      <c r="J74" s="1013">
        <f t="shared" si="7"/>
        <v>-0.1204699036599476</v>
      </c>
      <c r="K74" s="1014">
        <f t="shared" si="8"/>
        <v>4.2515915032531194E-2</v>
      </c>
      <c r="L74" s="805">
        <f>+Dijon!D74+Eu!D74+Nancy!D74+Roanne!D74</f>
        <v>27291.821286270664</v>
      </c>
      <c r="M74" s="678">
        <f t="shared" si="6"/>
        <v>1</v>
      </c>
    </row>
    <row r="75" spans="1:13" s="2" customFormat="1" ht="11.25">
      <c r="A75" s="590" t="s">
        <v>360</v>
      </c>
      <c r="B75" s="805">
        <f>+Dijon!$G75</f>
        <v>0</v>
      </c>
      <c r="C75" s="805">
        <f>+Eu!$G75</f>
        <v>0</v>
      </c>
      <c r="D75" s="805">
        <f>+Nancy!$G75</f>
        <v>0</v>
      </c>
      <c r="E75" s="805">
        <f>+Roanne!$G75</f>
        <v>0</v>
      </c>
      <c r="F75" s="805">
        <f>+Dijon!E75+Eu!E75+Nancy!E75+Roanne!E75</f>
        <v>147.80000000000001</v>
      </c>
      <c r="G75" s="619">
        <f>+Dijon!F75+Eu!F75+Nancy!F75+Roanne!F75</f>
        <v>0</v>
      </c>
      <c r="H75" s="113">
        <v>0</v>
      </c>
      <c r="I75" s="1077">
        <f>+Dijon!G75+Eu!G75+Nancy!G75+Roanne!G75</f>
        <v>0</v>
      </c>
      <c r="J75" s="1013">
        <f t="shared" si="7"/>
        <v>-1</v>
      </c>
      <c r="K75" s="1014">
        <f t="shared" si="8"/>
        <v>0</v>
      </c>
      <c r="L75" s="805">
        <f>+Dijon!D75+Eu!D75+Nancy!D75+Roanne!D75</f>
        <v>192.12384000000003</v>
      </c>
      <c r="M75" s="678">
        <f t="shared" si="6"/>
        <v>1</v>
      </c>
    </row>
    <row r="76" spans="1:13" s="2" customFormat="1" ht="11.25">
      <c r="A76" s="590" t="s">
        <v>126</v>
      </c>
      <c r="B76" s="805">
        <f>+Dijon!$G76</f>
        <v>0</v>
      </c>
      <c r="C76" s="805">
        <f>+Eu!$G76</f>
        <v>0</v>
      </c>
      <c r="D76" s="805">
        <f>+Nancy!$G76</f>
        <v>356.62720000000002</v>
      </c>
      <c r="E76" s="805">
        <f>+Roanne!$G76</f>
        <v>68.419466666666679</v>
      </c>
      <c r="F76" s="805">
        <f>+Dijon!E76+Eu!E76+Nancy!E76+Roanne!E76</f>
        <v>269.10000000000002</v>
      </c>
      <c r="G76" s="619">
        <f>+Dijon!F76+Eu!F76+Nancy!F76+Roanne!F76</f>
        <v>412.66666666666669</v>
      </c>
      <c r="H76" s="113">
        <v>88.771155807303472</v>
      </c>
      <c r="I76" s="1077">
        <f>+Dijon!G76+Eu!G76+Nancy!G76+Roanne!G76</f>
        <v>425.04666666666668</v>
      </c>
      <c r="J76" s="1013">
        <f t="shared" si="7"/>
        <v>0.53350675089805522</v>
      </c>
      <c r="K76" s="1014">
        <f t="shared" si="8"/>
        <v>2.9999999999999988E-2</v>
      </c>
      <c r="L76" s="805">
        <f>+Dijon!D76+Eu!D76+Nancy!D76+Roanne!D76</f>
        <v>586.79832143079091</v>
      </c>
      <c r="M76" s="678">
        <f t="shared" si="6"/>
        <v>1</v>
      </c>
    </row>
    <row r="77" spans="1:13" s="2" customFormat="1" ht="11.25">
      <c r="A77" s="590" t="s">
        <v>127</v>
      </c>
      <c r="B77" s="805">
        <f>+Dijon!$G77</f>
        <v>3075.7036000000003</v>
      </c>
      <c r="C77" s="805">
        <f>+Eu!$G77</f>
        <v>1905.9257333333335</v>
      </c>
      <c r="D77" s="805">
        <f>+Nancy!$G77</f>
        <v>7663.6531999999997</v>
      </c>
      <c r="E77" s="805">
        <f>+Roanne!$G77</f>
        <v>2937.6561333333339</v>
      </c>
      <c r="F77" s="805">
        <f>+Dijon!E77+Eu!E77+Nancy!E77+Roanne!E77</f>
        <v>9673.7800000000007</v>
      </c>
      <c r="G77" s="619">
        <f>+Dijon!F77+Eu!F77+Nancy!F77+Roanne!F77</f>
        <v>14382.536666666667</v>
      </c>
      <c r="H77" s="113">
        <v>7255.5533120449272</v>
      </c>
      <c r="I77" s="1077">
        <f>+Dijon!G77+Eu!G77+Nancy!G77+Roanne!G77</f>
        <v>15582.938666666669</v>
      </c>
      <c r="J77" s="1013">
        <f t="shared" si="7"/>
        <v>0.4867545743924987</v>
      </c>
      <c r="K77" s="1014">
        <f t="shared" si="8"/>
        <v>8.3462467561934608E-2</v>
      </c>
      <c r="L77" s="805">
        <f>+Dijon!D77+Eu!D77+Nancy!D77+Roanne!D77</f>
        <v>9323.9742171518337</v>
      </c>
      <c r="M77" s="678">
        <f t="shared" si="6"/>
        <v>1</v>
      </c>
    </row>
    <row r="78" spans="1:13" s="2" customFormat="1" ht="11.25">
      <c r="A78" s="590" t="s">
        <v>101</v>
      </c>
      <c r="B78" s="805">
        <f>+Dijon!$G78</f>
        <v>0</v>
      </c>
      <c r="C78" s="805">
        <f>+Eu!$G78</f>
        <v>130.46666666666667</v>
      </c>
      <c r="D78" s="805">
        <f>+Nancy!$G78</f>
        <v>0</v>
      </c>
      <c r="E78" s="805">
        <f>+Roanne!$G78</f>
        <v>1861.9790666666665</v>
      </c>
      <c r="F78" s="805">
        <f>+Dijon!E78+Eu!E78+Nancy!E78+Roanne!E78</f>
        <v>651.74</v>
      </c>
      <c r="G78" s="619">
        <f>+Dijon!F78+Eu!F78+Nancy!F78+Roanne!F78</f>
        <v>1934.4133333333332</v>
      </c>
      <c r="H78" s="113">
        <v>10.682149189972916</v>
      </c>
      <c r="I78" s="1077">
        <f>+Dijon!G78+Eu!G78+Nancy!G78+Roanne!G78</f>
        <v>1992.4457333333332</v>
      </c>
      <c r="J78" s="1013">
        <f t="shared" si="7"/>
        <v>1.9680752038133813</v>
      </c>
      <c r="K78" s="1014">
        <f t="shared" si="8"/>
        <v>3.000000000000003E-2</v>
      </c>
      <c r="L78" s="805">
        <f>+Dijon!D78+Eu!D78+Nancy!D78+Roanne!D78</f>
        <v>1389.6775262608689</v>
      </c>
      <c r="M78" s="678">
        <f t="shared" si="6"/>
        <v>1</v>
      </c>
    </row>
    <row r="79" spans="1:13" s="2" customFormat="1" ht="11.25">
      <c r="A79" s="590" t="s">
        <v>102</v>
      </c>
      <c r="B79" s="805">
        <f>+Dijon!$G79</f>
        <v>32508</v>
      </c>
      <c r="C79" s="805">
        <f>+Eu!$G79</f>
        <v>42072</v>
      </c>
      <c r="D79" s="805">
        <f>+Nancy!$G79</f>
        <v>49489.347536617846</v>
      </c>
      <c r="E79" s="805">
        <f>+Roanne!$G79</f>
        <v>36632.291666666672</v>
      </c>
      <c r="F79" s="805">
        <f>+Dijon!E79+Eu!E79+Nancy!E79+Roanne!E79</f>
        <v>123894.43</v>
      </c>
      <c r="G79" s="619">
        <f>+Dijon!F79+Eu!F79+Nancy!F79+Roanne!F79</f>
        <v>144036.98000000001</v>
      </c>
      <c r="H79" s="113">
        <v>60088.136021625003</v>
      </c>
      <c r="I79" s="1077">
        <f>+Dijon!G79+Eu!G79+Nancy!G79+Roanne!G79</f>
        <v>160701.63920328452</v>
      </c>
      <c r="J79" s="1013">
        <f t="shared" si="7"/>
        <v>0.16257833382824408</v>
      </c>
      <c r="K79" s="1014">
        <f t="shared" si="8"/>
        <v>0.11569708836775464</v>
      </c>
      <c r="L79" s="805">
        <f>+Dijon!D79+Eu!D79+Nancy!D79+Roanne!D79</f>
        <v>146258.34986725001</v>
      </c>
      <c r="M79" s="678">
        <f t="shared" si="6"/>
        <v>1</v>
      </c>
    </row>
    <row r="80" spans="1:13" s="2" customFormat="1" ht="11.25">
      <c r="A80" s="590" t="s">
        <v>325</v>
      </c>
      <c r="B80" s="805">
        <f>+Dijon!$G80</f>
        <v>0</v>
      </c>
      <c r="C80" s="805">
        <f>+Eu!$G80</f>
        <v>0</v>
      </c>
      <c r="D80" s="805">
        <f>+Nancy!$G80</f>
        <v>2256.73</v>
      </c>
      <c r="E80" s="805">
        <f>+Roanne!$G80</f>
        <v>2010.2715999999998</v>
      </c>
      <c r="F80" s="805">
        <f>+Dijon!E80+Eu!E80+Nancy!E80+Roanne!E80</f>
        <v>2124.41</v>
      </c>
      <c r="G80" s="619">
        <f>+Dijon!F80+Eu!F80+Nancy!F80+Roanne!F80</f>
        <v>4142.7199999999993</v>
      </c>
      <c r="H80" s="113">
        <v>208.86543522174063</v>
      </c>
      <c r="I80" s="1077">
        <f>+Dijon!G80+Eu!G80+Nancy!G80+Roanne!G80</f>
        <v>4267.0015999999996</v>
      </c>
      <c r="J80" s="1013">
        <f t="shared" si="7"/>
        <v>0.95005672163094679</v>
      </c>
      <c r="K80" s="1014">
        <f t="shared" si="8"/>
        <v>3.0000000000000065E-2</v>
      </c>
      <c r="L80" s="805">
        <f>+Dijon!D80+Eu!D80+Nancy!D80+Roanne!D80</f>
        <v>2049.3191847737562</v>
      </c>
      <c r="M80" s="678">
        <f t="shared" si="6"/>
        <v>1</v>
      </c>
    </row>
    <row r="81" spans="1:13" s="2" customFormat="1" ht="11.25" hidden="1">
      <c r="A81" s="5" t="s">
        <v>103</v>
      </c>
      <c r="B81" s="160">
        <f>+Dijon!$G81</f>
        <v>0</v>
      </c>
      <c r="C81" s="113">
        <f>+Eu!$G81</f>
        <v>0</v>
      </c>
      <c r="D81" s="113">
        <f>+Nancy!$G81</f>
        <v>0</v>
      </c>
      <c r="E81" s="113">
        <f>+Roanne!$G81</f>
        <v>0</v>
      </c>
      <c r="F81" s="160">
        <f>+Dijon!E81+Eu!E81+Nancy!E81+Roanne!E81</f>
        <v>-691.32</v>
      </c>
      <c r="G81" s="135">
        <f>+Dijon!F81+Eu!F81+Nancy!F81+Roanne!F81</f>
        <v>0</v>
      </c>
      <c r="H81" s="113">
        <v>0</v>
      </c>
      <c r="I81" s="161">
        <f>+Dijon!G81+Eu!G81+Nancy!G81+Roanne!G81</f>
        <v>0</v>
      </c>
      <c r="J81" s="149">
        <f t="shared" si="7"/>
        <v>-1</v>
      </c>
      <c r="K81" s="271">
        <f t="shared" si="8"/>
        <v>0</v>
      </c>
      <c r="L81" s="18">
        <f>+Dijon!D81+Eu!D81+Nancy!D81+Roanne!D81</f>
        <v>-660.50041476229171</v>
      </c>
      <c r="M81" s="678">
        <f t="shared" si="6"/>
        <v>0</v>
      </c>
    </row>
    <row r="82" spans="1:13" s="2" customFormat="1" ht="11.25">
      <c r="A82" s="590" t="s">
        <v>105</v>
      </c>
      <c r="B82" s="805">
        <f>+Dijon!$G82</f>
        <v>821.69279999999992</v>
      </c>
      <c r="C82" s="805">
        <f>+Eu!$G82</f>
        <v>185.4</v>
      </c>
      <c r="D82" s="805">
        <f>+Nancy!$G82</f>
        <v>1075.0453333333335</v>
      </c>
      <c r="E82" s="805">
        <f>+Roanne!$G82</f>
        <v>185.4</v>
      </c>
      <c r="F82" s="805">
        <f>+Dijon!E82+Eu!E82+Nancy!E82+Roanne!E82</f>
        <v>1218.96</v>
      </c>
      <c r="G82" s="619">
        <f>+Dijon!F82+Eu!F82+Nancy!F82+Roanne!F82</f>
        <v>2002.0533333333333</v>
      </c>
      <c r="H82" s="113">
        <v>629.08481323799992</v>
      </c>
      <c r="I82" s="1077">
        <f>+Dijon!G82+Eu!G82+Nancy!G82+Roanne!G82</f>
        <v>2267.5381333333335</v>
      </c>
      <c r="J82" s="1013">
        <f t="shared" si="7"/>
        <v>0.64242742447113377</v>
      </c>
      <c r="K82" s="1014">
        <f t="shared" si="8"/>
        <v>0.13260625757555586</v>
      </c>
      <c r="L82" s="805">
        <f>+Dijon!D82+Eu!D82+Nancy!D82+Roanne!D82</f>
        <v>1938.4422635657293</v>
      </c>
      <c r="M82" s="678">
        <f t="shared" si="6"/>
        <v>1</v>
      </c>
    </row>
    <row r="83" spans="1:13" s="2" customFormat="1" ht="11.25">
      <c r="A83" s="590" t="s">
        <v>287</v>
      </c>
      <c r="B83" s="805">
        <f>+Dijon!$G83</f>
        <v>0</v>
      </c>
      <c r="C83" s="805">
        <f>+Eu!$G83</f>
        <v>1190.1856</v>
      </c>
      <c r="D83" s="805">
        <f>+Nancy!$G83</f>
        <v>66.606666666666669</v>
      </c>
      <c r="E83" s="805">
        <f>+Roanne!$G83</f>
        <v>437.95599999999996</v>
      </c>
      <c r="F83" s="805">
        <f>+Dijon!E83+Eu!E83+Nancy!E83+Roanne!E83</f>
        <v>1407.21</v>
      </c>
      <c r="G83" s="619">
        <f>+Dijon!F83+Eu!F83+Nancy!F83+Roanne!F83</f>
        <v>1645.3866666666668</v>
      </c>
      <c r="H83" s="113">
        <v>1.1724050104166666</v>
      </c>
      <c r="I83" s="1077">
        <f>+Dijon!G83+Eu!G83+Nancy!G83+Roanne!G83</f>
        <v>1694.7482666666665</v>
      </c>
      <c r="J83" s="1013">
        <f t="shared" si="7"/>
        <v>0.16925452964850074</v>
      </c>
      <c r="K83" s="1014">
        <f t="shared" si="8"/>
        <v>2.9999999999999832E-2</v>
      </c>
      <c r="L83" s="805">
        <f>+Dijon!D83+Eu!D83+Nancy!D83+Roanne!D83</f>
        <v>2351.9067219823592</v>
      </c>
      <c r="M83" s="678">
        <f t="shared" si="6"/>
        <v>1</v>
      </c>
    </row>
    <row r="84" spans="1:13" s="2" customFormat="1" ht="11.25">
      <c r="A84" s="590" t="s">
        <v>108</v>
      </c>
      <c r="B84" s="805">
        <f>+Dijon!$G84</f>
        <v>0</v>
      </c>
      <c r="C84" s="805">
        <f>+Eu!$G84</f>
        <v>1332.7513333333334</v>
      </c>
      <c r="D84" s="805">
        <f>+Nancy!$G84</f>
        <v>8351.6108000000004</v>
      </c>
      <c r="E84" s="805">
        <f>+Roanne!$G84</f>
        <v>2901.5786666666672</v>
      </c>
      <c r="F84" s="805">
        <f>+Dijon!E84+Eu!E84+Nancy!E84+Roanne!E84</f>
        <v>16538.439999999999</v>
      </c>
      <c r="G84" s="619">
        <f>+Dijon!F84+Eu!F84+Nancy!F84+Roanne!F84</f>
        <v>12219.360000000002</v>
      </c>
      <c r="H84" s="113">
        <v>4815.0656490531401</v>
      </c>
      <c r="I84" s="1077">
        <f>+Dijon!G84+Eu!G84+Nancy!G84+Roanne!G84</f>
        <v>12585.9408</v>
      </c>
      <c r="J84" s="1013">
        <f t="shared" si="7"/>
        <v>-0.26115401452615827</v>
      </c>
      <c r="K84" s="1014">
        <f t="shared" si="8"/>
        <v>2.9999999999999822E-2</v>
      </c>
      <c r="L84" s="805">
        <f>+Dijon!D84+Eu!D84+Nancy!D84+Roanne!D84</f>
        <v>18040.524349858548</v>
      </c>
      <c r="M84" s="678">
        <f t="shared" si="6"/>
        <v>1</v>
      </c>
    </row>
    <row r="85" spans="1:13" s="2" customFormat="1" ht="11.25">
      <c r="A85" s="590" t="s">
        <v>109</v>
      </c>
      <c r="B85" s="805">
        <f>+Dijon!$G85</f>
        <v>867.03340000000014</v>
      </c>
      <c r="C85" s="805">
        <f>+Eu!$G85</f>
        <v>1965.24</v>
      </c>
      <c r="D85" s="805">
        <f>+Nancy!$G85</f>
        <v>1282.6933333333334</v>
      </c>
      <c r="E85" s="805">
        <f>+Roanne!$G85</f>
        <v>0</v>
      </c>
      <c r="F85" s="805">
        <f>+Dijon!E85+Eu!E85+Nancy!E85+Roanne!E85</f>
        <v>2889.59</v>
      </c>
      <c r="G85" s="619">
        <f>+Dijon!F85+Eu!F85+Nancy!F85+Roanne!F85</f>
        <v>3784.6683333333331</v>
      </c>
      <c r="H85" s="113">
        <v>3158.5363368615717</v>
      </c>
      <c r="I85" s="1077">
        <f>+Dijon!G85+Eu!G85+Nancy!G85+Roanne!G85</f>
        <v>4114.9667333333337</v>
      </c>
      <c r="J85" s="1013">
        <f t="shared" si="7"/>
        <v>0.3097596314125301</v>
      </c>
      <c r="K85" s="1014">
        <f t="shared" si="8"/>
        <v>8.7272746489014383E-2</v>
      </c>
      <c r="L85" s="805">
        <f>+Dijon!D85+Eu!D85+Nancy!D85+Roanne!D85</f>
        <v>4143.5085428956036</v>
      </c>
      <c r="M85" s="678">
        <f t="shared" si="6"/>
        <v>1</v>
      </c>
    </row>
    <row r="86" spans="1:13" s="2" customFormat="1" ht="11.25">
      <c r="A86" s="590" t="s">
        <v>106</v>
      </c>
      <c r="B86" s="805">
        <f>+Dijon!$G86</f>
        <v>269.53039999999993</v>
      </c>
      <c r="C86" s="805">
        <f>+Eu!$G86</f>
        <v>5392.5306666666675</v>
      </c>
      <c r="D86" s="805">
        <f>+Nancy!$G86</f>
        <v>1161.6477333333335</v>
      </c>
      <c r="E86" s="805">
        <f>+Roanne!$G86</f>
        <v>2048.2854666666667</v>
      </c>
      <c r="F86" s="805">
        <f>+Dijon!E86+Eu!E86+Nancy!E86+Roanne!E86</f>
        <v>8232.18</v>
      </c>
      <c r="G86" s="619">
        <f>+Dijon!F86+Eu!F86+Nancy!F86+Roanne!F86</f>
        <v>8548.1666666666679</v>
      </c>
      <c r="H86" s="113">
        <v>2564.1938068838895</v>
      </c>
      <c r="I86" s="1077">
        <f>+Dijon!G86+Eu!G86+Nancy!G86+Roanne!G86</f>
        <v>8871.9942666666666</v>
      </c>
      <c r="J86" s="1013">
        <f t="shared" si="7"/>
        <v>3.8384324281863079E-2</v>
      </c>
      <c r="K86" s="1014">
        <f t="shared" si="8"/>
        <v>3.7882696094679015E-2</v>
      </c>
      <c r="L86" s="805">
        <f>+Dijon!D86+Eu!D86+Nancy!D86+Roanne!D86</f>
        <v>9709.1726401561446</v>
      </c>
      <c r="M86" s="678">
        <f t="shared" si="6"/>
        <v>1</v>
      </c>
    </row>
    <row r="87" spans="1:13" s="2" customFormat="1" ht="11.25">
      <c r="A87" s="590" t="s">
        <v>363</v>
      </c>
      <c r="B87" s="805">
        <f>+Dijon!$G87</f>
        <v>0</v>
      </c>
      <c r="C87" s="805">
        <f>+Eu!$G87</f>
        <v>0</v>
      </c>
      <c r="D87" s="805">
        <f>+Nancy!$G87</f>
        <v>62.266933333333341</v>
      </c>
      <c r="E87" s="805">
        <f>+Roanne!$G87</f>
        <v>0</v>
      </c>
      <c r="F87" s="805">
        <f>+Dijon!E87+Eu!E87+Nancy!E87+Roanne!E87</f>
        <v>4.18</v>
      </c>
      <c r="G87" s="619">
        <f>+Dijon!F87+Eu!F87+Nancy!F87+Roanne!F87</f>
        <v>60.45333333333334</v>
      </c>
      <c r="H87" s="113">
        <v>0</v>
      </c>
      <c r="I87" s="1077">
        <f>+Dijon!G87+Eu!G87+Nancy!G87+Roanne!G87</f>
        <v>62.266933333333341</v>
      </c>
      <c r="J87" s="1013">
        <f t="shared" si="7"/>
        <v>13.462519936204149</v>
      </c>
      <c r="K87" s="1014">
        <f t="shared" si="8"/>
        <v>3.0000000000000013E-2</v>
      </c>
      <c r="L87" s="805">
        <f>+Dijon!D87+Eu!D87+Nancy!D87+Roanne!D87</f>
        <v>4.3053999999999997</v>
      </c>
      <c r="M87" s="678">
        <f t="shared" si="6"/>
        <v>1</v>
      </c>
    </row>
    <row r="88" spans="1:13" s="2" customFormat="1" ht="11.25">
      <c r="A88" s="590" t="s">
        <v>111</v>
      </c>
      <c r="B88" s="805">
        <f>+Dijon!$G88</f>
        <v>1854</v>
      </c>
      <c r="C88" s="805">
        <f>+Eu!$G88</f>
        <v>5028.524550000001</v>
      </c>
      <c r="D88" s="805">
        <f>+Nancy!$G88</f>
        <v>5483.9121750000013</v>
      </c>
      <c r="E88" s="805">
        <f>+Roanne!$G88</f>
        <v>4431.6861750000007</v>
      </c>
      <c r="F88" s="805">
        <f>+Dijon!E88+Eu!E88+Nancy!E88+Roanne!E88</f>
        <v>13554.76</v>
      </c>
      <c r="G88" s="619">
        <f>+Dijon!F88+Eu!F88+Nancy!F88+Roanne!F88</f>
        <v>17204.560000000001</v>
      </c>
      <c r="H88" s="113">
        <v>8688.9872080908299</v>
      </c>
      <c r="I88" s="1077">
        <f>+Dijon!G88+Eu!G88+Nancy!G88+Roanne!G88</f>
        <v>16798.122900000002</v>
      </c>
      <c r="J88" s="1013">
        <f t="shared" si="7"/>
        <v>0.2692633436519718</v>
      </c>
      <c r="K88" s="1014">
        <f t="shared" si="8"/>
        <v>-2.3623800899296415E-2</v>
      </c>
      <c r="L88" s="805">
        <f>+Dijon!D88+Eu!D88+Nancy!D88+Roanne!D88</f>
        <v>15142.216275000001</v>
      </c>
      <c r="M88" s="678">
        <f t="shared" si="6"/>
        <v>1</v>
      </c>
    </row>
    <row r="89" spans="1:13" s="2" customFormat="1" ht="11.25" hidden="1">
      <c r="A89" s="5" t="s">
        <v>315</v>
      </c>
      <c r="B89" s="160">
        <f>+Dijon!$G89</f>
        <v>0</v>
      </c>
      <c r="C89" s="113">
        <f>+Eu!$G89</f>
        <v>0</v>
      </c>
      <c r="D89" s="113">
        <f>+Nancy!$G89</f>
        <v>0</v>
      </c>
      <c r="E89" s="113">
        <f>+Roanne!$G89</f>
        <v>0</v>
      </c>
      <c r="F89" s="160">
        <f>+Dijon!E89+Eu!E89+Nancy!E89+Roanne!E89</f>
        <v>0</v>
      </c>
      <c r="G89" s="135">
        <f>+Dijon!F89+Eu!F89+Nancy!F89+Roanne!F89</f>
        <v>0</v>
      </c>
      <c r="H89" s="113">
        <v>0</v>
      </c>
      <c r="I89" s="161">
        <f>+Dijon!G89+Eu!G89+Nancy!G89+Roanne!G89</f>
        <v>0</v>
      </c>
      <c r="J89" s="149">
        <f t="shared" si="7"/>
        <v>0</v>
      </c>
      <c r="K89" s="271">
        <f t="shared" si="8"/>
        <v>0</v>
      </c>
      <c r="L89" s="18">
        <f>+Dijon!D89+Eu!D89+Nancy!D89+Roanne!D89</f>
        <v>0</v>
      </c>
      <c r="M89" s="2">
        <f t="shared" si="6"/>
        <v>0</v>
      </c>
    </row>
    <row r="90" spans="1:13" s="2" customFormat="1" ht="11.25">
      <c r="A90" s="590" t="s">
        <v>112</v>
      </c>
      <c r="B90" s="805">
        <f>+Dijon!$G90</f>
        <v>630.36</v>
      </c>
      <c r="C90" s="805">
        <f>+Eu!$G90</f>
        <v>0</v>
      </c>
      <c r="D90" s="805">
        <f>+Nancy!$G90</f>
        <v>407.83880000000005</v>
      </c>
      <c r="E90" s="805">
        <f>+Roanne!$G90</f>
        <v>337.13960000000003</v>
      </c>
      <c r="F90" s="805">
        <f>+Dijon!E90+Eu!E90+Nancy!E90+Roanne!E90</f>
        <v>768.96</v>
      </c>
      <c r="G90" s="619">
        <f>+Dijon!F90+Eu!F90+Nancy!F90+Roanne!F90</f>
        <v>1182.28</v>
      </c>
      <c r="H90" s="113">
        <v>942.92679813651739</v>
      </c>
      <c r="I90" s="1077">
        <f>+Dijon!G90+Eu!G90+Nancy!G90+Roanne!G90</f>
        <v>1375.3384000000001</v>
      </c>
      <c r="J90" s="1013">
        <f t="shared" si="7"/>
        <v>0.53750520183104444</v>
      </c>
      <c r="K90" s="1014">
        <f t="shared" si="8"/>
        <v>0.16329329769597736</v>
      </c>
      <c r="L90" s="805">
        <f>+Dijon!D90+Eu!D90+Nancy!D90+Roanne!D90</f>
        <v>1061.798962089696</v>
      </c>
      <c r="M90" s="678">
        <f t="shared" si="6"/>
        <v>1</v>
      </c>
    </row>
    <row r="91" spans="1:13" s="2" customFormat="1" ht="11.25">
      <c r="A91" s="590" t="s">
        <v>113</v>
      </c>
      <c r="B91" s="805">
        <f>+Dijon!$G91</f>
        <v>798.33240000000001</v>
      </c>
      <c r="C91" s="805">
        <f>+Eu!$G91</f>
        <v>63.708933333333341</v>
      </c>
      <c r="D91" s="805">
        <f>+Nancy!$G91</f>
        <v>1079.4537333333333</v>
      </c>
      <c r="E91" s="805">
        <f>+Roanne!$G91</f>
        <v>1556.9892</v>
      </c>
      <c r="F91" s="805">
        <f>+Dijon!E91+Eu!E91+Nancy!E91+Roanne!E91</f>
        <v>1537.98</v>
      </c>
      <c r="G91" s="619">
        <f>+Dijon!F91+Eu!F91+Nancy!F91+Roanne!F91</f>
        <v>3202.8166666666666</v>
      </c>
      <c r="H91" s="113">
        <v>1769.5807036566976</v>
      </c>
      <c r="I91" s="1077">
        <f>+Dijon!G91+Eu!G91+Nancy!G91+Roanne!G91</f>
        <v>3498.4842666666664</v>
      </c>
      <c r="J91" s="1013">
        <f t="shared" si="7"/>
        <v>1.0824826504029095</v>
      </c>
      <c r="K91" s="1014">
        <f t="shared" si="8"/>
        <v>9.2314868683294318E-2</v>
      </c>
      <c r="L91" s="805">
        <f>+Dijon!D91+Eu!D91+Nancy!D91+Roanne!D91</f>
        <v>1642.0918001099672</v>
      </c>
      <c r="M91" s="678">
        <f t="shared" si="6"/>
        <v>1</v>
      </c>
    </row>
    <row r="92" spans="1:13" s="2" customFormat="1" ht="11.25" hidden="1">
      <c r="A92" s="5" t="s">
        <v>309</v>
      </c>
      <c r="B92" s="160">
        <f>+Dijon!$G92</f>
        <v>0</v>
      </c>
      <c r="C92" s="113">
        <f>+Eu!$G92</f>
        <v>0</v>
      </c>
      <c r="D92" s="113">
        <f>+Nancy!$G92</f>
        <v>0</v>
      </c>
      <c r="E92" s="113">
        <f>+Roanne!$G92</f>
        <v>0</v>
      </c>
      <c r="F92" s="160">
        <f>+Dijon!E92+Eu!E92+Nancy!E92+Roanne!E92</f>
        <v>0</v>
      </c>
      <c r="G92" s="135">
        <f>+Dijon!F92+Eu!F92+Nancy!F92+Roanne!F92</f>
        <v>0</v>
      </c>
      <c r="H92" s="113">
        <v>0</v>
      </c>
      <c r="I92" s="161">
        <f>+Dijon!G92+Eu!G92+Nancy!G92+Roanne!G92</f>
        <v>0</v>
      </c>
      <c r="J92" s="149">
        <f t="shared" si="7"/>
        <v>0</v>
      </c>
      <c r="K92" s="271">
        <f t="shared" si="8"/>
        <v>0</v>
      </c>
      <c r="L92" s="18">
        <f>+Dijon!D92+Eu!D92+Nancy!D92+Roanne!D92</f>
        <v>0</v>
      </c>
      <c r="M92" s="2">
        <f t="shared" si="6"/>
        <v>0</v>
      </c>
    </row>
    <row r="93" spans="1:13" s="2" customFormat="1" ht="11.25">
      <c r="A93" s="590" t="s">
        <v>115</v>
      </c>
      <c r="B93" s="805">
        <f>+Dijon!$G93</f>
        <v>0</v>
      </c>
      <c r="C93" s="805">
        <f>+Eu!$G93</f>
        <v>0</v>
      </c>
      <c r="D93" s="805">
        <f>+Nancy!$G93</f>
        <v>0</v>
      </c>
      <c r="E93" s="805">
        <f>+Roanne!$G93</f>
        <v>0</v>
      </c>
      <c r="F93" s="805">
        <f>+Dijon!E93+Eu!E93+Nancy!E93+Roanne!E93</f>
        <v>0</v>
      </c>
      <c r="G93" s="619">
        <f>+Dijon!F93+Eu!F93+Nancy!F93+Roanne!F93</f>
        <v>0</v>
      </c>
      <c r="H93" s="113">
        <v>1.7586075156250005</v>
      </c>
      <c r="I93" s="1077">
        <f>+Dijon!G93+Eu!G93+Nancy!G93+Roanne!G93</f>
        <v>0</v>
      </c>
      <c r="J93" s="1013">
        <f t="shared" si="7"/>
        <v>0</v>
      </c>
      <c r="K93" s="1014">
        <f t="shared" si="8"/>
        <v>0</v>
      </c>
      <c r="L93" s="805">
        <f>+Dijon!D93+Eu!D93+Nancy!D93+Roanne!D93</f>
        <v>714.18746893229161</v>
      </c>
      <c r="M93" s="678">
        <f t="shared" si="6"/>
        <v>1</v>
      </c>
    </row>
    <row r="94" spans="1:13" s="2" customFormat="1" ht="11.25">
      <c r="A94" s="590" t="s">
        <v>42</v>
      </c>
      <c r="B94" s="805">
        <f>+Dijon!$G94</f>
        <v>0</v>
      </c>
      <c r="C94" s="805">
        <f>+Eu!$G94</f>
        <v>0</v>
      </c>
      <c r="D94" s="805">
        <f>+Nancy!$G94</f>
        <v>0</v>
      </c>
      <c r="E94" s="805">
        <f>+Roanne!$G94</f>
        <v>0</v>
      </c>
      <c r="F94" s="805">
        <f>+Dijon!E94+Eu!E94+Nancy!E94+Roanne!E94</f>
        <v>30</v>
      </c>
      <c r="G94" s="619">
        <f>+Dijon!F94+Eu!F94+Nancy!F94+Roanne!F94</f>
        <v>0</v>
      </c>
      <c r="H94" s="113">
        <v>2.3705346356249999</v>
      </c>
      <c r="I94" s="1077">
        <f>+Dijon!G94+Eu!G94+Nancy!G94+Roanne!G94</f>
        <v>0</v>
      </c>
      <c r="J94" s="1013">
        <f t="shared" si="7"/>
        <v>-1</v>
      </c>
      <c r="K94" s="1014">
        <f t="shared" si="8"/>
        <v>0</v>
      </c>
      <c r="L94" s="805">
        <f>+Dijon!D94+Eu!D94+Nancy!D94+Roanne!D94</f>
        <v>589.14381004770826</v>
      </c>
      <c r="M94" s="678">
        <f t="shared" si="6"/>
        <v>1</v>
      </c>
    </row>
    <row r="95" spans="1:13" s="2" customFormat="1" ht="11.25">
      <c r="A95" s="590" t="s">
        <v>117</v>
      </c>
      <c r="B95" s="805">
        <f>+Dijon!$G95</f>
        <v>13470.864113863508</v>
      </c>
      <c r="C95" s="805">
        <f>+Eu!$G95</f>
        <v>3031.1172034557521</v>
      </c>
      <c r="D95" s="805">
        <f>+Nancy!$G95</f>
        <v>288.33509208999368</v>
      </c>
      <c r="E95" s="805">
        <f>+Roanne!$G95</f>
        <v>6631.1457235238304</v>
      </c>
      <c r="F95" s="805">
        <f>+Dijon!E95+Eu!E95+Nancy!E95+Roanne!E95</f>
        <v>11058.21</v>
      </c>
      <c r="G95" s="619">
        <f>+Dijon!F95+Eu!F95+Nancy!F95+Roanne!F95</f>
        <v>17513.333333333336</v>
      </c>
      <c r="H95" s="113">
        <v>63743.487456511248</v>
      </c>
      <c r="I95" s="1077">
        <f>+Dijon!G95+Eu!G95+Nancy!G95+Roanne!G95</f>
        <v>23421.462132933084</v>
      </c>
      <c r="J95" s="1013">
        <f t="shared" si="7"/>
        <v>0.58374034616211279</v>
      </c>
      <c r="K95" s="1014">
        <f t="shared" si="8"/>
        <v>0.33735033115339252</v>
      </c>
      <c r="L95" s="805">
        <f>+Dijon!D95+Eu!D95+Nancy!D95+Roanne!D95</f>
        <v>14100.94768511951</v>
      </c>
      <c r="M95" s="678">
        <f t="shared" si="6"/>
        <v>1</v>
      </c>
    </row>
    <row r="96" spans="1:13" s="2" customFormat="1" ht="11.25">
      <c r="A96" s="590" t="s">
        <v>118</v>
      </c>
      <c r="B96" s="805">
        <f>+Dijon!$G96</f>
        <v>12229.746200000001</v>
      </c>
      <c r="C96" s="805">
        <f>+Eu!$G96</f>
        <v>3668.1183999999998</v>
      </c>
      <c r="D96" s="805">
        <f>+Nancy!$G96</f>
        <v>7782.5152000000007</v>
      </c>
      <c r="E96" s="805">
        <f>+Roanne!$G96</f>
        <v>6003.1833333333343</v>
      </c>
      <c r="F96" s="805">
        <f>+Dijon!E96+Eu!E96+Nancy!E96+Roanne!E96</f>
        <v>20928.330000000002</v>
      </c>
      <c r="G96" s="619">
        <f>+Dijon!F96+Eu!F96+Nancy!F96+Roanne!F96</f>
        <v>25850.608333333337</v>
      </c>
      <c r="H96" s="113">
        <v>15857.099775000001</v>
      </c>
      <c r="I96" s="1077">
        <f>+Dijon!G96+Eu!G96+Nancy!G96+Roanne!G96</f>
        <v>29683.563133333337</v>
      </c>
      <c r="J96" s="1013">
        <f t="shared" si="7"/>
        <v>0.23519689976855943</v>
      </c>
      <c r="K96" s="1014">
        <f t="shared" si="8"/>
        <v>0.14827329208564721</v>
      </c>
      <c r="L96" s="805">
        <f>+Dijon!D96+Eu!D96+Nancy!D96+Roanne!D96</f>
        <v>39799.463674999999</v>
      </c>
      <c r="M96" s="678">
        <f t="shared" si="6"/>
        <v>1</v>
      </c>
    </row>
    <row r="97" spans="1:13" s="2" customFormat="1" ht="11.25">
      <c r="A97" s="590" t="s">
        <v>7</v>
      </c>
      <c r="B97" s="805">
        <f>+Dijon!$G97</f>
        <v>1925.6261999999999</v>
      </c>
      <c r="C97" s="805">
        <f>+Eu!$G97</f>
        <v>80.147733333333335</v>
      </c>
      <c r="D97" s="805">
        <f>+Nancy!$G97</f>
        <v>276.41079999999999</v>
      </c>
      <c r="E97" s="805">
        <f>+Roanne!$G97</f>
        <v>455.57586666666674</v>
      </c>
      <c r="F97" s="805">
        <f>+Dijon!E97+Eu!E97+Nancy!E97+Roanne!E97</f>
        <v>1325.7</v>
      </c>
      <c r="G97" s="619">
        <f>+Dijon!F97+Eu!F97+Nancy!F97+Roanne!F97</f>
        <v>2190.6350000000002</v>
      </c>
      <c r="H97" s="113">
        <v>355.56756511337915</v>
      </c>
      <c r="I97" s="1077">
        <f>+Dijon!G97+Eu!G97+Nancy!G97+Roanne!G97</f>
        <v>2737.7605999999996</v>
      </c>
      <c r="J97" s="1013">
        <f t="shared" si="7"/>
        <v>0.65243644866862804</v>
      </c>
      <c r="K97" s="1014">
        <f t="shared" si="8"/>
        <v>0.24975662307960902</v>
      </c>
      <c r="L97" s="805">
        <f>+Dijon!D97+Eu!D97+Nancy!D97+Roanne!D97</f>
        <v>1377.0308568746991</v>
      </c>
      <c r="M97" s="678">
        <f t="shared" si="6"/>
        <v>1</v>
      </c>
    </row>
    <row r="98" spans="1:13" s="2" customFormat="1" ht="11.25" hidden="1">
      <c r="A98" s="5" t="s">
        <v>307</v>
      </c>
      <c r="B98" s="160">
        <f>+Dijon!$G98</f>
        <v>0</v>
      </c>
      <c r="C98" s="113">
        <f>+Eu!$G98</f>
        <v>0</v>
      </c>
      <c r="D98" s="113">
        <f>+Nancy!$G98</f>
        <v>0</v>
      </c>
      <c r="E98" s="113">
        <f>+Roanne!$G98</f>
        <v>0</v>
      </c>
      <c r="F98" s="160">
        <f>+Dijon!E98+Eu!E98+Nancy!E98+Roanne!E98</f>
        <v>0</v>
      </c>
      <c r="G98" s="135">
        <f>+Dijon!F98+Eu!F98+Nancy!F98+Roanne!F98</f>
        <v>0</v>
      </c>
      <c r="H98" s="113">
        <v>0</v>
      </c>
      <c r="I98" s="161">
        <f>+Dijon!G98+Eu!G98+Nancy!G98+Roanne!G98</f>
        <v>0</v>
      </c>
      <c r="J98" s="149">
        <f t="shared" si="7"/>
        <v>0</v>
      </c>
      <c r="K98" s="271">
        <f t="shared" si="8"/>
        <v>0</v>
      </c>
      <c r="L98" s="18">
        <f>+Dijon!D98+Eu!D98+Nancy!D98+Roanne!D98</f>
        <v>0</v>
      </c>
      <c r="M98" s="678">
        <f t="shared" si="6"/>
        <v>0</v>
      </c>
    </row>
    <row r="99" spans="1:13" s="2" customFormat="1" ht="11.25">
      <c r="A99" s="590" t="s">
        <v>119</v>
      </c>
      <c r="B99" s="805">
        <f>+Dijon!$G99</f>
        <v>5951.43</v>
      </c>
      <c r="C99" s="805">
        <f>+Eu!$G99</f>
        <v>3259.92</v>
      </c>
      <c r="D99" s="805">
        <f>+Nancy!$G99</f>
        <v>5184.6400000000003</v>
      </c>
      <c r="E99" s="805">
        <f>+Roanne!$G99</f>
        <v>4490.3066666666664</v>
      </c>
      <c r="F99" s="805">
        <f>+Dijon!E99+Eu!E99+Nancy!E99+Roanne!E99</f>
        <v>14863.5</v>
      </c>
      <c r="G99" s="619">
        <f>+Dijon!F99+Eu!F99+Nancy!F99+Roanne!F99</f>
        <v>18886.296666666669</v>
      </c>
      <c r="H99" s="113">
        <v>16061.190716340308</v>
      </c>
      <c r="I99" s="1077">
        <f>+Dijon!G99+Eu!G99+Nancy!G99+Roanne!G99</f>
        <v>18886.296666666669</v>
      </c>
      <c r="J99" s="1013">
        <f t="shared" si="7"/>
        <v>0.27064935356185749</v>
      </c>
      <c r="K99" s="1014">
        <f t="shared" si="8"/>
        <v>0</v>
      </c>
      <c r="L99" s="805">
        <f>+Dijon!D99+Eu!D99+Nancy!D99+Roanne!D99</f>
        <v>17339.761467944103</v>
      </c>
      <c r="M99" s="678">
        <f t="shared" si="6"/>
        <v>1</v>
      </c>
    </row>
    <row r="100" spans="1:13" s="2" customFormat="1" ht="11.25">
      <c r="A100" s="590" t="s">
        <v>120</v>
      </c>
      <c r="B100" s="805">
        <f>+Dijon!$G100</f>
        <v>0</v>
      </c>
      <c r="C100" s="805">
        <f>+Eu!$G100</f>
        <v>4828.0769333333337</v>
      </c>
      <c r="D100" s="805">
        <f>+Nancy!$G100</f>
        <v>1671.3191999999999</v>
      </c>
      <c r="E100" s="805">
        <f>+Roanne!$G100</f>
        <v>3596.7737333333334</v>
      </c>
      <c r="F100" s="805">
        <f>+Dijon!E100+Eu!E100+Nancy!E100+Roanne!E100</f>
        <v>3842.37</v>
      </c>
      <c r="G100" s="619">
        <f>+Dijon!F100+Eu!F100+Nancy!F100+Roanne!F100</f>
        <v>9802.1066666666666</v>
      </c>
      <c r="H100" s="113">
        <v>2476.283923226305</v>
      </c>
      <c r="I100" s="1077">
        <f>+Dijon!G100+Eu!G100+Nancy!G100+Roanne!G100</f>
        <v>10096.169866666667</v>
      </c>
      <c r="J100" s="1013">
        <f t="shared" si="7"/>
        <v>1.5510574636660881</v>
      </c>
      <c r="K100" s="1014">
        <f t="shared" si="8"/>
        <v>3.0000000000000051E-2</v>
      </c>
      <c r="L100" s="805">
        <f>+Dijon!D100+Eu!D100+Nancy!D100+Roanne!D100</f>
        <v>4438.9800616746606</v>
      </c>
      <c r="M100" s="678">
        <f t="shared" si="6"/>
        <v>1</v>
      </c>
    </row>
    <row r="101" spans="1:13" s="2" customFormat="1" ht="11.25">
      <c r="A101" s="590" t="s">
        <v>121</v>
      </c>
      <c r="B101" s="805">
        <f>+Dijon!$G101</f>
        <v>0</v>
      </c>
      <c r="C101" s="805">
        <f>+Eu!$G101</f>
        <v>0</v>
      </c>
      <c r="D101" s="805">
        <f>+Nancy!$G101</f>
        <v>0</v>
      </c>
      <c r="E101" s="805">
        <f>+Roanne!$G101</f>
        <v>0</v>
      </c>
      <c r="F101" s="805">
        <f>+Dijon!E101+Eu!E101+Nancy!E101+Roanne!E101</f>
        <v>0</v>
      </c>
      <c r="G101" s="619">
        <f>+Dijon!F101+Eu!F101+Nancy!F101+Roanne!F101</f>
        <v>0</v>
      </c>
      <c r="H101" s="113">
        <v>11.968677035416668</v>
      </c>
      <c r="I101" s="1077">
        <f>+Dijon!G101+Eu!G101+Nancy!G101+Roanne!G101</f>
        <v>0</v>
      </c>
      <c r="J101" s="1013">
        <f t="shared" si="7"/>
        <v>0</v>
      </c>
      <c r="K101" s="1014">
        <f t="shared" si="8"/>
        <v>0</v>
      </c>
      <c r="L101" s="805">
        <f>+Dijon!D101+Eu!D101+Nancy!D101+Roanne!D101</f>
        <v>38.802417500000004</v>
      </c>
      <c r="M101" s="678">
        <f t="shared" si="6"/>
        <v>1</v>
      </c>
    </row>
    <row r="102" spans="1:13" s="2" customFormat="1" ht="11.25" hidden="1">
      <c r="A102" s="5"/>
      <c r="B102" s="160"/>
      <c r="C102" s="113"/>
      <c r="D102" s="113"/>
      <c r="E102" s="113"/>
      <c r="F102" s="160"/>
      <c r="G102" s="143"/>
      <c r="H102" s="113"/>
      <c r="I102" s="162"/>
      <c r="J102" s="149"/>
      <c r="K102" s="254"/>
      <c r="L102" s="18"/>
      <c r="M102" s="2">
        <f t="shared" si="6"/>
        <v>0</v>
      </c>
    </row>
    <row r="103" spans="1:13" s="2" customFormat="1" ht="11.25">
      <c r="A103" s="13" t="s">
        <v>122</v>
      </c>
      <c r="B103" s="803">
        <f t="shared" ref="B103:G103" si="9">SUM(B70:B102)</f>
        <v>79556.809913863515</v>
      </c>
      <c r="C103" s="803">
        <f t="shared" si="9"/>
        <v>100925.56735345576</v>
      </c>
      <c r="D103" s="803">
        <f t="shared" si="9"/>
        <v>115371.50667037448</v>
      </c>
      <c r="E103" s="803">
        <f t="shared" si="9"/>
        <v>98956.988631857166</v>
      </c>
      <c r="F103" s="803">
        <f t="shared" si="9"/>
        <v>312215.66000000003</v>
      </c>
      <c r="G103" s="597">
        <f t="shared" si="9"/>
        <v>361291.8716666667</v>
      </c>
      <c r="H103" s="204">
        <v>239392.53089079331</v>
      </c>
      <c r="I103" s="803">
        <f>SUM(I70:I102)</f>
        <v>394810.87256955088</v>
      </c>
      <c r="J103" s="596">
        <f>+IF((F103)=0,,(G103-F103)/F103)</f>
        <v>0.15718689980722511</v>
      </c>
      <c r="K103" s="1015">
        <f>+IF((G103)=0,,(I103-G103)/G103)</f>
        <v>9.27754082821141E-2</v>
      </c>
      <c r="L103" s="803">
        <f>SUM(L72:L102)+L70</f>
        <v>372751.90654242225</v>
      </c>
      <c r="M103" s="678">
        <f t="shared" si="6"/>
        <v>1</v>
      </c>
    </row>
    <row r="104" spans="1:13" s="2" customFormat="1" ht="11.25" hidden="1">
      <c r="A104" s="5"/>
      <c r="B104" s="160"/>
      <c r="C104" s="113"/>
      <c r="D104" s="113"/>
      <c r="E104" s="113"/>
      <c r="F104" s="160"/>
      <c r="G104" s="143"/>
      <c r="H104" s="113"/>
      <c r="I104" s="162"/>
      <c r="J104" s="149"/>
      <c r="K104" s="254"/>
      <c r="L104" s="18"/>
      <c r="M104" s="2">
        <f t="shared" si="6"/>
        <v>0</v>
      </c>
    </row>
    <row r="105" spans="1:13" s="2" customFormat="1" ht="11.25">
      <c r="A105" s="590" t="s">
        <v>129</v>
      </c>
      <c r="B105" s="805">
        <f>+Dijon!$G105</f>
        <v>0</v>
      </c>
      <c r="C105" s="805">
        <f>+Eu!$G105</f>
        <v>0</v>
      </c>
      <c r="D105" s="805">
        <f>+Nancy!$G105</f>
        <v>0</v>
      </c>
      <c r="E105" s="805">
        <f>+Roanne!$G105</f>
        <v>96.133333333333326</v>
      </c>
      <c r="F105" s="805">
        <f>+Dijon!E105+Eu!E105+Nancy!E105+Roanne!E105</f>
        <v>3248.1000000000004</v>
      </c>
      <c r="G105" s="619">
        <f>+Dijon!F105+Eu!F105+Nancy!F105+Roanne!F105</f>
        <v>93.333333333333329</v>
      </c>
      <c r="H105" s="113">
        <v>2929.9895000000001</v>
      </c>
      <c r="I105" s="1077">
        <f>+Dijon!G105+Eu!G105+Nancy!G105+Roanne!G105</f>
        <v>96.133333333333326</v>
      </c>
      <c r="J105" s="1013">
        <f>+IF((F105)=0,,(G105-F105)/F105)</f>
        <v>-0.97126525250659357</v>
      </c>
      <c r="K105" s="1014">
        <f>+IF((G105)=0,,(I105-G105)/G105)</f>
        <v>2.9999999999999971E-2</v>
      </c>
      <c r="L105" s="805">
        <f>+Dijon!D105+Eu!D105+Nancy!D105+Roanne!D105</f>
        <v>4235.3855000000003</v>
      </c>
      <c r="M105" s="678">
        <f t="shared" si="6"/>
        <v>1</v>
      </c>
    </row>
    <row r="106" spans="1:13" s="2" customFormat="1" ht="11.25">
      <c r="A106" s="590" t="s">
        <v>130</v>
      </c>
      <c r="B106" s="805">
        <f>+Dijon!$G106</f>
        <v>2500</v>
      </c>
      <c r="C106" s="805">
        <f>+Eu!$G106</f>
        <v>2032.9727999999998</v>
      </c>
      <c r="D106" s="805">
        <f>+Nancy!$G106</f>
        <v>4000</v>
      </c>
      <c r="E106" s="805">
        <f>+Roanne!$G106</f>
        <v>8249.036533333332</v>
      </c>
      <c r="F106" s="805">
        <f>+Dijon!E106+Eu!E106+Nancy!E106+Roanne!E106</f>
        <v>20181.5</v>
      </c>
      <c r="G106" s="619">
        <f>+Dijon!F106+Eu!F106+Nancy!F106+Roanne!F106</f>
        <v>18043.901666666665</v>
      </c>
      <c r="H106" s="113">
        <v>22103.614600000001</v>
      </c>
      <c r="I106" s="1077">
        <f>+Dijon!G106+Eu!G106+Nancy!G106+Roanne!G106</f>
        <v>16782.009333333332</v>
      </c>
      <c r="J106" s="1013">
        <f t="shared" ref="J106:J114" si="10">+IF((F106)=0,,(G106-F106)/F106)</f>
        <v>-0.10591870442401879</v>
      </c>
      <c r="K106" s="1014">
        <f t="shared" ref="K106:K114" si="11">+IF((G106)=0,,(I106-G106)/G106)</f>
        <v>-6.9934560531577566E-2</v>
      </c>
      <c r="L106" s="805">
        <f>+Dijon!D106+Eu!D106+Nancy!D106+Roanne!D106</f>
        <v>24101.5308</v>
      </c>
      <c r="M106" s="678">
        <f t="shared" si="6"/>
        <v>1</v>
      </c>
    </row>
    <row r="107" spans="1:13" s="2" customFormat="1" ht="11.25" hidden="1">
      <c r="A107" s="5" t="s">
        <v>131</v>
      </c>
      <c r="B107" s="160">
        <f>+Dijon!$G107</f>
        <v>0</v>
      </c>
      <c r="C107" s="113">
        <f>+Eu!$G107</f>
        <v>0</v>
      </c>
      <c r="D107" s="113">
        <f>+Nancy!$G107</f>
        <v>0</v>
      </c>
      <c r="E107" s="113">
        <f>+Roanne!$G107</f>
        <v>0</v>
      </c>
      <c r="F107" s="160">
        <f>+Dijon!E107+Eu!E107+Nancy!E107+Roanne!E107</f>
        <v>0</v>
      </c>
      <c r="G107" s="135">
        <f>+Dijon!F107+Eu!F107+Nancy!F107+Roanne!F107</f>
        <v>0</v>
      </c>
      <c r="H107" s="113">
        <v>0</v>
      </c>
      <c r="I107" s="161">
        <f>+Dijon!G107+Eu!G107+Nancy!G107+Roanne!G107</f>
        <v>0</v>
      </c>
      <c r="J107" s="149">
        <f t="shared" si="10"/>
        <v>0</v>
      </c>
      <c r="K107" s="271">
        <f t="shared" si="11"/>
        <v>0</v>
      </c>
      <c r="L107" s="18">
        <f>+Dijon!D107+Eu!D107+Nancy!D107+Roanne!D107</f>
        <v>0</v>
      </c>
      <c r="M107" s="2">
        <f t="shared" si="6"/>
        <v>0</v>
      </c>
    </row>
    <row r="108" spans="1:13" s="2" customFormat="1" ht="11.25">
      <c r="A108" s="590" t="s">
        <v>132</v>
      </c>
      <c r="B108" s="805">
        <f>+Dijon!$G108</f>
        <v>2000</v>
      </c>
      <c r="C108" s="805">
        <f>+Eu!$G108</f>
        <v>450</v>
      </c>
      <c r="D108" s="805">
        <f>+Nancy!$G108</f>
        <v>0</v>
      </c>
      <c r="E108" s="805">
        <f>+Roanne!$G108</f>
        <v>5776.3223999999991</v>
      </c>
      <c r="F108" s="805">
        <f>+Dijon!E108+Eu!E108+Nancy!E108+Roanne!E108</f>
        <v>130.91999999999999</v>
      </c>
      <c r="G108" s="619">
        <f>+Dijon!F108+Eu!F108+Nancy!F108+Roanne!F108</f>
        <v>8755.9583333333321</v>
      </c>
      <c r="H108" s="113">
        <v>859.20295375000001</v>
      </c>
      <c r="I108" s="1077">
        <f>+Dijon!G108+Eu!G108+Nancy!G108+Roanne!G108</f>
        <v>8226.3223999999991</v>
      </c>
      <c r="J108" s="1013">
        <f t="shared" si="10"/>
        <v>65.880219472451373</v>
      </c>
      <c r="K108" s="1014">
        <f t="shared" si="11"/>
        <v>-6.0488631075029831E-2</v>
      </c>
      <c r="L108" s="805">
        <f>+Dijon!D108+Eu!D108+Nancy!D108+Roanne!D108</f>
        <v>514.89</v>
      </c>
      <c r="M108" s="678">
        <f t="shared" si="6"/>
        <v>1</v>
      </c>
    </row>
    <row r="109" spans="1:13" s="2" customFormat="1" ht="11.25">
      <c r="A109" s="590" t="s">
        <v>133</v>
      </c>
      <c r="B109" s="805">
        <f>+Dijon!$G109</f>
        <v>5000</v>
      </c>
      <c r="C109" s="805">
        <f>+Eu!$G109</f>
        <v>13419.5404</v>
      </c>
      <c r="D109" s="805">
        <f>+Nancy!$G109</f>
        <v>3000</v>
      </c>
      <c r="E109" s="805">
        <f>+Roanne!$G109</f>
        <v>4985.9828000000007</v>
      </c>
      <c r="F109" s="805">
        <f>+Dijon!E109+Eu!E109+Nancy!E109+Roanne!E109</f>
        <v>11898.66</v>
      </c>
      <c r="G109" s="619">
        <f>+Dijon!F109+Eu!F109+Nancy!F109+Roanne!F109</f>
        <v>27350.823333333334</v>
      </c>
      <c r="H109" s="113">
        <v>23819.934499999999</v>
      </c>
      <c r="I109" s="1077">
        <f>+Dijon!G109+Eu!G109+Nancy!G109+Roanne!G109</f>
        <v>26405.5232</v>
      </c>
      <c r="J109" s="1013">
        <f t="shared" si="10"/>
        <v>1.298647354688119</v>
      </c>
      <c r="K109" s="1014">
        <f t="shared" si="11"/>
        <v>-3.4562035731526448E-2</v>
      </c>
      <c r="L109" s="805">
        <f>+Dijon!D109+Eu!D109+Nancy!D109+Roanne!D109</f>
        <v>25891.5916</v>
      </c>
      <c r="M109" s="678">
        <f t="shared" si="6"/>
        <v>1</v>
      </c>
    </row>
    <row r="110" spans="1:13" s="2" customFormat="1" ht="11.25">
      <c r="A110" s="590" t="s">
        <v>134</v>
      </c>
      <c r="B110" s="805">
        <f>+Dijon!$G110</f>
        <v>3000</v>
      </c>
      <c r="C110" s="805">
        <f>+Eu!$G110</f>
        <v>3358.2120000000004</v>
      </c>
      <c r="D110" s="805">
        <f>+Nancy!$G110</f>
        <v>3000</v>
      </c>
      <c r="E110" s="805">
        <f>+Roanne!$G110</f>
        <v>12000</v>
      </c>
      <c r="F110" s="805">
        <f>+Dijon!E110+Eu!E110+Nancy!E110+Roanne!E110</f>
        <v>24453.08</v>
      </c>
      <c r="G110" s="619">
        <f>+Dijon!F110+Eu!F110+Nancy!F110+Roanne!F110</f>
        <v>29221.153333333335</v>
      </c>
      <c r="H110" s="113">
        <v>65359.875700000004</v>
      </c>
      <c r="I110" s="1077">
        <f>+Dijon!G110+Eu!G110+Nancy!G110+Roanne!G110</f>
        <v>21358.212</v>
      </c>
      <c r="J110" s="1013">
        <f t="shared" si="10"/>
        <v>0.19498866127838838</v>
      </c>
      <c r="K110" s="1014">
        <f t="shared" si="11"/>
        <v>-0.26908388055867299</v>
      </c>
      <c r="L110" s="805">
        <f>+Dijon!D110+Eu!D110+Nancy!D110+Roanne!D110</f>
        <v>29323.885100000003</v>
      </c>
      <c r="M110" s="678">
        <f t="shared" si="6"/>
        <v>1</v>
      </c>
    </row>
    <row r="111" spans="1:13" s="2" customFormat="1" ht="11.25">
      <c r="A111" s="590" t="s">
        <v>135</v>
      </c>
      <c r="B111" s="805">
        <f>+Dijon!$G111</f>
        <v>0</v>
      </c>
      <c r="C111" s="805">
        <f>+Eu!$G111</f>
        <v>27.466666666666669</v>
      </c>
      <c r="D111" s="805">
        <f>+Nancy!$G111</f>
        <v>0</v>
      </c>
      <c r="E111" s="805">
        <f>+Roanne!$G111</f>
        <v>0</v>
      </c>
      <c r="F111" s="805">
        <f>+Dijon!E111+Eu!E111+Nancy!E111+Roanne!E111</f>
        <v>295</v>
      </c>
      <c r="G111" s="619">
        <f>+Dijon!F111+Eu!F111+Nancy!F111+Roanne!F111</f>
        <v>26.666666666666668</v>
      </c>
      <c r="H111" s="113">
        <v>0</v>
      </c>
      <c r="I111" s="1077">
        <f>+Dijon!G111+Eu!G111+Nancy!G111+Roanne!G111</f>
        <v>27.466666666666669</v>
      </c>
      <c r="J111" s="1013">
        <f t="shared" si="10"/>
        <v>-0.90960451977401124</v>
      </c>
      <c r="K111" s="1014">
        <f t="shared" si="11"/>
        <v>3.0000000000000027E-2</v>
      </c>
      <c r="L111" s="805">
        <f>+Dijon!D111+Eu!D111+Nancy!D111+Roanne!D111</f>
        <v>159.65000000000003</v>
      </c>
      <c r="M111" s="678">
        <f t="shared" si="6"/>
        <v>1</v>
      </c>
    </row>
    <row r="112" spans="1:13" s="2" customFormat="1" ht="11.25">
      <c r="A112" s="590" t="s">
        <v>136</v>
      </c>
      <c r="B112" s="805">
        <f>+Dijon!$G112</f>
        <v>0</v>
      </c>
      <c r="C112" s="805">
        <f>+Eu!$G112</f>
        <v>26.78</v>
      </c>
      <c r="D112" s="805">
        <f>+Nancy!$G112</f>
        <v>26.78</v>
      </c>
      <c r="E112" s="805">
        <f>+Roanne!$G112</f>
        <v>1060.9000000000001</v>
      </c>
      <c r="F112" s="805">
        <f>+Dijon!E112+Eu!E112+Nancy!E112+Roanne!E112</f>
        <v>75.69</v>
      </c>
      <c r="G112" s="619">
        <f>+Dijon!F112+Eu!F112+Nancy!F112+Roanne!F112</f>
        <v>1082</v>
      </c>
      <c r="H112" s="113">
        <v>77.981300000000005</v>
      </c>
      <c r="I112" s="1077">
        <f>+Dijon!G112+Eu!G112+Nancy!G112+Roanne!G112</f>
        <v>1114.46</v>
      </c>
      <c r="J112" s="1013">
        <f t="shared" si="10"/>
        <v>13.295151274937243</v>
      </c>
      <c r="K112" s="1014">
        <f t="shared" si="11"/>
        <v>3.0000000000000034E-2</v>
      </c>
      <c r="L112" s="805">
        <f>+Dijon!D112+Eu!D112+Nancy!D112+Roanne!D112</f>
        <v>1081.9738</v>
      </c>
      <c r="M112" s="678">
        <f t="shared" si="6"/>
        <v>1</v>
      </c>
    </row>
    <row r="113" spans="1:13" s="2" customFormat="1" ht="11.25">
      <c r="A113" s="590" t="s">
        <v>137</v>
      </c>
      <c r="B113" s="805">
        <f>+Dijon!$G113</f>
        <v>2000</v>
      </c>
      <c r="C113" s="805">
        <f>+Eu!$G113</f>
        <v>2000</v>
      </c>
      <c r="D113" s="805">
        <f>+Nancy!$G113</f>
        <v>6000</v>
      </c>
      <c r="E113" s="805">
        <f>+Roanne!$G113</f>
        <v>2000</v>
      </c>
      <c r="F113" s="805">
        <f>+Dijon!E113+Eu!E113+Nancy!E113+Roanne!E113</f>
        <v>14191.53</v>
      </c>
      <c r="G113" s="619">
        <f>+Dijon!F113+Eu!F113+Nancy!F113+Roanne!F113</f>
        <v>16051.85</v>
      </c>
      <c r="H113" s="113">
        <v>30564.22</v>
      </c>
      <c r="I113" s="1077">
        <f>+Dijon!G113+Eu!G113+Nancy!G113+Roanne!G113</f>
        <v>12000</v>
      </c>
      <c r="J113" s="1013">
        <f t="shared" si="10"/>
        <v>0.13108664111621507</v>
      </c>
      <c r="K113" s="1014">
        <f t="shared" si="11"/>
        <v>-0.25242261795369381</v>
      </c>
      <c r="L113" s="805">
        <f>+Dijon!D113+Eu!D113+Nancy!D113+Roanne!D113</f>
        <v>34078.379999999997</v>
      </c>
      <c r="M113" s="678">
        <f t="shared" si="6"/>
        <v>1</v>
      </c>
    </row>
    <row r="114" spans="1:13" s="2" customFormat="1" ht="11.25" hidden="1">
      <c r="A114" s="5" t="s">
        <v>138</v>
      </c>
      <c r="B114" s="160">
        <f>+Dijon!$G114</f>
        <v>0</v>
      </c>
      <c r="C114" s="113">
        <f>+Eu!$G114</f>
        <v>0</v>
      </c>
      <c r="D114" s="113">
        <f>+Nancy!$G114</f>
        <v>0</v>
      </c>
      <c r="E114" s="113">
        <f>+Roanne!$G114</f>
        <v>-1777.5465333333332</v>
      </c>
      <c r="F114" s="160">
        <f>+Dijon!E114+Eu!E114+Nancy!E114+Roanne!E114</f>
        <v>-12079.61</v>
      </c>
      <c r="G114" s="135">
        <f>+Dijon!F114+Eu!F114+Nancy!F114+Roanne!F114</f>
        <v>-1725.7733333333331</v>
      </c>
      <c r="H114" s="113">
        <v>0</v>
      </c>
      <c r="I114" s="161">
        <f>+Dijon!G114+Eu!G114+Nancy!G114+Roanne!G114</f>
        <v>-1777.5465333333332</v>
      </c>
      <c r="J114" s="149">
        <f t="shared" si="10"/>
        <v>-0.85713335667845791</v>
      </c>
      <c r="K114" s="271">
        <f t="shared" si="11"/>
        <v>3.0000000000000054E-2</v>
      </c>
      <c r="L114" s="18">
        <f>+Dijon!D114+Eu!D114+Nancy!D114+Roanne!D114</f>
        <v>-666.58510000000001</v>
      </c>
      <c r="M114" s="2">
        <f t="shared" si="6"/>
        <v>0</v>
      </c>
    </row>
    <row r="115" spans="1:13" s="2" customFormat="1" ht="11.25" hidden="1">
      <c r="A115" s="5"/>
      <c r="B115" s="160"/>
      <c r="C115" s="113"/>
      <c r="D115" s="113"/>
      <c r="E115" s="113"/>
      <c r="F115" s="160"/>
      <c r="G115" s="143"/>
      <c r="H115" s="113"/>
      <c r="I115" s="162"/>
      <c r="J115" s="149"/>
      <c r="K115" s="254"/>
      <c r="L115" s="18"/>
      <c r="M115" s="2">
        <f t="shared" si="6"/>
        <v>0</v>
      </c>
    </row>
    <row r="116" spans="1:13" s="2" customFormat="1" ht="11.25">
      <c r="A116" s="13" t="s">
        <v>133</v>
      </c>
      <c r="B116" s="803">
        <f t="shared" ref="B116:G116" si="12">SUM(B104:B115)</f>
        <v>14500</v>
      </c>
      <c r="C116" s="803">
        <f t="shared" si="12"/>
        <v>21314.971866666667</v>
      </c>
      <c r="D116" s="803">
        <f t="shared" si="12"/>
        <v>16026.78</v>
      </c>
      <c r="E116" s="803">
        <f t="shared" si="12"/>
        <v>32390.828533333333</v>
      </c>
      <c r="F116" s="803">
        <f t="shared" si="12"/>
        <v>62394.869999999995</v>
      </c>
      <c r="G116" s="597">
        <f t="shared" si="12"/>
        <v>98899.913333333345</v>
      </c>
      <c r="H116" s="204">
        <v>145714.81855375</v>
      </c>
      <c r="I116" s="803">
        <f>SUM(I104:I115)</f>
        <v>84232.580400000006</v>
      </c>
      <c r="J116" s="596">
        <f>+IF((F116)=0,,(G116-F116)/F116)</f>
        <v>0.5850648191643536</v>
      </c>
      <c r="K116" s="1015">
        <f>+IF((G116)=0,,(I116-G116)/G116)</f>
        <v>-0.14830481078277996</v>
      </c>
      <c r="L116" s="803">
        <f>SUM(L105:L115)</f>
        <v>118720.70170000001</v>
      </c>
      <c r="M116" s="678">
        <f t="shared" si="6"/>
        <v>1</v>
      </c>
    </row>
    <row r="117" spans="1:13" s="2" customFormat="1" ht="11.25" hidden="1">
      <c r="A117" s="5"/>
      <c r="B117" s="160"/>
      <c r="C117" s="113"/>
      <c r="D117" s="113"/>
      <c r="E117" s="113"/>
      <c r="F117" s="160"/>
      <c r="G117" s="143"/>
      <c r="H117" s="113"/>
      <c r="I117" s="162"/>
      <c r="J117" s="149"/>
      <c r="K117" s="254"/>
      <c r="L117" s="18"/>
      <c r="M117" s="2">
        <f t="shared" si="6"/>
        <v>0</v>
      </c>
    </row>
    <row r="118" spans="1:13" s="2" customFormat="1" ht="11.25">
      <c r="A118" s="590" t="s">
        <v>139</v>
      </c>
      <c r="B118" s="805">
        <f>+Dijon!$G118</f>
        <v>1655.1688000000001</v>
      </c>
      <c r="C118" s="805">
        <f>+Eu!$G118</f>
        <v>1284.2339999999999</v>
      </c>
      <c r="D118" s="805">
        <f>+Nancy!$G118</f>
        <v>730.07899999999995</v>
      </c>
      <c r="E118" s="805">
        <f>+Roanne!$G118</f>
        <v>1062.838</v>
      </c>
      <c r="F118" s="805">
        <f>+Dijon!E118+Eu!E118+Nancy!E118+Roanne!E118</f>
        <v>3806</v>
      </c>
      <c r="G118" s="619">
        <f>+Dijon!F118+Eu!F118+Nancy!F118+Roanne!F118</f>
        <v>9831.3933333333334</v>
      </c>
      <c r="H118" s="113">
        <v>0</v>
      </c>
      <c r="I118" s="1077">
        <f>+Dijon!G118+Eu!G118+Nancy!G118+Roanne!G118</f>
        <v>4732.3197999999993</v>
      </c>
      <c r="J118" s="1013">
        <f>+IF((F118)=0,,(G118-F118)/F118)</f>
        <v>1.5831301453844806</v>
      </c>
      <c r="K118" s="1014">
        <f>+IF((G118)=0,,(I118-G118)/G118)</f>
        <v>-0.51865217476803904</v>
      </c>
      <c r="L118" s="805">
        <f>+Dijon!D118+Eu!D118+Nancy!D118+Roanne!D118</f>
        <v>3765.2299999999996</v>
      </c>
      <c r="M118" s="678">
        <f t="shared" si="6"/>
        <v>1</v>
      </c>
    </row>
    <row r="119" spans="1:13" s="2" customFormat="1" ht="11.25">
      <c r="A119" s="590" t="s">
        <v>140</v>
      </c>
      <c r="B119" s="805">
        <f>+Dijon!$G119</f>
        <v>0</v>
      </c>
      <c r="C119" s="805">
        <f>+Eu!$G119</f>
        <v>825.57900000000006</v>
      </c>
      <c r="D119" s="805">
        <f>+Nancy!$G119</f>
        <v>469.33650000000006</v>
      </c>
      <c r="E119" s="805">
        <f>+Roanne!$G119</f>
        <v>683.25300000000004</v>
      </c>
      <c r="F119" s="805">
        <f>+Dijon!E119+Eu!E119+Nancy!E119+Roanne!E119</f>
        <v>2079</v>
      </c>
      <c r="G119" s="619">
        <f>+Dijon!F119+Eu!F119+Nancy!F119+Roanne!F119</f>
        <v>0</v>
      </c>
      <c r="H119" s="113">
        <v>0</v>
      </c>
      <c r="I119" s="1077">
        <f>+Dijon!G119+Eu!G119+Nancy!G119+Roanne!G119</f>
        <v>1978.1685000000002</v>
      </c>
      <c r="J119" s="1013">
        <f t="shared" ref="J119:J127" si="13">+IF((F119)=0,,(G119-F119)/F119)</f>
        <v>-1</v>
      </c>
      <c r="K119" s="1014">
        <f t="shared" ref="K119:K127" si="14">+IF((G119)=0,,(I119-G119)/G119)</f>
        <v>0</v>
      </c>
      <c r="L119" s="805">
        <f>+Dijon!D119+Eu!D119+Nancy!D119+Roanne!D119</f>
        <v>2420.5050000000006</v>
      </c>
      <c r="M119" s="678">
        <f t="shared" si="6"/>
        <v>1</v>
      </c>
    </row>
    <row r="120" spans="1:13" s="2" customFormat="1" ht="11.25">
      <c r="A120" s="590" t="s">
        <v>141</v>
      </c>
      <c r="B120" s="805">
        <f>+Dijon!$G120</f>
        <v>0</v>
      </c>
      <c r="C120" s="805">
        <f>+Eu!$G120</f>
        <v>1431.0036</v>
      </c>
      <c r="D120" s="805">
        <f>+Nancy!$G120</f>
        <v>813.51660000000004</v>
      </c>
      <c r="E120" s="805">
        <f>+Roanne!$G120</f>
        <v>1184.3052</v>
      </c>
      <c r="F120" s="805">
        <f>+Dijon!E120+Eu!E120+Nancy!E120+Roanne!E120</f>
        <v>2878</v>
      </c>
      <c r="G120" s="619">
        <f>+Dijon!F120+Eu!F120+Nancy!F120+Roanne!F120</f>
        <v>0</v>
      </c>
      <c r="H120" s="113">
        <v>0</v>
      </c>
      <c r="I120" s="1077">
        <f>+Dijon!G120+Eu!G120+Nancy!G120+Roanne!G120</f>
        <v>3428.8253999999997</v>
      </c>
      <c r="J120" s="1013">
        <f t="shared" si="13"/>
        <v>-1</v>
      </c>
      <c r="K120" s="1014">
        <f t="shared" si="14"/>
        <v>0</v>
      </c>
      <c r="L120" s="805">
        <f>+Dijon!D120+Eu!D120+Nancy!D120+Roanne!D120</f>
        <v>4195.5420000000004</v>
      </c>
      <c r="M120" s="678">
        <f t="shared" si="6"/>
        <v>1</v>
      </c>
    </row>
    <row r="121" spans="1:13" s="2" customFormat="1" ht="11.25">
      <c r="A121" s="590" t="s">
        <v>142</v>
      </c>
      <c r="B121" s="805">
        <f>+Dijon!$G121</f>
        <v>3149.9685000000004</v>
      </c>
      <c r="C121" s="805">
        <f>+Eu!$G121</f>
        <v>4248.3</v>
      </c>
      <c r="D121" s="805">
        <f>+Nancy!$G121</f>
        <v>3835.65</v>
      </c>
      <c r="E121" s="805">
        <f>+Roanne!$G121</f>
        <v>2896.9500000000003</v>
      </c>
      <c r="F121" s="805">
        <f>+Dijon!E121+Eu!E121+Nancy!E121+Roanne!E121</f>
        <v>24013</v>
      </c>
      <c r="G121" s="619">
        <f>+Dijon!F121+Eu!F121+Nancy!F121+Roanne!F121</f>
        <v>13457.970000000001</v>
      </c>
      <c r="H121" s="113">
        <v>12874.227500000001</v>
      </c>
      <c r="I121" s="1077">
        <f>+Dijon!G121+Eu!G121+Nancy!G121+Roanne!G121</f>
        <v>14130.8685</v>
      </c>
      <c r="J121" s="1013">
        <f t="shared" si="13"/>
        <v>-0.43955482447007865</v>
      </c>
      <c r="K121" s="1014">
        <f t="shared" si="14"/>
        <v>4.9999999999999947E-2</v>
      </c>
      <c r="L121" s="805">
        <f>+Dijon!D121+Eu!D121+Nancy!D121+Roanne!D121</f>
        <v>28213.65</v>
      </c>
      <c r="M121" s="678">
        <f t="shared" si="6"/>
        <v>1</v>
      </c>
    </row>
    <row r="122" spans="1:13" s="2" customFormat="1" ht="11.25">
      <c r="A122" s="590" t="s">
        <v>143</v>
      </c>
      <c r="B122" s="805">
        <f>+Dijon!$G122</f>
        <v>1087</v>
      </c>
      <c r="C122" s="805">
        <f>+Eu!$G122</f>
        <v>10662.75</v>
      </c>
      <c r="D122" s="805">
        <f>+Nancy!$G122</f>
        <v>7025.55</v>
      </c>
      <c r="E122" s="805">
        <f>+Roanne!$G122</f>
        <v>5131.3500000000004</v>
      </c>
      <c r="F122" s="805">
        <f>+Dijon!E122+Eu!E122+Nancy!E122+Roanne!E122</f>
        <v>21392</v>
      </c>
      <c r="G122" s="619">
        <f>+Dijon!F122+Eu!F122+Nancy!F122+Roanne!F122</f>
        <v>22513</v>
      </c>
      <c r="H122" s="113">
        <v>7511.8748462499989</v>
      </c>
      <c r="I122" s="1077">
        <f>+Dijon!G122+Eu!G122+Nancy!G122+Roanne!G122</f>
        <v>23906.65</v>
      </c>
      <c r="J122" s="1013">
        <f t="shared" si="13"/>
        <v>5.2402767389678383E-2</v>
      </c>
      <c r="K122" s="1014">
        <f t="shared" si="14"/>
        <v>6.1904233109758872E-2</v>
      </c>
      <c r="L122" s="805">
        <f>+Dijon!D122+Eu!D122+Nancy!D122+Roanne!D122</f>
        <v>25724.489000000001</v>
      </c>
      <c r="M122" s="678">
        <f t="shared" si="6"/>
        <v>1</v>
      </c>
    </row>
    <row r="123" spans="1:13" s="2" customFormat="1" ht="11.25">
      <c r="A123" s="590" t="s">
        <v>144</v>
      </c>
      <c r="B123" s="805">
        <f>+Dijon!$G123</f>
        <v>1053.69</v>
      </c>
      <c r="C123" s="805">
        <f>+Eu!$G123</f>
        <v>567</v>
      </c>
      <c r="D123" s="805">
        <f>+Nancy!$G123</f>
        <v>50</v>
      </c>
      <c r="E123" s="805">
        <f>+Roanne!$G123</f>
        <v>1335.6000000000001</v>
      </c>
      <c r="F123" s="805">
        <f>+Dijon!E123+Eu!E123+Nancy!E123+Roanne!E123</f>
        <v>1272</v>
      </c>
      <c r="G123" s="619">
        <f>+Dijon!F123+Eu!F123+Nancy!F123+Roanne!F123</f>
        <v>2835</v>
      </c>
      <c r="H123" s="113">
        <v>0</v>
      </c>
      <c r="I123" s="1077">
        <f>+Dijon!G123+Eu!G123+Nancy!G123+Roanne!G123</f>
        <v>3006.29</v>
      </c>
      <c r="J123" s="1013">
        <f t="shared" si="13"/>
        <v>1.2287735849056605</v>
      </c>
      <c r="K123" s="1014">
        <f t="shared" si="14"/>
        <v>6.0419753086419739E-2</v>
      </c>
      <c r="L123" s="805">
        <f>+Dijon!D123+Eu!D123+Nancy!D123+Roanne!D123</f>
        <v>1510.16</v>
      </c>
      <c r="M123" s="678">
        <f t="shared" si="6"/>
        <v>1</v>
      </c>
    </row>
    <row r="124" spans="1:13" s="2" customFormat="1" ht="11.25">
      <c r="A124" s="590" t="s">
        <v>145</v>
      </c>
      <c r="B124" s="805">
        <f>+Dijon!$G124</f>
        <v>0</v>
      </c>
      <c r="C124" s="805">
        <f>+Eu!$G124</f>
        <v>0</v>
      </c>
      <c r="D124" s="805">
        <f>+Nancy!$G124</f>
        <v>0</v>
      </c>
      <c r="E124" s="805">
        <f>+Roanne!$G124</f>
        <v>0</v>
      </c>
      <c r="F124" s="805">
        <f>+Dijon!E124+Eu!E124+Nancy!E124+Roanne!E124</f>
        <v>0</v>
      </c>
      <c r="G124" s="619">
        <f>+Dijon!F124+Eu!F124+Nancy!F124+Roanne!F124</f>
        <v>348.75</v>
      </c>
      <c r="H124" s="113">
        <v>7.4643118996527784</v>
      </c>
      <c r="I124" s="1077">
        <f>+Dijon!G124+Eu!G124+Nancy!G124+Roanne!G124</f>
        <v>0</v>
      </c>
      <c r="J124" s="1013">
        <f t="shared" si="13"/>
        <v>0</v>
      </c>
      <c r="K124" s="1014">
        <f t="shared" si="14"/>
        <v>-1</v>
      </c>
      <c r="L124" s="805">
        <f>+Dijon!D124+Eu!D124+Nancy!D124+Roanne!D124</f>
        <v>0.37516960333333338</v>
      </c>
      <c r="M124" s="678">
        <f t="shared" si="6"/>
        <v>1</v>
      </c>
    </row>
    <row r="125" spans="1:13" s="2" customFormat="1" ht="11.25">
      <c r="A125" s="590" t="s">
        <v>286</v>
      </c>
      <c r="B125" s="805">
        <f>+Dijon!$G125</f>
        <v>0</v>
      </c>
      <c r="C125" s="805">
        <f>+Eu!$G125</f>
        <v>0</v>
      </c>
      <c r="D125" s="805">
        <f>+Nancy!$G125</f>
        <v>0</v>
      </c>
      <c r="E125" s="805">
        <f>+Roanne!$G125</f>
        <v>0</v>
      </c>
      <c r="F125" s="805">
        <f>+Dijon!E125+Eu!E125+Nancy!E125+Roanne!E125</f>
        <v>0</v>
      </c>
      <c r="G125" s="619">
        <f>+Dijon!F125+Eu!F125+Nancy!F125+Roanne!F125</f>
        <v>0</v>
      </c>
      <c r="H125" s="113">
        <v>0</v>
      </c>
      <c r="I125" s="1077">
        <f>+Dijon!G125+Eu!G125+Nancy!G125+Roanne!G125</f>
        <v>0</v>
      </c>
      <c r="J125" s="1013">
        <f t="shared" si="13"/>
        <v>0</v>
      </c>
      <c r="K125" s="1014">
        <f t="shared" si="14"/>
        <v>0</v>
      </c>
      <c r="L125" s="805">
        <f>+Dijon!D125+Eu!D125+Nancy!D125+Roanne!D125</f>
        <v>180.22812764958334</v>
      </c>
      <c r="M125" s="678">
        <f t="shared" si="6"/>
        <v>1</v>
      </c>
    </row>
    <row r="126" spans="1:13" s="2" customFormat="1" ht="11.25" hidden="1">
      <c r="A126" s="5" t="s">
        <v>361</v>
      </c>
      <c r="B126" s="160">
        <f>+Dijon!$G126</f>
        <v>0</v>
      </c>
      <c r="C126" s="113">
        <f>+Eu!$G126</f>
        <v>0</v>
      </c>
      <c r="D126" s="113">
        <f>+Nancy!$G126</f>
        <v>0</v>
      </c>
      <c r="E126" s="113">
        <f>+Roanne!$G126</f>
        <v>0</v>
      </c>
      <c r="F126" s="160">
        <f>+Dijon!E126+Eu!E126+Nancy!E126+Roanne!E126</f>
        <v>0</v>
      </c>
      <c r="G126" s="135">
        <f>+Dijon!F126+Eu!F126+Nancy!F126+Roanne!F126</f>
        <v>0</v>
      </c>
      <c r="H126" s="113">
        <v>0</v>
      </c>
      <c r="I126" s="161">
        <f>+Dijon!G126+Eu!G126+Nancy!G126+Roanne!G126</f>
        <v>0</v>
      </c>
      <c r="J126" s="149">
        <f t="shared" si="13"/>
        <v>0</v>
      </c>
      <c r="K126" s="271">
        <f t="shared" si="14"/>
        <v>0</v>
      </c>
      <c r="L126" s="18">
        <f>+Dijon!D126+Eu!D126+Nancy!D126+Roanne!D126</f>
        <v>0</v>
      </c>
      <c r="M126" s="678">
        <f t="shared" si="6"/>
        <v>0</v>
      </c>
    </row>
    <row r="127" spans="1:13" s="2" customFormat="1" ht="11.25">
      <c r="A127" s="590" t="s">
        <v>146</v>
      </c>
      <c r="B127" s="805">
        <f>+Dijon!$G127</f>
        <v>827.601751608889</v>
      </c>
      <c r="C127" s="805">
        <f>+Eu!$G127</f>
        <v>6997.6440000000002</v>
      </c>
      <c r="D127" s="805">
        <f>+Nancy!$G127</f>
        <v>1442.3344</v>
      </c>
      <c r="E127" s="805">
        <f>+Roanne!$G127</f>
        <v>3237.7568000000001</v>
      </c>
      <c r="F127" s="805">
        <f>+Dijon!E127+Eu!E127+Nancy!E127+Roanne!E127</f>
        <v>11766.7</v>
      </c>
      <c r="G127" s="619">
        <f>+Dijon!F127+Eu!F127+Nancy!F127+Roanne!F127</f>
        <v>12684.902634666667</v>
      </c>
      <c r="H127" s="113">
        <v>5633.3570156799988</v>
      </c>
      <c r="I127" s="1077">
        <f>+Dijon!G127+Eu!G127+Nancy!G127+Roanne!G127</f>
        <v>12505.33695160889</v>
      </c>
      <c r="J127" s="1013">
        <f t="shared" si="13"/>
        <v>7.8033997184143916E-2</v>
      </c>
      <c r="K127" s="1014">
        <f t="shared" si="14"/>
        <v>-1.4155858206356339E-2</v>
      </c>
      <c r="L127" s="805">
        <f>+Dijon!D127+Eu!D127+Nancy!D127+Roanne!D127</f>
        <v>12892.964</v>
      </c>
      <c r="M127" s="678">
        <f t="shared" si="6"/>
        <v>1</v>
      </c>
    </row>
    <row r="128" spans="1:13" s="2" customFormat="1" ht="11.25" hidden="1">
      <c r="A128" s="5"/>
      <c r="B128" s="160"/>
      <c r="C128" s="113"/>
      <c r="D128" s="113"/>
      <c r="E128" s="113"/>
      <c r="F128" s="160"/>
      <c r="G128" s="143"/>
      <c r="H128" s="113"/>
      <c r="I128" s="162"/>
      <c r="J128" s="149"/>
      <c r="K128" s="254"/>
      <c r="L128" s="18"/>
      <c r="M128" s="2">
        <f t="shared" si="6"/>
        <v>0</v>
      </c>
    </row>
    <row r="129" spans="1:13" s="2" customFormat="1" ht="11.25">
      <c r="A129" s="13" t="s">
        <v>147</v>
      </c>
      <c r="B129" s="803">
        <f t="shared" ref="B129:G129" si="15">SUM(B117:B128)</f>
        <v>7773.4290516088895</v>
      </c>
      <c r="C129" s="803">
        <f t="shared" si="15"/>
        <v>26016.510600000001</v>
      </c>
      <c r="D129" s="803">
        <f t="shared" si="15"/>
        <v>14366.466499999999</v>
      </c>
      <c r="E129" s="803">
        <f t="shared" si="15"/>
        <v>15532.053</v>
      </c>
      <c r="F129" s="803">
        <f t="shared" si="15"/>
        <v>67206.7</v>
      </c>
      <c r="G129" s="597">
        <f t="shared" si="15"/>
        <v>61671.015968</v>
      </c>
      <c r="H129" s="204">
        <v>26026.923673829653</v>
      </c>
      <c r="I129" s="803">
        <f>SUM(I117:I128)</f>
        <v>63688.459151608899</v>
      </c>
      <c r="J129" s="596">
        <f>+IF((F129)=0,,(G129-F129)/F129)</f>
        <v>-8.2368038186668852E-2</v>
      </c>
      <c r="K129" s="1015">
        <f>+IF((G129)=0,,(I129-G129)/G129)</f>
        <v>3.2712987648131409E-2</v>
      </c>
      <c r="L129" s="803">
        <f>SUM(L117:L128)</f>
        <v>78903.143297252915</v>
      </c>
      <c r="M129" s="678">
        <f t="shared" si="6"/>
        <v>1</v>
      </c>
    </row>
    <row r="130" spans="1:13" s="2" customFormat="1" ht="11.25" hidden="1">
      <c r="A130" s="5"/>
      <c r="B130" s="160"/>
      <c r="C130" s="113"/>
      <c r="D130" s="113"/>
      <c r="E130" s="113"/>
      <c r="F130" s="160"/>
      <c r="G130" s="143"/>
      <c r="H130" s="113"/>
      <c r="I130" s="162"/>
      <c r="J130" s="149"/>
      <c r="K130" s="254"/>
      <c r="L130" s="18"/>
      <c r="M130" s="2">
        <f t="shared" si="6"/>
        <v>0</v>
      </c>
    </row>
    <row r="131" spans="1:13" s="2" customFormat="1" ht="11.25">
      <c r="A131" s="590" t="s">
        <v>148</v>
      </c>
      <c r="B131" s="805">
        <f>+Dijon!$G131</f>
        <v>76577</v>
      </c>
      <c r="C131" s="805">
        <f>+Eu!$G131</f>
        <v>183462</v>
      </c>
      <c r="D131" s="805">
        <f>+Nancy!$G131</f>
        <v>104297</v>
      </c>
      <c r="E131" s="805">
        <f>+Roanne!$G131</f>
        <v>151834</v>
      </c>
      <c r="F131" s="805">
        <f>+Dijon!E131+Eu!E131+Nancy!E131+Roanne!E131</f>
        <v>494417.02</v>
      </c>
      <c r="G131" s="619">
        <f>+Dijon!F131+Eu!F131+Nancy!F131+Roanne!F131</f>
        <v>510166.87333333329</v>
      </c>
      <c r="H131" s="113">
        <v>243705.47779999999</v>
      </c>
      <c r="I131" s="1077">
        <f>+Dijon!G131+Eu!G131+Nancy!G131+Roanne!G131</f>
        <v>516170</v>
      </c>
      <c r="J131" s="1013">
        <f>+IF((F131)=0,,(G131-F131)/F131)</f>
        <v>3.1855402820342375E-2</v>
      </c>
      <c r="K131" s="1014">
        <f>+IF((G131)=0,,(I131-G131)/G131)</f>
        <v>1.1766986412589707E-2</v>
      </c>
      <c r="L131" s="805">
        <f>+Dijon!D131+Eu!D131+Nancy!D131+Roanne!D131</f>
        <v>537890</v>
      </c>
      <c r="M131" s="678">
        <f t="shared" si="6"/>
        <v>1</v>
      </c>
    </row>
    <row r="132" spans="1:13" s="2" customFormat="1" ht="11.25" hidden="1">
      <c r="A132" s="5" t="s">
        <v>149</v>
      </c>
      <c r="B132" s="160">
        <f>+Dijon!$G132</f>
        <v>0</v>
      </c>
      <c r="C132" s="113">
        <f>+Eu!$G132</f>
        <v>0</v>
      </c>
      <c r="D132" s="113">
        <f>+Nancy!$G132</f>
        <v>0</v>
      </c>
      <c r="E132" s="113">
        <f>+Roanne!$G132</f>
        <v>0</v>
      </c>
      <c r="F132" s="160">
        <f>+Dijon!E132+Eu!E132+Nancy!E132+Roanne!E132</f>
        <v>1292.5</v>
      </c>
      <c r="G132" s="135">
        <f>+Dijon!F132+Eu!F132+Nancy!F132+Roanne!F132</f>
        <v>-5683.3333333333339</v>
      </c>
      <c r="H132" s="113">
        <v>-1390.5</v>
      </c>
      <c r="I132" s="161">
        <f>+Dijon!G132+Eu!G132+Nancy!G132+Roanne!G132</f>
        <v>0</v>
      </c>
      <c r="J132" s="149">
        <f t="shared" ref="J132:J151" si="16">+IF((F132)=0,,(G132-F132)/F132)</f>
        <v>-5.3971631205673765</v>
      </c>
      <c r="K132" s="271">
        <f t="shared" ref="K132:K151" si="17">+IF((G132)=0,,(I132-G132)/G132)</f>
        <v>-1</v>
      </c>
      <c r="L132" s="18">
        <f>+Dijon!D132+Eu!D132+Nancy!D132+Roanne!D132</f>
        <v>0</v>
      </c>
      <c r="M132" s="2">
        <f t="shared" si="6"/>
        <v>0</v>
      </c>
    </row>
    <row r="133" spans="1:13" s="2" customFormat="1" ht="11.25">
      <c r="A133" s="590" t="s">
        <v>150</v>
      </c>
      <c r="B133" s="805">
        <f>+Dijon!$G133</f>
        <v>0</v>
      </c>
      <c r="C133" s="805">
        <f>+Eu!$G133</f>
        <v>0</v>
      </c>
      <c r="D133" s="805">
        <f>+Nancy!$G133</f>
        <v>0</v>
      </c>
      <c r="E133" s="805">
        <f>+Roanne!$G133</f>
        <v>0</v>
      </c>
      <c r="F133" s="805">
        <f>+Dijon!E133+Eu!E133+Nancy!E133+Roanne!E133</f>
        <v>0</v>
      </c>
      <c r="G133" s="619">
        <f>+Dijon!F133+Eu!F133+Nancy!F133+Roanne!F133</f>
        <v>300</v>
      </c>
      <c r="H133" s="113">
        <v>0</v>
      </c>
      <c r="I133" s="1077">
        <f>+Dijon!G133+Eu!G133+Nancy!G133+Roanne!G133</f>
        <v>0</v>
      </c>
      <c r="J133" s="1013">
        <f t="shared" si="16"/>
        <v>0</v>
      </c>
      <c r="K133" s="1014">
        <f t="shared" si="17"/>
        <v>-1</v>
      </c>
      <c r="L133" s="805">
        <f>+Dijon!D133+Eu!D133+Nancy!D133+Roanne!D133</f>
        <v>0</v>
      </c>
      <c r="M133" s="678">
        <f t="shared" si="6"/>
        <v>1</v>
      </c>
    </row>
    <row r="134" spans="1:13" s="2" customFormat="1" ht="11.25" hidden="1">
      <c r="A134" s="5" t="s">
        <v>151</v>
      </c>
      <c r="B134" s="160">
        <f>+Dijon!$G134</f>
        <v>0</v>
      </c>
      <c r="C134" s="113">
        <f>+Eu!$G134</f>
        <v>0</v>
      </c>
      <c r="D134" s="113">
        <f>+Nancy!$G134</f>
        <v>0</v>
      </c>
      <c r="E134" s="113">
        <f>+Roanne!$G134</f>
        <v>0</v>
      </c>
      <c r="F134" s="160">
        <f>+Dijon!E134+Eu!E134+Nancy!E134+Roanne!E134</f>
        <v>-11671.819999999998</v>
      </c>
      <c r="G134" s="135">
        <f>+Dijon!F134+Eu!F134+Nancy!F134+Roanne!F134</f>
        <v>0</v>
      </c>
      <c r="H134" s="113">
        <v>0</v>
      </c>
      <c r="I134" s="161">
        <f>+Dijon!G134+Eu!G134+Nancy!G134+Roanne!G134</f>
        <v>0</v>
      </c>
      <c r="J134" s="149">
        <f t="shared" si="16"/>
        <v>-1</v>
      </c>
      <c r="K134" s="271">
        <f t="shared" si="17"/>
        <v>0</v>
      </c>
      <c r="L134" s="18">
        <f>+Dijon!D134+Eu!D134+Nancy!D134+Roanne!D134</f>
        <v>0</v>
      </c>
      <c r="M134" s="2">
        <f t="shared" si="6"/>
        <v>0</v>
      </c>
    </row>
    <row r="135" spans="1:13" s="2" customFormat="1" ht="11.25">
      <c r="A135" s="590" t="s">
        <v>114</v>
      </c>
      <c r="B135" s="805">
        <f>+Dijon!$G135</f>
        <v>0</v>
      </c>
      <c r="C135" s="805">
        <f>+Eu!$G135</f>
        <v>0</v>
      </c>
      <c r="D135" s="805">
        <f>+Nancy!$G135</f>
        <v>0</v>
      </c>
      <c r="E135" s="805">
        <f>+Roanne!$G135</f>
        <v>0</v>
      </c>
      <c r="F135" s="805">
        <f>+Dijon!E135+Eu!E135+Nancy!E135+Roanne!E135</f>
        <v>0</v>
      </c>
      <c r="G135" s="619">
        <f>+Dijon!F135+Eu!F135+Nancy!F135+Roanne!F135</f>
        <v>0</v>
      </c>
      <c r="H135" s="113">
        <v>4525.9683199999999</v>
      </c>
      <c r="I135" s="1077">
        <f>+Dijon!G135+Eu!G135+Nancy!G135+Roanne!G135</f>
        <v>0</v>
      </c>
      <c r="J135" s="1013">
        <f t="shared" si="16"/>
        <v>0</v>
      </c>
      <c r="K135" s="1014">
        <f t="shared" si="17"/>
        <v>0</v>
      </c>
      <c r="L135" s="805">
        <f>+Dijon!D135+Eu!D135+Nancy!D135+Roanne!D135</f>
        <v>1092.7559294168752</v>
      </c>
      <c r="M135" s="678">
        <f t="shared" si="6"/>
        <v>1</v>
      </c>
    </row>
    <row r="136" spans="1:13" s="2" customFormat="1" ht="11.25" hidden="1">
      <c r="A136" s="5" t="s">
        <v>338</v>
      </c>
      <c r="B136" s="160">
        <f>+Dijon!$G136</f>
        <v>0</v>
      </c>
      <c r="C136" s="113">
        <f>+Eu!$G136</f>
        <v>0</v>
      </c>
      <c r="D136" s="113">
        <f>+Nancy!$G136</f>
        <v>0</v>
      </c>
      <c r="E136" s="113">
        <f>+Roanne!$G136</f>
        <v>0</v>
      </c>
      <c r="F136" s="160">
        <f>+Dijon!E136+Eu!E136+Nancy!E136+Roanne!E136</f>
        <v>0</v>
      </c>
      <c r="G136" s="135">
        <f>+Dijon!F136+Eu!F136+Nancy!F136+Roanne!F136</f>
        <v>0</v>
      </c>
      <c r="H136" s="113">
        <v>0</v>
      </c>
      <c r="I136" s="161">
        <f>+Dijon!G136+Eu!G136+Nancy!G136+Roanne!G136</f>
        <v>0</v>
      </c>
      <c r="J136" s="149">
        <f t="shared" si="16"/>
        <v>0</v>
      </c>
      <c r="K136" s="271">
        <f t="shared" si="17"/>
        <v>0</v>
      </c>
      <c r="L136" s="18">
        <f>+Dijon!D136+Eu!D136+Nancy!D136+Roanne!D136</f>
        <v>0</v>
      </c>
      <c r="M136" s="2">
        <f t="shared" ref="M136:M199" si="18">IF(SUM(B136:L136)&gt;0,1,0)</f>
        <v>0</v>
      </c>
    </row>
    <row r="137" spans="1:13" s="2" customFormat="1" ht="11.25" hidden="1">
      <c r="A137" s="5" t="s">
        <v>87</v>
      </c>
      <c r="B137" s="160">
        <f>+Dijon!$G137</f>
        <v>0</v>
      </c>
      <c r="C137" s="113">
        <f>+Eu!$G137</f>
        <v>0</v>
      </c>
      <c r="D137" s="113">
        <f>+Nancy!$G137</f>
        <v>0</v>
      </c>
      <c r="E137" s="113">
        <f>+Roanne!$G137</f>
        <v>0</v>
      </c>
      <c r="F137" s="160">
        <f>+Dijon!E137+Eu!E137+Nancy!E137+Roanne!E137</f>
        <v>0</v>
      </c>
      <c r="G137" s="135">
        <f>+Dijon!F137+Eu!F137+Nancy!F137+Roanne!F137</f>
        <v>0</v>
      </c>
      <c r="H137" s="113">
        <v>0</v>
      </c>
      <c r="I137" s="161">
        <f>+Dijon!G137+Eu!G137+Nancy!G137+Roanne!G137</f>
        <v>0</v>
      </c>
      <c r="J137" s="149">
        <f t="shared" si="16"/>
        <v>0</v>
      </c>
      <c r="K137" s="271">
        <f t="shared" si="17"/>
        <v>0</v>
      </c>
      <c r="L137" s="18">
        <f>+Dijon!D137+Eu!D137+Nancy!D137+Roanne!D137</f>
        <v>0</v>
      </c>
      <c r="M137" s="2">
        <f t="shared" si="18"/>
        <v>0</v>
      </c>
    </row>
    <row r="138" spans="1:13" s="2" customFormat="1" ht="11.25" hidden="1">
      <c r="A138" s="5" t="s">
        <v>152</v>
      </c>
      <c r="B138" s="160">
        <f>+Dijon!$G138</f>
        <v>0</v>
      </c>
      <c r="C138" s="113">
        <f>+Eu!$G138</f>
        <v>0</v>
      </c>
      <c r="D138" s="113">
        <f>+Nancy!$G138</f>
        <v>0</v>
      </c>
      <c r="E138" s="113">
        <f>+Roanne!$G138</f>
        <v>0</v>
      </c>
      <c r="F138" s="160">
        <f>+Dijon!E138+Eu!E138+Nancy!E138+Roanne!E138</f>
        <v>-4242.05</v>
      </c>
      <c r="G138" s="135">
        <f>+Dijon!F138+Eu!F138+Nancy!F138+Roanne!F138</f>
        <v>0</v>
      </c>
      <c r="H138" s="113">
        <v>0</v>
      </c>
      <c r="I138" s="161">
        <f>+Dijon!G138+Eu!G138+Nancy!G138+Roanne!G138</f>
        <v>0</v>
      </c>
      <c r="J138" s="149">
        <f t="shared" si="16"/>
        <v>-1</v>
      </c>
      <c r="K138" s="271">
        <f t="shared" si="17"/>
        <v>0</v>
      </c>
      <c r="L138" s="18">
        <f>+Dijon!D138+Eu!D138+Nancy!D138+Roanne!D138</f>
        <v>0</v>
      </c>
      <c r="M138" s="2">
        <f t="shared" si="18"/>
        <v>0</v>
      </c>
    </row>
    <row r="139" spans="1:13" s="2" customFormat="1" ht="11.25" hidden="1">
      <c r="A139" s="5" t="s">
        <v>153</v>
      </c>
      <c r="B139" s="160">
        <f>+Dijon!$G139</f>
        <v>0</v>
      </c>
      <c r="C139" s="113">
        <f>+Eu!$G139</f>
        <v>0</v>
      </c>
      <c r="D139" s="113">
        <f>+Nancy!$G139</f>
        <v>0</v>
      </c>
      <c r="E139" s="113">
        <f>+Roanne!$G139</f>
        <v>0</v>
      </c>
      <c r="F139" s="160">
        <f>+Dijon!E139+Eu!E139+Nancy!E139+Roanne!E139</f>
        <v>0</v>
      </c>
      <c r="G139" s="135">
        <f>+Dijon!F139+Eu!F139+Nancy!F139+Roanne!F139</f>
        <v>0</v>
      </c>
      <c r="H139" s="113">
        <v>0</v>
      </c>
      <c r="I139" s="161">
        <f>+Dijon!G139+Eu!G139+Nancy!G139+Roanne!G139</f>
        <v>0</v>
      </c>
      <c r="J139" s="149">
        <f t="shared" si="16"/>
        <v>0</v>
      </c>
      <c r="K139" s="271">
        <f t="shared" si="17"/>
        <v>0</v>
      </c>
      <c r="L139" s="18">
        <f>+Dijon!D139+Eu!D139+Nancy!D139+Roanne!D139</f>
        <v>0</v>
      </c>
      <c r="M139" s="2">
        <f t="shared" si="18"/>
        <v>0</v>
      </c>
    </row>
    <row r="140" spans="1:13" s="2" customFormat="1" ht="11.25">
      <c r="A140" s="590" t="s">
        <v>154</v>
      </c>
      <c r="B140" s="805">
        <f>+Dijon!$G140</f>
        <v>0</v>
      </c>
      <c r="C140" s="805">
        <f>+Eu!$G140</f>
        <v>0</v>
      </c>
      <c r="D140" s="805">
        <f>+Nancy!$G140</f>
        <v>0</v>
      </c>
      <c r="E140" s="805">
        <f>+Roanne!$G140</f>
        <v>0</v>
      </c>
      <c r="F140" s="805">
        <f>+Dijon!E140+Eu!E140+Nancy!E140+Roanne!E140</f>
        <v>2645.93</v>
      </c>
      <c r="G140" s="619">
        <f>+Dijon!F140+Eu!F140+Nancy!F140+Roanne!F140</f>
        <v>9328.0666666666675</v>
      </c>
      <c r="H140" s="113">
        <v>22.852336341875002</v>
      </c>
      <c r="I140" s="1077">
        <f>+Dijon!G140+Eu!G140+Nancy!G140+Roanne!G140</f>
        <v>0</v>
      </c>
      <c r="J140" s="1013">
        <f t="shared" si="16"/>
        <v>2.5254397004707863</v>
      </c>
      <c r="K140" s="1014">
        <f t="shared" si="17"/>
        <v>-1</v>
      </c>
      <c r="L140" s="805">
        <f>+Dijon!D140+Eu!D140+Nancy!D140+Roanne!D140</f>
        <v>0</v>
      </c>
      <c r="M140" s="678">
        <f t="shared" si="18"/>
        <v>1</v>
      </c>
    </row>
    <row r="141" spans="1:13" s="2" customFormat="1" ht="11.25">
      <c r="A141" s="590" t="s">
        <v>155</v>
      </c>
      <c r="B141" s="805">
        <f>+Dijon!$G141</f>
        <v>22725.483830751957</v>
      </c>
      <c r="C141" s="805">
        <f>+Eu!$G141</f>
        <v>38969.821086263939</v>
      </c>
      <c r="D141" s="805">
        <f>+Nancy!$G141</f>
        <v>29624.861365851888</v>
      </c>
      <c r="E141" s="805">
        <f>+Roanne!$G141</f>
        <v>40412.573506832348</v>
      </c>
      <c r="F141" s="805">
        <f>+Dijon!E141+Eu!E141+Nancy!E141+Roanne!E141</f>
        <v>118960.79000000001</v>
      </c>
      <c r="G141" s="619">
        <f>+Dijon!F141+Eu!F141+Nancy!F141+Roanne!F141</f>
        <v>128770.98833333334</v>
      </c>
      <c r="H141" s="113">
        <v>63084.527000482602</v>
      </c>
      <c r="I141" s="1077">
        <f>+Dijon!G141+Eu!G141+Nancy!G141+Roanne!G141</f>
        <v>131732.73978970014</v>
      </c>
      <c r="J141" s="1013">
        <f t="shared" si="16"/>
        <v>8.2465813595667389E-2</v>
      </c>
      <c r="K141" s="1014">
        <f t="shared" si="17"/>
        <v>2.3000145410859769E-2</v>
      </c>
      <c r="L141" s="805">
        <f>+Dijon!D141+Eu!D141+Nancy!D141+Roanne!D141</f>
        <v>131553.96877798854</v>
      </c>
      <c r="M141" s="678">
        <f t="shared" si="18"/>
        <v>1</v>
      </c>
    </row>
    <row r="142" spans="1:13" s="2" customFormat="1" ht="11.25">
      <c r="A142" s="590" t="s">
        <v>156</v>
      </c>
      <c r="B142" s="805">
        <f>+Dijon!$G142</f>
        <v>2078.9722249809338</v>
      </c>
      <c r="C142" s="805">
        <f>+Eu!$G142</f>
        <v>6553.1692420595009</v>
      </c>
      <c r="D142" s="805">
        <f>+Nancy!$G142</f>
        <v>2838.0462152001578</v>
      </c>
      <c r="E142" s="805">
        <f>+Roanne!$G142</f>
        <v>4831.8108901357209</v>
      </c>
      <c r="F142" s="805">
        <f>+Dijon!E142+Eu!E142+Nancy!E142+Roanne!E142</f>
        <v>13751.140000000001</v>
      </c>
      <c r="G142" s="619">
        <f>+Dijon!F142+Eu!F142+Nancy!F142+Roanne!F142</f>
        <v>15948.843333333334</v>
      </c>
      <c r="H142" s="113">
        <v>6460.3180708115478</v>
      </c>
      <c r="I142" s="1077">
        <f>+Dijon!G142+Eu!G142+Nancy!G142+Roanne!G142</f>
        <v>16301.998572376313</v>
      </c>
      <c r="J142" s="1013">
        <f t="shared" si="16"/>
        <v>0.15981971918934232</v>
      </c>
      <c r="K142" s="1014">
        <f t="shared" si="17"/>
        <v>2.2143000069784292E-2</v>
      </c>
      <c r="L142" s="805">
        <f>+Dijon!D142+Eu!D142+Nancy!D142+Roanne!D142</f>
        <v>15128.322380249301</v>
      </c>
      <c r="M142" s="678">
        <f t="shared" si="18"/>
        <v>1</v>
      </c>
    </row>
    <row r="143" spans="1:13" s="2" customFormat="1" ht="11.25">
      <c r="A143" s="590" t="s">
        <v>157</v>
      </c>
      <c r="B143" s="805">
        <f>+Dijon!$G143</f>
        <v>4741.8426622793886</v>
      </c>
      <c r="C143" s="805">
        <f>+Eu!$G143</f>
        <v>10455.460185729396</v>
      </c>
      <c r="D143" s="805">
        <f>+Nancy!$G143</f>
        <v>6701.3881379838085</v>
      </c>
      <c r="E143" s="805">
        <f>+Roanne!$G143</f>
        <v>10073.117903565088</v>
      </c>
      <c r="F143" s="805">
        <f>+Dijon!E143+Eu!E143+Nancy!E143+Roanne!E143</f>
        <v>29299.61</v>
      </c>
      <c r="G143" s="619">
        <f>+Dijon!F143+Eu!F143+Nancy!F143+Roanne!F143</f>
        <v>31285.798333333332</v>
      </c>
      <c r="H143" s="113">
        <v>14254.353489938971</v>
      </c>
      <c r="I143" s="1077">
        <f>+Dijon!G143+Eu!G143+Nancy!G143+Roanne!G143</f>
        <v>31971.80888955768</v>
      </c>
      <c r="J143" s="1013">
        <f t="shared" si="16"/>
        <v>6.7788900034277982E-2</v>
      </c>
      <c r="K143" s="1014">
        <f t="shared" si="17"/>
        <v>2.1927219146376735E-2</v>
      </c>
      <c r="L143" s="805">
        <f>+Dijon!D143+Eu!D143+Nancy!D143+Roanne!D143</f>
        <v>32291.003939082948</v>
      </c>
      <c r="M143" s="678">
        <f t="shared" si="18"/>
        <v>1</v>
      </c>
    </row>
    <row r="144" spans="1:13" s="2" customFormat="1" ht="11.25">
      <c r="A144" s="590" t="s">
        <v>326</v>
      </c>
      <c r="B144" s="805">
        <f>+Dijon!$G144</f>
        <v>0</v>
      </c>
      <c r="C144" s="805">
        <f>+Eu!$G144</f>
        <v>0</v>
      </c>
      <c r="D144" s="805">
        <f>+Nancy!$G144</f>
        <v>0</v>
      </c>
      <c r="E144" s="805">
        <f>+Roanne!$G144</f>
        <v>0</v>
      </c>
      <c r="F144" s="805">
        <f>+Dijon!E144+Eu!E144+Nancy!E144+Roanne!E144</f>
        <v>270.33</v>
      </c>
      <c r="G144" s="619">
        <f>+Dijon!F144+Eu!F144+Nancy!F144+Roanne!F144</f>
        <v>0</v>
      </c>
      <c r="H144" s="113">
        <v>0</v>
      </c>
      <c r="I144" s="1077">
        <f>+Dijon!G144+Eu!G144+Nancy!G144+Roanne!G144</f>
        <v>0</v>
      </c>
      <c r="J144" s="1013">
        <f t="shared" si="16"/>
        <v>-1</v>
      </c>
      <c r="K144" s="1014">
        <f t="shared" si="17"/>
        <v>0</v>
      </c>
      <c r="L144" s="805">
        <f>+Dijon!D144+Eu!D144+Nancy!D144+Roanne!D144</f>
        <v>278.76778720979718</v>
      </c>
      <c r="M144" s="678">
        <f t="shared" si="18"/>
        <v>1</v>
      </c>
    </row>
    <row r="145" spans="1:13" s="2" customFormat="1" ht="11.25">
      <c r="A145" s="590" t="s">
        <v>158</v>
      </c>
      <c r="B145" s="805">
        <f>+Dijon!$G145</f>
        <v>3265.4111520197216</v>
      </c>
      <c r="C145" s="805">
        <f>+Eu!$G145</f>
        <v>7723.7065809645837</v>
      </c>
      <c r="D145" s="805">
        <f>+Nancy!$G145</f>
        <v>4485.0017436453381</v>
      </c>
      <c r="E145" s="805">
        <f>+Roanne!$G145</f>
        <v>6544.6370308184878</v>
      </c>
      <c r="F145" s="805">
        <f>+Dijon!E145+Eu!E145+Nancy!E145+Roanne!E145</f>
        <v>19638.86</v>
      </c>
      <c r="G145" s="619">
        <f>+Dijon!F145+Eu!F145+Nancy!F145+Roanne!F145</f>
        <v>21548.191666666666</v>
      </c>
      <c r="H145" s="113">
        <v>9760.097979903896</v>
      </c>
      <c r="I145" s="1077">
        <f>+Dijon!G145+Eu!G145+Nancy!G145+Roanne!G145</f>
        <v>22018.756507448132</v>
      </c>
      <c r="J145" s="1013">
        <f t="shared" si="16"/>
        <v>9.7222123212175507E-2</v>
      </c>
      <c r="K145" s="1014">
        <f t="shared" si="17"/>
        <v>2.1837787971293772E-2</v>
      </c>
      <c r="L145" s="805">
        <f>+Dijon!D145+Eu!D145+Nancy!D145+Roanne!D145</f>
        <v>21367.615767563559</v>
      </c>
      <c r="M145" s="678">
        <f t="shared" si="18"/>
        <v>1</v>
      </c>
    </row>
    <row r="146" spans="1:13" s="2" customFormat="1" ht="11.25" hidden="1">
      <c r="A146" s="5" t="s">
        <v>159</v>
      </c>
      <c r="B146" s="160">
        <f>+Dijon!$G146</f>
        <v>0</v>
      </c>
      <c r="C146" s="113">
        <f>+Eu!$G146</f>
        <v>0</v>
      </c>
      <c r="D146" s="113">
        <f>+Nancy!$G146</f>
        <v>0</v>
      </c>
      <c r="E146" s="113">
        <f>+Roanne!$G146</f>
        <v>0</v>
      </c>
      <c r="F146" s="160">
        <f>+Dijon!E146+Eu!E146+Nancy!E146+Roanne!E146</f>
        <v>0</v>
      </c>
      <c r="G146" s="135">
        <f>+Dijon!F146+Eu!F146+Nancy!F146+Roanne!F146</f>
        <v>0</v>
      </c>
      <c r="H146" s="113">
        <v>0</v>
      </c>
      <c r="I146" s="161">
        <f>+Dijon!G146+Eu!G146+Nancy!G146+Roanne!G146</f>
        <v>0</v>
      </c>
      <c r="J146" s="149">
        <f t="shared" si="16"/>
        <v>0</v>
      </c>
      <c r="K146" s="271">
        <f t="shared" si="17"/>
        <v>0</v>
      </c>
      <c r="L146" s="18">
        <f>+Dijon!D146+Eu!D146+Nancy!D146+Roanne!D146</f>
        <v>0</v>
      </c>
      <c r="M146" s="2">
        <f t="shared" si="18"/>
        <v>0</v>
      </c>
    </row>
    <row r="147" spans="1:13" s="2" customFormat="1" ht="11.25">
      <c r="A147" s="590" t="s">
        <v>160</v>
      </c>
      <c r="B147" s="805">
        <f>+Dijon!$G147</f>
        <v>1183.0167999999999</v>
      </c>
      <c r="C147" s="805">
        <f>+Eu!$G147</f>
        <v>159.91093333333333</v>
      </c>
      <c r="D147" s="805">
        <f>+Nancy!$G147</f>
        <v>281.68440000000004</v>
      </c>
      <c r="E147" s="805">
        <f>+Roanne!$G147</f>
        <v>-1162.0597333333335</v>
      </c>
      <c r="F147" s="805">
        <f>+Dijon!E147+Eu!E147+Nancy!E147+Roanne!E147</f>
        <v>681.56</v>
      </c>
      <c r="G147" s="619">
        <f>+Dijon!F147+Eu!F147+Nancy!F147+Roanne!F147</f>
        <v>161.93999999999983</v>
      </c>
      <c r="H147" s="113">
        <v>733.89561699500007</v>
      </c>
      <c r="I147" s="1077">
        <f>+Dijon!G147+Eu!G147+Nancy!G147+Roanne!G147</f>
        <v>462.55239999999981</v>
      </c>
      <c r="J147" s="1013">
        <f t="shared" si="16"/>
        <v>-0.76239802805328971</v>
      </c>
      <c r="K147" s="1014">
        <f t="shared" si="17"/>
        <v>1.8563196245523053</v>
      </c>
      <c r="L147" s="805">
        <f>+Dijon!D147+Eu!D147+Nancy!D147+Roanne!D147</f>
        <v>-363.71879583500004</v>
      </c>
      <c r="M147" s="678">
        <f t="shared" si="18"/>
        <v>1</v>
      </c>
    </row>
    <row r="148" spans="1:13" s="2" customFormat="1" ht="11.25">
      <c r="A148" s="590" t="s">
        <v>161</v>
      </c>
      <c r="B148" s="805">
        <f>+Dijon!$G148</f>
        <v>0</v>
      </c>
      <c r="C148" s="805">
        <f>+Eu!$G148</f>
        <v>0</v>
      </c>
      <c r="D148" s="805">
        <f>+Nancy!$G148</f>
        <v>0</v>
      </c>
      <c r="E148" s="805">
        <f>+Roanne!$G148</f>
        <v>12.002933333333335</v>
      </c>
      <c r="F148" s="805">
        <f>+Dijon!E148+Eu!E148+Nancy!E148+Roanne!E148</f>
        <v>156.85</v>
      </c>
      <c r="G148" s="619">
        <f>+Dijon!F148+Eu!F148+Nancy!F148+Roanne!F148</f>
        <v>11.653333333333334</v>
      </c>
      <c r="H148" s="113">
        <v>125.23924500000001</v>
      </c>
      <c r="I148" s="1077">
        <f>+Dijon!G148+Eu!G148+Nancy!G148+Roanne!G148</f>
        <v>12.002933333333335</v>
      </c>
      <c r="J148" s="1013">
        <f t="shared" si="16"/>
        <v>-0.9257039634470301</v>
      </c>
      <c r="K148" s="1014">
        <f t="shared" si="17"/>
        <v>3.0000000000000047E-2</v>
      </c>
      <c r="L148" s="805">
        <f>+Dijon!D148+Eu!D148+Nancy!D148+Roanne!D148</f>
        <v>169.50262510875001</v>
      </c>
      <c r="M148" s="678">
        <f t="shared" si="18"/>
        <v>1</v>
      </c>
    </row>
    <row r="149" spans="1:13" s="2" customFormat="1" ht="11.25">
      <c r="A149" s="590" t="s">
        <v>162</v>
      </c>
      <c r="B149" s="805">
        <f>+Dijon!$G149</f>
        <v>0</v>
      </c>
      <c r="C149" s="805">
        <f>+Eu!$G149</f>
        <v>0</v>
      </c>
      <c r="D149" s="805">
        <f>+Nancy!$G149</f>
        <v>76.700666666666677</v>
      </c>
      <c r="E149" s="805">
        <f>+Roanne!$G149</f>
        <v>0</v>
      </c>
      <c r="F149" s="805">
        <f>+Dijon!E149+Eu!E149+Nancy!E149+Roanne!E149</f>
        <v>201.29000000000002</v>
      </c>
      <c r="G149" s="619">
        <f>+Dijon!F149+Eu!F149+Nancy!F149+Roanne!F149</f>
        <v>74.466666666666669</v>
      </c>
      <c r="H149" s="113">
        <v>108.72129722500003</v>
      </c>
      <c r="I149" s="1077">
        <f>+Dijon!G149+Eu!G149+Nancy!G149+Roanne!G149</f>
        <v>76.700666666666677</v>
      </c>
      <c r="J149" s="1013">
        <f t="shared" si="16"/>
        <v>-0.63005282593935785</v>
      </c>
      <c r="K149" s="1014">
        <f t="shared" si="17"/>
        <v>3.0000000000000117E-2</v>
      </c>
      <c r="L149" s="805">
        <f>+Dijon!D149+Eu!D149+Nancy!D149+Roanne!D149</f>
        <v>402.86441993541666</v>
      </c>
      <c r="M149" s="678">
        <f t="shared" si="18"/>
        <v>1</v>
      </c>
    </row>
    <row r="150" spans="1:13" s="2" customFormat="1" ht="11.25">
      <c r="A150" s="590" t="s">
        <v>163</v>
      </c>
      <c r="B150" s="805">
        <f>+Dijon!$G150</f>
        <v>0</v>
      </c>
      <c r="C150" s="805">
        <f>+Eu!$G150</f>
        <v>982.34533333333343</v>
      </c>
      <c r="D150" s="805">
        <f>+Nancy!$G150</f>
        <v>454.05146666666673</v>
      </c>
      <c r="E150" s="805">
        <f>+Roanne!$G150</f>
        <v>620.74666666666667</v>
      </c>
      <c r="F150" s="805">
        <f>+Dijon!E150+Eu!E150+Nancy!E150+Roanne!E150</f>
        <v>1475.47</v>
      </c>
      <c r="G150" s="619">
        <f>+Dijon!F150+Eu!F150+Nancy!F150+Roanne!F150</f>
        <v>1997.2266666666665</v>
      </c>
      <c r="H150" s="113">
        <v>1104.1568500387289</v>
      </c>
      <c r="I150" s="1077">
        <f>+Dijon!G150+Eu!G150+Nancy!G150+Roanne!G150</f>
        <v>2057.1434666666669</v>
      </c>
      <c r="J150" s="1013">
        <f t="shared" si="16"/>
        <v>0.35362065420961891</v>
      </c>
      <c r="K150" s="1014">
        <f t="shared" si="17"/>
        <v>3.0000000000000214E-2</v>
      </c>
      <c r="L150" s="805">
        <f>+Dijon!D150+Eu!D150+Nancy!D150+Roanne!D150</f>
        <v>2255.8748737646606</v>
      </c>
      <c r="M150" s="678">
        <f t="shared" si="18"/>
        <v>1</v>
      </c>
    </row>
    <row r="151" spans="1:13" s="2" customFormat="1" ht="11.25">
      <c r="A151" s="590" t="s">
        <v>58</v>
      </c>
      <c r="B151" s="805">
        <f>+Dijon!$G152</f>
        <v>0</v>
      </c>
      <c r="C151" s="805">
        <f>+Eu!$G152</f>
        <v>0</v>
      </c>
      <c r="D151" s="805">
        <f>+Nancy!$G152</f>
        <v>0</v>
      </c>
      <c r="E151" s="805">
        <f>+Roanne!$G152</f>
        <v>0</v>
      </c>
      <c r="F151" s="805">
        <f>+Dijon!E152+Eu!E152+Nancy!E152+Roanne!E152</f>
        <v>45297.236879999997</v>
      </c>
      <c r="G151" s="619">
        <f>+Dijon!F152+Eu!F152+Nancy!F152+Roanne!F152</f>
        <v>0</v>
      </c>
      <c r="H151" s="113">
        <v>0</v>
      </c>
      <c r="I151" s="1077">
        <f>+Dijon!G152+Eu!G152+Nancy!G152+Roanne!G152</f>
        <v>0</v>
      </c>
      <c r="J151" s="1013">
        <f t="shared" si="16"/>
        <v>-1</v>
      </c>
      <c r="K151" s="1014">
        <f t="shared" si="17"/>
        <v>0</v>
      </c>
      <c r="L151" s="805">
        <f>+Dijon!D152+Eu!D152+Nancy!D152+Roanne!D152</f>
        <v>6085.3275945000005</v>
      </c>
      <c r="M151" s="678">
        <f t="shared" si="18"/>
        <v>1</v>
      </c>
    </row>
    <row r="152" spans="1:13" s="2" customFormat="1" ht="11.25" hidden="1">
      <c r="A152" s="5"/>
      <c r="B152" s="160"/>
      <c r="C152" s="113"/>
      <c r="D152" s="113"/>
      <c r="E152" s="113"/>
      <c r="F152" s="160"/>
      <c r="G152" s="143"/>
      <c r="H152" s="113"/>
      <c r="I152" s="162"/>
      <c r="J152" s="149"/>
      <c r="K152" s="254"/>
      <c r="L152" s="18"/>
      <c r="M152" s="2">
        <f t="shared" si="18"/>
        <v>0</v>
      </c>
    </row>
    <row r="153" spans="1:13" s="2" customFormat="1" ht="11.25">
      <c r="A153" s="13" t="s">
        <v>164</v>
      </c>
      <c r="B153" s="803">
        <f t="shared" ref="B153:G153" si="19">SUM(B130:B152)</f>
        <v>110571.72667003199</v>
      </c>
      <c r="C153" s="803">
        <f t="shared" si="19"/>
        <v>248306.41336168407</v>
      </c>
      <c r="D153" s="803">
        <f t="shared" si="19"/>
        <v>148758.73399601452</v>
      </c>
      <c r="E153" s="803">
        <f t="shared" si="19"/>
        <v>213166.82919801836</v>
      </c>
      <c r="F153" s="803">
        <f t="shared" si="19"/>
        <v>712174.71687999996</v>
      </c>
      <c r="G153" s="597">
        <f t="shared" si="19"/>
        <v>713910.71499999997</v>
      </c>
      <c r="H153" s="204">
        <v>342495.1080067376</v>
      </c>
      <c r="I153" s="803">
        <f>SUM(I130:I152)</f>
        <v>720803.70322574896</v>
      </c>
      <c r="J153" s="596">
        <f>+IF((F153)=0,,(G153-F153)/F153)</f>
        <v>2.4376014464615094E-3</v>
      </c>
      <c r="K153" s="1015">
        <f>+IF((G153)=0,,(I153-G153)/G153)</f>
        <v>9.655252513963172E-3</v>
      </c>
      <c r="L153" s="803">
        <f>SUM(L130:L152)</f>
        <v>748152.28529898485</v>
      </c>
      <c r="M153" s="678">
        <f t="shared" si="18"/>
        <v>1</v>
      </c>
    </row>
    <row r="154" spans="1:13" s="2" customFormat="1" ht="11.25" hidden="1">
      <c r="A154" s="5"/>
      <c r="B154" s="160"/>
      <c r="C154" s="113"/>
      <c r="D154" s="113"/>
      <c r="E154" s="113"/>
      <c r="F154" s="160"/>
      <c r="G154" s="143"/>
      <c r="H154" s="113"/>
      <c r="I154" s="162"/>
      <c r="J154" s="149"/>
      <c r="K154" s="254"/>
      <c r="L154" s="18"/>
      <c r="M154" s="2">
        <f t="shared" si="18"/>
        <v>0</v>
      </c>
    </row>
    <row r="155" spans="1:13" s="2" customFormat="1" ht="11.25">
      <c r="A155" s="590" t="s">
        <v>227</v>
      </c>
      <c r="B155" s="805">
        <f>+Dijon!$G156</f>
        <v>8150.4882801000012</v>
      </c>
      <c r="C155" s="805">
        <f>+Eu!$G156</f>
        <v>7107.5440639800008</v>
      </c>
      <c r="D155" s="805">
        <f>+Nancy!$G156</f>
        <v>11327.226745500002</v>
      </c>
      <c r="E155" s="805">
        <f>+Roanne!$G156</f>
        <v>15018.06267558</v>
      </c>
      <c r="F155" s="805">
        <f>+Dijon!E156+Eu!E156+Nancy!E156+Roanne!E156</f>
        <v>15690.57</v>
      </c>
      <c r="G155" s="619">
        <f>+Dijon!F156+Eu!F156+Nancy!F156+Roanne!F156</f>
        <v>24659.883333333331</v>
      </c>
      <c r="H155" s="113">
        <v>44569.634184999995</v>
      </c>
      <c r="I155" s="1077">
        <f>+Dijon!G156+Eu!G156+Nancy!G156+Roanne!G156</f>
        <v>41603.321765159999</v>
      </c>
      <c r="J155" s="1013">
        <f>+IF((F155)=0,,(G155-F155)/F155)</f>
        <v>0.57163718930117469</v>
      </c>
      <c r="K155" s="1014">
        <f>+IF((G155)=0,,(I155-G155)/G155)</f>
        <v>0.6870851010444089</v>
      </c>
      <c r="L155" s="805">
        <f>+Dijon!D156+Eu!D156+Nancy!D156+Roanne!D156</f>
        <v>42389.678066784021</v>
      </c>
      <c r="M155" s="678">
        <f t="shared" si="18"/>
        <v>1</v>
      </c>
    </row>
    <row r="156" spans="1:13" s="2" customFormat="1" ht="11.25" hidden="1">
      <c r="A156" s="5" t="s">
        <v>165</v>
      </c>
      <c r="B156" s="160">
        <f>+Dijon!$G157</f>
        <v>0</v>
      </c>
      <c r="C156" s="113">
        <f>+Eu!$G157</f>
        <v>0</v>
      </c>
      <c r="D156" s="113">
        <f>+Nancy!$G157</f>
        <v>0</v>
      </c>
      <c r="E156" s="113">
        <f>+Roanne!$G157</f>
        <v>0</v>
      </c>
      <c r="F156" s="160">
        <f>+Dijon!E157+Eu!E157+Nancy!E157+Roanne!E157</f>
        <v>-8781.23</v>
      </c>
      <c r="G156" s="135">
        <f>+Dijon!F157+Eu!F157+Nancy!F157+Roanne!F157</f>
        <v>-10469.226666666667</v>
      </c>
      <c r="H156" s="113">
        <v>0</v>
      </c>
      <c r="I156" s="161">
        <f>+Dijon!G157+Eu!G157+Nancy!G157+Roanne!G157</f>
        <v>0</v>
      </c>
      <c r="J156" s="149">
        <f t="shared" ref="J156:J165" si="20">+IF((F156)=0,,(G156-F156)/F156)</f>
        <v>0.19222781622468241</v>
      </c>
      <c r="K156" s="271">
        <f t="shared" ref="K156:K165" si="21">+IF((G156)=0,,(I156-G156)/G156)</f>
        <v>-1</v>
      </c>
      <c r="L156" s="18">
        <f>+Dijon!D157+Eu!D157+Nancy!D157+Roanne!D157</f>
        <v>0</v>
      </c>
      <c r="M156" s="2">
        <f t="shared" si="18"/>
        <v>0</v>
      </c>
    </row>
    <row r="157" spans="1:13" s="2" customFormat="1" ht="11.25">
      <c r="A157" s="590" t="s">
        <v>166</v>
      </c>
      <c r="B157" s="805">
        <f>+Dijon!$G158</f>
        <v>0</v>
      </c>
      <c r="C157" s="805">
        <f>+Eu!$G158</f>
        <v>0</v>
      </c>
      <c r="D157" s="805">
        <f>+Nancy!$G158</f>
        <v>0</v>
      </c>
      <c r="E157" s="805">
        <f>+Roanne!$G158</f>
        <v>0</v>
      </c>
      <c r="F157" s="805">
        <f>+Dijon!E158+Eu!E158+Nancy!E158+Roanne!E158</f>
        <v>3615.14</v>
      </c>
      <c r="G157" s="619">
        <f>+Dijon!F158+Eu!F158+Nancy!F158+Roanne!F158</f>
        <v>15801.613333333335</v>
      </c>
      <c r="H157" s="113">
        <v>0</v>
      </c>
      <c r="I157" s="1077">
        <f>+Dijon!G158+Eu!G158+Nancy!G158+Roanne!G158</f>
        <v>0</v>
      </c>
      <c r="J157" s="1013">
        <f t="shared" si="20"/>
        <v>3.3709547440301995</v>
      </c>
      <c r="K157" s="1014">
        <f t="shared" si="21"/>
        <v>-1</v>
      </c>
      <c r="L157" s="805">
        <f>+Dijon!D158+Eu!D158+Nancy!D158+Roanne!D158</f>
        <v>0</v>
      </c>
      <c r="M157" s="678">
        <f t="shared" si="18"/>
        <v>1</v>
      </c>
    </row>
    <row r="158" spans="1:13" s="2" customFormat="1" ht="11.25" hidden="1">
      <c r="A158" s="5" t="s">
        <v>60</v>
      </c>
      <c r="B158" s="160">
        <f>+Dijon!$G159</f>
        <v>0</v>
      </c>
      <c r="C158" s="113">
        <f>+Eu!$G159</f>
        <v>0</v>
      </c>
      <c r="D158" s="113">
        <f>+Nancy!$G159</f>
        <v>0</v>
      </c>
      <c r="E158" s="113">
        <f>+Roanne!$G159</f>
        <v>0</v>
      </c>
      <c r="F158" s="160">
        <f>+Dijon!E159+Eu!E159+Nancy!E159+Roanne!E159</f>
        <v>-3023.32</v>
      </c>
      <c r="G158" s="135">
        <f>+Dijon!F159+Eu!F159+Nancy!F159+Roanne!F159</f>
        <v>-3073.1733333333332</v>
      </c>
      <c r="H158" s="113">
        <v>0</v>
      </c>
      <c r="I158" s="161">
        <f>+Dijon!G159+Eu!G159+Nancy!G159+Roanne!G159</f>
        <v>0</v>
      </c>
      <c r="J158" s="149">
        <f t="shared" si="20"/>
        <v>1.6489598631085366E-2</v>
      </c>
      <c r="K158" s="271">
        <f t="shared" si="21"/>
        <v>-1</v>
      </c>
      <c r="L158" s="18">
        <f>+Dijon!D159+Eu!D159+Nancy!D159+Roanne!D159</f>
        <v>0</v>
      </c>
      <c r="M158" s="2">
        <f t="shared" si="18"/>
        <v>0</v>
      </c>
    </row>
    <row r="159" spans="1:13" s="2" customFormat="1" ht="11.25">
      <c r="A159" s="590" t="s">
        <v>199</v>
      </c>
      <c r="B159" s="805">
        <f>+Dijon!$G160</f>
        <v>-8.2399999999999959E-2</v>
      </c>
      <c r="C159" s="805">
        <f>+Eu!$G160</f>
        <v>0</v>
      </c>
      <c r="D159" s="805">
        <f>+Nancy!$G160</f>
        <v>0</v>
      </c>
      <c r="E159" s="805">
        <f>+Roanne!$G160</f>
        <v>0</v>
      </c>
      <c r="F159" s="805">
        <f>+Dijon!E160+Eu!E160+Nancy!E160+Roanne!E160</f>
        <v>125.17</v>
      </c>
      <c r="G159" s="619">
        <f>+Dijon!F160+Eu!F160+Nancy!F160+Roanne!F160</f>
        <v>237.76666666666665</v>
      </c>
      <c r="H159" s="113">
        <v>0</v>
      </c>
      <c r="I159" s="1077">
        <f>+Dijon!G160+Eu!G160+Nancy!G160+Roanne!G160</f>
        <v>-8.2399999999999959E-2</v>
      </c>
      <c r="J159" s="1013">
        <f t="shared" si="20"/>
        <v>0.89954994540757893</v>
      </c>
      <c r="K159" s="1014">
        <f t="shared" si="21"/>
        <v>-1.0003465582503857</v>
      </c>
      <c r="L159" s="805">
        <f>+Dijon!D160+Eu!D160+Nancy!D160+Roanne!D160</f>
        <v>0</v>
      </c>
      <c r="M159" s="2">
        <f t="shared" si="18"/>
        <v>1</v>
      </c>
    </row>
    <row r="160" spans="1:13" s="2" customFormat="1" ht="11.25">
      <c r="A160" s="590" t="s">
        <v>41</v>
      </c>
      <c r="B160" s="805">
        <f>+Dijon!$G161</f>
        <v>0</v>
      </c>
      <c r="C160" s="805">
        <f>+Eu!$G161</f>
        <v>53.381466666666668</v>
      </c>
      <c r="D160" s="805">
        <f>+Nancy!$G161</f>
        <v>131.15333333333334</v>
      </c>
      <c r="E160" s="805">
        <f>+Roanne!$G161</f>
        <v>1051.8497333333335</v>
      </c>
      <c r="F160" s="805">
        <f>+Dijon!E161+Eu!E161+Nancy!E161+Roanne!E161</f>
        <v>778.5</v>
      </c>
      <c r="G160" s="619">
        <f>+Dijon!F161+Eu!F161+Nancy!F161+Roanne!F161</f>
        <v>1200.3733333333334</v>
      </c>
      <c r="H160" s="113">
        <v>635.18188921319722</v>
      </c>
      <c r="I160" s="1077">
        <f>+Dijon!G161+Eu!G161+Nancy!G161+Roanne!G161</f>
        <v>1236.3845333333334</v>
      </c>
      <c r="J160" s="1013">
        <f t="shared" si="20"/>
        <v>0.54190537358167434</v>
      </c>
      <c r="K160" s="1014">
        <f t="shared" si="21"/>
        <v>2.999999999999993E-2</v>
      </c>
      <c r="L160" s="805">
        <f>+Dijon!D161+Eu!D161+Nancy!D161+Roanne!D161</f>
        <v>991.98280772558996</v>
      </c>
      <c r="M160" s="678">
        <f t="shared" si="18"/>
        <v>1</v>
      </c>
    </row>
    <row r="161" spans="1:13" s="2" customFormat="1" ht="11.25">
      <c r="A161" s="590" t="s">
        <v>355</v>
      </c>
      <c r="B161" s="805">
        <f>+Dijon!$G162</f>
        <v>22.186200000000003</v>
      </c>
      <c r="C161" s="805">
        <f>+Eu!$G162</f>
        <v>29.581599999999998</v>
      </c>
      <c r="D161" s="805">
        <f>+Nancy!$G162</f>
        <v>57.556399999999996</v>
      </c>
      <c r="E161" s="805">
        <f>+Roanne!$G162</f>
        <v>78.746933333333331</v>
      </c>
      <c r="F161" s="805">
        <f>+Dijon!E162+Eu!E162+Nancy!E162+Roanne!E162</f>
        <v>31.73</v>
      </c>
      <c r="G161" s="619">
        <f>+Dijon!F162+Eu!F162+Nancy!F162+Roanne!F162</f>
        <v>177.20833333333331</v>
      </c>
      <c r="H161" s="113">
        <v>43.81827975554306</v>
      </c>
      <c r="I161" s="1077">
        <f>+Dijon!G162+Eu!G162+Nancy!G162+Roanne!G162</f>
        <v>188.07113333333331</v>
      </c>
      <c r="J161" s="1013">
        <f t="shared" si="20"/>
        <v>4.5848828658472529</v>
      </c>
      <c r="K161" s="1014">
        <f t="shared" si="21"/>
        <v>6.1299600282153741E-2</v>
      </c>
      <c r="L161" s="805">
        <f>+Dijon!D162+Eu!D162+Nancy!D162+Roanne!D162</f>
        <v>40.671513529019798</v>
      </c>
      <c r="M161" s="678">
        <f t="shared" si="18"/>
        <v>1</v>
      </c>
    </row>
    <row r="162" spans="1:13" s="2" customFormat="1" ht="11.25">
      <c r="A162" s="590" t="s">
        <v>200</v>
      </c>
      <c r="B162" s="805">
        <f>+Dijon!$G163</f>
        <v>83.491799999999998</v>
      </c>
      <c r="C162" s="805">
        <f>+Eu!$G163</f>
        <v>138.41826666666668</v>
      </c>
      <c r="D162" s="805">
        <f>+Nancy!$G163</f>
        <v>159.69120000000001</v>
      </c>
      <c r="E162" s="805">
        <f>+Roanne!$G163</f>
        <v>1753.7878666666666</v>
      </c>
      <c r="F162" s="805">
        <f>+Dijon!E163+Eu!E163+Nancy!E163+Roanne!E163</f>
        <v>2048.15</v>
      </c>
      <c r="G162" s="619">
        <f>+Dijon!F163+Eu!F163+Nancy!F163+Roanne!F163</f>
        <v>2052.9283333333333</v>
      </c>
      <c r="H162" s="113">
        <v>682.98971601334063</v>
      </c>
      <c r="I162" s="1077">
        <f>+Dijon!G163+Eu!G163+Nancy!G163+Roanne!G163</f>
        <v>2135.3891333333331</v>
      </c>
      <c r="J162" s="1013">
        <f t="shared" si="20"/>
        <v>2.3329996989152131E-3</v>
      </c>
      <c r="K162" s="1014">
        <f t="shared" si="21"/>
        <v>4.0167403148510541E-2</v>
      </c>
      <c r="L162" s="805">
        <f>+Dijon!D163+Eu!D163+Nancy!D163+Roanne!D163</f>
        <v>2350.8858550295859</v>
      </c>
      <c r="M162" s="678">
        <f t="shared" si="18"/>
        <v>1</v>
      </c>
    </row>
    <row r="163" spans="1:13" s="2" customFormat="1" ht="11.25" hidden="1">
      <c r="A163" s="5" t="s">
        <v>271</v>
      </c>
      <c r="B163" s="160">
        <f>+Dijon!$G164</f>
        <v>0</v>
      </c>
      <c r="C163" s="113">
        <f>+Eu!$G164</f>
        <v>-12.36</v>
      </c>
      <c r="D163" s="113">
        <f>+Nancy!$G164</f>
        <v>0</v>
      </c>
      <c r="E163" s="113">
        <f>+Roanne!$G164</f>
        <v>-42.147599999999997</v>
      </c>
      <c r="F163" s="160">
        <f>+Dijon!E164+Eu!E164+Nancy!E164+Roanne!E164</f>
        <v>-161.81</v>
      </c>
      <c r="G163" s="135">
        <f>+Dijon!F164+Eu!F164+Nancy!F164+Roanne!F164</f>
        <v>-52.919999999999995</v>
      </c>
      <c r="H163" s="113">
        <v>-431.38951890769795</v>
      </c>
      <c r="I163" s="161">
        <f>+Dijon!G164+Eu!G164+Nancy!G164+Roanne!G164</f>
        <v>-54.507599999999996</v>
      </c>
      <c r="J163" s="149">
        <f t="shared" si="20"/>
        <v>-0.67294975588653372</v>
      </c>
      <c r="K163" s="271">
        <f t="shared" si="21"/>
        <v>3.0000000000000041E-2</v>
      </c>
      <c r="L163" s="18">
        <f>+Dijon!D164+Eu!D164+Nancy!D164+Roanne!D164</f>
        <v>-144.54733635859378</v>
      </c>
      <c r="M163" s="2">
        <f t="shared" si="18"/>
        <v>0</v>
      </c>
    </row>
    <row r="164" spans="1:13" s="2" customFormat="1" ht="11.25">
      <c r="A164" s="590" t="s">
        <v>242</v>
      </c>
      <c r="B164" s="805">
        <f>+Dijon!$G165</f>
        <v>0</v>
      </c>
      <c r="C164" s="805">
        <f>+Eu!$G165</f>
        <v>79.021600000000007</v>
      </c>
      <c r="D164" s="805">
        <f>+Nancy!$G165</f>
        <v>86.52</v>
      </c>
      <c r="E164" s="805">
        <f>+Roanne!$G165</f>
        <v>393.46000000000004</v>
      </c>
      <c r="F164" s="805">
        <f>+Dijon!E165+Eu!E165+Nancy!E165+Roanne!E165</f>
        <v>758.59999999999991</v>
      </c>
      <c r="G164" s="619">
        <f>+Dijon!F165+Eu!F165+Nancy!F165+Roanne!F165</f>
        <v>542.72</v>
      </c>
      <c r="H164" s="113">
        <v>1474.8546715465939</v>
      </c>
      <c r="I164" s="1077">
        <f>+Dijon!G165+Eu!G165+Nancy!G165+Roanne!G165</f>
        <v>559.00160000000005</v>
      </c>
      <c r="J164" s="1013">
        <f t="shared" si="20"/>
        <v>-0.28457685209596612</v>
      </c>
      <c r="K164" s="1014">
        <f t="shared" si="21"/>
        <v>3.0000000000000047E-2</v>
      </c>
      <c r="L164" s="805">
        <f>+Dijon!D165+Eu!D165+Nancy!D165+Roanne!D165</f>
        <v>708.14919627504173</v>
      </c>
      <c r="M164" s="678">
        <f t="shared" si="18"/>
        <v>1</v>
      </c>
    </row>
    <row r="165" spans="1:13" s="2" customFormat="1" ht="11.25" hidden="1">
      <c r="A165" s="5" t="s">
        <v>201</v>
      </c>
      <c r="B165" s="160">
        <f>+Dijon!$G166</f>
        <v>0</v>
      </c>
      <c r="C165" s="113">
        <f>+Eu!$G166</f>
        <v>0</v>
      </c>
      <c r="D165" s="113">
        <f>+Nancy!$G166</f>
        <v>0</v>
      </c>
      <c r="E165" s="113">
        <f>+Roanne!$G166</f>
        <v>0</v>
      </c>
      <c r="F165" s="160">
        <f>+Dijon!E166+Eu!E166+Nancy!E166+Roanne!E166</f>
        <v>0</v>
      </c>
      <c r="G165" s="135">
        <f>+Dijon!F166+Eu!F166+Nancy!F166+Roanne!F166</f>
        <v>0</v>
      </c>
      <c r="H165" s="113">
        <v>0</v>
      </c>
      <c r="I165" s="161">
        <f>+Dijon!G166+Eu!G166+Nancy!G166+Roanne!G166</f>
        <v>0</v>
      </c>
      <c r="J165" s="149">
        <f t="shared" si="20"/>
        <v>0</v>
      </c>
      <c r="K165" s="271">
        <f t="shared" si="21"/>
        <v>0</v>
      </c>
      <c r="L165" s="18">
        <f>+Dijon!D166+Eu!D166+Nancy!D166+Roanne!D166</f>
        <v>-6.8295437500000007E-4</v>
      </c>
      <c r="M165" s="2">
        <f t="shared" si="18"/>
        <v>0</v>
      </c>
    </row>
    <row r="166" spans="1:13" s="2" customFormat="1" ht="11.25" hidden="1">
      <c r="A166" s="5"/>
      <c r="B166" s="160"/>
      <c r="C166" s="113"/>
      <c r="D166" s="113"/>
      <c r="E166" s="113"/>
      <c r="F166" s="160"/>
      <c r="G166" s="143"/>
      <c r="H166" s="113"/>
      <c r="I166" s="162"/>
      <c r="J166" s="149"/>
      <c r="K166" s="254"/>
      <c r="L166" s="18"/>
      <c r="M166" s="2">
        <f t="shared" si="18"/>
        <v>0</v>
      </c>
    </row>
    <row r="167" spans="1:13" s="2" customFormat="1" ht="11.25">
      <c r="A167" s="13" t="s">
        <v>74</v>
      </c>
      <c r="B167" s="803">
        <f t="shared" ref="B167:G167" si="22">SUM(B154:B166)</f>
        <v>8256.0838801000009</v>
      </c>
      <c r="C167" s="803">
        <f t="shared" si="22"/>
        <v>7395.5869973133349</v>
      </c>
      <c r="D167" s="803">
        <f t="shared" si="22"/>
        <v>11762.147678833335</v>
      </c>
      <c r="E167" s="803">
        <f t="shared" si="22"/>
        <v>18253.759608913333</v>
      </c>
      <c r="F167" s="803">
        <f t="shared" si="22"/>
        <v>11081.5</v>
      </c>
      <c r="G167" s="597">
        <f t="shared" si="22"/>
        <v>31077.173333333332</v>
      </c>
      <c r="H167" s="204">
        <v>46975.089222620969</v>
      </c>
      <c r="I167" s="803">
        <f>SUM(I154:I166)</f>
        <v>45667.578165159997</v>
      </c>
      <c r="J167" s="596">
        <f>+IF((F167)=0,,(G167-F167)/F167)</f>
        <v>1.8044193776414144</v>
      </c>
      <c r="K167" s="1015">
        <f>+IF((G167)=0,,(I167-G167)/G167)</f>
        <v>0.46948944407942717</v>
      </c>
      <c r="L167" s="803">
        <f>SUM(L154:L166)</f>
        <v>46336.81942003029</v>
      </c>
      <c r="M167" s="678">
        <f t="shared" si="18"/>
        <v>1</v>
      </c>
    </row>
    <row r="168" spans="1:13" s="2" customFormat="1" ht="11.25" hidden="1">
      <c r="A168" s="5"/>
      <c r="B168" s="160"/>
      <c r="C168" s="113"/>
      <c r="D168" s="113"/>
      <c r="E168" s="113"/>
      <c r="F168" s="160"/>
      <c r="G168" s="143"/>
      <c r="H168" s="113"/>
      <c r="I168" s="162"/>
      <c r="J168" s="149"/>
      <c r="K168" s="271"/>
      <c r="L168" s="18"/>
      <c r="M168" s="2">
        <f t="shared" si="18"/>
        <v>0</v>
      </c>
    </row>
    <row r="169" spans="1:13" s="2" customFormat="1" ht="11.25" hidden="1">
      <c r="A169" s="5" t="s">
        <v>167</v>
      </c>
      <c r="B169" s="160">
        <f>+Dijon!$G170</f>
        <v>0</v>
      </c>
      <c r="C169" s="113">
        <f>+Eu!$G170</f>
        <v>0</v>
      </c>
      <c r="D169" s="113">
        <f>+Nancy!$G170</f>
        <v>0</v>
      </c>
      <c r="E169" s="113">
        <f>+Roanne!$G170</f>
        <v>0</v>
      </c>
      <c r="F169" s="160">
        <f>+Dijon!E170+Eu!E170+Nancy!E170+Roanne!E170</f>
        <v>0</v>
      </c>
      <c r="G169" s="135">
        <f>+Dijon!F170+Eu!F170+Nancy!F170+Roanne!F170</f>
        <v>0</v>
      </c>
      <c r="H169" s="113">
        <v>0</v>
      </c>
      <c r="I169" s="161">
        <f>+Dijon!G170+Eu!G170+Nancy!G170+Roanne!G170</f>
        <v>0</v>
      </c>
      <c r="J169" s="149">
        <f>+IF((F169)=0,,(G169-F169)/F169)</f>
        <v>0</v>
      </c>
      <c r="K169" s="271">
        <f>+IF((G169)=0,,(I169-G169)/G169)</f>
        <v>0</v>
      </c>
      <c r="L169" s="18">
        <f>+Dijon!D170+Eu!D170+Nancy!D170+Roanne!D170</f>
        <v>0</v>
      </c>
      <c r="M169" s="2">
        <f t="shared" si="18"/>
        <v>0</v>
      </c>
    </row>
    <row r="170" spans="1:13" s="2" customFormat="1" ht="11.25">
      <c r="A170" s="590" t="s">
        <v>168</v>
      </c>
      <c r="B170" s="805">
        <f>+Dijon!$G171</f>
        <v>0</v>
      </c>
      <c r="C170" s="805">
        <f>+Eu!$G171</f>
        <v>813.63133333333337</v>
      </c>
      <c r="D170" s="805">
        <f>+Nancy!$G171</f>
        <v>305.67653333333334</v>
      </c>
      <c r="E170" s="805">
        <f>+Roanne!$G171</f>
        <v>0</v>
      </c>
      <c r="F170" s="805">
        <f>+Dijon!E171+Eu!E171+Nancy!E171+Roanne!E171</f>
        <v>914.86</v>
      </c>
      <c r="G170" s="619">
        <f>+Dijon!F171+Eu!F171+Nancy!F171+Roanne!F171</f>
        <v>1086.7066666666667</v>
      </c>
      <c r="H170" s="113">
        <v>0</v>
      </c>
      <c r="I170" s="1077">
        <f>+Dijon!G171+Eu!G171+Nancy!G171+Roanne!G171</f>
        <v>1119.3078666666668</v>
      </c>
      <c r="J170" s="1013">
        <f t="shared" ref="J170:J182" si="23">+IF((F170)=0,,(G170-F170)/F170)</f>
        <v>0.18783930510314878</v>
      </c>
      <c r="K170" s="1014">
        <f t="shared" ref="K170:K182" si="24">+IF((G170)=0,,(I170-G170)/G170)</f>
        <v>3.0000000000000058E-2</v>
      </c>
      <c r="L170" s="805">
        <f>+Dijon!D171+Eu!D171+Nancy!D171+Roanne!D171</f>
        <v>1217.6283195219096</v>
      </c>
      <c r="M170" s="678">
        <f t="shared" si="18"/>
        <v>1</v>
      </c>
    </row>
    <row r="171" spans="1:13" s="2" customFormat="1" ht="11.25" hidden="1">
      <c r="A171" s="5" t="s">
        <v>169</v>
      </c>
      <c r="B171" s="160">
        <f>+Dijon!$G172</f>
        <v>0</v>
      </c>
      <c r="C171" s="113">
        <f>+Eu!$G172</f>
        <v>0</v>
      </c>
      <c r="D171" s="113">
        <f>+Nancy!$G172</f>
        <v>0</v>
      </c>
      <c r="E171" s="113">
        <f>+Roanne!$G172</f>
        <v>0</v>
      </c>
      <c r="F171" s="160">
        <f>+Dijon!E172+Eu!E172+Nancy!E172+Roanne!E172</f>
        <v>0</v>
      </c>
      <c r="G171" s="135">
        <f>+Dijon!F172+Eu!F172+Nancy!F172+Roanne!F172</f>
        <v>0</v>
      </c>
      <c r="H171" s="113">
        <v>0</v>
      </c>
      <c r="I171" s="161">
        <f>+Dijon!G172+Eu!G172+Nancy!G172+Roanne!G172</f>
        <v>0</v>
      </c>
      <c r="J171" s="149">
        <f t="shared" si="23"/>
        <v>0</v>
      </c>
      <c r="K171" s="271">
        <f t="shared" si="24"/>
        <v>0</v>
      </c>
      <c r="L171" s="18">
        <f>+Dijon!D172+Eu!D172+Nancy!D172+Roanne!D172</f>
        <v>0</v>
      </c>
      <c r="M171" s="2">
        <f t="shared" si="18"/>
        <v>0</v>
      </c>
    </row>
    <row r="172" spans="1:13" s="2" customFormat="1" ht="11.25">
      <c r="A172" s="590" t="s">
        <v>170</v>
      </c>
      <c r="B172" s="805">
        <f>+Dijon!$G173</f>
        <v>0</v>
      </c>
      <c r="C172" s="805">
        <f>+Eu!$G173</f>
        <v>0</v>
      </c>
      <c r="D172" s="805">
        <f>+Nancy!$G173</f>
        <v>0</v>
      </c>
      <c r="E172" s="805">
        <f>+Roanne!$G173</f>
        <v>79.65333333333335</v>
      </c>
      <c r="F172" s="805">
        <f>+Dijon!E173+Eu!E173+Nancy!E173+Roanne!E173</f>
        <v>9070.74</v>
      </c>
      <c r="G172" s="619">
        <f>+Dijon!F173+Eu!F173+Nancy!F173+Roanne!F173</f>
        <v>77.333333333333343</v>
      </c>
      <c r="H172" s="113">
        <v>4973.8931750000002</v>
      </c>
      <c r="I172" s="1077">
        <f>+Dijon!G173+Eu!G173+Nancy!G173+Roanne!G173</f>
        <v>79.65333333333335</v>
      </c>
      <c r="J172" s="1013">
        <f t="shared" si="23"/>
        <v>-0.99147441847816897</v>
      </c>
      <c r="K172" s="1014">
        <f t="shared" si="24"/>
        <v>3.0000000000000093E-2</v>
      </c>
      <c r="L172" s="805">
        <f>+Dijon!D173+Eu!D173+Nancy!D173+Roanne!D173</f>
        <v>11538.281525</v>
      </c>
      <c r="M172" s="678">
        <f t="shared" si="18"/>
        <v>1</v>
      </c>
    </row>
    <row r="173" spans="1:13" s="2" customFormat="1" ht="11.25" hidden="1">
      <c r="A173" s="5" t="s">
        <v>171</v>
      </c>
      <c r="B173" s="160">
        <f>+Dijon!$G174</f>
        <v>0</v>
      </c>
      <c r="C173" s="113">
        <f>+Eu!$G174</f>
        <v>0</v>
      </c>
      <c r="D173" s="113">
        <f>+Nancy!$G174</f>
        <v>0</v>
      </c>
      <c r="E173" s="113">
        <f>+Roanne!$G174</f>
        <v>0</v>
      </c>
      <c r="F173" s="160">
        <f>+Dijon!E174+Eu!E174+Nancy!E174+Roanne!E174</f>
        <v>0</v>
      </c>
      <c r="G173" s="135">
        <f>+Dijon!F174+Eu!F174+Nancy!F174+Roanne!F174</f>
        <v>0</v>
      </c>
      <c r="H173" s="113">
        <v>0</v>
      </c>
      <c r="I173" s="161">
        <f>+Dijon!G174+Eu!G174+Nancy!G174+Roanne!G174</f>
        <v>0</v>
      </c>
      <c r="J173" s="149">
        <f t="shared" si="23"/>
        <v>0</v>
      </c>
      <c r="K173" s="271">
        <f t="shared" si="24"/>
        <v>0</v>
      </c>
      <c r="L173" s="18">
        <f>+Dijon!D174+Eu!D174+Nancy!D174+Roanne!D174</f>
        <v>0</v>
      </c>
      <c r="M173" s="2">
        <f t="shared" si="18"/>
        <v>0</v>
      </c>
    </row>
    <row r="174" spans="1:13" s="2" customFormat="1" ht="11.25" hidden="1">
      <c r="A174" s="5" t="s">
        <v>308</v>
      </c>
      <c r="B174" s="160">
        <f>+Dijon!$G175</f>
        <v>0</v>
      </c>
      <c r="C174" s="113">
        <f>+Eu!$G175</f>
        <v>0</v>
      </c>
      <c r="D174" s="113">
        <f>+Nancy!$G175</f>
        <v>0</v>
      </c>
      <c r="E174" s="113">
        <f>+Roanne!$G175</f>
        <v>0</v>
      </c>
      <c r="F174" s="160">
        <f>+Dijon!E175+Eu!E175+Nancy!E175+Roanne!E175</f>
        <v>0</v>
      </c>
      <c r="G174" s="135">
        <f>+Dijon!F175+Eu!F175+Nancy!F175+Roanne!F175</f>
        <v>0</v>
      </c>
      <c r="H174" s="113">
        <v>0</v>
      </c>
      <c r="I174" s="161">
        <f>+Dijon!G175+Eu!G175+Nancy!G175+Roanne!G175</f>
        <v>0</v>
      </c>
      <c r="J174" s="149">
        <f t="shared" si="23"/>
        <v>0</v>
      </c>
      <c r="K174" s="271">
        <f t="shared" si="24"/>
        <v>0</v>
      </c>
      <c r="L174" s="18">
        <f>+Dijon!D175+Eu!D175+Nancy!D175+Roanne!D175</f>
        <v>0</v>
      </c>
      <c r="M174" s="2">
        <f t="shared" si="18"/>
        <v>0</v>
      </c>
    </row>
    <row r="175" spans="1:13" s="2" customFormat="1" ht="11.25" hidden="1">
      <c r="A175" s="5" t="s">
        <v>172</v>
      </c>
      <c r="B175" s="160">
        <f>+Dijon!$G176</f>
        <v>0</v>
      </c>
      <c r="C175" s="113">
        <f>+Eu!$G176</f>
        <v>0</v>
      </c>
      <c r="D175" s="113">
        <f>+Nancy!$G176</f>
        <v>0</v>
      </c>
      <c r="E175" s="113">
        <f>+Roanne!$G176</f>
        <v>0</v>
      </c>
      <c r="F175" s="160">
        <f>+Dijon!E176+Eu!E176+Nancy!E176+Roanne!E176</f>
        <v>0</v>
      </c>
      <c r="G175" s="135">
        <f>+Dijon!F176+Eu!F176+Nancy!F176+Roanne!F176</f>
        <v>0</v>
      </c>
      <c r="H175" s="113">
        <v>0</v>
      </c>
      <c r="I175" s="161">
        <f>+Dijon!G176+Eu!G176+Nancy!G176+Roanne!G176</f>
        <v>0</v>
      </c>
      <c r="J175" s="149">
        <f t="shared" si="23"/>
        <v>0</v>
      </c>
      <c r="K175" s="271">
        <f t="shared" si="24"/>
        <v>0</v>
      </c>
      <c r="L175" s="18">
        <f>+Dijon!D176+Eu!D176+Nancy!D176+Roanne!D176</f>
        <v>0</v>
      </c>
      <c r="M175" s="678">
        <f t="shared" si="18"/>
        <v>0</v>
      </c>
    </row>
    <row r="176" spans="1:13" s="2" customFormat="1" ht="11.25">
      <c r="A176" s="590" t="s">
        <v>173</v>
      </c>
      <c r="B176" s="805">
        <f>+Dijon!$G177</f>
        <v>0</v>
      </c>
      <c r="C176" s="805">
        <f>+Eu!$G177</f>
        <v>0</v>
      </c>
      <c r="D176" s="805">
        <f>+Nancy!$G177</f>
        <v>0</v>
      </c>
      <c r="E176" s="805">
        <f>+Roanne!$G177</f>
        <v>0</v>
      </c>
      <c r="F176" s="805">
        <f>+Dijon!E177+Eu!E177+Nancy!E177+Roanne!E177</f>
        <v>1377.78</v>
      </c>
      <c r="G176" s="619">
        <f>+Dijon!F177+Eu!F177+Nancy!F177+Roanne!F177</f>
        <v>0</v>
      </c>
      <c r="H176" s="113">
        <v>0</v>
      </c>
      <c r="I176" s="1077">
        <f>+Dijon!G177+Eu!G177+Nancy!G177+Roanne!G177</f>
        <v>0</v>
      </c>
      <c r="J176" s="1013">
        <f t="shared" si="23"/>
        <v>-1</v>
      </c>
      <c r="K176" s="1014">
        <f t="shared" si="24"/>
        <v>0</v>
      </c>
      <c r="L176" s="805">
        <f>+Dijon!D177+Eu!D177+Nancy!D177+Roanne!D177</f>
        <v>0</v>
      </c>
      <c r="M176" s="678">
        <f t="shared" si="18"/>
        <v>1</v>
      </c>
    </row>
    <row r="177" spans="1:13" s="2" customFormat="1" ht="11.25" hidden="1">
      <c r="A177" s="5" t="s">
        <v>174</v>
      </c>
      <c r="B177" s="160">
        <f>+Dijon!$G178</f>
        <v>0</v>
      </c>
      <c r="C177" s="113">
        <f>+Eu!$G178</f>
        <v>0</v>
      </c>
      <c r="D177" s="113">
        <f>+Nancy!$G178</f>
        <v>0</v>
      </c>
      <c r="E177" s="113">
        <f>+Roanne!$G178</f>
        <v>0</v>
      </c>
      <c r="F177" s="160">
        <f>+Dijon!E178+Eu!E178+Nancy!E178+Roanne!E178</f>
        <v>0</v>
      </c>
      <c r="G177" s="135">
        <f>+Dijon!F178+Eu!F178+Nancy!F178+Roanne!F178</f>
        <v>0</v>
      </c>
      <c r="H177" s="113">
        <v>0</v>
      </c>
      <c r="I177" s="161">
        <f>+Dijon!G178+Eu!G178+Nancy!G178+Roanne!G178</f>
        <v>0</v>
      </c>
      <c r="J177" s="149">
        <f t="shared" si="23"/>
        <v>0</v>
      </c>
      <c r="K177" s="271">
        <f t="shared" si="24"/>
        <v>0</v>
      </c>
      <c r="L177" s="18">
        <f>+Dijon!D178+Eu!D178+Nancy!D178+Roanne!D178</f>
        <v>0</v>
      </c>
      <c r="M177" s="2">
        <f t="shared" si="18"/>
        <v>0</v>
      </c>
    </row>
    <row r="178" spans="1:13" s="2" customFormat="1" ht="11.25">
      <c r="A178" s="590" t="s">
        <v>175</v>
      </c>
      <c r="B178" s="805">
        <f>+Dijon!$G179</f>
        <v>3879.99</v>
      </c>
      <c r="C178" s="805">
        <f>+Eu!$G179</f>
        <v>15075.85</v>
      </c>
      <c r="D178" s="805">
        <f>+Nancy!$G179</f>
        <v>3721.78</v>
      </c>
      <c r="E178" s="805">
        <f>+Roanne!$G179</f>
        <v>7990.7</v>
      </c>
      <c r="F178" s="805">
        <f>+Dijon!E179+Eu!E179+Nancy!E179+Roanne!E179</f>
        <v>36191.54</v>
      </c>
      <c r="G178" s="619">
        <f>+Dijon!F179+Eu!F179+Nancy!F179+Roanne!F179</f>
        <v>24758.79</v>
      </c>
      <c r="H178" s="113">
        <v>32058.206388888892</v>
      </c>
      <c r="I178" s="1077">
        <f>+Dijon!G179+Eu!G179+Nancy!G179+Roanne!G179</f>
        <v>30668.32</v>
      </c>
      <c r="J178" s="1013">
        <f t="shared" si="23"/>
        <v>-0.31589564854106789</v>
      </c>
      <c r="K178" s="1014">
        <f t="shared" si="24"/>
        <v>0.23868411986207722</v>
      </c>
      <c r="L178" s="805">
        <f>+Dijon!D179+Eu!D179+Nancy!D179+Roanne!D179</f>
        <v>30400</v>
      </c>
      <c r="M178" s="678">
        <f t="shared" si="18"/>
        <v>1</v>
      </c>
    </row>
    <row r="179" spans="1:13" s="2" customFormat="1" ht="11.25">
      <c r="A179" s="590" t="s">
        <v>78</v>
      </c>
      <c r="B179" s="805">
        <f>+Dijon!$G180</f>
        <v>0</v>
      </c>
      <c r="C179" s="805">
        <f>+Eu!$G180</f>
        <v>0</v>
      </c>
      <c r="D179" s="805">
        <f>+Nancy!$G180</f>
        <v>0</v>
      </c>
      <c r="E179" s="805">
        <f>+Roanne!$G180</f>
        <v>0</v>
      </c>
      <c r="F179" s="805">
        <f>+Dijon!E180+Eu!E180+Nancy!E180+Roanne!E180</f>
        <v>3168.02</v>
      </c>
      <c r="G179" s="619">
        <f>+Dijon!F180+Eu!F180+Nancy!F180+Roanne!F180</f>
        <v>0</v>
      </c>
      <c r="H179" s="113">
        <v>0</v>
      </c>
      <c r="I179" s="1077">
        <f>+Dijon!G180+Eu!G180+Nancy!G180+Roanne!G180</f>
        <v>0</v>
      </c>
      <c r="J179" s="1013">
        <f t="shared" si="23"/>
        <v>-1</v>
      </c>
      <c r="K179" s="1014">
        <f t="shared" si="24"/>
        <v>0</v>
      </c>
      <c r="L179" s="805">
        <f>+Dijon!D180+Eu!D180+Nancy!D180+Roanne!D180</f>
        <v>0</v>
      </c>
      <c r="M179" s="678">
        <f t="shared" si="18"/>
        <v>1</v>
      </c>
    </row>
    <row r="180" spans="1:13" s="2" customFormat="1" ht="11.25" hidden="1">
      <c r="A180" s="5" t="s">
        <v>327</v>
      </c>
      <c r="B180" s="160">
        <f>+Dijon!$G181</f>
        <v>0</v>
      </c>
      <c r="C180" s="113">
        <f>+Eu!$G181</f>
        <v>0</v>
      </c>
      <c r="D180" s="113">
        <f>+Nancy!$G181</f>
        <v>0</v>
      </c>
      <c r="E180" s="113">
        <f>+Roanne!$G181</f>
        <v>0</v>
      </c>
      <c r="F180" s="160">
        <f>+Dijon!E181+Eu!E181+Nancy!E181+Roanne!E181</f>
        <v>0</v>
      </c>
      <c r="G180" s="135">
        <f>+Dijon!F181+Eu!F181+Nancy!F181+Roanne!F181</f>
        <v>0</v>
      </c>
      <c r="H180" s="113">
        <v>0</v>
      </c>
      <c r="I180" s="161">
        <f>+Dijon!G181+Eu!G181+Nancy!G181+Roanne!G181</f>
        <v>0</v>
      </c>
      <c r="J180" s="149">
        <f t="shared" si="23"/>
        <v>0</v>
      </c>
      <c r="K180" s="271">
        <f t="shared" si="24"/>
        <v>0</v>
      </c>
      <c r="L180" s="18">
        <f>+Dijon!D181+Eu!D181+Nancy!D181+Roanne!D181</f>
        <v>0</v>
      </c>
      <c r="M180" s="2">
        <f t="shared" si="18"/>
        <v>0</v>
      </c>
    </row>
    <row r="181" spans="1:13" s="2" customFormat="1" ht="11.25" hidden="1">
      <c r="A181" s="5" t="s">
        <v>82</v>
      </c>
      <c r="B181" s="160">
        <f>+Dijon!$G182</f>
        <v>0</v>
      </c>
      <c r="C181" s="113">
        <f>+Eu!$G182</f>
        <v>0</v>
      </c>
      <c r="D181" s="113">
        <f>+Nancy!$G182</f>
        <v>0</v>
      </c>
      <c r="E181" s="113">
        <f>+Roanne!$G182</f>
        <v>0</v>
      </c>
      <c r="F181" s="160">
        <f>+Dijon!E182+Eu!E182+Nancy!E182+Roanne!E182</f>
        <v>0</v>
      </c>
      <c r="G181" s="135">
        <f>+Dijon!F182+Eu!F182+Nancy!F182+Roanne!F182</f>
        <v>0</v>
      </c>
      <c r="H181" s="113">
        <v>0</v>
      </c>
      <c r="I181" s="161">
        <f>+Dijon!G182+Eu!G182+Nancy!G182+Roanne!G182</f>
        <v>0</v>
      </c>
      <c r="J181" s="149">
        <f t="shared" si="23"/>
        <v>0</v>
      </c>
      <c r="K181" s="271">
        <f t="shared" si="24"/>
        <v>0</v>
      </c>
      <c r="L181" s="18">
        <f>+Dijon!D182+Eu!D182+Nancy!D182+Roanne!D182</f>
        <v>0</v>
      </c>
      <c r="M181" s="2">
        <f t="shared" si="18"/>
        <v>0</v>
      </c>
    </row>
    <row r="182" spans="1:13" s="2" customFormat="1" ht="11.25" hidden="1">
      <c r="A182" s="5" t="s">
        <v>331</v>
      </c>
      <c r="B182" s="160">
        <f>+Dijon!$G183</f>
        <v>0</v>
      </c>
      <c r="C182" s="113">
        <f>+Eu!$G183</f>
        <v>0</v>
      </c>
      <c r="D182" s="113">
        <f>+Nancy!$G183</f>
        <v>0</v>
      </c>
      <c r="E182" s="113">
        <f>+Roanne!$G183</f>
        <v>0</v>
      </c>
      <c r="F182" s="160">
        <f>+Dijon!E183+Eu!E183+Nancy!E183+Roanne!E183</f>
        <v>0</v>
      </c>
      <c r="G182" s="135">
        <f>+Dijon!F183+Eu!F183+Nancy!F183+Roanne!F183</f>
        <v>0</v>
      </c>
      <c r="H182" s="113">
        <v>0</v>
      </c>
      <c r="I182" s="161">
        <f>+Dijon!G183+Eu!G183+Nancy!G183+Roanne!G183</f>
        <v>0</v>
      </c>
      <c r="J182" s="149">
        <f t="shared" si="23"/>
        <v>0</v>
      </c>
      <c r="K182" s="271">
        <f t="shared" si="24"/>
        <v>0</v>
      </c>
      <c r="L182" s="18">
        <f>+Dijon!D183+Eu!D183+Nancy!D183+Roanne!D183</f>
        <v>0</v>
      </c>
      <c r="M182" s="678">
        <f t="shared" si="18"/>
        <v>0</v>
      </c>
    </row>
    <row r="183" spans="1:13" s="2" customFormat="1" ht="11.25" hidden="1">
      <c r="A183" s="5"/>
      <c r="B183" s="160"/>
      <c r="C183" s="113"/>
      <c r="D183" s="113"/>
      <c r="E183" s="113"/>
      <c r="F183" s="160"/>
      <c r="G183" s="143"/>
      <c r="H183" s="113"/>
      <c r="I183" s="162"/>
      <c r="J183" s="149"/>
      <c r="K183" s="254"/>
      <c r="L183" s="18"/>
      <c r="M183" s="2">
        <f t="shared" si="18"/>
        <v>0</v>
      </c>
    </row>
    <row r="184" spans="1:13" s="2" customFormat="1" ht="11.25">
      <c r="A184" s="13" t="s">
        <v>178</v>
      </c>
      <c r="B184" s="803">
        <f t="shared" ref="B184:G184" si="25">SUM(B168:B183)</f>
        <v>3879.99</v>
      </c>
      <c r="C184" s="803">
        <f t="shared" si="25"/>
        <v>15889.481333333333</v>
      </c>
      <c r="D184" s="803">
        <f t="shared" si="25"/>
        <v>4027.4565333333335</v>
      </c>
      <c r="E184" s="803">
        <f t="shared" si="25"/>
        <v>8070.3533333333335</v>
      </c>
      <c r="F184" s="597">
        <f t="shared" si="25"/>
        <v>50722.939999999995</v>
      </c>
      <c r="G184" s="597">
        <f t="shared" si="25"/>
        <v>25922.83</v>
      </c>
      <c r="H184" s="136">
        <v>37032.099563888893</v>
      </c>
      <c r="I184" s="597">
        <f>SUM(I168:I183)</f>
        <v>31867.281200000001</v>
      </c>
      <c r="J184" s="596">
        <f>+IF((F184)=0,,(G184-F184)/F184)</f>
        <v>-0.48893281816866285</v>
      </c>
      <c r="K184" s="1015">
        <f>+IF((G184)=0,,(I184-G184)/G184)</f>
        <v>0.22931335814801082</v>
      </c>
      <c r="L184" s="597">
        <f>SUM(L168:L183)</f>
        <v>43155.909844521913</v>
      </c>
      <c r="M184" s="678">
        <f t="shared" si="18"/>
        <v>1</v>
      </c>
    </row>
    <row r="185" spans="1:13" s="2" customFormat="1" ht="11.25" hidden="1">
      <c r="A185" s="5"/>
      <c r="B185" s="160"/>
      <c r="C185" s="113"/>
      <c r="D185" s="113"/>
      <c r="E185" s="113"/>
      <c r="F185" s="160"/>
      <c r="G185" s="143"/>
      <c r="H185" s="113"/>
      <c r="I185" s="162"/>
      <c r="J185" s="149"/>
      <c r="K185" s="271"/>
      <c r="L185" s="18"/>
      <c r="M185" s="2">
        <f t="shared" si="18"/>
        <v>0</v>
      </c>
    </row>
    <row r="186" spans="1:13" s="2" customFormat="1" ht="11.25" hidden="1">
      <c r="A186" s="5" t="s">
        <v>179</v>
      </c>
      <c r="B186" s="160">
        <f>+Dijon!$G187</f>
        <v>0</v>
      </c>
      <c r="C186" s="113">
        <f>+Eu!$G187</f>
        <v>0</v>
      </c>
      <c r="D186" s="113">
        <f>+Nancy!$G187</f>
        <v>0</v>
      </c>
      <c r="E186" s="113">
        <f>+Roanne!$G187</f>
        <v>0</v>
      </c>
      <c r="F186" s="160">
        <f>+Dijon!E187+Eu!E187+Nancy!E187+Roanne!E187</f>
        <v>0</v>
      </c>
      <c r="G186" s="135">
        <f>+Dijon!F187+Eu!F187+Nancy!F187+Roanne!F187</f>
        <v>1333.3333333333335</v>
      </c>
      <c r="H186" s="113">
        <v>0</v>
      </c>
      <c r="I186" s="161">
        <f>+Dijon!G187+Eu!G187+Nancy!G187+Roanne!G187</f>
        <v>0</v>
      </c>
      <c r="J186" s="149">
        <f>+IF((F186)=0,,(G186-F186)/F186)</f>
        <v>0</v>
      </c>
      <c r="K186" s="271">
        <f>+IF((G186)=0,,(I186-G186)/G186)</f>
        <v>-1</v>
      </c>
      <c r="L186" s="18">
        <f>+Dijon!D187+Eu!D187+Nancy!D187+Roanne!D187</f>
        <v>0</v>
      </c>
      <c r="M186" s="2">
        <v>0</v>
      </c>
    </row>
    <row r="187" spans="1:13" s="2" customFormat="1" ht="11.25" hidden="1">
      <c r="A187" s="5" t="s">
        <v>167</v>
      </c>
      <c r="B187" s="160">
        <f>+Dijon!$G188</f>
        <v>0</v>
      </c>
      <c r="C187" s="113">
        <f>+Eu!$G188</f>
        <v>0</v>
      </c>
      <c r="D187" s="113">
        <f>+Nancy!$G188</f>
        <v>0</v>
      </c>
      <c r="E187" s="113">
        <f>+Roanne!$G188</f>
        <v>0</v>
      </c>
      <c r="F187" s="160">
        <f>+Dijon!E188+Eu!E188+Nancy!E188+Roanne!E188</f>
        <v>0</v>
      </c>
      <c r="G187" s="135">
        <f>+Dijon!F188+Eu!F188+Nancy!F188+Roanne!F188</f>
        <v>0</v>
      </c>
      <c r="H187" s="113">
        <v>0</v>
      </c>
      <c r="I187" s="161">
        <f>+Dijon!G188+Eu!G188+Nancy!G188+Roanne!G188</f>
        <v>0</v>
      </c>
      <c r="J187" s="149">
        <f t="shared" ref="J187:J198" si="26">+IF((F187)=0,,(G187-F187)/F187)</f>
        <v>0</v>
      </c>
      <c r="K187" s="271">
        <f t="shared" ref="K187:K198" si="27">+IF((G187)=0,,(I187-G187)/G187)</f>
        <v>0</v>
      </c>
      <c r="L187" s="18">
        <f>+Dijon!D188+Eu!D188+Nancy!D188+Roanne!D188</f>
        <v>0</v>
      </c>
      <c r="M187" s="2">
        <f t="shared" si="18"/>
        <v>0</v>
      </c>
    </row>
    <row r="188" spans="1:13" s="2" customFormat="1" ht="11.25" hidden="1">
      <c r="A188" s="5" t="s">
        <v>180</v>
      </c>
      <c r="B188" s="160">
        <f>+Dijon!$G189</f>
        <v>0</v>
      </c>
      <c r="C188" s="113">
        <f>+Eu!$G189</f>
        <v>0</v>
      </c>
      <c r="D188" s="113">
        <f>+Nancy!$G189</f>
        <v>0</v>
      </c>
      <c r="E188" s="113">
        <f>+Roanne!$G189</f>
        <v>0</v>
      </c>
      <c r="F188" s="160">
        <f>+Dijon!E189+Eu!E189+Nancy!E189+Roanne!E189</f>
        <v>5424.09</v>
      </c>
      <c r="G188" s="135">
        <f>+Dijon!F189+Eu!F189+Nancy!F189+Roanne!F189</f>
        <v>7110.7333333333336</v>
      </c>
      <c r="H188" s="113">
        <v>0</v>
      </c>
      <c r="I188" s="161">
        <f>+Dijon!G189+Eu!G189+Nancy!G189+Roanne!G189</f>
        <v>0</v>
      </c>
      <c r="J188" s="149">
        <f t="shared" si="26"/>
        <v>0.31095415697994194</v>
      </c>
      <c r="K188" s="271">
        <f t="shared" si="27"/>
        <v>-1</v>
      </c>
      <c r="L188" s="18">
        <f>+Dijon!D189+Eu!D189+Nancy!D189+Roanne!D189</f>
        <v>0</v>
      </c>
      <c r="M188" s="2">
        <v>0</v>
      </c>
    </row>
    <row r="189" spans="1:13" s="2" customFormat="1" ht="11.25" hidden="1">
      <c r="A189" s="5" t="s">
        <v>181</v>
      </c>
      <c r="B189" s="160">
        <f>+Dijon!$G190</f>
        <v>0</v>
      </c>
      <c r="C189" s="113">
        <f>+Eu!$G190</f>
        <v>0</v>
      </c>
      <c r="D189" s="113">
        <f>+Nancy!$G190</f>
        <v>0</v>
      </c>
      <c r="E189" s="113">
        <f>+Roanne!$G190</f>
        <v>0</v>
      </c>
      <c r="F189" s="160">
        <f>+Dijon!E190+Eu!E190+Nancy!E190+Roanne!E190</f>
        <v>0</v>
      </c>
      <c r="G189" s="135">
        <f>+Dijon!F190+Eu!F190+Nancy!F190+Roanne!F190</f>
        <v>0</v>
      </c>
      <c r="H189" s="113">
        <v>0</v>
      </c>
      <c r="I189" s="161">
        <f>+Dijon!G190+Eu!G190+Nancy!G190+Roanne!G190</f>
        <v>0</v>
      </c>
      <c r="J189" s="149">
        <f t="shared" si="26"/>
        <v>0</v>
      </c>
      <c r="K189" s="271">
        <f t="shared" si="27"/>
        <v>0</v>
      </c>
      <c r="L189" s="18">
        <f>+Dijon!D190+Eu!D190+Nancy!D190+Roanne!D190</f>
        <v>0</v>
      </c>
      <c r="M189" s="2">
        <f t="shared" si="18"/>
        <v>0</v>
      </c>
    </row>
    <row r="190" spans="1:13" s="2" customFormat="1" ht="11.25" hidden="1">
      <c r="A190" s="5" t="s">
        <v>182</v>
      </c>
      <c r="B190" s="160">
        <f>+Dijon!$G191</f>
        <v>0</v>
      </c>
      <c r="C190" s="113">
        <f>+Eu!$G191</f>
        <v>0</v>
      </c>
      <c r="D190" s="113">
        <f>+Nancy!$G191</f>
        <v>0</v>
      </c>
      <c r="E190" s="113">
        <f>+Roanne!$G191</f>
        <v>0</v>
      </c>
      <c r="F190" s="160">
        <f>+Dijon!E191+Eu!E191+Nancy!E191+Roanne!E191</f>
        <v>0</v>
      </c>
      <c r="G190" s="135">
        <f>+Dijon!F191+Eu!F191+Nancy!F191+Roanne!F191</f>
        <v>0</v>
      </c>
      <c r="H190" s="113">
        <v>0</v>
      </c>
      <c r="I190" s="161">
        <f>+Dijon!G191+Eu!G191+Nancy!G191+Roanne!G191</f>
        <v>0</v>
      </c>
      <c r="J190" s="149">
        <f t="shared" si="26"/>
        <v>0</v>
      </c>
      <c r="K190" s="271">
        <f t="shared" si="27"/>
        <v>0</v>
      </c>
      <c r="L190" s="18">
        <f>+Dijon!D191+Eu!D191+Nancy!D191+Roanne!D191</f>
        <v>0</v>
      </c>
      <c r="M190" s="2">
        <f t="shared" si="18"/>
        <v>0</v>
      </c>
    </row>
    <row r="191" spans="1:13" s="2" customFormat="1" ht="11.25">
      <c r="A191" s="590" t="s">
        <v>183</v>
      </c>
      <c r="B191" s="805">
        <f>+Dijon!$G192</f>
        <v>0</v>
      </c>
      <c r="C191" s="805">
        <f>+Eu!$G192</f>
        <v>0</v>
      </c>
      <c r="D191" s="805">
        <f>+Nancy!$G192</f>
        <v>0</v>
      </c>
      <c r="E191" s="805">
        <f>+Roanne!$G192</f>
        <v>0</v>
      </c>
      <c r="F191" s="805">
        <f>+Dijon!E192+Eu!E192+Nancy!E192+Roanne!E192</f>
        <v>109.8</v>
      </c>
      <c r="G191" s="619">
        <f>+Dijon!F192+Eu!F192+Nancy!F192+Roanne!F192</f>
        <v>0</v>
      </c>
      <c r="H191" s="113">
        <v>0</v>
      </c>
      <c r="I191" s="1077">
        <f>+Dijon!G192+Eu!G192+Nancy!G192+Roanne!G192</f>
        <v>0</v>
      </c>
      <c r="J191" s="1013">
        <f t="shared" si="26"/>
        <v>-1</v>
      </c>
      <c r="K191" s="1014">
        <f t="shared" si="27"/>
        <v>0</v>
      </c>
      <c r="L191" s="805">
        <f>+Dijon!D192+Eu!D192+Nancy!D192+Roanne!D192</f>
        <v>0</v>
      </c>
      <c r="M191" s="2">
        <f t="shared" si="18"/>
        <v>1</v>
      </c>
    </row>
    <row r="192" spans="1:13" s="2" customFormat="1" ht="11.25" hidden="1">
      <c r="A192" s="5" t="s">
        <v>184</v>
      </c>
      <c r="B192" s="160">
        <f>+Dijon!$G193</f>
        <v>0</v>
      </c>
      <c r="C192" s="113">
        <f>+Eu!$G193</f>
        <v>0</v>
      </c>
      <c r="D192" s="113">
        <f>+Nancy!$G193</f>
        <v>0</v>
      </c>
      <c r="E192" s="113">
        <f>+Roanne!$G193</f>
        <v>0</v>
      </c>
      <c r="F192" s="160">
        <f>+Dijon!E193+Eu!E193+Nancy!E193+Roanne!E193</f>
        <v>15471.09</v>
      </c>
      <c r="G192" s="135">
        <f>+Dijon!F193+Eu!F193+Nancy!F193+Roanne!F193</f>
        <v>22.666666666666664</v>
      </c>
      <c r="H192" s="113">
        <v>0</v>
      </c>
      <c r="I192" s="161">
        <f>+Dijon!G193+Eu!G193+Nancy!G193+Roanne!G193</f>
        <v>0</v>
      </c>
      <c r="J192" s="149">
        <f t="shared" si="26"/>
        <v>-0.99853490176408599</v>
      </c>
      <c r="K192" s="271">
        <f t="shared" si="27"/>
        <v>-1</v>
      </c>
      <c r="L192" s="18">
        <f>+Dijon!D193+Eu!D193+Nancy!D193+Roanne!D193</f>
        <v>0</v>
      </c>
      <c r="M192" s="2">
        <v>0</v>
      </c>
    </row>
    <row r="193" spans="1:13" s="2" customFormat="1" ht="11.25" hidden="1">
      <c r="A193" s="5" t="s">
        <v>342</v>
      </c>
      <c r="B193" s="160">
        <f>+Dijon!$G194</f>
        <v>0</v>
      </c>
      <c r="C193" s="113">
        <f>+Eu!$G194</f>
        <v>0</v>
      </c>
      <c r="D193" s="113">
        <f>+Nancy!$G194</f>
        <v>0</v>
      </c>
      <c r="E193" s="113">
        <f>+Roanne!$G194</f>
        <v>0</v>
      </c>
      <c r="F193" s="160">
        <f>+Dijon!E194+Eu!E194+Nancy!E194+Roanne!E194</f>
        <v>522.91999999999996</v>
      </c>
      <c r="G193" s="135">
        <f>+Dijon!F194+Eu!F194+Nancy!F194+Roanne!F194</f>
        <v>0</v>
      </c>
      <c r="H193" s="113">
        <v>0</v>
      </c>
      <c r="I193" s="161">
        <f>+Dijon!G194+Eu!G194+Nancy!G194+Roanne!G194</f>
        <v>0</v>
      </c>
      <c r="J193" s="149">
        <f t="shared" si="26"/>
        <v>-1</v>
      </c>
      <c r="K193" s="271">
        <f t="shared" si="27"/>
        <v>0</v>
      </c>
      <c r="L193" s="18">
        <f>+Dijon!D194+Eu!D194+Nancy!D194+Roanne!D194</f>
        <v>0</v>
      </c>
      <c r="M193" s="2">
        <v>0</v>
      </c>
    </row>
    <row r="194" spans="1:13" s="2" customFormat="1" ht="11.25" hidden="1">
      <c r="A194" s="5" t="s">
        <v>186</v>
      </c>
      <c r="B194" s="160">
        <f>+Dijon!$G195</f>
        <v>0</v>
      </c>
      <c r="C194" s="113">
        <f>+Eu!$G195</f>
        <v>0</v>
      </c>
      <c r="D194" s="113">
        <f>+Nancy!$G195</f>
        <v>0</v>
      </c>
      <c r="E194" s="113">
        <f>+Roanne!$G195</f>
        <v>0</v>
      </c>
      <c r="F194" s="160">
        <f>+Dijon!E195+Eu!E195+Nancy!E195+Roanne!E195</f>
        <v>0</v>
      </c>
      <c r="G194" s="135">
        <f>+Dijon!F195+Eu!F195+Nancy!F195+Roanne!F195</f>
        <v>0</v>
      </c>
      <c r="H194" s="113">
        <v>0</v>
      </c>
      <c r="I194" s="161">
        <f>+Dijon!G195+Eu!G195+Nancy!G195+Roanne!G195</f>
        <v>0</v>
      </c>
      <c r="J194" s="149">
        <f t="shared" si="26"/>
        <v>0</v>
      </c>
      <c r="K194" s="271">
        <f t="shared" si="27"/>
        <v>0</v>
      </c>
      <c r="L194" s="18">
        <f>+Dijon!D195+Eu!D195+Nancy!D195+Roanne!D195</f>
        <v>0</v>
      </c>
      <c r="M194" s="2">
        <f t="shared" si="18"/>
        <v>0</v>
      </c>
    </row>
    <row r="195" spans="1:13" s="2" customFormat="1" ht="11.25" hidden="1">
      <c r="A195" s="5" t="s">
        <v>187</v>
      </c>
      <c r="B195" s="160">
        <f>+Dijon!$G196</f>
        <v>0</v>
      </c>
      <c r="C195" s="113">
        <f>+Eu!$G196</f>
        <v>0</v>
      </c>
      <c r="D195" s="113">
        <f>+Nancy!$G196</f>
        <v>0</v>
      </c>
      <c r="E195" s="113">
        <f>+Roanne!$G196</f>
        <v>0</v>
      </c>
      <c r="F195" s="160">
        <f>+Dijon!E196+Eu!E196+Nancy!E196+Roanne!E196</f>
        <v>0</v>
      </c>
      <c r="G195" s="135">
        <f>+Dijon!F196+Eu!F196+Nancy!F196+Roanne!F196</f>
        <v>0</v>
      </c>
      <c r="H195" s="113">
        <v>0</v>
      </c>
      <c r="I195" s="161">
        <f>+Dijon!G196+Eu!G196+Nancy!G196+Roanne!G196</f>
        <v>0</v>
      </c>
      <c r="J195" s="149">
        <f t="shared" si="26"/>
        <v>0</v>
      </c>
      <c r="K195" s="271">
        <f t="shared" si="27"/>
        <v>0</v>
      </c>
      <c r="L195" s="18">
        <f>+Dijon!D196+Eu!D196+Nancy!D196+Roanne!D196</f>
        <v>0</v>
      </c>
      <c r="M195" s="2">
        <f t="shared" si="18"/>
        <v>0</v>
      </c>
    </row>
    <row r="196" spans="1:13" s="2" customFormat="1" ht="11.25" hidden="1">
      <c r="A196" s="5" t="s">
        <v>328</v>
      </c>
      <c r="B196" s="160">
        <f>+Dijon!$G197</f>
        <v>0</v>
      </c>
      <c r="C196" s="113">
        <f>+Eu!$G197</f>
        <v>0</v>
      </c>
      <c r="D196" s="113">
        <f>+Nancy!$G197</f>
        <v>0</v>
      </c>
      <c r="E196" s="113">
        <f>+Roanne!$G197</f>
        <v>0</v>
      </c>
      <c r="F196" s="160">
        <f>+Dijon!E197+Eu!E197+Nancy!E197+Roanne!E197</f>
        <v>33792.559999999998</v>
      </c>
      <c r="G196" s="135">
        <f>+Dijon!F197+Eu!F197+Nancy!F197+Roanne!F197</f>
        <v>1795.8400000000001</v>
      </c>
      <c r="H196" s="113">
        <v>0</v>
      </c>
      <c r="I196" s="161">
        <f>+Dijon!G197+Eu!G197+Nancy!G197+Roanne!G197</f>
        <v>0</v>
      </c>
      <c r="J196" s="149">
        <f t="shared" si="26"/>
        <v>-0.94685694129121911</v>
      </c>
      <c r="K196" s="271">
        <f t="shared" si="27"/>
        <v>-1</v>
      </c>
      <c r="L196" s="18">
        <f>+Dijon!D197+Eu!D197+Nancy!D197+Roanne!D197</f>
        <v>0</v>
      </c>
      <c r="M196" s="2">
        <v>0</v>
      </c>
    </row>
    <row r="197" spans="1:13" s="2" customFormat="1" ht="11.25" hidden="1">
      <c r="A197" s="5" t="s">
        <v>344</v>
      </c>
      <c r="B197" s="160">
        <f>+Dijon!$G198</f>
        <v>0</v>
      </c>
      <c r="C197" s="113">
        <f>+Eu!$G198</f>
        <v>0</v>
      </c>
      <c r="D197" s="113">
        <f>+Nancy!$G198</f>
        <v>0</v>
      </c>
      <c r="E197" s="113">
        <f>+Roanne!$G198</f>
        <v>0</v>
      </c>
      <c r="F197" s="160">
        <f>+Dijon!E198+Eu!E198+Nancy!E198+Roanne!E198</f>
        <v>0</v>
      </c>
      <c r="G197" s="135">
        <f>+Dijon!F198+Eu!F198+Nancy!F198+Roanne!F198</f>
        <v>0</v>
      </c>
      <c r="H197" s="113">
        <v>0</v>
      </c>
      <c r="I197" s="161">
        <f>+Dijon!G198+Eu!G198+Nancy!G198+Roanne!G198</f>
        <v>0</v>
      </c>
      <c r="J197" s="149">
        <f t="shared" si="26"/>
        <v>0</v>
      </c>
      <c r="K197" s="271">
        <f t="shared" si="27"/>
        <v>0</v>
      </c>
      <c r="L197" s="18">
        <f>+Dijon!D198+Eu!D198+Nancy!D198+Roanne!D198</f>
        <v>0</v>
      </c>
      <c r="M197" s="2">
        <v>0</v>
      </c>
    </row>
    <row r="198" spans="1:13" s="2" customFormat="1" ht="11.25" hidden="1">
      <c r="A198" s="5" t="s">
        <v>77</v>
      </c>
      <c r="B198" s="160">
        <f>+Dijon!$G199</f>
        <v>0</v>
      </c>
      <c r="C198" s="113">
        <f>+Eu!$G199</f>
        <v>0</v>
      </c>
      <c r="D198" s="113">
        <f>+Nancy!$G199</f>
        <v>0</v>
      </c>
      <c r="E198" s="113">
        <f>+Roanne!$G199</f>
        <v>0</v>
      </c>
      <c r="F198" s="160">
        <f>+Dijon!E199+Eu!E199+Nancy!E199+Roanne!E199</f>
        <v>7874.36</v>
      </c>
      <c r="G198" s="135">
        <f>+Dijon!F199+Eu!F199+Nancy!F199+Roanne!F199</f>
        <v>0</v>
      </c>
      <c r="H198" s="113">
        <v>0</v>
      </c>
      <c r="I198" s="161">
        <f>+Dijon!G199+Eu!G199+Nancy!G199+Roanne!G199</f>
        <v>0</v>
      </c>
      <c r="J198" s="149">
        <f t="shared" si="26"/>
        <v>-1</v>
      </c>
      <c r="K198" s="271">
        <f t="shared" si="27"/>
        <v>0</v>
      </c>
      <c r="L198" s="18">
        <f>+Dijon!D199+Eu!D199+Nancy!D199+Roanne!D199</f>
        <v>0</v>
      </c>
      <c r="M198" s="2">
        <v>0</v>
      </c>
    </row>
    <row r="199" spans="1:13" s="2" customFormat="1" ht="11.25" hidden="1">
      <c r="A199" s="5"/>
      <c r="B199" s="160"/>
      <c r="C199" s="113"/>
      <c r="D199" s="113"/>
      <c r="E199" s="113"/>
      <c r="F199" s="160"/>
      <c r="G199" s="134"/>
      <c r="H199" s="113"/>
      <c r="I199" s="162"/>
      <c r="J199" s="149"/>
      <c r="K199" s="254"/>
      <c r="L199" s="18"/>
      <c r="M199" s="2">
        <f t="shared" si="18"/>
        <v>0</v>
      </c>
    </row>
    <row r="200" spans="1:13" s="2" customFormat="1" ht="11.25">
      <c r="A200" s="13" t="s">
        <v>188</v>
      </c>
      <c r="B200" s="803">
        <f t="shared" ref="B200:G200" si="28">SUM(B185:B199)</f>
        <v>0</v>
      </c>
      <c r="C200" s="803">
        <f t="shared" si="28"/>
        <v>0</v>
      </c>
      <c r="D200" s="803">
        <f t="shared" si="28"/>
        <v>0</v>
      </c>
      <c r="E200" s="803">
        <f t="shared" si="28"/>
        <v>0</v>
      </c>
      <c r="F200" s="803">
        <f t="shared" si="28"/>
        <v>63194.819999999992</v>
      </c>
      <c r="G200" s="597">
        <f t="shared" si="28"/>
        <v>10262.573333333334</v>
      </c>
      <c r="H200" s="204">
        <v>0</v>
      </c>
      <c r="I200" s="803">
        <f>SUM(I185:I199)</f>
        <v>0</v>
      </c>
      <c r="J200" s="596">
        <f>+IF((F200)=0,,(G200-F200)/F200)</f>
        <v>-0.83760420025987359</v>
      </c>
      <c r="K200" s="1015">
        <f>+IF((G200)=0,,(I200-G200)/G200)</f>
        <v>-1</v>
      </c>
      <c r="L200" s="803">
        <f>SUM(L185:L199)</f>
        <v>0</v>
      </c>
      <c r="M200" s="678">
        <f t="shared" ref="M200:M255" si="29">IF(SUM(B200:L200)&gt;0,1,0)</f>
        <v>1</v>
      </c>
    </row>
    <row r="201" spans="1:13" s="2" customFormat="1" ht="11.25" hidden="1">
      <c r="A201" s="5"/>
      <c r="B201" s="160"/>
      <c r="C201" s="113"/>
      <c r="D201" s="113"/>
      <c r="E201" s="113"/>
      <c r="F201" s="276"/>
      <c r="G201" s="134"/>
      <c r="H201" s="113"/>
      <c r="I201" s="162"/>
      <c r="J201" s="149"/>
      <c r="K201" s="254"/>
      <c r="L201" s="311"/>
      <c r="M201" s="2">
        <f t="shared" si="29"/>
        <v>0</v>
      </c>
    </row>
    <row r="202" spans="1:13" s="2" customFormat="1" ht="11.25">
      <c r="A202" s="14" t="s">
        <v>189</v>
      </c>
      <c r="B202" s="659">
        <f t="shared" ref="B202:G202" si="30">+B103+B116+B129+B153+B167+B184-B200</f>
        <v>224538.03951560438</v>
      </c>
      <c r="C202" s="659">
        <f t="shared" si="30"/>
        <v>419848.53151245316</v>
      </c>
      <c r="D202" s="659">
        <f t="shared" si="30"/>
        <v>310313.09137855569</v>
      </c>
      <c r="E202" s="659">
        <f t="shared" si="30"/>
        <v>386370.8123054555</v>
      </c>
      <c r="F202" s="659">
        <f t="shared" si="30"/>
        <v>1152601.5668799998</v>
      </c>
      <c r="G202" s="642">
        <f t="shared" si="30"/>
        <v>1282510.9459680002</v>
      </c>
      <c r="H202" s="206">
        <v>837636.56991162035</v>
      </c>
      <c r="I202" s="659">
        <f>+I103+I116+I129+I153+I167+I184-I200</f>
        <v>1341070.4747120687</v>
      </c>
      <c r="J202" s="363">
        <f>+IF((F202)=0,,(G202-F202)/F202)</f>
        <v>0.11270970196548898</v>
      </c>
      <c r="K202" s="1035">
        <f>+IF((G202)=0,,(I202-G202)/G202)</f>
        <v>4.5660061559840731E-2</v>
      </c>
      <c r="L202" s="659">
        <f>+L103+L116+L129+L153+L167+L184-L200</f>
        <v>1408020.7661032123</v>
      </c>
      <c r="M202" s="678">
        <f t="shared" si="29"/>
        <v>1</v>
      </c>
    </row>
    <row r="203" spans="1:13" s="2" customFormat="1" ht="11.25" hidden="1">
      <c r="A203" s="5"/>
      <c r="B203" s="160"/>
      <c r="C203" s="113"/>
      <c r="D203" s="113"/>
      <c r="E203" s="113"/>
      <c r="F203" s="160"/>
      <c r="G203" s="134"/>
      <c r="H203" s="25"/>
      <c r="I203" s="162"/>
      <c r="J203" s="149"/>
      <c r="K203" s="254"/>
      <c r="L203" s="18"/>
      <c r="M203" s="2">
        <f t="shared" si="29"/>
        <v>0</v>
      </c>
    </row>
    <row r="204" spans="1:13" s="2" customFormat="1" ht="11.25">
      <c r="A204" s="12" t="s">
        <v>228</v>
      </c>
      <c r="B204" s="667">
        <f t="shared" ref="B204:G204" si="31">+B62-B202</f>
        <v>-2290.7532156044035</v>
      </c>
      <c r="C204" s="667">
        <f t="shared" si="31"/>
        <v>217205.84372795717</v>
      </c>
      <c r="D204" s="667">
        <f t="shared" si="31"/>
        <v>37426.887971400574</v>
      </c>
      <c r="E204" s="667">
        <f t="shared" si="31"/>
        <v>161034.23097004188</v>
      </c>
      <c r="F204" s="667">
        <f>+F53-F202</f>
        <v>467300.95282000024</v>
      </c>
      <c r="G204" s="646">
        <f t="shared" si="31"/>
        <v>310067.20947251725</v>
      </c>
      <c r="H204" s="228">
        <v>309785.05643777945</v>
      </c>
      <c r="I204" s="667">
        <f>+I62-I202</f>
        <v>413376.20945379511</v>
      </c>
      <c r="J204" s="366">
        <f>+IF((F204)=0,,(G204-F204)/F204)</f>
        <v>-0.33647212229855628</v>
      </c>
      <c r="K204" s="1036">
        <f>+IF((G204)=0,,(I204-G204)/G204)</f>
        <v>0.33318260307830011</v>
      </c>
      <c r="L204" s="667">
        <f>+L62-L202</f>
        <v>454776.23389678774</v>
      </c>
      <c r="M204" s="678">
        <f t="shared" si="29"/>
        <v>1</v>
      </c>
    </row>
    <row r="205" spans="1:13" s="2" customFormat="1" ht="11.25" hidden="1">
      <c r="A205" s="5"/>
      <c r="B205" s="160"/>
      <c r="C205" s="113"/>
      <c r="D205" s="113"/>
      <c r="E205" s="113"/>
      <c r="F205" s="160"/>
      <c r="G205" s="134"/>
      <c r="H205" s="113"/>
      <c r="I205" s="162"/>
      <c r="J205" s="149"/>
      <c r="K205" s="254"/>
      <c r="L205" s="18"/>
      <c r="M205" s="2">
        <f t="shared" si="29"/>
        <v>0</v>
      </c>
    </row>
    <row r="206" spans="1:13" s="2" customFormat="1" ht="11.25">
      <c r="A206" s="63" t="s">
        <v>251</v>
      </c>
      <c r="B206" s="1105">
        <f>+Dijon!$G207</f>
        <v>2464.6022468146016</v>
      </c>
      <c r="C206" s="1105">
        <f>+Eu!$G207</f>
        <v>4815.0465658258481</v>
      </c>
      <c r="D206" s="1105">
        <f>+Nancy!$G207</f>
        <v>3457.423059293199</v>
      </c>
      <c r="E206" s="1105">
        <f>+Roanne!$G207</f>
        <v>5376.1877231963244</v>
      </c>
      <c r="F206" s="651">
        <f>+Dijon!E207+Eu!E207+Nancy!E207+Roanne!E207</f>
        <v>8782.3085735270633</v>
      </c>
      <c r="G206" s="651">
        <f>+Dijon!F207+Eu!F207+Nancy!F207+Roanne!F207</f>
        <v>10568.879709738892</v>
      </c>
      <c r="H206" s="150">
        <v>21490.909252861464</v>
      </c>
      <c r="I206" s="651">
        <f>+Dijon!G207+Eu!G207+Nancy!G207+Roanne!G207</f>
        <v>16113.259595129972</v>
      </c>
      <c r="J206" s="1079">
        <f>+IF((F206)=0,,(G206-F206)/F206)</f>
        <v>0.20342841762554059</v>
      </c>
      <c r="K206" s="1080">
        <f>+IF((G206)=0,,(I206-G206)/G206)</f>
        <v>0.52459485183487387</v>
      </c>
      <c r="L206" s="651">
        <f>+Dijon!D207+Eu!D207+Nancy!D207+Roanne!D207</f>
        <v>25614.593618466813</v>
      </c>
      <c r="M206" s="678">
        <f t="shared" si="29"/>
        <v>1</v>
      </c>
    </row>
    <row r="207" spans="1:13" s="2" customFormat="1" ht="11.25" hidden="1">
      <c r="A207" s="5"/>
      <c r="B207" s="160"/>
      <c r="C207" s="113"/>
      <c r="D207" s="113"/>
      <c r="E207" s="113"/>
      <c r="F207" s="160"/>
      <c r="G207" s="134"/>
      <c r="H207" s="113"/>
      <c r="I207" s="162"/>
      <c r="J207" s="149"/>
      <c r="K207" s="254"/>
      <c r="L207" s="18"/>
      <c r="M207" s="2">
        <f t="shared" si="29"/>
        <v>0</v>
      </c>
    </row>
    <row r="208" spans="1:13" s="2" customFormat="1" ht="11.25">
      <c r="A208" s="12" t="s">
        <v>190</v>
      </c>
      <c r="B208" s="667">
        <f t="shared" ref="B208:G208" si="32">+B204-B206</f>
        <v>-4755.3554624190056</v>
      </c>
      <c r="C208" s="667">
        <f t="shared" si="32"/>
        <v>212390.79716213132</v>
      </c>
      <c r="D208" s="667">
        <f t="shared" si="32"/>
        <v>33969.464912107374</v>
      </c>
      <c r="E208" s="667">
        <f t="shared" si="32"/>
        <v>155658.04324684557</v>
      </c>
      <c r="F208" s="667">
        <f t="shared" si="32"/>
        <v>458518.64424647315</v>
      </c>
      <c r="G208" s="646">
        <f t="shared" si="32"/>
        <v>299498.32976277836</v>
      </c>
      <c r="H208" s="228">
        <v>288294.14718491799</v>
      </c>
      <c r="I208" s="667">
        <f>+I204-I206</f>
        <v>397262.94985866512</v>
      </c>
      <c r="J208" s="366">
        <f>+IF((F208)=0,,(G208-F208)/F208)</f>
        <v>-0.34681319174060599</v>
      </c>
      <c r="K208" s="1036">
        <f>+IF((G208)=0,,(I208-G208)/G208)</f>
        <v>0.32642793091140948</v>
      </c>
      <c r="L208" s="667">
        <f>+L204-L206</f>
        <v>429161.64027832093</v>
      </c>
      <c r="M208" s="678">
        <f t="shared" si="29"/>
        <v>1</v>
      </c>
    </row>
    <row r="209" spans="1:14" s="2" customFormat="1" ht="11.25" hidden="1">
      <c r="A209" s="5"/>
      <c r="B209" s="160"/>
      <c r="C209" s="113"/>
      <c r="D209" s="113"/>
      <c r="E209" s="113"/>
      <c r="F209" s="160"/>
      <c r="G209" s="134"/>
      <c r="H209" s="113"/>
      <c r="I209" s="162"/>
      <c r="J209" s="149"/>
      <c r="K209" s="254"/>
      <c r="L209" s="18"/>
      <c r="M209" s="2">
        <f t="shared" si="29"/>
        <v>0</v>
      </c>
    </row>
    <row r="210" spans="1:14" s="2" customFormat="1" ht="11.25">
      <c r="A210" s="590" t="s">
        <v>191</v>
      </c>
      <c r="B210" s="805">
        <f>+Dijon!$G211</f>
        <v>9644.6846793104778</v>
      </c>
      <c r="C210" s="805">
        <f>+Eu!$G211</f>
        <v>9644.6846793104778</v>
      </c>
      <c r="D210" s="805">
        <f>+Nancy!$G211</f>
        <v>9644.6846793104778</v>
      </c>
      <c r="E210" s="805">
        <f>+Roanne!$G211</f>
        <v>9644.6846793104778</v>
      </c>
      <c r="F210" s="805">
        <f>+Dijon!E211+Eu!E211+Nancy!E211+Roanne!E211</f>
        <v>24285.258215999998</v>
      </c>
      <c r="G210" s="619">
        <f>+Dijon!F211+Eu!F211+Nancy!F211+Roanne!F211</f>
        <v>33701.315787096763</v>
      </c>
      <c r="H210" s="113">
        <v>18331.52660513256</v>
      </c>
      <c r="I210" s="1077">
        <f>+Dijon!G211+Eu!G211+Nancy!G211+Roanne!G211</f>
        <v>38578.738717241911</v>
      </c>
      <c r="J210" s="1013">
        <f>+IF((F210)=0,,(G210-F210)/F210)</f>
        <v>0.38772729889662561</v>
      </c>
      <c r="K210" s="1014">
        <f>+IF((G210)=0,,(I210-G210)/G210)</f>
        <v>0.14472500008479106</v>
      </c>
      <c r="L210" s="805">
        <f>+Dijon!D211+Eu!D211+Nancy!D211+Roanne!D211</f>
        <v>33828.111664621531</v>
      </c>
      <c r="M210" s="678">
        <f t="shared" si="29"/>
        <v>1</v>
      </c>
    </row>
    <row r="211" spans="1:14">
      <c r="A211" s="590" t="s">
        <v>192</v>
      </c>
      <c r="B211" s="805">
        <f>+Dijon!$G212</f>
        <v>26554.221889868688</v>
      </c>
      <c r="C211" s="805">
        <f>+Eu!$G212</f>
        <v>51878.478600043236</v>
      </c>
      <c r="D211" s="805">
        <f>+Nancy!$G212</f>
        <v>37251.113928131759</v>
      </c>
      <c r="E211" s="805">
        <f>+Roanne!$G212</f>
        <v>57924.349419000675</v>
      </c>
      <c r="F211" s="805">
        <f>+Dijon!E212+Eu!E212+Nancy!E212+Roanne!E212</f>
        <v>134786.39357927203</v>
      </c>
      <c r="G211" s="619">
        <f>+Dijon!F212+Eu!F212+Nancy!F212+Roanne!F212</f>
        <v>157322.02351066272</v>
      </c>
      <c r="H211" s="113">
        <v>143418.09017186947</v>
      </c>
      <c r="I211" s="1077">
        <f>+Dijon!G212+Eu!G212+Nancy!G212+Roanne!G212</f>
        <v>173608.16383704435</v>
      </c>
      <c r="J211" s="1013">
        <f>+IF((F211)=0,,(G211-F211)/F211)</f>
        <v>0.16719513990213555</v>
      </c>
      <c r="K211" s="1014">
        <f>+IF((G211)=0,,(I211-G211)/G211)</f>
        <v>0.10352104532445081</v>
      </c>
      <c r="L211" s="805">
        <f>+Dijon!D212+Eu!D212+Nancy!D212+Roanne!D212</f>
        <v>158576.28138374342</v>
      </c>
      <c r="M211" s="678">
        <f t="shared" si="29"/>
        <v>1</v>
      </c>
    </row>
    <row r="212" spans="1:14" hidden="1">
      <c r="A212" s="5" t="s">
        <v>193</v>
      </c>
      <c r="B212" s="160">
        <f>+Dijon!$G213</f>
        <v>-6927.8636000000015</v>
      </c>
      <c r="C212" s="113">
        <f>+Eu!$G213</f>
        <v>-10743.911666000002</v>
      </c>
      <c r="D212" s="113">
        <f>+Nancy!$G213</f>
        <v>-7928.3553999999995</v>
      </c>
      <c r="E212" s="113">
        <f>+Roanne!$G213</f>
        <v>-15748.474896</v>
      </c>
      <c r="F212" s="160">
        <f>+Dijon!E213+Eu!E213+Nancy!E213+Roanne!E213</f>
        <v>-37208.53</v>
      </c>
      <c r="G212" s="135">
        <f>+Dijon!F213+Eu!F213+Nancy!F213+Roanne!F213</f>
        <v>-37671.94666666667</v>
      </c>
      <c r="H212" s="113">
        <v>-40969.760000000002</v>
      </c>
      <c r="I212" s="161">
        <f>+Dijon!G213+Eu!G213+Nancy!G213+Roanne!G213</f>
        <v>-41348.605562000004</v>
      </c>
      <c r="J212" s="149">
        <f>+IF((F212)=0,,(G212-F212)/F212)</f>
        <v>1.2454581427072543E-2</v>
      </c>
      <c r="K212" s="271">
        <f>+IF((G212)=0,,(I212-G212)/G212)</f>
        <v>9.7596732334157763E-2</v>
      </c>
      <c r="L212" s="18">
        <f>+Dijon!D213+Eu!D213+Nancy!D213+Roanne!D213</f>
        <v>-39680.479999999996</v>
      </c>
      <c r="M212" s="2">
        <f t="shared" si="29"/>
        <v>0</v>
      </c>
    </row>
    <row r="213" spans="1:14" hidden="1">
      <c r="A213" s="5"/>
      <c r="B213" s="160"/>
      <c r="C213" s="113"/>
      <c r="D213" s="113"/>
      <c r="E213" s="113"/>
      <c r="F213" s="160"/>
      <c r="G213" s="134"/>
      <c r="H213" s="113"/>
      <c r="I213" s="162"/>
      <c r="J213" s="149"/>
      <c r="K213" s="254"/>
      <c r="L213" s="18"/>
      <c r="M213" s="2">
        <f t="shared" si="29"/>
        <v>0</v>
      </c>
    </row>
    <row r="214" spans="1:14">
      <c r="A214" s="20" t="s">
        <v>194</v>
      </c>
      <c r="B214" s="668">
        <f t="shared" ref="B214:G214" si="33">SUM(B209:B212)</f>
        <v>29271.042969179161</v>
      </c>
      <c r="C214" s="668">
        <f t="shared" si="33"/>
        <v>50779.251613353714</v>
      </c>
      <c r="D214" s="668">
        <f t="shared" si="33"/>
        <v>38967.443207442237</v>
      </c>
      <c r="E214" s="668">
        <f t="shared" si="33"/>
        <v>51820.559202311153</v>
      </c>
      <c r="F214" s="668">
        <f t="shared" si="33"/>
        <v>121863.12179527202</v>
      </c>
      <c r="G214" s="653">
        <f t="shared" si="33"/>
        <v>153351.39263109281</v>
      </c>
      <c r="H214" s="230">
        <v>120779.85677700202</v>
      </c>
      <c r="I214" s="668">
        <f>SUM(I209:I212)</f>
        <v>170838.29699228625</v>
      </c>
      <c r="J214" s="1079">
        <f>+IF((F214)=0,,(G214-F214)/F214)</f>
        <v>0.25839048246868773</v>
      </c>
      <c r="K214" s="1080">
        <f>+IF((G214)=0,,(I214-G214)/G214)</f>
        <v>0.11403159802572203</v>
      </c>
      <c r="L214" s="668">
        <f>SUM(L209:L212)</f>
        <v>152723.91304836498</v>
      </c>
      <c r="M214" s="678">
        <f t="shared" si="29"/>
        <v>1</v>
      </c>
    </row>
    <row r="215" spans="1:14" hidden="1">
      <c r="A215" s="5"/>
      <c r="B215" s="160"/>
      <c r="C215" s="113"/>
      <c r="D215" s="113"/>
      <c r="E215" s="113"/>
      <c r="F215" s="160"/>
      <c r="G215" s="134"/>
      <c r="H215" s="113"/>
      <c r="I215" s="162"/>
      <c r="J215" s="149"/>
      <c r="K215" s="254"/>
      <c r="L215" s="18"/>
      <c r="M215" s="2">
        <f t="shared" si="29"/>
        <v>0</v>
      </c>
    </row>
    <row r="216" spans="1:14" ht="18.75" customHeight="1">
      <c r="A216" s="740" t="s">
        <v>332</v>
      </c>
      <c r="B216" s="809">
        <f t="shared" ref="B216:G216" si="34">+B208-B214</f>
        <v>-34026.398431598165</v>
      </c>
      <c r="C216" s="809">
        <f t="shared" si="34"/>
        <v>161611.54554877762</v>
      </c>
      <c r="D216" s="809">
        <f t="shared" si="34"/>
        <v>-4997.9782953348622</v>
      </c>
      <c r="E216" s="809">
        <f t="shared" si="34"/>
        <v>103837.48404453442</v>
      </c>
      <c r="F216" s="809">
        <f t="shared" si="34"/>
        <v>336655.5224512011</v>
      </c>
      <c r="G216" s="1065">
        <f t="shared" si="34"/>
        <v>146146.93713168555</v>
      </c>
      <c r="H216" s="228">
        <v>167514.29040791598</v>
      </c>
      <c r="I216" s="809">
        <f>+I208-I214</f>
        <v>226424.65286637886</v>
      </c>
      <c r="J216" s="1127">
        <f>+IF((F216)=0,,(G216-F216)/F216)</f>
        <v>-0.56588581685045769</v>
      </c>
      <c r="K216" s="1066">
        <f>+IF((G216)=0,,(I216-G216)/G216)</f>
        <v>0.54929454773560638</v>
      </c>
      <c r="L216" s="809">
        <f>+L208-L214</f>
        <v>276437.72722995596</v>
      </c>
      <c r="M216" s="684">
        <f t="shared" si="29"/>
        <v>1</v>
      </c>
    </row>
    <row r="217" spans="1:14">
      <c r="A217" s="670" t="s">
        <v>44</v>
      </c>
      <c r="B217" s="805">
        <f>+Dijon!$G217</f>
        <v>-34026.398431598165</v>
      </c>
      <c r="C217" s="805">
        <f>+Eu!$G217</f>
        <v>161611.54554877762</v>
      </c>
      <c r="D217" s="805">
        <f>+Nancy!$G217</f>
        <v>-4997.9782953348622</v>
      </c>
      <c r="E217" s="805">
        <f>+Roanne!$G217</f>
        <v>103837.48404453442</v>
      </c>
      <c r="F217" s="619">
        <f>+Dijon!E217+Eu!E217+Nancy!E217+Roanne!E217</f>
        <v>336655.52245120099</v>
      </c>
      <c r="G217" s="619">
        <f>+Dijon!F217+Eu!F217+Nancy!F217+Roanne!F217</f>
        <v>146146.93713168579</v>
      </c>
      <c r="H217" s="113">
        <v>167514.29040791569</v>
      </c>
      <c r="I217" s="619">
        <f>+Dijon!G217+Eu!G217+Nancy!G217+Roanne!G217</f>
        <v>226424.65286637901</v>
      </c>
      <c r="J217" s="1081"/>
      <c r="K217" s="1081"/>
      <c r="L217" s="805">
        <f>+Dijon!D217+Eu!D217+Nancy!D217+Roanne!D217</f>
        <v>276437.72722995642</v>
      </c>
      <c r="M217" s="678">
        <f t="shared" si="29"/>
        <v>1</v>
      </c>
    </row>
    <row r="218" spans="1:14" hidden="1">
      <c r="A218" s="87"/>
      <c r="B218" s="110"/>
      <c r="C218" s="110"/>
      <c r="D218" s="110"/>
      <c r="E218" s="110"/>
      <c r="F218" s="110"/>
      <c r="G218" s="110"/>
      <c r="H218" s="110"/>
      <c r="I218" s="110"/>
      <c r="J218" s="66"/>
      <c r="K218" s="66"/>
      <c r="L218" s="113"/>
      <c r="M218" s="2">
        <f t="shared" si="29"/>
        <v>0</v>
      </c>
    </row>
    <row r="219" spans="1:14" s="2" customFormat="1" ht="11.25" hidden="1">
      <c r="B219" s="17"/>
      <c r="C219" s="17"/>
      <c r="D219" s="17"/>
      <c r="E219" s="17"/>
      <c r="F219" s="17"/>
      <c r="G219" s="17"/>
      <c r="H219" s="17"/>
      <c r="I219" s="17"/>
      <c r="J219" s="66"/>
      <c r="K219" s="66"/>
      <c r="L219" s="113"/>
      <c r="M219" s="2">
        <f t="shared" si="29"/>
        <v>0</v>
      </c>
    </row>
    <row r="220" spans="1:14" s="2" customFormat="1" ht="11.25" hidden="1">
      <c r="B220" s="17"/>
      <c r="C220" s="17"/>
      <c r="D220" s="17"/>
      <c r="E220" s="17"/>
      <c r="F220" s="17"/>
      <c r="G220" s="17"/>
      <c r="H220" s="17"/>
      <c r="I220" s="17"/>
      <c r="L220" s="17"/>
      <c r="M220" s="2">
        <f t="shared" si="29"/>
        <v>0</v>
      </c>
    </row>
    <row r="221" spans="1:14" s="2" customFormat="1" ht="11.25" hidden="1">
      <c r="B221" s="17"/>
      <c r="C221" s="17"/>
      <c r="D221" s="17"/>
      <c r="E221" s="17"/>
      <c r="F221" s="17"/>
      <c r="G221" s="17"/>
      <c r="H221" s="17"/>
      <c r="I221" s="17"/>
      <c r="L221" s="17"/>
      <c r="M221" s="2">
        <f t="shared" si="29"/>
        <v>0</v>
      </c>
    </row>
    <row r="222" spans="1:14" s="2" customFormat="1" ht="16.5" customHeight="1">
      <c r="A222" s="654" t="s">
        <v>67</v>
      </c>
      <c r="B222" s="656">
        <f>+Dijon!$G222</f>
        <v>741576.88716922584</v>
      </c>
      <c r="C222" s="656">
        <f>+Eu!$G222</f>
        <v>947345.33026912773</v>
      </c>
      <c r="D222" s="656">
        <f>+Nancy!$G222</f>
        <v>914415.44097223599</v>
      </c>
      <c r="E222" s="656">
        <f>+Roanne!$G222</f>
        <v>1130623.35808324</v>
      </c>
      <c r="F222" s="656">
        <f>+(F214+F206+F202)/F60</f>
        <v>2954890.4854263095</v>
      </c>
      <c r="G222" s="656">
        <f>+(G214+G206+G202)/G60</f>
        <v>3418191.1795021784</v>
      </c>
      <c r="H222" s="265">
        <f>+(H214+H206+H202)/H60</f>
        <v>3006832.7429065062</v>
      </c>
      <c r="I222" s="656">
        <f>+(I214+I206+I202)/I60</f>
        <v>3666003.0361759872</v>
      </c>
      <c r="J222" s="656"/>
      <c r="K222" s="656"/>
      <c r="L222" s="656">
        <f>+(L214+L206+L202)/L60</f>
        <v>3683718.1532206745</v>
      </c>
      <c r="M222" s="678">
        <f t="shared" si="29"/>
        <v>1</v>
      </c>
      <c r="N222" s="264"/>
    </row>
    <row r="223" spans="1:14" s="2" customFormat="1" ht="16.5" customHeight="1">
      <c r="A223" s="654" t="s">
        <v>66</v>
      </c>
      <c r="B223" s="656">
        <f>+Dijon!$G223</f>
        <v>61798.07393076882</v>
      </c>
      <c r="C223" s="656">
        <f>+Eu!$G223</f>
        <v>78945.444189093978</v>
      </c>
      <c r="D223" s="656">
        <f>+Nancy!$G223</f>
        <v>76201.286747686332</v>
      </c>
      <c r="E223" s="656">
        <f>+Roanne!$G223</f>
        <v>94218.613173603328</v>
      </c>
      <c r="F223" s="656">
        <f>+F222/12</f>
        <v>246240.87378552579</v>
      </c>
      <c r="G223" s="656">
        <f>+G222/12</f>
        <v>284849.26495851489</v>
      </c>
      <c r="H223" s="265">
        <f>+H222/12</f>
        <v>250569.39524220885</v>
      </c>
      <c r="I223" s="656">
        <f>+I222/12</f>
        <v>305500.25301466562</v>
      </c>
      <c r="J223" s="656"/>
      <c r="K223" s="656"/>
      <c r="L223" s="656">
        <f>+L222/12</f>
        <v>306976.51276838954</v>
      </c>
      <c r="M223" s="678">
        <f t="shared" si="29"/>
        <v>1</v>
      </c>
      <c r="N223" s="264"/>
    </row>
    <row r="224" spans="1:14" hidden="1">
      <c r="B224" s="26"/>
      <c r="C224" s="26"/>
      <c r="D224" s="26"/>
      <c r="E224" s="26"/>
      <c r="F224" s="26"/>
      <c r="G224" s="26"/>
      <c r="I224" s="26"/>
      <c r="J224" s="66"/>
      <c r="K224" s="66"/>
      <c r="L224" s="17"/>
      <c r="M224" s="2">
        <f t="shared" si="29"/>
        <v>0</v>
      </c>
    </row>
    <row r="225" spans="1:13" hidden="1">
      <c r="B225" s="26"/>
      <c r="C225" s="26"/>
      <c r="D225" s="26"/>
      <c r="E225" s="26"/>
      <c r="F225" s="26"/>
      <c r="G225" s="26"/>
      <c r="I225" s="26"/>
      <c r="J225" s="66"/>
      <c r="K225" s="66"/>
      <c r="L225" s="17"/>
      <c r="M225" s="2">
        <f t="shared" si="29"/>
        <v>0</v>
      </c>
    </row>
    <row r="226" spans="1:13" hidden="1">
      <c r="B226" s="26"/>
      <c r="C226" s="26"/>
      <c r="D226" s="26"/>
      <c r="E226" s="26"/>
      <c r="F226" s="26"/>
      <c r="G226" s="26"/>
      <c r="I226" s="26"/>
      <c r="J226" s="66"/>
      <c r="K226" s="66"/>
      <c r="L226" s="17"/>
      <c r="M226" s="2">
        <f t="shared" si="29"/>
        <v>0</v>
      </c>
    </row>
    <row r="227" spans="1:13" s="2" customFormat="1" ht="12.75" hidden="1" customHeight="1">
      <c r="A227" s="6"/>
      <c r="B227" s="155"/>
      <c r="C227" s="211"/>
      <c r="D227" s="211"/>
      <c r="E227" s="211"/>
      <c r="F227" s="267" t="s">
        <v>54</v>
      </c>
      <c r="G227" s="130" t="s">
        <v>196</v>
      </c>
      <c r="H227" s="130" t="s">
        <v>54</v>
      </c>
      <c r="I227" s="104" t="s">
        <v>54</v>
      </c>
      <c r="J227" s="151" t="s">
        <v>225</v>
      </c>
      <c r="K227" s="183" t="s">
        <v>225</v>
      </c>
      <c r="L227" s="8" t="s">
        <v>196</v>
      </c>
      <c r="M227" s="2">
        <f t="shared" si="29"/>
        <v>0</v>
      </c>
    </row>
    <row r="228" spans="1:13" s="2" customFormat="1" ht="20.25" hidden="1" customHeight="1">
      <c r="A228" s="7" t="str">
        <f>+A4</f>
        <v>CT</v>
      </c>
      <c r="B228" s="1428" t="s">
        <v>22</v>
      </c>
      <c r="C228" s="1430" t="s">
        <v>357</v>
      </c>
      <c r="D228" s="1426" t="s">
        <v>375</v>
      </c>
      <c r="E228" s="1426" t="s">
        <v>424</v>
      </c>
      <c r="F228" s="260" t="str">
        <f>Clients!E13</f>
        <v>Septembre</v>
      </c>
      <c r="G228" s="131" t="s">
        <v>224</v>
      </c>
      <c r="H228" s="131" t="str">
        <f>+F228</f>
        <v>Septembre</v>
      </c>
      <c r="I228" s="105" t="str">
        <f>+F228</f>
        <v>Septembre</v>
      </c>
      <c r="J228" s="152"/>
      <c r="K228" s="132" t="str">
        <f>+K4</f>
        <v>PERIMETRE</v>
      </c>
      <c r="L228" s="9" t="s">
        <v>197</v>
      </c>
      <c r="M228" s="2">
        <f t="shared" si="29"/>
        <v>0</v>
      </c>
    </row>
    <row r="229" spans="1:13" s="2" customFormat="1" ht="16.5" customHeight="1">
      <c r="A229" s="588"/>
      <c r="B229" s="1451"/>
      <c r="C229" s="1452"/>
      <c r="D229" s="1451"/>
      <c r="E229" s="1451"/>
      <c r="F229" s="585"/>
      <c r="G229" s="585"/>
      <c r="H229" s="132">
        <v>2009</v>
      </c>
      <c r="I229" s="585"/>
      <c r="J229" s="583"/>
      <c r="K229" s="585" t="str">
        <f>+K5</f>
        <v>IDENTIQUE</v>
      </c>
      <c r="L229" s="585"/>
      <c r="M229" s="678">
        <f t="shared" si="29"/>
        <v>1</v>
      </c>
    </row>
    <row r="230" spans="1:13" s="2" customFormat="1" ht="16.5" customHeight="1">
      <c r="A230" s="585"/>
      <c r="B230" s="584"/>
      <c r="C230" s="584"/>
      <c r="D230" s="584"/>
      <c r="E230" s="584"/>
      <c r="F230" s="585">
        <f>+Clients!E14</f>
        <v>2010</v>
      </c>
      <c r="G230" s="585">
        <v>2009</v>
      </c>
      <c r="H230" s="133" t="s">
        <v>429</v>
      </c>
      <c r="I230" s="585">
        <f>+F230-1</f>
        <v>2009</v>
      </c>
      <c r="J230" s="583" t="s">
        <v>367</v>
      </c>
      <c r="K230" s="583" t="s">
        <v>368</v>
      </c>
      <c r="L230" s="585">
        <v>2008</v>
      </c>
      <c r="M230" s="678">
        <f t="shared" si="29"/>
        <v>1</v>
      </c>
    </row>
    <row r="231" spans="1:13" s="2" customFormat="1" ht="11.25" hidden="1" customHeight="1">
      <c r="B231" s="288"/>
      <c r="C231" s="249"/>
      <c r="D231" s="249"/>
      <c r="E231" s="286"/>
      <c r="F231" s="248"/>
      <c r="G231" s="287"/>
      <c r="H231" s="287"/>
      <c r="I231" s="250"/>
      <c r="J231" s="288"/>
      <c r="K231" s="289"/>
      <c r="L231" s="332"/>
      <c r="M231" s="2">
        <f t="shared" si="29"/>
        <v>0</v>
      </c>
    </row>
    <row r="232" spans="1:13" s="33" customFormat="1" ht="15" customHeight="1">
      <c r="A232" s="14" t="s">
        <v>223</v>
      </c>
      <c r="B232" s="659">
        <f>+B51</f>
        <v>643115</v>
      </c>
      <c r="C232" s="659">
        <f t="shared" ref="C232:L232" si="35">+C51</f>
        <v>1269365</v>
      </c>
      <c r="D232" s="659">
        <f>+D51</f>
        <v>901459</v>
      </c>
      <c r="E232" s="659">
        <f t="shared" si="35"/>
        <v>1395298</v>
      </c>
      <c r="F232" s="659">
        <f t="shared" si="35"/>
        <v>3730096.04</v>
      </c>
      <c r="G232" s="659">
        <f t="shared" si="35"/>
        <v>3763564.0980975544</v>
      </c>
      <c r="H232" s="206">
        <f>+H51</f>
        <v>3520848.1347999997</v>
      </c>
      <c r="I232" s="659">
        <f t="shared" si="35"/>
        <v>4209237</v>
      </c>
      <c r="J232" s="363">
        <f t="shared" si="35"/>
        <v>0</v>
      </c>
      <c r="K232" s="363">
        <f t="shared" si="35"/>
        <v>0</v>
      </c>
      <c r="L232" s="659">
        <f t="shared" si="35"/>
        <v>4325640</v>
      </c>
      <c r="M232" s="678">
        <f t="shared" si="29"/>
        <v>1</v>
      </c>
    </row>
    <row r="233" spans="1:13" s="2" customFormat="1" ht="11.25" hidden="1" customHeight="1">
      <c r="B233" s="160"/>
      <c r="C233" s="113"/>
      <c r="D233" s="113"/>
      <c r="E233" s="162"/>
      <c r="F233" s="160"/>
      <c r="G233" s="113"/>
      <c r="H233" s="113"/>
      <c r="I233" s="162"/>
      <c r="J233" s="92"/>
      <c r="K233" s="186"/>
      <c r="L233" s="162"/>
      <c r="M233" s="2">
        <f t="shared" si="29"/>
        <v>0</v>
      </c>
    </row>
    <row r="234" spans="1:13" s="33" customFormat="1" ht="15" customHeight="1">
      <c r="A234" s="12" t="s">
        <v>295</v>
      </c>
      <c r="B234" s="660">
        <f t="shared" ref="B234:I234" si="36">+B60</f>
        <v>0.34557938517994446</v>
      </c>
      <c r="C234" s="660">
        <f t="shared" si="36"/>
        <v>0.50186855257582363</v>
      </c>
      <c r="D234" s="660">
        <f>+D60</f>
        <v>0.385752407319641</v>
      </c>
      <c r="E234" s="660">
        <f t="shared" si="36"/>
        <v>0.39232124125132939</v>
      </c>
      <c r="F234" s="660">
        <f t="shared" si="36"/>
        <v>0.43427903794670125</v>
      </c>
      <c r="G234" s="660">
        <f t="shared" si="36"/>
        <v>0.42315691029297214</v>
      </c>
      <c r="H234" s="224">
        <f>+H60</f>
        <v>0.32589352974594532</v>
      </c>
      <c r="I234" s="660">
        <f t="shared" si="36"/>
        <v>0.41680871952942156</v>
      </c>
      <c r="J234" s="660"/>
      <c r="K234" s="660"/>
      <c r="L234" s="660"/>
      <c r="M234" s="678">
        <f t="shared" si="29"/>
        <v>1</v>
      </c>
    </row>
    <row r="235" spans="1:13" s="33" customFormat="1" ht="15" customHeight="1">
      <c r="A235" s="12" t="s">
        <v>296</v>
      </c>
      <c r="B235" s="661">
        <f>+B62</f>
        <v>222247.28629999998</v>
      </c>
      <c r="C235" s="661">
        <f>+C62</f>
        <v>637054.37524041033</v>
      </c>
      <c r="D235" s="661">
        <f>+D62</f>
        <v>347739.97934995627</v>
      </c>
      <c r="E235" s="661">
        <f t="shared" ref="E235:L235" si="37">+E62</f>
        <v>547405.04327549739</v>
      </c>
      <c r="F235" s="661">
        <f t="shared" si="37"/>
        <v>1619902.5197000001</v>
      </c>
      <c r="G235" s="661">
        <f t="shared" si="37"/>
        <v>1592578.1554405175</v>
      </c>
      <c r="H235" s="223">
        <f>+H62</f>
        <v>1147421.6263493998</v>
      </c>
      <c r="I235" s="661">
        <f t="shared" si="37"/>
        <v>1754446.6841658638</v>
      </c>
      <c r="J235" s="1082">
        <f t="shared" si="37"/>
        <v>-1.6867906511154118E-2</v>
      </c>
      <c r="K235" s="1082">
        <f t="shared" si="37"/>
        <v>0.10163929988137532</v>
      </c>
      <c r="L235" s="661">
        <f t="shared" si="37"/>
        <v>1862797</v>
      </c>
      <c r="M235" s="678">
        <f t="shared" si="29"/>
        <v>1</v>
      </c>
    </row>
    <row r="236" spans="1:13" s="25" customFormat="1" ht="11.25" hidden="1" customHeight="1">
      <c r="B236" s="160"/>
      <c r="C236" s="113"/>
      <c r="D236" s="113"/>
      <c r="E236" s="162"/>
      <c r="F236" s="160"/>
      <c r="G236" s="113"/>
      <c r="H236" s="113"/>
      <c r="I236" s="162"/>
      <c r="J236" s="92"/>
      <c r="K236" s="186"/>
      <c r="L236" s="162"/>
      <c r="M236" s="2">
        <f t="shared" si="29"/>
        <v>0</v>
      </c>
    </row>
    <row r="237" spans="1:13" s="298" customFormat="1" ht="15" customHeight="1">
      <c r="A237" s="662" t="s">
        <v>122</v>
      </c>
      <c r="B237" s="665">
        <f>+B103</f>
        <v>79556.809913863515</v>
      </c>
      <c r="C237" s="665">
        <f t="shared" ref="C237:L237" si="38">+C103</f>
        <v>100925.56735345576</v>
      </c>
      <c r="D237" s="665">
        <f>+D103</f>
        <v>115371.50667037448</v>
      </c>
      <c r="E237" s="665">
        <f t="shared" si="38"/>
        <v>98956.988631857166</v>
      </c>
      <c r="F237" s="665">
        <f t="shared" si="38"/>
        <v>312215.66000000003</v>
      </c>
      <c r="G237" s="665">
        <f t="shared" si="38"/>
        <v>361291.8716666667</v>
      </c>
      <c r="H237" s="295">
        <f>+H103</f>
        <v>239392.53089079331</v>
      </c>
      <c r="I237" s="665">
        <f t="shared" si="38"/>
        <v>394810.87256955088</v>
      </c>
      <c r="J237" s="663">
        <f t="shared" si="38"/>
        <v>0.15718689980722511</v>
      </c>
      <c r="K237" s="663">
        <f t="shared" si="38"/>
        <v>9.27754082821141E-2</v>
      </c>
      <c r="L237" s="665">
        <f t="shared" si="38"/>
        <v>372751.90654242225</v>
      </c>
      <c r="M237" s="678">
        <f t="shared" si="29"/>
        <v>1</v>
      </c>
    </row>
    <row r="238" spans="1:13" s="298" customFormat="1" ht="15" customHeight="1">
      <c r="A238" s="662" t="s">
        <v>133</v>
      </c>
      <c r="B238" s="665">
        <f>+B116</f>
        <v>14500</v>
      </c>
      <c r="C238" s="665">
        <f t="shared" ref="C238:L238" si="39">+C116</f>
        <v>21314.971866666667</v>
      </c>
      <c r="D238" s="665">
        <f>+D116</f>
        <v>16026.78</v>
      </c>
      <c r="E238" s="665">
        <f t="shared" si="39"/>
        <v>32390.828533333333</v>
      </c>
      <c r="F238" s="665">
        <f t="shared" si="39"/>
        <v>62394.869999999995</v>
      </c>
      <c r="G238" s="665">
        <f t="shared" si="39"/>
        <v>98899.913333333345</v>
      </c>
      <c r="H238" s="295">
        <f>+H116</f>
        <v>145714.81855375</v>
      </c>
      <c r="I238" s="665">
        <f t="shared" si="39"/>
        <v>84232.580400000006</v>
      </c>
      <c r="J238" s="663">
        <f t="shared" si="39"/>
        <v>0.5850648191643536</v>
      </c>
      <c r="K238" s="663">
        <f t="shared" si="39"/>
        <v>-0.14830481078277996</v>
      </c>
      <c r="L238" s="665">
        <f t="shared" si="39"/>
        <v>118720.70170000001</v>
      </c>
      <c r="M238" s="678">
        <f t="shared" si="29"/>
        <v>1</v>
      </c>
    </row>
    <row r="239" spans="1:13" s="298" customFormat="1" ht="15" customHeight="1">
      <c r="A239" s="662" t="s">
        <v>147</v>
      </c>
      <c r="B239" s="665">
        <f>+B129</f>
        <v>7773.4290516088895</v>
      </c>
      <c r="C239" s="665">
        <f t="shared" ref="C239:L239" si="40">+C129</f>
        <v>26016.510600000001</v>
      </c>
      <c r="D239" s="665">
        <f>+D129</f>
        <v>14366.466499999999</v>
      </c>
      <c r="E239" s="665">
        <f t="shared" si="40"/>
        <v>15532.053</v>
      </c>
      <c r="F239" s="665">
        <f t="shared" si="40"/>
        <v>67206.7</v>
      </c>
      <c r="G239" s="665">
        <f t="shared" si="40"/>
        <v>61671.015968</v>
      </c>
      <c r="H239" s="295">
        <f>+H129</f>
        <v>26026.923673829653</v>
      </c>
      <c r="I239" s="665">
        <f t="shared" si="40"/>
        <v>63688.459151608899</v>
      </c>
      <c r="J239" s="663">
        <f t="shared" si="40"/>
        <v>-8.2368038186668852E-2</v>
      </c>
      <c r="K239" s="663">
        <f t="shared" si="40"/>
        <v>3.2712987648131409E-2</v>
      </c>
      <c r="L239" s="665">
        <f t="shared" si="40"/>
        <v>78903.143297252915</v>
      </c>
      <c r="M239" s="678">
        <f t="shared" si="29"/>
        <v>1</v>
      </c>
    </row>
    <row r="240" spans="1:13" s="298" customFormat="1" ht="15" customHeight="1">
      <c r="A240" s="662" t="s">
        <v>164</v>
      </c>
      <c r="B240" s="665">
        <f>+B153</f>
        <v>110571.72667003199</v>
      </c>
      <c r="C240" s="665">
        <f t="shared" ref="C240:L240" si="41">+C153</f>
        <v>248306.41336168407</v>
      </c>
      <c r="D240" s="665">
        <f>+D153</f>
        <v>148758.73399601452</v>
      </c>
      <c r="E240" s="665">
        <f t="shared" si="41"/>
        <v>213166.82919801836</v>
      </c>
      <c r="F240" s="665">
        <f t="shared" si="41"/>
        <v>712174.71687999996</v>
      </c>
      <c r="G240" s="665">
        <f t="shared" si="41"/>
        <v>713910.71499999997</v>
      </c>
      <c r="H240" s="295">
        <f>+H153</f>
        <v>342495.1080067376</v>
      </c>
      <c r="I240" s="665">
        <f t="shared" si="41"/>
        <v>720803.70322574896</v>
      </c>
      <c r="J240" s="663">
        <f t="shared" si="41"/>
        <v>2.4376014464615094E-3</v>
      </c>
      <c r="K240" s="663">
        <f t="shared" si="41"/>
        <v>9.655252513963172E-3</v>
      </c>
      <c r="L240" s="665">
        <f t="shared" si="41"/>
        <v>748152.28529898485</v>
      </c>
      <c r="M240" s="678">
        <f t="shared" si="29"/>
        <v>1</v>
      </c>
    </row>
    <row r="241" spans="1:13" s="298" customFormat="1" ht="15" customHeight="1">
      <c r="A241" s="662" t="s">
        <v>74</v>
      </c>
      <c r="B241" s="665">
        <f>+B167</f>
        <v>8256.0838801000009</v>
      </c>
      <c r="C241" s="665">
        <f t="shared" ref="C241:L241" si="42">+C167</f>
        <v>7395.5869973133349</v>
      </c>
      <c r="D241" s="665">
        <f>+D167</f>
        <v>11762.147678833335</v>
      </c>
      <c r="E241" s="665">
        <f t="shared" si="42"/>
        <v>18253.759608913333</v>
      </c>
      <c r="F241" s="665">
        <f t="shared" si="42"/>
        <v>11081.5</v>
      </c>
      <c r="G241" s="665">
        <f t="shared" si="42"/>
        <v>31077.173333333332</v>
      </c>
      <c r="H241" s="295">
        <f>+H167</f>
        <v>46975.089222620969</v>
      </c>
      <c r="I241" s="665">
        <f t="shared" si="42"/>
        <v>45667.578165159997</v>
      </c>
      <c r="J241" s="663">
        <f t="shared" si="42"/>
        <v>1.8044193776414144</v>
      </c>
      <c r="K241" s="663">
        <f t="shared" si="42"/>
        <v>0.46948944407942717</v>
      </c>
      <c r="L241" s="665">
        <f t="shared" si="42"/>
        <v>46336.81942003029</v>
      </c>
      <c r="M241" s="678">
        <f t="shared" si="29"/>
        <v>1</v>
      </c>
    </row>
    <row r="242" spans="1:13" s="298" customFormat="1" ht="15" customHeight="1">
      <c r="A242" s="662" t="s">
        <v>369</v>
      </c>
      <c r="B242" s="665">
        <f>+B184-B200</f>
        <v>3879.99</v>
      </c>
      <c r="C242" s="665">
        <f t="shared" ref="C242:L242" si="43">+C184-C200</f>
        <v>15889.481333333333</v>
      </c>
      <c r="D242" s="665">
        <f>+D184-D200</f>
        <v>4027.4565333333335</v>
      </c>
      <c r="E242" s="665">
        <f t="shared" si="43"/>
        <v>8070.3533333333335</v>
      </c>
      <c r="F242" s="665">
        <f t="shared" si="43"/>
        <v>-12471.879999999997</v>
      </c>
      <c r="G242" s="665">
        <f t="shared" si="43"/>
        <v>15660.256666666668</v>
      </c>
      <c r="H242" s="295">
        <f>+H184-H200</f>
        <v>37032.099563888893</v>
      </c>
      <c r="I242" s="665">
        <f t="shared" si="43"/>
        <v>31867.281200000001</v>
      </c>
      <c r="J242" s="663">
        <f t="shared" si="43"/>
        <v>0.34867138209121074</v>
      </c>
      <c r="K242" s="663">
        <f t="shared" si="43"/>
        <v>1.2293133581480109</v>
      </c>
      <c r="L242" s="665">
        <f t="shared" si="43"/>
        <v>43155.909844521913</v>
      </c>
      <c r="M242" s="678">
        <f t="shared" si="29"/>
        <v>1</v>
      </c>
    </row>
    <row r="243" spans="1:13" s="25" customFormat="1" ht="11.25" hidden="1">
      <c r="B243" s="160"/>
      <c r="C243" s="113"/>
      <c r="D243" s="113"/>
      <c r="E243" s="162"/>
      <c r="F243" s="160"/>
      <c r="G243" s="113"/>
      <c r="H243" s="113"/>
      <c r="I243" s="162"/>
      <c r="J243" s="92"/>
      <c r="K243" s="186"/>
      <c r="L243" s="162"/>
      <c r="M243" s="2">
        <f t="shared" si="29"/>
        <v>0</v>
      </c>
    </row>
    <row r="244" spans="1:13" s="33" customFormat="1" ht="15" customHeight="1">
      <c r="A244" s="14" t="s">
        <v>189</v>
      </c>
      <c r="B244" s="659">
        <f>+B202</f>
        <v>224538.03951560438</v>
      </c>
      <c r="C244" s="659">
        <f t="shared" ref="C244:L244" si="44">+C202</f>
        <v>419848.53151245316</v>
      </c>
      <c r="D244" s="659">
        <f>+D202</f>
        <v>310313.09137855569</v>
      </c>
      <c r="E244" s="659">
        <f t="shared" si="44"/>
        <v>386370.8123054555</v>
      </c>
      <c r="F244" s="659">
        <f t="shared" si="44"/>
        <v>1152601.5668799998</v>
      </c>
      <c r="G244" s="659">
        <f t="shared" si="44"/>
        <v>1282510.9459680002</v>
      </c>
      <c r="H244" s="301">
        <f>+H202</f>
        <v>837636.56991162035</v>
      </c>
      <c r="I244" s="659">
        <f t="shared" si="44"/>
        <v>1341070.4747120687</v>
      </c>
      <c r="J244" s="363">
        <f t="shared" si="44"/>
        <v>0.11270970196548898</v>
      </c>
      <c r="K244" s="363">
        <f t="shared" si="44"/>
        <v>4.5660061559840731E-2</v>
      </c>
      <c r="L244" s="659">
        <f t="shared" si="44"/>
        <v>1408020.7661032123</v>
      </c>
      <c r="M244" s="678">
        <f t="shared" si="29"/>
        <v>1</v>
      </c>
    </row>
    <row r="245" spans="1:13" s="2" customFormat="1" ht="11.25" hidden="1">
      <c r="B245" s="160"/>
      <c r="C245" s="113"/>
      <c r="D245" s="113"/>
      <c r="E245" s="162"/>
      <c r="F245" s="160"/>
      <c r="G245" s="113"/>
      <c r="H245" s="113"/>
      <c r="I245" s="162"/>
      <c r="J245" s="92"/>
      <c r="K245" s="186"/>
      <c r="L245" s="162"/>
      <c r="M245" s="2">
        <f t="shared" si="29"/>
        <v>0</v>
      </c>
    </row>
    <row r="246" spans="1:13" s="33" customFormat="1" ht="15" customHeight="1">
      <c r="A246" s="12" t="s">
        <v>228</v>
      </c>
      <c r="B246" s="667">
        <f>+B204</f>
        <v>-2290.7532156044035</v>
      </c>
      <c r="C246" s="667">
        <f t="shared" ref="C246:L246" si="45">+C204</f>
        <v>217205.84372795717</v>
      </c>
      <c r="D246" s="667">
        <f>+D204</f>
        <v>37426.887971400574</v>
      </c>
      <c r="E246" s="667">
        <f t="shared" si="45"/>
        <v>161034.23097004188</v>
      </c>
      <c r="F246" s="667">
        <f t="shared" si="45"/>
        <v>467300.95282000024</v>
      </c>
      <c r="G246" s="667">
        <f t="shared" si="45"/>
        <v>310067.20947251725</v>
      </c>
      <c r="H246" s="228">
        <f>+H204</f>
        <v>309785.05643777945</v>
      </c>
      <c r="I246" s="667">
        <f t="shared" si="45"/>
        <v>413376.20945379511</v>
      </c>
      <c r="J246" s="366">
        <f t="shared" si="45"/>
        <v>-0.33647212229855628</v>
      </c>
      <c r="K246" s="366">
        <f t="shared" si="45"/>
        <v>0.33318260307830011</v>
      </c>
      <c r="L246" s="667">
        <f t="shared" si="45"/>
        <v>454776.23389678774</v>
      </c>
      <c r="M246" s="678">
        <f t="shared" si="29"/>
        <v>1</v>
      </c>
    </row>
    <row r="247" spans="1:13" s="2" customFormat="1" ht="11.25" hidden="1">
      <c r="B247" s="160"/>
      <c r="C247" s="113"/>
      <c r="D247" s="113"/>
      <c r="E247" s="162"/>
      <c r="F247" s="160"/>
      <c r="G247" s="113"/>
      <c r="H247" s="113"/>
      <c r="I247" s="162"/>
      <c r="J247" s="92"/>
      <c r="K247" s="186"/>
      <c r="L247" s="162"/>
      <c r="M247" s="2">
        <f t="shared" si="29"/>
        <v>0</v>
      </c>
    </row>
    <row r="248" spans="1:13" s="33" customFormat="1" ht="15" customHeight="1">
      <c r="A248" s="20" t="s">
        <v>370</v>
      </c>
      <c r="B248" s="668">
        <f>+B206+B214</f>
        <v>31735.645215993762</v>
      </c>
      <c r="C248" s="668">
        <f t="shared" ref="C248:L248" si="46">+C206+C214</f>
        <v>55594.298179179561</v>
      </c>
      <c r="D248" s="668">
        <f>+D206+D214</f>
        <v>42424.866266735437</v>
      </c>
      <c r="E248" s="668">
        <f t="shared" si="46"/>
        <v>57196.746925507476</v>
      </c>
      <c r="F248" s="668">
        <f t="shared" si="46"/>
        <v>130645.43036879908</v>
      </c>
      <c r="G248" s="668">
        <f t="shared" si="46"/>
        <v>163920.2723408317</v>
      </c>
      <c r="H248" s="230">
        <f>+H206+H214</f>
        <v>142270.76602986347</v>
      </c>
      <c r="I248" s="668">
        <f t="shared" si="46"/>
        <v>186951.55658741621</v>
      </c>
      <c r="J248" s="367">
        <f t="shared" si="46"/>
        <v>0.46181890009422832</v>
      </c>
      <c r="K248" s="367">
        <f t="shared" si="46"/>
        <v>0.63862644986059591</v>
      </c>
      <c r="L248" s="668">
        <f t="shared" si="46"/>
        <v>178338.50666683179</v>
      </c>
      <c r="M248" s="678">
        <f t="shared" si="29"/>
        <v>1</v>
      </c>
    </row>
    <row r="249" spans="1:13" s="2" customFormat="1" ht="11.25" hidden="1">
      <c r="B249" s="160"/>
      <c r="C249" s="113"/>
      <c r="D249" s="113"/>
      <c r="E249" s="162"/>
      <c r="F249" s="160"/>
      <c r="G249" s="113"/>
      <c r="H249" s="113"/>
      <c r="I249" s="162"/>
      <c r="J249" s="92"/>
      <c r="K249" s="186"/>
      <c r="L249" s="162"/>
      <c r="M249" s="2">
        <f t="shared" si="29"/>
        <v>0</v>
      </c>
    </row>
    <row r="250" spans="1:13" s="33" customFormat="1" ht="20.100000000000001" customHeight="1">
      <c r="A250" s="12" t="s">
        <v>86</v>
      </c>
      <c r="B250" s="667">
        <f>+B216</f>
        <v>-34026.398431598165</v>
      </c>
      <c r="C250" s="667">
        <f t="shared" ref="C250:L250" si="47">+C216</f>
        <v>161611.54554877762</v>
      </c>
      <c r="D250" s="667">
        <f>+D216</f>
        <v>-4997.9782953348622</v>
      </c>
      <c r="E250" s="667">
        <f t="shared" si="47"/>
        <v>103837.48404453442</v>
      </c>
      <c r="F250" s="667">
        <f t="shared" si="47"/>
        <v>336655.5224512011</v>
      </c>
      <c r="G250" s="667">
        <f t="shared" si="47"/>
        <v>146146.93713168555</v>
      </c>
      <c r="H250" s="228">
        <f>+H216</f>
        <v>167514.29040791598</v>
      </c>
      <c r="I250" s="667">
        <f t="shared" si="47"/>
        <v>226424.65286637886</v>
      </c>
      <c r="J250" s="366">
        <f t="shared" si="47"/>
        <v>-0.56588581685045769</v>
      </c>
      <c r="K250" s="366">
        <f t="shared" si="47"/>
        <v>0.54929454773560638</v>
      </c>
      <c r="L250" s="667">
        <f t="shared" si="47"/>
        <v>276437.72722995596</v>
      </c>
      <c r="M250" s="678">
        <f t="shared" si="29"/>
        <v>1</v>
      </c>
    </row>
    <row r="251" spans="1:13" s="2" customFormat="1" ht="11.25" hidden="1">
      <c r="B251" s="17"/>
      <c r="C251" s="113"/>
      <c r="D251" s="113"/>
      <c r="G251" s="58"/>
      <c r="H251" s="58"/>
      <c r="J251" s="66"/>
      <c r="K251" s="66"/>
      <c r="L251" s="182"/>
      <c r="M251" s="2">
        <f t="shared" si="29"/>
        <v>0</v>
      </c>
    </row>
    <row r="252" spans="1:13" s="298" customFormat="1" ht="15" customHeight="1">
      <c r="A252" s="662" t="s">
        <v>95</v>
      </c>
      <c r="B252" s="665">
        <f>+Dijon!G253</f>
        <v>173196.59000000003</v>
      </c>
      <c r="C252" s="665">
        <f>+Eu!G253</f>
        <v>268597.79165000003</v>
      </c>
      <c r="D252" s="665">
        <f>+Nancy!G253</f>
        <v>198208.88499999998</v>
      </c>
      <c r="E252" s="665">
        <f>+Roanne!G253</f>
        <v>393711.87239999999</v>
      </c>
      <c r="F252" s="665">
        <f>+F28</f>
        <v>934682.67999999993</v>
      </c>
      <c r="G252" s="665"/>
      <c r="H252" s="295"/>
      <c r="I252" s="665">
        <f>SUM(B252:E252)</f>
        <v>1033715.13905</v>
      </c>
      <c r="J252" s="663"/>
      <c r="K252" s="663"/>
      <c r="L252" s="665"/>
      <c r="M252" s="678">
        <f t="shared" si="29"/>
        <v>1</v>
      </c>
    </row>
    <row r="253" spans="1:13" s="298" customFormat="1" ht="15" customHeight="1">
      <c r="A253" s="662" t="s">
        <v>371</v>
      </c>
      <c r="B253" s="665">
        <f>+Dijon!G254</f>
        <v>741576.88716922584</v>
      </c>
      <c r="C253" s="665">
        <f>+Eu!G254</f>
        <v>947345.33026912773</v>
      </c>
      <c r="D253" s="665">
        <f>+Nancy!G254</f>
        <v>914415.44097223599</v>
      </c>
      <c r="E253" s="665">
        <f>+Roanne!G254</f>
        <v>1130623.35808324</v>
      </c>
      <c r="F253" s="665">
        <f>+F223</f>
        <v>246240.87378552579</v>
      </c>
      <c r="G253" s="665">
        <f>+G223</f>
        <v>284849.26495851489</v>
      </c>
      <c r="H253" s="295">
        <f>+H223</f>
        <v>250569.39524220885</v>
      </c>
      <c r="I253" s="665">
        <f>+I223</f>
        <v>305500.25301466562</v>
      </c>
      <c r="J253" s="663"/>
      <c r="K253" s="663"/>
      <c r="L253" s="665">
        <f>+L223</f>
        <v>306976.51276838954</v>
      </c>
      <c r="M253" s="678">
        <f t="shared" si="29"/>
        <v>1</v>
      </c>
    </row>
    <row r="254" spans="1:13" s="298" customFormat="1" ht="15" customHeight="1">
      <c r="A254" s="662" t="s">
        <v>372</v>
      </c>
      <c r="B254" s="665">
        <f>+Dijon!G255</f>
        <v>0</v>
      </c>
      <c r="C254" s="665">
        <f>+Eu!G255</f>
        <v>33600</v>
      </c>
      <c r="D254" s="665">
        <f>+Nancy!G255</f>
        <v>6000</v>
      </c>
      <c r="E254" s="665">
        <f>+Roanne!G255</f>
        <v>10000</v>
      </c>
      <c r="F254" s="665"/>
      <c r="G254" s="1083"/>
      <c r="H254" s="333">
        <f>+Angers!C254+Cham!C254+Thouars!C254</f>
        <v>2599987.1949516642</v>
      </c>
      <c r="I254" s="665">
        <f>SUM(B254:E254)</f>
        <v>49600</v>
      </c>
      <c r="J254" s="663"/>
      <c r="K254" s="663"/>
      <c r="L254" s="1083"/>
      <c r="M254" s="678">
        <f t="shared" si="29"/>
        <v>1</v>
      </c>
    </row>
    <row r="255" spans="1:13" s="2" customFormat="1" ht="11.25" hidden="1">
      <c r="B255" s="24"/>
      <c r="C255" s="17"/>
      <c r="H255" s="24"/>
      <c r="I255" s="66"/>
      <c r="M255" s="2">
        <f t="shared" si="29"/>
        <v>0</v>
      </c>
    </row>
    <row r="256" spans="1:13" hidden="1">
      <c r="B256" s="26"/>
      <c r="C256" s="26"/>
      <c r="D256" s="26"/>
      <c r="E256" s="26"/>
      <c r="F256" s="26"/>
      <c r="G256" s="26"/>
      <c r="I256" s="26"/>
      <c r="J256" s="66"/>
      <c r="K256" s="66"/>
      <c r="L256" s="28"/>
      <c r="M256" s="111"/>
    </row>
    <row r="257" spans="2:13" hidden="1">
      <c r="B257" s="26"/>
      <c r="C257" s="26"/>
      <c r="D257" s="26"/>
      <c r="E257" s="26"/>
      <c r="F257" s="26"/>
      <c r="G257" s="26"/>
      <c r="I257" s="26"/>
      <c r="J257" s="66"/>
      <c r="K257" s="66"/>
      <c r="L257" s="28"/>
      <c r="M257"/>
    </row>
  </sheetData>
  <autoFilter ref="M1:M257">
    <filterColumn colId="0">
      <filters>
        <filter val="1"/>
      </filters>
    </filterColumn>
  </autoFilter>
  <mergeCells count="8">
    <mergeCell ref="B4:B5"/>
    <mergeCell ref="C4:C5"/>
    <mergeCell ref="D4:D5"/>
    <mergeCell ref="E4:E5"/>
    <mergeCell ref="B228:B229"/>
    <mergeCell ref="C228:C229"/>
    <mergeCell ref="D228:D229"/>
    <mergeCell ref="E228:E229"/>
  </mergeCells>
  <pageMargins left="0.15748031496062992" right="7.874015748031496E-2" top="0.19685039370078741" bottom="0.27559055118110237" header="3.937007874015748E-2" footer="0.19685039370078741"/>
  <pageSetup paperSize="9" scale="66" fitToHeight="2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M256"/>
  <sheetViews>
    <sheetView workbookViewId="0">
      <selection sqref="A1:IV65536"/>
    </sheetView>
  </sheetViews>
  <sheetFormatPr baseColWidth="10" defaultRowHeight="12.75"/>
  <cols>
    <col min="1" max="1" width="72.85546875" bestFit="1" customWidth="1"/>
    <col min="2" max="2" width="12.28515625" style="26" customWidth="1"/>
    <col min="3" max="3" width="14.28515625" style="26" customWidth="1"/>
    <col min="4" max="4" width="14.7109375" style="26" bestFit="1" customWidth="1"/>
    <col min="5" max="5" width="12.28515625" style="26" customWidth="1"/>
    <col min="6" max="6" width="12.28515625" style="26" bestFit="1" customWidth="1"/>
    <col min="7" max="7" width="12.28515625" style="26" hidden="1" customWidth="1"/>
    <col min="8" max="8" width="12.28515625" style="26" customWidth="1"/>
    <col min="9" max="9" width="9.5703125" style="66" customWidth="1"/>
    <col min="10" max="10" width="9.140625" style="66" bestFit="1" customWidth="1"/>
    <col min="11" max="11" width="12.7109375" style="28" customWidth="1"/>
    <col min="12" max="12" width="14.7109375" bestFit="1" customWidth="1"/>
  </cols>
  <sheetData>
    <row r="1" spans="1:11">
      <c r="A1" s="1" t="s">
        <v>515</v>
      </c>
      <c r="K1" s="45"/>
    </row>
    <row r="2" spans="1:11">
      <c r="D2" s="86"/>
    </row>
    <row r="3" spans="1:11" s="2" customFormat="1" ht="12.75" customHeight="1">
      <c r="A3" s="6"/>
      <c r="B3" s="155"/>
      <c r="C3" s="211"/>
      <c r="D3" s="211"/>
      <c r="E3" s="267" t="s">
        <v>55</v>
      </c>
      <c r="F3" s="130" t="s">
        <v>364</v>
      </c>
      <c r="G3" s="130" t="s">
        <v>543</v>
      </c>
      <c r="H3" s="104" t="s">
        <v>196</v>
      </c>
      <c r="I3" s="151" t="s">
        <v>225</v>
      </c>
      <c r="J3" s="183" t="s">
        <v>225</v>
      </c>
      <c r="K3" s="8" t="s">
        <v>196</v>
      </c>
    </row>
    <row r="4" spans="1:11" s="2" customFormat="1" ht="20.25" customHeight="1">
      <c r="A4" s="7" t="s">
        <v>437</v>
      </c>
      <c r="B4" s="1432" t="s">
        <v>214</v>
      </c>
      <c r="C4" s="1434" t="s">
        <v>438</v>
      </c>
      <c r="D4" s="1450" t="s">
        <v>439</v>
      </c>
      <c r="E4" s="260" t="s">
        <v>366</v>
      </c>
      <c r="F4" s="131" t="s">
        <v>366</v>
      </c>
      <c r="G4" s="131" t="s">
        <v>432</v>
      </c>
      <c r="H4" s="105" t="s">
        <v>197</v>
      </c>
      <c r="I4" s="152" t="s">
        <v>55</v>
      </c>
      <c r="J4" s="131" t="s">
        <v>432</v>
      </c>
      <c r="K4" s="9" t="s">
        <v>197</v>
      </c>
    </row>
    <row r="5" spans="1:11" s="2" customFormat="1" ht="20.25" customHeight="1">
      <c r="A5" s="7"/>
      <c r="B5" s="1433"/>
      <c r="C5" s="1435"/>
      <c r="D5" s="1453"/>
      <c r="E5" s="157">
        <f>E216</f>
        <v>258032.53129895113</v>
      </c>
      <c r="F5" s="157">
        <f>F216</f>
        <v>92409.354707149731</v>
      </c>
      <c r="G5" s="157">
        <f>G216</f>
        <v>108554.96245529456</v>
      </c>
      <c r="H5" s="157">
        <f>H216</f>
        <v>136435.40801833302</v>
      </c>
      <c r="I5" s="152"/>
      <c r="J5" s="132" t="s">
        <v>433</v>
      </c>
      <c r="K5" s="10"/>
    </row>
    <row r="6" spans="1:11" s="2" customFormat="1" ht="18">
      <c r="A6" s="68"/>
      <c r="B6" s="158"/>
      <c r="C6" s="216"/>
      <c r="D6" s="216"/>
      <c r="E6" s="269">
        <v>2009</v>
      </c>
      <c r="F6" s="133">
        <v>2010</v>
      </c>
      <c r="G6" s="133">
        <v>2009</v>
      </c>
      <c r="H6" s="159">
        <v>2011</v>
      </c>
      <c r="I6" s="153" t="s">
        <v>544</v>
      </c>
      <c r="J6" s="185" t="s">
        <v>368</v>
      </c>
      <c r="K6" s="4">
        <v>2010</v>
      </c>
    </row>
    <row r="7" spans="1:11" s="2" customFormat="1" ht="18">
      <c r="A7" s="67"/>
      <c r="B7" s="160"/>
      <c r="C7" s="113"/>
      <c r="D7" s="113"/>
      <c r="E7" s="237"/>
      <c r="F7" s="25"/>
      <c r="G7" s="25"/>
      <c r="H7" s="154"/>
      <c r="I7" s="149"/>
      <c r="J7" s="186"/>
      <c r="K7" s="5"/>
    </row>
    <row r="8" spans="1:11" s="2" customFormat="1" ht="11.25">
      <c r="A8" s="5" t="s">
        <v>221</v>
      </c>
      <c r="B8" s="160">
        <f>+Grenoble!$G8</f>
        <v>2061415</v>
      </c>
      <c r="C8" s="113">
        <f>+STMarcelin!$G8</f>
        <v>328645</v>
      </c>
      <c r="D8" s="113">
        <f>+PSA!$G8</f>
        <v>2350978</v>
      </c>
      <c r="E8" s="160">
        <f>+Grenoble!E8+STMarcelin!E8+PSA!E8</f>
        <v>3673656.63</v>
      </c>
      <c r="F8" s="135">
        <f>+Grenoble!F8+STMarcelin!F8+PSA!F8</f>
        <v>4568551.3497051112</v>
      </c>
      <c r="G8" s="135">
        <v>4878808.313000001</v>
      </c>
      <c r="H8" s="161">
        <f>+Grenoble!G8+STMarcelin!G8+PSA!G8</f>
        <v>4741038</v>
      </c>
      <c r="I8" s="149">
        <f>+IF((E8)=0,,(F8-E8)/E8)</f>
        <v>0.2435978127071477</v>
      </c>
      <c r="J8" s="271">
        <f>+IF((F8)=0,,(H8-F8)/F8)</f>
        <v>3.775521759343306E-2</v>
      </c>
      <c r="K8" s="18">
        <f>+Grenoble!D8+STMarcelin!D8+PSA!D8</f>
        <v>4678836</v>
      </c>
    </row>
    <row r="9" spans="1:11" s="2" customFormat="1" ht="11.25">
      <c r="A9" s="5" t="s">
        <v>422</v>
      </c>
      <c r="B9" s="160">
        <f>+Grenoble!$G9</f>
        <v>0</v>
      </c>
      <c r="C9" s="113">
        <f>+STMarcelin!$G9</f>
        <v>0</v>
      </c>
      <c r="D9" s="113">
        <f>+PSA!$G9</f>
        <v>0</v>
      </c>
      <c r="E9" s="160">
        <f>+Grenoble!E9+STMarcelin!E9+PSA!E9</f>
        <v>1081282.8799999999</v>
      </c>
      <c r="F9" s="135">
        <f>+Grenoble!F9+STMarcelin!F9+PSA!F9</f>
        <v>0</v>
      </c>
      <c r="G9" s="135">
        <v>0</v>
      </c>
      <c r="H9" s="161">
        <f>+Grenoble!G9+STMarcelin!G9+PSA!G9</f>
        <v>0</v>
      </c>
      <c r="I9" s="149">
        <f t="shared" ref="I9:I19" si="0">+IF((E9)=0,,(F9-E9)/E9)</f>
        <v>-1</v>
      </c>
      <c r="J9" s="271">
        <f t="shared" ref="J9:J19" si="1">+IF((F9)=0,,(H9-F9)/F9)</f>
        <v>0</v>
      </c>
      <c r="K9" s="18">
        <f>+Grenoble!D9+STMarcelin!D9+PSA!D9</f>
        <v>0</v>
      </c>
    </row>
    <row r="10" spans="1:11" s="2" customFormat="1" ht="11.25">
      <c r="A10" s="5" t="s">
        <v>84</v>
      </c>
      <c r="B10" s="160">
        <f>+Grenoble!$G10</f>
        <v>0</v>
      </c>
      <c r="C10" s="113">
        <f>+STMarcelin!$G10</f>
        <v>0</v>
      </c>
      <c r="D10" s="113">
        <f>+PSA!$G10</f>
        <v>0</v>
      </c>
      <c r="E10" s="160">
        <f>+Grenoble!E10+STMarcelin!E10+PSA!E10</f>
        <v>0</v>
      </c>
      <c r="F10" s="135">
        <f>+Grenoble!F10+STMarcelin!F10+PSA!F10</f>
        <v>0</v>
      </c>
      <c r="G10" s="317">
        <v>0</v>
      </c>
      <c r="H10" s="161">
        <f>+Grenoble!G10+STMarcelin!G10+PSA!G10</f>
        <v>0</v>
      </c>
      <c r="I10" s="149">
        <f t="shared" si="0"/>
        <v>0</v>
      </c>
      <c r="J10" s="271">
        <f t="shared" si="1"/>
        <v>0</v>
      </c>
      <c r="K10" s="18">
        <f>+Grenoble!D10+STMarcelin!D10+PSA!D10</f>
        <v>0</v>
      </c>
    </row>
    <row r="11" spans="1:11" s="2" customFormat="1" ht="11.25">
      <c r="A11" s="5" t="s">
        <v>267</v>
      </c>
      <c r="B11" s="160">
        <f>+Grenoble!$G11</f>
        <v>0</v>
      </c>
      <c r="C11" s="113">
        <f>+STMarcelin!$G11</f>
        <v>0</v>
      </c>
      <c r="D11" s="113">
        <f>+PSA!$G11</f>
        <v>0</v>
      </c>
      <c r="E11" s="160">
        <f>+Grenoble!E11+STMarcelin!E11+PSA!E11</f>
        <v>2379.7800000000002</v>
      </c>
      <c r="F11" s="135">
        <f>+Grenoble!F11+STMarcelin!F11+PSA!F11</f>
        <v>250</v>
      </c>
      <c r="G11" s="317">
        <v>2451.1734000000001</v>
      </c>
      <c r="H11" s="161">
        <f>+Grenoble!G11+STMarcelin!G11+PSA!G11</f>
        <v>0</v>
      </c>
      <c r="I11" s="149">
        <f t="shared" si="0"/>
        <v>-0.89494827252939346</v>
      </c>
      <c r="J11" s="271">
        <f t="shared" si="1"/>
        <v>-1</v>
      </c>
      <c r="K11" s="18">
        <f>+Grenoble!D11+STMarcelin!D11+PSA!D11</f>
        <v>0</v>
      </c>
    </row>
    <row r="12" spans="1:11" s="2" customFormat="1" ht="11.25">
      <c r="A12" s="5" t="s">
        <v>46</v>
      </c>
      <c r="B12" s="160">
        <f>+Grenoble!$G12</f>
        <v>0</v>
      </c>
      <c r="C12" s="113">
        <f>+STMarcelin!$G12</f>
        <v>0</v>
      </c>
      <c r="D12" s="113">
        <f>+PSA!$G12</f>
        <v>0</v>
      </c>
      <c r="E12" s="160">
        <f>+Grenoble!E12+STMarcelin!E12+PSA!E12</f>
        <v>0</v>
      </c>
      <c r="F12" s="135">
        <f>+Grenoble!F12+STMarcelin!F12+PSA!F12</f>
        <v>0</v>
      </c>
      <c r="G12" s="317">
        <v>0</v>
      </c>
      <c r="H12" s="161">
        <f>+Grenoble!G12+STMarcelin!G12+PSA!G12</f>
        <v>0</v>
      </c>
      <c r="I12" s="149">
        <f t="shared" si="0"/>
        <v>0</v>
      </c>
      <c r="J12" s="271">
        <f t="shared" si="1"/>
        <v>0</v>
      </c>
      <c r="K12" s="18">
        <f>+Grenoble!D12+STMarcelin!D12+PSA!D12</f>
        <v>0</v>
      </c>
    </row>
    <row r="13" spans="1:11" s="2" customFormat="1" ht="11.25">
      <c r="A13" s="5" t="s">
        <v>268</v>
      </c>
      <c r="B13" s="160">
        <f>+Grenoble!$G13</f>
        <v>0</v>
      </c>
      <c r="C13" s="113">
        <f>+STMarcelin!$G13</f>
        <v>0</v>
      </c>
      <c r="D13" s="113">
        <f>+PSA!$G13</f>
        <v>0</v>
      </c>
      <c r="E13" s="160">
        <f>+Grenoble!E13+STMarcelin!E13+PSA!E13</f>
        <v>0</v>
      </c>
      <c r="F13" s="135">
        <f>+Grenoble!F13+STMarcelin!F13+PSA!F13</f>
        <v>2363.0133333333333</v>
      </c>
      <c r="G13" s="317">
        <v>0</v>
      </c>
      <c r="H13" s="161">
        <f>+Grenoble!G13+STMarcelin!G13+PSA!G13</f>
        <v>0</v>
      </c>
      <c r="I13" s="149">
        <f t="shared" si="0"/>
        <v>0</v>
      </c>
      <c r="J13" s="271">
        <f t="shared" si="1"/>
        <v>-1</v>
      </c>
      <c r="K13" s="18">
        <f>+Grenoble!D13+STMarcelin!D13+PSA!D13</f>
        <v>0</v>
      </c>
    </row>
    <row r="14" spans="1:11" s="2" customFormat="1" ht="11.25">
      <c r="A14" s="5" t="s">
        <v>269</v>
      </c>
      <c r="B14" s="160">
        <f>+Grenoble!$G14</f>
        <v>0</v>
      </c>
      <c r="C14" s="113">
        <f>+STMarcelin!$G14</f>
        <v>0</v>
      </c>
      <c r="D14" s="113">
        <f>+PSA!$G14</f>
        <v>0</v>
      </c>
      <c r="E14" s="160">
        <f>+Grenoble!E14+STMarcelin!E14+PSA!E14</f>
        <v>2398.9899999999998</v>
      </c>
      <c r="F14" s="135">
        <f>+Grenoble!F14+STMarcelin!F14+PSA!F14</f>
        <v>612.09333333333336</v>
      </c>
      <c r="G14" s="317">
        <v>2227.3955999999998</v>
      </c>
      <c r="H14" s="161">
        <f>+Grenoble!G14+STMarcelin!G14+PSA!G14</f>
        <v>0</v>
      </c>
      <c r="I14" s="149">
        <f t="shared" si="0"/>
        <v>-0.74485373705878999</v>
      </c>
      <c r="J14" s="271">
        <f t="shared" si="1"/>
        <v>-1</v>
      </c>
      <c r="K14" s="18">
        <f>+Grenoble!D14+STMarcelin!D14+PSA!D14</f>
        <v>0</v>
      </c>
    </row>
    <row r="15" spans="1:11" s="2" customFormat="1" ht="11.25">
      <c r="A15" s="5" t="s">
        <v>270</v>
      </c>
      <c r="B15" s="160">
        <f>+Grenoble!$G15</f>
        <v>0</v>
      </c>
      <c r="C15" s="113">
        <f>+STMarcelin!$G15</f>
        <v>0</v>
      </c>
      <c r="D15" s="113">
        <f>+PSA!$G15</f>
        <v>0</v>
      </c>
      <c r="E15" s="160">
        <f>+Grenoble!E15+STMarcelin!E15+PSA!E15</f>
        <v>4600</v>
      </c>
      <c r="F15" s="135">
        <f>+Grenoble!F15+STMarcelin!F15+PSA!F15</f>
        <v>3781.6666666666665</v>
      </c>
      <c r="G15" s="317">
        <v>3532.9000000000005</v>
      </c>
      <c r="H15" s="161">
        <f>+Grenoble!G15+STMarcelin!G15+PSA!G15</f>
        <v>0</v>
      </c>
      <c r="I15" s="149">
        <f t="shared" si="0"/>
        <v>-0.17789855072463773</v>
      </c>
      <c r="J15" s="271">
        <f t="shared" si="1"/>
        <v>-1</v>
      </c>
      <c r="K15" s="18">
        <f>+Grenoble!D15+STMarcelin!D15+PSA!D15</f>
        <v>0</v>
      </c>
    </row>
    <row r="16" spans="1:11" s="2" customFormat="1" ht="11.25">
      <c r="A16" s="5" t="s">
        <v>85</v>
      </c>
      <c r="B16" s="160">
        <f>+Grenoble!$G16</f>
        <v>0</v>
      </c>
      <c r="C16" s="113">
        <f>+STMarcelin!$G16</f>
        <v>0</v>
      </c>
      <c r="D16" s="113">
        <f>+PSA!$G16</f>
        <v>0</v>
      </c>
      <c r="E16" s="160">
        <f>+Grenoble!E16+STMarcelin!E16+PSA!E16</f>
        <v>0</v>
      </c>
      <c r="F16" s="135">
        <f>+Grenoble!F16+STMarcelin!F16+PSA!F16</f>
        <v>0</v>
      </c>
      <c r="G16" s="317">
        <v>0</v>
      </c>
      <c r="H16" s="161">
        <f>+Grenoble!G16+STMarcelin!G16+PSA!G16</f>
        <v>0</v>
      </c>
      <c r="I16" s="149">
        <f t="shared" si="0"/>
        <v>0</v>
      </c>
      <c r="J16" s="271">
        <f t="shared" si="1"/>
        <v>0</v>
      </c>
      <c r="K16" s="18">
        <f>+Grenoble!D16+STMarcelin!D16+PSA!D16</f>
        <v>0</v>
      </c>
    </row>
    <row r="17" spans="1:12" s="2" customFormat="1" ht="11.25">
      <c r="A17" s="5" t="s">
        <v>88</v>
      </c>
      <c r="B17" s="160">
        <f>+Grenoble!$G17</f>
        <v>0</v>
      </c>
      <c r="C17" s="113">
        <f>+STMarcelin!$G17</f>
        <v>0</v>
      </c>
      <c r="D17" s="113">
        <f>+PSA!$G17</f>
        <v>0</v>
      </c>
      <c r="E17" s="160">
        <f>+Grenoble!E17+STMarcelin!E17+PSA!E17</f>
        <v>0</v>
      </c>
      <c r="F17" s="135">
        <f>+Grenoble!F17+STMarcelin!F17+PSA!F17</f>
        <v>0</v>
      </c>
      <c r="G17" s="317">
        <v>0</v>
      </c>
      <c r="H17" s="161">
        <f>+Grenoble!G17+STMarcelin!G17+PSA!G17</f>
        <v>0</v>
      </c>
      <c r="I17" s="149">
        <f t="shared" si="0"/>
        <v>0</v>
      </c>
      <c r="J17" s="271">
        <f t="shared" si="1"/>
        <v>0</v>
      </c>
      <c r="K17" s="18">
        <f>+Grenoble!D17+STMarcelin!D17+PSA!D17</f>
        <v>0</v>
      </c>
    </row>
    <row r="18" spans="1:12" s="2" customFormat="1" ht="11.25">
      <c r="A18" s="5" t="s">
        <v>89</v>
      </c>
      <c r="B18" s="160">
        <f>+Grenoble!$G18</f>
        <v>0</v>
      </c>
      <c r="C18" s="113">
        <f>+STMarcelin!$G18</f>
        <v>0</v>
      </c>
      <c r="D18" s="113">
        <f>+PSA!$G18</f>
        <v>0</v>
      </c>
      <c r="E18" s="160">
        <f>+Grenoble!E18+STMarcelin!E18+PSA!E18</f>
        <v>0</v>
      </c>
      <c r="F18" s="135">
        <f>+Grenoble!F18+STMarcelin!F18+PSA!F18</f>
        <v>0</v>
      </c>
      <c r="G18" s="317">
        <v>0</v>
      </c>
      <c r="H18" s="161">
        <f>+Grenoble!G18+STMarcelin!G18+PSA!G18</f>
        <v>0</v>
      </c>
      <c r="I18" s="149">
        <f t="shared" si="0"/>
        <v>0</v>
      </c>
      <c r="J18" s="271">
        <f t="shared" si="1"/>
        <v>0</v>
      </c>
      <c r="K18" s="18">
        <f>+Grenoble!D18+STMarcelin!D18+PSA!D18</f>
        <v>0</v>
      </c>
    </row>
    <row r="19" spans="1:12" s="2" customFormat="1" ht="11.25">
      <c r="A19" s="5" t="s">
        <v>90</v>
      </c>
      <c r="B19" s="160">
        <f>+Grenoble!$G19</f>
        <v>0</v>
      </c>
      <c r="C19" s="113">
        <f>+STMarcelin!$G19</f>
        <v>0</v>
      </c>
      <c r="D19" s="113">
        <f>+PSA!$G19</f>
        <v>0</v>
      </c>
      <c r="E19" s="160">
        <f>+Grenoble!E19+STMarcelin!E19+PSA!E19</f>
        <v>0</v>
      </c>
      <c r="F19" s="135">
        <f>+Grenoble!F19+STMarcelin!F19+PSA!F19</f>
        <v>1676.2799999999988</v>
      </c>
      <c r="G19" s="317">
        <v>2765.7663000000002</v>
      </c>
      <c r="H19" s="161">
        <f>+Grenoble!G19+STMarcelin!G19+PSA!G19</f>
        <v>0</v>
      </c>
      <c r="I19" s="149">
        <f t="shared" si="0"/>
        <v>0</v>
      </c>
      <c r="J19" s="271">
        <f t="shared" si="1"/>
        <v>-1</v>
      </c>
      <c r="K19" s="18">
        <f>+Grenoble!D19+STMarcelin!D19+PSA!D19</f>
        <v>0</v>
      </c>
    </row>
    <row r="20" spans="1:12" s="2" customFormat="1" ht="11.25">
      <c r="A20" s="5"/>
      <c r="B20" s="160"/>
      <c r="C20" s="113"/>
      <c r="D20" s="113"/>
      <c r="E20" s="160"/>
      <c r="F20" s="113"/>
      <c r="G20" s="113"/>
      <c r="H20" s="162"/>
      <c r="I20" s="149"/>
      <c r="J20" s="254"/>
      <c r="K20" s="18"/>
    </row>
    <row r="21" spans="1:12" s="57" customFormat="1" ht="15" customHeight="1">
      <c r="A21" s="13" t="s">
        <v>222</v>
      </c>
      <c r="B21" s="163">
        <f t="shared" ref="B21:H21" si="2">SUM(B7:B20)</f>
        <v>2061415</v>
      </c>
      <c r="C21" s="204">
        <f t="shared" si="2"/>
        <v>328645</v>
      </c>
      <c r="D21" s="204">
        <f t="shared" si="2"/>
        <v>2350978</v>
      </c>
      <c r="E21" s="163">
        <f>SUM(E7:E20)</f>
        <v>4764318.28</v>
      </c>
      <c r="F21" s="204">
        <f t="shared" si="2"/>
        <v>4577234.4030384459</v>
      </c>
      <c r="G21" s="204">
        <v>4889785.5483000018</v>
      </c>
      <c r="H21" s="168">
        <f t="shared" si="2"/>
        <v>4741038</v>
      </c>
      <c r="I21" s="272">
        <f>+IF((E21)=0,,(F21-E21)/E21)</f>
        <v>-3.9267711762018216E-2</v>
      </c>
      <c r="J21" s="188">
        <f>+IF((F21)=0,,(H21-F21)/F21)</f>
        <v>3.5786586951461023E-2</v>
      </c>
      <c r="K21" s="305">
        <f>SUM(K7:K20)</f>
        <v>4678836</v>
      </c>
      <c r="L21" s="111"/>
    </row>
    <row r="22" spans="1:12" s="57" customFormat="1" ht="15" customHeight="1">
      <c r="A22" s="5"/>
      <c r="B22" s="160"/>
      <c r="C22" s="113"/>
      <c r="D22" s="113"/>
      <c r="E22" s="160"/>
      <c r="F22" s="113"/>
      <c r="G22" s="113"/>
      <c r="H22" s="162"/>
      <c r="I22" s="149"/>
      <c r="J22" s="271"/>
      <c r="K22" s="18"/>
      <c r="L22" s="111"/>
    </row>
    <row r="23" spans="1:12" s="2" customFormat="1" ht="11.25">
      <c r="A23" s="5" t="s">
        <v>92</v>
      </c>
      <c r="B23" s="160">
        <f>+Grenoble!$G23</f>
        <v>0</v>
      </c>
      <c r="C23" s="113">
        <f>+STMarcelin!$G23</f>
        <v>0</v>
      </c>
      <c r="D23" s="113">
        <f>+PSA!$G23</f>
        <v>0</v>
      </c>
      <c r="E23" s="160">
        <f>+Grenoble!E23+STMarcelin!E23+PSA!E23</f>
        <v>53.4</v>
      </c>
      <c r="F23" s="270"/>
      <c r="G23" s="270">
        <v>0</v>
      </c>
      <c r="H23" s="161">
        <f>+Grenoble!G23+STMarcelin!G23+PSA!G23</f>
        <v>0</v>
      </c>
      <c r="I23" s="149"/>
      <c r="J23" s="271"/>
      <c r="K23" s="18"/>
      <c r="L23" s="111"/>
    </row>
    <row r="24" spans="1:12" s="2" customFormat="1" ht="11.25">
      <c r="A24" s="5" t="s">
        <v>93</v>
      </c>
      <c r="B24" s="160">
        <f>+Grenoble!$G24</f>
        <v>809084.77334999992</v>
      </c>
      <c r="C24" s="113">
        <f>+STMarcelin!$G24</f>
        <v>120203.55197499999</v>
      </c>
      <c r="D24" s="113">
        <f>+PSA!$G24</f>
        <v>1122262.8580800002</v>
      </c>
      <c r="E24" s="160">
        <f>+Grenoble!E24+STMarcelin!E24+PSA!E24</f>
        <v>1863835.7499999998</v>
      </c>
      <c r="F24" s="270"/>
      <c r="G24" s="270">
        <v>0</v>
      </c>
      <c r="H24" s="161">
        <f>+Grenoble!G24+STMarcelin!G24+PSA!G24</f>
        <v>2051551.183405</v>
      </c>
      <c r="I24" s="149"/>
      <c r="J24" s="271"/>
      <c r="K24" s="18"/>
      <c r="L24" s="111"/>
    </row>
    <row r="25" spans="1:12" s="2" customFormat="1" ht="11.25">
      <c r="A25" s="5" t="s">
        <v>94</v>
      </c>
      <c r="B25" s="160">
        <f>+Grenoble!$G25</f>
        <v>0</v>
      </c>
      <c r="C25" s="113">
        <f>+STMarcelin!$G25</f>
        <v>0</v>
      </c>
      <c r="D25" s="113">
        <f>+PSA!$G25</f>
        <v>0</v>
      </c>
      <c r="E25" s="160">
        <f>+Grenoble!E25+STMarcelin!E25+PSA!E25</f>
        <v>169725.68</v>
      </c>
      <c r="F25" s="270"/>
      <c r="G25" s="270">
        <v>0</v>
      </c>
      <c r="H25" s="161">
        <f>+Grenoble!G25+STMarcelin!G25+PSA!G25</f>
        <v>0</v>
      </c>
      <c r="I25" s="149"/>
      <c r="J25" s="271"/>
      <c r="K25" s="18"/>
      <c r="L25" s="111"/>
    </row>
    <row r="26" spans="1:12" s="57" customFormat="1" ht="15" customHeight="1">
      <c r="A26" s="5" t="s">
        <v>288</v>
      </c>
      <c r="B26" s="160">
        <f>+Grenoble!$G26</f>
        <v>0</v>
      </c>
      <c r="C26" s="113">
        <f>+STMarcelin!$G26</f>
        <v>0</v>
      </c>
      <c r="D26" s="113">
        <f>+PSA!$G26</f>
        <v>0</v>
      </c>
      <c r="E26" s="160">
        <f>+Grenoble!E26+STMarcelin!E26+PSA!E26</f>
        <v>143696</v>
      </c>
      <c r="F26" s="270"/>
      <c r="G26" s="270">
        <v>0</v>
      </c>
      <c r="H26" s="161">
        <f>+Grenoble!G26+STMarcelin!G26+PSA!G26</f>
        <v>0</v>
      </c>
      <c r="I26" s="149"/>
      <c r="J26" s="271"/>
      <c r="K26" s="18"/>
      <c r="L26" s="111"/>
    </row>
    <row r="27" spans="1:12" s="57" customFormat="1" ht="15" customHeight="1">
      <c r="A27" s="5" t="s">
        <v>289</v>
      </c>
      <c r="B27" s="160">
        <f>+Grenoble!$G27</f>
        <v>0</v>
      </c>
      <c r="C27" s="113">
        <f>+STMarcelin!$G27</f>
        <v>0</v>
      </c>
      <c r="D27" s="113">
        <f>+PSA!$G27</f>
        <v>0</v>
      </c>
      <c r="E27" s="160">
        <f>+Grenoble!E27+STMarcelin!E27+PSA!E27</f>
        <v>-138323</v>
      </c>
      <c r="F27" s="270"/>
      <c r="G27" s="270">
        <v>0</v>
      </c>
      <c r="H27" s="161">
        <f>+Grenoble!G27+STMarcelin!G27+PSA!G27</f>
        <v>0</v>
      </c>
      <c r="I27" s="149"/>
      <c r="J27" s="271"/>
      <c r="K27" s="18"/>
      <c r="L27" s="111"/>
    </row>
    <row r="28" spans="1:12" s="2" customFormat="1" ht="11.25">
      <c r="A28" s="5" t="s">
        <v>95</v>
      </c>
      <c r="B28" s="160">
        <f>+Grenoble!$G28</f>
        <v>475176.77164999995</v>
      </c>
      <c r="C28" s="113">
        <f>+STMarcelin!$G28</f>
        <v>64724.98952499999</v>
      </c>
      <c r="D28" s="113">
        <f>+PSA!$G28</f>
        <v>436435.55592000007</v>
      </c>
      <c r="E28" s="160">
        <f>+Grenoble!E28+STMarcelin!E28+PSA!E28</f>
        <v>901461.33000000007</v>
      </c>
      <c r="F28" s="270"/>
      <c r="G28" s="270">
        <v>0</v>
      </c>
      <c r="H28" s="161">
        <f>+Grenoble!G28+STMarcelin!G28+PSA!G28</f>
        <v>976337.31709500006</v>
      </c>
      <c r="I28" s="149"/>
      <c r="J28" s="271"/>
      <c r="K28" s="18"/>
      <c r="L28" s="111"/>
    </row>
    <row r="29" spans="1:12" s="2" customFormat="1" ht="11.25">
      <c r="A29" s="5" t="s">
        <v>293</v>
      </c>
      <c r="B29" s="160">
        <f>+Grenoble!$G29</f>
        <v>0</v>
      </c>
      <c r="C29" s="113">
        <f>+STMarcelin!$G29</f>
        <v>0</v>
      </c>
      <c r="D29" s="113">
        <f>+PSA!$G29</f>
        <v>0</v>
      </c>
      <c r="E29" s="160">
        <f>+Grenoble!E29+STMarcelin!E29+PSA!E29</f>
        <v>84706.9</v>
      </c>
      <c r="F29" s="270"/>
      <c r="G29" s="270">
        <v>0</v>
      </c>
      <c r="H29" s="161">
        <f>+Grenoble!G29+STMarcelin!G29+PSA!G29</f>
        <v>0</v>
      </c>
      <c r="I29" s="149"/>
      <c r="J29" s="271"/>
      <c r="K29" s="18"/>
      <c r="L29" s="111"/>
    </row>
    <row r="30" spans="1:12" s="2" customFormat="1" ht="11.25">
      <c r="A30" s="42" t="s">
        <v>292</v>
      </c>
      <c r="B30" s="164">
        <f t="shared" ref="B30:H30" si="3">SUM(B23:B29)</f>
        <v>1284261.5449999999</v>
      </c>
      <c r="C30" s="220">
        <f t="shared" si="3"/>
        <v>184928.54149999999</v>
      </c>
      <c r="D30" s="220">
        <f t="shared" si="3"/>
        <v>1558698.4140000003</v>
      </c>
      <c r="E30" s="220">
        <f>SUM(E23:E29)</f>
        <v>3025156.0599999996</v>
      </c>
      <c r="F30" s="220"/>
      <c r="G30" s="220">
        <v>0</v>
      </c>
      <c r="H30" s="165">
        <f t="shared" si="3"/>
        <v>3027888.5005000001</v>
      </c>
      <c r="I30" s="273"/>
      <c r="J30" s="342"/>
      <c r="K30" s="306"/>
      <c r="L30" s="111"/>
    </row>
    <row r="31" spans="1:12" s="2" customFormat="1" ht="15" customHeight="1">
      <c r="A31" s="5"/>
      <c r="B31" s="160"/>
      <c r="C31" s="113"/>
      <c r="D31" s="113"/>
      <c r="E31" s="113"/>
      <c r="F31" s="113"/>
      <c r="G31" s="113"/>
      <c r="H31" s="162"/>
      <c r="I31" s="149"/>
      <c r="J31" s="254"/>
      <c r="K31" s="18"/>
      <c r="L31" s="111"/>
    </row>
    <row r="32" spans="1:12" s="2" customFormat="1" ht="15" customHeight="1">
      <c r="A32" s="56" t="s">
        <v>336</v>
      </c>
      <c r="B32" s="166">
        <f>+B21-B30-B38</f>
        <v>777153.45500000007</v>
      </c>
      <c r="C32" s="221">
        <f>+C21-C30-C38</f>
        <v>143716.45850000001</v>
      </c>
      <c r="D32" s="221">
        <f>+D21-D30-D38</f>
        <v>792279.58599999966</v>
      </c>
      <c r="E32" s="221">
        <f>+E21-E30-E38</f>
        <v>1719875.2667000005</v>
      </c>
      <c r="F32" s="221"/>
      <c r="G32" s="221"/>
      <c r="H32" s="167"/>
      <c r="I32" s="273"/>
      <c r="J32" s="274"/>
      <c r="K32" s="307"/>
      <c r="L32" s="111"/>
    </row>
    <row r="33" spans="1:12" s="2" customFormat="1" ht="11.25">
      <c r="A33" s="56" t="s">
        <v>337</v>
      </c>
      <c r="B33" s="196">
        <f>+B32/B21</f>
        <v>0.37700000000000006</v>
      </c>
      <c r="C33" s="222">
        <f>+C32/C21</f>
        <v>0.43730000000000002</v>
      </c>
      <c r="D33" s="222">
        <f>+D32/D21</f>
        <v>0.33699999999999986</v>
      </c>
      <c r="E33" s="222">
        <f>+E32/E21</f>
        <v>0.36099084184190994</v>
      </c>
      <c r="F33" s="222"/>
      <c r="G33" s="222"/>
      <c r="H33" s="189"/>
      <c r="I33" s="273"/>
      <c r="J33" s="274"/>
      <c r="K33" s="308"/>
      <c r="L33" s="111"/>
    </row>
    <row r="34" spans="1:12" s="2" customFormat="1" ht="11.25">
      <c r="A34" s="5"/>
      <c r="B34" s="160"/>
      <c r="C34" s="113"/>
      <c r="D34" s="113"/>
      <c r="E34" s="160"/>
      <c r="F34" s="113"/>
      <c r="G34" s="113"/>
      <c r="H34" s="162"/>
      <c r="I34" s="149"/>
      <c r="J34" s="271"/>
      <c r="K34" s="18"/>
      <c r="L34" s="111"/>
    </row>
    <row r="35" spans="1:12" s="33" customFormat="1" ht="15" customHeight="1">
      <c r="A35" s="5" t="s">
        <v>96</v>
      </c>
      <c r="B35" s="160">
        <f>+Grenoble!$G35</f>
        <v>9792.1002729041811</v>
      </c>
      <c r="C35" s="113">
        <f>+STMarcelin!$G35</f>
        <v>1186.2057586627584</v>
      </c>
      <c r="D35" s="113">
        <f>+PSA!$G35</f>
        <v>13573.103286387211</v>
      </c>
      <c r="E35" s="160">
        <f>+Grenoble!E35+STMarcelin!E35+PSA!E35</f>
        <v>24535.940000000002</v>
      </c>
      <c r="F35" s="270"/>
      <c r="G35" s="270">
        <v>0</v>
      </c>
      <c r="H35" s="161">
        <f>+Grenoble!G35+STMarcelin!G35+PSA!G35</f>
        <v>24551.409317954152</v>
      </c>
      <c r="I35" s="149"/>
      <c r="J35" s="271"/>
      <c r="K35" s="18"/>
      <c r="L35" s="111"/>
    </row>
    <row r="36" spans="1:12" s="2" customFormat="1" ht="11.25">
      <c r="A36" s="5" t="s">
        <v>97</v>
      </c>
      <c r="B36" s="160">
        <f>+Grenoble!$G36</f>
        <v>2477.1469668971358</v>
      </c>
      <c r="C36" s="113">
        <f>+STMarcelin!$G36</f>
        <v>142.27482297029746</v>
      </c>
      <c r="D36" s="113">
        <f>+PSA!$G36</f>
        <v>457.66372701079132</v>
      </c>
      <c r="E36" s="160">
        <f>+Grenoble!E36+STMarcelin!E36+PSA!E36</f>
        <v>3106.9399999999996</v>
      </c>
      <c r="F36" s="270"/>
      <c r="G36" s="270">
        <v>0</v>
      </c>
      <c r="H36" s="161">
        <f>+Grenoble!G36+STMarcelin!G36+PSA!G36</f>
        <v>3077.0855168782246</v>
      </c>
      <c r="I36" s="149"/>
      <c r="J36" s="271"/>
      <c r="K36" s="18"/>
      <c r="L36" s="111"/>
    </row>
    <row r="37" spans="1:12" s="33" customFormat="1" ht="15.75" customHeight="1">
      <c r="A37" s="5" t="s">
        <v>98</v>
      </c>
      <c r="B37" s="160">
        <f>+Grenoble!$G37</f>
        <v>0</v>
      </c>
      <c r="C37" s="113">
        <f>+STMarcelin!$G37</f>
        <v>0</v>
      </c>
      <c r="D37" s="113">
        <f>+PSA!$G37</f>
        <v>0</v>
      </c>
      <c r="E37" s="160">
        <f>+Grenoble!E37+STMarcelin!E37+PSA!E37</f>
        <v>0</v>
      </c>
      <c r="F37" s="270"/>
      <c r="G37" s="270">
        <v>0</v>
      </c>
      <c r="H37" s="161">
        <f>+Grenoble!G37+STMarcelin!G37+PSA!G37</f>
        <v>0</v>
      </c>
      <c r="I37" s="149"/>
      <c r="J37" s="271"/>
      <c r="K37" s="18"/>
      <c r="L37" s="111"/>
    </row>
    <row r="38" spans="1:12" s="2" customFormat="1" ht="11.25">
      <c r="A38" s="5" t="s">
        <v>99</v>
      </c>
      <c r="B38" s="160">
        <f>+Grenoble!$G38</f>
        <v>0</v>
      </c>
      <c r="C38" s="113">
        <f>+STMarcelin!$G38</f>
        <v>0</v>
      </c>
      <c r="D38" s="113">
        <f>+PSA!$G38</f>
        <v>0</v>
      </c>
      <c r="E38" s="160">
        <f>+Grenoble!E38+STMarcelin!E38+PSA!E38</f>
        <v>19286.953300000067</v>
      </c>
      <c r="F38" s="270"/>
      <c r="G38" s="270">
        <v>0</v>
      </c>
      <c r="H38" s="161">
        <f>+Grenoble!G38+STMarcelin!G38+PSA!G38</f>
        <v>0</v>
      </c>
      <c r="I38" s="149"/>
      <c r="J38" s="271"/>
      <c r="K38" s="18"/>
      <c r="L38" s="111"/>
    </row>
    <row r="39" spans="1:12" s="2" customFormat="1" ht="11.25">
      <c r="A39" s="5" t="s">
        <v>177</v>
      </c>
      <c r="B39" s="160">
        <f>+Grenoble!$G39</f>
        <v>0</v>
      </c>
      <c r="C39" s="113">
        <f>+STMarcelin!$G39</f>
        <v>0</v>
      </c>
      <c r="D39" s="113">
        <f>+PSA!$G39</f>
        <v>0</v>
      </c>
      <c r="E39" s="160">
        <f>+Grenoble!E39+STMarcelin!E39+PSA!E39</f>
        <v>24537.08</v>
      </c>
      <c r="F39" s="270"/>
      <c r="G39" s="270">
        <v>0</v>
      </c>
      <c r="H39" s="161">
        <f>+Grenoble!G39+STMarcelin!G39+PSA!G39</f>
        <v>0</v>
      </c>
      <c r="I39" s="149"/>
      <c r="J39" s="271"/>
      <c r="K39" s="18"/>
      <c r="L39" s="111"/>
    </row>
    <row r="40" spans="1:12" s="2" customFormat="1" ht="11.25">
      <c r="A40" s="5" t="s">
        <v>176</v>
      </c>
      <c r="B40" s="160">
        <f>+Grenoble!$G40</f>
        <v>0</v>
      </c>
      <c r="C40" s="113">
        <f>+STMarcelin!$G40</f>
        <v>0</v>
      </c>
      <c r="D40" s="113">
        <f>+PSA!$G40</f>
        <v>0</v>
      </c>
      <c r="E40" s="160">
        <f>+Grenoble!E40+STMarcelin!E40+PSA!E40</f>
        <v>-19932.349999999999</v>
      </c>
      <c r="F40" s="270"/>
      <c r="G40" s="270">
        <v>0</v>
      </c>
      <c r="H40" s="161">
        <f>+Grenoble!G40+STMarcelin!G40+PSA!G40</f>
        <v>0</v>
      </c>
      <c r="I40" s="149"/>
      <c r="J40" s="271"/>
      <c r="K40" s="18"/>
      <c r="L40" s="111"/>
    </row>
    <row r="41" spans="1:12" s="2" customFormat="1" ht="11.25">
      <c r="A41" s="5" t="s">
        <v>317</v>
      </c>
      <c r="B41" s="160">
        <f>+Grenoble!$G41</f>
        <v>-16181.695467</v>
      </c>
      <c r="C41" s="113">
        <f>+STMarcelin!$G41</f>
        <v>-2404.0710395000001</v>
      </c>
      <c r="D41" s="113">
        <f>+PSA!$G41</f>
        <v>-22445.257161600002</v>
      </c>
      <c r="E41" s="160">
        <f>+Grenoble!E41+STMarcelin!E41+PSA!E41</f>
        <v>-44776.93</v>
      </c>
      <c r="F41" s="270"/>
      <c r="G41" s="270">
        <v>0</v>
      </c>
      <c r="H41" s="161">
        <f>+Grenoble!G41+STMarcelin!G41+PSA!G41</f>
        <v>-41031.023668100002</v>
      </c>
      <c r="I41" s="149"/>
      <c r="J41" s="271"/>
      <c r="K41" s="18"/>
      <c r="L41" s="111"/>
    </row>
    <row r="42" spans="1:12" s="2" customFormat="1" ht="11.25">
      <c r="A42" s="5" t="s">
        <v>318</v>
      </c>
      <c r="B42" s="160">
        <f>+Grenoble!$G42</f>
        <v>-33262.374015499998</v>
      </c>
      <c r="C42" s="113">
        <f>+STMarcelin!$G42</f>
        <v>-4530.7492667500001</v>
      </c>
      <c r="D42" s="113">
        <f>+PSA!$G42</f>
        <v>-30550.488914400008</v>
      </c>
      <c r="E42" s="160">
        <f>+Grenoble!E42+STMarcelin!E42+PSA!E42</f>
        <v>-63521.380000000005</v>
      </c>
      <c r="F42" s="270"/>
      <c r="G42" s="270">
        <v>0</v>
      </c>
      <c r="H42" s="161">
        <f>+Grenoble!G42+STMarcelin!G42+PSA!G42</f>
        <v>-68343.612196650007</v>
      </c>
      <c r="I42" s="149"/>
      <c r="J42" s="271"/>
      <c r="K42" s="18"/>
      <c r="L42" s="111"/>
    </row>
    <row r="43" spans="1:12" s="2" customFormat="1" ht="11.25">
      <c r="A43" s="5"/>
      <c r="B43" s="160"/>
      <c r="C43" s="113"/>
      <c r="D43" s="113"/>
      <c r="E43" s="160"/>
      <c r="F43" s="113"/>
      <c r="G43" s="113"/>
      <c r="H43" s="162"/>
      <c r="I43" s="149"/>
      <c r="J43" s="254"/>
      <c r="K43" s="18"/>
      <c r="L43" s="111"/>
    </row>
    <row r="44" spans="1:12" s="2" customFormat="1" ht="11.25">
      <c r="A44" s="13" t="s">
        <v>291</v>
      </c>
      <c r="B44" s="163">
        <f t="shared" ref="B44:H44" si="4">+B30+SUM(B34:B43)</f>
        <v>1247086.7227573013</v>
      </c>
      <c r="C44" s="204">
        <f t="shared" si="4"/>
        <v>179322.20177538306</v>
      </c>
      <c r="D44" s="204">
        <f t="shared" si="4"/>
        <v>1519733.4349373984</v>
      </c>
      <c r="E44" s="204">
        <f t="shared" si="4"/>
        <v>2968392.3132999996</v>
      </c>
      <c r="F44" s="204"/>
      <c r="G44" s="204">
        <v>0</v>
      </c>
      <c r="H44" s="168">
        <f t="shared" si="4"/>
        <v>2946142.3594700824</v>
      </c>
      <c r="I44" s="272"/>
      <c r="J44" s="188"/>
      <c r="K44" s="305"/>
      <c r="L44" s="111"/>
    </row>
    <row r="45" spans="1:12" s="2" customFormat="1" ht="11.25">
      <c r="A45" s="5"/>
      <c r="B45" s="160"/>
      <c r="C45" s="113"/>
      <c r="D45" s="113"/>
      <c r="E45" s="160"/>
      <c r="F45" s="113"/>
      <c r="G45" s="113"/>
      <c r="H45" s="162"/>
      <c r="I45" s="149"/>
      <c r="J45" s="254"/>
      <c r="K45" s="18"/>
      <c r="L45" s="111"/>
    </row>
    <row r="46" spans="1:12" s="2" customFormat="1" ht="11.25">
      <c r="A46" s="56" t="s">
        <v>339</v>
      </c>
      <c r="B46" s="166">
        <f>+B21-B44</f>
        <v>814328.27724269871</v>
      </c>
      <c r="C46" s="221">
        <f>+C21-C44</f>
        <v>149322.79822461694</v>
      </c>
      <c r="D46" s="221">
        <f>+D21-D44</f>
        <v>831244.56506260158</v>
      </c>
      <c r="E46" s="221">
        <f>+E21-E44</f>
        <v>1795925.9667000007</v>
      </c>
      <c r="F46" s="221"/>
      <c r="G46" s="221">
        <v>4889785.5483000018</v>
      </c>
      <c r="H46" s="167">
        <f>+H21-H44</f>
        <v>1794895.6405299176</v>
      </c>
      <c r="I46" s="273"/>
      <c r="J46" s="274"/>
      <c r="K46" s="307"/>
      <c r="L46" s="111"/>
    </row>
    <row r="47" spans="1:12" s="2" customFormat="1" ht="11.25">
      <c r="A47" s="56" t="s">
        <v>340</v>
      </c>
      <c r="B47" s="196">
        <f>+B46/B21</f>
        <v>0.39503364302806504</v>
      </c>
      <c r="C47" s="222">
        <f>+C46/C21</f>
        <v>0.45435895335275733</v>
      </c>
      <c r="D47" s="222">
        <f>+D46/D21</f>
        <v>0.35357394457225955</v>
      </c>
      <c r="E47" s="222">
        <f>+E46/E21</f>
        <v>0.37695339839889969</v>
      </c>
      <c r="F47" s="222"/>
      <c r="G47" s="222">
        <v>1</v>
      </c>
      <c r="H47" s="189">
        <f>+H46/H21</f>
        <v>0.37858706058249642</v>
      </c>
      <c r="I47" s="273"/>
      <c r="J47" s="274"/>
      <c r="K47" s="308"/>
      <c r="L47" s="111"/>
    </row>
    <row r="48" spans="1:12" s="2" customFormat="1" ht="15" customHeight="1">
      <c r="A48" s="5"/>
      <c r="B48" s="160"/>
      <c r="C48" s="113"/>
      <c r="D48" s="113"/>
      <c r="E48" s="160"/>
      <c r="F48" s="113"/>
      <c r="G48" s="113"/>
      <c r="H48" s="162"/>
      <c r="I48" s="149"/>
      <c r="J48" s="271"/>
      <c r="K48" s="18"/>
      <c r="L48" s="111"/>
    </row>
    <row r="49" spans="1:12" s="2" customFormat="1" ht="11.25">
      <c r="A49" s="5" t="s">
        <v>91</v>
      </c>
      <c r="B49" s="160">
        <f>+Grenoble!$G49</f>
        <v>62468</v>
      </c>
      <c r="C49" s="113">
        <f>+STMarcelin!$G49</f>
        <v>2446</v>
      </c>
      <c r="D49" s="113">
        <f>+PSA!$G49</f>
        <v>46222</v>
      </c>
      <c r="E49" s="160">
        <f>+Grenoble!E49+STMarcelin!E49+PSA!E49</f>
        <v>93333.23</v>
      </c>
      <c r="F49" s="135">
        <f>+Grenoble!F49+STMarcelin!F49+PSA!F49</f>
        <v>108575</v>
      </c>
      <c r="G49" s="135">
        <v>127194.7206</v>
      </c>
      <c r="H49" s="161">
        <f>+Grenoble!G49+STMarcelin!G49+PSA!G49</f>
        <v>111136</v>
      </c>
      <c r="I49" s="149">
        <f>+IF((E49)=0,,(F49-E49)/E49)</f>
        <v>0.16330485937323722</v>
      </c>
      <c r="J49" s="271">
        <f>+IF((F49)=0,,(H49-F49)/F49)</f>
        <v>2.3587381994013355E-2</v>
      </c>
      <c r="K49" s="18">
        <f>+Grenoble!D49+STMarcelin!D49+PSA!D49</f>
        <v>108575</v>
      </c>
      <c r="L49" s="111"/>
    </row>
    <row r="50" spans="1:12" s="2" customFormat="1" ht="15" customHeight="1">
      <c r="A50" s="5"/>
      <c r="B50" s="160"/>
      <c r="C50" s="113"/>
      <c r="D50" s="113"/>
      <c r="E50" s="160"/>
      <c r="F50" s="134"/>
      <c r="G50" s="134"/>
      <c r="H50" s="162"/>
      <c r="I50" s="149"/>
      <c r="J50" s="271"/>
      <c r="K50" s="18"/>
      <c r="L50" s="111"/>
    </row>
    <row r="51" spans="1:12" s="2" customFormat="1" ht="11.25">
      <c r="A51" s="13" t="s">
        <v>223</v>
      </c>
      <c r="B51" s="163">
        <f t="shared" ref="B51:H51" si="5">+B21-B49</f>
        <v>1998947</v>
      </c>
      <c r="C51" s="204">
        <f t="shared" si="5"/>
        <v>326199</v>
      </c>
      <c r="D51" s="204">
        <f t="shared" si="5"/>
        <v>2304756</v>
      </c>
      <c r="E51" s="163">
        <f>+E21-E49</f>
        <v>4670985.05</v>
      </c>
      <c r="F51" s="136">
        <f>+F21-F49</f>
        <v>4468659.4030384459</v>
      </c>
      <c r="G51" s="136">
        <v>4762590.8277000021</v>
      </c>
      <c r="H51" s="168">
        <f t="shared" si="5"/>
        <v>4629902</v>
      </c>
      <c r="I51" s="272"/>
      <c r="J51" s="188"/>
      <c r="K51" s="305">
        <f>+K21-K49</f>
        <v>4570261</v>
      </c>
      <c r="L51" s="111"/>
    </row>
    <row r="52" spans="1:12" s="2" customFormat="1" ht="15" customHeight="1">
      <c r="A52" s="5"/>
      <c r="B52" s="160"/>
      <c r="C52" s="113"/>
      <c r="D52" s="113"/>
      <c r="E52" s="160"/>
      <c r="F52" s="134"/>
      <c r="G52" s="134"/>
      <c r="H52" s="162"/>
      <c r="I52" s="149"/>
      <c r="J52" s="254"/>
      <c r="K52" s="18"/>
      <c r="L52" s="111"/>
    </row>
    <row r="53" spans="1:12" s="2" customFormat="1" ht="11.25">
      <c r="A53" s="16" t="s">
        <v>3</v>
      </c>
      <c r="B53" s="169">
        <f>+B51-B44</f>
        <v>751860.27724269871</v>
      </c>
      <c r="C53" s="223">
        <f>+C51-C44</f>
        <v>146876.79822461694</v>
      </c>
      <c r="D53" s="223">
        <f>+D51-D44</f>
        <v>785022.56506260158</v>
      </c>
      <c r="E53" s="223">
        <f>+E51-E44</f>
        <v>1702592.7367000002</v>
      </c>
      <c r="F53" s="140"/>
      <c r="G53" s="140">
        <v>0</v>
      </c>
      <c r="H53" s="170">
        <f>+Grenoble!G53+STMarcelin!G53+PSA!G53</f>
        <v>1683759.6405299176</v>
      </c>
      <c r="I53" s="224"/>
      <c r="J53" s="123"/>
      <c r="K53" s="309"/>
      <c r="L53" s="111"/>
    </row>
    <row r="54" spans="1:12" s="2" customFormat="1" ht="15" customHeight="1">
      <c r="A54" s="16" t="s">
        <v>4</v>
      </c>
      <c r="B54" s="197">
        <f>+B53/B51</f>
        <v>0.37612817010290855</v>
      </c>
      <c r="C54" s="224">
        <f>+C53/C51</f>
        <v>0.45026746931970035</v>
      </c>
      <c r="D54" s="224">
        <f>+D53/D51</f>
        <v>0.34060983681682644</v>
      </c>
      <c r="E54" s="224">
        <f>+E53/E51</f>
        <v>0.36450400043562553</v>
      </c>
      <c r="F54" s="141"/>
      <c r="G54" s="141">
        <v>0</v>
      </c>
      <c r="H54" s="191">
        <f>+H53/H51</f>
        <v>0.3636706868806116</v>
      </c>
      <c r="I54" s="224"/>
      <c r="J54" s="123"/>
      <c r="K54" s="15"/>
      <c r="L54" s="111"/>
    </row>
    <row r="55" spans="1:12" s="2" customFormat="1" ht="11.25">
      <c r="A55" s="5"/>
      <c r="B55" s="160"/>
      <c r="C55" s="113"/>
      <c r="D55" s="113"/>
      <c r="E55" s="160"/>
      <c r="F55" s="134"/>
      <c r="G55" s="134"/>
      <c r="H55" s="162"/>
      <c r="I55" s="149"/>
      <c r="J55" s="271"/>
      <c r="K55" s="18"/>
      <c r="L55" s="111"/>
    </row>
    <row r="56" spans="1:12" s="2" customFormat="1" ht="11.25">
      <c r="A56" s="5" t="s">
        <v>290</v>
      </c>
      <c r="B56" s="160">
        <f>+Grenoble!$G56</f>
        <v>0</v>
      </c>
      <c r="C56" s="113">
        <f>+STMarcelin!$G56</f>
        <v>0</v>
      </c>
      <c r="D56" s="113">
        <f>+PSA!$G56</f>
        <v>0</v>
      </c>
      <c r="E56" s="160">
        <f>+Grenoble!E56+STMarcelin!E56+PSA!E56</f>
        <v>581497.54150000005</v>
      </c>
      <c r="F56" s="134"/>
      <c r="G56" s="134">
        <v>0</v>
      </c>
      <c r="H56" s="161">
        <f>+Grenoble!G56+STMarcelin!G56+PSA!G56</f>
        <v>0</v>
      </c>
      <c r="I56" s="149"/>
      <c r="J56" s="271"/>
      <c r="K56" s="18"/>
      <c r="L56" s="111"/>
    </row>
    <row r="57" spans="1:12" s="2" customFormat="1" ht="11.25">
      <c r="A57" s="5" t="s">
        <v>100</v>
      </c>
      <c r="B57" s="160">
        <f>+Grenoble!$G57</f>
        <v>0</v>
      </c>
      <c r="C57" s="113">
        <f>+STMarcelin!$G57</f>
        <v>0</v>
      </c>
      <c r="D57" s="113">
        <f>+PSA!$G57</f>
        <v>0</v>
      </c>
      <c r="E57" s="160">
        <f>+Grenoble!E57+STMarcelin!E57+PSA!E57</f>
        <v>562210.5882</v>
      </c>
      <c r="F57" s="134"/>
      <c r="G57" s="134">
        <v>0</v>
      </c>
      <c r="H57" s="161">
        <f>+Grenoble!G57+STMarcelin!G57+PSA!G57</f>
        <v>0</v>
      </c>
      <c r="I57" s="149"/>
      <c r="J57" s="271"/>
      <c r="K57" s="18"/>
      <c r="L57" s="111"/>
    </row>
    <row r="58" spans="1:12" s="2" customFormat="1" ht="12" thickBot="1">
      <c r="A58" s="21"/>
      <c r="B58" s="171"/>
      <c r="C58" s="205"/>
      <c r="D58" s="205"/>
      <c r="E58" s="171"/>
      <c r="F58" s="142"/>
      <c r="G58" s="142"/>
      <c r="H58" s="172"/>
      <c r="I58" s="236"/>
      <c r="J58" s="275"/>
      <c r="K58" s="310"/>
      <c r="L58" s="111"/>
    </row>
    <row r="59" spans="1:12" s="2" customFormat="1" ht="12" thickTop="1">
      <c r="A59" s="5"/>
      <c r="B59" s="160"/>
      <c r="C59" s="113"/>
      <c r="D59" s="113"/>
      <c r="E59" s="160"/>
      <c r="F59" s="134"/>
      <c r="G59" s="134"/>
      <c r="H59" s="162"/>
      <c r="I59" s="149"/>
      <c r="J59" s="254"/>
      <c r="K59" s="18"/>
      <c r="L59" s="111"/>
    </row>
    <row r="60" spans="1:12" s="2" customFormat="1" ht="15" customHeight="1">
      <c r="A60" s="16" t="s">
        <v>295</v>
      </c>
      <c r="B60" s="197">
        <f>+Grenoble!$G60</f>
        <v>0.37612817010290855</v>
      </c>
      <c r="C60" s="224">
        <f>+STMarcelin!$G60</f>
        <v>0.45026746931970035</v>
      </c>
      <c r="D60" s="224">
        <f>+PSA!$G60</f>
        <v>0.34060983681682649</v>
      </c>
      <c r="E60" s="197">
        <f>+E62/E51</f>
        <v>0.36450400043562559</v>
      </c>
      <c r="F60" s="224">
        <f>+F62/F51</f>
        <v>0.3501058450869261</v>
      </c>
      <c r="G60" s="224">
        <v>0.35893275885754489</v>
      </c>
      <c r="H60" s="191">
        <f>+H62/H51</f>
        <v>0.3636706868806116</v>
      </c>
      <c r="I60" s="224"/>
      <c r="J60" s="123"/>
      <c r="K60" s="15">
        <f>+K62/K51</f>
        <v>0.36508593272900608</v>
      </c>
      <c r="L60" s="111"/>
    </row>
    <row r="61" spans="1:12" s="2" customFormat="1" ht="11.25">
      <c r="A61" s="5" t="s">
        <v>75</v>
      </c>
      <c r="B61" s="92">
        <f>+Grenoble!$G61</f>
        <v>0</v>
      </c>
      <c r="C61" s="149">
        <f>+STMarcelin!$G61</f>
        <v>0</v>
      </c>
      <c r="D61" s="149">
        <f>+PSA!$G61</f>
        <v>0</v>
      </c>
      <c r="E61" s="160"/>
      <c r="F61" s="135"/>
      <c r="G61" s="135"/>
      <c r="H61" s="162"/>
      <c r="I61" s="149"/>
      <c r="J61" s="254"/>
      <c r="K61" s="18"/>
      <c r="L61" s="111"/>
    </row>
    <row r="62" spans="1:12" s="2" customFormat="1" ht="15" customHeight="1">
      <c r="A62" s="16" t="s">
        <v>296</v>
      </c>
      <c r="B62" s="169">
        <f>+B51*B60</f>
        <v>751860.27724269871</v>
      </c>
      <c r="C62" s="223">
        <f>+C51*C60</f>
        <v>146876.79822461694</v>
      </c>
      <c r="D62" s="223">
        <f>+D51*D60</f>
        <v>785022.56506260182</v>
      </c>
      <c r="E62" s="169">
        <f>+Grenoble!E62+STMarcelin!E62+PSA!E62</f>
        <v>1702592.7367000005</v>
      </c>
      <c r="F62" s="140">
        <f>+Grenoble!F62+STMarcelin!F62+PSA!F62</f>
        <v>1564503.7767064138</v>
      </c>
      <c r="G62" s="140">
        <v>1709449.865096</v>
      </c>
      <c r="H62" s="170">
        <f>+Grenoble!G62+STMarcelin!G62+PSA!G62</f>
        <v>1683759.6405299176</v>
      </c>
      <c r="I62" s="224">
        <f>+IF((E62)=0,,(F62-E62)/E62)</f>
        <v>-8.110510342081774E-2</v>
      </c>
      <c r="J62" s="123">
        <f>+IF((F62)=0,,(H62-F62)/F62)</f>
        <v>7.6225999322648244E-2</v>
      </c>
      <c r="K62" s="309">
        <f>+Grenoble!D62+STMarcelin!D62+PSA!D62</f>
        <v>1668538</v>
      </c>
      <c r="L62" s="111"/>
    </row>
    <row r="63" spans="1:12" s="2" customFormat="1" ht="11.25">
      <c r="A63" s="5"/>
      <c r="B63" s="160"/>
      <c r="C63" s="113"/>
      <c r="D63" s="113"/>
      <c r="E63" s="160"/>
      <c r="F63" s="134"/>
      <c r="G63" s="134"/>
      <c r="H63" s="162"/>
      <c r="I63" s="149"/>
      <c r="J63" s="271"/>
      <c r="K63" s="18"/>
      <c r="L63" s="111"/>
    </row>
    <row r="64" spans="1:12" s="2" customFormat="1" ht="11.25">
      <c r="A64" s="5" t="s">
        <v>104</v>
      </c>
      <c r="B64" s="160">
        <f>+Grenoble!$G64</f>
        <v>10481.911733333334</v>
      </c>
      <c r="C64" s="113">
        <f>+STMarcelin!$G64</f>
        <v>0</v>
      </c>
      <c r="D64" s="113">
        <f>+PSA!$G64</f>
        <v>12000</v>
      </c>
      <c r="E64" s="160">
        <f>+Grenoble!E64+STMarcelin!E64+PSA!E64</f>
        <v>22578.190000000002</v>
      </c>
      <c r="F64" s="135">
        <f>+Grenoble!F64+STMarcelin!F64+PSA!F64</f>
        <v>21108.840000000004</v>
      </c>
      <c r="G64" s="135">
        <v>23526.92525</v>
      </c>
      <c r="H64" s="161">
        <f>+Grenoble!G64+STMarcelin!G64+PSA!G64</f>
        <v>22481.911733333334</v>
      </c>
      <c r="I64" s="149">
        <f>+IF((E64)=0,,(F64-E64)/E64)</f>
        <v>-6.5078290155233809E-2</v>
      </c>
      <c r="J64" s="271">
        <f>+IF((F64)=0,,(H64-F64)/F64)</f>
        <v>6.504723771336228E-2</v>
      </c>
      <c r="K64" s="18">
        <f>+Grenoble!D64+STMarcelin!D64+PSA!D64</f>
        <v>21602.0308</v>
      </c>
      <c r="L64" s="111"/>
    </row>
    <row r="65" spans="1:12" s="2" customFormat="1" ht="11.25">
      <c r="A65" s="5" t="s">
        <v>314</v>
      </c>
      <c r="B65" s="160">
        <f>+Grenoble!$G65</f>
        <v>0</v>
      </c>
      <c r="C65" s="113">
        <f>+STMarcelin!$G65</f>
        <v>0</v>
      </c>
      <c r="D65" s="113">
        <f>+PSA!$G65</f>
        <v>0</v>
      </c>
      <c r="E65" s="160">
        <f>+Grenoble!E65+STMarcelin!E65+PSA!E65</f>
        <v>0</v>
      </c>
      <c r="F65" s="135">
        <f>+Grenoble!F65+STMarcelin!F65+PSA!F65</f>
        <v>0</v>
      </c>
      <c r="G65" s="135">
        <v>0</v>
      </c>
      <c r="H65" s="161">
        <f>+Grenoble!G65+STMarcelin!G65+PSA!G65</f>
        <v>0</v>
      </c>
      <c r="I65" s="149">
        <f>+IF((E65)=0,,(F65-E65)/E65)</f>
        <v>0</v>
      </c>
      <c r="J65" s="271">
        <f>+IF((F65)=0,,(H65-F65)/F65)</f>
        <v>0</v>
      </c>
      <c r="K65" s="18">
        <f>+Grenoble!D65+STMarcelin!D65+PSA!D65</f>
        <v>0</v>
      </c>
      <c r="L65" s="111"/>
    </row>
    <row r="66" spans="1:12" s="2" customFormat="1" ht="15" customHeight="1">
      <c r="A66" s="5" t="s">
        <v>110</v>
      </c>
      <c r="B66" s="160">
        <f>+Grenoble!$G66</f>
        <v>2736.0096000000003</v>
      </c>
      <c r="C66" s="113">
        <f>+STMarcelin!$G66</f>
        <v>559.53719999999998</v>
      </c>
      <c r="D66" s="113">
        <f>+PSA!$G66</f>
        <v>2891.7000000000003</v>
      </c>
      <c r="E66" s="160">
        <f>+Grenoble!E66+STMarcelin!E66+PSA!E66</f>
        <v>6208.37</v>
      </c>
      <c r="F66" s="135">
        <f>+Grenoble!F66+STMarcelin!F66+PSA!F66</f>
        <v>6218</v>
      </c>
      <c r="G66" s="135">
        <v>8815.3399750000008</v>
      </c>
      <c r="H66" s="161">
        <f>+Grenoble!G66+STMarcelin!G66+PSA!G66</f>
        <v>6187.2468000000008</v>
      </c>
      <c r="I66" s="149">
        <f>+IF((E66)=0,,(F66-E66)/E66)</f>
        <v>1.5511317785505871E-3</v>
      </c>
      <c r="J66" s="271">
        <f>+IF((F66)=0,,(H66-F66)/F66)</f>
        <v>-4.9458346735283369E-3</v>
      </c>
      <c r="K66" s="18">
        <f>+Grenoble!D66+STMarcelin!D66+PSA!D66</f>
        <v>5951.6986750000015</v>
      </c>
      <c r="L66" s="111"/>
    </row>
    <row r="67" spans="1:12" s="2" customFormat="1" ht="11.25">
      <c r="A67" s="5" t="s">
        <v>107</v>
      </c>
      <c r="B67" s="160">
        <f>+Grenoble!$G67</f>
        <v>4493.3955999999998</v>
      </c>
      <c r="C67" s="113">
        <f>+STMarcelin!$G67</f>
        <v>78.073999999999998</v>
      </c>
      <c r="D67" s="113">
        <f>+PSA!$G67</f>
        <v>3500</v>
      </c>
      <c r="E67" s="160">
        <f>+Grenoble!E67+STMarcelin!E67+PSA!E67</f>
        <v>15269.880000000001</v>
      </c>
      <c r="F67" s="135">
        <f>+Grenoble!F67+STMarcelin!F67+PSA!F67</f>
        <v>6340.9466666666667</v>
      </c>
      <c r="G67" s="135">
        <v>10896.4112</v>
      </c>
      <c r="H67" s="161">
        <f>+Grenoble!G67+STMarcelin!G67+PSA!G67</f>
        <v>8071.4695999999994</v>
      </c>
      <c r="I67" s="149">
        <f>+IF((E67)=0,,(F67-E67)/E67)</f>
        <v>-0.58474155221477409</v>
      </c>
      <c r="J67" s="271">
        <f>+IF((F67)=0,,(H67-F67)/F67)</f>
        <v>0.27291239373300719</v>
      </c>
      <c r="K67" s="18">
        <f>+Grenoble!D67+STMarcelin!D67+PSA!D67</f>
        <v>7896.979875</v>
      </c>
      <c r="L67" s="111"/>
    </row>
    <row r="68" spans="1:12" s="2" customFormat="1" ht="18.75" customHeight="1">
      <c r="A68" s="5" t="s">
        <v>125</v>
      </c>
      <c r="B68" s="160">
        <f>+Grenoble!$G68</f>
        <v>6432.2676000000001</v>
      </c>
      <c r="C68" s="113">
        <f>+STMarcelin!$G68</f>
        <v>259.40893333333332</v>
      </c>
      <c r="D68" s="113">
        <f>+PSA!$G68</f>
        <v>4879.8104000000003</v>
      </c>
      <c r="E68" s="160">
        <f>+Grenoble!E68+STMarcelin!E68+PSA!E68</f>
        <v>14402.1</v>
      </c>
      <c r="F68" s="135">
        <f>+Grenoble!F68+STMarcelin!F68+PSA!F68</f>
        <v>11234.453333333335</v>
      </c>
      <c r="G68" s="135">
        <v>14648.1862</v>
      </c>
      <c r="H68" s="161">
        <f>+Grenoble!G68+STMarcelin!G68+PSA!G68</f>
        <v>11571.486933333334</v>
      </c>
      <c r="I68" s="149">
        <f>+IF((E68)=0,,(F68-E68)/E68)</f>
        <v>-0.21994338788556292</v>
      </c>
      <c r="J68" s="271">
        <f>+IF((F68)=0,,(H68-F68)/F68)</f>
        <v>2.9999999999999895E-2</v>
      </c>
      <c r="K68" s="18">
        <f>+Grenoble!D68+STMarcelin!D68+PSA!D68</f>
        <v>14648.1862</v>
      </c>
      <c r="L68" s="111"/>
    </row>
    <row r="69" spans="1:12" s="2" customFormat="1" ht="11.25">
      <c r="A69" s="5"/>
      <c r="B69" s="160"/>
      <c r="C69" s="113"/>
      <c r="D69" s="113"/>
      <c r="E69" s="160"/>
      <c r="F69" s="143"/>
      <c r="G69" s="143"/>
      <c r="H69" s="161"/>
      <c r="I69" s="149"/>
      <c r="J69" s="271"/>
      <c r="K69" s="18"/>
      <c r="L69" s="111"/>
    </row>
    <row r="70" spans="1:12" s="2" customFormat="1" ht="11.25">
      <c r="A70" s="11" t="s">
        <v>128</v>
      </c>
      <c r="B70" s="173">
        <f t="shared" ref="B70:H70" si="6">SUM(B64:B69)</f>
        <v>24143.584533333335</v>
      </c>
      <c r="C70" s="227">
        <f t="shared" si="6"/>
        <v>897.02013333333321</v>
      </c>
      <c r="D70" s="227">
        <f t="shared" si="6"/>
        <v>23271.510399999999</v>
      </c>
      <c r="E70" s="276">
        <f>SUM(E64:E69)</f>
        <v>58458.54</v>
      </c>
      <c r="F70" s="144">
        <f>SUM(F64:F69)</f>
        <v>44902.240000000005</v>
      </c>
      <c r="G70" s="144">
        <v>57886.862625000009</v>
      </c>
      <c r="H70" s="277">
        <f t="shared" si="6"/>
        <v>48312.115066666665</v>
      </c>
      <c r="I70" s="278">
        <f>+IF((E70)=0,,(F70-E70)/E70)</f>
        <v>-0.2318959727697612</v>
      </c>
      <c r="J70" s="279">
        <f>+IF((F70)=0,,(H70-F70)/F70)</f>
        <v>7.5939976862327133E-2</v>
      </c>
      <c r="K70" s="311">
        <f>SUM(K64:K69)</f>
        <v>50098.895550000001</v>
      </c>
      <c r="L70" s="111"/>
    </row>
    <row r="71" spans="1:12" s="2" customFormat="1" ht="11.25">
      <c r="A71" s="5"/>
      <c r="B71" s="160"/>
      <c r="C71" s="113"/>
      <c r="D71" s="113"/>
      <c r="E71" s="160"/>
      <c r="F71" s="143"/>
      <c r="G71" s="143"/>
      <c r="H71" s="161"/>
      <c r="I71" s="149"/>
      <c r="J71" s="271"/>
      <c r="K71" s="18"/>
      <c r="L71" s="111"/>
    </row>
    <row r="72" spans="1:12" s="2" customFormat="1" ht="11.25">
      <c r="A72" s="5" t="s">
        <v>1</v>
      </c>
      <c r="B72" s="160">
        <f>+Grenoble!$G72</f>
        <v>0</v>
      </c>
      <c r="C72" s="113">
        <f>+STMarcelin!$G72</f>
        <v>0</v>
      </c>
      <c r="D72" s="113">
        <f>+PSA!$G72</f>
        <v>1398.6988000000001</v>
      </c>
      <c r="E72" s="160">
        <f>+Grenoble!E72+STMarcelin!E72+PSA!E72</f>
        <v>1185.99</v>
      </c>
      <c r="F72" s="135">
        <f>+Grenoble!F72+STMarcelin!F72+PSA!F72</f>
        <v>1357.96</v>
      </c>
      <c r="G72" s="135">
        <v>514.87161041416675</v>
      </c>
      <c r="H72" s="161">
        <f>+Grenoble!G72+STMarcelin!G72+PSA!G72</f>
        <v>1398.6988000000001</v>
      </c>
      <c r="I72" s="149">
        <f>+IF((E72)=0,,(F72-E72)/E72)</f>
        <v>0.14500122260727327</v>
      </c>
      <c r="J72" s="271">
        <f>+IF((F72)=0,,(H72-F72)/F72)</f>
        <v>3.0000000000000061E-2</v>
      </c>
      <c r="K72" s="18">
        <f>+Grenoble!D72+STMarcelin!D72+PSA!D72</f>
        <v>514.87161041416675</v>
      </c>
      <c r="L72" s="111"/>
    </row>
    <row r="73" spans="1:12" s="2" customFormat="1" ht="11.25">
      <c r="A73" s="5" t="s">
        <v>123</v>
      </c>
      <c r="B73" s="160">
        <f>+Grenoble!$G73</f>
        <v>6149.2647999999999</v>
      </c>
      <c r="C73" s="113">
        <f>+STMarcelin!$G73</f>
        <v>276.02626666666669</v>
      </c>
      <c r="D73" s="113">
        <f>+PSA!$G73</f>
        <v>16495.559866666666</v>
      </c>
      <c r="E73" s="160">
        <f>+Grenoble!E73+STMarcelin!E73+PSA!E73</f>
        <v>19278.07</v>
      </c>
      <c r="F73" s="135">
        <f>+Grenoble!F73+STMarcelin!F73+PSA!F73</f>
        <v>22253.253333333334</v>
      </c>
      <c r="G73" s="135">
        <v>18371.748202242918</v>
      </c>
      <c r="H73" s="161">
        <f>+Grenoble!G73+STMarcelin!G73+PSA!G73</f>
        <v>22920.850933333335</v>
      </c>
      <c r="I73" s="149">
        <f t="shared" ref="I73:I101" si="7">+IF((E73)=0,,(F73-E73)/E73)</f>
        <v>0.15432993724648444</v>
      </c>
      <c r="J73" s="271">
        <f t="shared" ref="J73:J101" si="8">+IF((F73)=0,,(H73-F73)/F73)</f>
        <v>3.0000000000000044E-2</v>
      </c>
      <c r="K73" s="18">
        <f>+Grenoble!D73+STMarcelin!D73+PSA!D73</f>
        <v>18371.748202242918</v>
      </c>
      <c r="L73" s="111"/>
    </row>
    <row r="74" spans="1:12" s="2" customFormat="1" ht="11.25">
      <c r="A74" s="5" t="s">
        <v>124</v>
      </c>
      <c r="B74" s="160">
        <f>+Grenoble!$G74</f>
        <v>3470.3172</v>
      </c>
      <c r="C74" s="113">
        <f>+STMarcelin!$G74</f>
        <v>2559.7147999999997</v>
      </c>
      <c r="D74" s="113">
        <f>+PSA!$G74</f>
        <v>3022.2671999999998</v>
      </c>
      <c r="E74" s="160">
        <f>+Grenoble!E74+STMarcelin!E74+PSA!E74</f>
        <v>6309.6</v>
      </c>
      <c r="F74" s="135">
        <f>+Grenoble!F74+STMarcelin!F74+PSA!F74</f>
        <v>8788.64</v>
      </c>
      <c r="G74" s="135">
        <v>6313.4577435997917</v>
      </c>
      <c r="H74" s="161">
        <f>+Grenoble!G74+STMarcelin!G74+PSA!G74</f>
        <v>9052.2991999999995</v>
      </c>
      <c r="I74" s="149">
        <f t="shared" si="7"/>
        <v>0.39289970838087973</v>
      </c>
      <c r="J74" s="271">
        <f t="shared" si="8"/>
        <v>3.0000000000000009E-2</v>
      </c>
      <c r="K74" s="18">
        <f>+Grenoble!D74+STMarcelin!D74+PSA!D74</f>
        <v>6313.4577435997917</v>
      </c>
      <c r="L74" s="111"/>
    </row>
    <row r="75" spans="1:12" s="2" customFormat="1" ht="11.25">
      <c r="A75" s="5" t="s">
        <v>360</v>
      </c>
      <c r="B75" s="160">
        <f>+Grenoble!$G75</f>
        <v>0</v>
      </c>
      <c r="C75" s="113">
        <f>+STMarcelin!$G75</f>
        <v>0</v>
      </c>
      <c r="D75" s="113">
        <f>+PSA!$G75</f>
        <v>0</v>
      </c>
      <c r="E75" s="160">
        <f>+Grenoble!E75+STMarcelin!E75+PSA!E75</f>
        <v>0</v>
      </c>
      <c r="F75" s="135">
        <f>+Grenoble!F75+STMarcelin!F75+PSA!F75</f>
        <v>0</v>
      </c>
      <c r="G75" s="135">
        <v>0</v>
      </c>
      <c r="H75" s="161">
        <f>+Grenoble!G75+STMarcelin!G75+PSA!G75</f>
        <v>0</v>
      </c>
      <c r="I75" s="149">
        <f t="shared" si="7"/>
        <v>0</v>
      </c>
      <c r="J75" s="271">
        <f t="shared" si="8"/>
        <v>0</v>
      </c>
      <c r="K75" s="18">
        <f>+Grenoble!D75+STMarcelin!D75+PSA!D75</f>
        <v>0</v>
      </c>
      <c r="L75" s="111"/>
    </row>
    <row r="76" spans="1:12" s="2" customFormat="1" ht="11.25">
      <c r="A76" s="5" t="s">
        <v>126</v>
      </c>
      <c r="B76" s="160">
        <f>+Grenoble!$G76</f>
        <v>105.78786666666669</v>
      </c>
      <c r="C76" s="113">
        <f>+STMarcelin!$G76</f>
        <v>25.365466666666666</v>
      </c>
      <c r="D76" s="113">
        <f>+PSA!$G76</f>
        <v>331.35786666666667</v>
      </c>
      <c r="E76" s="160">
        <f>+Grenoble!E76+STMarcelin!E76+PSA!E76</f>
        <v>556.78</v>
      </c>
      <c r="F76" s="135">
        <f>+Grenoble!F76+STMarcelin!F76+PSA!F76</f>
        <v>449.03999999999996</v>
      </c>
      <c r="G76" s="135">
        <v>781.68604156336403</v>
      </c>
      <c r="H76" s="161">
        <f>+Grenoble!G76+STMarcelin!G76+PSA!G76</f>
        <v>462.51120000000003</v>
      </c>
      <c r="I76" s="149">
        <f t="shared" si="7"/>
        <v>-0.19350551384748019</v>
      </c>
      <c r="J76" s="271">
        <f t="shared" si="8"/>
        <v>3.0000000000000152E-2</v>
      </c>
      <c r="K76" s="18">
        <f>+Grenoble!D76+STMarcelin!D76+PSA!D76</f>
        <v>781.68604156336403</v>
      </c>
      <c r="L76" s="111"/>
    </row>
    <row r="77" spans="1:12" s="2" customFormat="1" ht="11.25">
      <c r="A77" s="5" t="s">
        <v>127</v>
      </c>
      <c r="B77" s="160">
        <f>+Grenoble!$G77</f>
        <v>2782.3596000000002</v>
      </c>
      <c r="C77" s="113">
        <f>+STMarcelin!$G77</f>
        <v>1065.7753333333333</v>
      </c>
      <c r="D77" s="113">
        <f>+PSA!$G77</f>
        <v>4280.3778666666667</v>
      </c>
      <c r="E77" s="160">
        <f>+Grenoble!E77+STMarcelin!E77+PSA!E77</f>
        <v>9502.2999999999993</v>
      </c>
      <c r="F77" s="135">
        <f>+Grenoble!F77+STMarcelin!F77+PSA!F77</f>
        <v>7891.76</v>
      </c>
      <c r="G77" s="135">
        <v>8976.6704214377078</v>
      </c>
      <c r="H77" s="161">
        <f>+Grenoble!G77+STMarcelin!G77+PSA!G77</f>
        <v>8128.5128000000004</v>
      </c>
      <c r="I77" s="149">
        <f t="shared" si="7"/>
        <v>-0.16948949201772193</v>
      </c>
      <c r="J77" s="271">
        <f t="shared" si="8"/>
        <v>3.0000000000000027E-2</v>
      </c>
      <c r="K77" s="18">
        <f>+Grenoble!D77+STMarcelin!D77+PSA!D77</f>
        <v>8976.6704214377078</v>
      </c>
      <c r="L77" s="111"/>
    </row>
    <row r="78" spans="1:12" s="2" customFormat="1" ht="11.25">
      <c r="A78" s="5" t="s">
        <v>101</v>
      </c>
      <c r="B78" s="160">
        <f>+Grenoble!$G78</f>
        <v>306.2808</v>
      </c>
      <c r="C78" s="113">
        <f>+STMarcelin!$G78</f>
        <v>0</v>
      </c>
      <c r="D78" s="113">
        <f>+PSA!$G78</f>
        <v>34.6492</v>
      </c>
      <c r="E78" s="160">
        <f>+Grenoble!E78+STMarcelin!E78+PSA!E78</f>
        <v>712.01</v>
      </c>
      <c r="F78" s="135">
        <f>+Grenoble!F78+STMarcelin!F78+PSA!F78</f>
        <v>331</v>
      </c>
      <c r="G78" s="135">
        <v>2973.1073000024999</v>
      </c>
      <c r="H78" s="161">
        <f>+Grenoble!G78+STMarcelin!G78+PSA!G78</f>
        <v>340.93</v>
      </c>
      <c r="I78" s="149">
        <f t="shared" si="7"/>
        <v>-0.53511888877965197</v>
      </c>
      <c r="J78" s="271">
        <f t="shared" si="8"/>
        <v>3.000000000000002E-2</v>
      </c>
      <c r="K78" s="18">
        <f>+Grenoble!D78+STMarcelin!D78+PSA!D78</f>
        <v>2973.1073000024999</v>
      </c>
      <c r="L78" s="111"/>
    </row>
    <row r="79" spans="1:12" s="2" customFormat="1" ht="11.25">
      <c r="A79" s="5" t="s">
        <v>102</v>
      </c>
      <c r="B79" s="160">
        <f>+Grenoble!$G79</f>
        <v>40749.066288384514</v>
      </c>
      <c r="C79" s="113">
        <f>+STMarcelin!$G79</f>
        <v>46414.33</v>
      </c>
      <c r="D79" s="113">
        <f>+PSA!$G79</f>
        <v>76087.932000000001</v>
      </c>
      <c r="E79" s="160">
        <f>+Grenoble!E79+STMarcelin!E79+PSA!E79</f>
        <v>141679.15000000002</v>
      </c>
      <c r="F79" s="135">
        <f>+Grenoble!F79+STMarcelin!F79+PSA!F79</f>
        <v>148215.85999999999</v>
      </c>
      <c r="G79" s="135">
        <v>149965.40668814501</v>
      </c>
      <c r="H79" s="161">
        <f>+Grenoble!G79+STMarcelin!G79+PSA!G79</f>
        <v>163251.32828838451</v>
      </c>
      <c r="I79" s="149">
        <f t="shared" si="7"/>
        <v>4.6137416832328269E-2</v>
      </c>
      <c r="J79" s="271">
        <f t="shared" si="8"/>
        <v>0.10144304589525389</v>
      </c>
      <c r="K79" s="18">
        <f>+Grenoble!D79+STMarcelin!D79+PSA!D79</f>
        <v>162280.54201446864</v>
      </c>
      <c r="L79" s="111"/>
    </row>
    <row r="80" spans="1:12" s="2" customFormat="1" ht="11.25">
      <c r="A80" s="5" t="s">
        <v>325</v>
      </c>
      <c r="B80" s="160">
        <f>+Grenoble!$G80</f>
        <v>0</v>
      </c>
      <c r="C80" s="113">
        <f>+STMarcelin!$G80</f>
        <v>0</v>
      </c>
      <c r="D80" s="113">
        <f>+PSA!$G80</f>
        <v>3423.4453333333336</v>
      </c>
      <c r="E80" s="160">
        <f>+Grenoble!E80+STMarcelin!E80+PSA!E80</f>
        <v>2035.55</v>
      </c>
      <c r="F80" s="135">
        <f>+Grenoble!F80+STMarcelin!F80+PSA!F80</f>
        <v>3323.7333333333336</v>
      </c>
      <c r="G80" s="135">
        <v>3632.3289900000004</v>
      </c>
      <c r="H80" s="161">
        <f>+Grenoble!G80+STMarcelin!G80+PSA!G80</f>
        <v>3423.4453333333336</v>
      </c>
      <c r="I80" s="149">
        <f t="shared" si="7"/>
        <v>0.6328428843965187</v>
      </c>
      <c r="J80" s="271">
        <f t="shared" si="8"/>
        <v>2.9999999999999995E-2</v>
      </c>
      <c r="K80" s="18">
        <f>+Grenoble!D80+STMarcelin!D80+PSA!D80</f>
        <v>3632.3289900000004</v>
      </c>
      <c r="L80" s="111"/>
    </row>
    <row r="81" spans="1:12" s="2" customFormat="1" ht="11.25">
      <c r="A81" s="5" t="s">
        <v>103</v>
      </c>
      <c r="B81" s="160">
        <f>+Grenoble!$G81</f>
        <v>0</v>
      </c>
      <c r="C81" s="113">
        <f>+STMarcelin!$G81</f>
        <v>0</v>
      </c>
      <c r="D81" s="113">
        <f>+PSA!$G81</f>
        <v>765.79813333333334</v>
      </c>
      <c r="E81" s="160">
        <f>+Grenoble!E81+STMarcelin!E81+PSA!E81</f>
        <v>0</v>
      </c>
      <c r="F81" s="135">
        <f>+Grenoble!F81+STMarcelin!F81+PSA!F81</f>
        <v>743.49333333333334</v>
      </c>
      <c r="G81" s="135">
        <v>148.23339714937504</v>
      </c>
      <c r="H81" s="161">
        <f>+Grenoble!G81+STMarcelin!G81+PSA!G81</f>
        <v>765.79813333333334</v>
      </c>
      <c r="I81" s="149">
        <f t="shared" si="7"/>
        <v>0</v>
      </c>
      <c r="J81" s="271">
        <f t="shared" si="8"/>
        <v>0.03</v>
      </c>
      <c r="K81" s="18">
        <f>+Grenoble!D81+STMarcelin!D81+PSA!D81</f>
        <v>148.23339714937504</v>
      </c>
      <c r="L81" s="111"/>
    </row>
    <row r="82" spans="1:12" s="2" customFormat="1" ht="11.25">
      <c r="A82" s="5" t="s">
        <v>105</v>
      </c>
      <c r="B82" s="160">
        <f>+Grenoble!$G82</f>
        <v>828.57320000000004</v>
      </c>
      <c r="C82" s="113">
        <f>+STMarcelin!$G82</f>
        <v>185.4</v>
      </c>
      <c r="D82" s="113">
        <f>+PSA!$G82</f>
        <v>586.9763999999999</v>
      </c>
      <c r="E82" s="160">
        <f>+Grenoble!E82+STMarcelin!E82+PSA!E82</f>
        <v>1571.95</v>
      </c>
      <c r="F82" s="135">
        <f>+Grenoble!F82+STMarcelin!F82+PSA!F82</f>
        <v>1554.32</v>
      </c>
      <c r="G82" s="135">
        <v>1721.321192981005</v>
      </c>
      <c r="H82" s="161">
        <f>+Grenoble!G82+STMarcelin!G82+PSA!G82</f>
        <v>1600.9495999999999</v>
      </c>
      <c r="I82" s="149">
        <f t="shared" si="7"/>
        <v>-1.1215369445593123E-2</v>
      </c>
      <c r="J82" s="271">
        <f t="shared" si="8"/>
        <v>2.9999999999999988E-2</v>
      </c>
      <c r="K82" s="18">
        <f>+Grenoble!D82+STMarcelin!D82+PSA!D82</f>
        <v>1721.321192981005</v>
      </c>
      <c r="L82" s="111"/>
    </row>
    <row r="83" spans="1:12" s="2" customFormat="1" ht="11.25">
      <c r="A83" s="5" t="s">
        <v>287</v>
      </c>
      <c r="B83" s="160">
        <f>+Grenoble!$G83</f>
        <v>465.72479999999996</v>
      </c>
      <c r="C83" s="113">
        <f>+STMarcelin!$G83</f>
        <v>0</v>
      </c>
      <c r="D83" s="113">
        <f>+PSA!$G83</f>
        <v>11116.087466666668</v>
      </c>
      <c r="E83" s="160">
        <f>+Grenoble!E83+STMarcelin!E83+PSA!E83</f>
        <v>2474.8999999999996</v>
      </c>
      <c r="F83" s="135">
        <f>+Grenoble!F83+STMarcelin!F83+PSA!F83</f>
        <v>4254.1866666666665</v>
      </c>
      <c r="G83" s="135">
        <v>2579.9827892431408</v>
      </c>
      <c r="H83" s="161">
        <f>+Grenoble!G83+STMarcelin!G83+PSA!G83</f>
        <v>11581.812266666668</v>
      </c>
      <c r="I83" s="149">
        <f t="shared" si="7"/>
        <v>0.71893275149164293</v>
      </c>
      <c r="J83" s="271">
        <f t="shared" si="8"/>
        <v>1.7224504174711033</v>
      </c>
      <c r="K83" s="18">
        <f>+Grenoble!D83+STMarcelin!D83+PSA!D83</f>
        <v>9779.9827892431422</v>
      </c>
      <c r="L83" s="111"/>
    </row>
    <row r="84" spans="1:12" s="2" customFormat="1" ht="11.25">
      <c r="A84" s="5" t="s">
        <v>108</v>
      </c>
      <c r="B84" s="160">
        <f>+Grenoble!$G84</f>
        <v>18106.823200000003</v>
      </c>
      <c r="C84" s="113">
        <f>+STMarcelin!$G84</f>
        <v>1795.5509333333334</v>
      </c>
      <c r="D84" s="113">
        <f>+PSA!$G84</f>
        <v>6921.5862666666662</v>
      </c>
      <c r="E84" s="160">
        <f>+Grenoble!E84+STMarcelin!E84+PSA!E84</f>
        <v>21037.47</v>
      </c>
      <c r="F84" s="135">
        <f>+Grenoble!F84+STMarcelin!F84+PSA!F84</f>
        <v>26042.68</v>
      </c>
      <c r="G84" s="135">
        <v>19247.174104072496</v>
      </c>
      <c r="H84" s="161">
        <f>+Grenoble!G84+STMarcelin!G84+PSA!G84</f>
        <v>26823.9604</v>
      </c>
      <c r="I84" s="149">
        <f t="shared" si="7"/>
        <v>0.23791881818488625</v>
      </c>
      <c r="J84" s="271">
        <f t="shared" si="8"/>
        <v>2.9999999999999985E-2</v>
      </c>
      <c r="K84" s="18">
        <f>+Grenoble!D84+STMarcelin!D84+PSA!D84</f>
        <v>19247.174104072496</v>
      </c>
      <c r="L84" s="111"/>
    </row>
    <row r="85" spans="1:12" s="2" customFormat="1" ht="11.25">
      <c r="A85" s="5" t="s">
        <v>109</v>
      </c>
      <c r="B85" s="160">
        <f>+Grenoble!$G85</f>
        <v>0</v>
      </c>
      <c r="C85" s="113">
        <f>+STMarcelin!$G85</f>
        <v>1433.76</v>
      </c>
      <c r="D85" s="113">
        <f>+PSA!$G85</f>
        <v>2137.5933333333337</v>
      </c>
      <c r="E85" s="160">
        <f>+Grenoble!E85+STMarcelin!E85+PSA!E85</f>
        <v>2426.8100000000004</v>
      </c>
      <c r="F85" s="135">
        <f>+Grenoble!F85+STMarcelin!F85+PSA!F85</f>
        <v>3467.3333333333335</v>
      </c>
      <c r="G85" s="135">
        <v>3276.6261311762401</v>
      </c>
      <c r="H85" s="161">
        <f>+Grenoble!G85+STMarcelin!G85+PSA!G85</f>
        <v>3571.3533333333335</v>
      </c>
      <c r="I85" s="149">
        <f t="shared" si="7"/>
        <v>0.42876176269808219</v>
      </c>
      <c r="J85" s="271">
        <f t="shared" si="8"/>
        <v>2.9999999999999992E-2</v>
      </c>
      <c r="K85" s="18">
        <f>+Grenoble!D85+STMarcelin!D85+PSA!D85</f>
        <v>3276.6261311762401</v>
      </c>
      <c r="L85" s="111"/>
    </row>
    <row r="86" spans="1:12" s="2" customFormat="1" ht="11.25">
      <c r="A86" s="5" t="s">
        <v>106</v>
      </c>
      <c r="B86" s="160">
        <f>+Grenoble!$G86</f>
        <v>1583.4258666666667</v>
      </c>
      <c r="C86" s="113">
        <f>+STMarcelin!$G86</f>
        <v>306.11599999999999</v>
      </c>
      <c r="D86" s="113">
        <f>+PSA!$G86</f>
        <v>5443.8109333333341</v>
      </c>
      <c r="E86" s="160">
        <f>+Grenoble!E86+STMarcelin!E86+PSA!E86</f>
        <v>4953.83</v>
      </c>
      <c r="F86" s="135">
        <f>+Grenoble!F86+STMarcelin!F86+PSA!F86</f>
        <v>7119.76</v>
      </c>
      <c r="G86" s="135">
        <v>5234.1128999137509</v>
      </c>
      <c r="H86" s="161">
        <f>+Grenoble!G86+STMarcelin!G86+PSA!G86</f>
        <v>7333.3528000000006</v>
      </c>
      <c r="I86" s="149">
        <f t="shared" si="7"/>
        <v>0.43722332013815579</v>
      </c>
      <c r="J86" s="271">
        <f t="shared" si="8"/>
        <v>3.0000000000000047E-2</v>
      </c>
      <c r="K86" s="18">
        <f>+Grenoble!D86+STMarcelin!D86+PSA!D86</f>
        <v>5234.1128999137509</v>
      </c>
      <c r="L86" s="111"/>
    </row>
    <row r="87" spans="1:12" s="2" customFormat="1" ht="11.25">
      <c r="A87" s="5" t="s">
        <v>363</v>
      </c>
      <c r="B87" s="160">
        <f>+Grenoble!$G87</f>
        <v>0</v>
      </c>
      <c r="C87" s="113">
        <f>+STMarcelin!$G87</f>
        <v>0</v>
      </c>
      <c r="D87" s="113">
        <f>+PSA!$G87</f>
        <v>0</v>
      </c>
      <c r="E87" s="160">
        <f>+Grenoble!E87+STMarcelin!E87+PSA!E87</f>
        <v>446.26</v>
      </c>
      <c r="F87" s="135">
        <f>+Grenoble!F87+STMarcelin!F87+PSA!F87</f>
        <v>0</v>
      </c>
      <c r="G87" s="135">
        <v>772.4429194600001</v>
      </c>
      <c r="H87" s="161">
        <f>+Grenoble!G87+STMarcelin!G87+PSA!G87</f>
        <v>0</v>
      </c>
      <c r="I87" s="149">
        <f t="shared" si="7"/>
        <v>-1</v>
      </c>
      <c r="J87" s="271">
        <f t="shared" si="8"/>
        <v>0</v>
      </c>
      <c r="K87" s="18">
        <f>+Grenoble!D87+STMarcelin!D87+PSA!D87</f>
        <v>772.4429194600001</v>
      </c>
      <c r="L87" s="111"/>
    </row>
    <row r="88" spans="1:12" s="2" customFormat="1" ht="11.25">
      <c r="A88" s="5" t="s">
        <v>111</v>
      </c>
      <c r="B88" s="160">
        <f>+Grenoble!$G88</f>
        <v>3755.7434250000006</v>
      </c>
      <c r="C88" s="113">
        <f>+STMarcelin!$G88</f>
        <v>2020.3312500000002</v>
      </c>
      <c r="D88" s="113">
        <f>+PSA!$G88</f>
        <v>4000</v>
      </c>
      <c r="E88" s="160">
        <f>+Grenoble!E88+STMarcelin!E88+PSA!E88</f>
        <v>8903.3799999999992</v>
      </c>
      <c r="F88" s="135">
        <f>+Grenoble!F88+STMarcelin!F88+PSA!F88</f>
        <v>9746.4000000000015</v>
      </c>
      <c r="G88" s="135">
        <v>23508.552408630261</v>
      </c>
      <c r="H88" s="161">
        <f>+Grenoble!G88+STMarcelin!G88+PSA!G88</f>
        <v>9776.0746749999998</v>
      </c>
      <c r="I88" s="149">
        <f t="shared" si="7"/>
        <v>9.4685389144347695E-2</v>
      </c>
      <c r="J88" s="271">
        <f t="shared" si="8"/>
        <v>3.0446806000162504E-3</v>
      </c>
      <c r="K88" s="18">
        <f>+Grenoble!D88+STMarcelin!D88+PSA!D88</f>
        <v>9746.4505000000008</v>
      </c>
      <c r="L88" s="111"/>
    </row>
    <row r="89" spans="1:12" s="2" customFormat="1" ht="11.25">
      <c r="A89" s="5" t="s">
        <v>315</v>
      </c>
      <c r="B89" s="160">
        <f>+Grenoble!$G89</f>
        <v>0</v>
      </c>
      <c r="C89" s="113">
        <f>+STMarcelin!$G89</f>
        <v>0</v>
      </c>
      <c r="D89" s="113">
        <f>+PSA!$G89</f>
        <v>0</v>
      </c>
      <c r="E89" s="160">
        <f>+Grenoble!E89+STMarcelin!E89+PSA!E89</f>
        <v>0</v>
      </c>
      <c r="F89" s="135">
        <f>+Grenoble!F89+STMarcelin!F89+PSA!F89</f>
        <v>0</v>
      </c>
      <c r="G89" s="135">
        <v>1307.2518542250002</v>
      </c>
      <c r="H89" s="161">
        <f>+Grenoble!G89+STMarcelin!G89+PSA!G89</f>
        <v>0</v>
      </c>
      <c r="I89" s="149">
        <f t="shared" si="7"/>
        <v>0</v>
      </c>
      <c r="J89" s="271">
        <f t="shared" si="8"/>
        <v>0</v>
      </c>
      <c r="K89" s="18">
        <f>+Grenoble!D89+STMarcelin!D89+PSA!D89</f>
        <v>1307.2518542250002</v>
      </c>
      <c r="L89" s="111"/>
    </row>
    <row r="90" spans="1:12" s="2" customFormat="1" ht="11.25">
      <c r="A90" s="5" t="s">
        <v>112</v>
      </c>
      <c r="B90" s="160">
        <f>+Grenoble!$G90</f>
        <v>89.26666666666668</v>
      </c>
      <c r="C90" s="113">
        <f>+STMarcelin!$G90</f>
        <v>0</v>
      </c>
      <c r="D90" s="113">
        <f>+PSA!$G90</f>
        <v>406.50666666666666</v>
      </c>
      <c r="E90" s="160">
        <f>+Grenoble!E90+STMarcelin!E90+PSA!E90</f>
        <v>1026.94</v>
      </c>
      <c r="F90" s="135">
        <f>+Grenoble!F90+STMarcelin!F90+PSA!F90</f>
        <v>481.33333333333331</v>
      </c>
      <c r="G90" s="135">
        <v>1283.8583629214581</v>
      </c>
      <c r="H90" s="161">
        <f>+Grenoble!G90+STMarcelin!G90+PSA!G90</f>
        <v>495.77333333333331</v>
      </c>
      <c r="I90" s="149">
        <f t="shared" si="7"/>
        <v>-0.53129361663453245</v>
      </c>
      <c r="J90" s="271">
        <f t="shared" si="8"/>
        <v>2.9999999999999995E-2</v>
      </c>
      <c r="K90" s="18">
        <f>+Grenoble!D90+STMarcelin!D90+PSA!D90</f>
        <v>1283.8583629214581</v>
      </c>
      <c r="L90" s="111"/>
    </row>
    <row r="91" spans="1:12" s="2" customFormat="1" ht="11.25">
      <c r="A91" s="5" t="s">
        <v>113</v>
      </c>
      <c r="B91" s="160">
        <f>+Grenoble!$G91</f>
        <v>2351.3938666666668</v>
      </c>
      <c r="C91" s="113">
        <f>+STMarcelin!$G91</f>
        <v>132.58160000000001</v>
      </c>
      <c r="D91" s="113">
        <f>+PSA!$G91</f>
        <v>2562.5438666666669</v>
      </c>
      <c r="E91" s="160">
        <f>+Grenoble!E91+STMarcelin!E91+PSA!E91</f>
        <v>2567.5300000000002</v>
      </c>
      <c r="F91" s="135">
        <f>+Grenoble!F91+STMarcelin!F91+PSA!F91</f>
        <v>4899.5333333333328</v>
      </c>
      <c r="G91" s="135">
        <v>2532.3309736368751</v>
      </c>
      <c r="H91" s="161">
        <f>+Grenoble!G91+STMarcelin!G91+PSA!G91</f>
        <v>5046.5193333333336</v>
      </c>
      <c r="I91" s="149">
        <f t="shared" si="7"/>
        <v>0.90826721920808418</v>
      </c>
      <c r="J91" s="271">
        <f t="shared" si="8"/>
        <v>3.0000000000000162E-2</v>
      </c>
      <c r="K91" s="18">
        <f>+Grenoble!D91+STMarcelin!D91+PSA!D91</f>
        <v>2532.3309736368751</v>
      </c>
      <c r="L91" s="111"/>
    </row>
    <row r="92" spans="1:12" s="2" customFormat="1" ht="11.25">
      <c r="A92" s="5" t="s">
        <v>309</v>
      </c>
      <c r="B92" s="160">
        <f>+Grenoble!$G92</f>
        <v>0</v>
      </c>
      <c r="C92" s="113">
        <f>+STMarcelin!$G92</f>
        <v>0</v>
      </c>
      <c r="D92" s="113">
        <f>+PSA!$G92</f>
        <v>0</v>
      </c>
      <c r="E92" s="160">
        <f>+Grenoble!E92+STMarcelin!E92+PSA!E92</f>
        <v>0</v>
      </c>
      <c r="F92" s="135">
        <f>+Grenoble!F92+STMarcelin!F92+PSA!F92</f>
        <v>0</v>
      </c>
      <c r="G92" s="135">
        <v>0</v>
      </c>
      <c r="H92" s="161">
        <f>+Grenoble!G92+STMarcelin!G92+PSA!G92</f>
        <v>0</v>
      </c>
      <c r="I92" s="149">
        <f t="shared" si="7"/>
        <v>0</v>
      </c>
      <c r="J92" s="271">
        <f t="shared" si="8"/>
        <v>0</v>
      </c>
      <c r="K92" s="18">
        <f>+Grenoble!D92+STMarcelin!D92+PSA!D92</f>
        <v>0</v>
      </c>
      <c r="L92" s="111"/>
    </row>
    <row r="93" spans="1:12" s="2" customFormat="1" ht="11.25">
      <c r="A93" s="5" t="s">
        <v>115</v>
      </c>
      <c r="B93" s="160">
        <f>+Grenoble!$G93</f>
        <v>0</v>
      </c>
      <c r="C93" s="113">
        <f>+STMarcelin!$G93</f>
        <v>0</v>
      </c>
      <c r="D93" s="113">
        <f>+PSA!$G93</f>
        <v>0</v>
      </c>
      <c r="E93" s="160">
        <f>+Grenoble!E93+STMarcelin!E93+PSA!E93</f>
        <v>0</v>
      </c>
      <c r="F93" s="135">
        <f>+Grenoble!F93+STMarcelin!F93+PSA!F93</f>
        <v>0</v>
      </c>
      <c r="G93" s="135">
        <v>7.3986723958333336</v>
      </c>
      <c r="H93" s="161">
        <f>+Grenoble!G93+STMarcelin!G93+PSA!G93</f>
        <v>0</v>
      </c>
      <c r="I93" s="149">
        <f t="shared" si="7"/>
        <v>0</v>
      </c>
      <c r="J93" s="271">
        <f t="shared" si="8"/>
        <v>0</v>
      </c>
      <c r="K93" s="18">
        <f>+Grenoble!D93+STMarcelin!D93+PSA!D93</f>
        <v>7.3986723958333336</v>
      </c>
      <c r="L93" s="111"/>
    </row>
    <row r="94" spans="1:12" s="2" customFormat="1" ht="11.25">
      <c r="A94" s="5" t="s">
        <v>42</v>
      </c>
      <c r="B94" s="160">
        <f>+Grenoble!$G94</f>
        <v>0</v>
      </c>
      <c r="C94" s="113">
        <f>+STMarcelin!$G94</f>
        <v>0</v>
      </c>
      <c r="D94" s="113">
        <f>+PSA!$G94</f>
        <v>0</v>
      </c>
      <c r="E94" s="160">
        <f>+Grenoble!E94+STMarcelin!E94+PSA!E94</f>
        <v>354.41</v>
      </c>
      <c r="F94" s="135">
        <f>+Grenoble!F94+STMarcelin!F94+PSA!F94</f>
        <v>0</v>
      </c>
      <c r="G94" s="135">
        <v>335.46096048270834</v>
      </c>
      <c r="H94" s="161">
        <f>+Grenoble!G94+STMarcelin!G94+PSA!G94</f>
        <v>0</v>
      </c>
      <c r="I94" s="149">
        <f t="shared" si="7"/>
        <v>-1</v>
      </c>
      <c r="J94" s="271">
        <f t="shared" si="8"/>
        <v>0</v>
      </c>
      <c r="K94" s="18">
        <f>+Grenoble!D94+STMarcelin!D94+PSA!D94</f>
        <v>335.46096048270834</v>
      </c>
      <c r="L94" s="111"/>
    </row>
    <row r="95" spans="1:12" s="2" customFormat="1" ht="11.25">
      <c r="A95" s="5" t="s">
        <v>117</v>
      </c>
      <c r="B95" s="160">
        <f>+Grenoble!$G95</f>
        <v>7521.4705268445168</v>
      </c>
      <c r="C95" s="113">
        <f>+STMarcelin!$G95</f>
        <v>25.838246601054628</v>
      </c>
      <c r="D95" s="113">
        <f>+PSA!$G95</f>
        <v>11526.831462207398</v>
      </c>
      <c r="E95" s="160">
        <f>+Grenoble!E95+STMarcelin!E95+PSA!E95</f>
        <v>19418.21</v>
      </c>
      <c r="F95" s="135">
        <f>+Grenoble!F95+STMarcelin!F95+PSA!F95</f>
        <v>18988.28</v>
      </c>
      <c r="G95" s="135">
        <v>18475.173793575032</v>
      </c>
      <c r="H95" s="161">
        <f>+Grenoble!G95+STMarcelin!G95+PSA!G95</f>
        <v>19074.140235652969</v>
      </c>
      <c r="I95" s="149">
        <f t="shared" si="7"/>
        <v>-2.2140557754808519E-2</v>
      </c>
      <c r="J95" s="271">
        <f t="shared" si="8"/>
        <v>4.5217489763670019E-3</v>
      </c>
      <c r="K95" s="18">
        <f>+Grenoble!D95+STMarcelin!D95+PSA!D95</f>
        <v>18475.173793575032</v>
      </c>
      <c r="L95" s="111"/>
    </row>
    <row r="96" spans="1:12" s="2" customFormat="1" ht="11.25">
      <c r="A96" s="5" t="s">
        <v>118</v>
      </c>
      <c r="B96" s="160">
        <f>+Grenoble!$G96</f>
        <v>13086.740533333334</v>
      </c>
      <c r="C96" s="113">
        <f>+STMarcelin!$G96</f>
        <v>3711.8316000000004</v>
      </c>
      <c r="D96" s="113">
        <f>+PSA!$G96</f>
        <v>13200</v>
      </c>
      <c r="E96" s="160">
        <f>+Grenoble!E96+STMarcelin!E96+PSA!E96</f>
        <v>31416.46</v>
      </c>
      <c r="F96" s="135">
        <f>+Grenoble!F96+STMarcelin!F96+PSA!F96</f>
        <v>36917.133333333339</v>
      </c>
      <c r="G96" s="135">
        <v>30140.150974999997</v>
      </c>
      <c r="H96" s="161">
        <f>+Grenoble!G96+STMarcelin!G96+PSA!G96</f>
        <v>29998.572133333335</v>
      </c>
      <c r="I96" s="149">
        <f t="shared" si="7"/>
        <v>0.17508889713651188</v>
      </c>
      <c r="J96" s="271">
        <f t="shared" si="8"/>
        <v>-0.18740786662741968</v>
      </c>
      <c r="K96" s="18">
        <f>+Grenoble!D96+STMarcelin!D96+PSA!D96</f>
        <v>28141.960224999999</v>
      </c>
      <c r="L96" s="111"/>
    </row>
    <row r="97" spans="1:12" s="2" customFormat="1" ht="11.25">
      <c r="A97" s="5" t="s">
        <v>7</v>
      </c>
      <c r="B97" s="160">
        <f>+Grenoble!$G97</f>
        <v>0</v>
      </c>
      <c r="C97" s="113">
        <f>+STMarcelin!$G97</f>
        <v>0</v>
      </c>
      <c r="D97" s="113">
        <f>+PSA!$G97</f>
        <v>329.6</v>
      </c>
      <c r="E97" s="160">
        <f>+Grenoble!E97+STMarcelin!E97+PSA!E97</f>
        <v>893.89</v>
      </c>
      <c r="F97" s="135">
        <f>+Grenoble!F97+STMarcelin!F97+PSA!F97</f>
        <v>320</v>
      </c>
      <c r="G97" s="135">
        <v>849.9138244397916</v>
      </c>
      <c r="H97" s="161">
        <f>+Grenoble!G97+STMarcelin!G97+PSA!G97</f>
        <v>329.6</v>
      </c>
      <c r="I97" s="149">
        <f t="shared" si="7"/>
        <v>-0.64201411806821873</v>
      </c>
      <c r="J97" s="271">
        <f t="shared" si="8"/>
        <v>3.0000000000000072E-2</v>
      </c>
      <c r="K97" s="18">
        <f>+Grenoble!D97+STMarcelin!D97+PSA!D97</f>
        <v>849.9138244397916</v>
      </c>
      <c r="L97" s="111"/>
    </row>
    <row r="98" spans="1:12" s="2" customFormat="1" ht="11.25">
      <c r="A98" s="5" t="s">
        <v>307</v>
      </c>
      <c r="B98" s="160">
        <f>+Grenoble!$G98</f>
        <v>0</v>
      </c>
      <c r="C98" s="113">
        <f>+STMarcelin!$G98</f>
        <v>0</v>
      </c>
      <c r="D98" s="113">
        <f>+PSA!$G98</f>
        <v>0</v>
      </c>
      <c r="E98" s="160">
        <f>+Grenoble!E98+STMarcelin!E98+PSA!E98</f>
        <v>0</v>
      </c>
      <c r="F98" s="135">
        <f>+Grenoble!F98+STMarcelin!F98+PSA!F98</f>
        <v>0</v>
      </c>
      <c r="G98" s="135">
        <v>0</v>
      </c>
      <c r="H98" s="161">
        <f>+Grenoble!G98+STMarcelin!G98+PSA!G98</f>
        <v>0</v>
      </c>
      <c r="I98" s="149">
        <f t="shared" si="7"/>
        <v>0</v>
      </c>
      <c r="J98" s="271">
        <f t="shared" si="8"/>
        <v>0</v>
      </c>
      <c r="K98" s="18">
        <f>+Grenoble!D98+STMarcelin!D98+PSA!D98</f>
        <v>0</v>
      </c>
      <c r="L98" s="111"/>
    </row>
    <row r="99" spans="1:12" s="2" customFormat="1" ht="11.25">
      <c r="A99" s="5" t="s">
        <v>119</v>
      </c>
      <c r="B99" s="160">
        <f>+Grenoble!$G99</f>
        <v>5448.3866666666672</v>
      </c>
      <c r="C99" s="113">
        <f>+STMarcelin!$G99</f>
        <v>2513.3733333333334</v>
      </c>
      <c r="D99" s="113">
        <f>+PSA!$G99</f>
        <v>8062.08</v>
      </c>
      <c r="E99" s="160">
        <f>+Grenoble!E99+STMarcelin!E99+PSA!E99</f>
        <v>17141.04</v>
      </c>
      <c r="F99" s="135">
        <f>+Grenoble!F99+STMarcelin!F99+PSA!F99</f>
        <v>16023.84</v>
      </c>
      <c r="G99" s="135">
        <v>17746.979657109034</v>
      </c>
      <c r="H99" s="161">
        <f>+Grenoble!G99+STMarcelin!G99+PSA!G99</f>
        <v>16023.84</v>
      </c>
      <c r="I99" s="149">
        <f t="shared" si="7"/>
        <v>-6.5176908752327789E-2</v>
      </c>
      <c r="J99" s="271">
        <f t="shared" si="8"/>
        <v>0</v>
      </c>
      <c r="K99" s="18">
        <f>+Grenoble!D99+STMarcelin!D99+PSA!D99</f>
        <v>17746.979657109034</v>
      </c>
      <c r="L99" s="111"/>
    </row>
    <row r="100" spans="1:12" s="2" customFormat="1" ht="11.25">
      <c r="A100" s="5" t="s">
        <v>120</v>
      </c>
      <c r="B100" s="160">
        <f>+Grenoble!$G100</f>
        <v>1705.6250666666667</v>
      </c>
      <c r="C100" s="113">
        <f>+STMarcelin!$G100</f>
        <v>1088.7511999999999</v>
      </c>
      <c r="D100" s="113">
        <f>+PSA!$G100</f>
        <v>1907.6012000000001</v>
      </c>
      <c r="E100" s="160">
        <f>+Grenoble!E100+STMarcelin!E100+PSA!E100</f>
        <v>2435.31</v>
      </c>
      <c r="F100" s="135">
        <f>+Grenoble!F100+STMarcelin!F100+PSA!F100</f>
        <v>4565.0266666666666</v>
      </c>
      <c r="G100" s="135">
        <v>4114.5509134389977</v>
      </c>
      <c r="H100" s="161">
        <f>+Grenoble!G100+STMarcelin!G100+PSA!G100</f>
        <v>4701.9774666666672</v>
      </c>
      <c r="I100" s="149">
        <f t="shared" si="7"/>
        <v>0.87451563319112013</v>
      </c>
      <c r="J100" s="271">
        <f t="shared" si="8"/>
        <v>3.0000000000000117E-2</v>
      </c>
      <c r="K100" s="18">
        <f>+Grenoble!D100+STMarcelin!D100+PSA!D100</f>
        <v>4114.5509134389977</v>
      </c>
      <c r="L100" s="111"/>
    </row>
    <row r="101" spans="1:12" s="2" customFormat="1" ht="11.25">
      <c r="A101" s="5" t="s">
        <v>121</v>
      </c>
      <c r="B101" s="160">
        <f>+Grenoble!$G101</f>
        <v>0</v>
      </c>
      <c r="C101" s="113">
        <f>+STMarcelin!$G101</f>
        <v>0</v>
      </c>
      <c r="D101" s="113">
        <f>+PSA!$G101</f>
        <v>0</v>
      </c>
      <c r="E101" s="160">
        <f>+Grenoble!E101+STMarcelin!E101+PSA!E101</f>
        <v>0</v>
      </c>
      <c r="F101" s="135">
        <f>+Grenoble!F101+STMarcelin!F101+PSA!F101</f>
        <v>0</v>
      </c>
      <c r="G101" s="135">
        <v>22.765145833333339</v>
      </c>
      <c r="H101" s="161">
        <f>+Grenoble!G101+STMarcelin!G101+PSA!G101</f>
        <v>0</v>
      </c>
      <c r="I101" s="149">
        <f t="shared" si="7"/>
        <v>0</v>
      </c>
      <c r="J101" s="271">
        <f t="shared" si="8"/>
        <v>0</v>
      </c>
      <c r="K101" s="18">
        <f>+Grenoble!D101+STMarcelin!D101+PSA!D101</f>
        <v>22.765145833333339</v>
      </c>
      <c r="L101" s="111"/>
    </row>
    <row r="102" spans="1:12" s="2" customFormat="1" ht="11.25">
      <c r="A102" s="5"/>
      <c r="B102" s="160"/>
      <c r="C102" s="113"/>
      <c r="D102" s="113"/>
      <c r="E102" s="160"/>
      <c r="F102" s="143"/>
      <c r="G102" s="143"/>
      <c r="H102" s="162"/>
      <c r="I102" s="149"/>
      <c r="J102" s="254"/>
      <c r="K102" s="18"/>
      <c r="L102" s="111"/>
    </row>
    <row r="103" spans="1:12" s="2" customFormat="1" ht="11.25">
      <c r="A103" s="13" t="s">
        <v>122</v>
      </c>
      <c r="B103" s="163">
        <f t="shared" ref="B103:H103" si="9">SUM(B70:B102)</f>
        <v>132649.8349068957</v>
      </c>
      <c r="C103" s="204">
        <f t="shared" si="9"/>
        <v>64451.766163267726</v>
      </c>
      <c r="D103" s="204">
        <f t="shared" si="9"/>
        <v>197312.81426220739</v>
      </c>
      <c r="E103" s="163">
        <f>SUM(E70:E102)</f>
        <v>356786.38000000012</v>
      </c>
      <c r="F103" s="136">
        <f>SUM(F70:F102)</f>
        <v>372636.8066666667</v>
      </c>
      <c r="G103" s="136">
        <v>382720.42059808981</v>
      </c>
      <c r="H103" s="168">
        <f t="shared" si="9"/>
        <v>394414.41533237079</v>
      </c>
      <c r="I103" s="272">
        <f>+IF((E103)=0,,(F103-E103)/E103)</f>
        <v>4.4425537394859563E-2</v>
      </c>
      <c r="J103" s="188">
        <f>+IF((F103)=0,,(H103-F103)/F103)</f>
        <v>5.8441915227082558E-2</v>
      </c>
      <c r="K103" s="305">
        <f>SUM(K72:K102)+K70</f>
        <v>378687.29619078315</v>
      </c>
      <c r="L103" s="111"/>
    </row>
    <row r="104" spans="1:12" s="2" customFormat="1" ht="11.25">
      <c r="A104" s="5"/>
      <c r="B104" s="160"/>
      <c r="C104" s="113"/>
      <c r="D104" s="113"/>
      <c r="E104" s="160"/>
      <c r="F104" s="143"/>
      <c r="G104" s="143"/>
      <c r="H104" s="162"/>
      <c r="I104" s="149"/>
      <c r="J104" s="254"/>
      <c r="K104" s="18"/>
      <c r="L104" s="111"/>
    </row>
    <row r="105" spans="1:12" s="2" customFormat="1" ht="11.25">
      <c r="A105" s="5" t="s">
        <v>129</v>
      </c>
      <c r="B105" s="160">
        <f>+Grenoble!$G105</f>
        <v>0</v>
      </c>
      <c r="C105" s="113">
        <f>+STMarcelin!$G105</f>
        <v>0</v>
      </c>
      <c r="D105" s="113">
        <f>+PSA!$G105</f>
        <v>0</v>
      </c>
      <c r="E105" s="160">
        <f>+Grenoble!E105+STMarcelin!E105+PSA!E105</f>
        <v>1692.2099999999998</v>
      </c>
      <c r="F105" s="135">
        <f>+Grenoble!F105+STMarcelin!F105+PSA!F105</f>
        <v>0</v>
      </c>
      <c r="G105" s="135">
        <v>2134.3762999999999</v>
      </c>
      <c r="H105" s="161">
        <f>+Grenoble!G105+STMarcelin!G105+PSA!G105</f>
        <v>0</v>
      </c>
      <c r="I105" s="149">
        <f>+IF((E105)=0,,(F105-E105)/E105)</f>
        <v>-1</v>
      </c>
      <c r="J105" s="271">
        <f>+IF((F105)=0,,(H105-F105)/F105)</f>
        <v>0</v>
      </c>
      <c r="K105" s="18">
        <f>+Grenoble!D105+STMarcelin!D105+PSA!D105</f>
        <v>2134.3762999999999</v>
      </c>
      <c r="L105" s="111"/>
    </row>
    <row r="106" spans="1:12" s="2" customFormat="1" ht="11.25">
      <c r="A106" s="5" t="s">
        <v>130</v>
      </c>
      <c r="B106" s="160">
        <f>+Grenoble!$G106</f>
        <v>12789.070533333334</v>
      </c>
      <c r="C106" s="113">
        <f>+STMarcelin!$G106</f>
        <v>1730.6060000000002</v>
      </c>
      <c r="D106" s="113">
        <f>+PSA!$G106</f>
        <v>10000</v>
      </c>
      <c r="E106" s="160">
        <f>+Grenoble!E106+STMarcelin!E106+PSA!E106</f>
        <v>26221.989999999998</v>
      </c>
      <c r="F106" s="135">
        <f>+Grenoble!F106+STMarcelin!F106+PSA!F106</f>
        <v>31588.240000000002</v>
      </c>
      <c r="G106" s="135">
        <v>23312.9067</v>
      </c>
      <c r="H106" s="161">
        <f>+Grenoble!G106+STMarcelin!G106+PSA!G106</f>
        <v>24519.676533333331</v>
      </c>
      <c r="I106" s="149">
        <f t="shared" ref="I106:I114" si="10">+IF((E106)=0,,(F106-E106)/E106)</f>
        <v>0.2046469394580657</v>
      </c>
      <c r="J106" s="271">
        <f t="shared" ref="J106:J114" si="11">+IF((F106)=0,,(H106-F106)/F106)</f>
        <v>-0.22377199447220453</v>
      </c>
      <c r="K106" s="18">
        <f>+Grenoble!D106+STMarcelin!D106+PSA!D106</f>
        <v>20699.114699999998</v>
      </c>
      <c r="L106" s="111"/>
    </row>
    <row r="107" spans="1:12" s="2" customFormat="1" ht="11.25">
      <c r="A107" s="5" t="s">
        <v>131</v>
      </c>
      <c r="B107" s="160">
        <f>+Grenoble!$G107</f>
        <v>0</v>
      </c>
      <c r="C107" s="113">
        <f>+STMarcelin!$G107</f>
        <v>0</v>
      </c>
      <c r="D107" s="113">
        <f>+PSA!$G107</f>
        <v>0</v>
      </c>
      <c r="E107" s="160">
        <f>+Grenoble!E107+STMarcelin!E107+PSA!E107</f>
        <v>0</v>
      </c>
      <c r="F107" s="135">
        <f>+Grenoble!F107+STMarcelin!F107+PSA!F107</f>
        <v>0</v>
      </c>
      <c r="G107" s="135">
        <v>0</v>
      </c>
      <c r="H107" s="161">
        <f>+Grenoble!G107+STMarcelin!G107+PSA!G107</f>
        <v>0</v>
      </c>
      <c r="I107" s="149">
        <f t="shared" si="10"/>
        <v>0</v>
      </c>
      <c r="J107" s="271">
        <f t="shared" si="11"/>
        <v>0</v>
      </c>
      <c r="K107" s="18">
        <f>+Grenoble!D107+STMarcelin!D107+PSA!D107</f>
        <v>0</v>
      </c>
      <c r="L107" s="111"/>
    </row>
    <row r="108" spans="1:12" s="2" customFormat="1" ht="11.25">
      <c r="A108" s="5" t="s">
        <v>132</v>
      </c>
      <c r="B108" s="160">
        <f>+Grenoble!$G108</f>
        <v>2264.5167999999999</v>
      </c>
      <c r="C108" s="113">
        <f>+STMarcelin!$G108</f>
        <v>452.7056</v>
      </c>
      <c r="D108" s="113">
        <f>+PSA!$G108</f>
        <v>3063.3161333333328</v>
      </c>
      <c r="E108" s="160">
        <f>+Grenoble!E108+STMarcelin!E108+PSA!E108</f>
        <v>0</v>
      </c>
      <c r="F108" s="135">
        <f>+Grenoble!F108+STMarcelin!F108+PSA!F108</f>
        <v>5612.1733333333323</v>
      </c>
      <c r="G108" s="135">
        <v>422.3</v>
      </c>
      <c r="H108" s="161">
        <f>+Grenoble!G108+STMarcelin!G108+PSA!G108</f>
        <v>5780.5385333333325</v>
      </c>
      <c r="I108" s="149">
        <f t="shared" si="10"/>
        <v>0</v>
      </c>
      <c r="J108" s="271">
        <f t="shared" si="11"/>
        <v>3.0000000000000041E-2</v>
      </c>
      <c r="K108" s="18">
        <f>+Grenoble!D108+STMarcelin!D108+PSA!D108</f>
        <v>422.3</v>
      </c>
      <c r="L108" s="111"/>
    </row>
    <row r="109" spans="1:12" s="2" customFormat="1" ht="11.25">
      <c r="A109" s="5" t="s">
        <v>133</v>
      </c>
      <c r="B109" s="160">
        <f>+Grenoble!$G109</f>
        <v>10415.950533333333</v>
      </c>
      <c r="C109" s="113">
        <f>+STMarcelin!$G109</f>
        <v>2093.8114666666665</v>
      </c>
      <c r="D109" s="113">
        <f>+PSA!$G109</f>
        <v>11000</v>
      </c>
      <c r="E109" s="160">
        <f>+Grenoble!E109+STMarcelin!E109+PSA!E109</f>
        <v>6614.7199999999993</v>
      </c>
      <c r="F109" s="135">
        <f>+Grenoble!F109+STMarcelin!F109+PSA!F109</f>
        <v>17332.093333333331</v>
      </c>
      <c r="G109" s="135">
        <v>21291.0167</v>
      </c>
      <c r="H109" s="161">
        <f>+Grenoble!G109+STMarcelin!G109+PSA!G109</f>
        <v>23509.761999999999</v>
      </c>
      <c r="I109" s="149">
        <f t="shared" si="10"/>
        <v>1.6202308386951121</v>
      </c>
      <c r="J109" s="271">
        <f t="shared" si="11"/>
        <v>0.35642945995367376</v>
      </c>
      <c r="K109" s="18">
        <f>+Grenoble!D109+STMarcelin!D109+PSA!D109</f>
        <v>21330.694</v>
      </c>
      <c r="L109" s="111"/>
    </row>
    <row r="110" spans="1:12" s="2" customFormat="1" ht="11.25">
      <c r="A110" s="5" t="s">
        <v>134</v>
      </c>
      <c r="B110" s="160">
        <f>+Grenoble!$G110</f>
        <v>46706.10533333334</v>
      </c>
      <c r="C110" s="113">
        <f>+STMarcelin!$G110</f>
        <v>1500</v>
      </c>
      <c r="D110" s="113">
        <f>+PSA!$G110</f>
        <v>29000</v>
      </c>
      <c r="E110" s="160">
        <f>+Grenoble!E110+STMarcelin!E110+PSA!E110</f>
        <v>94964.739999999991</v>
      </c>
      <c r="F110" s="135">
        <f>+Grenoble!F110+STMarcelin!F110+PSA!F110</f>
        <v>76077.200000000012</v>
      </c>
      <c r="G110" s="135">
        <v>83870.613400000002</v>
      </c>
      <c r="H110" s="161">
        <f>+Grenoble!G110+STMarcelin!G110+PSA!G110</f>
        <v>77206.10533333334</v>
      </c>
      <c r="I110" s="149">
        <f t="shared" si="10"/>
        <v>-0.19889003013118323</v>
      </c>
      <c r="J110" s="271">
        <f t="shared" si="11"/>
        <v>1.4838944300438613E-2</v>
      </c>
      <c r="K110" s="18">
        <f>+Grenoble!D110+STMarcelin!D110+PSA!D110</f>
        <v>77083.459100000007</v>
      </c>
      <c r="L110" s="111"/>
    </row>
    <row r="111" spans="1:12" s="2" customFormat="1" ht="11.25">
      <c r="A111" s="5" t="s">
        <v>135</v>
      </c>
      <c r="B111" s="160">
        <f>+Grenoble!$G111</f>
        <v>0</v>
      </c>
      <c r="C111" s="113">
        <f>+STMarcelin!$G111</f>
        <v>0</v>
      </c>
      <c r="D111" s="113">
        <f>+PSA!$G111</f>
        <v>100</v>
      </c>
      <c r="E111" s="160">
        <f>+Grenoble!E111+STMarcelin!E111+PSA!E111</f>
        <v>190</v>
      </c>
      <c r="F111" s="135">
        <f>+Grenoble!F111+STMarcelin!F111+PSA!F111</f>
        <v>93.333333333333329</v>
      </c>
      <c r="G111" s="135">
        <v>280.67500000000001</v>
      </c>
      <c r="H111" s="161">
        <f>+Grenoble!G111+STMarcelin!G111+PSA!G111</f>
        <v>100</v>
      </c>
      <c r="I111" s="149">
        <f t="shared" si="10"/>
        <v>-0.50877192982456143</v>
      </c>
      <c r="J111" s="271">
        <f t="shared" si="11"/>
        <v>7.142857142857148E-2</v>
      </c>
      <c r="K111" s="18">
        <f>+Grenoble!D111+STMarcelin!D111+PSA!D111</f>
        <v>301.6225</v>
      </c>
      <c r="L111" s="111"/>
    </row>
    <row r="112" spans="1:12" s="2" customFormat="1" ht="11.25">
      <c r="A112" s="5" t="s">
        <v>136</v>
      </c>
      <c r="B112" s="160">
        <f>+Grenoble!$G112</f>
        <v>9548.1</v>
      </c>
      <c r="C112" s="113">
        <f>+STMarcelin!$G112</f>
        <v>26.78</v>
      </c>
      <c r="D112" s="113">
        <f>+PSA!$G112</f>
        <v>3000</v>
      </c>
      <c r="E112" s="160">
        <f>+Grenoble!E112+STMarcelin!E112+PSA!E112</f>
        <v>75.69</v>
      </c>
      <c r="F112" s="135">
        <f>+Grenoble!F112+STMarcelin!F112+PSA!F112</f>
        <v>12296</v>
      </c>
      <c r="G112" s="135">
        <v>12478.686900000001</v>
      </c>
      <c r="H112" s="161">
        <f>+Grenoble!G112+STMarcelin!G112+PSA!G112</f>
        <v>12574.880000000001</v>
      </c>
      <c r="I112" s="149">
        <f t="shared" si="10"/>
        <v>161.45210727969348</v>
      </c>
      <c r="J112" s="271">
        <f t="shared" si="11"/>
        <v>2.2680546519193316E-2</v>
      </c>
      <c r="K112" s="18">
        <f>+Grenoble!D112+STMarcelin!D112+PSA!D112</f>
        <v>12295.9869</v>
      </c>
      <c r="L112" s="111"/>
    </row>
    <row r="113" spans="1:12" s="2" customFormat="1" ht="11.25">
      <c r="A113" s="5" t="s">
        <v>137</v>
      </c>
      <c r="B113" s="160">
        <f>+Grenoble!$G113</f>
        <v>2000</v>
      </c>
      <c r="C113" s="113">
        <f>+STMarcelin!$G113</f>
        <v>2000</v>
      </c>
      <c r="D113" s="113">
        <f>+PSA!$G113</f>
        <v>2000</v>
      </c>
      <c r="E113" s="160">
        <f>+Grenoble!E113+STMarcelin!E113+PSA!E113</f>
        <v>34239.180000000008</v>
      </c>
      <c r="F113" s="135">
        <f>+Grenoble!F113+STMarcelin!F113+PSA!F113</f>
        <v>33344.449999999997</v>
      </c>
      <c r="G113" s="135">
        <v>38514.800300000003</v>
      </c>
      <c r="H113" s="161">
        <f>+Grenoble!G113+STMarcelin!G113+PSA!G113</f>
        <v>6000</v>
      </c>
      <c r="I113" s="149">
        <f t="shared" si="10"/>
        <v>-2.6131758996565054E-2</v>
      </c>
      <c r="J113" s="271">
        <f t="shared" si="11"/>
        <v>-0.82006000998666939</v>
      </c>
      <c r="K113" s="18">
        <f>+Grenoble!D113+STMarcelin!D113+PSA!D113</f>
        <v>40014.800300000003</v>
      </c>
      <c r="L113" s="111"/>
    </row>
    <row r="114" spans="1:12" s="2" customFormat="1" ht="11.25">
      <c r="A114" s="5" t="s">
        <v>138</v>
      </c>
      <c r="B114" s="160">
        <f>+Grenoble!$G114</f>
        <v>0</v>
      </c>
      <c r="C114" s="113">
        <f>+STMarcelin!$G114</f>
        <v>0</v>
      </c>
      <c r="D114" s="113">
        <f>+PSA!$G114</f>
        <v>-5000</v>
      </c>
      <c r="E114" s="160">
        <f>+Grenoble!E114+STMarcelin!E114+PSA!E114</f>
        <v>0</v>
      </c>
      <c r="F114" s="135">
        <f>+Grenoble!F114+STMarcelin!F114+PSA!F114</f>
        <v>-5000</v>
      </c>
      <c r="G114" s="135">
        <v>0</v>
      </c>
      <c r="H114" s="161">
        <f>+Grenoble!G114+STMarcelin!G114+PSA!G114</f>
        <v>-5000</v>
      </c>
      <c r="I114" s="149">
        <f t="shared" si="10"/>
        <v>0</v>
      </c>
      <c r="J114" s="271">
        <f t="shared" si="11"/>
        <v>0</v>
      </c>
      <c r="K114" s="18">
        <f>+Grenoble!D114+STMarcelin!D114+PSA!D114</f>
        <v>-5000</v>
      </c>
      <c r="L114" s="111"/>
    </row>
    <row r="115" spans="1:12" s="2" customFormat="1" ht="11.25">
      <c r="A115" s="5"/>
      <c r="B115" s="160"/>
      <c r="C115" s="113"/>
      <c r="D115" s="113"/>
      <c r="E115" s="160"/>
      <c r="F115" s="143"/>
      <c r="G115" s="143"/>
      <c r="H115" s="162"/>
      <c r="I115" s="149"/>
      <c r="J115" s="254"/>
      <c r="K115" s="18"/>
      <c r="L115" s="111"/>
    </row>
    <row r="116" spans="1:12" s="2" customFormat="1" ht="11.25">
      <c r="A116" s="13" t="s">
        <v>133</v>
      </c>
      <c r="B116" s="163">
        <f t="shared" ref="B116:H116" si="12">SUM(B104:B115)</f>
        <v>83723.743200000012</v>
      </c>
      <c r="C116" s="204">
        <f t="shared" si="12"/>
        <v>7803.9030666666667</v>
      </c>
      <c r="D116" s="204">
        <f t="shared" si="12"/>
        <v>53163.316133333334</v>
      </c>
      <c r="E116" s="163">
        <f>SUM(E104:E115)</f>
        <v>163998.53</v>
      </c>
      <c r="F116" s="136">
        <f>SUM(F104:F115)</f>
        <v>171343.49</v>
      </c>
      <c r="G116" s="136">
        <v>182305.37529999999</v>
      </c>
      <c r="H116" s="168">
        <f t="shared" si="12"/>
        <v>144690.96240000002</v>
      </c>
      <c r="I116" s="272">
        <f>+IF((E116)=0,,(F116-E116)/E116)</f>
        <v>4.4786742905561359E-2</v>
      </c>
      <c r="J116" s="188">
        <f>+IF((F116)=0,,(H116-F116)/F116)</f>
        <v>-0.15555027856617124</v>
      </c>
      <c r="K116" s="305">
        <f>SUM(K105:K115)</f>
        <v>169282.35380000001</v>
      </c>
      <c r="L116" s="111"/>
    </row>
    <row r="117" spans="1:12" s="2" customFormat="1" ht="11.25">
      <c r="A117" s="5"/>
      <c r="B117" s="160"/>
      <c r="C117" s="113"/>
      <c r="D117" s="113"/>
      <c r="E117" s="160"/>
      <c r="F117" s="143"/>
      <c r="G117" s="143"/>
      <c r="H117" s="162"/>
      <c r="I117" s="149"/>
      <c r="J117" s="254"/>
      <c r="K117" s="18"/>
      <c r="L117" s="111"/>
    </row>
    <row r="118" spans="1:12" s="2" customFormat="1" ht="11.25">
      <c r="A118" s="5" t="s">
        <v>139</v>
      </c>
      <c r="B118" s="160">
        <f>+Grenoble!$G118</f>
        <v>1294.1599999999999</v>
      </c>
      <c r="C118" s="113">
        <f>+STMarcelin!$G118</f>
        <v>341.42499999999995</v>
      </c>
      <c r="D118" s="113">
        <f>+PSA!$G118</f>
        <v>1677.0459999999998</v>
      </c>
      <c r="E118" s="160">
        <f>+Grenoble!E118+STMarcelin!E118+PSA!E118</f>
        <v>3662</v>
      </c>
      <c r="F118" s="135">
        <f>+Grenoble!F118+STMarcelin!F118+PSA!F118</f>
        <v>8844.746666666666</v>
      </c>
      <c r="G118" s="135">
        <v>0</v>
      </c>
      <c r="H118" s="161">
        <f>+Grenoble!G118+STMarcelin!G118+PSA!G118</f>
        <v>3312.6309999999994</v>
      </c>
      <c r="I118" s="149">
        <f>+IF((E118)=0,,(F118-E118)/E118)</f>
        <v>1.4152776260695428</v>
      </c>
      <c r="J118" s="271">
        <f>+IF((F118)=0,,(H118-F118)/F118)</f>
        <v>-0.62546909201092626</v>
      </c>
      <c r="K118" s="18">
        <f>+Grenoble!D118+STMarcelin!D118+PSA!D118</f>
        <v>3236.9749999999995</v>
      </c>
      <c r="L118" s="111"/>
    </row>
    <row r="119" spans="1:12" s="2" customFormat="1" ht="11.25">
      <c r="A119" s="5" t="s">
        <v>140</v>
      </c>
      <c r="B119" s="160">
        <f>+Grenoble!$G119</f>
        <v>831.96000000000015</v>
      </c>
      <c r="C119" s="113">
        <f>+STMarcelin!$G119</f>
        <v>219.48750000000004</v>
      </c>
      <c r="D119" s="113">
        <f>+PSA!$G119</f>
        <v>1078.1010000000001</v>
      </c>
      <c r="E119" s="160">
        <f>+Grenoble!E119+STMarcelin!E119+PSA!E119</f>
        <v>1935</v>
      </c>
      <c r="F119" s="135">
        <f>+Grenoble!F119+STMarcelin!F119+PSA!F119</f>
        <v>0</v>
      </c>
      <c r="G119" s="135">
        <v>0</v>
      </c>
      <c r="H119" s="161">
        <f>+Grenoble!G119+STMarcelin!G119+PSA!G119</f>
        <v>2129.5485000000003</v>
      </c>
      <c r="I119" s="149">
        <f t="shared" ref="I119:I127" si="13">+IF((E119)=0,,(F119-E119)/E119)</f>
        <v>-1</v>
      </c>
      <c r="J119" s="271">
        <f t="shared" ref="J119:J127" si="14">+IF((F119)=0,,(H119-F119)/F119)</f>
        <v>0</v>
      </c>
      <c r="K119" s="18">
        <f>+Grenoble!D119+STMarcelin!D119+PSA!D119</f>
        <v>2080.9125000000004</v>
      </c>
      <c r="L119" s="111"/>
    </row>
    <row r="120" spans="1:12" s="2" customFormat="1" ht="11.25">
      <c r="A120" s="5" t="s">
        <v>141</v>
      </c>
      <c r="B120" s="160">
        <f>+Grenoble!$G120</f>
        <v>1442.0640000000001</v>
      </c>
      <c r="C120" s="113">
        <f>+STMarcelin!$G120</f>
        <v>380.44500000000005</v>
      </c>
      <c r="D120" s="113">
        <f>+PSA!$G120</f>
        <v>1868.7084000000002</v>
      </c>
      <c r="E120" s="160">
        <f>+Grenoble!E120+STMarcelin!E120+PSA!E120</f>
        <v>2925</v>
      </c>
      <c r="F120" s="135">
        <f>+Grenoble!F120+STMarcelin!F120+PSA!F120</f>
        <v>0</v>
      </c>
      <c r="G120" s="135">
        <v>0</v>
      </c>
      <c r="H120" s="161">
        <f>+Grenoble!G120+STMarcelin!G120+PSA!G120</f>
        <v>3691.2174000000005</v>
      </c>
      <c r="I120" s="149">
        <f t="shared" si="13"/>
        <v>-1</v>
      </c>
      <c r="J120" s="271">
        <f t="shared" si="14"/>
        <v>0</v>
      </c>
      <c r="K120" s="18">
        <f>+Grenoble!D120+STMarcelin!D120+PSA!D120</f>
        <v>3606.915</v>
      </c>
      <c r="L120" s="111"/>
    </row>
    <row r="121" spans="1:12" s="2" customFormat="1" ht="11.25">
      <c r="A121" s="5" t="s">
        <v>142</v>
      </c>
      <c r="B121" s="160">
        <f>+Grenoble!$G121</f>
        <v>3490.2000000000003</v>
      </c>
      <c r="C121" s="113">
        <f>+STMarcelin!$G121</f>
        <v>1369.2</v>
      </c>
      <c r="D121" s="113">
        <f>+PSA!$G121</f>
        <v>6958.35</v>
      </c>
      <c r="E121" s="160">
        <f>+Grenoble!E121+STMarcelin!E121+PSA!E121</f>
        <v>11148</v>
      </c>
      <c r="F121" s="135">
        <f>+Grenoble!F121+STMarcelin!F121+PSA!F121</f>
        <v>11255</v>
      </c>
      <c r="G121" s="135">
        <v>25766.2225</v>
      </c>
      <c r="H121" s="161">
        <f>+Grenoble!G121+STMarcelin!G121+PSA!G121</f>
        <v>11817.75</v>
      </c>
      <c r="I121" s="149">
        <f t="shared" si="13"/>
        <v>9.5981341944743458E-3</v>
      </c>
      <c r="J121" s="271">
        <f t="shared" si="14"/>
        <v>0.05</v>
      </c>
      <c r="K121" s="18">
        <f>+Grenoble!D121+STMarcelin!D121+PSA!D121</f>
        <v>26266.537500000002</v>
      </c>
      <c r="L121" s="111"/>
    </row>
    <row r="122" spans="1:12" s="2" customFormat="1" ht="11.25">
      <c r="A122" s="5" t="s">
        <v>143</v>
      </c>
      <c r="B122" s="160">
        <f>+Grenoble!$G122</f>
        <v>5867.4000000000005</v>
      </c>
      <c r="C122" s="113">
        <f>+STMarcelin!$G122</f>
        <v>3268.2719999999999</v>
      </c>
      <c r="D122" s="113">
        <f>+PSA!$G122</f>
        <v>20198.850000000002</v>
      </c>
      <c r="E122" s="160">
        <f>+Grenoble!E122+STMarcelin!E122+PSA!E122</f>
        <v>27540.639999999999</v>
      </c>
      <c r="F122" s="135">
        <f>+Grenoble!F122+STMarcelin!F122+PSA!F122</f>
        <v>27937.64</v>
      </c>
      <c r="G122" s="135">
        <v>25584.403047261756</v>
      </c>
      <c r="H122" s="161">
        <f>+Grenoble!G122+STMarcelin!G122+PSA!G122</f>
        <v>29334.522000000004</v>
      </c>
      <c r="I122" s="149">
        <f t="shared" si="13"/>
        <v>1.4415060797425187E-2</v>
      </c>
      <c r="J122" s="271">
        <f t="shared" si="14"/>
        <v>5.0000000000000183E-2</v>
      </c>
      <c r="K122" s="18">
        <f>+Grenoble!D122+STMarcelin!D122+PSA!D122</f>
        <v>28494.979485000003</v>
      </c>
      <c r="L122" s="111"/>
    </row>
    <row r="123" spans="1:12" s="2" customFormat="1" ht="11.25">
      <c r="A123" s="5" t="s">
        <v>144</v>
      </c>
      <c r="B123" s="160">
        <f>+Grenoble!$G123</f>
        <v>50</v>
      </c>
      <c r="C123" s="113">
        <f>+STMarcelin!$G123</f>
        <v>50</v>
      </c>
      <c r="D123" s="113">
        <f>+PSA!$G123</f>
        <v>1437.03</v>
      </c>
      <c r="E123" s="160">
        <f>+Grenoble!E123+STMarcelin!E123+PSA!E123</f>
        <v>0</v>
      </c>
      <c r="F123" s="135">
        <f>+Grenoble!F123+STMarcelin!F123+PSA!F123</f>
        <v>1368.6</v>
      </c>
      <c r="G123" s="135">
        <v>0</v>
      </c>
      <c r="H123" s="161">
        <f>+Grenoble!G123+STMarcelin!G123+PSA!G123</f>
        <v>1537.03</v>
      </c>
      <c r="I123" s="149">
        <f t="shared" si="13"/>
        <v>0</v>
      </c>
      <c r="J123" s="271">
        <f t="shared" si="14"/>
        <v>0.1230673681134006</v>
      </c>
      <c r="K123" s="18">
        <f>+Grenoble!D123+STMarcelin!D123+PSA!D123</f>
        <v>150</v>
      </c>
      <c r="L123" s="111"/>
    </row>
    <row r="124" spans="1:12" s="2" customFormat="1" ht="11.25">
      <c r="A124" s="5" t="s">
        <v>145</v>
      </c>
      <c r="B124" s="160">
        <f>+Grenoble!$G124</f>
        <v>0</v>
      </c>
      <c r="C124" s="113">
        <f>+STMarcelin!$G124</f>
        <v>0</v>
      </c>
      <c r="D124" s="113">
        <f>+PSA!$G124</f>
        <v>350</v>
      </c>
      <c r="E124" s="160">
        <f>+Grenoble!E124+STMarcelin!E124+PSA!E124</f>
        <v>326</v>
      </c>
      <c r="F124" s="135">
        <f>+Grenoble!F124+STMarcelin!F124+PSA!F124</f>
        <v>0</v>
      </c>
      <c r="G124" s="135">
        <v>437.49624064706597</v>
      </c>
      <c r="H124" s="161">
        <f>+Grenoble!G124+STMarcelin!G124+PSA!G124</f>
        <v>350</v>
      </c>
      <c r="I124" s="149">
        <f t="shared" si="13"/>
        <v>-1</v>
      </c>
      <c r="J124" s="271">
        <f t="shared" si="14"/>
        <v>0</v>
      </c>
      <c r="K124" s="18">
        <f>+Grenoble!D124+STMarcelin!D124+PSA!D124</f>
        <v>350</v>
      </c>
      <c r="L124" s="111"/>
    </row>
    <row r="125" spans="1:12" s="2" customFormat="1" ht="11.25">
      <c r="A125" s="5" t="s">
        <v>286</v>
      </c>
      <c r="B125" s="160">
        <f>+Grenoble!$G125</f>
        <v>0</v>
      </c>
      <c r="C125" s="113">
        <f>+STMarcelin!$G125</f>
        <v>0</v>
      </c>
      <c r="D125" s="113">
        <f>+PSA!$G125</f>
        <v>500</v>
      </c>
      <c r="E125" s="160">
        <f>+Grenoble!E125+STMarcelin!E125+PSA!E125</f>
        <v>118</v>
      </c>
      <c r="F125" s="135">
        <f>+Grenoble!F125+STMarcelin!F125+PSA!F125</f>
        <v>0</v>
      </c>
      <c r="G125" s="135">
        <v>1116.13375</v>
      </c>
      <c r="H125" s="161">
        <f>+Grenoble!G125+STMarcelin!G125+PSA!G125</f>
        <v>500</v>
      </c>
      <c r="I125" s="149">
        <f t="shared" si="13"/>
        <v>-1</v>
      </c>
      <c r="J125" s="271">
        <f t="shared" si="14"/>
        <v>0</v>
      </c>
      <c r="K125" s="18">
        <f>+Grenoble!D125+STMarcelin!D125+PSA!D125</f>
        <v>500</v>
      </c>
      <c r="L125" s="111"/>
    </row>
    <row r="126" spans="1:12" s="2" customFormat="1" ht="11.25">
      <c r="A126" s="5" t="s">
        <v>361</v>
      </c>
      <c r="B126" s="160">
        <f>+Grenoble!$G126</f>
        <v>0</v>
      </c>
      <c r="C126" s="113">
        <f>+STMarcelin!$G126</f>
        <v>0</v>
      </c>
      <c r="D126" s="113">
        <f>+PSA!$G126</f>
        <v>0</v>
      </c>
      <c r="E126" s="160">
        <f>+Grenoble!E126+STMarcelin!E126+PSA!E126</f>
        <v>375</v>
      </c>
      <c r="F126" s="135">
        <f>+Grenoble!F126+STMarcelin!F126+PSA!F126</f>
        <v>0</v>
      </c>
      <c r="G126" s="135">
        <v>386.25</v>
      </c>
      <c r="H126" s="161">
        <f>+Grenoble!G126+STMarcelin!G126+PSA!G126</f>
        <v>0</v>
      </c>
      <c r="I126" s="149">
        <f t="shared" si="13"/>
        <v>-1</v>
      </c>
      <c r="J126" s="271">
        <f t="shared" si="14"/>
        <v>0</v>
      </c>
      <c r="K126" s="18">
        <f>+Grenoble!D126+STMarcelin!D126+PSA!D126</f>
        <v>0</v>
      </c>
      <c r="L126" s="111"/>
    </row>
    <row r="127" spans="1:12" s="2" customFormat="1" ht="11.25">
      <c r="A127" s="5" t="s">
        <v>146</v>
      </c>
      <c r="B127" s="160">
        <f>+Grenoble!$G127</f>
        <v>3198.3152</v>
      </c>
      <c r="C127" s="113">
        <f>+STMarcelin!$G127</f>
        <v>521.91840000000002</v>
      </c>
      <c r="D127" s="113">
        <f>+PSA!$G127</f>
        <v>8654.2695999999996</v>
      </c>
      <c r="E127" s="160">
        <f>+Grenoble!E127+STMarcelin!E127+PSA!E127</f>
        <v>10371.85</v>
      </c>
      <c r="F127" s="135">
        <f>+Grenoble!F127+STMarcelin!F127+PSA!F127</f>
        <v>11141.066666666666</v>
      </c>
      <c r="G127" s="135">
        <v>7620.1453243200012</v>
      </c>
      <c r="H127" s="161">
        <f>+Grenoble!G127+STMarcelin!G127+PSA!G127</f>
        <v>12374.503199999999</v>
      </c>
      <c r="I127" s="149">
        <f t="shared" si="13"/>
        <v>7.4163882688880509E-2</v>
      </c>
      <c r="J127" s="271">
        <f t="shared" si="14"/>
        <v>0.11071081165178681</v>
      </c>
      <c r="K127" s="18">
        <f>+Grenoble!D127+STMarcelin!D127+PSA!D127</f>
        <v>12279.077600000001</v>
      </c>
      <c r="L127" s="111"/>
    </row>
    <row r="128" spans="1:12" s="2" customFormat="1" ht="11.25">
      <c r="A128" s="5"/>
      <c r="B128" s="160"/>
      <c r="C128" s="113"/>
      <c r="D128" s="113"/>
      <c r="E128" s="160"/>
      <c r="F128" s="143"/>
      <c r="G128" s="143"/>
      <c r="H128" s="162"/>
      <c r="I128" s="149"/>
      <c r="J128" s="254"/>
      <c r="K128" s="18"/>
      <c r="L128" s="111"/>
    </row>
    <row r="129" spans="1:12" s="2" customFormat="1" ht="11.25">
      <c r="A129" s="13" t="s">
        <v>147</v>
      </c>
      <c r="B129" s="163">
        <f t="shared" ref="B129:H129" si="15">SUM(B117:B128)</f>
        <v>16174.099200000001</v>
      </c>
      <c r="C129" s="204">
        <f t="shared" si="15"/>
        <v>6150.7479000000003</v>
      </c>
      <c r="D129" s="204">
        <f t="shared" si="15"/>
        <v>42722.355000000003</v>
      </c>
      <c r="E129" s="163">
        <f>SUM(E117:E128)</f>
        <v>58401.49</v>
      </c>
      <c r="F129" s="136">
        <f>SUM(F117:F128)</f>
        <v>60547.05333333333</v>
      </c>
      <c r="G129" s="136">
        <v>60910.650862228824</v>
      </c>
      <c r="H129" s="168">
        <f t="shared" si="15"/>
        <v>65047.202100000002</v>
      </c>
      <c r="I129" s="272">
        <f>+IF((E129)=0,,(F129-E129)/E129)</f>
        <v>3.6738160847151875E-2</v>
      </c>
      <c r="J129" s="188">
        <f>+IF((F129)=0,,(H129-F129)/F129)</f>
        <v>7.4324818780060739E-2</v>
      </c>
      <c r="K129" s="305">
        <f>SUM(K117:K128)</f>
        <v>76965.397085000004</v>
      </c>
      <c r="L129" s="111"/>
    </row>
    <row r="130" spans="1:12" s="2" customFormat="1" ht="11.25">
      <c r="A130" s="5"/>
      <c r="B130" s="160"/>
      <c r="C130" s="113"/>
      <c r="D130" s="113"/>
      <c r="E130" s="160"/>
      <c r="F130" s="143"/>
      <c r="G130" s="143"/>
      <c r="H130" s="162"/>
      <c r="I130" s="149"/>
      <c r="J130" s="254"/>
      <c r="K130" s="18"/>
      <c r="L130" s="111"/>
    </row>
    <row r="131" spans="1:12" s="2" customFormat="1" ht="11.25">
      <c r="A131" s="5" t="s">
        <v>148</v>
      </c>
      <c r="B131" s="160">
        <f>+Grenoble!$G131</f>
        <v>184880</v>
      </c>
      <c r="C131" s="113">
        <f>+STMarcelin!$G131</f>
        <v>48775</v>
      </c>
      <c r="D131" s="113">
        <f>+PSA!$G131</f>
        <v>239578</v>
      </c>
      <c r="E131" s="160">
        <f>+Grenoble!E131+STMarcelin!E131+PSA!E131</f>
        <v>442201.25</v>
      </c>
      <c r="F131" s="135">
        <f>+Grenoble!F131+STMarcelin!F131+PSA!F131</f>
        <v>461356.34666666656</v>
      </c>
      <c r="G131" s="135">
        <v>460477.28990000003</v>
      </c>
      <c r="H131" s="161">
        <f>+Grenoble!G131+STMarcelin!G131+PSA!G131</f>
        <v>473233</v>
      </c>
      <c r="I131" s="149">
        <f>+IF((E131)=0,,(F131-E131)/E131)</f>
        <v>4.3317599546963202E-2</v>
      </c>
      <c r="J131" s="271">
        <f>+IF((F131)=0,,(H131-F131)/F131)</f>
        <v>2.5742906582174773E-2</v>
      </c>
      <c r="K131" s="18">
        <f>+Grenoble!D131+STMarcelin!D131+PSA!D131</f>
        <v>462425</v>
      </c>
      <c r="L131" s="111"/>
    </row>
    <row r="132" spans="1:12" s="2" customFormat="1" ht="11.25">
      <c r="A132" s="5" t="s">
        <v>149</v>
      </c>
      <c r="B132" s="160">
        <f>+Grenoble!$G132</f>
        <v>0</v>
      </c>
      <c r="C132" s="113">
        <f>+STMarcelin!$G132</f>
        <v>0</v>
      </c>
      <c r="D132" s="113">
        <f>+PSA!$G132</f>
        <v>0</v>
      </c>
      <c r="E132" s="160">
        <f>+Grenoble!E132+STMarcelin!E132+PSA!E132</f>
        <v>1925</v>
      </c>
      <c r="F132" s="135">
        <f>+Grenoble!F132+STMarcelin!F132+PSA!F132</f>
        <v>-11066.666666666668</v>
      </c>
      <c r="G132" s="135">
        <v>-6566.25</v>
      </c>
      <c r="H132" s="161">
        <f>+Grenoble!G132+STMarcelin!G132+PSA!G132</f>
        <v>0</v>
      </c>
      <c r="I132" s="149">
        <f t="shared" ref="I132:I151" si="16">+IF((E132)=0,,(F132-E132)/E132)</f>
        <v>-6.7489177489177496</v>
      </c>
      <c r="J132" s="271">
        <f t="shared" ref="J132:J151" si="17">+IF((F132)=0,,(H132-F132)/F132)</f>
        <v>-1</v>
      </c>
      <c r="K132" s="18">
        <f>+Grenoble!D132+STMarcelin!D132+PSA!D132</f>
        <v>0</v>
      </c>
      <c r="L132" s="111"/>
    </row>
    <row r="133" spans="1:12" s="2" customFormat="1" ht="11.25">
      <c r="A133" s="5" t="s">
        <v>150</v>
      </c>
      <c r="B133" s="160">
        <f>+Grenoble!$G133</f>
        <v>0</v>
      </c>
      <c r="C133" s="113">
        <f>+STMarcelin!$G133</f>
        <v>0</v>
      </c>
      <c r="D133" s="113">
        <f>+PSA!$G133</f>
        <v>0</v>
      </c>
      <c r="E133" s="160">
        <f>+Grenoble!E133+STMarcelin!E133+PSA!E133</f>
        <v>75</v>
      </c>
      <c r="F133" s="135">
        <f>+Grenoble!F133+STMarcelin!F133+PSA!F133</f>
        <v>366.66666666666669</v>
      </c>
      <c r="G133" s="135">
        <v>0</v>
      </c>
      <c r="H133" s="161">
        <f>+Grenoble!G133+STMarcelin!G133+PSA!G133</f>
        <v>0</v>
      </c>
      <c r="I133" s="149">
        <f t="shared" si="16"/>
        <v>3.8888888888888893</v>
      </c>
      <c r="J133" s="271">
        <f t="shared" si="17"/>
        <v>-1</v>
      </c>
      <c r="K133" s="18">
        <f>+Grenoble!D133+STMarcelin!D133+PSA!D133</f>
        <v>0</v>
      </c>
      <c r="L133" s="111"/>
    </row>
    <row r="134" spans="1:12" s="2" customFormat="1" ht="11.25">
      <c r="A134" s="5" t="s">
        <v>151</v>
      </c>
      <c r="B134" s="160">
        <f>+Grenoble!$G134</f>
        <v>0</v>
      </c>
      <c r="C134" s="113">
        <f>+STMarcelin!$G134</f>
        <v>0</v>
      </c>
      <c r="D134" s="113">
        <f>+PSA!$G134</f>
        <v>0</v>
      </c>
      <c r="E134" s="160">
        <f>+Grenoble!E134+STMarcelin!E134+PSA!E134</f>
        <v>-2194.190000000001</v>
      </c>
      <c r="F134" s="135">
        <f>+Grenoble!F134+STMarcelin!F134+PSA!F134</f>
        <v>0</v>
      </c>
      <c r="G134" s="135">
        <v>0</v>
      </c>
      <c r="H134" s="161">
        <f>+Grenoble!G134+STMarcelin!G134+PSA!G134</f>
        <v>0</v>
      </c>
      <c r="I134" s="149">
        <f t="shared" si="16"/>
        <v>-1</v>
      </c>
      <c r="J134" s="271">
        <f t="shared" si="17"/>
        <v>0</v>
      </c>
      <c r="K134" s="18">
        <f>+Grenoble!D134+STMarcelin!D134+PSA!D134</f>
        <v>0</v>
      </c>
      <c r="L134" s="111"/>
    </row>
    <row r="135" spans="1:12" s="2" customFormat="1" ht="11.25">
      <c r="A135" s="5" t="s">
        <v>114</v>
      </c>
      <c r="B135" s="160">
        <f>+Grenoble!$G135</f>
        <v>0</v>
      </c>
      <c r="C135" s="113">
        <f>+STMarcelin!$G135</f>
        <v>0</v>
      </c>
      <c r="D135" s="113">
        <f>+PSA!$G135</f>
        <v>0</v>
      </c>
      <c r="E135" s="160">
        <f>+Grenoble!E135+STMarcelin!E135+PSA!E135</f>
        <v>24689.35</v>
      </c>
      <c r="F135" s="135">
        <f>+Grenoble!F135+STMarcelin!F135+PSA!F135</f>
        <v>871.01333333333332</v>
      </c>
      <c r="G135" s="135">
        <v>17432.863299999997</v>
      </c>
      <c r="H135" s="161">
        <f>+Grenoble!G135+STMarcelin!G135+PSA!G135</f>
        <v>0</v>
      </c>
      <c r="I135" s="149">
        <f t="shared" si="16"/>
        <v>-0.96472109094272096</v>
      </c>
      <c r="J135" s="271">
        <f t="shared" si="17"/>
        <v>-1</v>
      </c>
      <c r="K135" s="18">
        <f>+Grenoble!D135+STMarcelin!D135+PSA!D135</f>
        <v>17432.863299999997</v>
      </c>
      <c r="L135" s="111"/>
    </row>
    <row r="136" spans="1:12" s="2" customFormat="1" ht="11.25">
      <c r="A136" s="5" t="s">
        <v>338</v>
      </c>
      <c r="B136" s="160">
        <f>+Grenoble!$G136</f>
        <v>0</v>
      </c>
      <c r="C136" s="113">
        <f>+STMarcelin!$G136</f>
        <v>0</v>
      </c>
      <c r="D136" s="113">
        <f>+PSA!$G136</f>
        <v>0</v>
      </c>
      <c r="E136" s="160">
        <f>+Grenoble!E136+STMarcelin!E136+PSA!E136</f>
        <v>0</v>
      </c>
      <c r="F136" s="135">
        <f>+Grenoble!F136+STMarcelin!F136+PSA!F136</f>
        <v>0</v>
      </c>
      <c r="G136" s="135">
        <v>0</v>
      </c>
      <c r="H136" s="161">
        <f>+Grenoble!G136+STMarcelin!G136+PSA!G136</f>
        <v>0</v>
      </c>
      <c r="I136" s="149">
        <f t="shared" si="16"/>
        <v>0</v>
      </c>
      <c r="J136" s="271">
        <f t="shared" si="17"/>
        <v>0</v>
      </c>
      <c r="K136" s="18">
        <f>+Grenoble!D136+STMarcelin!D136+PSA!D136</f>
        <v>0</v>
      </c>
      <c r="L136" s="111"/>
    </row>
    <row r="137" spans="1:12" s="2" customFormat="1" ht="11.25">
      <c r="A137" s="5" t="s">
        <v>87</v>
      </c>
      <c r="B137" s="160">
        <f>+Grenoble!$G137</f>
        <v>0</v>
      </c>
      <c r="C137" s="113">
        <f>+STMarcelin!$G137</f>
        <v>0</v>
      </c>
      <c r="D137" s="113">
        <f>+PSA!$G137</f>
        <v>0</v>
      </c>
      <c r="E137" s="160">
        <f>+Grenoble!E137+STMarcelin!E137+PSA!E137</f>
        <v>0</v>
      </c>
      <c r="F137" s="135">
        <f>+Grenoble!F137+STMarcelin!F137+PSA!F137</f>
        <v>0</v>
      </c>
      <c r="G137" s="135">
        <v>0</v>
      </c>
      <c r="H137" s="161">
        <f>+Grenoble!G137+STMarcelin!G137+PSA!G137</f>
        <v>0</v>
      </c>
      <c r="I137" s="149">
        <f t="shared" si="16"/>
        <v>0</v>
      </c>
      <c r="J137" s="271">
        <f t="shared" si="17"/>
        <v>0</v>
      </c>
      <c r="K137" s="18">
        <f>+Grenoble!D137+STMarcelin!D137+PSA!D137</f>
        <v>0</v>
      </c>
      <c r="L137" s="111"/>
    </row>
    <row r="138" spans="1:12" s="2" customFormat="1" ht="11.25">
      <c r="A138" s="5" t="s">
        <v>152</v>
      </c>
      <c r="B138" s="160">
        <f>+Grenoble!$G138</f>
        <v>0</v>
      </c>
      <c r="C138" s="113">
        <f>+STMarcelin!$G138</f>
        <v>0</v>
      </c>
      <c r="D138" s="113">
        <f>+PSA!$G138</f>
        <v>0</v>
      </c>
      <c r="E138" s="160">
        <f>+Grenoble!E138+STMarcelin!E138+PSA!E138</f>
        <v>-942.42999999999961</v>
      </c>
      <c r="F138" s="135">
        <f>+Grenoble!F138+STMarcelin!F138+PSA!F138</f>
        <v>0</v>
      </c>
      <c r="G138" s="135">
        <v>0</v>
      </c>
      <c r="H138" s="161">
        <f>+Grenoble!G138+STMarcelin!G138+PSA!G138</f>
        <v>0</v>
      </c>
      <c r="I138" s="149">
        <f t="shared" si="16"/>
        <v>-1</v>
      </c>
      <c r="J138" s="271">
        <f t="shared" si="17"/>
        <v>0</v>
      </c>
      <c r="K138" s="18">
        <f>+Grenoble!D138+STMarcelin!D138+PSA!D138</f>
        <v>0</v>
      </c>
      <c r="L138" s="111"/>
    </row>
    <row r="139" spans="1:12" s="2" customFormat="1" ht="11.25">
      <c r="A139" s="5" t="s">
        <v>153</v>
      </c>
      <c r="B139" s="160">
        <f>+Grenoble!$G139</f>
        <v>0</v>
      </c>
      <c r="C139" s="113">
        <f>+STMarcelin!$G139</f>
        <v>0</v>
      </c>
      <c r="D139" s="113">
        <f>+PSA!$G139</f>
        <v>0</v>
      </c>
      <c r="E139" s="160">
        <f>+Grenoble!E139+STMarcelin!E139+PSA!E139</f>
        <v>0</v>
      </c>
      <c r="F139" s="135">
        <f>+Grenoble!F139+STMarcelin!F139+PSA!F139</f>
        <v>0</v>
      </c>
      <c r="G139" s="135">
        <v>85.548323750000009</v>
      </c>
      <c r="H139" s="161">
        <f>+Grenoble!G139+STMarcelin!G139+PSA!G139</f>
        <v>0</v>
      </c>
      <c r="I139" s="149">
        <f t="shared" si="16"/>
        <v>0</v>
      </c>
      <c r="J139" s="271">
        <f t="shared" si="17"/>
        <v>0</v>
      </c>
      <c r="K139" s="18">
        <f>+Grenoble!D139+STMarcelin!D139+PSA!D139</f>
        <v>0</v>
      </c>
      <c r="L139" s="111"/>
    </row>
    <row r="140" spans="1:12" s="2" customFormat="1" ht="11.25">
      <c r="A140" s="5" t="s">
        <v>154</v>
      </c>
      <c r="B140" s="160">
        <f>+Grenoble!$G140</f>
        <v>0</v>
      </c>
      <c r="C140" s="113">
        <f>+STMarcelin!$G140</f>
        <v>0</v>
      </c>
      <c r="D140" s="113">
        <f>+PSA!$G140</f>
        <v>0</v>
      </c>
      <c r="E140" s="160">
        <f>+Grenoble!E140+STMarcelin!E140+PSA!E140</f>
        <v>3383.37</v>
      </c>
      <c r="F140" s="135">
        <f>+Grenoble!F140+STMarcelin!F140+PSA!F140</f>
        <v>0</v>
      </c>
      <c r="G140" s="135">
        <v>3484.8710999999998</v>
      </c>
      <c r="H140" s="161">
        <f>+Grenoble!G140+STMarcelin!G140+PSA!G140</f>
        <v>0</v>
      </c>
      <c r="I140" s="149">
        <f t="shared" si="16"/>
        <v>-1</v>
      </c>
      <c r="J140" s="271">
        <f t="shared" si="17"/>
        <v>0</v>
      </c>
      <c r="K140" s="18">
        <f>+Grenoble!D140+STMarcelin!D140+PSA!D140</f>
        <v>0</v>
      </c>
      <c r="L140" s="111"/>
    </row>
    <row r="141" spans="1:12" s="2" customFormat="1" ht="11.25">
      <c r="A141" s="5" t="s">
        <v>155</v>
      </c>
      <c r="B141" s="160">
        <f>+Grenoble!$G141</f>
        <v>44772.353662610076</v>
      </c>
      <c r="C141" s="113">
        <f>+STMarcelin!$G141</f>
        <v>8632.3909469870759</v>
      </c>
      <c r="D141" s="113">
        <f>+PSA!$G141</f>
        <v>53745.420304851796</v>
      </c>
      <c r="E141" s="160">
        <f>+Grenoble!E141+STMarcelin!E141+PSA!E141</f>
        <v>100849.41</v>
      </c>
      <c r="F141" s="135">
        <f>+Grenoble!F141+STMarcelin!F141+PSA!F141</f>
        <v>103536.54666666666</v>
      </c>
      <c r="G141" s="135">
        <v>104671.58120895681</v>
      </c>
      <c r="H141" s="161">
        <f>+Grenoble!G141+STMarcelin!G141+PSA!G141</f>
        <v>107150.16491444895</v>
      </c>
      <c r="I141" s="149">
        <f t="shared" si="16"/>
        <v>2.664504102370711E-2</v>
      </c>
      <c r="J141" s="271">
        <f t="shared" si="17"/>
        <v>3.4901861846100023E-2</v>
      </c>
      <c r="K141" s="18">
        <f>+Grenoble!D141+STMarcelin!D141+PSA!D141</f>
        <v>106018.33910345501</v>
      </c>
      <c r="L141" s="111"/>
    </row>
    <row r="142" spans="1:12" s="2" customFormat="1" ht="11.25">
      <c r="A142" s="5" t="s">
        <v>156</v>
      </c>
      <c r="B142" s="160">
        <f>+Grenoble!$G142</f>
        <v>3551.9877180858821</v>
      </c>
      <c r="C142" s="113">
        <f>+STMarcelin!$G142</f>
        <v>1306.1453018483796</v>
      </c>
      <c r="D142" s="113">
        <f>+PSA!$G142</f>
        <v>7514.1916235338813</v>
      </c>
      <c r="E142" s="160">
        <f>+Grenoble!E142+STMarcelin!E142+PSA!E142</f>
        <v>13459.880000000001</v>
      </c>
      <c r="F142" s="135">
        <f>+Grenoble!F142+STMarcelin!F142+PSA!F142</f>
        <v>11956.626666666667</v>
      </c>
      <c r="G142" s="135">
        <v>14227.784289075404</v>
      </c>
      <c r="H142" s="161">
        <f>+Grenoble!G142+STMarcelin!G142+PSA!G142</f>
        <v>12372.324643468142</v>
      </c>
      <c r="I142" s="149">
        <f t="shared" si="16"/>
        <v>-0.11168400708872099</v>
      </c>
      <c r="J142" s="271">
        <f t="shared" si="17"/>
        <v>3.476716204248316E-2</v>
      </c>
      <c r="K142" s="18">
        <f>+Grenoble!D142+STMarcelin!D142+PSA!D142</f>
        <v>14440.802784134572</v>
      </c>
      <c r="L142" s="111"/>
    </row>
    <row r="143" spans="1:12" s="2" customFormat="1" ht="11.25">
      <c r="A143" s="5" t="s">
        <v>157</v>
      </c>
      <c r="B143" s="160">
        <f>+Grenoble!$G143</f>
        <v>11557.72436818954</v>
      </c>
      <c r="C143" s="113">
        <f>+STMarcelin!$G143</f>
        <v>2203.6906587615367</v>
      </c>
      <c r="D143" s="113">
        <f>+PSA!$G143</f>
        <v>16233.371319278023</v>
      </c>
      <c r="E143" s="160">
        <f>+Grenoble!E143+STMarcelin!E143+PSA!E143</f>
        <v>28520.97</v>
      </c>
      <c r="F143" s="135">
        <f>+Grenoble!F143+STMarcelin!F143+PSA!F143</f>
        <v>29008.400000000001</v>
      </c>
      <c r="G143" s="135">
        <v>29662.819552610585</v>
      </c>
      <c r="H143" s="161">
        <f>+Grenoble!G143+STMarcelin!G143+PSA!G143</f>
        <v>29994.786346229099</v>
      </c>
      <c r="I143" s="149">
        <f t="shared" si="16"/>
        <v>1.7090232204584915E-2</v>
      </c>
      <c r="J143" s="271">
        <f t="shared" si="17"/>
        <v>3.4003473001926937E-2</v>
      </c>
      <c r="K143" s="18">
        <f>+Grenoble!D143+STMarcelin!D143+PSA!D143</f>
        <v>30147.893037942162</v>
      </c>
      <c r="L143" s="111"/>
    </row>
    <row r="144" spans="1:12" s="2" customFormat="1" ht="11.25">
      <c r="A144" s="5" t="s">
        <v>326</v>
      </c>
      <c r="B144" s="160">
        <f>+Grenoble!$G144</f>
        <v>0</v>
      </c>
      <c r="C144" s="113">
        <f>+STMarcelin!$G144</f>
        <v>0</v>
      </c>
      <c r="D144" s="113">
        <f>+PSA!$G144</f>
        <v>0</v>
      </c>
      <c r="E144" s="160">
        <f>+Grenoble!E144+STMarcelin!E144+PSA!E144</f>
        <v>0</v>
      </c>
      <c r="F144" s="135">
        <f>+Grenoble!F144+STMarcelin!F144+PSA!F144</f>
        <v>0</v>
      </c>
      <c r="G144" s="135">
        <v>0</v>
      </c>
      <c r="H144" s="161">
        <f>+Grenoble!G144+STMarcelin!G144+PSA!G144</f>
        <v>0</v>
      </c>
      <c r="I144" s="149">
        <f t="shared" si="16"/>
        <v>0</v>
      </c>
      <c r="J144" s="271">
        <f t="shared" si="17"/>
        <v>0</v>
      </c>
      <c r="K144" s="18">
        <f>+Grenoble!D144+STMarcelin!D144+PSA!D144</f>
        <v>0</v>
      </c>
      <c r="L144" s="111"/>
    </row>
    <row r="145" spans="1:12" s="2" customFormat="1" ht="11.25">
      <c r="A145" s="5" t="s">
        <v>158</v>
      </c>
      <c r="B145" s="160">
        <f>+Grenoble!$G145</f>
        <v>7800.9462315992359</v>
      </c>
      <c r="C145" s="113">
        <f>+STMarcelin!$G145</f>
        <v>1701.1019516369877</v>
      </c>
      <c r="D145" s="113">
        <f>+PSA!$G145</f>
        <v>10904.525514950661</v>
      </c>
      <c r="E145" s="160">
        <f>+Grenoble!E145+STMarcelin!E145+PSA!E145</f>
        <v>18285.41</v>
      </c>
      <c r="F145" s="135">
        <f>+Grenoble!F145+STMarcelin!F145+PSA!F145</f>
        <v>19724.026666666665</v>
      </c>
      <c r="G145" s="135">
        <v>18819.524898964766</v>
      </c>
      <c r="H145" s="161">
        <f>+Grenoble!G145+STMarcelin!G145+PSA!G145</f>
        <v>20406.573698186883</v>
      </c>
      <c r="I145" s="149">
        <f t="shared" si="16"/>
        <v>7.8675658170457477E-2</v>
      </c>
      <c r="J145" s="271">
        <f t="shared" si="17"/>
        <v>3.4604852399318313E-2</v>
      </c>
      <c r="K145" s="18">
        <f>+Grenoble!D145+STMarcelin!D145+PSA!D145</f>
        <v>19111.79667452506</v>
      </c>
      <c r="L145" s="111"/>
    </row>
    <row r="146" spans="1:12" s="2" customFormat="1" ht="11.25">
      <c r="A146" s="5" t="s">
        <v>159</v>
      </c>
      <c r="B146" s="160">
        <f>+Grenoble!$G146</f>
        <v>0</v>
      </c>
      <c r="C146" s="113">
        <f>+STMarcelin!$G146</f>
        <v>0</v>
      </c>
      <c r="D146" s="113">
        <f>+PSA!$G146</f>
        <v>0</v>
      </c>
      <c r="E146" s="160">
        <f>+Grenoble!E146+STMarcelin!E146+PSA!E146</f>
        <v>0</v>
      </c>
      <c r="F146" s="135">
        <f>+Grenoble!F146+STMarcelin!F146+PSA!F146</f>
        <v>0</v>
      </c>
      <c r="G146" s="135">
        <v>0</v>
      </c>
      <c r="H146" s="161">
        <f>+Grenoble!G146+STMarcelin!G146+PSA!G146</f>
        <v>0</v>
      </c>
      <c r="I146" s="149">
        <f t="shared" si="16"/>
        <v>0</v>
      </c>
      <c r="J146" s="271">
        <f t="shared" si="17"/>
        <v>0</v>
      </c>
      <c r="K146" s="18">
        <f>+Grenoble!D146+STMarcelin!D146+PSA!D146</f>
        <v>0</v>
      </c>
      <c r="L146" s="111"/>
    </row>
    <row r="147" spans="1:12" s="2" customFormat="1" ht="11.25">
      <c r="A147" s="5" t="s">
        <v>160</v>
      </c>
      <c r="B147" s="160">
        <f>+Grenoble!$G147</f>
        <v>-1588.3973333333333</v>
      </c>
      <c r="C147" s="113">
        <f>+STMarcelin!$G147</f>
        <v>351.13386666666662</v>
      </c>
      <c r="D147" s="113">
        <f>+PSA!$G147</f>
        <v>960.93506666666678</v>
      </c>
      <c r="E147" s="160">
        <f>+Grenoble!E147+STMarcelin!E147+PSA!E147</f>
        <v>699.37999999999988</v>
      </c>
      <c r="F147" s="135">
        <f>+Grenoble!F147+STMarcelin!F147+PSA!F147</f>
        <v>-268.27999999999975</v>
      </c>
      <c r="G147" s="135">
        <v>-932.71650000000022</v>
      </c>
      <c r="H147" s="161">
        <f>+Grenoble!G147+STMarcelin!G147+PSA!G147</f>
        <v>-276.32839999999999</v>
      </c>
      <c r="I147" s="149">
        <f t="shared" si="16"/>
        <v>-1.3835969001115271</v>
      </c>
      <c r="J147" s="271">
        <f t="shared" si="17"/>
        <v>3.0000000000000932E-2</v>
      </c>
      <c r="K147" s="18">
        <f>+Grenoble!D147+STMarcelin!D147+PSA!D147</f>
        <v>-932.71650000000022</v>
      </c>
      <c r="L147" s="111"/>
    </row>
    <row r="148" spans="1:12" s="2" customFormat="1" ht="11.25">
      <c r="A148" s="5" t="s">
        <v>161</v>
      </c>
      <c r="B148" s="160">
        <f>+Grenoble!$G148</f>
        <v>0</v>
      </c>
      <c r="C148" s="113">
        <f>+STMarcelin!$G148</f>
        <v>0</v>
      </c>
      <c r="D148" s="113">
        <f>+PSA!$G148</f>
        <v>33.935066666666671</v>
      </c>
      <c r="E148" s="160">
        <f>+Grenoble!E148+STMarcelin!E148+PSA!E148</f>
        <v>118.80000000000001</v>
      </c>
      <c r="F148" s="135">
        <f>+Grenoble!F148+STMarcelin!F148+PSA!F148</f>
        <v>32.946666666666673</v>
      </c>
      <c r="G148" s="135">
        <v>99.9739115</v>
      </c>
      <c r="H148" s="161">
        <f>+Grenoble!G148+STMarcelin!G148+PSA!G148</f>
        <v>33.935066666666671</v>
      </c>
      <c r="I148" s="149">
        <f t="shared" si="16"/>
        <v>-0.72267115600448928</v>
      </c>
      <c r="J148" s="271">
        <f t="shared" si="17"/>
        <v>2.9999999999999954E-2</v>
      </c>
      <c r="K148" s="18">
        <f>+Grenoble!D148+STMarcelin!D148+PSA!D148</f>
        <v>99.9739115</v>
      </c>
      <c r="L148" s="111"/>
    </row>
    <row r="149" spans="1:12" s="2" customFormat="1" ht="11.25">
      <c r="A149" s="5" t="s">
        <v>162</v>
      </c>
      <c r="B149" s="160">
        <f>+Grenoble!$G149</f>
        <v>0</v>
      </c>
      <c r="C149" s="113">
        <f>+STMarcelin!$G149</f>
        <v>0</v>
      </c>
      <c r="D149" s="113">
        <f>+PSA!$G149</f>
        <v>0</v>
      </c>
      <c r="E149" s="160">
        <f>+Grenoble!E149+STMarcelin!E149+PSA!E149</f>
        <v>330.08000000000004</v>
      </c>
      <c r="F149" s="135">
        <f>+Grenoble!F149+STMarcelin!F149+PSA!F149</f>
        <v>0</v>
      </c>
      <c r="G149" s="135">
        <v>298.96938791666673</v>
      </c>
      <c r="H149" s="161">
        <f>+Grenoble!G149+STMarcelin!G149+PSA!G149</f>
        <v>0</v>
      </c>
      <c r="I149" s="149">
        <f t="shared" si="16"/>
        <v>-1</v>
      </c>
      <c r="J149" s="271">
        <f t="shared" si="17"/>
        <v>0</v>
      </c>
      <c r="K149" s="18">
        <f>+Grenoble!D149+STMarcelin!D149+PSA!D149</f>
        <v>298.96938791666673</v>
      </c>
      <c r="L149" s="111"/>
    </row>
    <row r="150" spans="1:12" s="2" customFormat="1" ht="11.25">
      <c r="A150" s="5" t="s">
        <v>163</v>
      </c>
      <c r="B150" s="160">
        <f>+Grenoble!$G150</f>
        <v>458.14400000000006</v>
      </c>
      <c r="C150" s="113">
        <f>+STMarcelin!$G150</f>
        <v>190.89333333333335</v>
      </c>
      <c r="D150" s="113">
        <f>+PSA!$G150</f>
        <v>1084.9333333333334</v>
      </c>
      <c r="E150" s="160">
        <f>+Grenoble!E150+STMarcelin!E150+PSA!E150</f>
        <v>1325.78</v>
      </c>
      <c r="F150" s="135">
        <f>+Grenoble!F150+STMarcelin!F150+PSA!F150</f>
        <v>1683.4666666666667</v>
      </c>
      <c r="G150" s="135">
        <v>1767.6336607102221</v>
      </c>
      <c r="H150" s="161">
        <f>+Grenoble!G150+STMarcelin!G150+PSA!G150</f>
        <v>1733.9706666666668</v>
      </c>
      <c r="I150" s="149">
        <f t="shared" si="16"/>
        <v>0.26979337949483828</v>
      </c>
      <c r="J150" s="271">
        <f t="shared" si="17"/>
        <v>3.0000000000000079E-2</v>
      </c>
      <c r="K150" s="18">
        <f>+Grenoble!D150+STMarcelin!D150+PSA!D150</f>
        <v>1767.6336607102221</v>
      </c>
      <c r="L150" s="111"/>
    </row>
    <row r="151" spans="1:12" s="2" customFormat="1" ht="11.25">
      <c r="A151" s="5" t="s">
        <v>58</v>
      </c>
      <c r="B151" s="160">
        <f>+Grenoble!$G152</f>
        <v>0</v>
      </c>
      <c r="C151" s="113">
        <f>+STMarcelin!$G152</f>
        <v>0</v>
      </c>
      <c r="D151" s="113">
        <f>+PSA!$G152</f>
        <v>0</v>
      </c>
      <c r="E151" s="160">
        <f>+Grenoble!E152+STMarcelin!E152+PSA!E152</f>
        <v>29827.659360000005</v>
      </c>
      <c r="F151" s="135">
        <f>+Grenoble!F152+STMarcelin!F152+PSA!F152</f>
        <v>0</v>
      </c>
      <c r="G151" s="135">
        <v>6876.3689662500001</v>
      </c>
      <c r="H151" s="161">
        <f>+Grenoble!G152+STMarcelin!G152+PSA!G152</f>
        <v>0</v>
      </c>
      <c r="I151" s="149">
        <f t="shared" si="16"/>
        <v>-1</v>
      </c>
      <c r="J151" s="271">
        <f t="shared" si="17"/>
        <v>0</v>
      </c>
      <c r="K151" s="18">
        <f>+Grenoble!D152+STMarcelin!D152+PSA!D152</f>
        <v>6876.3689662500001</v>
      </c>
      <c r="L151" s="111"/>
    </row>
    <row r="152" spans="1:12" s="2" customFormat="1" ht="11.25">
      <c r="A152" s="5"/>
      <c r="B152" s="160"/>
      <c r="C152" s="113"/>
      <c r="D152" s="113"/>
      <c r="E152" s="160"/>
      <c r="F152" s="143"/>
      <c r="G152" s="143"/>
      <c r="H152" s="162"/>
      <c r="I152" s="149"/>
      <c r="J152" s="254"/>
      <c r="K152" s="18"/>
      <c r="L152" s="111"/>
    </row>
    <row r="153" spans="1:12" s="2" customFormat="1" ht="11.25">
      <c r="A153" s="13" t="s">
        <v>164</v>
      </c>
      <c r="B153" s="163">
        <f t="shared" ref="B153:H153" si="18">SUM(B130:B152)</f>
        <v>251432.75864715141</v>
      </c>
      <c r="C153" s="204">
        <f t="shared" si="18"/>
        <v>63160.356059233978</v>
      </c>
      <c r="D153" s="204">
        <f t="shared" si="18"/>
        <v>330055.31222928112</v>
      </c>
      <c r="E153" s="163">
        <f>SUM(E130:E152)</f>
        <v>662554.7193600001</v>
      </c>
      <c r="F153" s="136">
        <f>SUM(F130:F152)</f>
        <v>617201.09333333315</v>
      </c>
      <c r="G153" s="136">
        <v>650406.26199973444</v>
      </c>
      <c r="H153" s="168">
        <f t="shared" si="18"/>
        <v>644648.42693566647</v>
      </c>
      <c r="I153" s="272">
        <f>+IF((E153)=0,,(F153-E153)/E153)</f>
        <v>-6.8452649572063484E-2</v>
      </c>
      <c r="J153" s="188">
        <f>+IF((F153)=0,,(H153-F153)/F153)</f>
        <v>4.4470649677721463E-2</v>
      </c>
      <c r="K153" s="305">
        <f>SUM(K130:K152)</f>
        <v>657686.92432643345</v>
      </c>
      <c r="L153" s="111"/>
    </row>
    <row r="154" spans="1:12" s="2" customFormat="1" ht="11.25">
      <c r="A154" s="5"/>
      <c r="B154" s="160"/>
      <c r="C154" s="113"/>
      <c r="D154" s="113"/>
      <c r="E154" s="160"/>
      <c r="F154" s="143"/>
      <c r="G154" s="143"/>
      <c r="H154" s="162"/>
      <c r="I154" s="149"/>
      <c r="J154" s="254"/>
      <c r="K154" s="18"/>
      <c r="L154" s="111"/>
    </row>
    <row r="155" spans="1:12" s="2" customFormat="1" ht="11.25">
      <c r="A155" s="5" t="s">
        <v>227</v>
      </c>
      <c r="B155" s="160">
        <f>+Grenoble!$G156</f>
        <v>27327.065490900008</v>
      </c>
      <c r="C155" s="113">
        <f>+STMarcelin!$G156</f>
        <v>2428.2987489000002</v>
      </c>
      <c r="D155" s="113">
        <f>+PSA!$G156</f>
        <v>28754.811918000003</v>
      </c>
      <c r="E155" s="160">
        <f>+Grenoble!E156+STMarcelin!E156+PSA!E156</f>
        <v>37804.69</v>
      </c>
      <c r="F155" s="135">
        <f>+Grenoble!F156+STMarcelin!F156+PSA!F156</f>
        <v>32907.479999999996</v>
      </c>
      <c r="G155" s="135">
        <v>61122.319353750012</v>
      </c>
      <c r="H155" s="161">
        <f>+Grenoble!G156+STMarcelin!G156+PSA!G156</f>
        <v>58510.176157800015</v>
      </c>
      <c r="I155" s="149">
        <f>+IF((E155)=0,,(F155-E155)/E155)</f>
        <v>-0.12953974758158329</v>
      </c>
      <c r="J155" s="271">
        <f>+IF((F155)=0,,(H155-F155)/F155)</f>
        <v>0.7780205642546929</v>
      </c>
      <c r="K155" s="18">
        <f>+Grenoble!D156+STMarcelin!D156+PSA!D156</f>
        <v>58981.198022459997</v>
      </c>
      <c r="L155" s="111"/>
    </row>
    <row r="156" spans="1:12" s="2" customFormat="1" ht="11.25">
      <c r="A156" s="5" t="s">
        <v>165</v>
      </c>
      <c r="B156" s="160">
        <f>+Grenoble!$G157</f>
        <v>0</v>
      </c>
      <c r="C156" s="113">
        <f>+STMarcelin!$G157</f>
        <v>0</v>
      </c>
      <c r="D156" s="113">
        <f>+PSA!$G157</f>
        <v>0</v>
      </c>
      <c r="E156" s="160">
        <f>+Grenoble!E157+STMarcelin!E157+PSA!E157</f>
        <v>-2470.2199999999998</v>
      </c>
      <c r="F156" s="135">
        <f>+Grenoble!F157+STMarcelin!F157+PSA!F157</f>
        <v>-2342.2933333333335</v>
      </c>
      <c r="G156" s="135">
        <v>0</v>
      </c>
      <c r="H156" s="161">
        <f>+Grenoble!G157+STMarcelin!G157+PSA!G157</f>
        <v>0</v>
      </c>
      <c r="I156" s="149">
        <f t="shared" ref="I156:I165" si="19">+IF((E156)=0,,(F156-E156)/E156)</f>
        <v>-5.1787560082367678E-2</v>
      </c>
      <c r="J156" s="271">
        <f t="shared" ref="J156:J165" si="20">+IF((F156)=0,,(H156-F156)/F156)</f>
        <v>-1</v>
      </c>
      <c r="K156" s="18">
        <f>+Grenoble!D157+STMarcelin!D157+PSA!D157</f>
        <v>0</v>
      </c>
      <c r="L156" s="111"/>
    </row>
    <row r="157" spans="1:12" s="2" customFormat="1" ht="11.25">
      <c r="A157" s="5" t="s">
        <v>166</v>
      </c>
      <c r="B157" s="160">
        <f>+Grenoble!$G158</f>
        <v>0</v>
      </c>
      <c r="C157" s="113">
        <f>+STMarcelin!$G158</f>
        <v>0</v>
      </c>
      <c r="D157" s="113">
        <f>+PSA!$G158</f>
        <v>0</v>
      </c>
      <c r="E157" s="160">
        <f>+Grenoble!E158+STMarcelin!E158+PSA!E158</f>
        <v>2281.9699999999998</v>
      </c>
      <c r="F157" s="135">
        <f>+Grenoble!F158+STMarcelin!F158+PSA!F158</f>
        <v>11317.199999999999</v>
      </c>
      <c r="G157" s="135">
        <v>0</v>
      </c>
      <c r="H157" s="161">
        <f>+Grenoble!G158+STMarcelin!G158+PSA!G158</f>
        <v>0</v>
      </c>
      <c r="I157" s="149">
        <f t="shared" si="19"/>
        <v>3.9593991156763675</v>
      </c>
      <c r="J157" s="271">
        <f t="shared" si="20"/>
        <v>-1</v>
      </c>
      <c r="K157" s="18">
        <f>+Grenoble!D158+STMarcelin!D158+PSA!D158</f>
        <v>0</v>
      </c>
      <c r="L157" s="111"/>
    </row>
    <row r="158" spans="1:12" s="2" customFormat="1" ht="11.25">
      <c r="A158" s="5" t="s">
        <v>60</v>
      </c>
      <c r="B158" s="160">
        <f>+Grenoble!$G159</f>
        <v>0</v>
      </c>
      <c r="C158" s="113">
        <f>+STMarcelin!$G159</f>
        <v>0</v>
      </c>
      <c r="D158" s="113">
        <f>+PSA!$G159</f>
        <v>0</v>
      </c>
      <c r="E158" s="160">
        <f>+Grenoble!E159+STMarcelin!E159+PSA!E159</f>
        <v>-7858.25</v>
      </c>
      <c r="F158" s="135">
        <f>+Grenoble!F159+STMarcelin!F159+PSA!F159</f>
        <v>-3923.04</v>
      </c>
      <c r="G158" s="135">
        <v>0</v>
      </c>
      <c r="H158" s="161">
        <f>+Grenoble!G159+STMarcelin!G159+PSA!G159</f>
        <v>0</v>
      </c>
      <c r="I158" s="149">
        <f t="shared" si="19"/>
        <v>-0.50077434543314348</v>
      </c>
      <c r="J158" s="271">
        <f t="shared" si="20"/>
        <v>-1</v>
      </c>
      <c r="K158" s="18">
        <f>+Grenoble!D159+STMarcelin!D159+PSA!D159</f>
        <v>0</v>
      </c>
      <c r="L158" s="111"/>
    </row>
    <row r="159" spans="1:12" s="2" customFormat="1" ht="11.25">
      <c r="A159" s="5" t="s">
        <v>199</v>
      </c>
      <c r="B159" s="160">
        <f>+Grenoble!$G160</f>
        <v>0</v>
      </c>
      <c r="C159" s="113">
        <f>+STMarcelin!$G160</f>
        <v>0</v>
      </c>
      <c r="D159" s="113">
        <f>+PSA!$G160</f>
        <v>0</v>
      </c>
      <c r="E159" s="160">
        <f>+Grenoble!E160+STMarcelin!E160+PSA!E160</f>
        <v>-46.000000000000007</v>
      </c>
      <c r="F159" s="135">
        <f>+Grenoble!F160+STMarcelin!F160+PSA!F160</f>
        <v>-4.5733333333333333</v>
      </c>
      <c r="G159" s="135">
        <v>0</v>
      </c>
      <c r="H159" s="161">
        <f>+Grenoble!G160+STMarcelin!G160+PSA!G160</f>
        <v>0</v>
      </c>
      <c r="I159" s="149">
        <f t="shared" si="19"/>
        <v>-0.90057971014492766</v>
      </c>
      <c r="J159" s="271">
        <f t="shared" si="20"/>
        <v>-1</v>
      </c>
      <c r="K159" s="18">
        <f>+Grenoble!D160+STMarcelin!D160+PSA!D160</f>
        <v>0</v>
      </c>
      <c r="L159" s="111"/>
    </row>
    <row r="160" spans="1:12" s="2" customFormat="1" ht="11.25">
      <c r="A160" s="5" t="s">
        <v>41</v>
      </c>
      <c r="B160" s="160">
        <f>+Grenoble!$G161</f>
        <v>564.60479999999995</v>
      </c>
      <c r="C160" s="113">
        <f>+STMarcelin!$G161</f>
        <v>0</v>
      </c>
      <c r="D160" s="113">
        <f>+PSA!$G161</f>
        <v>1348.3112000000001</v>
      </c>
      <c r="E160" s="160">
        <f>+Grenoble!E161+STMarcelin!E161+PSA!E161</f>
        <v>1681.8400000000001</v>
      </c>
      <c r="F160" s="135">
        <f>+Grenoble!F161+STMarcelin!F161+PSA!F161</f>
        <v>1857.1999999999998</v>
      </c>
      <c r="G160" s="135">
        <v>989.58749820788137</v>
      </c>
      <c r="H160" s="161">
        <f>+Grenoble!G161+STMarcelin!G161+PSA!G161</f>
        <v>1912.9160000000002</v>
      </c>
      <c r="I160" s="149">
        <f t="shared" si="19"/>
        <v>0.10426675545830737</v>
      </c>
      <c r="J160" s="271">
        <f t="shared" si="20"/>
        <v>3.000000000000019E-2</v>
      </c>
      <c r="K160" s="18">
        <f>+Grenoble!D161+STMarcelin!D161+PSA!D161</f>
        <v>989.58749820788137</v>
      </c>
      <c r="L160" s="111"/>
    </row>
    <row r="161" spans="1:12" s="2" customFormat="1" ht="11.25">
      <c r="A161" s="5" t="s">
        <v>355</v>
      </c>
      <c r="B161" s="160">
        <f>+Grenoble!$G162</f>
        <v>42.710666666666668</v>
      </c>
      <c r="C161" s="113">
        <f>+STMarcelin!$G162</f>
        <v>0</v>
      </c>
      <c r="D161" s="113">
        <f>+PSA!$G162</f>
        <v>6.4958666666666671</v>
      </c>
      <c r="E161" s="160">
        <f>+Grenoble!E162+STMarcelin!E162+PSA!E162</f>
        <v>74.589999999999989</v>
      </c>
      <c r="F161" s="135">
        <f>+Grenoble!F162+STMarcelin!F162+PSA!F162</f>
        <v>47.773333333333333</v>
      </c>
      <c r="G161" s="135">
        <v>55.382527898302087</v>
      </c>
      <c r="H161" s="161">
        <f>+Grenoble!G162+STMarcelin!G162+PSA!G162</f>
        <v>49.206533333333333</v>
      </c>
      <c r="I161" s="149">
        <f t="shared" si="19"/>
        <v>-0.35952093667605123</v>
      </c>
      <c r="J161" s="271">
        <f t="shared" si="20"/>
        <v>2.9999999999999985E-2</v>
      </c>
      <c r="K161" s="18">
        <f>+Grenoble!D162+STMarcelin!D162+PSA!D162</f>
        <v>55.382527898302087</v>
      </c>
      <c r="L161" s="111"/>
    </row>
    <row r="162" spans="1:12" s="2" customFormat="1" ht="11.25">
      <c r="A162" s="5" t="s">
        <v>200</v>
      </c>
      <c r="B162" s="160">
        <f>+Grenoble!$G163</f>
        <v>1799.8357333333336</v>
      </c>
      <c r="C162" s="113">
        <f>+STMarcelin!$G163</f>
        <v>0</v>
      </c>
      <c r="D162" s="113">
        <f>+PSA!$G163</f>
        <v>1938.0892000000001</v>
      </c>
      <c r="E162" s="160">
        <f>+Grenoble!E163+STMarcelin!E163+PSA!E163</f>
        <v>1278.67</v>
      </c>
      <c r="F162" s="135">
        <f>+Grenoble!F163+STMarcelin!F163+PSA!F163</f>
        <v>3629.0533333333333</v>
      </c>
      <c r="G162" s="135">
        <v>1391.9402215982448</v>
      </c>
      <c r="H162" s="161">
        <f>+Grenoble!G163+STMarcelin!G163+PSA!G163</f>
        <v>3737.9249333333337</v>
      </c>
      <c r="I162" s="149">
        <f t="shared" si="19"/>
        <v>1.8381469287097789</v>
      </c>
      <c r="J162" s="271">
        <f t="shared" si="20"/>
        <v>3.000000000000011E-2</v>
      </c>
      <c r="K162" s="18">
        <f>+Grenoble!D163+STMarcelin!D163+PSA!D163</f>
        <v>1391.9402215982448</v>
      </c>
      <c r="L162" s="111"/>
    </row>
    <row r="163" spans="1:12" s="2" customFormat="1" ht="11.25">
      <c r="A163" s="5" t="s">
        <v>271</v>
      </c>
      <c r="B163" s="160">
        <f>+Grenoble!$G164</f>
        <v>-88.58</v>
      </c>
      <c r="C163" s="113">
        <f>+STMarcelin!$G164</f>
        <v>0</v>
      </c>
      <c r="D163" s="113">
        <f>+PSA!$G164</f>
        <v>-94.76</v>
      </c>
      <c r="E163" s="160">
        <f>+Grenoble!E164+STMarcelin!E164+PSA!E164</f>
        <v>-261.7</v>
      </c>
      <c r="F163" s="135">
        <f>+Grenoble!F164+STMarcelin!F164+PSA!F164</f>
        <v>-178</v>
      </c>
      <c r="G163" s="135">
        <v>-194.04229112558335</v>
      </c>
      <c r="H163" s="161">
        <f>+Grenoble!G164+STMarcelin!G164+PSA!G164</f>
        <v>-183.34</v>
      </c>
      <c r="I163" s="149">
        <f t="shared" si="19"/>
        <v>-0.31983186855177681</v>
      </c>
      <c r="J163" s="271">
        <f t="shared" si="20"/>
        <v>3.000000000000002E-2</v>
      </c>
      <c r="K163" s="18">
        <f>+Grenoble!D164+STMarcelin!D164+PSA!D164</f>
        <v>-194.04229112558335</v>
      </c>
      <c r="L163" s="111"/>
    </row>
    <row r="164" spans="1:12" s="2" customFormat="1" ht="11.25">
      <c r="A164" s="5" t="s">
        <v>242</v>
      </c>
      <c r="B164" s="160">
        <f>+Grenoble!$G165</f>
        <v>585.04</v>
      </c>
      <c r="C164" s="113">
        <f>+STMarcelin!$G165</f>
        <v>12.36</v>
      </c>
      <c r="D164" s="113">
        <f>+PSA!$G165</f>
        <v>323.14533333333338</v>
      </c>
      <c r="E164" s="160">
        <f>+Grenoble!E165+STMarcelin!E165+PSA!E165</f>
        <v>716.4</v>
      </c>
      <c r="F164" s="135">
        <f>+Grenoble!F165+STMarcelin!F165+PSA!F165</f>
        <v>893.73333333333335</v>
      </c>
      <c r="G164" s="135">
        <v>657.12677131280623</v>
      </c>
      <c r="H164" s="161">
        <f>+Grenoble!G165+STMarcelin!G165+PSA!G165</f>
        <v>920.54533333333336</v>
      </c>
      <c r="I164" s="149">
        <f t="shared" si="19"/>
        <v>0.24753396612693102</v>
      </c>
      <c r="J164" s="271">
        <f t="shared" si="20"/>
        <v>3.0000000000000013E-2</v>
      </c>
      <c r="K164" s="18">
        <f>+Grenoble!D165+STMarcelin!D165+PSA!D165</f>
        <v>657.12677131280623</v>
      </c>
      <c r="L164" s="111"/>
    </row>
    <row r="165" spans="1:12" s="2" customFormat="1" ht="11.25">
      <c r="A165" s="5" t="s">
        <v>201</v>
      </c>
      <c r="B165" s="160">
        <f>+Grenoble!$G166</f>
        <v>0</v>
      </c>
      <c r="C165" s="113">
        <f>+STMarcelin!$G166</f>
        <v>0</v>
      </c>
      <c r="D165" s="113">
        <f>+PSA!$G166</f>
        <v>0</v>
      </c>
      <c r="E165" s="160">
        <f>+Grenoble!E166+STMarcelin!E166+PSA!E166</f>
        <v>0</v>
      </c>
      <c r="F165" s="135">
        <f>+Grenoble!F166+STMarcelin!F166+PSA!F166</f>
        <v>0</v>
      </c>
      <c r="G165" s="135">
        <v>-10.697408333333335</v>
      </c>
      <c r="H165" s="161">
        <f>+Grenoble!G166+STMarcelin!G166+PSA!G166</f>
        <v>0</v>
      </c>
      <c r="I165" s="149">
        <f t="shared" si="19"/>
        <v>0</v>
      </c>
      <c r="J165" s="271">
        <f t="shared" si="20"/>
        <v>0</v>
      </c>
      <c r="K165" s="18">
        <f>+Grenoble!D166+STMarcelin!D166+PSA!D166</f>
        <v>-10.697408333333335</v>
      </c>
      <c r="L165" s="111"/>
    </row>
    <row r="166" spans="1:12" s="2" customFormat="1" ht="11.25">
      <c r="A166" s="5"/>
      <c r="B166" s="160"/>
      <c r="C166" s="113"/>
      <c r="D166" s="113"/>
      <c r="E166" s="160"/>
      <c r="F166" s="143"/>
      <c r="G166" s="143"/>
      <c r="H166" s="162"/>
      <c r="I166" s="149"/>
      <c r="J166" s="254"/>
      <c r="K166" s="18"/>
      <c r="L166" s="111"/>
    </row>
    <row r="167" spans="1:12" s="2" customFormat="1" ht="11.25">
      <c r="A167" s="13" t="s">
        <v>74</v>
      </c>
      <c r="B167" s="163">
        <f t="shared" ref="B167:H167" si="21">SUM(B154:B166)</f>
        <v>30230.676690900007</v>
      </c>
      <c r="C167" s="204">
        <f t="shared" si="21"/>
        <v>2440.6587489000003</v>
      </c>
      <c r="D167" s="204">
        <f t="shared" si="21"/>
        <v>32276.093518000005</v>
      </c>
      <c r="E167" s="163">
        <f>SUM(E154:E166)</f>
        <v>33201.99</v>
      </c>
      <c r="F167" s="136">
        <f>SUM(F154:F166)</f>
        <v>44204.533333333318</v>
      </c>
      <c r="G167" s="136">
        <v>64011.61667330833</v>
      </c>
      <c r="H167" s="168">
        <f t="shared" si="21"/>
        <v>64947.428957800017</v>
      </c>
      <c r="I167" s="272">
        <f>+IF((E167)=0,,(F167-E167)/E167)</f>
        <v>0.33138204467061527</v>
      </c>
      <c r="J167" s="188">
        <f>+IF((F167)=0,,(H167-F167)/F167)</f>
        <v>0.46924815308083123</v>
      </c>
      <c r="K167" s="305">
        <f>SUM(K154:K166)</f>
        <v>61870.495342018316</v>
      </c>
      <c r="L167" s="111"/>
    </row>
    <row r="168" spans="1:12" s="2" customFormat="1" ht="11.25">
      <c r="A168" s="5"/>
      <c r="B168" s="160"/>
      <c r="C168" s="113"/>
      <c r="D168" s="113"/>
      <c r="E168" s="160"/>
      <c r="F168" s="143"/>
      <c r="G168" s="143"/>
      <c r="H168" s="162"/>
      <c r="I168" s="149"/>
      <c r="J168" s="271"/>
      <c r="K168" s="18"/>
      <c r="L168" s="111"/>
    </row>
    <row r="169" spans="1:12" s="2" customFormat="1" ht="11.25">
      <c r="A169" s="5" t="s">
        <v>167</v>
      </c>
      <c r="B169" s="160">
        <f>+Grenoble!$G170</f>
        <v>0</v>
      </c>
      <c r="C169" s="113">
        <f>+STMarcelin!$G170</f>
        <v>0</v>
      </c>
      <c r="D169" s="113">
        <f>+PSA!$G170</f>
        <v>0</v>
      </c>
      <c r="E169" s="160">
        <f>+Grenoble!E170+STMarcelin!E170+PSA!E170</f>
        <v>0</v>
      </c>
      <c r="F169" s="135">
        <f>+Grenoble!F170+STMarcelin!F170+PSA!F170</f>
        <v>0</v>
      </c>
      <c r="G169" s="135">
        <v>0</v>
      </c>
      <c r="H169" s="161">
        <f>+Grenoble!G170+STMarcelin!G170+PSA!G170</f>
        <v>0</v>
      </c>
      <c r="I169" s="149">
        <f>+IF((E169)=0,,(F169-E169)/E169)</f>
        <v>0</v>
      </c>
      <c r="J169" s="271">
        <f>+IF((F169)=0,,(H169-F169)/F169)</f>
        <v>0</v>
      </c>
      <c r="K169" s="18">
        <f>+Grenoble!D170+STMarcelin!D170+PSA!D170</f>
        <v>0</v>
      </c>
      <c r="L169" s="111"/>
    </row>
    <row r="170" spans="1:12" s="2" customFormat="1" ht="11.25">
      <c r="A170" s="5" t="s">
        <v>168</v>
      </c>
      <c r="B170" s="160">
        <f>+Grenoble!$G171</f>
        <v>0</v>
      </c>
      <c r="C170" s="113">
        <f>+STMarcelin!$G171</f>
        <v>0</v>
      </c>
      <c r="D170" s="113">
        <f>+PSA!$G171</f>
        <v>0</v>
      </c>
      <c r="E170" s="160">
        <f>+Grenoble!E171+STMarcelin!E171+PSA!E171</f>
        <v>849.37</v>
      </c>
      <c r="F170" s="135">
        <f>+Grenoble!F171+STMarcelin!F171+PSA!F171</f>
        <v>0</v>
      </c>
      <c r="G170" s="135">
        <v>972.04564113166668</v>
      </c>
      <c r="H170" s="161">
        <f>+Grenoble!G171+STMarcelin!G171+PSA!G171</f>
        <v>0</v>
      </c>
      <c r="I170" s="149">
        <f t="shared" ref="I170:I182" si="22">+IF((E170)=0,,(F170-E170)/E170)</f>
        <v>-1</v>
      </c>
      <c r="J170" s="271">
        <f t="shared" ref="J170:J182" si="23">+IF((F170)=0,,(H170-F170)/F170)</f>
        <v>0</v>
      </c>
      <c r="K170" s="18">
        <f>+Grenoble!D171+STMarcelin!D171+PSA!D171</f>
        <v>972.04564113166668</v>
      </c>
      <c r="L170" s="111"/>
    </row>
    <row r="171" spans="1:12" s="2" customFormat="1" ht="11.25">
      <c r="A171" s="5" t="s">
        <v>169</v>
      </c>
      <c r="B171" s="160">
        <f>+Grenoble!$G172</f>
        <v>0</v>
      </c>
      <c r="C171" s="113">
        <f>+STMarcelin!$G172</f>
        <v>0</v>
      </c>
      <c r="D171" s="113">
        <f>+PSA!$G172</f>
        <v>0</v>
      </c>
      <c r="E171" s="160">
        <f>+Grenoble!E172+STMarcelin!E172+PSA!E172</f>
        <v>0</v>
      </c>
      <c r="F171" s="135">
        <f>+Grenoble!F172+STMarcelin!F172+PSA!F172</f>
        <v>0</v>
      </c>
      <c r="G171" s="135">
        <v>0</v>
      </c>
      <c r="H171" s="161">
        <f>+Grenoble!G172+STMarcelin!G172+PSA!G172</f>
        <v>0</v>
      </c>
      <c r="I171" s="149">
        <f t="shared" si="22"/>
        <v>0</v>
      </c>
      <c r="J171" s="271">
        <f t="shared" si="23"/>
        <v>0</v>
      </c>
      <c r="K171" s="18">
        <f>+Grenoble!D172+STMarcelin!D172+PSA!D172</f>
        <v>0</v>
      </c>
      <c r="L171" s="111"/>
    </row>
    <row r="172" spans="1:12" s="2" customFormat="1" ht="11.25">
      <c r="A172" s="5" t="s">
        <v>170</v>
      </c>
      <c r="B172" s="160">
        <f>+Grenoble!$G173</f>
        <v>399.29666666666668</v>
      </c>
      <c r="C172" s="113">
        <f>+STMarcelin!$G173</f>
        <v>672.48013333333347</v>
      </c>
      <c r="D172" s="113">
        <f>+PSA!$G173</f>
        <v>7974.6308000000008</v>
      </c>
      <c r="E172" s="160">
        <f>+Grenoble!E173+STMarcelin!E173+PSA!E173</f>
        <v>5520.49</v>
      </c>
      <c r="F172" s="135">
        <f>+Grenoble!F173+STMarcelin!F173+PSA!F173</f>
        <v>8782.92</v>
      </c>
      <c r="G172" s="135">
        <v>4030.8020000000001</v>
      </c>
      <c r="H172" s="161">
        <f>+Grenoble!G173+STMarcelin!G173+PSA!G173</f>
        <v>9046.4076000000005</v>
      </c>
      <c r="I172" s="149">
        <f t="shared" si="22"/>
        <v>0.59096746846747306</v>
      </c>
      <c r="J172" s="271">
        <f t="shared" si="23"/>
        <v>3.0000000000000044E-2</v>
      </c>
      <c r="K172" s="18">
        <f>+Grenoble!D173+STMarcelin!D173+PSA!D173</f>
        <v>4030.8020000000001</v>
      </c>
      <c r="L172" s="111"/>
    </row>
    <row r="173" spans="1:12" s="2" customFormat="1" ht="11.25">
      <c r="A173" s="5" t="s">
        <v>171</v>
      </c>
      <c r="B173" s="160">
        <f>+Grenoble!$G174</f>
        <v>0</v>
      </c>
      <c r="C173" s="113">
        <f>+STMarcelin!$G174</f>
        <v>0</v>
      </c>
      <c r="D173" s="113">
        <f>+PSA!$G174</f>
        <v>0</v>
      </c>
      <c r="E173" s="160">
        <f>+Grenoble!E174+STMarcelin!E174+PSA!E174</f>
        <v>0</v>
      </c>
      <c r="F173" s="135">
        <f>+Grenoble!F174+STMarcelin!F174+PSA!F174</f>
        <v>0</v>
      </c>
      <c r="G173" s="135">
        <v>0</v>
      </c>
      <c r="H173" s="161">
        <f>+Grenoble!G174+STMarcelin!G174+PSA!G174</f>
        <v>0</v>
      </c>
      <c r="I173" s="149">
        <f t="shared" si="22"/>
        <v>0</v>
      </c>
      <c r="J173" s="271">
        <f t="shared" si="23"/>
        <v>0</v>
      </c>
      <c r="K173" s="18">
        <f>+Grenoble!D174+STMarcelin!D174+PSA!D174</f>
        <v>0</v>
      </c>
      <c r="L173" s="111"/>
    </row>
    <row r="174" spans="1:12" s="2" customFormat="1" ht="11.25">
      <c r="A174" s="5" t="s">
        <v>308</v>
      </c>
      <c r="B174" s="160">
        <f>+Grenoble!$G175</f>
        <v>0</v>
      </c>
      <c r="C174" s="113">
        <f>+STMarcelin!$G175</f>
        <v>0</v>
      </c>
      <c r="D174" s="113">
        <f>+PSA!$G175</f>
        <v>0</v>
      </c>
      <c r="E174" s="160">
        <f>+Grenoble!E175+STMarcelin!E175+PSA!E175</f>
        <v>0</v>
      </c>
      <c r="F174" s="135">
        <f>+Grenoble!F175+STMarcelin!F175+PSA!F175</f>
        <v>0</v>
      </c>
      <c r="G174" s="135">
        <v>0</v>
      </c>
      <c r="H174" s="161">
        <f>+Grenoble!G175+STMarcelin!G175+PSA!G175</f>
        <v>0</v>
      </c>
      <c r="I174" s="149">
        <f t="shared" si="22"/>
        <v>0</v>
      </c>
      <c r="J174" s="271">
        <f t="shared" si="23"/>
        <v>0</v>
      </c>
      <c r="K174" s="18">
        <f>+Grenoble!D175+STMarcelin!D175+PSA!D175</f>
        <v>0</v>
      </c>
      <c r="L174" s="111"/>
    </row>
    <row r="175" spans="1:12" s="2" customFormat="1" ht="11.25">
      <c r="A175" s="5" t="s">
        <v>172</v>
      </c>
      <c r="B175" s="160">
        <f>+Grenoble!$G176</f>
        <v>0</v>
      </c>
      <c r="C175" s="113">
        <f>+STMarcelin!$G176</f>
        <v>0</v>
      </c>
      <c r="D175" s="113">
        <f>+PSA!$G176</f>
        <v>0</v>
      </c>
      <c r="E175" s="160">
        <f>+Grenoble!E176+STMarcelin!E176+PSA!E176</f>
        <v>366.22</v>
      </c>
      <c r="F175" s="135">
        <f>+Grenoble!F176+STMarcelin!F176+PSA!F176</f>
        <v>0</v>
      </c>
      <c r="G175" s="135">
        <v>0</v>
      </c>
      <c r="H175" s="161">
        <f>+Grenoble!G176+STMarcelin!G176+PSA!G176</f>
        <v>0</v>
      </c>
      <c r="I175" s="149">
        <f t="shared" si="22"/>
        <v>-1</v>
      </c>
      <c r="J175" s="271">
        <f t="shared" si="23"/>
        <v>0</v>
      </c>
      <c r="K175" s="18">
        <f>+Grenoble!D176+STMarcelin!D176+PSA!D176</f>
        <v>0</v>
      </c>
      <c r="L175" s="111"/>
    </row>
    <row r="176" spans="1:12" s="2" customFormat="1" ht="11.25">
      <c r="A176" s="5" t="s">
        <v>173</v>
      </c>
      <c r="B176" s="160">
        <f>+Grenoble!$G177</f>
        <v>0</v>
      </c>
      <c r="C176" s="113">
        <f>+STMarcelin!$G177</f>
        <v>0</v>
      </c>
      <c r="D176" s="113">
        <f>+PSA!$G177</f>
        <v>0</v>
      </c>
      <c r="E176" s="160">
        <f>+Grenoble!E177+STMarcelin!E177+PSA!E177</f>
        <v>0</v>
      </c>
      <c r="F176" s="135">
        <f>+Grenoble!F177+STMarcelin!F177+PSA!F177</f>
        <v>0</v>
      </c>
      <c r="G176" s="135">
        <v>0</v>
      </c>
      <c r="H176" s="161">
        <f>+Grenoble!G177+STMarcelin!G177+PSA!G177</f>
        <v>0</v>
      </c>
      <c r="I176" s="149">
        <f t="shared" si="22"/>
        <v>0</v>
      </c>
      <c r="J176" s="271">
        <f t="shared" si="23"/>
        <v>0</v>
      </c>
      <c r="K176" s="18">
        <f>+Grenoble!D177+STMarcelin!D177+PSA!D177</f>
        <v>0</v>
      </c>
      <c r="L176" s="111"/>
    </row>
    <row r="177" spans="1:12" s="2" customFormat="1" ht="11.25">
      <c r="A177" s="5" t="s">
        <v>174</v>
      </c>
      <c r="B177" s="160">
        <f>+Grenoble!$G178</f>
        <v>0</v>
      </c>
      <c r="C177" s="113">
        <f>+STMarcelin!$G178</f>
        <v>0</v>
      </c>
      <c r="D177" s="113">
        <f>+PSA!$G178</f>
        <v>0</v>
      </c>
      <c r="E177" s="160">
        <f>+Grenoble!E178+STMarcelin!E178+PSA!E178</f>
        <v>0.89</v>
      </c>
      <c r="F177" s="135">
        <f>+Grenoble!F178+STMarcelin!F178+PSA!F178</f>
        <v>0</v>
      </c>
      <c r="G177" s="135">
        <v>0</v>
      </c>
      <c r="H177" s="161">
        <f>+Grenoble!G178+STMarcelin!G178+PSA!G178</f>
        <v>0</v>
      </c>
      <c r="I177" s="149">
        <f t="shared" si="22"/>
        <v>-1</v>
      </c>
      <c r="J177" s="271">
        <f t="shared" si="23"/>
        <v>0</v>
      </c>
      <c r="K177" s="18">
        <f>+Grenoble!D178+STMarcelin!D178+PSA!D178</f>
        <v>0</v>
      </c>
      <c r="L177" s="111"/>
    </row>
    <row r="178" spans="1:12" s="2" customFormat="1" ht="11.25">
      <c r="A178" s="5" t="s">
        <v>175</v>
      </c>
      <c r="B178" s="160">
        <f>+Grenoble!$G179</f>
        <v>10161.720000000001</v>
      </c>
      <c r="C178" s="113">
        <f>+STMarcelin!$G179</f>
        <v>2713.58</v>
      </c>
      <c r="D178" s="113">
        <f>+PSA!$G179</f>
        <v>10475.450000000001</v>
      </c>
      <c r="E178" s="160">
        <f>+Grenoble!E179+STMarcelin!E179+PSA!E179</f>
        <v>23748.879999999997</v>
      </c>
      <c r="F178" s="135">
        <f>+Grenoble!F179+STMarcelin!F179+PSA!F179</f>
        <v>20354.71</v>
      </c>
      <c r="G178" s="135">
        <v>38162.472777777781</v>
      </c>
      <c r="H178" s="161">
        <f>+Grenoble!G179+STMarcelin!G179+PSA!G179</f>
        <v>23350.75</v>
      </c>
      <c r="I178" s="149">
        <f t="shared" si="22"/>
        <v>-0.14291916081937331</v>
      </c>
      <c r="J178" s="271">
        <f t="shared" si="23"/>
        <v>0.14719148541050209</v>
      </c>
      <c r="K178" s="18">
        <f>+Grenoble!D179+STMarcelin!D179+PSA!D179</f>
        <v>20600</v>
      </c>
      <c r="L178" s="111"/>
    </row>
    <row r="179" spans="1:12" s="2" customFormat="1" ht="11.25">
      <c r="A179" s="5" t="s">
        <v>78</v>
      </c>
      <c r="B179" s="160">
        <f>+Grenoble!$G180</f>
        <v>0</v>
      </c>
      <c r="C179" s="113">
        <f>+STMarcelin!$G180</f>
        <v>0</v>
      </c>
      <c r="D179" s="113">
        <f>+PSA!$G180</f>
        <v>0</v>
      </c>
      <c r="E179" s="160">
        <f>+Grenoble!E180+STMarcelin!E180+PSA!E180</f>
        <v>967.9</v>
      </c>
      <c r="F179" s="135">
        <f>+Grenoble!F180+STMarcelin!F180+PSA!F180</f>
        <v>0</v>
      </c>
      <c r="G179" s="135">
        <v>0</v>
      </c>
      <c r="H179" s="161">
        <f>+Grenoble!G180+STMarcelin!G180+PSA!G180</f>
        <v>0</v>
      </c>
      <c r="I179" s="149">
        <f t="shared" si="22"/>
        <v>-1</v>
      </c>
      <c r="J179" s="271">
        <f t="shared" si="23"/>
        <v>0</v>
      </c>
      <c r="K179" s="18">
        <f>+Grenoble!D180+STMarcelin!D180+PSA!D180</f>
        <v>0</v>
      </c>
      <c r="L179" s="111"/>
    </row>
    <row r="180" spans="1:12" s="2" customFormat="1" ht="11.25">
      <c r="A180" s="5" t="s">
        <v>327</v>
      </c>
      <c r="B180" s="160">
        <f>+Grenoble!$G181</f>
        <v>0</v>
      </c>
      <c r="C180" s="113">
        <f>+STMarcelin!$G181</f>
        <v>0</v>
      </c>
      <c r="D180" s="113">
        <f>+PSA!$G181</f>
        <v>0</v>
      </c>
      <c r="E180" s="160">
        <f>+Grenoble!E181+STMarcelin!E181+PSA!E181</f>
        <v>0</v>
      </c>
      <c r="F180" s="135">
        <f>+Grenoble!F181+STMarcelin!F181+PSA!F181</f>
        <v>0</v>
      </c>
      <c r="G180" s="135">
        <v>0</v>
      </c>
      <c r="H180" s="161">
        <f>+Grenoble!G181+STMarcelin!G181+PSA!G181</f>
        <v>0</v>
      </c>
      <c r="I180" s="149">
        <f t="shared" si="22"/>
        <v>0</v>
      </c>
      <c r="J180" s="271">
        <f t="shared" si="23"/>
        <v>0</v>
      </c>
      <c r="K180" s="18">
        <f>+Grenoble!D181+STMarcelin!D181+PSA!D181</f>
        <v>0</v>
      </c>
      <c r="L180" s="111"/>
    </row>
    <row r="181" spans="1:12" s="2" customFormat="1" ht="11.25">
      <c r="A181" s="5" t="s">
        <v>82</v>
      </c>
      <c r="B181" s="160">
        <f>+Grenoble!$G182</f>
        <v>0</v>
      </c>
      <c r="C181" s="113">
        <f>+STMarcelin!$G182</f>
        <v>0</v>
      </c>
      <c r="D181" s="113">
        <f>+PSA!$G182</f>
        <v>0</v>
      </c>
      <c r="E181" s="160">
        <f>+Grenoble!E182+STMarcelin!E182+PSA!E182</f>
        <v>0</v>
      </c>
      <c r="F181" s="135">
        <f>+Grenoble!F182+STMarcelin!F182+PSA!F182</f>
        <v>0</v>
      </c>
      <c r="G181" s="135">
        <v>0</v>
      </c>
      <c r="H181" s="161">
        <f>+Grenoble!G182+STMarcelin!G182+PSA!G182</f>
        <v>0</v>
      </c>
      <c r="I181" s="149">
        <f t="shared" si="22"/>
        <v>0</v>
      </c>
      <c r="J181" s="271">
        <f t="shared" si="23"/>
        <v>0</v>
      </c>
      <c r="K181" s="18">
        <f>+Grenoble!D182+STMarcelin!D182+PSA!D182</f>
        <v>0</v>
      </c>
      <c r="L181" s="111"/>
    </row>
    <row r="182" spans="1:12" s="2" customFormat="1" ht="11.25">
      <c r="A182" s="5" t="s">
        <v>331</v>
      </c>
      <c r="B182" s="160">
        <f>+Grenoble!$G183</f>
        <v>0</v>
      </c>
      <c r="C182" s="113">
        <f>+STMarcelin!$G183</f>
        <v>0</v>
      </c>
      <c r="D182" s="113">
        <f>+PSA!$G183</f>
        <v>0</v>
      </c>
      <c r="E182" s="160">
        <f>+Grenoble!E183+STMarcelin!E183+PSA!E183</f>
        <v>1200</v>
      </c>
      <c r="F182" s="135">
        <f>+Grenoble!F183+STMarcelin!F183+PSA!F183</f>
        <v>0</v>
      </c>
      <c r="G182" s="135">
        <v>0</v>
      </c>
      <c r="H182" s="161">
        <f>+Grenoble!G183+STMarcelin!G183+PSA!G183</f>
        <v>0</v>
      </c>
      <c r="I182" s="149">
        <f t="shared" si="22"/>
        <v>-1</v>
      </c>
      <c r="J182" s="271">
        <f t="shared" si="23"/>
        <v>0</v>
      </c>
      <c r="K182" s="18">
        <f>+Grenoble!D183+STMarcelin!D183+PSA!D183</f>
        <v>0</v>
      </c>
      <c r="L182" s="111"/>
    </row>
    <row r="183" spans="1:12" s="2" customFormat="1" ht="11.25">
      <c r="A183" s="5"/>
      <c r="B183" s="160"/>
      <c r="C183" s="113"/>
      <c r="D183" s="113"/>
      <c r="E183" s="160"/>
      <c r="F183" s="143"/>
      <c r="G183" s="143"/>
      <c r="H183" s="162"/>
      <c r="I183" s="149"/>
      <c r="J183" s="254"/>
      <c r="K183" s="18"/>
      <c r="L183" s="111"/>
    </row>
    <row r="184" spans="1:12" s="2" customFormat="1" ht="11.25">
      <c r="A184" s="13" t="s">
        <v>178</v>
      </c>
      <c r="B184" s="163">
        <f t="shared" ref="B184:H184" si="24">SUM(B168:B183)</f>
        <v>10561.016666666668</v>
      </c>
      <c r="C184" s="204">
        <f t="shared" si="24"/>
        <v>3386.0601333333334</v>
      </c>
      <c r="D184" s="204">
        <f t="shared" si="24"/>
        <v>18450.080800000003</v>
      </c>
      <c r="E184" s="280">
        <f>SUM(E168:E183)</f>
        <v>32653.75</v>
      </c>
      <c r="F184" s="136">
        <f>SUM(F168:F183)</f>
        <v>29137.629999999997</v>
      </c>
      <c r="G184" s="136">
        <v>43165.320418909447</v>
      </c>
      <c r="H184" s="118">
        <f t="shared" si="24"/>
        <v>32397.157599999999</v>
      </c>
      <c r="I184" s="272">
        <f>+IF((E184)=0,,(F184-E184)/E184)</f>
        <v>-0.10767890364812625</v>
      </c>
      <c r="J184" s="188">
        <f>+IF((F184)=0,,(H184-F184)/F184)</f>
        <v>0.11186659999457751</v>
      </c>
      <c r="K184" s="312">
        <f>SUM(K168:K183)</f>
        <v>25602.847641131666</v>
      </c>
      <c r="L184" s="111"/>
    </row>
    <row r="185" spans="1:12" s="2" customFormat="1" ht="11.25">
      <c r="A185" s="5"/>
      <c r="B185" s="160"/>
      <c r="C185" s="113"/>
      <c r="D185" s="113"/>
      <c r="E185" s="160"/>
      <c r="F185" s="143"/>
      <c r="G185" s="143"/>
      <c r="H185" s="162"/>
      <c r="I185" s="149"/>
      <c r="J185" s="271"/>
      <c r="K185" s="18"/>
      <c r="L185" s="111"/>
    </row>
    <row r="186" spans="1:12" s="2" customFormat="1" ht="11.25">
      <c r="A186" s="5" t="s">
        <v>179</v>
      </c>
      <c r="B186" s="160">
        <f>+Grenoble!$G187</f>
        <v>0</v>
      </c>
      <c r="C186" s="113">
        <f>+STMarcelin!$G187</f>
        <v>0</v>
      </c>
      <c r="D186" s="113">
        <f>+PSA!$G187</f>
        <v>0</v>
      </c>
      <c r="E186" s="160">
        <f>+Grenoble!E187+STMarcelin!E187+PSA!E187</f>
        <v>0</v>
      </c>
      <c r="F186" s="135">
        <f>+Grenoble!F187+STMarcelin!F187+PSA!F187</f>
        <v>1600</v>
      </c>
      <c r="G186" s="135">
        <v>0</v>
      </c>
      <c r="H186" s="161">
        <f>+Grenoble!G187+STMarcelin!G187+PSA!G187</f>
        <v>0</v>
      </c>
      <c r="I186" s="149">
        <f>+IF((E186)=0,,(F186-E186)/E186)</f>
        <v>0</v>
      </c>
      <c r="J186" s="271">
        <f>+IF((F186)=0,,(H186-F186)/F186)</f>
        <v>-1</v>
      </c>
      <c r="K186" s="18">
        <f>+Grenoble!D187+STMarcelin!D187+PSA!D187</f>
        <v>0</v>
      </c>
      <c r="L186" s="111"/>
    </row>
    <row r="187" spans="1:12" s="2" customFormat="1" ht="11.25">
      <c r="A187" s="5" t="s">
        <v>167</v>
      </c>
      <c r="B187" s="160">
        <f>+Grenoble!$G188</f>
        <v>0</v>
      </c>
      <c r="C187" s="113">
        <f>+STMarcelin!$G188</f>
        <v>0</v>
      </c>
      <c r="D187" s="113">
        <f>+PSA!$G188</f>
        <v>0</v>
      </c>
      <c r="E187" s="160">
        <f>+Grenoble!E188+STMarcelin!E188+PSA!E188</f>
        <v>0</v>
      </c>
      <c r="F187" s="135">
        <f>+Grenoble!F188+STMarcelin!F188+PSA!F188</f>
        <v>0</v>
      </c>
      <c r="G187" s="135">
        <v>0</v>
      </c>
      <c r="H187" s="161">
        <f>+Grenoble!G188+STMarcelin!G188+PSA!G188</f>
        <v>0</v>
      </c>
      <c r="I187" s="149">
        <f t="shared" ref="I187:I198" si="25">+IF((E187)=0,,(F187-E187)/E187)</f>
        <v>0</v>
      </c>
      <c r="J187" s="271">
        <f t="shared" ref="J187:J198" si="26">+IF((F187)=0,,(H187-F187)/F187)</f>
        <v>0</v>
      </c>
      <c r="K187" s="18">
        <f>+Grenoble!D188+STMarcelin!D188+PSA!D188</f>
        <v>0</v>
      </c>
      <c r="L187" s="111"/>
    </row>
    <row r="188" spans="1:12" s="2" customFormat="1" ht="11.25">
      <c r="A188" s="5" t="s">
        <v>180</v>
      </c>
      <c r="B188" s="160">
        <f>+Grenoble!$G189</f>
        <v>0</v>
      </c>
      <c r="C188" s="113">
        <f>+STMarcelin!$G189</f>
        <v>0</v>
      </c>
      <c r="D188" s="113">
        <f>+PSA!$G189</f>
        <v>0</v>
      </c>
      <c r="E188" s="160">
        <f>+Grenoble!E189+STMarcelin!E189+PSA!E189</f>
        <v>9758.64</v>
      </c>
      <c r="F188" s="135">
        <f>+Grenoble!F189+STMarcelin!F189+PSA!F189</f>
        <v>9631.6933333333345</v>
      </c>
      <c r="G188" s="135">
        <v>0</v>
      </c>
      <c r="H188" s="161">
        <f>+Grenoble!G189+STMarcelin!G189+PSA!G189</f>
        <v>0</v>
      </c>
      <c r="I188" s="149">
        <f t="shared" si="25"/>
        <v>-1.3008643280894152E-2</v>
      </c>
      <c r="J188" s="271">
        <f t="shared" si="26"/>
        <v>-1</v>
      </c>
      <c r="K188" s="18">
        <f>+Grenoble!D189+STMarcelin!D189+PSA!D189</f>
        <v>0</v>
      </c>
      <c r="L188" s="111"/>
    </row>
    <row r="189" spans="1:12" s="2" customFormat="1" ht="11.25">
      <c r="A189" s="5" t="s">
        <v>181</v>
      </c>
      <c r="B189" s="160">
        <f>+Grenoble!$G190</f>
        <v>0</v>
      </c>
      <c r="C189" s="113">
        <f>+STMarcelin!$G190</f>
        <v>0</v>
      </c>
      <c r="D189" s="113">
        <f>+PSA!$G190</f>
        <v>0</v>
      </c>
      <c r="E189" s="160">
        <f>+Grenoble!E190+STMarcelin!E190+PSA!E190</f>
        <v>0</v>
      </c>
      <c r="F189" s="135">
        <f>+Grenoble!F190+STMarcelin!F190+PSA!F190</f>
        <v>0</v>
      </c>
      <c r="G189" s="135">
        <v>0</v>
      </c>
      <c r="H189" s="161">
        <f>+Grenoble!G190+STMarcelin!G190+PSA!G190</f>
        <v>0</v>
      </c>
      <c r="I189" s="149">
        <f t="shared" si="25"/>
        <v>0</v>
      </c>
      <c r="J189" s="271">
        <f t="shared" si="26"/>
        <v>0</v>
      </c>
      <c r="K189" s="18">
        <f>+Grenoble!D190+STMarcelin!D190+PSA!D190</f>
        <v>0</v>
      </c>
      <c r="L189" s="111"/>
    </row>
    <row r="190" spans="1:12" s="2" customFormat="1" ht="11.25">
      <c r="A190" s="5" t="s">
        <v>182</v>
      </c>
      <c r="B190" s="160">
        <f>+Grenoble!$G191</f>
        <v>0</v>
      </c>
      <c r="C190" s="113">
        <f>+STMarcelin!$G191</f>
        <v>0</v>
      </c>
      <c r="D190" s="113">
        <f>+PSA!$G191</f>
        <v>0</v>
      </c>
      <c r="E190" s="160">
        <f>+Grenoble!E191+STMarcelin!E191+PSA!E191</f>
        <v>0</v>
      </c>
      <c r="F190" s="135">
        <f>+Grenoble!F191+STMarcelin!F191+PSA!F191</f>
        <v>0</v>
      </c>
      <c r="G190" s="135">
        <v>0</v>
      </c>
      <c r="H190" s="161">
        <f>+Grenoble!G191+STMarcelin!G191+PSA!G191</f>
        <v>0</v>
      </c>
      <c r="I190" s="149">
        <f t="shared" si="25"/>
        <v>0</v>
      </c>
      <c r="J190" s="271">
        <f t="shared" si="26"/>
        <v>0</v>
      </c>
      <c r="K190" s="18">
        <f>+Grenoble!D191+STMarcelin!D191+PSA!D191</f>
        <v>0</v>
      </c>
      <c r="L190" s="111"/>
    </row>
    <row r="191" spans="1:12" s="2" customFormat="1" ht="11.25">
      <c r="A191" s="5" t="s">
        <v>183</v>
      </c>
      <c r="B191" s="160">
        <f>+Grenoble!$G192</f>
        <v>0</v>
      </c>
      <c r="C191" s="113">
        <f>+STMarcelin!$G192</f>
        <v>0</v>
      </c>
      <c r="D191" s="113">
        <f>+PSA!$G192</f>
        <v>0</v>
      </c>
      <c r="E191" s="160">
        <f>+Grenoble!E192+STMarcelin!E192+PSA!E192</f>
        <v>0</v>
      </c>
      <c r="F191" s="135">
        <f>+Grenoble!F192+STMarcelin!F192+PSA!F192</f>
        <v>0</v>
      </c>
      <c r="G191" s="135">
        <v>0</v>
      </c>
      <c r="H191" s="161">
        <f>+Grenoble!G192+STMarcelin!G192+PSA!G192</f>
        <v>0</v>
      </c>
      <c r="I191" s="149">
        <f t="shared" si="25"/>
        <v>0</v>
      </c>
      <c r="J191" s="271">
        <f t="shared" si="26"/>
        <v>0</v>
      </c>
      <c r="K191" s="18">
        <f>+Grenoble!D192+STMarcelin!D192+PSA!D192</f>
        <v>0</v>
      </c>
      <c r="L191" s="111"/>
    </row>
    <row r="192" spans="1:12" s="2" customFormat="1" ht="11.25">
      <c r="A192" s="5" t="s">
        <v>184</v>
      </c>
      <c r="B192" s="160">
        <f>+Grenoble!$G193</f>
        <v>0</v>
      </c>
      <c r="C192" s="113">
        <f>+STMarcelin!$G193</f>
        <v>0</v>
      </c>
      <c r="D192" s="113">
        <f>+PSA!$G193</f>
        <v>0</v>
      </c>
      <c r="E192" s="160">
        <f>+Grenoble!E193+STMarcelin!E193+PSA!E193</f>
        <v>16841.91</v>
      </c>
      <c r="F192" s="135">
        <f>+Grenoble!F193+STMarcelin!F193+PSA!F193</f>
        <v>193.21333333333331</v>
      </c>
      <c r="G192" s="135">
        <v>0</v>
      </c>
      <c r="H192" s="161">
        <f>+Grenoble!G193+STMarcelin!G193+PSA!G193</f>
        <v>0</v>
      </c>
      <c r="I192" s="149">
        <f t="shared" si="25"/>
        <v>-0.98852782532780825</v>
      </c>
      <c r="J192" s="271">
        <f t="shared" si="26"/>
        <v>-1</v>
      </c>
      <c r="K192" s="18">
        <f>+Grenoble!D193+STMarcelin!D193+PSA!D193</f>
        <v>0</v>
      </c>
      <c r="L192" s="111"/>
    </row>
    <row r="193" spans="1:12" s="2" customFormat="1" ht="11.25">
      <c r="A193" s="5" t="s">
        <v>342</v>
      </c>
      <c r="B193" s="160">
        <f>+Grenoble!$G194</f>
        <v>0</v>
      </c>
      <c r="C193" s="113">
        <f>+STMarcelin!$G194</f>
        <v>0</v>
      </c>
      <c r="D193" s="113">
        <f>+PSA!$G194</f>
        <v>0</v>
      </c>
      <c r="E193" s="160">
        <f>+Grenoble!E194+STMarcelin!E194+PSA!E194</f>
        <v>0</v>
      </c>
      <c r="F193" s="135">
        <f>+Grenoble!F194+STMarcelin!F194+PSA!F194</f>
        <v>0</v>
      </c>
      <c r="G193" s="135">
        <v>0</v>
      </c>
      <c r="H193" s="161">
        <f>+Grenoble!G194+STMarcelin!G194+PSA!G194</f>
        <v>0</v>
      </c>
      <c r="I193" s="149">
        <f t="shared" si="25"/>
        <v>0</v>
      </c>
      <c r="J193" s="271">
        <f t="shared" si="26"/>
        <v>0</v>
      </c>
      <c r="K193" s="18">
        <f>+Grenoble!D194+STMarcelin!D194+PSA!D194</f>
        <v>0</v>
      </c>
      <c r="L193" s="111"/>
    </row>
    <row r="194" spans="1:12" s="2" customFormat="1" ht="11.25">
      <c r="A194" s="5" t="s">
        <v>186</v>
      </c>
      <c r="B194" s="160">
        <f>+Grenoble!$G195</f>
        <v>0</v>
      </c>
      <c r="C194" s="113">
        <f>+STMarcelin!$G195</f>
        <v>0</v>
      </c>
      <c r="D194" s="113">
        <f>+PSA!$G195</f>
        <v>0</v>
      </c>
      <c r="E194" s="160">
        <f>+Grenoble!E195+STMarcelin!E195+PSA!E195</f>
        <v>0</v>
      </c>
      <c r="F194" s="135">
        <f>+Grenoble!F195+STMarcelin!F195+PSA!F195</f>
        <v>0</v>
      </c>
      <c r="G194" s="135">
        <v>0</v>
      </c>
      <c r="H194" s="161">
        <f>+Grenoble!G195+STMarcelin!G195+PSA!G195</f>
        <v>0</v>
      </c>
      <c r="I194" s="149">
        <f t="shared" si="25"/>
        <v>0</v>
      </c>
      <c r="J194" s="271">
        <f t="shared" si="26"/>
        <v>0</v>
      </c>
      <c r="K194" s="18">
        <f>+Grenoble!D195+STMarcelin!D195+PSA!D195</f>
        <v>0</v>
      </c>
      <c r="L194" s="111"/>
    </row>
    <row r="195" spans="1:12" s="2" customFormat="1" ht="11.25">
      <c r="A195" s="5" t="s">
        <v>187</v>
      </c>
      <c r="B195" s="160">
        <f>+Grenoble!$G196</f>
        <v>0</v>
      </c>
      <c r="C195" s="113">
        <f>+STMarcelin!$G196</f>
        <v>0</v>
      </c>
      <c r="D195" s="113">
        <f>+PSA!$G196</f>
        <v>0</v>
      </c>
      <c r="E195" s="160">
        <f>+Grenoble!E196+STMarcelin!E196+PSA!E196</f>
        <v>0</v>
      </c>
      <c r="F195" s="135">
        <f>+Grenoble!F196+STMarcelin!F196+PSA!F196</f>
        <v>0</v>
      </c>
      <c r="G195" s="135">
        <v>0</v>
      </c>
      <c r="H195" s="161">
        <f>+Grenoble!G196+STMarcelin!G196+PSA!G196</f>
        <v>0</v>
      </c>
      <c r="I195" s="149">
        <f t="shared" si="25"/>
        <v>0</v>
      </c>
      <c r="J195" s="271">
        <f t="shared" si="26"/>
        <v>0</v>
      </c>
      <c r="K195" s="18">
        <f>+Grenoble!D196+STMarcelin!D196+PSA!D196</f>
        <v>0</v>
      </c>
      <c r="L195" s="111"/>
    </row>
    <row r="196" spans="1:12" s="2" customFormat="1" ht="11.25">
      <c r="A196" s="5" t="s">
        <v>328</v>
      </c>
      <c r="B196" s="160">
        <f>+Grenoble!$G197</f>
        <v>0</v>
      </c>
      <c r="C196" s="113">
        <f>+STMarcelin!$G197</f>
        <v>0</v>
      </c>
      <c r="D196" s="113">
        <f>+PSA!$G197</f>
        <v>0</v>
      </c>
      <c r="E196" s="160">
        <f>+Grenoble!E197+STMarcelin!E197+PSA!E197</f>
        <v>74.91</v>
      </c>
      <c r="F196" s="135">
        <f>+Grenoble!F197+STMarcelin!F197+PSA!F197</f>
        <v>93.333333333333329</v>
      </c>
      <c r="G196" s="135">
        <v>0</v>
      </c>
      <c r="H196" s="161">
        <f>+Grenoble!G197+STMarcelin!G197+PSA!G197</f>
        <v>0</v>
      </c>
      <c r="I196" s="149">
        <f t="shared" si="25"/>
        <v>0.24593957193076135</v>
      </c>
      <c r="J196" s="271">
        <f t="shared" si="26"/>
        <v>-1</v>
      </c>
      <c r="K196" s="18">
        <f>+Grenoble!D197+STMarcelin!D197+PSA!D197</f>
        <v>0</v>
      </c>
      <c r="L196" s="111"/>
    </row>
    <row r="197" spans="1:12" s="2" customFormat="1" ht="11.25">
      <c r="A197" s="5" t="s">
        <v>344</v>
      </c>
      <c r="B197" s="160">
        <f>+Grenoble!$G198</f>
        <v>0</v>
      </c>
      <c r="C197" s="113">
        <f>+STMarcelin!$G198</f>
        <v>0</v>
      </c>
      <c r="D197" s="113">
        <f>+PSA!$G198</f>
        <v>0</v>
      </c>
      <c r="E197" s="160">
        <f>+Grenoble!E198+STMarcelin!E198+PSA!E198</f>
        <v>0</v>
      </c>
      <c r="F197" s="135">
        <f>+Grenoble!F198+STMarcelin!F198+PSA!F198</f>
        <v>1600</v>
      </c>
      <c r="G197" s="135">
        <v>0</v>
      </c>
      <c r="H197" s="161">
        <f>+Grenoble!G198+STMarcelin!G198+PSA!G198</f>
        <v>0</v>
      </c>
      <c r="I197" s="149">
        <f t="shared" si="25"/>
        <v>0</v>
      </c>
      <c r="J197" s="271">
        <f t="shared" si="26"/>
        <v>-1</v>
      </c>
      <c r="K197" s="18">
        <f>+Grenoble!D198+STMarcelin!D198+PSA!D198</f>
        <v>0</v>
      </c>
      <c r="L197" s="111"/>
    </row>
    <row r="198" spans="1:12" s="2" customFormat="1" ht="11.25">
      <c r="A198" s="5" t="s">
        <v>77</v>
      </c>
      <c r="B198" s="160">
        <f>+Grenoble!$G199</f>
        <v>0</v>
      </c>
      <c r="C198" s="113">
        <f>+STMarcelin!$G199</f>
        <v>0</v>
      </c>
      <c r="D198" s="113">
        <f>+PSA!$G199</f>
        <v>0</v>
      </c>
      <c r="E198" s="160">
        <f>+Grenoble!E199+STMarcelin!E199+PSA!E199</f>
        <v>4537.9800000000005</v>
      </c>
      <c r="F198" s="135">
        <f>+Grenoble!F199+STMarcelin!F199+PSA!F199</f>
        <v>0</v>
      </c>
      <c r="G198" s="135">
        <v>0</v>
      </c>
      <c r="H198" s="161">
        <f>+Grenoble!G199+STMarcelin!G199+PSA!G199</f>
        <v>0</v>
      </c>
      <c r="I198" s="149">
        <f t="shared" si="25"/>
        <v>-1</v>
      </c>
      <c r="J198" s="271">
        <f t="shared" si="26"/>
        <v>0</v>
      </c>
      <c r="K198" s="18">
        <f>+Grenoble!D199+STMarcelin!D199+PSA!D199</f>
        <v>0</v>
      </c>
      <c r="L198" s="111"/>
    </row>
    <row r="199" spans="1:12" s="2" customFormat="1" ht="11.25">
      <c r="A199" s="5"/>
      <c r="B199" s="160"/>
      <c r="C199" s="113"/>
      <c r="D199" s="113"/>
      <c r="E199" s="160"/>
      <c r="F199" s="134"/>
      <c r="G199" s="134"/>
      <c r="H199" s="162"/>
      <c r="I199" s="149"/>
      <c r="J199" s="254"/>
      <c r="K199" s="18"/>
      <c r="L199" s="111"/>
    </row>
    <row r="200" spans="1:12" s="2" customFormat="1" ht="11.25">
      <c r="A200" s="13" t="s">
        <v>188</v>
      </c>
      <c r="B200" s="163">
        <f t="shared" ref="B200:H200" si="27">SUM(B185:B199)</f>
        <v>0</v>
      </c>
      <c r="C200" s="204">
        <f t="shared" si="27"/>
        <v>0</v>
      </c>
      <c r="D200" s="204">
        <f t="shared" si="27"/>
        <v>0</v>
      </c>
      <c r="E200" s="163">
        <f>SUM(E185:E199)</f>
        <v>31213.439999999999</v>
      </c>
      <c r="F200" s="136">
        <f>SUM(F185:F199)</f>
        <v>13118.240000000002</v>
      </c>
      <c r="G200" s="136">
        <v>0</v>
      </c>
      <c r="H200" s="168">
        <f t="shared" si="27"/>
        <v>0</v>
      </c>
      <c r="I200" s="272">
        <f>+IF((E200)=0,,(F200-E200)/E200)</f>
        <v>-0.57972463144081521</v>
      </c>
      <c r="J200" s="188">
        <f>+IF((F200)=0,,(H200-F200)/F200)</f>
        <v>-1</v>
      </c>
      <c r="K200" s="305">
        <f>SUM(K185:K199)</f>
        <v>0</v>
      </c>
      <c r="L200" s="111"/>
    </row>
    <row r="201" spans="1:12" s="2" customFormat="1" ht="11.25">
      <c r="A201" s="5"/>
      <c r="B201" s="160"/>
      <c r="C201" s="113"/>
      <c r="D201" s="113"/>
      <c r="E201" s="276"/>
      <c r="F201" s="134"/>
      <c r="G201" s="134"/>
      <c r="H201" s="162"/>
      <c r="I201" s="149"/>
      <c r="J201" s="254"/>
      <c r="K201" s="311"/>
      <c r="L201" s="111"/>
    </row>
    <row r="202" spans="1:12" s="2" customFormat="1" ht="11.25">
      <c r="A202" s="14" t="s">
        <v>189</v>
      </c>
      <c r="B202" s="175">
        <f t="shared" ref="B202:H202" si="28">+B103+B116+B129+B153+B167+B184-B200</f>
        <v>524772.12931161385</v>
      </c>
      <c r="C202" s="206">
        <f t="shared" si="28"/>
        <v>147393.49207140171</v>
      </c>
      <c r="D202" s="206">
        <f t="shared" si="28"/>
        <v>673979.97194282175</v>
      </c>
      <c r="E202" s="175">
        <f>+E103+E116+E129+E153+E167+E184-E200</f>
        <v>1276383.4193600004</v>
      </c>
      <c r="F202" s="145">
        <f>+F103+F116+F129+F153+F167+F184-F200</f>
        <v>1281952.3666666662</v>
      </c>
      <c r="G202" s="145">
        <v>1383519.6458522708</v>
      </c>
      <c r="H202" s="176">
        <f t="shared" si="28"/>
        <v>1346145.593325837</v>
      </c>
      <c r="I202" s="281">
        <f>+IF((E202)=0,,(F202-E202)/E202)</f>
        <v>4.3630677288633117E-3</v>
      </c>
      <c r="J202" s="282">
        <f>+IF((F202)=0,,(H202-F202)/F202)</f>
        <v>5.0074580248317735E-2</v>
      </c>
      <c r="K202" s="313">
        <f>+K103+K116+K129+K153+K167+K184-K200</f>
        <v>1370095.3143853666</v>
      </c>
      <c r="L202" s="111"/>
    </row>
    <row r="203" spans="1:12" s="2" customFormat="1" ht="11.25">
      <c r="A203" s="5"/>
      <c r="B203" s="160"/>
      <c r="C203" s="113"/>
      <c r="D203" s="113"/>
      <c r="E203" s="160"/>
      <c r="F203" s="134"/>
      <c r="G203" s="134"/>
      <c r="H203" s="162"/>
      <c r="I203" s="149"/>
      <c r="J203" s="254"/>
      <c r="K203" s="18"/>
      <c r="L203" s="111"/>
    </row>
    <row r="204" spans="1:12" s="2" customFormat="1" ht="11.25">
      <c r="A204" s="12" t="s">
        <v>228</v>
      </c>
      <c r="B204" s="177">
        <f t="shared" ref="B204:H204" si="29">+B62-B202</f>
        <v>227088.14793108485</v>
      </c>
      <c r="C204" s="177">
        <f t="shared" si="29"/>
        <v>-516.6938467847649</v>
      </c>
      <c r="D204" s="177">
        <f t="shared" si="29"/>
        <v>111042.59311978007</v>
      </c>
      <c r="E204" s="177">
        <f>+E53-E202</f>
        <v>426209.31733999983</v>
      </c>
      <c r="F204" s="146">
        <f>+F62-F202</f>
        <v>282551.4100397476</v>
      </c>
      <c r="G204" s="146">
        <v>325930.21924372925</v>
      </c>
      <c r="H204" s="178">
        <f t="shared" si="29"/>
        <v>337614.0472040805</v>
      </c>
      <c r="I204" s="226">
        <f>+IF((E204)=0,,(F204-E204)/E204)</f>
        <v>-0.33705951854086769</v>
      </c>
      <c r="J204" s="283">
        <f>+IF((F204)=0,,(H204-F204)/F204)</f>
        <v>0.19487652585625756</v>
      </c>
      <c r="K204" s="314">
        <f>+K62-K202</f>
        <v>298442.68561463337</v>
      </c>
      <c r="L204" s="111"/>
    </row>
    <row r="205" spans="1:12" s="2" customFormat="1" ht="11.25">
      <c r="A205" s="5"/>
      <c r="B205" s="160"/>
      <c r="C205" s="113"/>
      <c r="D205" s="113"/>
      <c r="E205" s="160"/>
      <c r="F205" s="134"/>
      <c r="G205" s="134"/>
      <c r="H205" s="162"/>
      <c r="I205" s="149"/>
      <c r="J205" s="254"/>
      <c r="K205" s="18"/>
      <c r="L205" s="111"/>
    </row>
    <row r="206" spans="1:12" s="2" customFormat="1" ht="11.25">
      <c r="A206" s="63" t="s">
        <v>251</v>
      </c>
      <c r="B206" s="232">
        <f>+Grenoble!$G207</f>
        <v>7802.8735947064988</v>
      </c>
      <c r="C206" s="233">
        <f>+STMarcelin!$G207</f>
        <v>1243.9879366999451</v>
      </c>
      <c r="D206" s="233">
        <f>+PSA!$G207</f>
        <v>8898.9282400370121</v>
      </c>
      <c r="E206" s="284">
        <f>+Grenoble!E207+STMarcelin!E207+PSA!E207</f>
        <v>9324.4318142347038</v>
      </c>
      <c r="F206" s="150">
        <f>+Grenoble!F207+STMarcelin!F207+PSA!F207</f>
        <v>12298.678955845211</v>
      </c>
      <c r="G206" s="150">
        <v>29520.289067216909</v>
      </c>
      <c r="H206" s="128">
        <f>+Grenoble!G207+STMarcelin!G207+PSA!G207</f>
        <v>17945.789771443458</v>
      </c>
      <c r="I206" s="285">
        <f>+IF((E206)=0,,(F206-E206)/E206)</f>
        <v>0.31897355258365589</v>
      </c>
      <c r="J206" s="194">
        <f>+IF((F206)=0,,(H206-F206)/F206)</f>
        <v>0.45916401557212261</v>
      </c>
      <c r="K206" s="315">
        <f>+Grenoble!D207+STMarcelin!D207+PSA!D207</f>
        <v>27898.650413813681</v>
      </c>
      <c r="L206" s="111"/>
    </row>
    <row r="207" spans="1:12" s="2" customFormat="1" ht="11.25">
      <c r="A207" s="5"/>
      <c r="B207" s="160"/>
      <c r="C207" s="113"/>
      <c r="D207" s="113"/>
      <c r="E207" s="160"/>
      <c r="F207" s="134"/>
      <c r="G207" s="134"/>
      <c r="H207" s="162"/>
      <c r="I207" s="149"/>
      <c r="J207" s="254"/>
      <c r="K207" s="18"/>
      <c r="L207" s="111"/>
    </row>
    <row r="208" spans="1:12" s="2" customFormat="1" ht="11.25">
      <c r="A208" s="12" t="s">
        <v>190</v>
      </c>
      <c r="B208" s="177">
        <f t="shared" ref="B208:H208" si="30">+B204-B206</f>
        <v>219285.27433637835</v>
      </c>
      <c r="C208" s="228">
        <f t="shared" si="30"/>
        <v>-1760.68178348471</v>
      </c>
      <c r="D208" s="228">
        <f t="shared" si="30"/>
        <v>102143.66487974305</v>
      </c>
      <c r="E208" s="177">
        <f>+E204-E206</f>
        <v>416884.88552576513</v>
      </c>
      <c r="F208" s="146">
        <f>+F204-F206</f>
        <v>270252.73108390241</v>
      </c>
      <c r="G208" s="146">
        <v>296409.93017651234</v>
      </c>
      <c r="H208" s="178">
        <f t="shared" si="30"/>
        <v>319668.25743263704</v>
      </c>
      <c r="I208" s="226">
        <f>+IF((E208)=0,,(F208-E208)/E208)</f>
        <v>-0.35173295922430431</v>
      </c>
      <c r="J208" s="283">
        <f>+IF((F208)=0,,(H208-F208)/F208)</f>
        <v>0.18284931349460859</v>
      </c>
      <c r="K208" s="314">
        <f>+K204-K206</f>
        <v>270544.03520081972</v>
      </c>
      <c r="L208" s="111"/>
    </row>
    <row r="209" spans="1:13" s="2" customFormat="1" ht="11.25">
      <c r="A209" s="5"/>
      <c r="B209" s="160"/>
      <c r="C209" s="113"/>
      <c r="D209" s="113"/>
      <c r="E209" s="160"/>
      <c r="F209" s="134"/>
      <c r="G209" s="134"/>
      <c r="H209" s="162"/>
      <c r="I209" s="149"/>
      <c r="J209" s="254"/>
      <c r="K209" s="18"/>
      <c r="L209" s="111"/>
    </row>
    <row r="210" spans="1:13" s="2" customFormat="1" ht="11.25">
      <c r="A210" s="5" t="s">
        <v>191</v>
      </c>
      <c r="B210" s="160">
        <f>+Grenoble!$G211</f>
        <v>9644.6846793104778</v>
      </c>
      <c r="C210" s="113">
        <f>+STMarcelin!$G211</f>
        <v>9644.6846793104778</v>
      </c>
      <c r="D210" s="113">
        <f>+PSA!$G211</f>
        <v>9644.6846793104778</v>
      </c>
      <c r="E210" s="160">
        <f>+Grenoble!E211+STMarcelin!E211+PSA!E211</f>
        <v>24285.258215999998</v>
      </c>
      <c r="F210" s="135">
        <f>+Grenoble!F211+STMarcelin!F211+PSA!F211</f>
        <v>26993.88229032257</v>
      </c>
      <c r="G210" s="135">
        <v>29520.289067216909</v>
      </c>
      <c r="H210" s="161">
        <f>+Grenoble!G211+STMarcelin!G211+PSA!G211</f>
        <v>28934.054037931433</v>
      </c>
      <c r="I210" s="149">
        <f>+IF((E210)=0,,(F210-E210)/E210)</f>
        <v>0.11153367405984727</v>
      </c>
      <c r="J210" s="271">
        <f>+IF((F210)=0,,(H210-F210)/F210)</f>
        <v>7.1874498330476308E-2</v>
      </c>
      <c r="K210" s="18">
        <f>+Grenoble!D211+STMarcelin!D211+PSA!D211</f>
        <v>27078.111664621531</v>
      </c>
      <c r="L210" s="111"/>
    </row>
    <row r="211" spans="1:13">
      <c r="A211" s="5" t="s">
        <v>192</v>
      </c>
      <c r="B211" s="160">
        <f>+Grenoble!$G212</f>
        <v>84070.051092516165</v>
      </c>
      <c r="C211" s="113">
        <f>+STMarcelin!$G212</f>
        <v>13403.027503583691</v>
      </c>
      <c r="D211" s="113">
        <f>+PSA!$G212</f>
        <v>95879.209464072715</v>
      </c>
      <c r="E211" s="160">
        <f>+Grenoble!E212+STMarcelin!E212+PSA!E212</f>
        <v>170865.016010814</v>
      </c>
      <c r="F211" s="135">
        <f>+Grenoble!F212+STMarcelin!F212+PSA!F212</f>
        <v>185840.81408643012</v>
      </c>
      <c r="G211" s="135">
        <v>197001.59865400085</v>
      </c>
      <c r="H211" s="161">
        <f>+Grenoble!G212+STMarcelin!G212+PSA!G212</f>
        <v>193352.28806017258</v>
      </c>
      <c r="I211" s="149">
        <f>+IF((E211)=0,,(F211-E211)/E211)</f>
        <v>8.7646953280760012E-2</v>
      </c>
      <c r="J211" s="271">
        <f>+IF((F211)=0,,(H211-F211)/F211)</f>
        <v>4.0418860682826359E-2</v>
      </c>
      <c r="K211" s="18">
        <f>+Grenoble!D212+STMarcelin!D212+PSA!D212</f>
        <v>176711.75934444123</v>
      </c>
      <c r="L211" s="111"/>
    </row>
    <row r="212" spans="1:13">
      <c r="A212" s="5" t="s">
        <v>193</v>
      </c>
      <c r="B212" s="160">
        <f>+Grenoble!$G213</f>
        <v>-19007.070865999998</v>
      </c>
      <c r="C212" s="113">
        <f>+STMarcelin!$G213</f>
        <v>-2588.9995809999996</v>
      </c>
      <c r="D212" s="113">
        <f>+PSA!$G213</f>
        <v>-17457.422236800005</v>
      </c>
      <c r="E212" s="160">
        <f>+Grenoble!E213+STMarcelin!E213+PSA!E213</f>
        <v>-36297.919999999998</v>
      </c>
      <c r="F212" s="135">
        <f>+Grenoble!F213+STMarcelin!F213+PSA!F213</f>
        <v>-34991.32</v>
      </c>
      <c r="G212" s="135">
        <v>-38666.92</v>
      </c>
      <c r="H212" s="161">
        <f>+Grenoble!G213+STMarcelin!G213+PSA!G213</f>
        <v>-39053.492683800003</v>
      </c>
      <c r="I212" s="149">
        <f>+IF((E212)=0,,(F212-E212)/E212)</f>
        <v>-3.5996552970528298E-2</v>
      </c>
      <c r="J212" s="271">
        <f>+IF((F212)=0,,(H212-F212)/F212)</f>
        <v>0.11609086721506943</v>
      </c>
      <c r="K212" s="18">
        <f>+Grenoble!D213+STMarcelin!D213+PSA!D213</f>
        <v>-41922.199999999997</v>
      </c>
      <c r="L212" s="111"/>
    </row>
    <row r="213" spans="1:13">
      <c r="A213" s="5"/>
      <c r="B213" s="160"/>
      <c r="C213" s="113"/>
      <c r="D213" s="113"/>
      <c r="E213" s="160"/>
      <c r="F213" s="134"/>
      <c r="G213" s="134"/>
      <c r="H213" s="162"/>
      <c r="I213" s="149"/>
      <c r="J213" s="254"/>
      <c r="K213" s="18"/>
      <c r="L213" s="111"/>
    </row>
    <row r="214" spans="1:13">
      <c r="A214" s="20" t="s">
        <v>194</v>
      </c>
      <c r="B214" s="180">
        <f t="shared" ref="B214:H214" si="31">SUM(B209:B212)</f>
        <v>74707.664905826648</v>
      </c>
      <c r="C214" s="230">
        <f t="shared" si="31"/>
        <v>20458.712601894167</v>
      </c>
      <c r="D214" s="230">
        <f t="shared" si="31"/>
        <v>88066.471906583189</v>
      </c>
      <c r="E214" s="180">
        <f>SUM(E209:E212)</f>
        <v>158852.354226814</v>
      </c>
      <c r="F214" s="148">
        <f>SUM(F209:F212)</f>
        <v>177843.37637675268</v>
      </c>
      <c r="G214" s="148">
        <v>187854.96772121778</v>
      </c>
      <c r="H214" s="181">
        <f t="shared" si="31"/>
        <v>183232.84941430402</v>
      </c>
      <c r="I214" s="285">
        <f>+IF((E214)=0,,(F214-E214)/E214)</f>
        <v>0.11955140509169131</v>
      </c>
      <c r="J214" s="194">
        <f>+IF((F214)=0,,(H214-F214)/F214)</f>
        <v>3.0304603676293184E-2</v>
      </c>
      <c r="K214" s="316">
        <f>SUM(K209:K212)</f>
        <v>161867.67100906279</v>
      </c>
      <c r="L214" s="111"/>
    </row>
    <row r="215" spans="1:13">
      <c r="A215" s="5"/>
      <c r="B215" s="160"/>
      <c r="C215" s="113"/>
      <c r="D215" s="113"/>
      <c r="E215" s="160"/>
      <c r="F215" s="134"/>
      <c r="G215" s="134"/>
      <c r="H215" s="162"/>
      <c r="I215" s="149"/>
      <c r="J215" s="254"/>
      <c r="K215" s="18"/>
      <c r="L215" s="111"/>
    </row>
    <row r="216" spans="1:13">
      <c r="A216" s="12" t="s">
        <v>332</v>
      </c>
      <c r="B216" s="177">
        <f t="shared" ref="B216:H216" si="32">+B208-B214</f>
        <v>144577.6094305517</v>
      </c>
      <c r="C216" s="228">
        <f t="shared" si="32"/>
        <v>-22219.394385378877</v>
      </c>
      <c r="D216" s="228">
        <f t="shared" si="32"/>
        <v>14077.192973159865</v>
      </c>
      <c r="E216" s="177">
        <f>+E208-E214</f>
        <v>258032.53129895113</v>
      </c>
      <c r="F216" s="146">
        <f>+F208-F214</f>
        <v>92409.354707149731</v>
      </c>
      <c r="G216" s="146">
        <v>108554.96245529456</v>
      </c>
      <c r="H216" s="178">
        <f t="shared" si="32"/>
        <v>136435.40801833302</v>
      </c>
      <c r="I216" s="226">
        <f>+IF((E216)=0,,(F216-E216)/E216)</f>
        <v>-0.64186936336300104</v>
      </c>
      <c r="J216" s="283">
        <f>+IF((F216)=0,,(H216-F216)/F216)</f>
        <v>0.47642420457002699</v>
      </c>
      <c r="K216" s="314">
        <f>+K208-K214</f>
        <v>108676.36419175693</v>
      </c>
      <c r="L216" s="111"/>
    </row>
    <row r="217" spans="1:13">
      <c r="A217" s="88" t="s">
        <v>44</v>
      </c>
      <c r="B217" s="160">
        <f>+Grenoble!$G217</f>
        <v>144577.6094305517</v>
      </c>
      <c r="C217" s="113">
        <f>+STMarcelin!$G217</f>
        <v>-22219.394385378877</v>
      </c>
      <c r="D217" s="113">
        <f>+PSA!$G217</f>
        <v>14077.192973159865</v>
      </c>
      <c r="E217" s="135">
        <f>+Grenoble!E217+STMarcelin!E217+PSA!E217</f>
        <v>258032.531298952</v>
      </c>
      <c r="F217" s="135">
        <f>+Grenoble!F217+STMarcelin!F217+PSA!F217</f>
        <v>92409.354707149221</v>
      </c>
      <c r="G217" s="135">
        <v>108554.96245529482</v>
      </c>
      <c r="H217" s="135">
        <f>+Grenoble!G217+STMarcelin!G217+PSA!G217</f>
        <v>136435.40801833267</v>
      </c>
      <c r="K217" s="18">
        <f>+Grenoble!D218+STMarcelin!D218+PSA!D218</f>
        <v>108676.36419175666</v>
      </c>
      <c r="L217" s="111"/>
    </row>
    <row r="218" spans="1:13">
      <c r="A218" s="87"/>
      <c r="B218" s="110"/>
      <c r="C218" s="110"/>
      <c r="D218" s="110"/>
      <c r="E218" s="110"/>
      <c r="F218" s="110"/>
      <c r="G218" s="110"/>
      <c r="H218" s="110"/>
      <c r="K218" s="113"/>
      <c r="L218" s="111"/>
    </row>
    <row r="219" spans="1:13" s="2" customFormat="1" ht="11.25">
      <c r="B219" s="17"/>
      <c r="C219" s="17"/>
      <c r="D219" s="17"/>
      <c r="E219" s="17"/>
      <c r="F219" s="17"/>
      <c r="G219" s="17"/>
      <c r="H219" s="17"/>
      <c r="K219" s="113"/>
      <c r="L219" s="111"/>
    </row>
    <row r="220" spans="1:13" s="2" customFormat="1" ht="11.25">
      <c r="B220" s="17"/>
      <c r="C220" s="17"/>
      <c r="D220" s="17"/>
      <c r="E220" s="17"/>
      <c r="F220" s="17"/>
      <c r="G220" s="17"/>
      <c r="H220" s="17"/>
      <c r="K220" s="17"/>
      <c r="L220" s="111"/>
    </row>
    <row r="221" spans="1:13" s="2" customFormat="1" ht="11.25">
      <c r="A221" s="264" t="s">
        <v>67</v>
      </c>
      <c r="B221" s="265">
        <f>+Grenoble!$G222</f>
        <v>1614563.1092879712</v>
      </c>
      <c r="C221" s="265">
        <f>+STMarcelin!$G222</f>
        <v>375546.10122174647</v>
      </c>
      <c r="D221" s="265">
        <f>+PSA!$G222</f>
        <v>2263426.6211872259</v>
      </c>
      <c r="E221" s="265">
        <f>+(E214+E206+E202)/E60</f>
        <v>3963084.6401538197</v>
      </c>
      <c r="F221" s="265">
        <f>+(F214+F206+F202)/F60</f>
        <v>4204712.4966844376</v>
      </c>
      <c r="G221" s="265" t="e">
        <v>#REF!</v>
      </c>
      <c r="H221" s="265">
        <f>+(H214+H206+H202)/H60</f>
        <v>4254740.0390825318</v>
      </c>
      <c r="I221" s="265"/>
      <c r="J221" s="265"/>
      <c r="K221" s="265">
        <f>+(K214+K206+K202)/K60</f>
        <v>4272587.6183404978</v>
      </c>
      <c r="L221" s="111"/>
      <c r="M221" s="264"/>
    </row>
    <row r="222" spans="1:13" s="2" customFormat="1" ht="11.25">
      <c r="A222" s="264" t="s">
        <v>66</v>
      </c>
      <c r="B222" s="265">
        <f>+Grenoble!$G223</f>
        <v>134546.92577399759</v>
      </c>
      <c r="C222" s="265">
        <f>+STMarcelin!$G223</f>
        <v>31295.508435145541</v>
      </c>
      <c r="D222" s="265">
        <f>+PSA!$G223</f>
        <v>188618.88509893548</v>
      </c>
      <c r="E222" s="265">
        <f>+E221/12</f>
        <v>330257.05334615166</v>
      </c>
      <c r="F222" s="265">
        <f>+F221/12</f>
        <v>350392.70805703645</v>
      </c>
      <c r="G222" s="265" t="e">
        <v>#REF!</v>
      </c>
      <c r="H222" s="265">
        <f>+H221/12</f>
        <v>354561.66992354434</v>
      </c>
      <c r="I222" s="265"/>
      <c r="J222" s="265"/>
      <c r="K222" s="265">
        <f>+K221/12</f>
        <v>356048.96819504147</v>
      </c>
      <c r="L222" s="111"/>
      <c r="M222" s="264"/>
    </row>
    <row r="223" spans="1:13">
      <c r="K223" s="17"/>
      <c r="L223" s="111"/>
    </row>
    <row r="224" spans="1:13">
      <c r="K224" s="17"/>
      <c r="L224" s="111"/>
    </row>
    <row r="225" spans="1:12">
      <c r="K225" s="17"/>
      <c r="L225" s="111"/>
    </row>
    <row r="226" spans="1:12" s="2" customFormat="1" ht="12.75" customHeight="1">
      <c r="A226" s="6"/>
      <c r="B226" s="155"/>
      <c r="C226" s="211"/>
      <c r="D226" s="211"/>
      <c r="E226" s="267" t="s">
        <v>55</v>
      </c>
      <c r="F226" s="130" t="s">
        <v>364</v>
      </c>
      <c r="G226" s="130" t="s">
        <v>543</v>
      </c>
      <c r="H226" s="104" t="s">
        <v>196</v>
      </c>
      <c r="I226" s="151" t="s">
        <v>225</v>
      </c>
      <c r="J226" s="183" t="s">
        <v>225</v>
      </c>
      <c r="K226" s="8" t="s">
        <v>196</v>
      </c>
      <c r="L226" s="111"/>
    </row>
    <row r="227" spans="1:12" s="2" customFormat="1" ht="20.25" customHeight="1">
      <c r="A227" s="7" t="str">
        <f>+A4</f>
        <v>SOUS REGION SUD</v>
      </c>
      <c r="B227" s="1432" t="s">
        <v>214</v>
      </c>
      <c r="C227" s="1434" t="s">
        <v>438</v>
      </c>
      <c r="D227" s="1450" t="s">
        <v>439</v>
      </c>
      <c r="E227" s="260" t="s">
        <v>366</v>
      </c>
      <c r="F227" s="131" t="s">
        <v>366</v>
      </c>
      <c r="G227" s="131" t="s">
        <v>432</v>
      </c>
      <c r="H227" s="105" t="s">
        <v>197</v>
      </c>
      <c r="I227" s="152"/>
      <c r="J227" s="184"/>
      <c r="K227" s="9" t="s">
        <v>197</v>
      </c>
      <c r="L227" s="111"/>
    </row>
    <row r="228" spans="1:12" s="2" customFormat="1" ht="11.25" customHeight="1">
      <c r="A228" s="3"/>
      <c r="B228" s="1433"/>
      <c r="C228" s="1435"/>
      <c r="D228" s="1453"/>
      <c r="E228" s="268"/>
      <c r="F228" s="132"/>
      <c r="G228" s="132" t="s">
        <v>433</v>
      </c>
      <c r="H228" s="106"/>
      <c r="I228" s="152"/>
      <c r="J228" s="184"/>
      <c r="K228" s="10"/>
      <c r="L228" s="111"/>
    </row>
    <row r="229" spans="1:12" s="2" customFormat="1" ht="11.25">
      <c r="A229" s="4"/>
      <c r="B229" s="158"/>
      <c r="C229" s="216"/>
      <c r="D229" s="216"/>
      <c r="E229" s="269">
        <v>2008</v>
      </c>
      <c r="F229" s="133">
        <v>2009</v>
      </c>
      <c r="G229" s="133">
        <v>2009</v>
      </c>
      <c r="H229" s="159">
        <v>2010</v>
      </c>
      <c r="I229" s="153" t="s">
        <v>367</v>
      </c>
      <c r="J229" s="185" t="s">
        <v>368</v>
      </c>
      <c r="K229" s="4">
        <v>2009</v>
      </c>
      <c r="L229" s="111"/>
    </row>
    <row r="230" spans="1:12" s="2" customFormat="1" ht="11.25" customHeight="1">
      <c r="B230" s="288"/>
      <c r="C230" s="249"/>
      <c r="D230" s="286"/>
      <c r="E230" s="248"/>
      <c r="F230" s="287"/>
      <c r="G230" s="287"/>
      <c r="H230" s="250"/>
      <c r="I230" s="288"/>
      <c r="J230" s="289"/>
      <c r="K230" s="332"/>
      <c r="L230" s="111"/>
    </row>
    <row r="231" spans="1:12" s="33" customFormat="1" ht="15" customHeight="1">
      <c r="A231" s="245" t="s">
        <v>223</v>
      </c>
      <c r="B231" s="175">
        <f>+B51</f>
        <v>1998947</v>
      </c>
      <c r="C231" s="206">
        <f t="shared" ref="C231:K231" si="33">+C51</f>
        <v>326199</v>
      </c>
      <c r="D231" s="176">
        <f t="shared" si="33"/>
        <v>2304756</v>
      </c>
      <c r="E231" s="175">
        <f t="shared" si="33"/>
        <v>4670985.05</v>
      </c>
      <c r="F231" s="206">
        <f t="shared" si="33"/>
        <v>4468659.4030384459</v>
      </c>
      <c r="G231" s="206"/>
      <c r="H231" s="176">
        <f t="shared" si="33"/>
        <v>4629902</v>
      </c>
      <c r="I231" s="208">
        <f t="shared" si="33"/>
        <v>0</v>
      </c>
      <c r="J231" s="192">
        <f t="shared" si="33"/>
        <v>0</v>
      </c>
      <c r="K231" s="176">
        <f t="shared" si="33"/>
        <v>4570261</v>
      </c>
      <c r="L231" s="111"/>
    </row>
    <row r="232" spans="1:12" s="2" customFormat="1" ht="11.25" customHeight="1">
      <c r="B232" s="160"/>
      <c r="C232" s="113"/>
      <c r="D232" s="162"/>
      <c r="E232" s="160"/>
      <c r="F232" s="113"/>
      <c r="G232" s="113"/>
      <c r="H232" s="162"/>
      <c r="I232" s="92"/>
      <c r="J232" s="186"/>
      <c r="K232" s="162"/>
      <c r="L232" s="111"/>
    </row>
    <row r="233" spans="1:12" s="33" customFormat="1" ht="15" customHeight="1">
      <c r="A233" s="246" t="s">
        <v>295</v>
      </c>
      <c r="B233" s="197">
        <f t="shared" ref="B233:H233" si="34">+B60</f>
        <v>0.37612817010290855</v>
      </c>
      <c r="C233" s="224">
        <f t="shared" si="34"/>
        <v>0.45026746931970035</v>
      </c>
      <c r="D233" s="191">
        <f t="shared" si="34"/>
        <v>0.34060983681682649</v>
      </c>
      <c r="E233" s="197">
        <f t="shared" si="34"/>
        <v>0.36450400043562559</v>
      </c>
      <c r="F233" s="224">
        <f t="shared" si="34"/>
        <v>0.3501058450869261</v>
      </c>
      <c r="G233" s="224"/>
      <c r="H233" s="191">
        <f t="shared" si="34"/>
        <v>0.3636706868806116</v>
      </c>
      <c r="I233" s="197"/>
      <c r="J233" s="191"/>
      <c r="K233" s="191">
        <f>+K60</f>
        <v>0.36508593272900608</v>
      </c>
      <c r="L233" s="111"/>
    </row>
    <row r="234" spans="1:12" s="33" customFormat="1" ht="15" customHeight="1">
      <c r="A234" s="246" t="s">
        <v>296</v>
      </c>
      <c r="B234" s="169">
        <f>+B62</f>
        <v>751860.27724269871</v>
      </c>
      <c r="C234" s="223">
        <f>+C62</f>
        <v>146876.79822461694</v>
      </c>
      <c r="D234" s="170">
        <f t="shared" ref="D234:K234" si="35">+D62</f>
        <v>785022.56506260182</v>
      </c>
      <c r="E234" s="169">
        <f t="shared" si="35"/>
        <v>1702592.7367000005</v>
      </c>
      <c r="F234" s="223">
        <f t="shared" si="35"/>
        <v>1564503.7767064138</v>
      </c>
      <c r="G234" s="223"/>
      <c r="H234" s="170">
        <f t="shared" si="35"/>
        <v>1683759.6405299176</v>
      </c>
      <c r="I234" s="290">
        <f t="shared" si="35"/>
        <v>-8.110510342081774E-2</v>
      </c>
      <c r="J234" s="291">
        <f t="shared" si="35"/>
        <v>7.6225999322648244E-2</v>
      </c>
      <c r="K234" s="170">
        <f t="shared" si="35"/>
        <v>1668538</v>
      </c>
      <c r="L234" s="111"/>
    </row>
    <row r="235" spans="1:12" s="25" customFormat="1" ht="11.25" customHeight="1">
      <c r="B235" s="160"/>
      <c r="C235" s="113"/>
      <c r="D235" s="162"/>
      <c r="E235" s="160"/>
      <c r="F235" s="113"/>
      <c r="G235" s="113"/>
      <c r="H235" s="162"/>
      <c r="I235" s="92"/>
      <c r="J235" s="186"/>
      <c r="K235" s="162"/>
      <c r="L235" s="111"/>
    </row>
    <row r="236" spans="1:12" s="298" customFormat="1" ht="15" customHeight="1">
      <c r="A236" s="292" t="s">
        <v>122</v>
      </c>
      <c r="B236" s="293">
        <f>+B103</f>
        <v>132649.8349068957</v>
      </c>
      <c r="C236" s="295">
        <f t="shared" ref="C236:K236" si="36">+C103</f>
        <v>64451.766163267726</v>
      </c>
      <c r="D236" s="294">
        <f t="shared" si="36"/>
        <v>197312.81426220739</v>
      </c>
      <c r="E236" s="293">
        <f t="shared" si="36"/>
        <v>356786.38000000012</v>
      </c>
      <c r="F236" s="295">
        <f t="shared" si="36"/>
        <v>372636.8066666667</v>
      </c>
      <c r="G236" s="295"/>
      <c r="H236" s="294">
        <f t="shared" si="36"/>
        <v>394414.41533237079</v>
      </c>
      <c r="I236" s="296">
        <f t="shared" si="36"/>
        <v>4.4425537394859563E-2</v>
      </c>
      <c r="J236" s="297">
        <f t="shared" si="36"/>
        <v>5.8441915227082558E-2</v>
      </c>
      <c r="K236" s="294">
        <f t="shared" si="36"/>
        <v>378687.29619078315</v>
      </c>
      <c r="L236" s="111"/>
    </row>
    <row r="237" spans="1:12" s="298" customFormat="1" ht="15" customHeight="1">
      <c r="A237" s="292" t="s">
        <v>133</v>
      </c>
      <c r="B237" s="293">
        <f>+B116</f>
        <v>83723.743200000012</v>
      </c>
      <c r="C237" s="295">
        <f t="shared" ref="C237:K237" si="37">+C116</f>
        <v>7803.9030666666667</v>
      </c>
      <c r="D237" s="294">
        <f t="shared" si="37"/>
        <v>53163.316133333334</v>
      </c>
      <c r="E237" s="293">
        <f t="shared" si="37"/>
        <v>163998.53</v>
      </c>
      <c r="F237" s="295">
        <f t="shared" si="37"/>
        <v>171343.49</v>
      </c>
      <c r="G237" s="295"/>
      <c r="H237" s="294">
        <f t="shared" si="37"/>
        <v>144690.96240000002</v>
      </c>
      <c r="I237" s="296">
        <f t="shared" si="37"/>
        <v>4.4786742905561359E-2</v>
      </c>
      <c r="J237" s="297">
        <f t="shared" si="37"/>
        <v>-0.15555027856617124</v>
      </c>
      <c r="K237" s="294">
        <f t="shared" si="37"/>
        <v>169282.35380000001</v>
      </c>
      <c r="L237" s="111"/>
    </row>
    <row r="238" spans="1:12" s="298" customFormat="1" ht="15" customHeight="1">
      <c r="A238" s="292" t="s">
        <v>147</v>
      </c>
      <c r="B238" s="293">
        <f>+B129</f>
        <v>16174.099200000001</v>
      </c>
      <c r="C238" s="295">
        <f t="shared" ref="C238:K238" si="38">+C129</f>
        <v>6150.7479000000003</v>
      </c>
      <c r="D238" s="294">
        <f t="shared" si="38"/>
        <v>42722.355000000003</v>
      </c>
      <c r="E238" s="293">
        <f t="shared" si="38"/>
        <v>58401.49</v>
      </c>
      <c r="F238" s="295">
        <f t="shared" si="38"/>
        <v>60547.05333333333</v>
      </c>
      <c r="G238" s="295"/>
      <c r="H238" s="294">
        <f t="shared" si="38"/>
        <v>65047.202100000002</v>
      </c>
      <c r="I238" s="296">
        <f t="shared" si="38"/>
        <v>3.6738160847151875E-2</v>
      </c>
      <c r="J238" s="297">
        <f t="shared" si="38"/>
        <v>7.4324818780060739E-2</v>
      </c>
      <c r="K238" s="294">
        <f t="shared" si="38"/>
        <v>76965.397085000004</v>
      </c>
      <c r="L238" s="111"/>
    </row>
    <row r="239" spans="1:12" s="298" customFormat="1" ht="15" customHeight="1">
      <c r="A239" s="292" t="s">
        <v>164</v>
      </c>
      <c r="B239" s="293">
        <f>+B153</f>
        <v>251432.75864715141</v>
      </c>
      <c r="C239" s="295">
        <f t="shared" ref="C239:K239" si="39">+C153</f>
        <v>63160.356059233978</v>
      </c>
      <c r="D239" s="294">
        <f t="shared" si="39"/>
        <v>330055.31222928112</v>
      </c>
      <c r="E239" s="293">
        <f t="shared" si="39"/>
        <v>662554.7193600001</v>
      </c>
      <c r="F239" s="295">
        <f t="shared" si="39"/>
        <v>617201.09333333315</v>
      </c>
      <c r="G239" s="295"/>
      <c r="H239" s="294">
        <f t="shared" si="39"/>
        <v>644648.42693566647</v>
      </c>
      <c r="I239" s="296">
        <f t="shared" si="39"/>
        <v>-6.8452649572063484E-2</v>
      </c>
      <c r="J239" s="297">
        <f t="shared" si="39"/>
        <v>4.4470649677721463E-2</v>
      </c>
      <c r="K239" s="294">
        <f t="shared" si="39"/>
        <v>657686.92432643345</v>
      </c>
      <c r="L239" s="111"/>
    </row>
    <row r="240" spans="1:12" s="298" customFormat="1" ht="15" customHeight="1">
      <c r="A240" s="292" t="s">
        <v>74</v>
      </c>
      <c r="B240" s="293">
        <f>+B167</f>
        <v>30230.676690900007</v>
      </c>
      <c r="C240" s="295">
        <f t="shared" ref="C240:K240" si="40">+C167</f>
        <v>2440.6587489000003</v>
      </c>
      <c r="D240" s="294">
        <f t="shared" si="40"/>
        <v>32276.093518000005</v>
      </c>
      <c r="E240" s="293">
        <f t="shared" si="40"/>
        <v>33201.99</v>
      </c>
      <c r="F240" s="295">
        <f t="shared" si="40"/>
        <v>44204.533333333318</v>
      </c>
      <c r="G240" s="295"/>
      <c r="H240" s="294">
        <f t="shared" si="40"/>
        <v>64947.428957800017</v>
      </c>
      <c r="I240" s="296">
        <f t="shared" si="40"/>
        <v>0.33138204467061527</v>
      </c>
      <c r="J240" s="297">
        <f t="shared" si="40"/>
        <v>0.46924815308083123</v>
      </c>
      <c r="K240" s="294">
        <f t="shared" si="40"/>
        <v>61870.495342018316</v>
      </c>
      <c r="L240" s="111"/>
    </row>
    <row r="241" spans="1:12" s="298" customFormat="1" ht="15" customHeight="1">
      <c r="A241" s="292" t="s">
        <v>369</v>
      </c>
      <c r="B241" s="293">
        <f>+B184-B200</f>
        <v>10561.016666666668</v>
      </c>
      <c r="C241" s="295">
        <f t="shared" ref="C241:K241" si="41">+C184-C200</f>
        <v>3386.0601333333334</v>
      </c>
      <c r="D241" s="294">
        <f t="shared" si="41"/>
        <v>18450.080800000003</v>
      </c>
      <c r="E241" s="293">
        <f t="shared" si="41"/>
        <v>1440.3100000000013</v>
      </c>
      <c r="F241" s="295">
        <f t="shared" si="41"/>
        <v>16019.389999999996</v>
      </c>
      <c r="G241" s="295"/>
      <c r="H241" s="294">
        <f t="shared" si="41"/>
        <v>32397.157599999999</v>
      </c>
      <c r="I241" s="296">
        <f t="shared" si="41"/>
        <v>0.47204572779268894</v>
      </c>
      <c r="J241" s="297">
        <f t="shared" si="41"/>
        <v>1.1118665999945776</v>
      </c>
      <c r="K241" s="294">
        <f t="shared" si="41"/>
        <v>25602.847641131666</v>
      </c>
      <c r="L241" s="111"/>
    </row>
    <row r="242" spans="1:12" s="25" customFormat="1" ht="11.25">
      <c r="B242" s="160"/>
      <c r="C242" s="113"/>
      <c r="D242" s="162"/>
      <c r="E242" s="160"/>
      <c r="F242" s="113"/>
      <c r="G242" s="113"/>
      <c r="H242" s="162"/>
      <c r="I242" s="92"/>
      <c r="J242" s="186"/>
      <c r="K242" s="162"/>
      <c r="L242" s="111"/>
    </row>
    <row r="243" spans="1:12" s="33" customFormat="1" ht="15" customHeight="1">
      <c r="A243" s="245" t="s">
        <v>189</v>
      </c>
      <c r="B243" s="299">
        <f>+B202</f>
        <v>524772.12931161385</v>
      </c>
      <c r="C243" s="301">
        <f t="shared" ref="C243:K243" si="42">+C202</f>
        <v>147393.49207140171</v>
      </c>
      <c r="D243" s="300">
        <f t="shared" si="42"/>
        <v>673979.97194282175</v>
      </c>
      <c r="E243" s="299">
        <f t="shared" si="42"/>
        <v>1276383.4193600004</v>
      </c>
      <c r="F243" s="301">
        <f t="shared" si="42"/>
        <v>1281952.3666666662</v>
      </c>
      <c r="G243" s="301"/>
      <c r="H243" s="300">
        <f t="shared" si="42"/>
        <v>1346145.593325837</v>
      </c>
      <c r="I243" s="302">
        <f t="shared" si="42"/>
        <v>4.3630677288633117E-3</v>
      </c>
      <c r="J243" s="303">
        <f t="shared" si="42"/>
        <v>5.0074580248317735E-2</v>
      </c>
      <c r="K243" s="300">
        <f t="shared" si="42"/>
        <v>1370095.3143853666</v>
      </c>
      <c r="L243" s="111"/>
    </row>
    <row r="244" spans="1:12" s="2" customFormat="1" ht="11.25">
      <c r="B244" s="160"/>
      <c r="C244" s="113"/>
      <c r="D244" s="162"/>
      <c r="E244" s="160"/>
      <c r="F244" s="113"/>
      <c r="G244" s="113"/>
      <c r="H244" s="162"/>
      <c r="I244" s="92"/>
      <c r="J244" s="186"/>
      <c r="K244" s="162"/>
      <c r="L244" s="111"/>
    </row>
    <row r="245" spans="1:12" s="33" customFormat="1" ht="15" customHeight="1">
      <c r="A245" s="246" t="s">
        <v>228</v>
      </c>
      <c r="B245" s="177">
        <f>+B204</f>
        <v>227088.14793108485</v>
      </c>
      <c r="C245" s="228">
        <f t="shared" ref="C245:K245" si="43">+C204</f>
        <v>-516.6938467847649</v>
      </c>
      <c r="D245" s="178">
        <f t="shared" si="43"/>
        <v>111042.59311978007</v>
      </c>
      <c r="E245" s="177">
        <f t="shared" si="43"/>
        <v>426209.31733999983</v>
      </c>
      <c r="F245" s="228">
        <f t="shared" si="43"/>
        <v>282551.4100397476</v>
      </c>
      <c r="G245" s="228"/>
      <c r="H245" s="178">
        <f t="shared" si="43"/>
        <v>337614.0472040805</v>
      </c>
      <c r="I245" s="225">
        <f t="shared" si="43"/>
        <v>-0.33705951854086769</v>
      </c>
      <c r="J245" s="193">
        <f t="shared" si="43"/>
        <v>0.19487652585625756</v>
      </c>
      <c r="K245" s="178">
        <f t="shared" si="43"/>
        <v>298442.68561463337</v>
      </c>
      <c r="L245" s="111"/>
    </row>
    <row r="246" spans="1:12" s="2" customFormat="1" ht="11.25">
      <c r="B246" s="160"/>
      <c r="C246" s="113"/>
      <c r="D246" s="162"/>
      <c r="E246" s="160"/>
      <c r="F246" s="113"/>
      <c r="G246" s="113"/>
      <c r="H246" s="162"/>
      <c r="I246" s="92"/>
      <c r="J246" s="186"/>
      <c r="K246" s="162"/>
      <c r="L246" s="111"/>
    </row>
    <row r="247" spans="1:12" s="33" customFormat="1" ht="15" customHeight="1">
      <c r="A247" s="247" t="s">
        <v>370</v>
      </c>
      <c r="B247" s="180">
        <f>+B206+B214</f>
        <v>82510.538500533148</v>
      </c>
      <c r="C247" s="230">
        <f t="shared" ref="C247:K247" si="44">+C206+C214</f>
        <v>21702.700538594112</v>
      </c>
      <c r="D247" s="181">
        <f t="shared" si="44"/>
        <v>96965.400146620203</v>
      </c>
      <c r="E247" s="180">
        <f t="shared" si="44"/>
        <v>168176.7860410487</v>
      </c>
      <c r="F247" s="230">
        <f t="shared" si="44"/>
        <v>190142.0553325979</v>
      </c>
      <c r="G247" s="230"/>
      <c r="H247" s="181">
        <f t="shared" si="44"/>
        <v>201178.63918574748</v>
      </c>
      <c r="I247" s="304">
        <f t="shared" si="44"/>
        <v>0.43852495767534722</v>
      </c>
      <c r="J247" s="195">
        <f t="shared" si="44"/>
        <v>0.48946861924841578</v>
      </c>
      <c r="K247" s="181">
        <f t="shared" si="44"/>
        <v>189766.32142287647</v>
      </c>
      <c r="L247" s="111"/>
    </row>
    <row r="248" spans="1:12" s="2" customFormat="1" ht="11.25">
      <c r="B248" s="160"/>
      <c r="C248" s="113"/>
      <c r="D248" s="162"/>
      <c r="E248" s="160"/>
      <c r="F248" s="113"/>
      <c r="G248" s="113"/>
      <c r="H248" s="162"/>
      <c r="I248" s="92"/>
      <c r="J248" s="186"/>
      <c r="K248" s="162"/>
      <c r="L248" s="111"/>
    </row>
    <row r="249" spans="1:12" s="33" customFormat="1" ht="20.100000000000001" customHeight="1">
      <c r="A249" s="246" t="s">
        <v>86</v>
      </c>
      <c r="B249" s="177">
        <f>+B216</f>
        <v>144577.6094305517</v>
      </c>
      <c r="C249" s="228">
        <f t="shared" ref="C249:K249" si="45">+C216</f>
        <v>-22219.394385378877</v>
      </c>
      <c r="D249" s="178">
        <f t="shared" si="45"/>
        <v>14077.192973159865</v>
      </c>
      <c r="E249" s="177">
        <f t="shared" si="45"/>
        <v>258032.53129895113</v>
      </c>
      <c r="F249" s="228">
        <f t="shared" si="45"/>
        <v>92409.354707149731</v>
      </c>
      <c r="G249" s="228"/>
      <c r="H249" s="178">
        <f t="shared" si="45"/>
        <v>136435.40801833302</v>
      </c>
      <c r="I249" s="225">
        <f t="shared" si="45"/>
        <v>-0.64186936336300104</v>
      </c>
      <c r="J249" s="193">
        <f t="shared" si="45"/>
        <v>0.47642420457002699</v>
      </c>
      <c r="K249" s="178">
        <f t="shared" si="45"/>
        <v>108676.36419175693</v>
      </c>
      <c r="L249" s="111"/>
    </row>
    <row r="250" spans="1:12" s="2" customFormat="1" ht="11.25">
      <c r="B250" s="17"/>
      <c r="C250" s="113"/>
      <c r="F250" s="58"/>
      <c r="G250" s="58"/>
      <c r="I250" s="66"/>
      <c r="J250" s="66"/>
      <c r="L250" s="111"/>
    </row>
    <row r="251" spans="1:12" s="298" customFormat="1" ht="18" customHeight="1">
      <c r="A251" s="292" t="s">
        <v>95</v>
      </c>
      <c r="B251" s="293">
        <v>71669</v>
      </c>
      <c r="C251" s="295">
        <v>244542</v>
      </c>
      <c r="D251" s="294">
        <v>130128</v>
      </c>
      <c r="E251" s="293">
        <f>+E28</f>
        <v>901461.33000000007</v>
      </c>
      <c r="F251" s="295"/>
      <c r="G251" s="295"/>
      <c r="H251" s="294">
        <f>SUM(B251:D251)</f>
        <v>446339</v>
      </c>
      <c r="I251" s="296"/>
      <c r="J251" s="297"/>
      <c r="K251" s="294">
        <f>SUM(E251:G251)</f>
        <v>901461.33000000007</v>
      </c>
      <c r="L251" s="111"/>
    </row>
    <row r="252" spans="1:12" s="298" customFormat="1" ht="15" customHeight="1">
      <c r="A252" s="292" t="s">
        <v>371</v>
      </c>
      <c r="B252" s="293">
        <v>282359.08505271981</v>
      </c>
      <c r="C252" s="295">
        <v>1020163.4121492588</v>
      </c>
      <c r="D252" s="294">
        <v>670037.88218592829</v>
      </c>
      <c r="E252" s="293">
        <f>+E221</f>
        <v>3963084.6401538197</v>
      </c>
      <c r="F252" s="295">
        <f>+F221</f>
        <v>4204712.4966844376</v>
      </c>
      <c r="G252" s="295"/>
      <c r="H252" s="294">
        <f>+H221</f>
        <v>4254740.0390825318</v>
      </c>
      <c r="I252" s="296"/>
      <c r="J252" s="297"/>
      <c r="K252" s="294">
        <f>+K221</f>
        <v>4272587.6183404978</v>
      </c>
      <c r="L252" s="111"/>
    </row>
    <row r="253" spans="1:12" s="298" customFormat="1" ht="15" customHeight="1">
      <c r="A253" s="292" t="s">
        <v>372</v>
      </c>
      <c r="B253" s="293">
        <v>0</v>
      </c>
      <c r="C253" s="295">
        <v>0</v>
      </c>
      <c r="D253" s="294">
        <v>0</v>
      </c>
      <c r="E253" s="293"/>
      <c r="F253" s="295"/>
      <c r="G253" s="295"/>
      <c r="H253" s="294">
        <f>SUM(B253:D253)</f>
        <v>0</v>
      </c>
      <c r="I253" s="296"/>
      <c r="J253" s="297"/>
      <c r="K253" s="294">
        <f>SUM(E253:G253)</f>
        <v>0</v>
      </c>
      <c r="L253" s="111"/>
    </row>
    <row r="254" spans="1:12" s="2" customFormat="1" ht="11.25">
      <c r="B254" s="24"/>
      <c r="C254" s="17"/>
      <c r="H254" s="24"/>
      <c r="I254" s="66"/>
    </row>
    <row r="255" spans="1:12" s="2" customFormat="1" ht="11.25">
      <c r="B255" s="24"/>
      <c r="C255" s="17"/>
      <c r="H255" s="24"/>
      <c r="I255" s="66"/>
    </row>
    <row r="256" spans="1:12">
      <c r="L256" s="111"/>
    </row>
  </sheetData>
  <mergeCells count="6">
    <mergeCell ref="B4:B5"/>
    <mergeCell ref="C4:C5"/>
    <mergeCell ref="D4:D5"/>
    <mergeCell ref="B227:B228"/>
    <mergeCell ref="C227:C228"/>
    <mergeCell ref="D227:D228"/>
  </mergeCells>
  <phoneticPr fontId="33" type="noConversion"/>
  <pageMargins left="0.78740157499999996" right="0.78740157499999996" top="0.984251969" bottom="0.984251969" header="0.4921259845" footer="0.492125984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 enableFormatConditionsCalculation="0">
    <tabColor indexed="48"/>
    <pageSetUpPr fitToPage="1"/>
  </sheetPr>
  <dimension ref="A1:M256"/>
  <sheetViews>
    <sheetView topLeftCell="A205" workbookViewId="0">
      <selection activeCell="J224" sqref="A1:J224"/>
    </sheetView>
  </sheetViews>
  <sheetFormatPr baseColWidth="10" defaultRowHeight="12.75"/>
  <cols>
    <col min="1" max="1" width="57.28515625" bestFit="1" customWidth="1"/>
    <col min="2" max="3" width="12.7109375" style="26" customWidth="1"/>
    <col min="4" max="4" width="12.7109375" style="28" customWidth="1"/>
    <col min="5" max="5" width="10" style="2" customWidth="1"/>
    <col min="6" max="6" width="11" style="2" hidden="1" customWidth="1"/>
    <col min="7" max="7" width="11" style="2" customWidth="1"/>
    <col min="8" max="8" width="9.5703125" style="66" customWidth="1"/>
    <col min="9" max="9" width="9.140625" style="66" bestFit="1" customWidth="1"/>
    <col min="10" max="10" width="10.7109375" style="2" customWidth="1"/>
  </cols>
  <sheetData>
    <row r="1" spans="1:11">
      <c r="A1" s="1" t="s">
        <v>515</v>
      </c>
      <c r="D1" s="55" t="s">
        <v>299</v>
      </c>
    </row>
    <row r="3" spans="1:11" s="2" customFormat="1" ht="12.75" customHeight="1">
      <c r="A3" s="6"/>
      <c r="B3" s="211"/>
      <c r="C3" s="200"/>
      <c r="D3" s="267" t="s">
        <v>55</v>
      </c>
      <c r="E3" s="130" t="s">
        <v>364</v>
      </c>
      <c r="F3" s="130" t="s">
        <v>543</v>
      </c>
      <c r="G3" s="104" t="s">
        <v>196</v>
      </c>
      <c r="H3" s="151" t="s">
        <v>225</v>
      </c>
      <c r="I3" s="183" t="s">
        <v>225</v>
      </c>
      <c r="J3" s="8" t="s">
        <v>196</v>
      </c>
    </row>
    <row r="4" spans="1:11" s="2" customFormat="1" ht="20.25" customHeight="1">
      <c r="A4" s="7" t="s">
        <v>218</v>
      </c>
      <c r="B4" s="213" t="s">
        <v>202</v>
      </c>
      <c r="C4" s="214" t="s">
        <v>203</v>
      </c>
      <c r="D4" s="260" t="s">
        <v>366</v>
      </c>
      <c r="E4" s="131" t="s">
        <v>366</v>
      </c>
      <c r="F4" s="131" t="s">
        <v>432</v>
      </c>
      <c r="G4" s="105" t="s">
        <v>197</v>
      </c>
      <c r="H4" s="152" t="s">
        <v>55</v>
      </c>
      <c r="I4" s="131" t="s">
        <v>432</v>
      </c>
      <c r="J4" s="9" t="s">
        <v>197</v>
      </c>
    </row>
    <row r="5" spans="1:11" s="2" customFormat="1" ht="20.25" customHeight="1">
      <c r="A5" s="7" t="s">
        <v>217</v>
      </c>
      <c r="B5" s="215"/>
      <c r="C5" s="201"/>
      <c r="D5" s="157">
        <f>D217</f>
        <v>60832.532284475157</v>
      </c>
      <c r="E5" s="157">
        <f>E217</f>
        <v>11374.990589578076</v>
      </c>
      <c r="F5" s="157">
        <f>F217</f>
        <v>39911.251639401715</v>
      </c>
      <c r="G5" s="157">
        <f>G217</f>
        <v>39911.2516394017</v>
      </c>
      <c r="H5" s="152"/>
      <c r="I5" s="132" t="s">
        <v>433</v>
      </c>
      <c r="J5" s="10"/>
    </row>
    <row r="6" spans="1:11" s="2" customFormat="1" ht="18">
      <c r="A6" s="68"/>
      <c r="B6" s="216"/>
      <c r="C6" s="202"/>
      <c r="D6" s="269">
        <v>2009</v>
      </c>
      <c r="E6" s="133">
        <v>2010</v>
      </c>
      <c r="F6" s="133">
        <v>2009</v>
      </c>
      <c r="G6" s="159">
        <v>2011</v>
      </c>
      <c r="H6" s="153" t="s">
        <v>544</v>
      </c>
      <c r="I6" s="185" t="s">
        <v>368</v>
      </c>
      <c r="J6" s="4">
        <v>2010</v>
      </c>
      <c r="K6" s="2">
        <v>2010</v>
      </c>
    </row>
    <row r="7" spans="1:11" s="2" customFormat="1" ht="18">
      <c r="A7" s="67"/>
      <c r="B7" s="218"/>
      <c r="C7" s="219"/>
      <c r="D7" s="160"/>
      <c r="E7" s="134"/>
      <c r="F7" s="134"/>
      <c r="G7" s="154"/>
      <c r="H7" s="149"/>
      <c r="I7" s="186"/>
      <c r="J7" s="115"/>
    </row>
    <row r="8" spans="1:11" s="2" customFormat="1" ht="11.25">
      <c r="A8" s="5" t="s">
        <v>221</v>
      </c>
      <c r="B8" s="113">
        <f>+Vannes!$G8</f>
        <v>897500</v>
      </c>
      <c r="C8" s="162">
        <f>+Rennes!$G8</f>
        <v>514100</v>
      </c>
      <c r="D8" s="160">
        <f>+Rennes!E8+Vannes!E8</f>
        <v>1259086.56</v>
      </c>
      <c r="E8" s="135">
        <f>+Rennes!F8+Vannes!F8</f>
        <v>1261000</v>
      </c>
      <c r="F8" s="135">
        <f>+G8</f>
        <v>1411600</v>
      </c>
      <c r="G8" s="161">
        <f t="shared" ref="G8:G19" si="0">SUM(B8:C8)</f>
        <v>1411600</v>
      </c>
      <c r="H8" s="149">
        <f>+IF((D8)=0,,(E8-D8)/D8)</f>
        <v>1.5197048882802339E-3</v>
      </c>
      <c r="I8" s="271">
        <f>+IF((E8)=0,,(G8-E8)/E8)</f>
        <v>0.11942902458366376</v>
      </c>
      <c r="J8" s="117">
        <f>+Rennes!D8+Vannes!D8</f>
        <v>1498400</v>
      </c>
    </row>
    <row r="9" spans="1:11" s="2" customFormat="1" ht="11.25">
      <c r="A9" s="5" t="s">
        <v>422</v>
      </c>
      <c r="B9" s="113">
        <f>+Vannes!$G9</f>
        <v>0</v>
      </c>
      <c r="C9" s="162">
        <f>+Rennes!$G9</f>
        <v>0</v>
      </c>
      <c r="D9" s="160">
        <f>+Rennes!E9+Vannes!E9</f>
        <v>169709.99</v>
      </c>
      <c r="E9" s="135">
        <f>+Rennes!F9+Vannes!F9</f>
        <v>0</v>
      </c>
      <c r="F9" s="135">
        <f t="shared" ref="F9:F19" si="1">+G9</f>
        <v>0</v>
      </c>
      <c r="G9" s="161">
        <f t="shared" si="0"/>
        <v>0</v>
      </c>
      <c r="H9" s="149">
        <f t="shared" ref="H9:H19" si="2">+IF((D9)=0,,(E9-D9)/D9)</f>
        <v>-1</v>
      </c>
      <c r="I9" s="271">
        <f t="shared" ref="I9:I19" si="3">+IF((E9)=0,,(G9-E9)/E9)</f>
        <v>0</v>
      </c>
      <c r="J9" s="117">
        <f>+Rennes!D9+Vannes!D9</f>
        <v>0</v>
      </c>
    </row>
    <row r="10" spans="1:11" s="2" customFormat="1" ht="11.25">
      <c r="A10" s="5" t="s">
        <v>84</v>
      </c>
      <c r="B10" s="113">
        <f>+Vannes!$G10</f>
        <v>0</v>
      </c>
      <c r="C10" s="162">
        <f>+Rennes!G10</f>
        <v>0</v>
      </c>
      <c r="D10" s="160">
        <f>+Rennes!E10+Vannes!E10</f>
        <v>0</v>
      </c>
      <c r="E10" s="135">
        <f>+Rennes!F10+Vannes!F10</f>
        <v>0</v>
      </c>
      <c r="F10" s="135">
        <f t="shared" si="1"/>
        <v>0</v>
      </c>
      <c r="G10" s="161">
        <f t="shared" si="0"/>
        <v>0</v>
      </c>
      <c r="H10" s="149">
        <f t="shared" si="2"/>
        <v>0</v>
      </c>
      <c r="I10" s="271">
        <f t="shared" si="3"/>
        <v>0</v>
      </c>
      <c r="J10" s="117">
        <f>+Rennes!D10+Vannes!D10</f>
        <v>0</v>
      </c>
    </row>
    <row r="11" spans="1:11" s="2" customFormat="1" ht="11.25">
      <c r="A11" s="5" t="s">
        <v>267</v>
      </c>
      <c r="B11" s="113">
        <f>+Vannes!$G11</f>
        <v>0</v>
      </c>
      <c r="C11" s="162">
        <f>+Rennes!G11</f>
        <v>0</v>
      </c>
      <c r="D11" s="160">
        <f>+Rennes!E11+Vannes!E11</f>
        <v>0</v>
      </c>
      <c r="E11" s="135">
        <f>+Rennes!F11+Vannes!F11</f>
        <v>0</v>
      </c>
      <c r="F11" s="135">
        <f t="shared" si="1"/>
        <v>0</v>
      </c>
      <c r="G11" s="161">
        <f t="shared" si="0"/>
        <v>0</v>
      </c>
      <c r="H11" s="149">
        <f t="shared" si="2"/>
        <v>0</v>
      </c>
      <c r="I11" s="271">
        <f t="shared" si="3"/>
        <v>0</v>
      </c>
      <c r="J11" s="117">
        <f>+Rennes!D11+Vannes!D11</f>
        <v>0</v>
      </c>
    </row>
    <row r="12" spans="1:11" s="2" customFormat="1" ht="11.25">
      <c r="A12" s="5" t="s">
        <v>46</v>
      </c>
      <c r="B12" s="113">
        <f>+Vannes!$G12</f>
        <v>0</v>
      </c>
      <c r="C12" s="162">
        <f>+Rennes!G12</f>
        <v>0</v>
      </c>
      <c r="D12" s="160">
        <f>+Rennes!E12+Vannes!E12</f>
        <v>0</v>
      </c>
      <c r="E12" s="135">
        <f>+Rennes!F12+Vannes!F12</f>
        <v>0</v>
      </c>
      <c r="F12" s="135">
        <f t="shared" si="1"/>
        <v>0</v>
      </c>
      <c r="G12" s="161">
        <f t="shared" si="0"/>
        <v>0</v>
      </c>
      <c r="H12" s="149">
        <f t="shared" si="2"/>
        <v>0</v>
      </c>
      <c r="I12" s="271">
        <f t="shared" si="3"/>
        <v>0</v>
      </c>
      <c r="J12" s="117">
        <f>+Rennes!D12+Vannes!D12</f>
        <v>0</v>
      </c>
    </row>
    <row r="13" spans="1:11" s="2" customFormat="1" ht="11.25">
      <c r="A13" s="5" t="s">
        <v>268</v>
      </c>
      <c r="B13" s="113">
        <f>+Vannes!$G13</f>
        <v>0</v>
      </c>
      <c r="C13" s="162">
        <f>+Rennes!G13</f>
        <v>0</v>
      </c>
      <c r="D13" s="160">
        <f>+Rennes!E13+Vannes!E13</f>
        <v>0</v>
      </c>
      <c r="E13" s="135">
        <f>+Rennes!F13+Vannes!F13</f>
        <v>0</v>
      </c>
      <c r="F13" s="135">
        <f t="shared" si="1"/>
        <v>0</v>
      </c>
      <c r="G13" s="161">
        <f t="shared" si="0"/>
        <v>0</v>
      </c>
      <c r="H13" s="149">
        <f t="shared" si="2"/>
        <v>0</v>
      </c>
      <c r="I13" s="271">
        <f t="shared" si="3"/>
        <v>0</v>
      </c>
      <c r="J13" s="117">
        <f>+Rennes!D13+Vannes!D13</f>
        <v>0</v>
      </c>
    </row>
    <row r="14" spans="1:11" s="2" customFormat="1" ht="11.25">
      <c r="A14" s="5" t="s">
        <v>269</v>
      </c>
      <c r="B14" s="113">
        <f>+Vannes!$G14</f>
        <v>0</v>
      </c>
      <c r="C14" s="162">
        <f>+Rennes!G14</f>
        <v>0</v>
      </c>
      <c r="D14" s="160">
        <f>+Rennes!E14+Vannes!E14</f>
        <v>420.32000000000005</v>
      </c>
      <c r="E14" s="135">
        <f>+Rennes!F14+Vannes!F14</f>
        <v>468.37</v>
      </c>
      <c r="F14" s="135">
        <f t="shared" si="1"/>
        <v>0</v>
      </c>
      <c r="G14" s="161">
        <f t="shared" si="0"/>
        <v>0</v>
      </c>
      <c r="H14" s="149">
        <f t="shared" si="2"/>
        <v>0.11431766273315556</v>
      </c>
      <c r="I14" s="271">
        <f t="shared" si="3"/>
        <v>-1</v>
      </c>
      <c r="J14" s="117">
        <f>+Rennes!D14+Vannes!D14</f>
        <v>0</v>
      </c>
    </row>
    <row r="15" spans="1:11" s="2" customFormat="1" ht="11.25">
      <c r="A15" s="5" t="s">
        <v>270</v>
      </c>
      <c r="B15" s="113">
        <f>+Vannes!$G15</f>
        <v>0</v>
      </c>
      <c r="C15" s="162">
        <f>+Rennes!G15</f>
        <v>0</v>
      </c>
      <c r="D15" s="160">
        <f>+Rennes!E15+Vannes!E15</f>
        <v>2892</v>
      </c>
      <c r="E15" s="135">
        <f>+Rennes!F15+Vannes!F15</f>
        <v>2055</v>
      </c>
      <c r="F15" s="135">
        <f t="shared" si="1"/>
        <v>0</v>
      </c>
      <c r="G15" s="161">
        <f t="shared" si="0"/>
        <v>0</v>
      </c>
      <c r="H15" s="149">
        <f t="shared" si="2"/>
        <v>-0.28941908713692949</v>
      </c>
      <c r="I15" s="271">
        <f t="shared" si="3"/>
        <v>-1</v>
      </c>
      <c r="J15" s="117">
        <f>+Rennes!D15+Vannes!D15</f>
        <v>0</v>
      </c>
    </row>
    <row r="16" spans="1:11" s="2" customFormat="1" ht="11.25">
      <c r="A16" s="5" t="s">
        <v>85</v>
      </c>
      <c r="B16" s="113">
        <f>+Vannes!$G16</f>
        <v>0</v>
      </c>
      <c r="C16" s="162">
        <f>+Rennes!G16</f>
        <v>0</v>
      </c>
      <c r="D16" s="160">
        <f>+Rennes!E16+Vannes!E16</f>
        <v>0</v>
      </c>
      <c r="E16" s="135">
        <f>+Rennes!F16+Vannes!F16</f>
        <v>0</v>
      </c>
      <c r="F16" s="135">
        <f t="shared" si="1"/>
        <v>0</v>
      </c>
      <c r="G16" s="161">
        <f t="shared" si="0"/>
        <v>0</v>
      </c>
      <c r="H16" s="149">
        <f t="shared" si="2"/>
        <v>0</v>
      </c>
      <c r="I16" s="271">
        <f t="shared" si="3"/>
        <v>0</v>
      </c>
      <c r="J16" s="117">
        <f>+Rennes!D16+Vannes!D16</f>
        <v>0</v>
      </c>
    </row>
    <row r="17" spans="1:10" s="2" customFormat="1" ht="11.25">
      <c r="A17" s="5" t="s">
        <v>88</v>
      </c>
      <c r="B17" s="113">
        <f>+Vannes!$G17</f>
        <v>0</v>
      </c>
      <c r="C17" s="162">
        <f>+Rennes!G17</f>
        <v>0</v>
      </c>
      <c r="D17" s="160">
        <f>+Rennes!E17+Vannes!E17</f>
        <v>0</v>
      </c>
      <c r="E17" s="135">
        <f>+Rennes!F17+Vannes!F17</f>
        <v>0</v>
      </c>
      <c r="F17" s="135">
        <f t="shared" si="1"/>
        <v>0</v>
      </c>
      <c r="G17" s="161">
        <f t="shared" si="0"/>
        <v>0</v>
      </c>
      <c r="H17" s="149">
        <f t="shared" si="2"/>
        <v>0</v>
      </c>
      <c r="I17" s="271">
        <f t="shared" si="3"/>
        <v>0</v>
      </c>
      <c r="J17" s="117">
        <f>+Rennes!D17+Vannes!D17</f>
        <v>0</v>
      </c>
    </row>
    <row r="18" spans="1:10" s="2" customFormat="1" ht="11.25">
      <c r="A18" s="5" t="s">
        <v>89</v>
      </c>
      <c r="B18" s="113">
        <f>+Vannes!$G18</f>
        <v>0</v>
      </c>
      <c r="C18" s="162">
        <f>+Rennes!G18</f>
        <v>0</v>
      </c>
      <c r="D18" s="160">
        <f>+Rennes!E18+Vannes!E18</f>
        <v>0</v>
      </c>
      <c r="E18" s="135">
        <f>+Rennes!F18+Vannes!F18</f>
        <v>0</v>
      </c>
      <c r="F18" s="135">
        <f t="shared" si="1"/>
        <v>0</v>
      </c>
      <c r="G18" s="161">
        <f t="shared" si="0"/>
        <v>0</v>
      </c>
      <c r="H18" s="149">
        <f t="shared" si="2"/>
        <v>0</v>
      </c>
      <c r="I18" s="271">
        <f t="shared" si="3"/>
        <v>0</v>
      </c>
      <c r="J18" s="117">
        <f>+Rennes!D18+Vannes!D18</f>
        <v>0</v>
      </c>
    </row>
    <row r="19" spans="1:10" s="2" customFormat="1" ht="11.25">
      <c r="A19" s="5" t="s">
        <v>90</v>
      </c>
      <c r="B19" s="113">
        <f>+Vannes!$G19</f>
        <v>0</v>
      </c>
      <c r="C19" s="162">
        <f>+Rennes!G19</f>
        <v>0</v>
      </c>
      <c r="D19" s="160">
        <f>+Rennes!E19+Vannes!E19</f>
        <v>0</v>
      </c>
      <c r="E19" s="135">
        <f>+Rennes!F19+Vannes!F19</f>
        <v>0</v>
      </c>
      <c r="F19" s="135">
        <f t="shared" si="1"/>
        <v>0</v>
      </c>
      <c r="G19" s="161">
        <f t="shared" si="0"/>
        <v>0</v>
      </c>
      <c r="H19" s="149">
        <f t="shared" si="2"/>
        <v>0</v>
      </c>
      <c r="I19" s="271">
        <f t="shared" si="3"/>
        <v>0</v>
      </c>
      <c r="J19" s="117">
        <f>+Rennes!D19+Vannes!D19</f>
        <v>0</v>
      </c>
    </row>
    <row r="20" spans="1:10" s="2" customFormat="1" ht="11.25">
      <c r="A20" s="5"/>
      <c r="B20" s="113"/>
      <c r="C20" s="162"/>
      <c r="D20" s="160"/>
      <c r="E20" s="134"/>
      <c r="F20" s="135"/>
      <c r="G20" s="154"/>
      <c r="H20" s="149"/>
      <c r="I20" s="254"/>
      <c r="J20" s="115"/>
    </row>
    <row r="21" spans="1:10" s="57" customFormat="1" ht="15" customHeight="1">
      <c r="A21" s="13" t="s">
        <v>222</v>
      </c>
      <c r="B21" s="204">
        <f>SUM(B8:B20)</f>
        <v>897500</v>
      </c>
      <c r="C21" s="168">
        <f>SUM(C8:C20)</f>
        <v>514100</v>
      </c>
      <c r="D21" s="163">
        <f>SUM(D7:D20)</f>
        <v>1432108.87</v>
      </c>
      <c r="E21" s="136">
        <f>SUM(E7:E20)</f>
        <v>1263523.3700000001</v>
      </c>
      <c r="F21" s="136">
        <f>SUM(F7:F20)</f>
        <v>1411600</v>
      </c>
      <c r="G21" s="168">
        <f>SUM(B21:C21)</f>
        <v>1411600</v>
      </c>
      <c r="H21" s="272">
        <f>+IF((D21)=0,,(E21-D21)/D21)</f>
        <v>-0.1177183547505016</v>
      </c>
      <c r="I21" s="188">
        <f>+IF((E21)=0,,(G21-E21)/E21)</f>
        <v>0.11719342397283865</v>
      </c>
      <c r="J21" s="118">
        <f>SUM(J7:J20)</f>
        <v>1498400</v>
      </c>
    </row>
    <row r="22" spans="1:10" s="57" customFormat="1" ht="15" customHeight="1">
      <c r="A22" s="5"/>
      <c r="B22" s="113"/>
      <c r="C22" s="162"/>
      <c r="D22" s="160"/>
      <c r="E22" s="134"/>
      <c r="F22" s="134"/>
      <c r="G22" s="154"/>
      <c r="H22" s="149"/>
      <c r="I22" s="271"/>
      <c r="J22" s="115"/>
    </row>
    <row r="23" spans="1:10" s="2" customFormat="1" ht="11.25">
      <c r="A23" s="5" t="s">
        <v>92</v>
      </c>
      <c r="B23" s="113">
        <f>+Vannes!G23</f>
        <v>0</v>
      </c>
      <c r="C23" s="162">
        <f>+Rennes!G23</f>
        <v>0</v>
      </c>
      <c r="D23" s="160">
        <f>+Rennes!E23+Vannes!E23</f>
        <v>0</v>
      </c>
      <c r="E23" s="135"/>
      <c r="F23" s="135">
        <v>0</v>
      </c>
      <c r="G23" s="161">
        <f t="shared" ref="G23:G29" si="4">SUM(B23:C23)</f>
        <v>0</v>
      </c>
      <c r="H23" s="149"/>
      <c r="I23" s="271"/>
      <c r="J23" s="115"/>
    </row>
    <row r="24" spans="1:10" s="2" customFormat="1" ht="11.25">
      <c r="A24" s="5" t="s">
        <v>93</v>
      </c>
      <c r="B24" s="113">
        <f>+Vannes!G24</f>
        <v>0</v>
      </c>
      <c r="C24" s="162">
        <f>+Rennes!G24</f>
        <v>0</v>
      </c>
      <c r="D24" s="160">
        <f>+Rennes!E24+Vannes!E24</f>
        <v>366634.43999999994</v>
      </c>
      <c r="E24" s="135"/>
      <c r="F24" s="135">
        <v>0</v>
      </c>
      <c r="G24" s="161">
        <f t="shared" si="4"/>
        <v>0</v>
      </c>
      <c r="H24" s="149"/>
      <c r="I24" s="271"/>
      <c r="J24" s="115"/>
    </row>
    <row r="25" spans="1:10" s="2" customFormat="1" ht="11.25">
      <c r="A25" s="5" t="s">
        <v>94</v>
      </c>
      <c r="B25" s="113">
        <f>+Vannes!G25</f>
        <v>0</v>
      </c>
      <c r="C25" s="162">
        <f>+Rennes!G25</f>
        <v>0</v>
      </c>
      <c r="D25" s="160">
        <f>+Rennes!E25+Vannes!E25</f>
        <v>47852.2</v>
      </c>
      <c r="E25" s="135"/>
      <c r="F25" s="135">
        <v>0</v>
      </c>
      <c r="G25" s="161">
        <f t="shared" si="4"/>
        <v>0</v>
      </c>
      <c r="H25" s="149"/>
      <c r="I25" s="271"/>
      <c r="J25" s="115"/>
    </row>
    <row r="26" spans="1:10" s="57" customFormat="1" ht="15" customHeight="1">
      <c r="A26" s="5" t="s">
        <v>288</v>
      </c>
      <c r="B26" s="113">
        <f>+Vannes!G26</f>
        <v>0</v>
      </c>
      <c r="C26" s="162">
        <f>+Rennes!G26</f>
        <v>0</v>
      </c>
      <c r="D26" s="160">
        <f>+Rennes!E26+Vannes!E26</f>
        <v>117610</v>
      </c>
      <c r="E26" s="135"/>
      <c r="F26" s="135">
        <v>0</v>
      </c>
      <c r="G26" s="161">
        <f t="shared" si="4"/>
        <v>0</v>
      </c>
      <c r="H26" s="149"/>
      <c r="I26" s="271"/>
      <c r="J26" s="115"/>
    </row>
    <row r="27" spans="1:10" s="57" customFormat="1" ht="15" customHeight="1">
      <c r="A27" s="5" t="s">
        <v>289</v>
      </c>
      <c r="B27" s="113">
        <f>+Vannes!G27</f>
        <v>0</v>
      </c>
      <c r="C27" s="162">
        <f>+Rennes!G27</f>
        <v>0</v>
      </c>
      <c r="D27" s="160">
        <f>+Rennes!E27+Vannes!E27</f>
        <v>-137497</v>
      </c>
      <c r="E27" s="135"/>
      <c r="F27" s="135">
        <v>0</v>
      </c>
      <c r="G27" s="161">
        <f t="shared" si="4"/>
        <v>0</v>
      </c>
      <c r="H27" s="149"/>
      <c r="I27" s="271"/>
      <c r="J27" s="115"/>
    </row>
    <row r="28" spans="1:10" s="2" customFormat="1" ht="11.25">
      <c r="A28" s="5" t="s">
        <v>95</v>
      </c>
      <c r="B28" s="113">
        <f>+Vannes!G28</f>
        <v>255000</v>
      </c>
      <c r="C28" s="162">
        <f>+Rennes!G28</f>
        <v>135000</v>
      </c>
      <c r="D28" s="160">
        <f>+Rennes!E28+Vannes!E28</f>
        <v>381777</v>
      </c>
      <c r="E28" s="135"/>
      <c r="F28" s="135">
        <v>0</v>
      </c>
      <c r="G28" s="161">
        <f t="shared" si="4"/>
        <v>390000</v>
      </c>
      <c r="H28" s="149"/>
      <c r="I28" s="271"/>
      <c r="J28" s="115"/>
    </row>
    <row r="29" spans="1:10" s="2" customFormat="1" ht="11.25">
      <c r="A29" s="5" t="s">
        <v>293</v>
      </c>
      <c r="B29" s="113">
        <f>+Vannes!G29</f>
        <v>0</v>
      </c>
      <c r="C29" s="162">
        <f>+Rennes!G29</f>
        <v>0</v>
      </c>
      <c r="D29" s="160">
        <f>+Rennes!E29+Vannes!E29</f>
        <v>0</v>
      </c>
      <c r="E29" s="135">
        <f>+Rennes!F29+Vannes!F29</f>
        <v>0</v>
      </c>
      <c r="F29" s="135">
        <v>0</v>
      </c>
      <c r="G29" s="161">
        <f t="shared" si="4"/>
        <v>0</v>
      </c>
      <c r="H29" s="149"/>
      <c r="I29" s="271"/>
      <c r="J29" s="115"/>
    </row>
    <row r="30" spans="1:10" s="2" customFormat="1" ht="11.25">
      <c r="A30" s="42" t="s">
        <v>292</v>
      </c>
      <c r="B30" s="220">
        <f>SUM(B23:B29)</f>
        <v>255000</v>
      </c>
      <c r="C30" s="165">
        <f>SUM(C23:C29)</f>
        <v>135000</v>
      </c>
      <c r="D30" s="165">
        <f>SUM(D23:D29)</f>
        <v>776376.6399999999</v>
      </c>
      <c r="E30" s="165"/>
      <c r="F30" s="165">
        <v>0</v>
      </c>
      <c r="G30" s="165">
        <f>SUM(G23:G29)</f>
        <v>390000</v>
      </c>
      <c r="H30" s="273"/>
      <c r="I30" s="342"/>
      <c r="J30" s="119"/>
    </row>
    <row r="31" spans="1:10" s="2" customFormat="1" ht="15" customHeight="1">
      <c r="A31" s="5"/>
      <c r="B31" s="113"/>
      <c r="C31" s="162"/>
      <c r="D31" s="160"/>
      <c r="E31" s="134"/>
      <c r="F31" s="134"/>
      <c r="G31" s="154"/>
      <c r="H31" s="149"/>
      <c r="I31" s="254"/>
      <c r="J31" s="115"/>
    </row>
    <row r="32" spans="1:10" s="2" customFormat="1" ht="15" customHeight="1">
      <c r="A32" s="56" t="s">
        <v>336</v>
      </c>
      <c r="B32" s="221">
        <f>+B21-B30-B38</f>
        <v>642500</v>
      </c>
      <c r="C32" s="167">
        <f>+C21-C30-C38</f>
        <v>379100</v>
      </c>
      <c r="D32" s="167">
        <f>+D21-D30-D38</f>
        <v>638626.41960000026</v>
      </c>
      <c r="E32" s="167"/>
      <c r="F32" s="167">
        <v>1533520.7015</v>
      </c>
      <c r="G32" s="167">
        <f>+G21-G30-G38</f>
        <v>1021600</v>
      </c>
      <c r="H32" s="273"/>
      <c r="I32" s="274"/>
      <c r="J32" s="120"/>
    </row>
    <row r="33" spans="1:10" s="2" customFormat="1" ht="11.25">
      <c r="A33" s="56" t="s">
        <v>337</v>
      </c>
      <c r="B33" s="222">
        <f>+B32/B21</f>
        <v>0.71587743732590525</v>
      </c>
      <c r="C33" s="189">
        <f>+C32/C21</f>
        <v>0.73740517409064388</v>
      </c>
      <c r="D33" s="189">
        <f>+D32/D21</f>
        <v>0.44593426727396795</v>
      </c>
      <c r="E33" s="138"/>
      <c r="F33" s="138">
        <v>1</v>
      </c>
      <c r="G33" s="196">
        <f>+G32/G21</f>
        <v>0.7237177670728252</v>
      </c>
      <c r="H33" s="273"/>
      <c r="I33" s="274"/>
      <c r="J33" s="120"/>
    </row>
    <row r="34" spans="1:10" s="2" customFormat="1" ht="11.25">
      <c r="A34" s="5"/>
      <c r="B34" s="113"/>
      <c r="C34" s="162"/>
      <c r="D34" s="160"/>
      <c r="E34" s="134"/>
      <c r="F34" s="134"/>
      <c r="G34" s="154"/>
      <c r="H34" s="149"/>
      <c r="I34" s="271"/>
      <c r="J34" s="115"/>
    </row>
    <row r="35" spans="1:10" s="33" customFormat="1" ht="15" customHeight="1">
      <c r="A35" s="5" t="s">
        <v>96</v>
      </c>
      <c r="B35" s="113">
        <f>+Vannes!G35</f>
        <v>0</v>
      </c>
      <c r="C35" s="162">
        <f>+Rennes!G35</f>
        <v>0</v>
      </c>
      <c r="D35" s="160">
        <f>+Rennes!E35+Vannes!E35</f>
        <v>9114.58</v>
      </c>
      <c r="E35" s="134"/>
      <c r="F35" s="134">
        <v>0</v>
      </c>
      <c r="G35" s="161">
        <f t="shared" ref="G35:G42" si="5">SUM(B35:C35)</f>
        <v>0</v>
      </c>
      <c r="H35" s="149"/>
      <c r="I35" s="271"/>
      <c r="J35" s="115"/>
    </row>
    <row r="36" spans="1:10" s="2" customFormat="1" ht="11.25">
      <c r="A36" s="5" t="s">
        <v>97</v>
      </c>
      <c r="B36" s="113">
        <f>+Vannes!G36</f>
        <v>0</v>
      </c>
      <c r="C36" s="162">
        <f>+Rennes!G36</f>
        <v>0</v>
      </c>
      <c r="D36" s="160">
        <f>+Rennes!E36+Vannes!E36</f>
        <v>10876.32</v>
      </c>
      <c r="E36" s="134"/>
      <c r="F36" s="134">
        <v>0</v>
      </c>
      <c r="G36" s="161">
        <f t="shared" si="5"/>
        <v>0</v>
      </c>
      <c r="H36" s="149"/>
      <c r="I36" s="271"/>
      <c r="J36" s="115"/>
    </row>
    <row r="37" spans="1:10" s="33" customFormat="1" ht="15.75" customHeight="1">
      <c r="A37" s="5" t="s">
        <v>98</v>
      </c>
      <c r="B37" s="113">
        <f>+Vannes!G37</f>
        <v>0</v>
      </c>
      <c r="C37" s="162">
        <f>+Rennes!G37</f>
        <v>0</v>
      </c>
      <c r="D37" s="160">
        <f>+Rennes!E37+Vannes!E37</f>
        <v>0</v>
      </c>
      <c r="E37" s="134"/>
      <c r="F37" s="134">
        <v>0</v>
      </c>
      <c r="G37" s="161">
        <f t="shared" si="5"/>
        <v>0</v>
      </c>
      <c r="H37" s="149"/>
      <c r="I37" s="271"/>
      <c r="J37" s="115"/>
    </row>
    <row r="38" spans="1:10" s="2" customFormat="1" ht="11.25">
      <c r="A38" s="5" t="s">
        <v>99</v>
      </c>
      <c r="B38" s="113">
        <f>+Vannes!G38</f>
        <v>0</v>
      </c>
      <c r="C38" s="162">
        <f>+Rennes!G38</f>
        <v>0</v>
      </c>
      <c r="D38" s="160">
        <f>+Rennes!E38+Vannes!E38</f>
        <v>17105.810400000002</v>
      </c>
      <c r="E38" s="134"/>
      <c r="F38" s="134">
        <v>0</v>
      </c>
      <c r="G38" s="161">
        <f t="shared" si="5"/>
        <v>0</v>
      </c>
      <c r="H38" s="149"/>
      <c r="I38" s="271"/>
      <c r="J38" s="115"/>
    </row>
    <row r="39" spans="1:10" s="2" customFormat="1" ht="11.25">
      <c r="A39" s="5" t="s">
        <v>177</v>
      </c>
      <c r="B39" s="113">
        <f>+Vannes!G39</f>
        <v>0</v>
      </c>
      <c r="C39" s="162">
        <f>+Rennes!G39</f>
        <v>0</v>
      </c>
      <c r="D39" s="160">
        <f>+Rennes!E39+Vannes!E39</f>
        <v>12682.29</v>
      </c>
      <c r="E39" s="134"/>
      <c r="F39" s="134">
        <v>0</v>
      </c>
      <c r="G39" s="161">
        <f t="shared" si="5"/>
        <v>0</v>
      </c>
      <c r="H39" s="149"/>
      <c r="I39" s="271"/>
      <c r="J39" s="115"/>
    </row>
    <row r="40" spans="1:10" s="2" customFormat="1" ht="11.25">
      <c r="A40" s="5" t="s">
        <v>176</v>
      </c>
      <c r="B40" s="113">
        <f>+Vannes!G40</f>
        <v>0</v>
      </c>
      <c r="C40" s="162">
        <f>+Rennes!G40</f>
        <v>0</v>
      </c>
      <c r="D40" s="160">
        <f>+Rennes!E40+Vannes!E40</f>
        <v>-14793.09</v>
      </c>
      <c r="E40" s="134"/>
      <c r="F40" s="134">
        <v>0</v>
      </c>
      <c r="G40" s="161">
        <f t="shared" si="5"/>
        <v>0</v>
      </c>
      <c r="H40" s="149"/>
      <c r="I40" s="271"/>
      <c r="J40" s="115"/>
    </row>
    <row r="41" spans="1:10" s="2" customFormat="1" ht="11.25">
      <c r="A41" s="5" t="s">
        <v>317</v>
      </c>
      <c r="B41" s="113">
        <f>+Vannes!G41</f>
        <v>0</v>
      </c>
      <c r="C41" s="162">
        <f>+Rennes!G41</f>
        <v>0</v>
      </c>
      <c r="D41" s="160">
        <f>+Rennes!E41+Vannes!E41</f>
        <v>-12093.2</v>
      </c>
      <c r="E41" s="134"/>
      <c r="F41" s="134">
        <v>0</v>
      </c>
      <c r="G41" s="161">
        <f t="shared" si="5"/>
        <v>0</v>
      </c>
      <c r="H41" s="149"/>
      <c r="I41" s="271"/>
      <c r="J41" s="115"/>
    </row>
    <row r="42" spans="1:10" s="2" customFormat="1" ht="11.25">
      <c r="A42" s="5" t="s">
        <v>318</v>
      </c>
      <c r="B42" s="113">
        <f>+Vannes!G42</f>
        <v>0</v>
      </c>
      <c r="C42" s="162">
        <f>+Rennes!G42</f>
        <v>0</v>
      </c>
      <c r="D42" s="160">
        <f>+Rennes!E42+Vannes!E42</f>
        <v>-25868.579999999998</v>
      </c>
      <c r="E42" s="134"/>
      <c r="F42" s="134">
        <v>0</v>
      </c>
      <c r="G42" s="161">
        <f t="shared" si="5"/>
        <v>0</v>
      </c>
      <c r="H42" s="149"/>
      <c r="I42" s="271"/>
      <c r="J42" s="115"/>
    </row>
    <row r="43" spans="1:10" s="2" customFormat="1" ht="11.25">
      <c r="A43" s="5"/>
      <c r="B43" s="113"/>
      <c r="C43" s="162"/>
      <c r="D43" s="160"/>
      <c r="E43" s="134"/>
      <c r="F43" s="134"/>
      <c r="G43" s="161"/>
      <c r="H43" s="149"/>
      <c r="I43" s="254"/>
      <c r="J43" s="115"/>
    </row>
    <row r="44" spans="1:10" s="2" customFormat="1" ht="11.25">
      <c r="A44" s="13" t="s">
        <v>291</v>
      </c>
      <c r="B44" s="204">
        <f>SUM(B35:B42)+B30</f>
        <v>255000</v>
      </c>
      <c r="C44" s="168">
        <f>SUM(C35:C42)+C30</f>
        <v>135000</v>
      </c>
      <c r="D44" s="168">
        <f>SUM(D35:D42)+D30</f>
        <v>773400.77039999992</v>
      </c>
      <c r="E44" s="168">
        <f>SUM(E35:E42)+E30</f>
        <v>0</v>
      </c>
      <c r="F44" s="168">
        <v>0</v>
      </c>
      <c r="G44" s="168">
        <f>SUM(G35:G42)+G30</f>
        <v>390000</v>
      </c>
      <c r="H44" s="272"/>
      <c r="I44" s="188"/>
      <c r="J44" s="121"/>
    </row>
    <row r="45" spans="1:10" s="2" customFormat="1" ht="11.25">
      <c r="A45" s="5"/>
      <c r="B45" s="113"/>
      <c r="C45" s="162"/>
      <c r="D45" s="160"/>
      <c r="E45" s="134"/>
      <c r="F45" s="134"/>
      <c r="G45" s="154"/>
      <c r="H45" s="149"/>
      <c r="I45" s="254"/>
      <c r="J45" s="115"/>
    </row>
    <row r="46" spans="1:10" s="2" customFormat="1" ht="11.25">
      <c r="A46" s="56" t="s">
        <v>339</v>
      </c>
      <c r="B46" s="221">
        <f>+B21-B44</f>
        <v>642500</v>
      </c>
      <c r="C46" s="167">
        <f>+C21-C44</f>
        <v>379100</v>
      </c>
      <c r="D46" s="167">
        <f>+D21-D44</f>
        <v>658708.09960000019</v>
      </c>
      <c r="E46" s="138"/>
      <c r="F46" s="138">
        <v>1533520.7015</v>
      </c>
      <c r="G46" s="167">
        <f>+G21-G44</f>
        <v>1021600</v>
      </c>
      <c r="H46" s="273"/>
      <c r="I46" s="274"/>
      <c r="J46" s="120"/>
    </row>
    <row r="47" spans="1:10" s="2" customFormat="1" ht="11.25">
      <c r="A47" s="56" t="s">
        <v>340</v>
      </c>
      <c r="B47" s="222">
        <f>+B46/B21</f>
        <v>0.71587743732590525</v>
      </c>
      <c r="C47" s="189">
        <f>+C46/C21</f>
        <v>0.73740517409064388</v>
      </c>
      <c r="D47" s="189">
        <f>+D46/D21</f>
        <v>0.45995672074847227</v>
      </c>
      <c r="E47" s="138"/>
      <c r="F47" s="138">
        <v>1</v>
      </c>
      <c r="G47" s="196">
        <f>+G46/G21</f>
        <v>0.7237177670728252</v>
      </c>
      <c r="H47" s="273"/>
      <c r="I47" s="274"/>
      <c r="J47" s="120"/>
    </row>
    <row r="48" spans="1:10" s="2" customFormat="1" ht="15" customHeight="1">
      <c r="A48" s="5"/>
      <c r="B48" s="113"/>
      <c r="C48" s="162"/>
      <c r="D48" s="160"/>
      <c r="E48" s="134"/>
      <c r="F48" s="134"/>
      <c r="G48" s="154"/>
      <c r="H48" s="149"/>
      <c r="I48" s="271"/>
      <c r="J48" s="115"/>
    </row>
    <row r="49" spans="1:10" s="2" customFormat="1" ht="11.25">
      <c r="A49" s="5" t="s">
        <v>91</v>
      </c>
      <c r="B49" s="113">
        <f>+Vannes!G49</f>
        <v>11669.9</v>
      </c>
      <c r="C49" s="162">
        <f>+Rennes!G49</f>
        <v>14174.86</v>
      </c>
      <c r="D49" s="160">
        <f>+Rennes!E49+Vannes!E49</f>
        <v>25543.480000000003</v>
      </c>
      <c r="E49" s="135">
        <f>+Rennes!F49+Vannes!F49</f>
        <v>25092</v>
      </c>
      <c r="F49" s="135">
        <v>25092.036</v>
      </c>
      <c r="G49" s="161">
        <f>SUM(B49:C49)</f>
        <v>25844.760000000002</v>
      </c>
      <c r="H49" s="149">
        <f>+IF((D49)=0,,(E49-D49)/D49)</f>
        <v>-1.7674960498726217E-2</v>
      </c>
      <c r="I49" s="271">
        <f>+IF((E49)=0,,(G49-E49)/E49)</f>
        <v>3.0000000000000082E-2</v>
      </c>
      <c r="J49" s="117">
        <f>+Rennes!D49+Vannes!D49</f>
        <v>25092.036</v>
      </c>
    </row>
    <row r="50" spans="1:10" s="2" customFormat="1" ht="15" customHeight="1">
      <c r="A50" s="5"/>
      <c r="B50" s="113"/>
      <c r="C50" s="162"/>
      <c r="D50" s="160"/>
      <c r="E50" s="134"/>
      <c r="F50" s="134"/>
      <c r="G50" s="154"/>
      <c r="H50" s="149"/>
      <c r="I50" s="271"/>
      <c r="J50" s="115"/>
    </row>
    <row r="51" spans="1:10" s="2" customFormat="1" ht="11.25">
      <c r="A51" s="13" t="s">
        <v>223</v>
      </c>
      <c r="B51" s="204">
        <f>+B21-B49</f>
        <v>885830.1</v>
      </c>
      <c r="C51" s="168">
        <f>+C21-C49</f>
        <v>499925.14</v>
      </c>
      <c r="D51" s="163">
        <f>+D21-D49</f>
        <v>1406565.3900000001</v>
      </c>
      <c r="E51" s="163">
        <f>+E21-E49</f>
        <v>1238431.3700000001</v>
      </c>
      <c r="F51" s="163">
        <v>1508428.6654999999</v>
      </c>
      <c r="G51" s="163">
        <f>+G21-G49</f>
        <v>1385755.24</v>
      </c>
      <c r="H51" s="272"/>
      <c r="I51" s="188"/>
      <c r="J51" s="118">
        <f>+J21-J49</f>
        <v>1473307.9639999999</v>
      </c>
    </row>
    <row r="52" spans="1:10" s="2" customFormat="1" ht="15" customHeight="1">
      <c r="A52" s="5"/>
      <c r="B52" s="113"/>
      <c r="C52" s="162"/>
      <c r="D52" s="160"/>
      <c r="E52" s="134"/>
      <c r="F52" s="134"/>
      <c r="G52" s="154"/>
      <c r="H52" s="149"/>
      <c r="I52" s="254"/>
      <c r="J52" s="115"/>
    </row>
    <row r="53" spans="1:10" s="2" customFormat="1" ht="11.25">
      <c r="A53" s="16" t="s">
        <v>3</v>
      </c>
      <c r="B53" s="223">
        <f>+B51-B44</f>
        <v>630830.1</v>
      </c>
      <c r="C53" s="170">
        <f>+C51-C44</f>
        <v>364925.14</v>
      </c>
      <c r="D53" s="170">
        <f>+D51-D44</f>
        <v>633164.61960000021</v>
      </c>
      <c r="E53" s="140"/>
      <c r="F53" s="140">
        <v>1508428.6654999999</v>
      </c>
      <c r="G53" s="170">
        <f>+G51-G44</f>
        <v>995755.24</v>
      </c>
      <c r="H53" s="224"/>
      <c r="I53" s="123"/>
      <c r="J53" s="122"/>
    </row>
    <row r="54" spans="1:10" s="2" customFormat="1" ht="15" customHeight="1">
      <c r="A54" s="16" t="s">
        <v>4</v>
      </c>
      <c r="B54" s="224">
        <f>+B53/B51</f>
        <v>0.71213441494029162</v>
      </c>
      <c r="C54" s="191">
        <f>+C53/C51</f>
        <v>0.72995956954675256</v>
      </c>
      <c r="D54" s="191">
        <f>+D53/D51</f>
        <v>0.45014943784447886</v>
      </c>
      <c r="E54" s="141"/>
      <c r="F54" s="141">
        <v>1</v>
      </c>
      <c r="G54" s="197">
        <f>+G53/G51</f>
        <v>0.71856501874025025</v>
      </c>
      <c r="H54" s="224"/>
      <c r="I54" s="123"/>
      <c r="J54" s="123"/>
    </row>
    <row r="55" spans="1:10" s="2" customFormat="1" ht="11.25">
      <c r="A55" s="5"/>
      <c r="B55" s="113"/>
      <c r="C55" s="162"/>
      <c r="D55" s="160"/>
      <c r="E55" s="134"/>
      <c r="F55" s="134"/>
      <c r="G55" s="154"/>
      <c r="H55" s="149"/>
      <c r="I55" s="271"/>
      <c r="J55" s="115"/>
    </row>
    <row r="56" spans="1:10" s="2" customFormat="1" ht="11.25">
      <c r="A56" s="5" t="s">
        <v>290</v>
      </c>
      <c r="B56" s="113">
        <f>+Vannes!G56</f>
        <v>0</v>
      </c>
      <c r="C56" s="162">
        <f>+Rennes!G56</f>
        <v>0</v>
      </c>
      <c r="D56" s="160">
        <f>+Rennes!E56+Vannes!E56</f>
        <v>215575.478</v>
      </c>
      <c r="E56" s="135"/>
      <c r="F56" s="135">
        <v>0</v>
      </c>
      <c r="G56" s="161">
        <f>SUM(B56:C56)</f>
        <v>0</v>
      </c>
      <c r="H56" s="149"/>
      <c r="I56" s="271"/>
      <c r="J56" s="115"/>
    </row>
    <row r="57" spans="1:10" s="2" customFormat="1" ht="11.25">
      <c r="A57" s="5" t="s">
        <v>100</v>
      </c>
      <c r="B57" s="113">
        <f>+Vannes!G57</f>
        <v>0</v>
      </c>
      <c r="C57" s="162">
        <f>+Rennes!G57</f>
        <v>0</v>
      </c>
      <c r="D57" s="160">
        <f>+Rennes!E57+Vannes!E57</f>
        <v>198469.66759999999</v>
      </c>
      <c r="E57" s="134"/>
      <c r="F57" s="134">
        <v>0</v>
      </c>
      <c r="G57" s="161">
        <f>SUM(B57:C57)</f>
        <v>0</v>
      </c>
      <c r="H57" s="149"/>
      <c r="I57" s="271"/>
      <c r="J57" s="115"/>
    </row>
    <row r="58" spans="1:10" s="2" customFormat="1" ht="12" thickBot="1">
      <c r="A58" s="21"/>
      <c r="B58" s="205"/>
      <c r="C58" s="172"/>
      <c r="D58" s="171"/>
      <c r="E58" s="142"/>
      <c r="F58" s="142"/>
      <c r="G58" s="198"/>
      <c r="H58" s="236"/>
      <c r="I58" s="275"/>
      <c r="J58" s="124"/>
    </row>
    <row r="59" spans="1:10" s="2" customFormat="1" ht="12" thickTop="1">
      <c r="A59" s="5"/>
      <c r="B59" s="113"/>
      <c r="C59" s="162"/>
      <c r="D59" s="160"/>
      <c r="E59" s="134"/>
      <c r="F59" s="134"/>
      <c r="G59" s="154"/>
      <c r="H59" s="149"/>
      <c r="I59" s="254"/>
      <c r="J59" s="115"/>
    </row>
    <row r="60" spans="1:10" s="2" customFormat="1" ht="15" customHeight="1">
      <c r="A60" s="16" t="s">
        <v>295</v>
      </c>
      <c r="B60" s="226">
        <f>+Vannes!G60</f>
        <v>0.45</v>
      </c>
      <c r="C60" s="193">
        <f>+Rennes!G60</f>
        <v>0.43</v>
      </c>
      <c r="D60" s="197">
        <f>+D62/D51</f>
        <v>0.45014943784447858</v>
      </c>
      <c r="E60" s="224">
        <f>+E62/E51</f>
        <v>0.43185556459216623</v>
      </c>
      <c r="F60" s="224">
        <v>0.46000000000000008</v>
      </c>
      <c r="G60" s="191">
        <f>+G62/G51</f>
        <v>0.44278479885091393</v>
      </c>
      <c r="H60" s="224"/>
      <c r="I60" s="123"/>
      <c r="J60" s="123">
        <f>+J62/J51</f>
        <v>0.45248985307188638</v>
      </c>
    </row>
    <row r="61" spans="1:10" s="2" customFormat="1" ht="11.25">
      <c r="A61" s="5" t="s">
        <v>75</v>
      </c>
      <c r="B61" s="149">
        <v>0.45700000000000002</v>
      </c>
      <c r="C61" s="186">
        <v>0.46</v>
      </c>
      <c r="D61" s="92"/>
      <c r="E61" s="135"/>
      <c r="F61" s="135">
        <v>0.44724852006179455</v>
      </c>
      <c r="G61" s="162">
        <f>+(B61*D21+E21*E61)/G21</f>
        <v>0.46363966675403806</v>
      </c>
      <c r="H61" s="149"/>
      <c r="I61" s="254"/>
      <c r="J61" s="117"/>
    </row>
    <row r="62" spans="1:10" s="2" customFormat="1" ht="15" customHeight="1">
      <c r="A62" s="16" t="s">
        <v>296</v>
      </c>
      <c r="B62" s="223">
        <f>+B51*B60</f>
        <v>398623.54499999998</v>
      </c>
      <c r="C62" s="170">
        <f>+C51*C60</f>
        <v>214967.81020000001</v>
      </c>
      <c r="D62" s="169">
        <f>+Rennes!E62+Vannes!E62</f>
        <v>633164.61959999986</v>
      </c>
      <c r="E62" s="140">
        <f>+Rennes!F62+Vannes!F62</f>
        <v>534823.47849999997</v>
      </c>
      <c r="F62" s="140">
        <f>+Rennes!G62+Vannes!G62</f>
        <v>613591.35519999999</v>
      </c>
      <c r="G62" s="199">
        <f>SUM(B62:C62)</f>
        <v>613591.35519999999</v>
      </c>
      <c r="H62" s="224">
        <f>+IF((D62)=0,,(E62-D62)/D62)</f>
        <v>-0.15531686082227186</v>
      </c>
      <c r="I62" s="123">
        <f>+IF((E62)=0,,(G62-E62)/E62)</f>
        <v>0.14727827005822078</v>
      </c>
      <c r="J62" s="122">
        <f>+Rennes!D62+Vannes!D62</f>
        <v>666656.90416000003</v>
      </c>
    </row>
    <row r="63" spans="1:10" s="2" customFormat="1" ht="11.25">
      <c r="A63" s="5"/>
      <c r="B63" s="113"/>
      <c r="C63" s="162"/>
      <c r="D63" s="160"/>
      <c r="E63" s="134"/>
      <c r="F63" s="134"/>
      <c r="G63" s="154"/>
      <c r="H63" s="149"/>
      <c r="I63" s="271"/>
      <c r="J63" s="115"/>
    </row>
    <row r="64" spans="1:10" s="2" customFormat="1" ht="11.25">
      <c r="A64" s="5" t="s">
        <v>104</v>
      </c>
      <c r="B64" s="113">
        <f>+Vannes!G64</f>
        <v>3988.3110666666666</v>
      </c>
      <c r="C64" s="162">
        <f>+Rennes!G64</f>
        <v>3816</v>
      </c>
      <c r="D64" s="160">
        <f>+Rennes!E64+Vannes!E64</f>
        <v>7765.42</v>
      </c>
      <c r="E64" s="135">
        <f>+Rennes!F64+Vannes!F64</f>
        <v>7669.5466666666671</v>
      </c>
      <c r="F64" s="135">
        <f>+G64</f>
        <v>7804.3110666666671</v>
      </c>
      <c r="G64" s="161">
        <f>SUM(B64:C64)</f>
        <v>7804.3110666666671</v>
      </c>
      <c r="H64" s="149">
        <f>+IF((D64)=0,,(E64-D64)/D64)</f>
        <v>-1.2346187757176431E-2</v>
      </c>
      <c r="I64" s="271">
        <f>+IF((E64)=0,,(G64-E64)/E64)</f>
        <v>1.7571364496119721E-2</v>
      </c>
      <c r="J64" s="117">
        <f>+Rennes!D64+Vannes!D64</f>
        <v>8282.0333410000003</v>
      </c>
    </row>
    <row r="65" spans="1:10" s="2" customFormat="1" ht="11.25">
      <c r="A65" s="5" t="s">
        <v>314</v>
      </c>
      <c r="B65" s="113">
        <f>+Vannes!G65</f>
        <v>0</v>
      </c>
      <c r="C65" s="162">
        <f>+Rennes!G65</f>
        <v>0</v>
      </c>
      <c r="D65" s="160">
        <f>+Rennes!E65+Vannes!E65</f>
        <v>0</v>
      </c>
      <c r="E65" s="135">
        <f>+Rennes!F65+Vannes!F65</f>
        <v>0</v>
      </c>
      <c r="F65" s="135">
        <f>+G65</f>
        <v>0</v>
      </c>
      <c r="G65" s="161">
        <f>SUM(B65:C65)</f>
        <v>0</v>
      </c>
      <c r="H65" s="149">
        <f>+IF((D65)=0,,(E65-D65)/D65)</f>
        <v>0</v>
      </c>
      <c r="I65" s="271">
        <f>+IF((E65)=0,,(G65-E65)/E65)</f>
        <v>0</v>
      </c>
      <c r="J65" s="117">
        <f>+Rennes!D65+Vannes!D65</f>
        <v>0</v>
      </c>
    </row>
    <row r="66" spans="1:10" s="2" customFormat="1" ht="15" customHeight="1">
      <c r="A66" s="5" t="s">
        <v>110</v>
      </c>
      <c r="B66" s="113">
        <f>+Vannes!G66</f>
        <v>766.5</v>
      </c>
      <c r="C66" s="162">
        <f>+Rennes!G66</f>
        <v>910.72800000000007</v>
      </c>
      <c r="D66" s="160">
        <f>+Rennes!E66+Vannes!E66</f>
        <v>1514.69</v>
      </c>
      <c r="E66" s="135">
        <f>+Rennes!F66+Vannes!F66</f>
        <v>1597.3600000000001</v>
      </c>
      <c r="F66" s="135">
        <f>+G66</f>
        <v>1677.2280000000001</v>
      </c>
      <c r="G66" s="161">
        <f>SUM(B66:C66)</f>
        <v>1677.2280000000001</v>
      </c>
      <c r="H66" s="149">
        <f>+IF((D66)=0,,(E66-D66)/D66)</f>
        <v>5.4578824710006711E-2</v>
      </c>
      <c r="I66" s="271">
        <f>+IF((E66)=0,,(G66-E66)/E66)</f>
        <v>4.9999999999999954E-2</v>
      </c>
      <c r="J66" s="117">
        <f>+Rennes!D66+Vannes!D66</f>
        <v>1563.0744128125</v>
      </c>
    </row>
    <row r="67" spans="1:10" s="2" customFormat="1" ht="11.25">
      <c r="A67" s="5" t="s">
        <v>107</v>
      </c>
      <c r="B67" s="113">
        <f>+Vannes!G67</f>
        <v>648.00733333333335</v>
      </c>
      <c r="C67" s="162">
        <f>+Rennes!G67</f>
        <v>1500</v>
      </c>
      <c r="D67" s="160">
        <f>+Rennes!E67+Vannes!E67</f>
        <v>3135.17</v>
      </c>
      <c r="E67" s="135">
        <f>+Rennes!F67+Vannes!F67</f>
        <v>2493.2666666666664</v>
      </c>
      <c r="F67" s="135">
        <f>+G67</f>
        <v>2148.0073333333335</v>
      </c>
      <c r="G67" s="161">
        <f>SUM(B67:C67)</f>
        <v>2148.0073333333335</v>
      </c>
      <c r="H67" s="149">
        <f>+IF((D67)=0,,(E67-D67)/D67)</f>
        <v>-0.20474275185502974</v>
      </c>
      <c r="I67" s="271">
        <f>+IF((E67)=0,,(G67-E67)/E67)</f>
        <v>-0.13847669723789394</v>
      </c>
      <c r="J67" s="117">
        <f>+Rennes!D67+Vannes!D67</f>
        <v>2883.593026</v>
      </c>
    </row>
    <row r="68" spans="1:10" s="2" customFormat="1" ht="18.75" customHeight="1">
      <c r="A68" s="5" t="s">
        <v>125</v>
      </c>
      <c r="B68" s="113">
        <f>+Vannes!G68</f>
        <v>1286.2914666666668</v>
      </c>
      <c r="C68" s="162">
        <f>+Rennes!G68</f>
        <v>917.18066666666675</v>
      </c>
      <c r="D68" s="160">
        <f>+Rennes!E68+Vannes!E68</f>
        <v>4419.82</v>
      </c>
      <c r="E68" s="135">
        <f>+Rennes!F68+Vannes!F68</f>
        <v>2139.2933333333335</v>
      </c>
      <c r="F68" s="135">
        <f>+G68</f>
        <v>2203.4721333333337</v>
      </c>
      <c r="G68" s="161">
        <f>SUM(B68:C68)</f>
        <v>2203.4721333333337</v>
      </c>
      <c r="H68" s="149">
        <f>+IF((D68)=0,,(E68-D68)/D68)</f>
        <v>-0.51597727207593669</v>
      </c>
      <c r="I68" s="271">
        <f>+IF((E68)=0,,(G68-E68)/E68)</f>
        <v>3.0000000000000061E-2</v>
      </c>
      <c r="J68" s="117">
        <f>+Rennes!D68+Vannes!D68</f>
        <v>4305.8016565468752</v>
      </c>
    </row>
    <row r="69" spans="1:10" s="2" customFormat="1" ht="11.25">
      <c r="A69" s="5"/>
      <c r="B69" s="113"/>
      <c r="C69" s="162"/>
      <c r="D69" s="160"/>
      <c r="E69" s="143"/>
      <c r="F69" s="143"/>
      <c r="G69" s="187"/>
      <c r="H69" s="149"/>
      <c r="I69" s="271"/>
      <c r="J69" s="115"/>
    </row>
    <row r="70" spans="1:10" s="2" customFormat="1" ht="11.25">
      <c r="A70" s="11" t="s">
        <v>128</v>
      </c>
      <c r="B70" s="227">
        <f>SUM(B64:B69)</f>
        <v>6689.1098666666667</v>
      </c>
      <c r="C70" s="209">
        <f>SUM(C64:C69)</f>
        <v>7143.9086666666672</v>
      </c>
      <c r="D70" s="173">
        <f>SUM(D64:D69)</f>
        <v>16835.099999999999</v>
      </c>
      <c r="E70" s="144">
        <f>SUM(E64:E69)</f>
        <v>13899.466666666667</v>
      </c>
      <c r="F70" s="144">
        <f>SUM(F64:F69)</f>
        <v>13833.018533333336</v>
      </c>
      <c r="G70" s="345">
        <f>SUM(B70:C70)</f>
        <v>13833.018533333334</v>
      </c>
      <c r="H70" s="278">
        <f>+IF((D70)=0,,(E70-D70)/D70)</f>
        <v>-0.17437575858375248</v>
      </c>
      <c r="I70" s="279">
        <f>+IF((E70)=0,,(G70-E70)/E70)</f>
        <v>-4.780624676246569E-3</v>
      </c>
      <c r="J70" s="125">
        <f>SUM(J64:J69)</f>
        <v>17034.502436359377</v>
      </c>
    </row>
    <row r="71" spans="1:10" s="2" customFormat="1" ht="11.25">
      <c r="A71" s="5"/>
      <c r="B71" s="113"/>
      <c r="C71" s="162"/>
      <c r="D71" s="160"/>
      <c r="E71" s="143"/>
      <c r="F71" s="143"/>
      <c r="G71" s="187"/>
      <c r="H71" s="149"/>
      <c r="I71" s="271"/>
      <c r="J71" s="115"/>
    </row>
    <row r="72" spans="1:10" s="2" customFormat="1" ht="11.25">
      <c r="A72" s="5" t="s">
        <v>1</v>
      </c>
      <c r="B72" s="113">
        <f>+Vannes!G72</f>
        <v>0</v>
      </c>
      <c r="C72" s="162">
        <f>+Rennes!G72</f>
        <v>0</v>
      </c>
      <c r="D72" s="160">
        <f>+Rennes!E72+Vannes!E72</f>
        <v>0</v>
      </c>
      <c r="E72" s="135">
        <f>+Rennes!F72+Vannes!F72</f>
        <v>0</v>
      </c>
      <c r="F72" s="135">
        <f>+G72</f>
        <v>0</v>
      </c>
      <c r="G72" s="161">
        <f t="shared" ref="G72:G101" si="6">SUM(B72:C72)</f>
        <v>0</v>
      </c>
      <c r="H72" s="149">
        <f>+IF((D72)=0,,(E72-D72)/D72)</f>
        <v>0</v>
      </c>
      <c r="I72" s="271">
        <f>+IF((E72)=0,,(G72-E72)/E72)</f>
        <v>0</v>
      </c>
      <c r="J72" s="117">
        <f>+Rennes!D72+Vannes!D72</f>
        <v>0</v>
      </c>
    </row>
    <row r="73" spans="1:10" s="2" customFormat="1" ht="11.25">
      <c r="A73" s="5" t="s">
        <v>123</v>
      </c>
      <c r="B73" s="113">
        <f>+Vannes!G73</f>
        <v>3117.8512000000005</v>
      </c>
      <c r="C73" s="162">
        <f>+Rennes!G73</f>
        <v>939.81320000000005</v>
      </c>
      <c r="D73" s="160">
        <f>+Rennes!E73+Vannes!E73</f>
        <v>4152.91</v>
      </c>
      <c r="E73" s="135">
        <f>+Rennes!F73+Vannes!F73</f>
        <v>3939.4800000000005</v>
      </c>
      <c r="F73" s="135">
        <f t="shared" ref="F73:F101" si="7">+G73</f>
        <v>4057.6644000000006</v>
      </c>
      <c r="G73" s="161">
        <f t="shared" si="6"/>
        <v>4057.6644000000006</v>
      </c>
      <c r="H73" s="149">
        <f t="shared" ref="H73:H101" si="8">+IF((D73)=0,,(E73-D73)/D73)</f>
        <v>-5.1392878728409572E-2</v>
      </c>
      <c r="I73" s="271">
        <f t="shared" ref="I73:I101" si="9">+IF((E73)=0,,(G73-E73)/E73)</f>
        <v>3.000000000000002E-2</v>
      </c>
      <c r="J73" s="117">
        <f>+Rennes!D73+Vannes!D73</f>
        <v>3479.1356898437502</v>
      </c>
    </row>
    <row r="74" spans="1:10" s="2" customFormat="1" ht="11.25">
      <c r="A74" s="5" t="s">
        <v>124</v>
      </c>
      <c r="B74" s="113">
        <f>+Vannes!G74</f>
        <v>0</v>
      </c>
      <c r="C74" s="162">
        <f>+Rennes!G74</f>
        <v>0</v>
      </c>
      <c r="D74" s="160">
        <f>+Rennes!E74+Vannes!E74</f>
        <v>24.18</v>
      </c>
      <c r="E74" s="135">
        <f>+Rennes!F74+Vannes!F74</f>
        <v>0</v>
      </c>
      <c r="F74" s="135">
        <f t="shared" si="7"/>
        <v>0</v>
      </c>
      <c r="G74" s="161">
        <f t="shared" si="6"/>
        <v>0</v>
      </c>
      <c r="H74" s="149">
        <f t="shared" si="8"/>
        <v>-1</v>
      </c>
      <c r="I74" s="271">
        <f t="shared" si="9"/>
        <v>0</v>
      </c>
      <c r="J74" s="117">
        <f>+Rennes!D74+Vannes!D74</f>
        <v>24.9054</v>
      </c>
    </row>
    <row r="75" spans="1:10" s="2" customFormat="1" ht="11.25">
      <c r="A75" s="5" t="s">
        <v>360</v>
      </c>
      <c r="B75" s="113">
        <f>+Vannes!G75</f>
        <v>0</v>
      </c>
      <c r="C75" s="162">
        <f>+Rennes!G75</f>
        <v>0</v>
      </c>
      <c r="D75" s="160">
        <f>+Rennes!E75+Vannes!E75</f>
        <v>0</v>
      </c>
      <c r="E75" s="135">
        <f>+Rennes!F75+Vannes!F75</f>
        <v>0</v>
      </c>
      <c r="F75" s="135">
        <f t="shared" si="7"/>
        <v>0</v>
      </c>
      <c r="G75" s="161">
        <f t="shared" si="6"/>
        <v>0</v>
      </c>
      <c r="H75" s="149">
        <f t="shared" si="8"/>
        <v>0</v>
      </c>
      <c r="I75" s="271">
        <f t="shared" si="9"/>
        <v>0</v>
      </c>
      <c r="J75" s="117">
        <f>+Rennes!D75+Vannes!D75</f>
        <v>0</v>
      </c>
    </row>
    <row r="76" spans="1:10" s="2" customFormat="1" ht="11.25">
      <c r="A76" s="5" t="s">
        <v>126</v>
      </c>
      <c r="B76" s="113">
        <f>+Vannes!G76</f>
        <v>541.35426666666672</v>
      </c>
      <c r="C76" s="162">
        <f>+Rennes!G76</f>
        <v>0</v>
      </c>
      <c r="D76" s="160">
        <f>+Rennes!E76+Vannes!E76</f>
        <v>0</v>
      </c>
      <c r="E76" s="135">
        <f>+Rennes!F76+Vannes!F76</f>
        <v>525.5866666666667</v>
      </c>
      <c r="F76" s="135">
        <f t="shared" si="7"/>
        <v>541.35426666666672</v>
      </c>
      <c r="G76" s="161">
        <f t="shared" si="6"/>
        <v>541.35426666666672</v>
      </c>
      <c r="H76" s="149">
        <f t="shared" si="8"/>
        <v>0</v>
      </c>
      <c r="I76" s="271">
        <f t="shared" si="9"/>
        <v>3.0000000000000027E-2</v>
      </c>
      <c r="J76" s="117">
        <f>+Rennes!D76+Vannes!D76</f>
        <v>2.2765145833333338</v>
      </c>
    </row>
    <row r="77" spans="1:10" s="2" customFormat="1" ht="11.25">
      <c r="A77" s="5" t="s">
        <v>127</v>
      </c>
      <c r="B77" s="113">
        <f>+Vannes!G77</f>
        <v>2385.6310666666668</v>
      </c>
      <c r="C77" s="162">
        <f>+Rennes!G77</f>
        <v>1400</v>
      </c>
      <c r="D77" s="160">
        <f>+Rennes!E77+Vannes!E77</f>
        <v>4074.3100000000004</v>
      </c>
      <c r="E77" s="135">
        <f>+Rennes!F77+Vannes!F77</f>
        <v>3039.7333333333336</v>
      </c>
      <c r="F77" s="135">
        <f t="shared" si="7"/>
        <v>3785.6310666666668</v>
      </c>
      <c r="G77" s="161">
        <f t="shared" si="6"/>
        <v>3785.6310666666668</v>
      </c>
      <c r="H77" s="149">
        <f t="shared" si="8"/>
        <v>-0.25392684078203837</v>
      </c>
      <c r="I77" s="271">
        <f t="shared" si="9"/>
        <v>0.2453826212825686</v>
      </c>
      <c r="J77" s="117">
        <f>+Rennes!D77+Vannes!D77</f>
        <v>3707.8889196414584</v>
      </c>
    </row>
    <row r="78" spans="1:10" s="2" customFormat="1" ht="11.25">
      <c r="A78" s="5" t="s">
        <v>101</v>
      </c>
      <c r="B78" s="113">
        <f>+Vannes!G78</f>
        <v>0</v>
      </c>
      <c r="C78" s="162">
        <f>+Rennes!G78</f>
        <v>0</v>
      </c>
      <c r="D78" s="160">
        <f>+Rennes!E78+Vannes!E78</f>
        <v>7.5</v>
      </c>
      <c r="E78" s="135">
        <f>+Rennes!F78+Vannes!F78</f>
        <v>0</v>
      </c>
      <c r="F78" s="135">
        <f t="shared" si="7"/>
        <v>0</v>
      </c>
      <c r="G78" s="161">
        <f t="shared" si="6"/>
        <v>0</v>
      </c>
      <c r="H78" s="149">
        <f t="shared" si="8"/>
        <v>-1</v>
      </c>
      <c r="I78" s="271">
        <f t="shared" si="9"/>
        <v>0</v>
      </c>
      <c r="J78" s="117">
        <f>+Rennes!D78+Vannes!D78</f>
        <v>1.1382572916666669</v>
      </c>
    </row>
    <row r="79" spans="1:10" s="2" customFormat="1" ht="11.25">
      <c r="A79" s="5" t="s">
        <v>102</v>
      </c>
      <c r="B79" s="113">
        <f>+Vannes!G79</f>
        <v>27271.852309746329</v>
      </c>
      <c r="C79" s="162">
        <f>+Rennes!G79</f>
        <v>25551.162</v>
      </c>
      <c r="D79" s="160">
        <f>+Rennes!E79+Vannes!E79</f>
        <v>52834.35</v>
      </c>
      <c r="E79" s="135">
        <f>+Rennes!F79+Vannes!F79</f>
        <v>51867.37</v>
      </c>
      <c r="F79" s="135">
        <f t="shared" si="7"/>
        <v>52823.01430974633</v>
      </c>
      <c r="G79" s="161">
        <f t="shared" si="6"/>
        <v>52823.01430974633</v>
      </c>
      <c r="H79" s="149">
        <f t="shared" si="8"/>
        <v>-1.8302108382141465E-2</v>
      </c>
      <c r="I79" s="271">
        <f t="shared" si="9"/>
        <v>1.842476897799767E-2</v>
      </c>
      <c r="J79" s="117">
        <f>+Rennes!D79+Vannes!D79</f>
        <v>52397.23961459667</v>
      </c>
    </row>
    <row r="80" spans="1:10" s="2" customFormat="1" ht="11.25">
      <c r="A80" s="5" t="s">
        <v>325</v>
      </c>
      <c r="B80" s="113">
        <f>+Vannes!G80</f>
        <v>0</v>
      </c>
      <c r="C80" s="162">
        <f>+Rennes!G80</f>
        <v>4427.036133333334</v>
      </c>
      <c r="D80" s="160">
        <f>+Rennes!E80+Vannes!E80</f>
        <v>4314.29</v>
      </c>
      <c r="E80" s="135">
        <f>+Rennes!F80+Vannes!F80</f>
        <v>4298.0933333333342</v>
      </c>
      <c r="F80" s="135">
        <f t="shared" si="7"/>
        <v>4427.036133333334</v>
      </c>
      <c r="G80" s="161">
        <f t="shared" si="6"/>
        <v>4427.036133333334</v>
      </c>
      <c r="H80" s="149">
        <f t="shared" si="8"/>
        <v>-3.7541905311571093E-3</v>
      </c>
      <c r="I80" s="271">
        <f t="shared" si="9"/>
        <v>2.999999999999995E-2</v>
      </c>
      <c r="J80" s="117">
        <f>+Rennes!D80+Vannes!D80</f>
        <v>4524.3572927083333</v>
      </c>
    </row>
    <row r="81" spans="1:10" s="2" customFormat="1" ht="11.25">
      <c r="A81" s="5" t="s">
        <v>103</v>
      </c>
      <c r="B81" s="113">
        <f>+Vannes!G81</f>
        <v>0</v>
      </c>
      <c r="C81" s="162">
        <f>+Rennes!G81</f>
        <v>0</v>
      </c>
      <c r="D81" s="160">
        <f>+Rennes!E81+Vannes!E81</f>
        <v>0</v>
      </c>
      <c r="E81" s="135">
        <f>+Rennes!F81+Vannes!F81</f>
        <v>0</v>
      </c>
      <c r="F81" s="135">
        <f t="shared" si="7"/>
        <v>0</v>
      </c>
      <c r="G81" s="161">
        <f t="shared" si="6"/>
        <v>0</v>
      </c>
      <c r="H81" s="149">
        <f t="shared" si="8"/>
        <v>0</v>
      </c>
      <c r="I81" s="271">
        <f t="shared" si="9"/>
        <v>0</v>
      </c>
      <c r="J81" s="117">
        <f>+Rennes!D81+Vannes!D81</f>
        <v>0</v>
      </c>
    </row>
    <row r="82" spans="1:10" s="2" customFormat="1" ht="11.25">
      <c r="A82" s="5" t="s">
        <v>105</v>
      </c>
      <c r="B82" s="113">
        <f>+Vannes!G82</f>
        <v>185.4</v>
      </c>
      <c r="C82" s="162">
        <f>+Rennes!G82</f>
        <v>185.4</v>
      </c>
      <c r="D82" s="160">
        <f>+Rennes!E82+Vannes!E82</f>
        <v>360</v>
      </c>
      <c r="E82" s="135">
        <f>+Rennes!F82+Vannes!F82</f>
        <v>360</v>
      </c>
      <c r="F82" s="135">
        <f t="shared" si="7"/>
        <v>370.8</v>
      </c>
      <c r="G82" s="161">
        <f t="shared" si="6"/>
        <v>370.8</v>
      </c>
      <c r="H82" s="149">
        <f t="shared" si="8"/>
        <v>0</v>
      </c>
      <c r="I82" s="271">
        <f t="shared" si="9"/>
        <v>3.000000000000003E-2</v>
      </c>
      <c r="J82" s="117">
        <f>+Rennes!D82+Vannes!D82</f>
        <v>378.85013666666669</v>
      </c>
    </row>
    <row r="83" spans="1:10" s="2" customFormat="1" ht="11.25">
      <c r="A83" s="5" t="s">
        <v>287</v>
      </c>
      <c r="B83" s="113">
        <f>+Vannes!G83</f>
        <v>383.16</v>
      </c>
      <c r="C83" s="162">
        <f>+Rennes!G83</f>
        <v>0</v>
      </c>
      <c r="D83" s="160">
        <f>+Rennes!E83+Vannes!E83</f>
        <v>372</v>
      </c>
      <c r="E83" s="135">
        <f>+Rennes!F83+Vannes!F83</f>
        <v>372</v>
      </c>
      <c r="F83" s="135">
        <f t="shared" si="7"/>
        <v>383.16</v>
      </c>
      <c r="G83" s="161">
        <f t="shared" si="6"/>
        <v>383.16</v>
      </c>
      <c r="H83" s="149">
        <f t="shared" si="8"/>
        <v>0</v>
      </c>
      <c r="I83" s="271">
        <f t="shared" si="9"/>
        <v>3.0000000000000068E-2</v>
      </c>
      <c r="J83" s="117">
        <f>+Rennes!D83+Vannes!D83</f>
        <v>489.31343297916669</v>
      </c>
    </row>
    <row r="84" spans="1:10" s="2" customFormat="1" ht="11.25">
      <c r="A84" s="5" t="s">
        <v>108</v>
      </c>
      <c r="B84" s="113">
        <f>+Vannes!G84</f>
        <v>141.65933333333336</v>
      </c>
      <c r="C84" s="162">
        <f>+Rennes!G84</f>
        <v>1500</v>
      </c>
      <c r="D84" s="160">
        <f>+Rennes!E84+Vannes!E84</f>
        <v>1571.02</v>
      </c>
      <c r="E84" s="135">
        <f>+Rennes!F84+Vannes!F84</f>
        <v>295.98666666666668</v>
      </c>
      <c r="F84" s="135">
        <f t="shared" si="7"/>
        <v>1641.6593333333333</v>
      </c>
      <c r="G84" s="161">
        <f t="shared" si="6"/>
        <v>1641.6593333333333</v>
      </c>
      <c r="H84" s="149">
        <f t="shared" si="8"/>
        <v>-0.81159586340933487</v>
      </c>
      <c r="I84" s="271">
        <f t="shared" si="9"/>
        <v>4.5463962340645967</v>
      </c>
      <c r="J84" s="117">
        <f>+Rennes!D84+Vannes!D84</f>
        <v>1481.1803044364583</v>
      </c>
    </row>
    <row r="85" spans="1:10" s="2" customFormat="1" ht="11.25">
      <c r="A85" s="5" t="s">
        <v>109</v>
      </c>
      <c r="B85" s="113">
        <f>+Vannes!G85</f>
        <v>75.162533333333329</v>
      </c>
      <c r="C85" s="162">
        <f>+Rennes!G85</f>
        <v>0</v>
      </c>
      <c r="D85" s="160">
        <f>+Rennes!E85+Vannes!E85</f>
        <v>1143.18</v>
      </c>
      <c r="E85" s="135">
        <f>+Rennes!F85+Vannes!F85</f>
        <v>72.973333333333329</v>
      </c>
      <c r="F85" s="135">
        <f t="shared" si="7"/>
        <v>75.162533333333329</v>
      </c>
      <c r="G85" s="161">
        <f t="shared" si="6"/>
        <v>75.162533333333329</v>
      </c>
      <c r="H85" s="149">
        <f t="shared" si="8"/>
        <v>-0.93616636633484374</v>
      </c>
      <c r="I85" s="271">
        <f t="shared" si="9"/>
        <v>2.9999999999999995E-2</v>
      </c>
      <c r="J85" s="117">
        <f>+Rennes!D85+Vannes!D85</f>
        <v>1335.6271180962499</v>
      </c>
    </row>
    <row r="86" spans="1:10" s="2" customFormat="1" ht="11.25">
      <c r="A86" s="5" t="s">
        <v>106</v>
      </c>
      <c r="B86" s="113">
        <f>+Vannes!G86</f>
        <v>1763.1402666666665</v>
      </c>
      <c r="C86" s="162">
        <f>+Rennes!G86</f>
        <v>612.34186666666665</v>
      </c>
      <c r="D86" s="160">
        <f>+Rennes!E86+Vannes!E86</f>
        <v>1057.06</v>
      </c>
      <c r="E86" s="135">
        <f>+Rennes!F86+Vannes!F86</f>
        <v>2306.2933333333331</v>
      </c>
      <c r="F86" s="135">
        <f t="shared" si="7"/>
        <v>2375.482133333333</v>
      </c>
      <c r="G86" s="161">
        <f t="shared" si="6"/>
        <v>2375.482133333333</v>
      </c>
      <c r="H86" s="149">
        <f t="shared" si="8"/>
        <v>1.1817998347618235</v>
      </c>
      <c r="I86" s="271">
        <f t="shared" si="9"/>
        <v>2.9999999999999961E-2</v>
      </c>
      <c r="J86" s="117">
        <f>+Rennes!D86+Vannes!D86</f>
        <v>840.3767182306251</v>
      </c>
    </row>
    <row r="87" spans="1:10" s="2" customFormat="1" ht="11.25">
      <c r="A87" s="5" t="s">
        <v>363</v>
      </c>
      <c r="B87" s="113">
        <f>+Vannes!G87</f>
        <v>0</v>
      </c>
      <c r="C87" s="162">
        <f>+Rennes!G87</f>
        <v>0</v>
      </c>
      <c r="D87" s="160">
        <f>+Rennes!E87+Vannes!E87</f>
        <v>0</v>
      </c>
      <c r="E87" s="135">
        <f>+Rennes!F87+Vannes!F87</f>
        <v>0</v>
      </c>
      <c r="F87" s="135">
        <f t="shared" si="7"/>
        <v>0</v>
      </c>
      <c r="G87" s="161">
        <f t="shared" si="6"/>
        <v>0</v>
      </c>
      <c r="H87" s="149">
        <f t="shared" si="8"/>
        <v>0</v>
      </c>
      <c r="I87" s="271">
        <f t="shared" si="9"/>
        <v>0</v>
      </c>
      <c r="J87" s="117">
        <f>+Rennes!D87+Vannes!D87</f>
        <v>0</v>
      </c>
    </row>
    <row r="88" spans="1:10" s="2" customFormat="1" ht="11.25">
      <c r="A88" s="5" t="s">
        <v>111</v>
      </c>
      <c r="B88" s="113">
        <f>+Vannes!G88</f>
        <v>2822.5102500000003</v>
      </c>
      <c r="C88" s="162">
        <f>+Rennes!G88</f>
        <v>2487.4384500000001</v>
      </c>
      <c r="D88" s="160">
        <f>+Rennes!E88+Vannes!E88</f>
        <v>4816.28</v>
      </c>
      <c r="E88" s="135">
        <f>+Rennes!F88+Vannes!F88</f>
        <v>5536.92</v>
      </c>
      <c r="F88" s="135">
        <f t="shared" si="7"/>
        <v>5309.9487000000008</v>
      </c>
      <c r="G88" s="161">
        <f t="shared" si="6"/>
        <v>5309.9487000000008</v>
      </c>
      <c r="H88" s="149">
        <f t="shared" si="8"/>
        <v>0.14962585231755637</v>
      </c>
      <c r="I88" s="271">
        <f t="shared" si="9"/>
        <v>-4.099233870093829E-2</v>
      </c>
      <c r="J88" s="117">
        <f>+Rennes!D88+Vannes!D88</f>
        <v>5536.9534500000009</v>
      </c>
    </row>
    <row r="89" spans="1:10" s="2" customFormat="1" ht="11.25">
      <c r="A89" s="5" t="s">
        <v>315</v>
      </c>
      <c r="B89" s="113">
        <f>+Vannes!G89</f>
        <v>0</v>
      </c>
      <c r="C89" s="162">
        <f>+Rennes!G89</f>
        <v>0</v>
      </c>
      <c r="D89" s="160">
        <f>+Rennes!E89+Vannes!E89</f>
        <v>0</v>
      </c>
      <c r="E89" s="135">
        <f>+Rennes!F89+Vannes!F89</f>
        <v>0</v>
      </c>
      <c r="F89" s="135">
        <f t="shared" si="7"/>
        <v>0</v>
      </c>
      <c r="G89" s="161">
        <f t="shared" si="6"/>
        <v>0</v>
      </c>
      <c r="H89" s="149">
        <f t="shared" si="8"/>
        <v>0</v>
      </c>
      <c r="I89" s="271">
        <f t="shared" si="9"/>
        <v>0</v>
      </c>
      <c r="J89" s="117">
        <f>+Rennes!D89+Vannes!D89</f>
        <v>0</v>
      </c>
    </row>
    <row r="90" spans="1:10" s="2" customFormat="1" ht="11.25">
      <c r="A90" s="5" t="s">
        <v>112</v>
      </c>
      <c r="B90" s="113">
        <f>+Vannes!G90</f>
        <v>238.94626666666667</v>
      </c>
      <c r="C90" s="162">
        <f>+Rennes!G90</f>
        <v>0</v>
      </c>
      <c r="D90" s="160">
        <f>+Rennes!E90+Vannes!E90</f>
        <v>356.26</v>
      </c>
      <c r="E90" s="135">
        <f>+Rennes!F90+Vannes!F90</f>
        <v>231.98666666666668</v>
      </c>
      <c r="F90" s="135">
        <f t="shared" si="7"/>
        <v>238.94626666666667</v>
      </c>
      <c r="G90" s="161">
        <f t="shared" si="6"/>
        <v>238.94626666666667</v>
      </c>
      <c r="H90" s="149">
        <f t="shared" si="8"/>
        <v>-0.34882763524766552</v>
      </c>
      <c r="I90" s="271">
        <f t="shared" si="9"/>
        <v>2.9999999999999975E-2</v>
      </c>
      <c r="J90" s="117">
        <f>+Rennes!D90+Vannes!D90</f>
        <v>363.26913583770835</v>
      </c>
    </row>
    <row r="91" spans="1:10" s="2" customFormat="1" ht="11.25">
      <c r="A91" s="5" t="s">
        <v>113</v>
      </c>
      <c r="B91" s="113">
        <f>+Vannes!G91</f>
        <v>1923.5730666666666</v>
      </c>
      <c r="C91" s="162">
        <f>+Rennes!G91</f>
        <v>600</v>
      </c>
      <c r="D91" s="160">
        <f>+Rennes!E91+Vannes!E91</f>
        <v>1504.95</v>
      </c>
      <c r="E91" s="135">
        <f>+Rennes!F91+Vannes!F91</f>
        <v>2742.8133333333335</v>
      </c>
      <c r="F91" s="135">
        <f t="shared" si="7"/>
        <v>2523.5730666666668</v>
      </c>
      <c r="G91" s="161">
        <f t="shared" si="6"/>
        <v>2523.5730666666668</v>
      </c>
      <c r="H91" s="149">
        <f t="shared" si="8"/>
        <v>0.82252788021750456</v>
      </c>
      <c r="I91" s="271">
        <f t="shared" si="9"/>
        <v>-7.9932623923854335E-2</v>
      </c>
      <c r="J91" s="117">
        <f>+Rennes!D91+Vannes!D91</f>
        <v>1965.5019</v>
      </c>
    </row>
    <row r="92" spans="1:10" s="2" customFormat="1" ht="11.25">
      <c r="A92" s="5" t="s">
        <v>309</v>
      </c>
      <c r="B92" s="113">
        <f>+Vannes!G92</f>
        <v>0</v>
      </c>
      <c r="C92" s="162">
        <f>+Rennes!G92</f>
        <v>0</v>
      </c>
      <c r="D92" s="160">
        <f>+Rennes!E92+Vannes!E92</f>
        <v>0</v>
      </c>
      <c r="E92" s="135">
        <f>+Rennes!F92+Vannes!F92</f>
        <v>0</v>
      </c>
      <c r="F92" s="135">
        <f t="shared" si="7"/>
        <v>0</v>
      </c>
      <c r="G92" s="161">
        <f t="shared" si="6"/>
        <v>0</v>
      </c>
      <c r="H92" s="149">
        <f t="shared" si="8"/>
        <v>0</v>
      </c>
      <c r="I92" s="271">
        <f t="shared" si="9"/>
        <v>0</v>
      </c>
      <c r="J92" s="117">
        <f>+Rennes!D92+Vannes!D92</f>
        <v>0</v>
      </c>
    </row>
    <row r="93" spans="1:10" s="2" customFormat="1" ht="11.25">
      <c r="A93" s="5" t="s">
        <v>115</v>
      </c>
      <c r="B93" s="113">
        <f>+Vannes!G93</f>
        <v>755.33333333333337</v>
      </c>
      <c r="C93" s="162">
        <f>+Rennes!G93</f>
        <v>643.07706666666661</v>
      </c>
      <c r="D93" s="160">
        <f>+Rennes!E93+Vannes!E93</f>
        <v>678.85</v>
      </c>
      <c r="E93" s="135">
        <f>+Rennes!F93+Vannes!F93</f>
        <v>1357.6799999999998</v>
      </c>
      <c r="F93" s="135">
        <f t="shared" si="7"/>
        <v>1398.4104</v>
      </c>
      <c r="G93" s="161">
        <f t="shared" si="6"/>
        <v>1398.4104</v>
      </c>
      <c r="H93" s="149">
        <f t="shared" si="8"/>
        <v>0.99997053841054695</v>
      </c>
      <c r="I93" s="271">
        <f t="shared" si="9"/>
        <v>3.000000000000011E-2</v>
      </c>
      <c r="J93" s="117">
        <f>+Rennes!D93+Vannes!D93</f>
        <v>1293.4951318877083</v>
      </c>
    </row>
    <row r="94" spans="1:10" s="2" customFormat="1" ht="11.25">
      <c r="A94" s="5" t="s">
        <v>42</v>
      </c>
      <c r="B94" s="113">
        <f>+Vannes!G94</f>
        <v>0</v>
      </c>
      <c r="C94" s="162">
        <f>+Rennes!G94</f>
        <v>0</v>
      </c>
      <c r="D94" s="160">
        <f>+Rennes!E94+Vannes!E94</f>
        <v>0</v>
      </c>
      <c r="E94" s="135">
        <f>+Rennes!F94+Vannes!F94</f>
        <v>0</v>
      </c>
      <c r="F94" s="135">
        <f t="shared" si="7"/>
        <v>0</v>
      </c>
      <c r="G94" s="161">
        <f t="shared" si="6"/>
        <v>0</v>
      </c>
      <c r="H94" s="149">
        <f t="shared" si="8"/>
        <v>0</v>
      </c>
      <c r="I94" s="271">
        <f t="shared" si="9"/>
        <v>0</v>
      </c>
      <c r="J94" s="117">
        <f>+Rennes!D94+Vannes!D94</f>
        <v>0</v>
      </c>
    </row>
    <row r="95" spans="1:10" s="2" customFormat="1" ht="11.25">
      <c r="A95" s="5" t="s">
        <v>117</v>
      </c>
      <c r="B95" s="113">
        <f>+Vannes!G95</f>
        <v>23535.815866666668</v>
      </c>
      <c r="C95" s="162">
        <f>+Rennes!G95</f>
        <v>10697.264133333334</v>
      </c>
      <c r="D95" s="160">
        <f>+Rennes!E95+Vannes!E95</f>
        <v>32760.58</v>
      </c>
      <c r="E95" s="135">
        <f>+Rennes!F95+Vannes!F95</f>
        <v>33236</v>
      </c>
      <c r="F95" s="135">
        <f t="shared" si="7"/>
        <v>34233.08</v>
      </c>
      <c r="G95" s="161">
        <f t="shared" si="6"/>
        <v>34233.08</v>
      </c>
      <c r="H95" s="149">
        <f t="shared" si="8"/>
        <v>1.4511953085079635E-2</v>
      </c>
      <c r="I95" s="271">
        <f t="shared" si="9"/>
        <v>3.0000000000000051E-2</v>
      </c>
      <c r="J95" s="117">
        <f>+Rennes!D95+Vannes!D95</f>
        <v>34923.726220265627</v>
      </c>
    </row>
    <row r="96" spans="1:10" s="2" customFormat="1" ht="11.25">
      <c r="A96" s="5" t="s">
        <v>118</v>
      </c>
      <c r="B96" s="113">
        <f>+Vannes!G96</f>
        <v>18000</v>
      </c>
      <c r="C96" s="162">
        <f>+Rennes!G96</f>
        <v>8000</v>
      </c>
      <c r="D96" s="160">
        <f>+Rennes!E96+Vannes!E96</f>
        <v>30736.32</v>
      </c>
      <c r="E96" s="135">
        <f>+Rennes!F96+Vannes!F96</f>
        <v>26503.4</v>
      </c>
      <c r="F96" s="135">
        <f t="shared" si="7"/>
        <v>26000</v>
      </c>
      <c r="G96" s="161">
        <f t="shared" si="6"/>
        <v>26000</v>
      </c>
      <c r="H96" s="149">
        <f t="shared" si="8"/>
        <v>-0.137717202319601</v>
      </c>
      <c r="I96" s="271">
        <f t="shared" si="9"/>
        <v>-1.8993789476067276E-2</v>
      </c>
      <c r="J96" s="117">
        <f>+Rennes!D96+Vannes!D96</f>
        <v>31484.531999999999</v>
      </c>
    </row>
    <row r="97" spans="1:10" s="2" customFormat="1" ht="11.25">
      <c r="A97" s="5" t="s">
        <v>7</v>
      </c>
      <c r="B97" s="113">
        <f>+Vannes!G97</f>
        <v>500</v>
      </c>
      <c r="C97" s="162">
        <f>+Rennes!G97</f>
        <v>200</v>
      </c>
      <c r="D97" s="160">
        <f>+Rennes!E97+Vannes!E97</f>
        <v>739.98</v>
      </c>
      <c r="E97" s="135">
        <f>+Rennes!F97+Vannes!F97</f>
        <v>788.98666666666657</v>
      </c>
      <c r="F97" s="135">
        <f t="shared" si="7"/>
        <v>700</v>
      </c>
      <c r="G97" s="161">
        <f t="shared" si="6"/>
        <v>700</v>
      </c>
      <c r="H97" s="149">
        <f t="shared" si="8"/>
        <v>6.6227015144553286E-2</v>
      </c>
      <c r="I97" s="271">
        <f t="shared" si="9"/>
        <v>-0.11278602088755185</v>
      </c>
      <c r="J97" s="117">
        <f>+Rennes!D97+Vannes!D97</f>
        <v>707.34709999999995</v>
      </c>
    </row>
    <row r="98" spans="1:10" s="2" customFormat="1" ht="11.25">
      <c r="A98" s="5" t="s">
        <v>307</v>
      </c>
      <c r="B98" s="113">
        <f>+Vannes!G98</f>
        <v>0</v>
      </c>
      <c r="C98" s="162">
        <f>+Rennes!G98</f>
        <v>1000</v>
      </c>
      <c r="D98" s="160">
        <f>+Rennes!E98+Vannes!E98</f>
        <v>0</v>
      </c>
      <c r="E98" s="135">
        <f>+Rennes!F98+Vannes!F98</f>
        <v>0</v>
      </c>
      <c r="F98" s="135">
        <f t="shared" si="7"/>
        <v>1000</v>
      </c>
      <c r="G98" s="161">
        <f t="shared" si="6"/>
        <v>1000</v>
      </c>
      <c r="H98" s="149">
        <f t="shared" si="8"/>
        <v>0</v>
      </c>
      <c r="I98" s="271">
        <f t="shared" si="9"/>
        <v>0</v>
      </c>
      <c r="J98" s="117">
        <f>+Rennes!D98+Vannes!D98</f>
        <v>0</v>
      </c>
    </row>
    <row r="99" spans="1:10" s="2" customFormat="1" ht="11.25">
      <c r="A99" s="5" t="s">
        <v>119</v>
      </c>
      <c r="B99" s="113">
        <f>+Vannes!G99</f>
        <v>3392.0266666666666</v>
      </c>
      <c r="C99" s="162">
        <f>+Rennes!G99</f>
        <v>3368.0266666666666</v>
      </c>
      <c r="D99" s="160">
        <f>+Rennes!E99+Vannes!E99</f>
        <v>6924.04</v>
      </c>
      <c r="E99" s="135">
        <f>+Rennes!F99+Vannes!F99</f>
        <v>6760.0533333333333</v>
      </c>
      <c r="F99" s="135">
        <f t="shared" si="7"/>
        <v>6760.0533333333333</v>
      </c>
      <c r="G99" s="161">
        <f t="shared" si="6"/>
        <v>6760.0533333333333</v>
      </c>
      <c r="H99" s="149">
        <f t="shared" si="8"/>
        <v>-2.3683668301550349E-2</v>
      </c>
      <c r="I99" s="271">
        <f t="shared" si="9"/>
        <v>0</v>
      </c>
      <c r="J99" s="117">
        <f>+Rennes!D99+Vannes!D99</f>
        <v>7378.7045885382977</v>
      </c>
    </row>
    <row r="100" spans="1:10" s="2" customFormat="1" ht="11.25">
      <c r="A100" s="5" t="s">
        <v>120</v>
      </c>
      <c r="B100" s="113">
        <f>+Vannes!G100</f>
        <v>759.57693333333339</v>
      </c>
      <c r="C100" s="162">
        <f>+Rennes!G100</f>
        <v>307.0361333333334</v>
      </c>
      <c r="D100" s="160">
        <f>+Rennes!E100+Vannes!E100</f>
        <v>1102.2600000000004</v>
      </c>
      <c r="E100" s="135">
        <f>+Rennes!F100+Vannes!F100</f>
        <v>1035.5466666666666</v>
      </c>
      <c r="F100" s="135">
        <f t="shared" si="7"/>
        <v>1066.6130666666668</v>
      </c>
      <c r="G100" s="161">
        <f t="shared" si="6"/>
        <v>1066.6130666666668</v>
      </c>
      <c r="H100" s="149">
        <f t="shared" si="8"/>
        <v>-6.0524135261493472E-2</v>
      </c>
      <c r="I100" s="271">
        <f t="shared" si="9"/>
        <v>3.0000000000000155E-2</v>
      </c>
      <c r="J100" s="117">
        <f>+Rennes!D100+Vannes!D100</f>
        <v>1124.16736295175</v>
      </c>
    </row>
    <row r="101" spans="1:10" s="2" customFormat="1" ht="11.25">
      <c r="A101" s="5" t="s">
        <v>121</v>
      </c>
      <c r="B101" s="113">
        <f>+Vannes!G101</f>
        <v>0</v>
      </c>
      <c r="C101" s="162">
        <f>+Rennes!G101</f>
        <v>0</v>
      </c>
      <c r="D101" s="160">
        <f>+Rennes!E101+Vannes!E101</f>
        <v>0</v>
      </c>
      <c r="E101" s="135">
        <f>+Rennes!F101+Vannes!F101</f>
        <v>0</v>
      </c>
      <c r="F101" s="135">
        <f t="shared" si="7"/>
        <v>0</v>
      </c>
      <c r="G101" s="161">
        <f t="shared" si="6"/>
        <v>0</v>
      </c>
      <c r="H101" s="149">
        <f t="shared" si="8"/>
        <v>0</v>
      </c>
      <c r="I101" s="271">
        <f t="shared" si="9"/>
        <v>0</v>
      </c>
      <c r="J101" s="117">
        <f>+Rennes!D101+Vannes!D101</f>
        <v>0</v>
      </c>
    </row>
    <row r="102" spans="1:10" s="2" customFormat="1" ht="11.25">
      <c r="A102" s="5"/>
      <c r="B102" s="113"/>
      <c r="C102" s="162"/>
      <c r="D102" s="160"/>
      <c r="E102" s="143"/>
      <c r="F102" s="143"/>
      <c r="G102" s="186"/>
      <c r="H102" s="149"/>
      <c r="I102" s="254"/>
      <c r="J102" s="115"/>
    </row>
    <row r="103" spans="1:10" s="2" customFormat="1" ht="11.25">
      <c r="A103" s="13" t="s">
        <v>122</v>
      </c>
      <c r="B103" s="204">
        <f>SUM(B70:B102)</f>
        <v>94482.103226413019</v>
      </c>
      <c r="C103" s="168">
        <f>SUM(C70:C102)</f>
        <v>69062.504316666673</v>
      </c>
      <c r="D103" s="163">
        <f>SUM(D70:D102)</f>
        <v>166365.42000000001</v>
      </c>
      <c r="E103" s="136">
        <f>SUM(E70:E102)</f>
        <v>159170.37</v>
      </c>
      <c r="F103" s="136">
        <f>SUM(F70:F102)</f>
        <v>163544.60754307968</v>
      </c>
      <c r="G103" s="204">
        <f>SUM(B103:C103)</f>
        <v>163544.60754307971</v>
      </c>
      <c r="H103" s="272">
        <f>+IF((D103)=0,,(E103-D103)/D103)</f>
        <v>-4.3248470745903905E-2</v>
      </c>
      <c r="I103" s="188">
        <f>+IF((E103)=0,,(G103-E103)/E103)</f>
        <v>2.748148127744951E-2</v>
      </c>
      <c r="J103" s="118">
        <f>+Rennes!D103+Vannes!D103</f>
        <v>170474.48872491482</v>
      </c>
    </row>
    <row r="104" spans="1:10" s="2" customFormat="1" ht="11.25">
      <c r="A104" s="5"/>
      <c r="B104" s="113"/>
      <c r="C104" s="162"/>
      <c r="D104" s="160"/>
      <c r="E104" s="143"/>
      <c r="F104" s="143"/>
      <c r="G104" s="186"/>
      <c r="H104" s="149"/>
      <c r="I104" s="254"/>
      <c r="J104" s="115"/>
    </row>
    <row r="105" spans="1:10" s="2" customFormat="1" ht="11.25">
      <c r="A105" s="5" t="s">
        <v>129</v>
      </c>
      <c r="B105" s="113">
        <f>+Vannes!G105</f>
        <v>1000</v>
      </c>
      <c r="C105" s="162">
        <f>+Rennes!G105</f>
        <v>1000</v>
      </c>
      <c r="D105" s="160">
        <f>+Rennes!E105+Vannes!E105</f>
        <v>1548.6</v>
      </c>
      <c r="E105" s="135">
        <f>+Rennes!F105+Vannes!F105</f>
        <v>0</v>
      </c>
      <c r="F105" s="135">
        <f>+G105</f>
        <v>2000</v>
      </c>
      <c r="G105" s="161">
        <f t="shared" ref="G105:G114" si="10">SUM(B105:C105)</f>
        <v>2000</v>
      </c>
      <c r="H105" s="149">
        <f>+IF((D105)=0,,(E105-D105)/D105)</f>
        <v>-1</v>
      </c>
      <c r="I105" s="271">
        <f>+IF((E105)=0,,(G105-E105)/E105)</f>
        <v>0</v>
      </c>
      <c r="J105" s="117">
        <f>+Rennes!D105+Vannes!D105</f>
        <v>2000</v>
      </c>
    </row>
    <row r="106" spans="1:10" s="2" customFormat="1" ht="11.25">
      <c r="A106" s="5" t="s">
        <v>130</v>
      </c>
      <c r="B106" s="113">
        <f>+Vannes!G106</f>
        <v>5500</v>
      </c>
      <c r="C106" s="162">
        <f>+Rennes!G106</f>
        <v>3000</v>
      </c>
      <c r="D106" s="160">
        <f>+Rennes!E106+Vannes!E106</f>
        <v>12531.72</v>
      </c>
      <c r="E106" s="135">
        <f>+Rennes!F106+Vannes!F106</f>
        <v>10193.106666666667</v>
      </c>
      <c r="F106" s="135">
        <f t="shared" ref="F106:F114" si="11">+G106</f>
        <v>8500</v>
      </c>
      <c r="G106" s="161">
        <f t="shared" si="10"/>
        <v>8500</v>
      </c>
      <c r="H106" s="149">
        <f t="shared" ref="H106:H114" si="12">+IF((D106)=0,,(E106-D106)/D106)</f>
        <v>-0.18661551114558361</v>
      </c>
      <c r="I106" s="271">
        <f t="shared" ref="I106:I114" si="13">+IF((E106)=0,,(G106-E106)/E106)</f>
        <v>-0.16610310497421132</v>
      </c>
      <c r="J106" s="117">
        <f>+Rennes!D106+Vannes!D106</f>
        <v>6500</v>
      </c>
    </row>
    <row r="107" spans="1:10" s="2" customFormat="1" ht="11.25">
      <c r="A107" s="5" t="s">
        <v>131</v>
      </c>
      <c r="B107" s="113">
        <f>+Vannes!G107</f>
        <v>0</v>
      </c>
      <c r="C107" s="162">
        <f>+Rennes!G107</f>
        <v>0</v>
      </c>
      <c r="D107" s="160">
        <f>+Rennes!E107+Vannes!E107</f>
        <v>0</v>
      </c>
      <c r="E107" s="135">
        <f>+Rennes!F107+Vannes!F107</f>
        <v>0</v>
      </c>
      <c r="F107" s="135">
        <f t="shared" si="11"/>
        <v>0</v>
      </c>
      <c r="G107" s="161">
        <f t="shared" si="10"/>
        <v>0</v>
      </c>
      <c r="H107" s="149">
        <f t="shared" si="12"/>
        <v>0</v>
      </c>
      <c r="I107" s="271">
        <f t="shared" si="13"/>
        <v>0</v>
      </c>
      <c r="J107" s="117">
        <f>+Rennes!D107+Vannes!D107</f>
        <v>0</v>
      </c>
    </row>
    <row r="108" spans="1:10" s="2" customFormat="1" ht="11.25">
      <c r="A108" s="5" t="s">
        <v>132</v>
      </c>
      <c r="B108" s="113">
        <f>+Vannes!G108</f>
        <v>500</v>
      </c>
      <c r="C108" s="162">
        <f>+Rennes!G108</f>
        <v>0</v>
      </c>
      <c r="D108" s="160">
        <f>+Rennes!E108+Vannes!E108</f>
        <v>0</v>
      </c>
      <c r="E108" s="135">
        <f>+Rennes!F108+Vannes!F108</f>
        <v>2269.333333333333</v>
      </c>
      <c r="F108" s="135">
        <f t="shared" si="11"/>
        <v>500</v>
      </c>
      <c r="G108" s="161">
        <f t="shared" si="10"/>
        <v>500</v>
      </c>
      <c r="H108" s="149">
        <f t="shared" si="12"/>
        <v>0</v>
      </c>
      <c r="I108" s="271">
        <f t="shared" si="13"/>
        <v>-0.77967097532314922</v>
      </c>
      <c r="J108" s="117">
        <f>+Rennes!D108+Vannes!D108</f>
        <v>1000</v>
      </c>
    </row>
    <row r="109" spans="1:10" s="2" customFormat="1" ht="11.25">
      <c r="A109" s="5" t="s">
        <v>133</v>
      </c>
      <c r="B109" s="113">
        <f>+Vannes!G109</f>
        <v>4300</v>
      </c>
      <c r="C109" s="162">
        <f>+Rennes!G109</f>
        <v>3800</v>
      </c>
      <c r="D109" s="160">
        <f>+Rennes!E109+Vannes!E109</f>
        <v>2886.9800000000005</v>
      </c>
      <c r="E109" s="135">
        <f>+Rennes!F109+Vannes!F109</f>
        <v>7759.7866666666669</v>
      </c>
      <c r="F109" s="135">
        <f t="shared" si="11"/>
        <v>8100</v>
      </c>
      <c r="G109" s="161">
        <f t="shared" si="10"/>
        <v>8100</v>
      </c>
      <c r="H109" s="149">
        <f t="shared" si="12"/>
        <v>1.6878560525762789</v>
      </c>
      <c r="I109" s="271">
        <f t="shared" si="13"/>
        <v>4.3843129708033182E-2</v>
      </c>
      <c r="J109" s="117">
        <f>+Rennes!D109+Vannes!D109</f>
        <v>9438.7698</v>
      </c>
    </row>
    <row r="110" spans="1:10" s="2" customFormat="1" ht="11.25">
      <c r="A110" s="5" t="s">
        <v>134</v>
      </c>
      <c r="B110" s="113">
        <f>+Vannes!G110</f>
        <v>15000</v>
      </c>
      <c r="C110" s="162">
        <f>+Rennes!G110</f>
        <v>7000</v>
      </c>
      <c r="D110" s="160">
        <f>+Rennes!E110+Vannes!E110</f>
        <v>18026.79</v>
      </c>
      <c r="E110" s="135">
        <f>+Rennes!F110+Vannes!F110</f>
        <v>21848.173333333332</v>
      </c>
      <c r="F110" s="135">
        <f t="shared" si="11"/>
        <v>22000</v>
      </c>
      <c r="G110" s="161">
        <f t="shared" si="10"/>
        <v>22000</v>
      </c>
      <c r="H110" s="149">
        <f t="shared" si="12"/>
        <v>0.21198357185795869</v>
      </c>
      <c r="I110" s="271">
        <f t="shared" si="13"/>
        <v>6.9491698161799524E-3</v>
      </c>
      <c r="J110" s="117">
        <f>+Rennes!D110+Vannes!D110</f>
        <v>22445.313500000004</v>
      </c>
    </row>
    <row r="111" spans="1:10" s="2" customFormat="1" ht="11.25">
      <c r="A111" s="5" t="s">
        <v>135</v>
      </c>
      <c r="B111" s="113">
        <f>+Vannes!G111</f>
        <v>50</v>
      </c>
      <c r="C111" s="162">
        <f>+Rennes!G111</f>
        <v>20</v>
      </c>
      <c r="D111" s="160">
        <f>+Rennes!E111+Vannes!E111</f>
        <v>35</v>
      </c>
      <c r="E111" s="135">
        <f>+Rennes!F111+Vannes!F111</f>
        <v>0</v>
      </c>
      <c r="F111" s="135">
        <f t="shared" si="11"/>
        <v>70</v>
      </c>
      <c r="G111" s="161">
        <f t="shared" si="10"/>
        <v>70</v>
      </c>
      <c r="H111" s="149">
        <f t="shared" si="12"/>
        <v>-1</v>
      </c>
      <c r="I111" s="271">
        <f t="shared" si="13"/>
        <v>0</v>
      </c>
      <c r="J111" s="117">
        <f>+Rennes!D111+Vannes!D111</f>
        <v>70</v>
      </c>
    </row>
    <row r="112" spans="1:10" s="2" customFormat="1" ht="11.25">
      <c r="A112" s="5" t="s">
        <v>136</v>
      </c>
      <c r="B112" s="113">
        <f>+Vannes!G112</f>
        <v>1500</v>
      </c>
      <c r="C112" s="162">
        <f>+Rennes!G112</f>
        <v>500</v>
      </c>
      <c r="D112" s="160">
        <f>+Rennes!E112+Vannes!E112</f>
        <v>3320.46</v>
      </c>
      <c r="E112" s="135">
        <f>+Rennes!F112+Vannes!F112</f>
        <v>2797</v>
      </c>
      <c r="F112" s="135">
        <f t="shared" si="11"/>
        <v>2000</v>
      </c>
      <c r="G112" s="161">
        <f t="shared" si="10"/>
        <v>2000</v>
      </c>
      <c r="H112" s="149">
        <f t="shared" si="12"/>
        <v>-0.15764683206543673</v>
      </c>
      <c r="I112" s="271">
        <f t="shared" si="13"/>
        <v>-0.28494815874150875</v>
      </c>
      <c r="J112" s="117">
        <f>+Rennes!D112+Vannes!D112</f>
        <v>2797.1369</v>
      </c>
    </row>
    <row r="113" spans="1:10" s="2" customFormat="1" ht="11.25">
      <c r="A113" s="5" t="s">
        <v>137</v>
      </c>
      <c r="B113" s="113">
        <f>+Vannes!G113</f>
        <v>10000</v>
      </c>
      <c r="C113" s="162">
        <f>+Rennes!G113</f>
        <v>2800.0034999999998</v>
      </c>
      <c r="D113" s="160">
        <f>+Rennes!E113+Vannes!E113</f>
        <v>18330.63</v>
      </c>
      <c r="E113" s="135">
        <f>+Rennes!F113+Vannes!F113</f>
        <v>12938.5</v>
      </c>
      <c r="F113" s="135">
        <f t="shared" si="11"/>
        <v>12800.003499999999</v>
      </c>
      <c r="G113" s="161">
        <f t="shared" si="10"/>
        <v>12800.003499999999</v>
      </c>
      <c r="H113" s="149">
        <f t="shared" si="12"/>
        <v>-0.29415955698194773</v>
      </c>
      <c r="I113" s="271">
        <f t="shared" si="13"/>
        <v>-1.0704216099238792E-2</v>
      </c>
      <c r="J113" s="117">
        <f>+Rennes!D113+Vannes!D113</f>
        <v>17000</v>
      </c>
    </row>
    <row r="114" spans="1:10" s="2" customFormat="1" ht="11.25">
      <c r="A114" s="5" t="s">
        <v>138</v>
      </c>
      <c r="B114" s="113">
        <f>+Vannes!G114</f>
        <v>0</v>
      </c>
      <c r="C114" s="162">
        <f>+Rennes!G114</f>
        <v>-687.01</v>
      </c>
      <c r="D114" s="160">
        <f>+Rennes!E114+Vannes!E114</f>
        <v>0</v>
      </c>
      <c r="E114" s="135">
        <f>+Rennes!F114+Vannes!F114</f>
        <v>-667</v>
      </c>
      <c r="F114" s="135">
        <f t="shared" si="11"/>
        <v>-687.01</v>
      </c>
      <c r="G114" s="161">
        <f t="shared" si="10"/>
        <v>-687.01</v>
      </c>
      <c r="H114" s="149">
        <f t="shared" si="12"/>
        <v>0</v>
      </c>
      <c r="I114" s="271">
        <f t="shared" si="13"/>
        <v>2.9999999999999985E-2</v>
      </c>
      <c r="J114" s="117">
        <f>+Rennes!D114+Vannes!D114</f>
        <v>0</v>
      </c>
    </row>
    <row r="115" spans="1:10" s="2" customFormat="1" ht="11.25">
      <c r="A115" s="5"/>
      <c r="B115" s="113"/>
      <c r="C115" s="162"/>
      <c r="D115" s="160"/>
      <c r="E115" s="143"/>
      <c r="F115" s="143"/>
      <c r="G115" s="186"/>
      <c r="H115" s="149"/>
      <c r="I115" s="254"/>
      <c r="J115" s="115"/>
    </row>
    <row r="116" spans="1:10" s="2" customFormat="1" ht="11.25">
      <c r="A116" s="13" t="s">
        <v>133</v>
      </c>
      <c r="B116" s="204">
        <f>SUM(B105:B115)</f>
        <v>37850</v>
      </c>
      <c r="C116" s="168">
        <f>SUM(C105:C115)</f>
        <v>17432.9935</v>
      </c>
      <c r="D116" s="163">
        <f>SUM(D105:D115)</f>
        <v>56680.179999999993</v>
      </c>
      <c r="E116" s="136">
        <f>SUM(E105:E115)</f>
        <v>57138.899999999994</v>
      </c>
      <c r="F116" s="136">
        <f>SUM(F105:F115)</f>
        <v>55282.993499999997</v>
      </c>
      <c r="G116" s="168">
        <f>SUM(B116:C116)</f>
        <v>55282.993499999997</v>
      </c>
      <c r="H116" s="272">
        <f>+IF((D116)=0,,(E116-D116)/D116)</f>
        <v>8.0931288503318308E-3</v>
      </c>
      <c r="I116" s="188">
        <f>+IF((E116)=0,,(G116-E116)/E116)</f>
        <v>-3.2480613032452456E-2</v>
      </c>
      <c r="J116" s="118">
        <f>SUM(J105:J114)</f>
        <v>61251.220200000003</v>
      </c>
    </row>
    <row r="117" spans="1:10" s="2" customFormat="1" ht="11.25">
      <c r="A117" s="5"/>
      <c r="B117" s="113"/>
      <c r="C117" s="162"/>
      <c r="D117" s="160"/>
      <c r="E117" s="143"/>
      <c r="F117" s="143"/>
      <c r="G117" s="186"/>
      <c r="H117" s="149"/>
      <c r="I117" s="254"/>
      <c r="J117" s="115"/>
    </row>
    <row r="118" spans="1:10" s="2" customFormat="1" ht="11.25">
      <c r="A118" s="5" t="s">
        <v>139</v>
      </c>
      <c r="B118" s="113">
        <f>+Vannes!G118</f>
        <v>776.99999999999989</v>
      </c>
      <c r="C118" s="162">
        <f>+Rennes!G118</f>
        <v>412.99999999999994</v>
      </c>
      <c r="D118" s="160">
        <f>+Rennes!E118+Vannes!E118</f>
        <v>1381</v>
      </c>
      <c r="E118" s="135">
        <f>+Rennes!F118+Vannes!F118</f>
        <v>3018.9733333333334</v>
      </c>
      <c r="F118" s="135">
        <f>+G118</f>
        <v>1189.9999999999998</v>
      </c>
      <c r="G118" s="161">
        <f t="shared" ref="G118:G127" si="14">SUM(B118:C118)</f>
        <v>1189.9999999999998</v>
      </c>
      <c r="H118" s="149">
        <f>+IF((D118)=0,,(E118-D118)/D118)</f>
        <v>1.1860777214578808</v>
      </c>
      <c r="I118" s="271">
        <f>+IF((E118)=0,,(G118-E118)/E118)</f>
        <v>-0.6058262632329755</v>
      </c>
      <c r="J118" s="117">
        <f>+Rennes!D118+Vannes!D118</f>
        <v>1189.9999999999998</v>
      </c>
    </row>
    <row r="119" spans="1:10" s="2" customFormat="1" ht="11.25">
      <c r="A119" s="5" t="s">
        <v>140</v>
      </c>
      <c r="B119" s="113">
        <f>+Vannes!G119</f>
        <v>499.50000000000006</v>
      </c>
      <c r="C119" s="162">
        <f>+Rennes!G119</f>
        <v>265.50000000000006</v>
      </c>
      <c r="D119" s="160">
        <f>+Rennes!E119+Vannes!E119</f>
        <v>761</v>
      </c>
      <c r="E119" s="135">
        <f>+Rennes!F119+Vannes!F119</f>
        <v>0</v>
      </c>
      <c r="F119" s="135">
        <f t="shared" ref="F119:F127" si="15">+G119</f>
        <v>765.00000000000011</v>
      </c>
      <c r="G119" s="161">
        <f t="shared" si="14"/>
        <v>765.00000000000011</v>
      </c>
      <c r="H119" s="149">
        <f t="shared" ref="H119:H127" si="16">+IF((D119)=0,,(E119-D119)/D119)</f>
        <v>-1</v>
      </c>
      <c r="I119" s="271">
        <f t="shared" ref="I119:I127" si="17">+IF((E119)=0,,(G119-E119)/E119)</f>
        <v>0</v>
      </c>
      <c r="J119" s="117">
        <f>+Rennes!D119+Vannes!D119</f>
        <v>765.00000000000011</v>
      </c>
    </row>
    <row r="120" spans="1:10" s="2" customFormat="1" ht="11.25">
      <c r="A120" s="5" t="s">
        <v>141</v>
      </c>
      <c r="B120" s="113">
        <f>+Vannes!G120</f>
        <v>865.80000000000007</v>
      </c>
      <c r="C120" s="162">
        <f>+Rennes!G120</f>
        <v>460.20000000000005</v>
      </c>
      <c r="D120" s="160">
        <f>+Rennes!E120+Vannes!E120</f>
        <v>1149</v>
      </c>
      <c r="E120" s="135">
        <f>+Rennes!F120+Vannes!F120</f>
        <v>0</v>
      </c>
      <c r="F120" s="135">
        <f t="shared" si="15"/>
        <v>1326</v>
      </c>
      <c r="G120" s="161">
        <f t="shared" si="14"/>
        <v>1326</v>
      </c>
      <c r="H120" s="149">
        <f t="shared" si="16"/>
        <v>-1</v>
      </c>
      <c r="I120" s="271">
        <f t="shared" si="17"/>
        <v>0</v>
      </c>
      <c r="J120" s="117">
        <f>+Rennes!D120+Vannes!D120</f>
        <v>1326</v>
      </c>
    </row>
    <row r="121" spans="1:10" s="2" customFormat="1" ht="11.25">
      <c r="A121" s="5" t="s">
        <v>142</v>
      </c>
      <c r="B121" s="113">
        <f>+Vannes!G121</f>
        <v>2439.15</v>
      </c>
      <c r="C121" s="162">
        <f>+Rennes!G121</f>
        <v>3979.5</v>
      </c>
      <c r="D121" s="160">
        <f>+Rennes!E121+Vannes!E121</f>
        <v>10401</v>
      </c>
      <c r="E121" s="135">
        <f>+Rennes!F121+Vannes!F121</f>
        <v>6113</v>
      </c>
      <c r="F121" s="135">
        <f t="shared" si="15"/>
        <v>6418.65</v>
      </c>
      <c r="G121" s="161">
        <f t="shared" si="14"/>
        <v>6418.65</v>
      </c>
      <c r="H121" s="149">
        <f t="shared" si="16"/>
        <v>-0.41226805114892801</v>
      </c>
      <c r="I121" s="271">
        <f t="shared" si="17"/>
        <v>4.999999999999994E-2</v>
      </c>
      <c r="J121" s="117">
        <f>+Rennes!D121+Vannes!D121</f>
        <v>10744.387500000001</v>
      </c>
    </row>
    <row r="122" spans="1:10" s="2" customFormat="1" ht="11.25">
      <c r="A122" s="5" t="s">
        <v>143</v>
      </c>
      <c r="B122" s="113">
        <f>+Vannes!G122</f>
        <v>4122.3</v>
      </c>
      <c r="C122" s="162">
        <f>+Rennes!G122</f>
        <v>5893.5660000000007</v>
      </c>
      <c r="D122" s="160">
        <f>+Rennes!E122+Vannes!E122</f>
        <v>9156.15</v>
      </c>
      <c r="E122" s="135">
        <f>+Rennes!F122+Vannes!F122</f>
        <v>9538.92</v>
      </c>
      <c r="F122" s="135">
        <f t="shared" si="15"/>
        <v>10015.866000000002</v>
      </c>
      <c r="G122" s="161">
        <f t="shared" si="14"/>
        <v>10015.866000000002</v>
      </c>
      <c r="H122" s="149">
        <f t="shared" si="16"/>
        <v>4.1804688651889764E-2</v>
      </c>
      <c r="I122" s="271">
        <f t="shared" si="17"/>
        <v>5.0000000000000183E-2</v>
      </c>
      <c r="J122" s="117">
        <f>+Rennes!D122+Vannes!D122</f>
        <v>9613.9575000000004</v>
      </c>
    </row>
    <row r="123" spans="1:10" s="2" customFormat="1" ht="11.25">
      <c r="A123" s="5" t="s">
        <v>144</v>
      </c>
      <c r="B123" s="113">
        <f>+Vannes!G123</f>
        <v>50</v>
      </c>
      <c r="C123" s="162">
        <f>+Rennes!G123</f>
        <v>200</v>
      </c>
      <c r="D123" s="160">
        <f>+Rennes!E123+Vannes!E123</f>
        <v>0</v>
      </c>
      <c r="E123" s="135">
        <f>+Rennes!F123+Vannes!F123</f>
        <v>0</v>
      </c>
      <c r="F123" s="135">
        <f t="shared" si="15"/>
        <v>250</v>
      </c>
      <c r="G123" s="161">
        <f t="shared" si="14"/>
        <v>250</v>
      </c>
      <c r="H123" s="149">
        <f t="shared" si="16"/>
        <v>0</v>
      </c>
      <c r="I123" s="271">
        <f t="shared" si="17"/>
        <v>0</v>
      </c>
      <c r="J123" s="117">
        <f>+Rennes!D123+Vannes!D123</f>
        <v>100</v>
      </c>
    </row>
    <row r="124" spans="1:10" s="2" customFormat="1" ht="11.25">
      <c r="A124" s="5" t="s">
        <v>145</v>
      </c>
      <c r="B124" s="113">
        <f>+Vannes!G124</f>
        <v>0</v>
      </c>
      <c r="C124" s="162">
        <f>+Rennes!G124</f>
        <v>0</v>
      </c>
      <c r="D124" s="160">
        <f>+Rennes!E124+Vannes!E124</f>
        <v>0</v>
      </c>
      <c r="E124" s="135">
        <f>+Rennes!F124+Vannes!F124</f>
        <v>0</v>
      </c>
      <c r="F124" s="135">
        <f t="shared" si="15"/>
        <v>0</v>
      </c>
      <c r="G124" s="161">
        <f t="shared" si="14"/>
        <v>0</v>
      </c>
      <c r="H124" s="149">
        <f t="shared" si="16"/>
        <v>0</v>
      </c>
      <c r="I124" s="271">
        <f t="shared" si="17"/>
        <v>0</v>
      </c>
      <c r="J124" s="117">
        <f>+Rennes!D124+Vannes!D124</f>
        <v>0</v>
      </c>
    </row>
    <row r="125" spans="1:10" s="2" customFormat="1" ht="11.25">
      <c r="A125" s="5" t="s">
        <v>286</v>
      </c>
      <c r="B125" s="113">
        <f>+Vannes!G125</f>
        <v>0</v>
      </c>
      <c r="C125" s="162">
        <f>+Rennes!G125</f>
        <v>0</v>
      </c>
      <c r="D125" s="160">
        <f>+Rennes!E125+Vannes!E125</f>
        <v>0</v>
      </c>
      <c r="E125" s="135">
        <f>+Rennes!F125+Vannes!F125</f>
        <v>0</v>
      </c>
      <c r="F125" s="135">
        <f t="shared" si="15"/>
        <v>0</v>
      </c>
      <c r="G125" s="161">
        <f t="shared" si="14"/>
        <v>0</v>
      </c>
      <c r="H125" s="149">
        <f t="shared" si="16"/>
        <v>0</v>
      </c>
      <c r="I125" s="271">
        <f t="shared" si="17"/>
        <v>0</v>
      </c>
      <c r="J125" s="117">
        <f>+Rennes!D125+Vannes!D125</f>
        <v>0</v>
      </c>
    </row>
    <row r="126" spans="1:10" s="2" customFormat="1" ht="11.25">
      <c r="A126" s="5" t="s">
        <v>361</v>
      </c>
      <c r="B126" s="113">
        <f>+Vannes!G126</f>
        <v>0</v>
      </c>
      <c r="C126" s="162">
        <f>+Rennes!G126</f>
        <v>0</v>
      </c>
      <c r="D126" s="160">
        <f>+Rennes!E126+Vannes!E126</f>
        <v>0</v>
      </c>
      <c r="E126" s="135">
        <f>+Rennes!F126+Vannes!F126</f>
        <v>0</v>
      </c>
      <c r="F126" s="135">
        <f t="shared" si="15"/>
        <v>0</v>
      </c>
      <c r="G126" s="161">
        <f t="shared" si="14"/>
        <v>0</v>
      </c>
      <c r="H126" s="149">
        <f t="shared" si="16"/>
        <v>0</v>
      </c>
      <c r="I126" s="271">
        <f t="shared" si="17"/>
        <v>0</v>
      </c>
      <c r="J126" s="117">
        <f>+Rennes!D126+Vannes!D126</f>
        <v>0</v>
      </c>
    </row>
    <row r="127" spans="1:10" s="2" customFormat="1" ht="11.25">
      <c r="A127" s="5" t="s">
        <v>146</v>
      </c>
      <c r="B127" s="113">
        <f>+Vannes!G127</f>
        <v>1417.32816</v>
      </c>
      <c r="C127" s="162">
        <f>+Rennes!G127</f>
        <v>799.88022400000011</v>
      </c>
      <c r="D127" s="160">
        <f>+Rennes!E127+Vannes!E127</f>
        <v>2250.5</v>
      </c>
      <c r="E127" s="135">
        <f>+Rennes!F127+Vannes!F127</f>
        <v>2267.8133333333335</v>
      </c>
      <c r="F127" s="135">
        <f t="shared" si="15"/>
        <v>2217.208384</v>
      </c>
      <c r="G127" s="161">
        <f t="shared" si="14"/>
        <v>2217.208384</v>
      </c>
      <c r="H127" s="149">
        <f t="shared" si="16"/>
        <v>7.693105235873585E-3</v>
      </c>
      <c r="I127" s="271">
        <f t="shared" si="17"/>
        <v>-2.2314424467622326E-2</v>
      </c>
      <c r="J127" s="117">
        <f>+Rennes!D127+Vannes!D127</f>
        <v>2357.2927424</v>
      </c>
    </row>
    <row r="128" spans="1:10" s="2" customFormat="1" ht="11.25">
      <c r="A128" s="5"/>
      <c r="B128" s="113"/>
      <c r="C128" s="162"/>
      <c r="D128" s="160"/>
      <c r="E128" s="143"/>
      <c r="F128" s="143"/>
      <c r="G128" s="186"/>
      <c r="H128" s="149"/>
      <c r="I128" s="254"/>
      <c r="J128" s="115"/>
    </row>
    <row r="129" spans="1:10" s="2" customFormat="1" ht="11.25">
      <c r="A129" s="13" t="s">
        <v>147</v>
      </c>
      <c r="B129" s="204">
        <f>SUM(B118:B128)</f>
        <v>10171.078160000001</v>
      </c>
      <c r="C129" s="168">
        <f>SUM(C118:C128)</f>
        <v>12011.646224</v>
      </c>
      <c r="D129" s="163">
        <f>SUM(D117:D128)</f>
        <v>25098.65</v>
      </c>
      <c r="E129" s="136">
        <f>SUM(E117:E128)</f>
        <v>20938.706666666665</v>
      </c>
      <c r="F129" s="136">
        <f>SUM(F117:F128)</f>
        <v>22182.724384000005</v>
      </c>
      <c r="G129" s="168">
        <f>SUM(B129:C129)</f>
        <v>22182.724384000001</v>
      </c>
      <c r="H129" s="272">
        <f>+IF((D129)=0,,(E129-D129)/D129)</f>
        <v>-0.16574370865896518</v>
      </c>
      <c r="I129" s="188">
        <f>+IF((E129)=0,,(G129-E129)/E129)</f>
        <v>5.9412347531175247E-2</v>
      </c>
      <c r="J129" s="118">
        <f>SUM(J117:J128)</f>
        <v>26096.637742400002</v>
      </c>
    </row>
    <row r="130" spans="1:10" s="2" customFormat="1" ht="11.25">
      <c r="A130" s="5"/>
      <c r="B130" s="113"/>
      <c r="C130" s="162"/>
      <c r="D130" s="160"/>
      <c r="E130" s="143"/>
      <c r="F130" s="143"/>
      <c r="G130" s="186"/>
      <c r="H130" s="149"/>
      <c r="I130" s="254"/>
      <c r="J130" s="115"/>
    </row>
    <row r="131" spans="1:10" s="2" customFormat="1" ht="11.25">
      <c r="A131" s="5" t="s">
        <v>148</v>
      </c>
      <c r="B131" s="113">
        <f>+Vannes!G131</f>
        <v>111000</v>
      </c>
      <c r="C131" s="162">
        <f>+Rennes!G131</f>
        <v>59000</v>
      </c>
      <c r="D131" s="160">
        <f>+Rennes!E131+Vannes!E131</f>
        <v>178873.77000000002</v>
      </c>
      <c r="E131" s="135">
        <f>+Rennes!F131+Vannes!F131</f>
        <v>162025.33333333331</v>
      </c>
      <c r="F131" s="135">
        <f>+G131</f>
        <v>170000</v>
      </c>
      <c r="G131" s="161">
        <f t="shared" ref="G131:G152" si="18">SUM(B131:C131)</f>
        <v>170000</v>
      </c>
      <c r="H131" s="149">
        <f>+IF((D131)=0,,(E131-D131)/D131)</f>
        <v>-9.4191768120427621E-2</v>
      </c>
      <c r="I131" s="271">
        <f>+IF((E131)=0,,(G131-E131)/E131)</f>
        <v>4.9218640706391717E-2</v>
      </c>
      <c r="J131" s="117">
        <f>+Rennes!D131+Vannes!D131</f>
        <v>170000</v>
      </c>
    </row>
    <row r="132" spans="1:10" s="2" customFormat="1" ht="11.25">
      <c r="A132" s="5" t="s">
        <v>149</v>
      </c>
      <c r="B132" s="113">
        <f>+Vannes!G132</f>
        <v>0</v>
      </c>
      <c r="C132" s="162">
        <f>+Rennes!G132</f>
        <v>0</v>
      </c>
      <c r="D132" s="160">
        <f>+Rennes!E132+Vannes!E132</f>
        <v>1840</v>
      </c>
      <c r="E132" s="135">
        <f>+Rennes!F132+Vannes!F132</f>
        <v>-2733.3333333333335</v>
      </c>
      <c r="F132" s="135">
        <f t="shared" ref="F132:F152" si="19">+G132</f>
        <v>0</v>
      </c>
      <c r="G132" s="161">
        <f t="shared" si="18"/>
        <v>0</v>
      </c>
      <c r="H132" s="149">
        <f t="shared" ref="H132:H152" si="20">+IF((D132)=0,,(E132-D132)/D132)</f>
        <v>-2.485507246376812</v>
      </c>
      <c r="I132" s="271">
        <f t="shared" ref="I132:I152" si="21">+IF((E132)=0,,(G132-E132)/E132)</f>
        <v>-1</v>
      </c>
      <c r="J132" s="117">
        <f>+Rennes!D132+Vannes!D132</f>
        <v>0</v>
      </c>
    </row>
    <row r="133" spans="1:10" s="2" customFormat="1" ht="11.25">
      <c r="A133" s="5" t="s">
        <v>150</v>
      </c>
      <c r="B133" s="113">
        <f>+Vannes!G133</f>
        <v>0</v>
      </c>
      <c r="C133" s="162">
        <f>+Rennes!G133</f>
        <v>0</v>
      </c>
      <c r="D133" s="160">
        <f>+Rennes!E133+Vannes!E133</f>
        <v>0</v>
      </c>
      <c r="E133" s="135">
        <f>+Rennes!F133+Vannes!F133</f>
        <v>0</v>
      </c>
      <c r="F133" s="135">
        <f t="shared" si="19"/>
        <v>0</v>
      </c>
      <c r="G133" s="161">
        <f t="shared" si="18"/>
        <v>0</v>
      </c>
      <c r="H133" s="149">
        <f t="shared" si="20"/>
        <v>0</v>
      </c>
      <c r="I133" s="271">
        <f t="shared" si="21"/>
        <v>0</v>
      </c>
      <c r="J133" s="117">
        <f>+Rennes!D133+Vannes!D133</f>
        <v>0</v>
      </c>
    </row>
    <row r="134" spans="1:10" s="2" customFormat="1" ht="11.25">
      <c r="A134" s="5" t="s">
        <v>151</v>
      </c>
      <c r="B134" s="113">
        <f>+Vannes!G134</f>
        <v>0</v>
      </c>
      <c r="C134" s="162">
        <f>+Rennes!G134</f>
        <v>0</v>
      </c>
      <c r="D134" s="160">
        <f>+Rennes!E134+Vannes!E134</f>
        <v>-2914.5100000000007</v>
      </c>
      <c r="E134" s="135">
        <f>+Rennes!F134+Vannes!F134</f>
        <v>0</v>
      </c>
      <c r="F134" s="135">
        <f t="shared" si="19"/>
        <v>0</v>
      </c>
      <c r="G134" s="161">
        <f t="shared" si="18"/>
        <v>0</v>
      </c>
      <c r="H134" s="149">
        <f t="shared" si="20"/>
        <v>-1</v>
      </c>
      <c r="I134" s="271">
        <f t="shared" si="21"/>
        <v>0</v>
      </c>
      <c r="J134" s="117">
        <f>+Rennes!D134+Vannes!D134</f>
        <v>0</v>
      </c>
    </row>
    <row r="135" spans="1:10" s="2" customFormat="1" ht="11.25">
      <c r="A135" s="5" t="s">
        <v>114</v>
      </c>
      <c r="B135" s="113">
        <f>+Vannes!G135</f>
        <v>0</v>
      </c>
      <c r="C135" s="162">
        <f>+Rennes!G135</f>
        <v>0</v>
      </c>
      <c r="D135" s="160">
        <f>+Rennes!E135+Vannes!E135</f>
        <v>0</v>
      </c>
      <c r="E135" s="135">
        <f>+Rennes!F135+Vannes!F135</f>
        <v>0</v>
      </c>
      <c r="F135" s="135">
        <f t="shared" si="19"/>
        <v>0</v>
      </c>
      <c r="G135" s="161">
        <f t="shared" si="18"/>
        <v>0</v>
      </c>
      <c r="H135" s="149">
        <f t="shared" si="20"/>
        <v>0</v>
      </c>
      <c r="I135" s="271">
        <f t="shared" si="21"/>
        <v>0</v>
      </c>
      <c r="J135" s="117">
        <f>+Rennes!D135+Vannes!D135</f>
        <v>0</v>
      </c>
    </row>
    <row r="136" spans="1:10" s="2" customFormat="1" ht="11.25">
      <c r="A136" s="5" t="s">
        <v>338</v>
      </c>
      <c r="B136" s="113">
        <f>+Vannes!G136</f>
        <v>0</v>
      </c>
      <c r="C136" s="162">
        <f>+Rennes!G136</f>
        <v>0</v>
      </c>
      <c r="D136" s="160">
        <f>+Rennes!E136+Vannes!E136</f>
        <v>0</v>
      </c>
      <c r="E136" s="135">
        <f>+Rennes!F136+Vannes!F136</f>
        <v>0</v>
      </c>
      <c r="F136" s="135">
        <f t="shared" si="19"/>
        <v>0</v>
      </c>
      <c r="G136" s="161">
        <f t="shared" si="18"/>
        <v>0</v>
      </c>
      <c r="H136" s="149">
        <f t="shared" si="20"/>
        <v>0</v>
      </c>
      <c r="I136" s="271">
        <f t="shared" si="21"/>
        <v>0</v>
      </c>
      <c r="J136" s="117">
        <f>+Rennes!D136+Vannes!D136</f>
        <v>0</v>
      </c>
    </row>
    <row r="137" spans="1:10" s="2" customFormat="1" ht="11.25">
      <c r="A137" s="5" t="s">
        <v>87</v>
      </c>
      <c r="B137" s="113">
        <f>+Vannes!G137</f>
        <v>0</v>
      </c>
      <c r="C137" s="162">
        <f>+Rennes!G137</f>
        <v>0</v>
      </c>
      <c r="D137" s="160">
        <f>+Rennes!E137+Vannes!E137</f>
        <v>0</v>
      </c>
      <c r="E137" s="135">
        <f>+Rennes!F137+Vannes!F137</f>
        <v>0</v>
      </c>
      <c r="F137" s="135">
        <f t="shared" si="19"/>
        <v>0</v>
      </c>
      <c r="G137" s="161">
        <f t="shared" si="18"/>
        <v>0</v>
      </c>
      <c r="H137" s="149">
        <f t="shared" si="20"/>
        <v>0</v>
      </c>
      <c r="I137" s="271">
        <f t="shared" si="21"/>
        <v>0</v>
      </c>
      <c r="J137" s="117">
        <f>+Rennes!D137+Vannes!D137</f>
        <v>0</v>
      </c>
    </row>
    <row r="138" spans="1:10" s="2" customFormat="1" ht="11.25">
      <c r="A138" s="5" t="s">
        <v>152</v>
      </c>
      <c r="B138" s="113">
        <f>+Vannes!G138</f>
        <v>0</v>
      </c>
      <c r="C138" s="162">
        <f>+Rennes!G138</f>
        <v>0</v>
      </c>
      <c r="D138" s="160">
        <f>+Rennes!E138+Vannes!E138</f>
        <v>-962.77000000000021</v>
      </c>
      <c r="E138" s="135">
        <f>+Rennes!F138+Vannes!F138</f>
        <v>0</v>
      </c>
      <c r="F138" s="135">
        <f t="shared" si="19"/>
        <v>0</v>
      </c>
      <c r="G138" s="161">
        <f t="shared" si="18"/>
        <v>0</v>
      </c>
      <c r="H138" s="149">
        <f t="shared" si="20"/>
        <v>-1</v>
      </c>
      <c r="I138" s="271">
        <f t="shared" si="21"/>
        <v>0</v>
      </c>
      <c r="J138" s="117">
        <f>+Rennes!D138+Vannes!D138</f>
        <v>0</v>
      </c>
    </row>
    <row r="139" spans="1:10" s="2" customFormat="1" ht="11.25">
      <c r="A139" s="5" t="s">
        <v>153</v>
      </c>
      <c r="B139" s="113">
        <f>+Vannes!G139</f>
        <v>0</v>
      </c>
      <c r="C139" s="162">
        <f>+Rennes!G139</f>
        <v>0</v>
      </c>
      <c r="D139" s="160">
        <f>+Rennes!E139+Vannes!E139</f>
        <v>0</v>
      </c>
      <c r="E139" s="135">
        <f>+Rennes!F139+Vannes!F139</f>
        <v>0</v>
      </c>
      <c r="F139" s="135">
        <f t="shared" si="19"/>
        <v>0</v>
      </c>
      <c r="G139" s="161">
        <f t="shared" si="18"/>
        <v>0</v>
      </c>
      <c r="H139" s="149">
        <f t="shared" si="20"/>
        <v>0</v>
      </c>
      <c r="I139" s="271">
        <f t="shared" si="21"/>
        <v>0</v>
      </c>
      <c r="J139" s="117">
        <f>+Rennes!D139+Vannes!D139</f>
        <v>0</v>
      </c>
    </row>
    <row r="140" spans="1:10" s="2" customFormat="1" ht="11.25">
      <c r="A140" s="5" t="s">
        <v>154</v>
      </c>
      <c r="B140" s="113">
        <f>+Vannes!G140</f>
        <v>0</v>
      </c>
      <c r="C140" s="162">
        <f>+Rennes!G140</f>
        <v>0</v>
      </c>
      <c r="D140" s="160">
        <f>+Rennes!E140+Vannes!E140</f>
        <v>0</v>
      </c>
      <c r="E140" s="135">
        <f>+Rennes!F140+Vannes!F140</f>
        <v>0</v>
      </c>
      <c r="F140" s="135">
        <f t="shared" si="19"/>
        <v>0</v>
      </c>
      <c r="G140" s="161">
        <f t="shared" si="18"/>
        <v>0</v>
      </c>
      <c r="H140" s="149">
        <f t="shared" si="20"/>
        <v>0</v>
      </c>
      <c r="I140" s="271">
        <f t="shared" si="21"/>
        <v>0</v>
      </c>
      <c r="J140" s="117">
        <f>+Rennes!D140+Vannes!D140</f>
        <v>0</v>
      </c>
    </row>
    <row r="141" spans="1:10" s="2" customFormat="1" ht="11.25">
      <c r="A141" s="5" t="s">
        <v>155</v>
      </c>
      <c r="B141" s="113">
        <f>+Vannes!G141</f>
        <v>25271.005383550913</v>
      </c>
      <c r="C141" s="162">
        <f>+Rennes!G141</f>
        <v>16346.886824691055</v>
      </c>
      <c r="D141" s="160">
        <f>+Rennes!E141+Vannes!E141</f>
        <v>46674.82</v>
      </c>
      <c r="E141" s="135">
        <f>+Rennes!F141+Vannes!F141</f>
        <v>39180.893333333333</v>
      </c>
      <c r="F141" s="135">
        <f t="shared" si="19"/>
        <v>41617.892208241967</v>
      </c>
      <c r="G141" s="161">
        <f t="shared" si="18"/>
        <v>41617.892208241967</v>
      </c>
      <c r="H141" s="149">
        <f t="shared" si="20"/>
        <v>-0.16055609141431432</v>
      </c>
      <c r="I141" s="271">
        <f t="shared" si="21"/>
        <v>6.2198655201037616E-2</v>
      </c>
      <c r="J141" s="117">
        <f>+Rennes!D141+Vannes!D141</f>
        <v>44528.66582927019</v>
      </c>
    </row>
    <row r="142" spans="1:10" s="2" customFormat="1" ht="11.25">
      <c r="A142" s="5" t="s">
        <v>156</v>
      </c>
      <c r="B142" s="113">
        <f>+Vannes!G142</f>
        <v>3691.7956516758977</v>
      </c>
      <c r="C142" s="162">
        <f>+Rennes!G142</f>
        <v>1704.1961571248964</v>
      </c>
      <c r="D142" s="160">
        <f>+Rennes!E142+Vannes!E142</f>
        <v>5457.17</v>
      </c>
      <c r="E142" s="135">
        <f>+Rennes!F142+Vannes!F142</f>
        <v>5100.0933333333342</v>
      </c>
      <c r="F142" s="135">
        <f t="shared" si="19"/>
        <v>5395.9918088007944</v>
      </c>
      <c r="G142" s="161">
        <f t="shared" si="18"/>
        <v>5395.9918088007944</v>
      </c>
      <c r="H142" s="149">
        <f t="shared" si="20"/>
        <v>-6.5432571583195306E-2</v>
      </c>
      <c r="I142" s="271">
        <f t="shared" si="21"/>
        <v>5.8018247143345122E-2</v>
      </c>
      <c r="J142" s="117">
        <f>+Rennes!D142+Vannes!D142</f>
        <v>5307.9473361266319</v>
      </c>
    </row>
    <row r="143" spans="1:10" s="2" customFormat="1" ht="11.25">
      <c r="A143" s="5" t="s">
        <v>157</v>
      </c>
      <c r="B143" s="113">
        <f>+Vannes!G143</f>
        <v>8988.1108200395647</v>
      </c>
      <c r="C143" s="162">
        <f>+Rennes!G143</f>
        <v>3937.9285222777589</v>
      </c>
      <c r="D143" s="160">
        <f>+Rennes!E143+Vannes!E143</f>
        <v>12497.39</v>
      </c>
      <c r="E143" s="135">
        <f>+Rennes!F143+Vannes!F143</f>
        <v>12224.2</v>
      </c>
      <c r="F143" s="135">
        <f t="shared" si="19"/>
        <v>12926.039342317323</v>
      </c>
      <c r="G143" s="161">
        <f t="shared" si="18"/>
        <v>12926.039342317323</v>
      </c>
      <c r="H143" s="149">
        <f t="shared" si="20"/>
        <v>-2.1859764318789658E-2</v>
      </c>
      <c r="I143" s="271">
        <f t="shared" si="21"/>
        <v>5.7413928299383354E-2</v>
      </c>
      <c r="J143" s="117">
        <f>+Rennes!D143+Vannes!D143</f>
        <v>12119.838751086463</v>
      </c>
    </row>
    <row r="144" spans="1:10" s="2" customFormat="1" ht="11.25">
      <c r="A144" s="5" t="s">
        <v>326</v>
      </c>
      <c r="B144" s="113">
        <f>+Vannes!G144</f>
        <v>360.46401317561396</v>
      </c>
      <c r="C144" s="162">
        <f>+Rennes!G144</f>
        <v>0</v>
      </c>
      <c r="D144" s="160">
        <f>+Rennes!E144+Vannes!E144</f>
        <v>978.36</v>
      </c>
      <c r="E144" s="135">
        <f>+Rennes!F144+Vannes!F144</f>
        <v>346.2</v>
      </c>
      <c r="F144" s="135">
        <f t="shared" si="19"/>
        <v>360.46401317561396</v>
      </c>
      <c r="G144" s="161">
        <f t="shared" si="18"/>
        <v>360.46401317561396</v>
      </c>
      <c r="H144" s="149">
        <f t="shared" si="20"/>
        <v>-0.64614252422421203</v>
      </c>
      <c r="I144" s="271">
        <f t="shared" si="21"/>
        <v>4.1201655619913256E-2</v>
      </c>
      <c r="J144" s="117">
        <f>+Rennes!D144+Vannes!D144</f>
        <v>353.62059154508296</v>
      </c>
    </row>
    <row r="145" spans="1:10" s="2" customFormat="1" ht="11.25">
      <c r="A145" s="5" t="s">
        <v>158</v>
      </c>
      <c r="B145" s="113">
        <f>+Vannes!G145</f>
        <v>5420.6624114221677</v>
      </c>
      <c r="C145" s="162">
        <f>+Rennes!G145</f>
        <v>2164.3389138634202</v>
      </c>
      <c r="D145" s="160">
        <f>+Rennes!E145+Vannes!E145</f>
        <v>7184.27</v>
      </c>
      <c r="E145" s="135">
        <f>+Rennes!F145+Vannes!F145</f>
        <v>7180.24</v>
      </c>
      <c r="F145" s="135">
        <f t="shared" si="19"/>
        <v>7585.0013252855879</v>
      </c>
      <c r="G145" s="161">
        <f t="shared" si="18"/>
        <v>7585.0013252855879</v>
      </c>
      <c r="H145" s="149">
        <f t="shared" si="20"/>
        <v>-5.6094773720929958E-4</v>
      </c>
      <c r="I145" s="271">
        <f t="shared" si="21"/>
        <v>5.6371559346983957E-2</v>
      </c>
      <c r="J145" s="117">
        <f>+Rennes!D145+Vannes!D145</f>
        <v>6950.7972370230436</v>
      </c>
    </row>
    <row r="146" spans="1:10" s="2" customFormat="1" ht="11.25">
      <c r="A146" s="5" t="s">
        <v>159</v>
      </c>
      <c r="B146" s="113">
        <f>+Vannes!G146</f>
        <v>0</v>
      </c>
      <c r="C146" s="162">
        <f>+Rennes!G146</f>
        <v>0</v>
      </c>
      <c r="D146" s="160">
        <f>+Rennes!E146+Vannes!E146</f>
        <v>0</v>
      </c>
      <c r="E146" s="135">
        <f>+Rennes!F146+Vannes!F146</f>
        <v>0</v>
      </c>
      <c r="F146" s="135">
        <f t="shared" si="19"/>
        <v>0</v>
      </c>
      <c r="G146" s="161">
        <f t="shared" si="18"/>
        <v>0</v>
      </c>
      <c r="H146" s="149">
        <f t="shared" si="20"/>
        <v>0</v>
      </c>
      <c r="I146" s="271">
        <f t="shared" si="21"/>
        <v>0</v>
      </c>
      <c r="J146" s="117">
        <f>+Rennes!D146+Vannes!D146</f>
        <v>0</v>
      </c>
    </row>
    <row r="147" spans="1:10" s="2" customFormat="1" ht="11.25">
      <c r="A147" s="5" t="s">
        <v>160</v>
      </c>
      <c r="B147" s="113">
        <f>+Vannes!G147</f>
        <v>-827.09</v>
      </c>
      <c r="C147" s="162">
        <f>+Rennes!G147</f>
        <v>-314.36973333333339</v>
      </c>
      <c r="D147" s="160">
        <f>+Rennes!E147+Vannes!E147</f>
        <v>749.66</v>
      </c>
      <c r="E147" s="135">
        <f>+Rennes!F147+Vannes!F147</f>
        <v>-1108.2133333333334</v>
      </c>
      <c r="F147" s="135">
        <f t="shared" si="19"/>
        <v>-1141.4597333333334</v>
      </c>
      <c r="G147" s="161">
        <f t="shared" si="18"/>
        <v>-1141.4597333333334</v>
      </c>
      <c r="H147" s="149">
        <f t="shared" si="20"/>
        <v>-2.4782879349749667</v>
      </c>
      <c r="I147" s="271">
        <f t="shared" si="21"/>
        <v>2.9999999999999995E-2</v>
      </c>
      <c r="J147" s="117">
        <f>+Rennes!D147+Vannes!D147</f>
        <v>1605.1575745531252</v>
      </c>
    </row>
    <row r="148" spans="1:10" s="2" customFormat="1" ht="11.25">
      <c r="A148" s="5" t="s">
        <v>161</v>
      </c>
      <c r="B148" s="113">
        <f>+Vannes!G148</f>
        <v>0</v>
      </c>
      <c r="C148" s="162">
        <f>+Rennes!G148</f>
        <v>0</v>
      </c>
      <c r="D148" s="160">
        <f>+Rennes!E148+Vannes!E148</f>
        <v>79.2</v>
      </c>
      <c r="E148" s="135">
        <f>+Rennes!F148+Vannes!F148</f>
        <v>0</v>
      </c>
      <c r="F148" s="135">
        <f t="shared" si="19"/>
        <v>0</v>
      </c>
      <c r="G148" s="161">
        <f t="shared" si="18"/>
        <v>0</v>
      </c>
      <c r="H148" s="149">
        <f t="shared" si="20"/>
        <v>-1</v>
      </c>
      <c r="I148" s="271">
        <f t="shared" si="21"/>
        <v>0</v>
      </c>
      <c r="J148" s="117">
        <f>+Rennes!D148+Vannes!D148</f>
        <v>40.648383500000008</v>
      </c>
    </row>
    <row r="149" spans="1:10" s="2" customFormat="1" ht="11.25">
      <c r="A149" s="5" t="s">
        <v>162</v>
      </c>
      <c r="B149" s="113">
        <f>+Vannes!G149</f>
        <v>68.666666666666657</v>
      </c>
      <c r="C149" s="162">
        <f>+Rennes!G149</f>
        <v>52.55746666666667</v>
      </c>
      <c r="D149" s="160">
        <f>+Rennes!E149+Vannes!E149</f>
        <v>460</v>
      </c>
      <c r="E149" s="135">
        <f>+Rennes!F149+Vannes!F149</f>
        <v>117.69333333333333</v>
      </c>
      <c r="F149" s="135">
        <f t="shared" si="19"/>
        <v>121.22413333333333</v>
      </c>
      <c r="G149" s="161">
        <f t="shared" si="18"/>
        <v>121.22413333333333</v>
      </c>
      <c r="H149" s="149">
        <f t="shared" si="20"/>
        <v>-0.74414492753623185</v>
      </c>
      <c r="I149" s="271">
        <f t="shared" si="21"/>
        <v>2.9999999999999995E-2</v>
      </c>
      <c r="J149" s="117">
        <f>+Rennes!D149+Vannes!D149</f>
        <v>140.83261842500002</v>
      </c>
    </row>
    <row r="150" spans="1:10" s="2" customFormat="1" ht="11.25">
      <c r="A150" s="5" t="s">
        <v>163</v>
      </c>
      <c r="B150" s="113">
        <f>+Vannes!G150</f>
        <v>549.33333333333326</v>
      </c>
      <c r="C150" s="162">
        <f>+Rennes!G150</f>
        <v>72.237333333333339</v>
      </c>
      <c r="D150" s="160">
        <f>+Rennes!E150+Vannes!E150</f>
        <v>693.26</v>
      </c>
      <c r="E150" s="135">
        <f>+Rennes!F150+Vannes!F150</f>
        <v>603.46666666666658</v>
      </c>
      <c r="F150" s="135">
        <f t="shared" si="19"/>
        <v>621.57066666666663</v>
      </c>
      <c r="G150" s="161">
        <f t="shared" si="18"/>
        <v>621.57066666666663</v>
      </c>
      <c r="H150" s="149">
        <f t="shared" si="20"/>
        <v>-0.12952331496600614</v>
      </c>
      <c r="I150" s="271">
        <f t="shared" si="21"/>
        <v>3.0000000000000072E-2</v>
      </c>
      <c r="J150" s="117">
        <f>+Rennes!D150+Vannes!D150</f>
        <v>776.36281880645834</v>
      </c>
    </row>
    <row r="151" spans="1:10" s="2" customFormat="1" ht="11.25">
      <c r="A151" s="5" t="s">
        <v>570</v>
      </c>
      <c r="B151" s="113">
        <f>+Vannes!G151</f>
        <v>0</v>
      </c>
      <c r="C151" s="162">
        <f>+Rennes!G151</f>
        <v>0</v>
      </c>
      <c r="D151" s="160">
        <f>+Rennes!E151+Vannes!E151</f>
        <v>0</v>
      </c>
      <c r="E151" s="135">
        <f>+Rennes!F151+Vannes!F151</f>
        <v>0</v>
      </c>
      <c r="F151" s="135">
        <f>+G151</f>
        <v>0</v>
      </c>
      <c r="G151" s="161">
        <f>SUM(B151:C151)</f>
        <v>0</v>
      </c>
      <c r="H151" s="149">
        <f>+IF((D151)=0,,(E151-D151)/D151)</f>
        <v>0</v>
      </c>
      <c r="I151" s="271">
        <f>+IF((E151)=0,,(G151-E151)/E151)</f>
        <v>0</v>
      </c>
      <c r="J151" s="117"/>
    </row>
    <row r="152" spans="1:10" s="2" customFormat="1" ht="11.25">
      <c r="A152" s="5" t="s">
        <v>58</v>
      </c>
      <c r="B152" s="113">
        <f>+Vannes!G152</f>
        <v>0</v>
      </c>
      <c r="C152" s="162">
        <f>+Rennes!G152</f>
        <v>0</v>
      </c>
      <c r="D152" s="160">
        <f>+Rennes!E152+Vannes!E152</f>
        <v>12819.2808</v>
      </c>
      <c r="E152" s="135">
        <f>+Rennes!F152+Vannes!F152</f>
        <v>0</v>
      </c>
      <c r="F152" s="135">
        <f t="shared" si="19"/>
        <v>0</v>
      </c>
      <c r="G152" s="161">
        <f t="shared" si="18"/>
        <v>0</v>
      </c>
      <c r="H152" s="149">
        <f t="shared" si="20"/>
        <v>-1</v>
      </c>
      <c r="I152" s="271">
        <f t="shared" si="21"/>
        <v>0</v>
      </c>
      <c r="J152" s="117">
        <f>+Rennes!D152+Vannes!D152</f>
        <v>1033.04151275</v>
      </c>
    </row>
    <row r="153" spans="1:10" s="2" customFormat="1" ht="11.25">
      <c r="A153" s="5"/>
      <c r="B153" s="113"/>
      <c r="C153" s="162"/>
      <c r="D153" s="160"/>
      <c r="E153" s="143"/>
      <c r="F153" s="143"/>
      <c r="G153" s="186"/>
      <c r="H153" s="149"/>
      <c r="I153" s="254"/>
      <c r="J153" s="117"/>
    </row>
    <row r="154" spans="1:10" s="2" customFormat="1" ht="11.25">
      <c r="A154" s="13" t="s">
        <v>164</v>
      </c>
      <c r="B154" s="204">
        <f>SUM(B131:B153)</f>
        <v>154522.94827986415</v>
      </c>
      <c r="C154" s="168">
        <f>SUM(C131:C153)</f>
        <v>82963.775484623795</v>
      </c>
      <c r="D154" s="163">
        <f>SUM(D130:D153)</f>
        <v>264429.90080000006</v>
      </c>
      <c r="E154" s="136">
        <f>SUM(E130:E153)</f>
        <v>222936.5733333333</v>
      </c>
      <c r="F154" s="136">
        <f>SUM(F130:F153)</f>
        <v>237486.72376448795</v>
      </c>
      <c r="G154" s="168">
        <f>SUM(B154:C154)</f>
        <v>237486.72376448795</v>
      </c>
      <c r="H154" s="272">
        <f>+IF((D154)=0,,(E154-D154)/D154)</f>
        <v>-0.15691617075502359</v>
      </c>
      <c r="I154" s="188">
        <f>+IF((E154)=0,,(G154-E154)/E154)</f>
        <v>6.5265874565136314E-2</v>
      </c>
      <c r="J154" s="118">
        <f>SUM(J130:J153)</f>
        <v>242856.91265308601</v>
      </c>
    </row>
    <row r="155" spans="1:10" s="2" customFormat="1" ht="11.25">
      <c r="A155" s="5"/>
      <c r="B155" s="113"/>
      <c r="C155" s="162"/>
      <c r="D155" s="160"/>
      <c r="E155" s="143"/>
      <c r="F155" s="143"/>
      <c r="G155" s="186"/>
      <c r="H155" s="149"/>
      <c r="I155" s="254"/>
      <c r="J155" s="115"/>
    </row>
    <row r="156" spans="1:10" s="2" customFormat="1" ht="11.25">
      <c r="A156" s="5" t="s">
        <v>227</v>
      </c>
      <c r="B156" s="113">
        <f>+Vannes!G156</f>
        <v>13025.938050000002</v>
      </c>
      <c r="C156" s="162">
        <f>+Rennes!G156</f>
        <v>7657.1493480000008</v>
      </c>
      <c r="D156" s="160">
        <f>+Rennes!E156+Vannes!E156</f>
        <v>718.22</v>
      </c>
      <c r="E156" s="135">
        <f>+Rennes!F156+Vannes!F156</f>
        <v>6803.5866666666661</v>
      </c>
      <c r="F156" s="135">
        <f>+G156</f>
        <v>20683.087398000003</v>
      </c>
      <c r="G156" s="161">
        <f t="shared" ref="G156:G166" si="22">SUM(B156:C156)</f>
        <v>20683.087398000003</v>
      </c>
      <c r="H156" s="149">
        <f>+IF((D156)=0,,(E156-D156)/D156)</f>
        <v>8.4728449036042797</v>
      </c>
      <c r="I156" s="271">
        <f>+IF((E156)=0,,(G156-E156)/E156)</f>
        <v>2.0400270344661351</v>
      </c>
      <c r="J156" s="117">
        <f>+Rennes!D156+Vannes!D156</f>
        <v>21346.565925999999</v>
      </c>
    </row>
    <row r="157" spans="1:10" s="2" customFormat="1" ht="11.25">
      <c r="A157" s="5" t="s">
        <v>165</v>
      </c>
      <c r="B157" s="113">
        <f>+Vannes!G157</f>
        <v>0</v>
      </c>
      <c r="C157" s="162">
        <f>+Rennes!G157</f>
        <v>0</v>
      </c>
      <c r="D157" s="160">
        <f>+Rennes!E157+Vannes!E157</f>
        <v>-5058.3500000000004</v>
      </c>
      <c r="E157" s="135">
        <f>+Rennes!F157+Vannes!F157</f>
        <v>0</v>
      </c>
      <c r="F157" s="135">
        <f t="shared" ref="F157:F166" si="23">+G157</f>
        <v>0</v>
      </c>
      <c r="G157" s="161">
        <f t="shared" si="22"/>
        <v>0</v>
      </c>
      <c r="H157" s="149">
        <f t="shared" ref="H157:H166" si="24">+IF((D157)=0,,(E157-D157)/D157)</f>
        <v>-1</v>
      </c>
      <c r="I157" s="271">
        <f t="shared" ref="I157:I166" si="25">+IF((E157)=0,,(G157-E157)/E157)</f>
        <v>0</v>
      </c>
      <c r="J157" s="117">
        <f>+Rennes!D157+Vannes!D157</f>
        <v>0</v>
      </c>
    </row>
    <row r="158" spans="1:10" s="2" customFormat="1" ht="11.25">
      <c r="A158" s="5" t="s">
        <v>166</v>
      </c>
      <c r="B158" s="113">
        <f>+Vannes!G158</f>
        <v>0</v>
      </c>
      <c r="C158" s="162">
        <f>+Rennes!G158</f>
        <v>0</v>
      </c>
      <c r="D158" s="160">
        <f>+Rennes!E158+Vannes!E158</f>
        <v>3901.5699999999997</v>
      </c>
      <c r="E158" s="135">
        <f>+Rennes!F158+Vannes!F158</f>
        <v>4700.0533333333333</v>
      </c>
      <c r="F158" s="135">
        <f t="shared" si="23"/>
        <v>0</v>
      </c>
      <c r="G158" s="161">
        <f t="shared" si="22"/>
        <v>0</v>
      </c>
      <c r="H158" s="149">
        <f t="shared" si="24"/>
        <v>0.20465692870647806</v>
      </c>
      <c r="I158" s="271">
        <f t="shared" si="25"/>
        <v>-1</v>
      </c>
      <c r="J158" s="117">
        <f>+Rennes!D158+Vannes!D158</f>
        <v>0</v>
      </c>
    </row>
    <row r="159" spans="1:10" s="2" customFormat="1" ht="11.25">
      <c r="A159" s="5" t="s">
        <v>60</v>
      </c>
      <c r="B159" s="113">
        <f>+Vannes!G159</f>
        <v>0</v>
      </c>
      <c r="C159" s="162">
        <f>+Rennes!G159</f>
        <v>0</v>
      </c>
      <c r="D159" s="160">
        <f>+Rennes!E159+Vannes!E159</f>
        <v>0</v>
      </c>
      <c r="E159" s="135">
        <f>+Rennes!F159+Vannes!F159</f>
        <v>-4700.0533333333333</v>
      </c>
      <c r="F159" s="135">
        <f t="shared" si="23"/>
        <v>0</v>
      </c>
      <c r="G159" s="161">
        <f t="shared" si="22"/>
        <v>0</v>
      </c>
      <c r="H159" s="149">
        <f t="shared" si="24"/>
        <v>0</v>
      </c>
      <c r="I159" s="271">
        <f t="shared" si="25"/>
        <v>-1</v>
      </c>
      <c r="J159" s="117">
        <f>+Rennes!D159+Vannes!D159</f>
        <v>0</v>
      </c>
    </row>
    <row r="160" spans="1:10" s="2" customFormat="1" ht="11.25">
      <c r="A160" s="5" t="s">
        <v>199</v>
      </c>
      <c r="B160" s="113">
        <f>+Vannes!G160</f>
        <v>0</v>
      </c>
      <c r="C160" s="162">
        <f>+Rennes!G160</f>
        <v>0</v>
      </c>
      <c r="D160" s="160">
        <f>+Rennes!E160+Vannes!E160</f>
        <v>-11.12</v>
      </c>
      <c r="E160" s="135">
        <f>+Rennes!F160+Vannes!F160</f>
        <v>-16.093333333333113</v>
      </c>
      <c r="F160" s="135">
        <f t="shared" si="23"/>
        <v>0</v>
      </c>
      <c r="G160" s="161">
        <f t="shared" si="22"/>
        <v>0</v>
      </c>
      <c r="H160" s="149">
        <f t="shared" si="24"/>
        <v>0.44724220623499233</v>
      </c>
      <c r="I160" s="271">
        <f t="shared" si="25"/>
        <v>-1</v>
      </c>
      <c r="J160" s="117">
        <f>+Rennes!D160+Vannes!D160</f>
        <v>0</v>
      </c>
    </row>
    <row r="161" spans="1:10" s="2" customFormat="1" ht="11.25">
      <c r="A161" s="5" t="s">
        <v>41</v>
      </c>
      <c r="B161" s="113">
        <f>+Vannes!G161</f>
        <v>0</v>
      </c>
      <c r="C161" s="162">
        <f>+Rennes!G161</f>
        <v>514.21720000000005</v>
      </c>
      <c r="D161" s="160">
        <f>+Rennes!E161+Vannes!E161</f>
        <v>272.31</v>
      </c>
      <c r="E161" s="135">
        <f>+Rennes!F161+Vannes!F161</f>
        <v>499.24</v>
      </c>
      <c r="F161" s="135">
        <f t="shared" si="23"/>
        <v>514.21720000000005</v>
      </c>
      <c r="G161" s="161">
        <f t="shared" si="22"/>
        <v>514.21720000000005</v>
      </c>
      <c r="H161" s="149">
        <f t="shared" si="24"/>
        <v>0.83335169475964899</v>
      </c>
      <c r="I161" s="271">
        <f t="shared" si="25"/>
        <v>3.0000000000000079E-2</v>
      </c>
      <c r="J161" s="117">
        <f>+Rennes!D161+Vannes!D161</f>
        <v>489.6638466397917</v>
      </c>
    </row>
    <row r="162" spans="1:10" s="2" customFormat="1" ht="11.25">
      <c r="A162" s="5" t="s">
        <v>355</v>
      </c>
      <c r="B162" s="113">
        <f>+Vannes!G162</f>
        <v>0</v>
      </c>
      <c r="C162" s="162">
        <f>+Rennes!G162</f>
        <v>14.804533333333332</v>
      </c>
      <c r="D162" s="160">
        <f>+Rennes!E162+Vannes!E162</f>
        <v>28.69</v>
      </c>
      <c r="E162" s="135">
        <f>+Rennes!F162+Vannes!F162</f>
        <v>14.373333333333331</v>
      </c>
      <c r="F162" s="135">
        <f t="shared" si="23"/>
        <v>14.804533333333332</v>
      </c>
      <c r="G162" s="161">
        <f t="shared" si="22"/>
        <v>14.804533333333332</v>
      </c>
      <c r="H162" s="149">
        <f t="shared" si="24"/>
        <v>-0.49901243174160576</v>
      </c>
      <c r="I162" s="271">
        <f t="shared" si="25"/>
        <v>3.0000000000000037E-2</v>
      </c>
      <c r="J162" s="117">
        <f>+Rennes!D162+Vannes!D162</f>
        <v>34.466753660473614</v>
      </c>
    </row>
    <row r="163" spans="1:10" s="2" customFormat="1" ht="11.25">
      <c r="A163" s="5" t="s">
        <v>200</v>
      </c>
      <c r="B163" s="113">
        <f>+Vannes!G163</f>
        <v>17.317733333333333</v>
      </c>
      <c r="C163" s="162">
        <f>+Rennes!G163</f>
        <v>142.35973333333331</v>
      </c>
      <c r="D163" s="160">
        <f>+Rennes!E163+Vannes!E163</f>
        <v>260.27</v>
      </c>
      <c r="E163" s="135">
        <f>+Rennes!F163+Vannes!F163</f>
        <v>155.02666666666664</v>
      </c>
      <c r="F163" s="135">
        <f t="shared" si="23"/>
        <v>159.67746666666665</v>
      </c>
      <c r="G163" s="161">
        <f t="shared" si="22"/>
        <v>159.67746666666665</v>
      </c>
      <c r="H163" s="149">
        <f t="shared" si="24"/>
        <v>-0.40436213675542071</v>
      </c>
      <c r="I163" s="271">
        <f t="shared" si="25"/>
        <v>3.000000000000003E-2</v>
      </c>
      <c r="J163" s="117">
        <f>+Rennes!D163+Vannes!D163</f>
        <v>381.86639064083329</v>
      </c>
    </row>
    <row r="164" spans="1:10" s="2" customFormat="1" ht="11.25">
      <c r="A164" s="5" t="s">
        <v>271</v>
      </c>
      <c r="B164" s="113">
        <f>+Vannes!G164</f>
        <v>0</v>
      </c>
      <c r="C164" s="162">
        <f>+Rennes!G164</f>
        <v>0</v>
      </c>
      <c r="D164" s="160">
        <f>+Rennes!E164+Vannes!E164</f>
        <v>-87.199999999999989</v>
      </c>
      <c r="E164" s="135">
        <f>+Rennes!F164+Vannes!F164</f>
        <v>0</v>
      </c>
      <c r="F164" s="135">
        <f t="shared" si="23"/>
        <v>0</v>
      </c>
      <c r="G164" s="161">
        <f t="shared" si="22"/>
        <v>0</v>
      </c>
      <c r="H164" s="149">
        <f t="shared" si="24"/>
        <v>-1</v>
      </c>
      <c r="I164" s="271">
        <f t="shared" si="25"/>
        <v>0</v>
      </c>
      <c r="J164" s="117">
        <f>+Rennes!D164+Vannes!D164</f>
        <v>-87.628888343750006</v>
      </c>
    </row>
    <row r="165" spans="1:10" s="2" customFormat="1" ht="11.25">
      <c r="A165" s="5" t="s">
        <v>242</v>
      </c>
      <c r="B165" s="113">
        <f>+Vannes!G165</f>
        <v>111.24000000000001</v>
      </c>
      <c r="C165" s="162">
        <f>+Rennes!G165</f>
        <v>98.88</v>
      </c>
      <c r="D165" s="160">
        <f>+Rennes!E165+Vannes!E165</f>
        <v>528.4</v>
      </c>
      <c r="E165" s="135">
        <f>+Rennes!F165+Vannes!F165</f>
        <v>204</v>
      </c>
      <c r="F165" s="135">
        <f t="shared" si="23"/>
        <v>210.12</v>
      </c>
      <c r="G165" s="161">
        <f t="shared" si="22"/>
        <v>210.12</v>
      </c>
      <c r="H165" s="149">
        <f t="shared" si="24"/>
        <v>-0.61392884178652529</v>
      </c>
      <c r="I165" s="271">
        <f t="shared" si="25"/>
        <v>3.0000000000000023E-2</v>
      </c>
      <c r="J165" s="117">
        <f>+Rennes!D165+Vannes!D165</f>
        <v>589.5611635416667</v>
      </c>
    </row>
    <row r="166" spans="1:10" s="2" customFormat="1" ht="11.25">
      <c r="A166" s="5" t="s">
        <v>201</v>
      </c>
      <c r="B166" s="113">
        <f>+Vannes!G166</f>
        <v>0</v>
      </c>
      <c r="C166" s="162">
        <f>+Rennes!G166</f>
        <v>0</v>
      </c>
      <c r="D166" s="160">
        <f>+Rennes!E166+Vannes!E166</f>
        <v>0</v>
      </c>
      <c r="E166" s="135">
        <f>+Rennes!F166+Vannes!F166</f>
        <v>0</v>
      </c>
      <c r="F166" s="135">
        <f t="shared" si="23"/>
        <v>0</v>
      </c>
      <c r="G166" s="161">
        <f t="shared" si="22"/>
        <v>0</v>
      </c>
      <c r="H166" s="149">
        <f t="shared" si="24"/>
        <v>0</v>
      </c>
      <c r="I166" s="271">
        <f t="shared" si="25"/>
        <v>0</v>
      </c>
      <c r="J166" s="117">
        <f>+Rennes!D166+Vannes!D166</f>
        <v>0</v>
      </c>
    </row>
    <row r="167" spans="1:10" s="2" customFormat="1" ht="11.25">
      <c r="A167" s="5"/>
      <c r="B167" s="113"/>
      <c r="C167" s="162"/>
      <c r="D167" s="160"/>
      <c r="E167" s="143"/>
      <c r="F167" s="143"/>
      <c r="G167" s="186"/>
      <c r="H167" s="149"/>
      <c r="I167" s="254"/>
      <c r="J167" s="115"/>
    </row>
    <row r="168" spans="1:10" s="2" customFormat="1" ht="11.25">
      <c r="A168" s="13" t="s">
        <v>74</v>
      </c>
      <c r="B168" s="204">
        <f>SUM(B156:B167)</f>
        <v>13154.495783333336</v>
      </c>
      <c r="C168" s="168">
        <f>SUM(C156:C167)</f>
        <v>8427.4108146666658</v>
      </c>
      <c r="D168" s="163">
        <f>SUM(D155:D167)</f>
        <v>552.78999999999951</v>
      </c>
      <c r="E168" s="136">
        <f>SUM(E155:E167)</f>
        <v>7660.1333333333323</v>
      </c>
      <c r="F168" s="136">
        <f>SUM(F155:F167)</f>
        <v>21581.906598000001</v>
      </c>
      <c r="G168" s="168">
        <f>SUM(B168:C168)</f>
        <v>21581.906598000001</v>
      </c>
      <c r="H168" s="272">
        <f>+IF((D168)=0,,(E168-D168)/D168)</f>
        <v>12.857221247369415</v>
      </c>
      <c r="I168" s="188">
        <f>+IF((E168)=0,,(G168-E168)/E168)</f>
        <v>1.8174322376459946</v>
      </c>
      <c r="J168" s="118">
        <f>SUM(J155:J167)</f>
        <v>22754.495192139017</v>
      </c>
    </row>
    <row r="169" spans="1:10" s="2" customFormat="1" ht="11.25">
      <c r="A169" s="5"/>
      <c r="B169" s="113"/>
      <c r="C169" s="162"/>
      <c r="D169" s="160"/>
      <c r="E169" s="143"/>
      <c r="F169" s="143"/>
      <c r="G169" s="186"/>
      <c r="H169" s="149"/>
      <c r="I169" s="271"/>
      <c r="J169" s="115"/>
    </row>
    <row r="170" spans="1:10" s="2" customFormat="1" ht="11.25">
      <c r="A170" s="5" t="s">
        <v>167</v>
      </c>
      <c r="B170" s="113">
        <f>+Vannes!G170</f>
        <v>0</v>
      </c>
      <c r="C170" s="162">
        <f>+Rennes!G170</f>
        <v>0</v>
      </c>
      <c r="D170" s="160">
        <f>+Rennes!E170+Vannes!E170</f>
        <v>0</v>
      </c>
      <c r="E170" s="135">
        <f>+Rennes!F170+Vannes!F170</f>
        <v>0</v>
      </c>
      <c r="F170" s="135">
        <f>+G170</f>
        <v>0</v>
      </c>
      <c r="G170" s="161">
        <f t="shared" ref="G170:G181" si="26">SUM(B170:C170)</f>
        <v>0</v>
      </c>
      <c r="H170" s="149">
        <f>+IF((D170)=0,,(E170-D170)/D170)</f>
        <v>0</v>
      </c>
      <c r="I170" s="271">
        <f>+IF((E170)=0,,(G170-E170)/E170)</f>
        <v>0</v>
      </c>
      <c r="J170" s="117">
        <f>+Rennes!D170+Vannes!D170</f>
        <v>0</v>
      </c>
    </row>
    <row r="171" spans="1:10" s="2" customFormat="1" ht="11.25">
      <c r="A171" s="5" t="s">
        <v>168</v>
      </c>
      <c r="B171" s="113">
        <f>+Vannes!G171</f>
        <v>200.13586666666666</v>
      </c>
      <c r="C171" s="162">
        <f>+Rennes!G171</f>
        <v>0</v>
      </c>
      <c r="D171" s="160">
        <f>+Rennes!E171+Vannes!E171</f>
        <v>113.17</v>
      </c>
      <c r="E171" s="135">
        <f>+Rennes!F171+Vannes!F171</f>
        <v>194.30666666666664</v>
      </c>
      <c r="F171" s="135">
        <f t="shared" ref="F171:F183" si="27">+G171</f>
        <v>200.13586666666666</v>
      </c>
      <c r="G171" s="161">
        <f t="shared" si="26"/>
        <v>200.13586666666666</v>
      </c>
      <c r="H171" s="149">
        <f t="shared" ref="H171:H183" si="28">+IF((D171)=0,,(E171-D171)/D171)</f>
        <v>0.71694500898353486</v>
      </c>
      <c r="I171" s="271">
        <f t="shared" ref="I171:I183" si="29">+IF((E171)=0,,(G171-E171)/E171)</f>
        <v>3.0000000000000079E-2</v>
      </c>
      <c r="J171" s="117">
        <f>+Rennes!D171+Vannes!D171</f>
        <v>155.67430546770834</v>
      </c>
    </row>
    <row r="172" spans="1:10" s="2" customFormat="1" ht="11.25">
      <c r="A172" s="5" t="s">
        <v>169</v>
      </c>
      <c r="B172" s="113">
        <f>+Vannes!G172</f>
        <v>0</v>
      </c>
      <c r="C172" s="162">
        <f>+Rennes!G172</f>
        <v>0</v>
      </c>
      <c r="D172" s="160">
        <f>+Rennes!E172+Vannes!E172</f>
        <v>0</v>
      </c>
      <c r="E172" s="135">
        <f>+Rennes!F172+Vannes!F172</f>
        <v>0</v>
      </c>
      <c r="F172" s="135">
        <f t="shared" si="27"/>
        <v>0</v>
      </c>
      <c r="G172" s="161">
        <f t="shared" si="26"/>
        <v>0</v>
      </c>
      <c r="H172" s="149">
        <f t="shared" si="28"/>
        <v>0</v>
      </c>
      <c r="I172" s="271">
        <f t="shared" si="29"/>
        <v>0</v>
      </c>
      <c r="J172" s="117">
        <f>+Rennes!D172+Vannes!D172</f>
        <v>0</v>
      </c>
    </row>
    <row r="173" spans="1:10" s="2" customFormat="1" ht="11.25">
      <c r="A173" s="5" t="s">
        <v>170</v>
      </c>
      <c r="B173" s="113">
        <f>+Vannes!G173</f>
        <v>1.3733333333333334E-2</v>
      </c>
      <c r="C173" s="162">
        <f>+Rennes!G173</f>
        <v>10.3</v>
      </c>
      <c r="D173" s="160">
        <f>+Rennes!E173+Vannes!E173</f>
        <v>190.14</v>
      </c>
      <c r="E173" s="135">
        <f>+Rennes!F173+Vannes!F173</f>
        <v>10.013333333333334</v>
      </c>
      <c r="F173" s="135">
        <f t="shared" si="27"/>
        <v>10.313733333333333</v>
      </c>
      <c r="G173" s="161">
        <f t="shared" si="26"/>
        <v>10.313733333333333</v>
      </c>
      <c r="H173" s="149">
        <f t="shared" si="28"/>
        <v>-0.94733704989306133</v>
      </c>
      <c r="I173" s="271">
        <f t="shared" si="29"/>
        <v>2.9999999999999978E-2</v>
      </c>
      <c r="J173" s="117">
        <f>+Rennes!D173+Vannes!D173</f>
        <v>195.8442</v>
      </c>
    </row>
    <row r="174" spans="1:10" s="2" customFormat="1" ht="11.25">
      <c r="A174" s="5" t="s">
        <v>171</v>
      </c>
      <c r="B174" s="113">
        <f>+Vannes!G174</f>
        <v>0</v>
      </c>
      <c r="C174" s="162">
        <f>+Rennes!G174</f>
        <v>0</v>
      </c>
      <c r="D174" s="160">
        <f>+Rennes!E174+Vannes!E174</f>
        <v>0</v>
      </c>
      <c r="E174" s="135">
        <f>+Rennes!F174+Vannes!F174</f>
        <v>0</v>
      </c>
      <c r="F174" s="135">
        <f t="shared" si="27"/>
        <v>0</v>
      </c>
      <c r="G174" s="161">
        <f t="shared" si="26"/>
        <v>0</v>
      </c>
      <c r="H174" s="149">
        <f t="shared" si="28"/>
        <v>0</v>
      </c>
      <c r="I174" s="271">
        <f t="shared" si="29"/>
        <v>0</v>
      </c>
      <c r="J174" s="117">
        <f>+Rennes!D174+Vannes!D174</f>
        <v>0</v>
      </c>
    </row>
    <row r="175" spans="1:10" s="2" customFormat="1" ht="11.25">
      <c r="A175" s="5" t="s">
        <v>308</v>
      </c>
      <c r="B175" s="113">
        <f>+Vannes!G175</f>
        <v>0</v>
      </c>
      <c r="C175" s="162">
        <f>+Rennes!G175</f>
        <v>0</v>
      </c>
      <c r="D175" s="160">
        <f>+Rennes!E175+Vannes!E175</f>
        <v>0</v>
      </c>
      <c r="E175" s="135">
        <f>+Rennes!F175+Vannes!F175</f>
        <v>0</v>
      </c>
      <c r="F175" s="135">
        <f t="shared" si="27"/>
        <v>0</v>
      </c>
      <c r="G175" s="161">
        <f t="shared" si="26"/>
        <v>0</v>
      </c>
      <c r="H175" s="149">
        <f t="shared" si="28"/>
        <v>0</v>
      </c>
      <c r="I175" s="271">
        <f t="shared" si="29"/>
        <v>0</v>
      </c>
      <c r="J175" s="117">
        <f>+Rennes!D175+Vannes!D175</f>
        <v>0</v>
      </c>
    </row>
    <row r="176" spans="1:10" s="2" customFormat="1" ht="11.25">
      <c r="A176" s="5" t="s">
        <v>172</v>
      </c>
      <c r="B176" s="113">
        <f>+Vannes!G176</f>
        <v>0</v>
      </c>
      <c r="C176" s="162">
        <f>+Rennes!G176</f>
        <v>0</v>
      </c>
      <c r="D176" s="160">
        <f>+Rennes!E176+Vannes!E176</f>
        <v>0</v>
      </c>
      <c r="E176" s="135">
        <f>+Rennes!F176+Vannes!F176</f>
        <v>0</v>
      </c>
      <c r="F176" s="135">
        <f t="shared" si="27"/>
        <v>0</v>
      </c>
      <c r="G176" s="161">
        <f t="shared" si="26"/>
        <v>0</v>
      </c>
      <c r="H176" s="149">
        <f t="shared" si="28"/>
        <v>0</v>
      </c>
      <c r="I176" s="271">
        <f t="shared" si="29"/>
        <v>0</v>
      </c>
      <c r="J176" s="117">
        <f>+Rennes!D176+Vannes!D176</f>
        <v>0</v>
      </c>
    </row>
    <row r="177" spans="1:10" s="2" customFormat="1" ht="11.25">
      <c r="A177" s="5" t="s">
        <v>173</v>
      </c>
      <c r="B177" s="113">
        <f>+Vannes!G177</f>
        <v>0</v>
      </c>
      <c r="C177" s="162">
        <f>+Rennes!G177</f>
        <v>0</v>
      </c>
      <c r="D177" s="160">
        <f>+Rennes!E177+Vannes!E177</f>
        <v>0</v>
      </c>
      <c r="E177" s="135">
        <f>+Rennes!F177+Vannes!F177</f>
        <v>0</v>
      </c>
      <c r="F177" s="135">
        <f t="shared" si="27"/>
        <v>0</v>
      </c>
      <c r="G177" s="161">
        <f t="shared" si="26"/>
        <v>0</v>
      </c>
      <c r="H177" s="149">
        <f t="shared" si="28"/>
        <v>0</v>
      </c>
      <c r="I177" s="271">
        <f t="shared" si="29"/>
        <v>0</v>
      </c>
      <c r="J177" s="117">
        <f>+Rennes!D177+Vannes!D177</f>
        <v>0</v>
      </c>
    </row>
    <row r="178" spans="1:10" s="2" customFormat="1" ht="11.25">
      <c r="A178" s="5" t="s">
        <v>174</v>
      </c>
      <c r="B178" s="113">
        <f>+Vannes!G178</f>
        <v>0</v>
      </c>
      <c r="C178" s="162">
        <f>+Rennes!G178</f>
        <v>0</v>
      </c>
      <c r="D178" s="160">
        <f>+Rennes!E178+Vannes!E178</f>
        <v>0</v>
      </c>
      <c r="E178" s="135">
        <f>+Rennes!F178+Vannes!F178</f>
        <v>0</v>
      </c>
      <c r="F178" s="135">
        <f t="shared" si="27"/>
        <v>0</v>
      </c>
      <c r="G178" s="161">
        <f t="shared" si="26"/>
        <v>0</v>
      </c>
      <c r="H178" s="149">
        <f t="shared" si="28"/>
        <v>0</v>
      </c>
      <c r="I178" s="271">
        <f t="shared" si="29"/>
        <v>0</v>
      </c>
      <c r="J178" s="117">
        <f>+Rennes!D178+Vannes!D178</f>
        <v>0</v>
      </c>
    </row>
    <row r="179" spans="1:10" s="2" customFormat="1" ht="11.25">
      <c r="A179" s="5" t="s">
        <v>175</v>
      </c>
      <c r="B179" s="113">
        <f>+Vannes!G179</f>
        <v>5011.9399999999996</v>
      </c>
      <c r="C179" s="162">
        <f>+Rennes!G179</f>
        <v>1777.35</v>
      </c>
      <c r="D179" s="160">
        <f>+Rennes!E179+Vannes!E179</f>
        <v>8589.7000000000007</v>
      </c>
      <c r="E179" s="135">
        <f>+Rennes!F179+Vannes!F179</f>
        <v>4790.5199999999995</v>
      </c>
      <c r="F179" s="135">
        <f t="shared" si="27"/>
        <v>6789.2899999999991</v>
      </c>
      <c r="G179" s="161">
        <f t="shared" si="26"/>
        <v>6789.2899999999991</v>
      </c>
      <c r="H179" s="149">
        <f t="shared" si="28"/>
        <v>-0.44229484149621068</v>
      </c>
      <c r="I179" s="271">
        <f t="shared" si="29"/>
        <v>0.4172344547147282</v>
      </c>
      <c r="J179" s="117">
        <f>+Rennes!D179+Vannes!D179</f>
        <v>5600</v>
      </c>
    </row>
    <row r="180" spans="1:10" s="2" customFormat="1" ht="11.25">
      <c r="A180" s="5" t="s">
        <v>78</v>
      </c>
      <c r="B180" s="113">
        <f>+Vannes!G180</f>
        <v>0</v>
      </c>
      <c r="C180" s="162">
        <f>+Rennes!G180</f>
        <v>0</v>
      </c>
      <c r="D180" s="160">
        <f>+Rennes!E180+Vannes!E180</f>
        <v>283.81</v>
      </c>
      <c r="E180" s="135">
        <f>+Rennes!F180+Vannes!F180</f>
        <v>0</v>
      </c>
      <c r="F180" s="135">
        <f t="shared" si="27"/>
        <v>0</v>
      </c>
      <c r="G180" s="161">
        <f t="shared" si="26"/>
        <v>0</v>
      </c>
      <c r="H180" s="149">
        <f t="shared" si="28"/>
        <v>-1</v>
      </c>
      <c r="I180" s="271">
        <f t="shared" si="29"/>
        <v>0</v>
      </c>
      <c r="J180" s="117">
        <f>+Rennes!D180+Vannes!D180</f>
        <v>0</v>
      </c>
    </row>
    <row r="181" spans="1:10" s="2" customFormat="1" ht="11.25">
      <c r="A181" s="5" t="s">
        <v>327</v>
      </c>
      <c r="B181" s="113">
        <f>+Vannes!G181</f>
        <v>0</v>
      </c>
      <c r="C181" s="162">
        <f>+Rennes!G181</f>
        <v>0</v>
      </c>
      <c r="D181" s="160">
        <f>+Rennes!E181+Vannes!E181</f>
        <v>0</v>
      </c>
      <c r="E181" s="135">
        <f>+Rennes!F181+Vannes!F181</f>
        <v>0</v>
      </c>
      <c r="F181" s="135">
        <f t="shared" si="27"/>
        <v>0</v>
      </c>
      <c r="G181" s="161">
        <f t="shared" si="26"/>
        <v>0</v>
      </c>
      <c r="H181" s="149">
        <f t="shared" si="28"/>
        <v>0</v>
      </c>
      <c r="I181" s="271">
        <f t="shared" si="29"/>
        <v>0</v>
      </c>
      <c r="J181" s="117">
        <f>+Rennes!D181+Vannes!D181</f>
        <v>0</v>
      </c>
    </row>
    <row r="182" spans="1:10" s="2" customFormat="1" ht="11.25">
      <c r="A182" s="5" t="s">
        <v>82</v>
      </c>
      <c r="B182" s="113"/>
      <c r="C182" s="162"/>
      <c r="D182" s="160">
        <f>+Rennes!E182+Vannes!E182</f>
        <v>0</v>
      </c>
      <c r="E182" s="135">
        <f>+Rennes!F182+Vannes!F182</f>
        <v>0</v>
      </c>
      <c r="F182" s="135">
        <f t="shared" si="27"/>
        <v>0</v>
      </c>
      <c r="G182" s="161"/>
      <c r="H182" s="149">
        <f t="shared" si="28"/>
        <v>0</v>
      </c>
      <c r="I182" s="271">
        <f t="shared" si="29"/>
        <v>0</v>
      </c>
      <c r="J182" s="117">
        <f>+Rennes!D182+Vannes!D182</f>
        <v>0</v>
      </c>
    </row>
    <row r="183" spans="1:10" s="2" customFormat="1" ht="11.25">
      <c r="A183" s="5" t="s">
        <v>331</v>
      </c>
      <c r="B183" s="113">
        <f>+Vannes!G183</f>
        <v>0</v>
      </c>
      <c r="C183" s="162">
        <f>+Rennes!G183</f>
        <v>0</v>
      </c>
      <c r="D183" s="160">
        <f>+Rennes!E183+Vannes!E183</f>
        <v>0</v>
      </c>
      <c r="E183" s="135">
        <f>+Rennes!F183+Vannes!F183</f>
        <v>0</v>
      </c>
      <c r="F183" s="135">
        <f t="shared" si="27"/>
        <v>0</v>
      </c>
      <c r="G183" s="161">
        <f>SUM(B183:C183)</f>
        <v>0</v>
      </c>
      <c r="H183" s="149">
        <f t="shared" si="28"/>
        <v>0</v>
      </c>
      <c r="I183" s="271">
        <f t="shared" si="29"/>
        <v>0</v>
      </c>
      <c r="J183" s="117">
        <f>+Rennes!D183+Vannes!D183</f>
        <v>0</v>
      </c>
    </row>
    <row r="184" spans="1:10" s="2" customFormat="1" ht="11.25">
      <c r="A184" s="5"/>
      <c r="B184" s="113"/>
      <c r="C184" s="162"/>
      <c r="D184" s="160"/>
      <c r="E184" s="143"/>
      <c r="F184" s="143"/>
      <c r="G184" s="186"/>
      <c r="H184" s="149"/>
      <c r="I184" s="254"/>
      <c r="J184" s="115"/>
    </row>
    <row r="185" spans="1:10" s="2" customFormat="1" ht="11.25">
      <c r="A185" s="13" t="s">
        <v>178</v>
      </c>
      <c r="B185" s="204">
        <f>SUM(B170:B184)</f>
        <v>5212.0895999999993</v>
      </c>
      <c r="C185" s="168">
        <f>SUM(C170:C184)</f>
        <v>1787.6499999999999</v>
      </c>
      <c r="D185" s="163">
        <f>SUM(D169:D184)</f>
        <v>9176.82</v>
      </c>
      <c r="E185" s="136">
        <f>SUM(E169:E184)</f>
        <v>4994.8399999999992</v>
      </c>
      <c r="F185" s="136">
        <f>SUM(F169:F184)</f>
        <v>6999.739599999999</v>
      </c>
      <c r="G185" s="168">
        <f>SUM(B185:C185)</f>
        <v>6999.739599999999</v>
      </c>
      <c r="H185" s="272">
        <f>+IF((D185)=0,,(E185-D185)/D185)</f>
        <v>-0.45571123766184807</v>
      </c>
      <c r="I185" s="188">
        <f>+IF((E185)=0,,(G185-E185)/E185)</f>
        <v>0.40139415877185258</v>
      </c>
      <c r="J185" s="118">
        <f>SUM(J169:J184)</f>
        <v>5951.5185054677086</v>
      </c>
    </row>
    <row r="186" spans="1:10" s="2" customFormat="1" ht="11.25">
      <c r="A186" s="5"/>
      <c r="B186" s="113"/>
      <c r="C186" s="162"/>
      <c r="D186" s="160"/>
      <c r="E186" s="143"/>
      <c r="F186" s="143"/>
      <c r="G186" s="186"/>
      <c r="H186" s="149"/>
      <c r="I186" s="271"/>
      <c r="J186" s="115"/>
    </row>
    <row r="187" spans="1:10" s="2" customFormat="1" ht="11.25">
      <c r="A187" s="5" t="s">
        <v>179</v>
      </c>
      <c r="B187" s="113">
        <f>+Vannes!G187</f>
        <v>0</v>
      </c>
      <c r="C187" s="162">
        <f>+Rennes!G187</f>
        <v>0</v>
      </c>
      <c r="D187" s="160">
        <f>+Rennes!E187+Vannes!E187</f>
        <v>0</v>
      </c>
      <c r="E187" s="135">
        <f>+Rennes!F187+Vannes!F187</f>
        <v>0</v>
      </c>
      <c r="F187" s="135">
        <f>+G187</f>
        <v>0</v>
      </c>
      <c r="G187" s="161">
        <f t="shared" ref="G187:G199" si="30">SUM(B187:C187)</f>
        <v>0</v>
      </c>
      <c r="H187" s="149">
        <f>+IF((D187)=0,,(E187-D187)/D187)</f>
        <v>0</v>
      </c>
      <c r="I187" s="271">
        <f>+IF((E187)=0,,(G187-E187)/E187)</f>
        <v>0</v>
      </c>
      <c r="J187" s="117">
        <f>+Rennes!D187+Vannes!D187</f>
        <v>0</v>
      </c>
    </row>
    <row r="188" spans="1:10" s="2" customFormat="1" ht="11.25">
      <c r="A188" s="5" t="s">
        <v>167</v>
      </c>
      <c r="B188" s="113">
        <f>+Vannes!G188</f>
        <v>0</v>
      </c>
      <c r="C188" s="162">
        <f>+Rennes!G188</f>
        <v>0</v>
      </c>
      <c r="D188" s="160">
        <f>+Rennes!E188+Vannes!E188</f>
        <v>0</v>
      </c>
      <c r="E188" s="135">
        <f>+Rennes!F188+Vannes!F188</f>
        <v>0</v>
      </c>
      <c r="F188" s="135">
        <f t="shared" ref="F188:F199" si="31">+G188</f>
        <v>0</v>
      </c>
      <c r="G188" s="161">
        <f t="shared" si="30"/>
        <v>0</v>
      </c>
      <c r="H188" s="149">
        <f t="shared" ref="H188:H199" si="32">+IF((D188)=0,,(E188-D188)/D188)</f>
        <v>0</v>
      </c>
      <c r="I188" s="271">
        <f t="shared" ref="I188:I199" si="33">+IF((E188)=0,,(G188-E188)/E188)</f>
        <v>0</v>
      </c>
      <c r="J188" s="117">
        <f>+Rennes!D188+Vannes!D188</f>
        <v>0</v>
      </c>
    </row>
    <row r="189" spans="1:10" s="2" customFormat="1" ht="11.25">
      <c r="A189" s="5" t="s">
        <v>180</v>
      </c>
      <c r="B189" s="113">
        <f>+Vannes!G189</f>
        <v>0</v>
      </c>
      <c r="C189" s="162">
        <f>+Rennes!G189</f>
        <v>0</v>
      </c>
      <c r="D189" s="160">
        <f>+Rennes!E189+Vannes!E189</f>
        <v>834.46</v>
      </c>
      <c r="E189" s="135">
        <f>+Rennes!F189+Vannes!F189</f>
        <v>554.01333333333332</v>
      </c>
      <c r="F189" s="135">
        <f t="shared" si="31"/>
        <v>0</v>
      </c>
      <c r="G189" s="161">
        <f t="shared" si="30"/>
        <v>0</v>
      </c>
      <c r="H189" s="149">
        <f t="shared" si="32"/>
        <v>-0.33608161765293326</v>
      </c>
      <c r="I189" s="271">
        <f t="shared" si="33"/>
        <v>-1</v>
      </c>
      <c r="J189" s="117">
        <f>+Rennes!D189+Vannes!D189</f>
        <v>0</v>
      </c>
    </row>
    <row r="190" spans="1:10" s="2" customFormat="1" ht="11.25">
      <c r="A190" s="5" t="s">
        <v>181</v>
      </c>
      <c r="B190" s="113">
        <f>+Vannes!G190</f>
        <v>0</v>
      </c>
      <c r="C190" s="162">
        <f>+Rennes!G190</f>
        <v>0</v>
      </c>
      <c r="D190" s="160">
        <f>+Rennes!E190+Vannes!E190</f>
        <v>0</v>
      </c>
      <c r="E190" s="135">
        <f>+Rennes!F190+Vannes!F190</f>
        <v>0</v>
      </c>
      <c r="F190" s="135">
        <f t="shared" si="31"/>
        <v>0</v>
      </c>
      <c r="G190" s="161">
        <f t="shared" si="30"/>
        <v>0</v>
      </c>
      <c r="H190" s="149">
        <f t="shared" si="32"/>
        <v>0</v>
      </c>
      <c r="I190" s="271">
        <f t="shared" si="33"/>
        <v>0</v>
      </c>
      <c r="J190" s="117">
        <f>+Rennes!D190+Vannes!D190</f>
        <v>0</v>
      </c>
    </row>
    <row r="191" spans="1:10" s="2" customFormat="1" ht="11.25">
      <c r="A191" s="5" t="s">
        <v>182</v>
      </c>
      <c r="B191" s="113">
        <f>+Vannes!G191</f>
        <v>0</v>
      </c>
      <c r="C191" s="162">
        <f>+Rennes!G191</f>
        <v>0</v>
      </c>
      <c r="D191" s="160">
        <f>+Rennes!E191+Vannes!E191</f>
        <v>0</v>
      </c>
      <c r="E191" s="135">
        <f>+Rennes!F191+Vannes!F191</f>
        <v>0</v>
      </c>
      <c r="F191" s="135">
        <f t="shared" si="31"/>
        <v>0</v>
      </c>
      <c r="G191" s="161">
        <f t="shared" si="30"/>
        <v>0</v>
      </c>
      <c r="H191" s="149">
        <f t="shared" si="32"/>
        <v>0</v>
      </c>
      <c r="I191" s="271">
        <f t="shared" si="33"/>
        <v>0</v>
      </c>
      <c r="J191" s="117">
        <f>+Rennes!D191+Vannes!D191</f>
        <v>0</v>
      </c>
    </row>
    <row r="192" spans="1:10" s="2" customFormat="1" ht="11.25">
      <c r="A192" s="5" t="s">
        <v>183</v>
      </c>
      <c r="B192" s="113">
        <f>+Vannes!G192</f>
        <v>0</v>
      </c>
      <c r="C192" s="162">
        <f>+Rennes!G192</f>
        <v>0</v>
      </c>
      <c r="D192" s="160">
        <f>+Rennes!E192+Vannes!E192</f>
        <v>0</v>
      </c>
      <c r="E192" s="135">
        <f>+Rennes!F192+Vannes!F192</f>
        <v>0</v>
      </c>
      <c r="F192" s="135">
        <f t="shared" si="31"/>
        <v>0</v>
      </c>
      <c r="G192" s="161">
        <f t="shared" si="30"/>
        <v>0</v>
      </c>
      <c r="H192" s="149">
        <f t="shared" si="32"/>
        <v>0</v>
      </c>
      <c r="I192" s="271">
        <f t="shared" si="33"/>
        <v>0</v>
      </c>
      <c r="J192" s="117">
        <f>+Rennes!D192+Vannes!D192</f>
        <v>0</v>
      </c>
    </row>
    <row r="193" spans="1:10" s="2" customFormat="1" ht="11.25">
      <c r="A193" s="5" t="s">
        <v>184</v>
      </c>
      <c r="B193" s="113">
        <f>+Vannes!G193</f>
        <v>0</v>
      </c>
      <c r="C193" s="162">
        <f>+Rennes!G193</f>
        <v>0</v>
      </c>
      <c r="D193" s="160">
        <f>+Rennes!E193+Vannes!E193</f>
        <v>742.76</v>
      </c>
      <c r="E193" s="135">
        <f>+Rennes!F193+Vannes!F193</f>
        <v>2894.4533333333334</v>
      </c>
      <c r="F193" s="135">
        <f t="shared" si="31"/>
        <v>0</v>
      </c>
      <c r="G193" s="161">
        <f t="shared" si="30"/>
        <v>0</v>
      </c>
      <c r="H193" s="149">
        <f t="shared" si="32"/>
        <v>2.8968890803669201</v>
      </c>
      <c r="I193" s="271">
        <f t="shared" si="33"/>
        <v>-1</v>
      </c>
      <c r="J193" s="117">
        <f>+Rennes!D193+Vannes!D193</f>
        <v>0</v>
      </c>
    </row>
    <row r="194" spans="1:10" s="2" customFormat="1" ht="11.25">
      <c r="A194" s="5" t="s">
        <v>342</v>
      </c>
      <c r="B194" s="113">
        <f>+Vannes!G194</f>
        <v>0</v>
      </c>
      <c r="C194" s="162">
        <f>+Rennes!G194</f>
        <v>0</v>
      </c>
      <c r="D194" s="160">
        <f>+Rennes!E194+Vannes!E194</f>
        <v>0</v>
      </c>
      <c r="E194" s="135">
        <f>+Rennes!F194+Vannes!F194</f>
        <v>0</v>
      </c>
      <c r="F194" s="135">
        <f t="shared" si="31"/>
        <v>0</v>
      </c>
      <c r="G194" s="161">
        <f t="shared" si="30"/>
        <v>0</v>
      </c>
      <c r="H194" s="149">
        <f t="shared" si="32"/>
        <v>0</v>
      </c>
      <c r="I194" s="271">
        <f t="shared" si="33"/>
        <v>0</v>
      </c>
      <c r="J194" s="117">
        <f>+Rennes!D194+Vannes!D194</f>
        <v>0</v>
      </c>
    </row>
    <row r="195" spans="1:10" s="2" customFormat="1" ht="11.25">
      <c r="A195" s="5" t="s">
        <v>186</v>
      </c>
      <c r="B195" s="113">
        <f>+Vannes!G195</f>
        <v>0</v>
      </c>
      <c r="C195" s="162">
        <f>+Rennes!G195</f>
        <v>0</v>
      </c>
      <c r="D195" s="160">
        <f>+Rennes!E195+Vannes!E195</f>
        <v>0</v>
      </c>
      <c r="E195" s="135">
        <f>+Rennes!F195+Vannes!F195</f>
        <v>0</v>
      </c>
      <c r="F195" s="135">
        <f t="shared" si="31"/>
        <v>0</v>
      </c>
      <c r="G195" s="161">
        <f t="shared" si="30"/>
        <v>0</v>
      </c>
      <c r="H195" s="149">
        <f t="shared" si="32"/>
        <v>0</v>
      </c>
      <c r="I195" s="271">
        <f t="shared" si="33"/>
        <v>0</v>
      </c>
      <c r="J195" s="117">
        <f>+Rennes!D195+Vannes!D195</f>
        <v>0</v>
      </c>
    </row>
    <row r="196" spans="1:10" s="2" customFormat="1" ht="11.25">
      <c r="A196" s="5" t="s">
        <v>187</v>
      </c>
      <c r="B196" s="113">
        <f>+Vannes!G196</f>
        <v>0</v>
      </c>
      <c r="C196" s="162">
        <f>+Rennes!G196</f>
        <v>0</v>
      </c>
      <c r="D196" s="160">
        <f>+Rennes!E196+Vannes!E196</f>
        <v>0</v>
      </c>
      <c r="E196" s="135">
        <f>+Rennes!F196+Vannes!F196</f>
        <v>0</v>
      </c>
      <c r="F196" s="135">
        <f t="shared" si="31"/>
        <v>0</v>
      </c>
      <c r="G196" s="161">
        <f t="shared" si="30"/>
        <v>0</v>
      </c>
      <c r="H196" s="149">
        <f t="shared" si="32"/>
        <v>0</v>
      </c>
      <c r="I196" s="271">
        <f t="shared" si="33"/>
        <v>0</v>
      </c>
      <c r="J196" s="117">
        <f>+Rennes!D196+Vannes!D196</f>
        <v>0</v>
      </c>
    </row>
    <row r="197" spans="1:10" s="2" customFormat="1" ht="11.25">
      <c r="A197" s="5" t="s">
        <v>328</v>
      </c>
      <c r="B197" s="113">
        <f>+Vannes!G197</f>
        <v>0</v>
      </c>
      <c r="C197" s="162">
        <f>+Rennes!G197</f>
        <v>0</v>
      </c>
      <c r="D197" s="160">
        <f>+Rennes!E197+Vannes!E197</f>
        <v>0</v>
      </c>
      <c r="E197" s="135">
        <f>+Rennes!F197+Vannes!F197</f>
        <v>0</v>
      </c>
      <c r="F197" s="135">
        <f t="shared" si="31"/>
        <v>0</v>
      </c>
      <c r="G197" s="161">
        <f t="shared" si="30"/>
        <v>0</v>
      </c>
      <c r="H197" s="149">
        <f t="shared" si="32"/>
        <v>0</v>
      </c>
      <c r="I197" s="271">
        <f t="shared" si="33"/>
        <v>0</v>
      </c>
      <c r="J197" s="117">
        <f>+Rennes!D197+Vannes!D197</f>
        <v>0</v>
      </c>
    </row>
    <row r="198" spans="1:10" s="2" customFormat="1" ht="11.25">
      <c r="A198" s="5" t="s">
        <v>344</v>
      </c>
      <c r="B198" s="113">
        <f>+Vannes!G198</f>
        <v>0</v>
      </c>
      <c r="C198" s="162">
        <f>+Rennes!G198</f>
        <v>0</v>
      </c>
      <c r="D198" s="160">
        <f>+Rennes!E198+Vannes!E198</f>
        <v>0</v>
      </c>
      <c r="E198" s="135">
        <f>+Rennes!F198+Vannes!F198</f>
        <v>0</v>
      </c>
      <c r="F198" s="135">
        <f t="shared" si="31"/>
        <v>0</v>
      </c>
      <c r="G198" s="161">
        <f t="shared" si="30"/>
        <v>0</v>
      </c>
      <c r="H198" s="149">
        <f t="shared" si="32"/>
        <v>0</v>
      </c>
      <c r="I198" s="271">
        <f t="shared" si="33"/>
        <v>0</v>
      </c>
      <c r="J198" s="117">
        <f>+Rennes!D198+Vannes!D198</f>
        <v>0</v>
      </c>
    </row>
    <row r="199" spans="1:10" s="2" customFormat="1" ht="11.25">
      <c r="A199" s="5" t="s">
        <v>77</v>
      </c>
      <c r="B199" s="113">
        <f>+Vannes!G199</f>
        <v>0</v>
      </c>
      <c r="C199" s="162">
        <f>+Rennes!G199</f>
        <v>0</v>
      </c>
      <c r="D199" s="160">
        <f>+Rennes!E199+Vannes!E199</f>
        <v>4509.49</v>
      </c>
      <c r="E199" s="135">
        <f>+Rennes!F199+Vannes!F199</f>
        <v>0</v>
      </c>
      <c r="F199" s="135">
        <f t="shared" si="31"/>
        <v>0</v>
      </c>
      <c r="G199" s="161">
        <f t="shared" si="30"/>
        <v>0</v>
      </c>
      <c r="H199" s="149">
        <f t="shared" si="32"/>
        <v>-1</v>
      </c>
      <c r="I199" s="271">
        <f t="shared" si="33"/>
        <v>0</v>
      </c>
      <c r="J199" s="117">
        <f>+Rennes!D199+Vannes!D199</f>
        <v>0</v>
      </c>
    </row>
    <row r="200" spans="1:10" s="2" customFormat="1" ht="11.25">
      <c r="A200" s="5"/>
      <c r="B200" s="113"/>
      <c r="C200" s="162"/>
      <c r="D200" s="160"/>
      <c r="E200" s="134"/>
      <c r="F200" s="134"/>
      <c r="G200" s="154"/>
      <c r="H200" s="149"/>
      <c r="I200" s="254"/>
      <c r="J200" s="115"/>
    </row>
    <row r="201" spans="1:10" s="2" customFormat="1" ht="11.25">
      <c r="A201" s="13" t="s">
        <v>188</v>
      </c>
      <c r="B201" s="204">
        <f>SUM(B187:B200)</f>
        <v>0</v>
      </c>
      <c r="C201" s="168">
        <f>SUM(C187:C200)</f>
        <v>0</v>
      </c>
      <c r="D201" s="163">
        <f>SUM(D186:D200)</f>
        <v>6086.71</v>
      </c>
      <c r="E201" s="136">
        <f>SUM(E186:E200)</f>
        <v>3448.4666666666667</v>
      </c>
      <c r="F201" s="136">
        <f>SUM(F186:F200)</f>
        <v>0</v>
      </c>
      <c r="G201" s="168">
        <f>SUM(B201:C201)</f>
        <v>0</v>
      </c>
      <c r="H201" s="272">
        <f>+IF((D201)=0,,(E201-D201)/D201)</f>
        <v>-0.43344324492761005</v>
      </c>
      <c r="I201" s="188">
        <f>+IF((E201)=0,,(G201-E201)/E201)</f>
        <v>-1</v>
      </c>
      <c r="J201" s="118">
        <f>SUM(J186:J200)</f>
        <v>0</v>
      </c>
    </row>
    <row r="202" spans="1:10" s="2" customFormat="1" ht="11.25">
      <c r="A202" s="5"/>
      <c r="B202" s="113"/>
      <c r="C202" s="162"/>
      <c r="D202" s="160"/>
      <c r="E202" s="134"/>
      <c r="F202" s="134"/>
      <c r="G202" s="154"/>
      <c r="H202" s="149"/>
      <c r="I202" s="254"/>
      <c r="J202" s="115"/>
    </row>
    <row r="203" spans="1:10" s="2" customFormat="1" ht="11.25">
      <c r="A203" s="14" t="s">
        <v>189</v>
      </c>
      <c r="B203" s="206">
        <f>+B185+B168+B154+B129+B116+B103-B201</f>
        <v>315392.71504961047</v>
      </c>
      <c r="C203" s="176">
        <f>+C185+C168+C154+C129+C116+C103-C201</f>
        <v>191685.98033995711</v>
      </c>
      <c r="D203" s="175">
        <f>+D103+D116+D129+D154+D168+D185-D201</f>
        <v>516217.05080000003</v>
      </c>
      <c r="E203" s="145">
        <f>+E103+E116+E129+E154+E168+E185-E201</f>
        <v>469391.05666666664</v>
      </c>
      <c r="F203" s="145">
        <f>+F103+F116+F129+F154+F168+F185-F201</f>
        <v>507078.69538956764</v>
      </c>
      <c r="G203" s="206">
        <f>+G185+G168+G154+G129+G116+G103-G201</f>
        <v>507078.69538956764</v>
      </c>
      <c r="H203" s="281">
        <f>+IF((D203)=0,,(E203-D203)/D203)</f>
        <v>-9.0709894337595909E-2</v>
      </c>
      <c r="I203" s="282">
        <f>+IF((E203)=0,,(G203-E203)/E203)</f>
        <v>8.0290491664958372E-2</v>
      </c>
      <c r="J203" s="126">
        <f>+J103+J116+J129+J154+J168+J185-J201</f>
        <v>529385.27301800752</v>
      </c>
    </row>
    <row r="204" spans="1:10" s="2" customFormat="1" ht="11.25">
      <c r="A204" s="5"/>
      <c r="B204" s="113"/>
      <c r="C204" s="162"/>
      <c r="D204" s="160"/>
      <c r="E204" s="134"/>
      <c r="F204" s="134"/>
      <c r="G204" s="154"/>
      <c r="H204" s="149"/>
      <c r="I204" s="254"/>
      <c r="J204" s="115"/>
    </row>
    <row r="205" spans="1:10" s="2" customFormat="1" ht="11.25">
      <c r="A205" s="12" t="s">
        <v>228</v>
      </c>
      <c r="B205" s="228">
        <f>+B62-B203</f>
        <v>83230.82995038951</v>
      </c>
      <c r="C205" s="178">
        <f>+C62-C203</f>
        <v>23281.829860042897</v>
      </c>
      <c r="D205" s="177">
        <f>+D53-D203</f>
        <v>116947.56880000018</v>
      </c>
      <c r="E205" s="146">
        <f>+E62-E203</f>
        <v>65432.421833333327</v>
      </c>
      <c r="F205" s="146">
        <f>+F62-F203</f>
        <v>106512.65981043235</v>
      </c>
      <c r="G205" s="228">
        <f>+G62-G203</f>
        <v>106512.65981043235</v>
      </c>
      <c r="H205" s="226">
        <f>+IF((D205)=0,,(E205-D205)/D205)</f>
        <v>-0.44049780166671387</v>
      </c>
      <c r="I205" s="283">
        <f>+IF((E205)=0,,(G205-E205)/E205)</f>
        <v>0.62782695223687202</v>
      </c>
      <c r="J205" s="127">
        <f>+J62-J203</f>
        <v>137271.63114199252</v>
      </c>
    </row>
    <row r="206" spans="1:10" s="2" customFormat="1" ht="11.25">
      <c r="A206" s="5"/>
      <c r="B206" s="113"/>
      <c r="C206" s="162"/>
      <c r="D206" s="160"/>
      <c r="E206" s="134"/>
      <c r="F206" s="134"/>
      <c r="G206" s="154"/>
      <c r="H206" s="149"/>
      <c r="I206" s="254"/>
      <c r="J206" s="115"/>
    </row>
    <row r="207" spans="1:10" s="2" customFormat="1" ht="11.25">
      <c r="A207" s="63" t="s">
        <v>251</v>
      </c>
      <c r="B207" s="229">
        <f>+Vannes!G207</f>
        <v>3397.2194105743301</v>
      </c>
      <c r="C207" s="210">
        <f>+Rennes!G207</f>
        <v>1945.9727008092068</v>
      </c>
      <c r="D207" s="179">
        <f>+Rennes!E207+Vannes!E207</f>
        <v>3346.5017659756159</v>
      </c>
      <c r="E207" s="147">
        <f>+Rennes!F207+Vannes!F207</f>
        <v>3357.9433042446731</v>
      </c>
      <c r="F207" s="147">
        <f>+Repart!Q8</f>
        <v>5343.1921113835369</v>
      </c>
      <c r="G207" s="346">
        <f>SUM(B207:C207)</f>
        <v>5343.1921113835369</v>
      </c>
      <c r="H207" s="285">
        <f>+IF((D207)=0,,(E207-D207)/D207)</f>
        <v>3.4189547979281082E-3</v>
      </c>
      <c r="I207" s="194">
        <f>+IF((E207)=0,,(G207-E207)/E207)</f>
        <v>0.59120974574805119</v>
      </c>
      <c r="J207" s="128">
        <f>+Rennes!D207+Vannes!D207</f>
        <v>8934.5593177573246</v>
      </c>
    </row>
    <row r="208" spans="1:10" s="2" customFormat="1" ht="11.25">
      <c r="A208" s="5"/>
      <c r="B208" s="113"/>
      <c r="C208" s="162"/>
      <c r="D208" s="160"/>
      <c r="E208" s="134"/>
      <c r="F208" s="134"/>
      <c r="G208" s="154"/>
      <c r="H208" s="149"/>
      <c r="I208" s="254"/>
      <c r="J208" s="115"/>
    </row>
    <row r="209" spans="1:13" s="2" customFormat="1" ht="11.25">
      <c r="A209" s="12" t="s">
        <v>190</v>
      </c>
      <c r="B209" s="228">
        <f t="shared" ref="B209:G209" si="34">+B205-B207</f>
        <v>79833.610539815185</v>
      </c>
      <c r="C209" s="178">
        <f t="shared" si="34"/>
        <v>21335.857159233688</v>
      </c>
      <c r="D209" s="177">
        <f t="shared" si="34"/>
        <v>113601.06703402457</v>
      </c>
      <c r="E209" s="146">
        <f t="shared" si="34"/>
        <v>62074.47852908865</v>
      </c>
      <c r="F209" s="146">
        <f t="shared" si="34"/>
        <v>101169.46769904881</v>
      </c>
      <c r="G209" s="228">
        <f t="shared" si="34"/>
        <v>101169.46769904881</v>
      </c>
      <c r="H209" s="226">
        <f>+IF((D209)=0,,(E209-D209)/D209)</f>
        <v>-0.45357486377749628</v>
      </c>
      <c r="I209" s="283">
        <f>+IF((E209)=0,,(G209-E209)/E209)</f>
        <v>0.62980777440828439</v>
      </c>
      <c r="J209" s="127">
        <f>+J205-J207</f>
        <v>128337.0718242352</v>
      </c>
    </row>
    <row r="210" spans="1:13" s="2" customFormat="1" ht="11.25">
      <c r="A210" s="5"/>
      <c r="B210" s="113"/>
      <c r="C210" s="162"/>
      <c r="D210" s="160"/>
      <c r="E210" s="134"/>
      <c r="F210" s="134"/>
      <c r="G210" s="154"/>
      <c r="H210" s="149"/>
      <c r="I210" s="254"/>
      <c r="J210" s="115"/>
    </row>
    <row r="211" spans="1:13" s="2" customFormat="1" ht="11.25">
      <c r="A211" s="5" t="s">
        <v>191</v>
      </c>
      <c r="B211" s="113">
        <f>+Vannes!G211</f>
        <v>9644.6846793104778</v>
      </c>
      <c r="C211" s="162">
        <f>+Rennes!G211</f>
        <v>9644.6846793104778</v>
      </c>
      <c r="D211" s="160">
        <f>+Rennes!E211+Vannes!E211</f>
        <v>16190.172143999998</v>
      </c>
      <c r="E211" s="135">
        <f>+Rennes!F211+Vannes!F211</f>
        <v>17995.921526881713</v>
      </c>
      <c r="F211" s="135">
        <f>+Repart!O7</f>
        <v>19289.369358620956</v>
      </c>
      <c r="G211" s="161">
        <f>SUM(B211:C211)</f>
        <v>19289.369358620956</v>
      </c>
      <c r="H211" s="149">
        <f>+IF((D211)=0,,(E211-D211)/D211)</f>
        <v>0.11153367405984731</v>
      </c>
      <c r="I211" s="271">
        <f>+IF((E211)=0,,(G211-E211)/E211)</f>
        <v>7.1874498330476308E-2</v>
      </c>
      <c r="J211" s="117">
        <f>+Rennes!D211+Vannes!D211</f>
        <v>18052.074443081019</v>
      </c>
    </row>
    <row r="212" spans="1:13">
      <c r="A212" s="5" t="s">
        <v>192</v>
      </c>
      <c r="B212" s="113">
        <f>+Vannes!G212</f>
        <v>36602.465226814231</v>
      </c>
      <c r="C212" s="162">
        <f>+Rennes!G212</f>
        <v>20966.381474211918</v>
      </c>
      <c r="D212" s="160">
        <f>+Rennes!E212+Vannes!E212</f>
        <v>51360.402605549418</v>
      </c>
      <c r="E212" s="135">
        <f>+Rennes!F212+Vannes!F212</f>
        <v>51051.406412628872</v>
      </c>
      <c r="F212" s="135">
        <f>+Repart!P8</f>
        <v>57568.846701026145</v>
      </c>
      <c r="G212" s="161">
        <f>SUM(B212:C212)</f>
        <v>57568.846701026152</v>
      </c>
      <c r="H212" s="149">
        <f>+IF((D212)=0,,(E212-D212)/D212)</f>
        <v>-6.0162338541941062E-3</v>
      </c>
      <c r="I212" s="271">
        <f>+IF((E212)=0,,(G212-E212)/E212)</f>
        <v>0.12766426522551247</v>
      </c>
      <c r="J212" s="117">
        <f>+Rennes!D212+Vannes!D212</f>
        <v>56592.045586062581</v>
      </c>
    </row>
    <row r="213" spans="1:13">
      <c r="A213" s="5" t="s">
        <v>193</v>
      </c>
      <c r="B213" s="113">
        <f>+Vannes!G213</f>
        <v>-10200</v>
      </c>
      <c r="C213" s="162">
        <f>+Rennes!G213</f>
        <v>-5400</v>
      </c>
      <c r="D213" s="160">
        <f>+Rennes!E213+Vannes!E213</f>
        <v>-14782.04</v>
      </c>
      <c r="E213" s="135">
        <f>+Rennes!F213+Vannes!F213</f>
        <v>-18347.840000000004</v>
      </c>
      <c r="F213" s="135">
        <f>+Rennes!G213+Vannes!G213</f>
        <v>-15600</v>
      </c>
      <c r="G213" s="161">
        <f>SUM(B213:C213)</f>
        <v>-15600</v>
      </c>
      <c r="H213" s="149">
        <f>+IF((D213)=0,,(E213-D213)/D213)</f>
        <v>0.24122516242683709</v>
      </c>
      <c r="I213" s="271">
        <f>+IF((E213)=0,,(G213-E213)/E213)</f>
        <v>-0.14976367790432024</v>
      </c>
      <c r="J213" s="117">
        <f>+Rennes!D213+Vannes!D213</f>
        <v>-15600</v>
      </c>
    </row>
    <row r="214" spans="1:13">
      <c r="A214" s="5"/>
      <c r="B214" s="113"/>
      <c r="C214" s="162"/>
      <c r="D214" s="160"/>
      <c r="E214" s="134"/>
      <c r="F214" s="134"/>
      <c r="G214" s="154"/>
      <c r="H214" s="149"/>
      <c r="I214" s="254"/>
      <c r="J214" s="115"/>
    </row>
    <row r="215" spans="1:13">
      <c r="A215" s="20" t="s">
        <v>194</v>
      </c>
      <c r="B215" s="230">
        <f>SUM(B211:B214)</f>
        <v>36047.149906124709</v>
      </c>
      <c r="C215" s="181">
        <f>SUM(C211:C214)</f>
        <v>25211.066153522395</v>
      </c>
      <c r="D215" s="180">
        <f>SUM(D210:D213)</f>
        <v>52768.534749549413</v>
      </c>
      <c r="E215" s="148">
        <f>SUM(E210:E213)</f>
        <v>50699.487939510575</v>
      </c>
      <c r="F215" s="148">
        <f>SUM(F210:F213)</f>
        <v>61258.216059647093</v>
      </c>
      <c r="G215" s="230">
        <f>SUM(B215:C215)</f>
        <v>61258.216059647108</v>
      </c>
      <c r="H215" s="285">
        <f>+IF((D215)=0,,(E215-D215)/D215)</f>
        <v>-3.9209859054434068E-2</v>
      </c>
      <c r="I215" s="194">
        <f>+IF((E215)=0,,(G215-E215)/E215)</f>
        <v>0.20826104067824361</v>
      </c>
      <c r="J215" s="129">
        <f>SUM(J210:J213)</f>
        <v>59044.120029143596</v>
      </c>
    </row>
    <row r="216" spans="1:13">
      <c r="A216" s="5"/>
      <c r="B216" s="113"/>
      <c r="C216" s="162"/>
      <c r="D216" s="160"/>
      <c r="E216" s="134"/>
      <c r="F216" s="134"/>
      <c r="G216" s="154"/>
      <c r="H216" s="149"/>
      <c r="I216" s="254"/>
      <c r="J216" s="115"/>
    </row>
    <row r="217" spans="1:13">
      <c r="A217" s="12" t="s">
        <v>332</v>
      </c>
      <c r="B217" s="228">
        <f t="shared" ref="B217:G217" si="35">+B209-B215</f>
        <v>43786.460633690476</v>
      </c>
      <c r="C217" s="178">
        <f t="shared" si="35"/>
        <v>-3875.2089942887069</v>
      </c>
      <c r="D217" s="177">
        <f t="shared" si="35"/>
        <v>60832.532284475157</v>
      </c>
      <c r="E217" s="146">
        <f t="shared" si="35"/>
        <v>11374.990589578076</v>
      </c>
      <c r="F217" s="146">
        <f t="shared" si="35"/>
        <v>39911.251639401715</v>
      </c>
      <c r="G217" s="228">
        <f t="shared" si="35"/>
        <v>39911.2516394017</v>
      </c>
      <c r="H217" s="226">
        <f>+IF((D217)=0,,(E217-D217)/D217)</f>
        <v>-0.81301139106975751</v>
      </c>
      <c r="I217" s="283">
        <f>+IF((E217)=0,,(G217-E217)/E217)</f>
        <v>2.5086843655034707</v>
      </c>
      <c r="J217" s="127">
        <f>+J209-J215</f>
        <v>69292.951795091605</v>
      </c>
    </row>
    <row r="218" spans="1:13">
      <c r="A218" s="88" t="s">
        <v>43</v>
      </c>
      <c r="B218" s="17">
        <f>Vannes!G217</f>
        <v>43786.460633690418</v>
      </c>
      <c r="C218" s="17">
        <f>Rennes!G217</f>
        <v>-3875.2089942887069</v>
      </c>
      <c r="D218" s="17">
        <f>+Rennes!E217+Vannes!E217</f>
        <v>60832.532284474801</v>
      </c>
      <c r="E218" s="135">
        <f>+Rennes!F217+Vannes!F217</f>
        <v>11374.990589578079</v>
      </c>
      <c r="F218" s="135">
        <f>+Rennes!G217+Vannes!G217</f>
        <v>39911.251639401715</v>
      </c>
      <c r="G218" s="162">
        <f>SUM(B218:C218)</f>
        <v>39911.251639401715</v>
      </c>
      <c r="J218" s="17">
        <f>+Vannes!D218+Rennes!D218</f>
        <v>69292.951795091562</v>
      </c>
    </row>
    <row r="219" spans="1:13" s="87" customFormat="1" ht="11.25">
      <c r="G219" s="17">
        <f>+'Région Bretagne +'!H216-Mans!G217</f>
        <v>39911.251639401715</v>
      </c>
      <c r="H219" s="66"/>
      <c r="I219" s="66"/>
    </row>
    <row r="220" spans="1:13" s="2" customFormat="1" ht="11.25">
      <c r="B220" s="17"/>
      <c r="C220" s="17"/>
      <c r="D220" s="17"/>
    </row>
    <row r="221" spans="1:13" s="2" customFormat="1" ht="11.25">
      <c r="B221" s="17"/>
      <c r="C221" s="17"/>
      <c r="D221" s="17"/>
    </row>
    <row r="222" spans="1:13" s="2" customFormat="1" ht="11.25">
      <c r="B222" s="17"/>
      <c r="C222" s="17"/>
      <c r="D222" s="27"/>
      <c r="J222" s="17"/>
    </row>
    <row r="223" spans="1:13" s="2" customFormat="1" ht="11.25">
      <c r="A223" s="264" t="s">
        <v>67</v>
      </c>
      <c r="B223" s="265">
        <f t="shared" ref="B223:G223" si="36">+(B215+B207+B203)/B60</f>
        <v>788526.85414735449</v>
      </c>
      <c r="C223" s="265">
        <f t="shared" si="36"/>
        <v>508937.25394020631</v>
      </c>
      <c r="D223" s="265">
        <f>+(D215+D207+D203)/D54</f>
        <v>1271426.8622795856</v>
      </c>
      <c r="E223" s="265">
        <f t="shared" si="36"/>
        <v>1212091.5667828752</v>
      </c>
      <c r="F223" s="265">
        <f t="shared" si="36"/>
        <v>1247130.6599143441</v>
      </c>
      <c r="G223" s="265">
        <f t="shared" si="36"/>
        <v>1295618.3343452064</v>
      </c>
      <c r="H223" s="265"/>
      <c r="I223" s="265"/>
      <c r="J223" s="265">
        <f>+(J215+J207+J203)/J60</f>
        <v>1320170.9349049339</v>
      </c>
      <c r="K223" s="264"/>
      <c r="L223" s="264"/>
      <c r="M223" s="264"/>
    </row>
    <row r="224" spans="1:13" s="2" customFormat="1" ht="11.25">
      <c r="A224" s="264" t="s">
        <v>66</v>
      </c>
      <c r="B224" s="265">
        <f t="shared" ref="B224:G224" si="37">+B223/12</f>
        <v>65710.571178946208</v>
      </c>
      <c r="C224" s="265">
        <f t="shared" si="37"/>
        <v>42411.437828350528</v>
      </c>
      <c r="D224" s="265">
        <f t="shared" si="37"/>
        <v>105952.2385232988</v>
      </c>
      <c r="E224" s="265">
        <f t="shared" si="37"/>
        <v>101007.6305652396</v>
      </c>
      <c r="F224" s="265">
        <f t="shared" si="37"/>
        <v>103927.554992862</v>
      </c>
      <c r="G224" s="265">
        <f t="shared" si="37"/>
        <v>107968.1945287672</v>
      </c>
      <c r="H224" s="265"/>
      <c r="I224" s="265"/>
      <c r="J224" s="265">
        <f>+J223/12</f>
        <v>110014.24457541115</v>
      </c>
      <c r="K224" s="264"/>
      <c r="L224" s="264"/>
      <c r="M224" s="264"/>
    </row>
    <row r="228" spans="1:10" s="2" customFormat="1" ht="12.75" customHeight="1">
      <c r="A228" s="6"/>
      <c r="B228" s="211"/>
      <c r="C228" s="200"/>
      <c r="D228" s="155" t="s">
        <v>195</v>
      </c>
      <c r="E228" s="130" t="s">
        <v>364</v>
      </c>
      <c r="F228" s="130" t="s">
        <v>543</v>
      </c>
      <c r="G228" s="104" t="s">
        <v>196</v>
      </c>
      <c r="H228" s="151" t="s">
        <v>225</v>
      </c>
      <c r="I228" s="183" t="s">
        <v>225</v>
      </c>
      <c r="J228" s="104" t="s">
        <v>196</v>
      </c>
    </row>
    <row r="229" spans="1:10" s="2" customFormat="1" ht="20.25" customHeight="1">
      <c r="A229" s="7" t="s">
        <v>218</v>
      </c>
      <c r="B229" s="213" t="s">
        <v>202</v>
      </c>
      <c r="C229" s="214" t="s">
        <v>203</v>
      </c>
      <c r="D229" s="260" t="s">
        <v>390</v>
      </c>
      <c r="E229" s="131" t="s">
        <v>366</v>
      </c>
      <c r="F229" s="131" t="s">
        <v>432</v>
      </c>
      <c r="G229" s="105" t="s">
        <v>197</v>
      </c>
      <c r="H229" s="152" t="s">
        <v>55</v>
      </c>
      <c r="I229" s="131" t="s">
        <v>432</v>
      </c>
      <c r="J229" s="105" t="s">
        <v>197</v>
      </c>
    </row>
    <row r="230" spans="1:10" s="2" customFormat="1" ht="20.25" customHeight="1">
      <c r="A230" s="7" t="s">
        <v>217</v>
      </c>
      <c r="B230" s="215"/>
      <c r="C230" s="201"/>
      <c r="D230" s="268"/>
      <c r="E230" s="132"/>
      <c r="F230" s="132" t="s">
        <v>433</v>
      </c>
      <c r="G230" s="106"/>
      <c r="H230" s="152"/>
      <c r="I230" s="132" t="s">
        <v>433</v>
      </c>
      <c r="J230" s="106"/>
    </row>
    <row r="231" spans="1:10" s="108" customFormat="1" ht="18">
      <c r="A231" s="68"/>
      <c r="B231" s="216"/>
      <c r="C231" s="202"/>
      <c r="D231" s="158">
        <f>+E231-1</f>
        <v>2008</v>
      </c>
      <c r="E231" s="133">
        <v>2009</v>
      </c>
      <c r="F231" s="133">
        <v>2009</v>
      </c>
      <c r="G231" s="159">
        <v>2010</v>
      </c>
      <c r="H231" s="153" t="s">
        <v>544</v>
      </c>
      <c r="I231" s="185" t="s">
        <v>368</v>
      </c>
      <c r="J231" s="107"/>
    </row>
    <row r="232" spans="1:10" s="108" customFormat="1" ht="11.25">
      <c r="A232" s="2"/>
      <c r="B232" s="288"/>
      <c r="C232" s="249"/>
      <c r="D232" s="242"/>
      <c r="E232" s="249"/>
      <c r="F232" s="249"/>
      <c r="G232" s="362"/>
      <c r="H232" s="288"/>
      <c r="I232" s="289"/>
      <c r="J232" s="289"/>
    </row>
    <row r="233" spans="1:10" s="108" customFormat="1" ht="11.25">
      <c r="A233" s="245" t="s">
        <v>223</v>
      </c>
      <c r="B233" s="175">
        <f t="shared" ref="B233:J233" si="38">+B51</f>
        <v>885830.1</v>
      </c>
      <c r="C233" s="206">
        <f t="shared" si="38"/>
        <v>499925.14</v>
      </c>
      <c r="D233" s="175">
        <f t="shared" si="38"/>
        <v>1406565.3900000001</v>
      </c>
      <c r="E233" s="206">
        <f t="shared" si="38"/>
        <v>1238431.3700000001</v>
      </c>
      <c r="F233" s="206">
        <f>+F51</f>
        <v>1508428.6654999999</v>
      </c>
      <c r="G233" s="176">
        <f t="shared" si="38"/>
        <v>1385755.24</v>
      </c>
      <c r="H233" s="208">
        <f t="shared" si="38"/>
        <v>0</v>
      </c>
      <c r="I233" s="192">
        <f t="shared" si="38"/>
        <v>0</v>
      </c>
      <c r="J233" s="176">
        <f t="shared" si="38"/>
        <v>1473307.9639999999</v>
      </c>
    </row>
    <row r="234" spans="1:10" s="108" customFormat="1" ht="11.25">
      <c r="A234" s="2"/>
      <c r="B234" s="160"/>
      <c r="C234" s="113"/>
      <c r="D234" s="160"/>
      <c r="E234" s="113"/>
      <c r="F234" s="113"/>
      <c r="G234" s="162"/>
      <c r="H234" s="92"/>
      <c r="I234" s="186"/>
      <c r="J234" s="162"/>
    </row>
    <row r="235" spans="1:10" s="48" customFormat="1">
      <c r="A235" s="246" t="s">
        <v>295</v>
      </c>
      <c r="B235" s="197">
        <f t="shared" ref="B235:H235" si="39">+B60</f>
        <v>0.45</v>
      </c>
      <c r="C235" s="224">
        <f t="shared" si="39"/>
        <v>0.43</v>
      </c>
      <c r="D235" s="197">
        <f t="shared" si="39"/>
        <v>0.45014943784447858</v>
      </c>
      <c r="E235" s="224">
        <f t="shared" si="39"/>
        <v>0.43185556459216623</v>
      </c>
      <c r="F235" s="224">
        <f>+F60</f>
        <v>0.46000000000000008</v>
      </c>
      <c r="G235" s="191">
        <f t="shared" si="39"/>
        <v>0.44278479885091393</v>
      </c>
      <c r="H235" s="197">
        <f t="shared" si="39"/>
        <v>0</v>
      </c>
      <c r="I235" s="191"/>
      <c r="J235" s="191">
        <f>+J60</f>
        <v>0.45248985307188638</v>
      </c>
    </row>
    <row r="236" spans="1:10" s="108" customFormat="1" ht="11.25">
      <c r="A236" s="246" t="s">
        <v>296</v>
      </c>
      <c r="B236" s="169">
        <f>+B62</f>
        <v>398623.54499999998</v>
      </c>
      <c r="C236" s="223">
        <f>+C62</f>
        <v>214967.81020000001</v>
      </c>
      <c r="D236" s="169">
        <f t="shared" ref="D236:J236" si="40">+D62</f>
        <v>633164.61959999986</v>
      </c>
      <c r="E236" s="223">
        <f t="shared" si="40"/>
        <v>534823.47849999997</v>
      </c>
      <c r="F236" s="223">
        <f>+F62</f>
        <v>613591.35519999999</v>
      </c>
      <c r="G236" s="170">
        <f t="shared" si="40"/>
        <v>613591.35519999999</v>
      </c>
      <c r="H236" s="197">
        <f t="shared" si="40"/>
        <v>-0.15531686082227186</v>
      </c>
      <c r="I236" s="191">
        <f t="shared" si="40"/>
        <v>0.14727827005822078</v>
      </c>
      <c r="J236" s="170">
        <f t="shared" si="40"/>
        <v>666656.90416000003</v>
      </c>
    </row>
    <row r="237" spans="1:10" s="48" customFormat="1">
      <c r="A237" s="25"/>
      <c r="B237" s="160"/>
      <c r="C237" s="113"/>
      <c r="D237" s="160"/>
      <c r="E237" s="113"/>
      <c r="F237" s="113"/>
      <c r="G237" s="162"/>
      <c r="H237" s="92"/>
      <c r="I237" s="186"/>
      <c r="J237" s="162"/>
    </row>
    <row r="238" spans="1:10" s="48" customFormat="1">
      <c r="A238" s="292" t="s">
        <v>122</v>
      </c>
      <c r="B238" s="293">
        <f t="shared" ref="B238:J238" si="41">+B103</f>
        <v>94482.103226413019</v>
      </c>
      <c r="C238" s="295">
        <f t="shared" si="41"/>
        <v>69062.504316666673</v>
      </c>
      <c r="D238" s="293">
        <f t="shared" si="41"/>
        <v>166365.42000000001</v>
      </c>
      <c r="E238" s="295">
        <f t="shared" si="41"/>
        <v>159170.37</v>
      </c>
      <c r="F238" s="295">
        <f>+F103</f>
        <v>163544.60754307968</v>
      </c>
      <c r="G238" s="294">
        <f t="shared" si="41"/>
        <v>163544.60754307971</v>
      </c>
      <c r="H238" s="296">
        <f t="shared" si="41"/>
        <v>-4.3248470745903905E-2</v>
      </c>
      <c r="I238" s="297">
        <f t="shared" si="41"/>
        <v>2.748148127744951E-2</v>
      </c>
      <c r="J238" s="294">
        <f t="shared" si="41"/>
        <v>170474.48872491482</v>
      </c>
    </row>
    <row r="239" spans="1:10" s="108" customFormat="1" ht="15" customHeight="1">
      <c r="A239" s="292" t="s">
        <v>133</v>
      </c>
      <c r="B239" s="293">
        <f t="shared" ref="B239:J239" si="42">+B116</f>
        <v>37850</v>
      </c>
      <c r="C239" s="295">
        <f t="shared" si="42"/>
        <v>17432.9935</v>
      </c>
      <c r="D239" s="293">
        <f t="shared" si="42"/>
        <v>56680.179999999993</v>
      </c>
      <c r="E239" s="295">
        <f t="shared" si="42"/>
        <v>57138.899999999994</v>
      </c>
      <c r="F239" s="295">
        <f>+F116</f>
        <v>55282.993499999997</v>
      </c>
      <c r="G239" s="294">
        <f t="shared" si="42"/>
        <v>55282.993499999997</v>
      </c>
      <c r="H239" s="296">
        <f t="shared" si="42"/>
        <v>8.0931288503318308E-3</v>
      </c>
      <c r="I239" s="297">
        <f t="shared" si="42"/>
        <v>-3.2480613032452456E-2</v>
      </c>
      <c r="J239" s="294">
        <f t="shared" si="42"/>
        <v>61251.220200000003</v>
      </c>
    </row>
    <row r="240" spans="1:10" s="108" customFormat="1" ht="15" customHeight="1">
      <c r="A240" s="292" t="s">
        <v>147</v>
      </c>
      <c r="B240" s="293">
        <f t="shared" ref="B240:J240" si="43">+B129</f>
        <v>10171.078160000001</v>
      </c>
      <c r="C240" s="295">
        <f t="shared" si="43"/>
        <v>12011.646224</v>
      </c>
      <c r="D240" s="293">
        <f t="shared" si="43"/>
        <v>25098.65</v>
      </c>
      <c r="E240" s="295">
        <f t="shared" si="43"/>
        <v>20938.706666666665</v>
      </c>
      <c r="F240" s="295">
        <f>+F129</f>
        <v>22182.724384000005</v>
      </c>
      <c r="G240" s="294">
        <f t="shared" si="43"/>
        <v>22182.724384000001</v>
      </c>
      <c r="H240" s="296">
        <f t="shared" si="43"/>
        <v>-0.16574370865896518</v>
      </c>
      <c r="I240" s="297">
        <f t="shared" si="43"/>
        <v>5.9412347531175247E-2</v>
      </c>
      <c r="J240" s="294">
        <f t="shared" si="43"/>
        <v>26096.637742400002</v>
      </c>
    </row>
    <row r="241" spans="1:10" s="108" customFormat="1" ht="11.25">
      <c r="A241" s="292" t="s">
        <v>164</v>
      </c>
      <c r="B241" s="293">
        <f t="shared" ref="B241:J241" si="44">+B154</f>
        <v>154522.94827986415</v>
      </c>
      <c r="C241" s="295">
        <f t="shared" si="44"/>
        <v>82963.775484623795</v>
      </c>
      <c r="D241" s="293">
        <f t="shared" si="44"/>
        <v>264429.90080000006</v>
      </c>
      <c r="E241" s="295">
        <f t="shared" si="44"/>
        <v>222936.5733333333</v>
      </c>
      <c r="F241" s="295">
        <f>+F154</f>
        <v>237486.72376448795</v>
      </c>
      <c r="G241" s="294">
        <f t="shared" si="44"/>
        <v>237486.72376448795</v>
      </c>
      <c r="H241" s="296">
        <f t="shared" si="44"/>
        <v>-0.15691617075502359</v>
      </c>
      <c r="I241" s="297">
        <f t="shared" si="44"/>
        <v>6.5265874565136314E-2</v>
      </c>
      <c r="J241" s="294">
        <f t="shared" si="44"/>
        <v>242856.91265308601</v>
      </c>
    </row>
    <row r="242" spans="1:10" s="108" customFormat="1" ht="11.25">
      <c r="A242" s="292" t="s">
        <v>74</v>
      </c>
      <c r="B242" s="293">
        <f t="shared" ref="B242:J242" si="45">+B168</f>
        <v>13154.495783333336</v>
      </c>
      <c r="C242" s="295">
        <f t="shared" si="45"/>
        <v>8427.4108146666658</v>
      </c>
      <c r="D242" s="293">
        <f t="shared" si="45"/>
        <v>552.78999999999951</v>
      </c>
      <c r="E242" s="295">
        <f t="shared" si="45"/>
        <v>7660.1333333333323</v>
      </c>
      <c r="F242" s="295">
        <f>+F168</f>
        <v>21581.906598000001</v>
      </c>
      <c r="G242" s="294">
        <f t="shared" si="45"/>
        <v>21581.906598000001</v>
      </c>
      <c r="H242" s="296">
        <f t="shared" si="45"/>
        <v>12.857221247369415</v>
      </c>
      <c r="I242" s="297">
        <f t="shared" si="45"/>
        <v>1.8174322376459946</v>
      </c>
      <c r="J242" s="294">
        <f t="shared" si="45"/>
        <v>22754.495192139017</v>
      </c>
    </row>
    <row r="243" spans="1:10" s="108" customFormat="1" ht="11.25">
      <c r="A243" s="292" t="s">
        <v>369</v>
      </c>
      <c r="B243" s="293">
        <f t="shared" ref="B243:J243" si="46">+B185-B201</f>
        <v>5212.0895999999993</v>
      </c>
      <c r="C243" s="295">
        <f t="shared" si="46"/>
        <v>1787.6499999999999</v>
      </c>
      <c r="D243" s="293">
        <f t="shared" si="46"/>
        <v>3090.1099999999997</v>
      </c>
      <c r="E243" s="295">
        <f t="shared" si="46"/>
        <v>1546.3733333333325</v>
      </c>
      <c r="F243" s="295">
        <f>+F185-F201</f>
        <v>6999.739599999999</v>
      </c>
      <c r="G243" s="294">
        <f t="shared" si="46"/>
        <v>6999.739599999999</v>
      </c>
      <c r="H243" s="378">
        <f>+IF((D243)=0,,(E243-D243)/D243)</f>
        <v>-0.4995733700957789</v>
      </c>
      <c r="I243" s="379">
        <f>+IF((E243)=0,,(G243-E243)/E243)</f>
        <v>3.5265521909327644</v>
      </c>
      <c r="J243" s="294">
        <f t="shared" si="46"/>
        <v>5951.5185054677086</v>
      </c>
    </row>
    <row r="244" spans="1:10" s="108" customFormat="1" ht="11.25">
      <c r="A244" s="25"/>
      <c r="B244" s="160"/>
      <c r="C244" s="113"/>
      <c r="D244" s="160"/>
      <c r="E244" s="113"/>
      <c r="F244" s="113"/>
      <c r="G244" s="162"/>
      <c r="H244" s="92"/>
      <c r="I244" s="186"/>
      <c r="J244" s="162"/>
    </row>
    <row r="245" spans="1:10" s="108" customFormat="1" ht="11.25">
      <c r="A245" s="245" t="s">
        <v>189</v>
      </c>
      <c r="B245" s="299">
        <f t="shared" ref="B245:J245" si="47">+B203</f>
        <v>315392.71504961047</v>
      </c>
      <c r="C245" s="301">
        <f t="shared" si="47"/>
        <v>191685.98033995711</v>
      </c>
      <c r="D245" s="299">
        <f t="shared" si="47"/>
        <v>516217.05080000003</v>
      </c>
      <c r="E245" s="301">
        <f t="shared" si="47"/>
        <v>469391.05666666664</v>
      </c>
      <c r="F245" s="301">
        <f>+F203</f>
        <v>507078.69538956764</v>
      </c>
      <c r="G245" s="300">
        <f t="shared" si="47"/>
        <v>507078.69538956764</v>
      </c>
      <c r="H245" s="302">
        <f t="shared" si="47"/>
        <v>-9.0709894337595909E-2</v>
      </c>
      <c r="I245" s="303">
        <f t="shared" si="47"/>
        <v>8.0290491664958372E-2</v>
      </c>
      <c r="J245" s="300">
        <f t="shared" si="47"/>
        <v>529385.27301800752</v>
      </c>
    </row>
    <row r="246" spans="1:10" s="108" customFormat="1" ht="11.25">
      <c r="A246" s="2"/>
      <c r="B246" s="160"/>
      <c r="C246" s="113"/>
      <c r="D246" s="160"/>
      <c r="E246" s="113"/>
      <c r="F246" s="113"/>
      <c r="G246" s="162"/>
      <c r="H246" s="92"/>
      <c r="I246" s="186"/>
      <c r="J246" s="162"/>
    </row>
    <row r="247" spans="1:10" s="108" customFormat="1" ht="11.25">
      <c r="A247" s="246" t="s">
        <v>228</v>
      </c>
      <c r="B247" s="177">
        <f t="shared" ref="B247:J247" si="48">+B205</f>
        <v>83230.82995038951</v>
      </c>
      <c r="C247" s="228">
        <f t="shared" si="48"/>
        <v>23281.829860042897</v>
      </c>
      <c r="D247" s="177">
        <f t="shared" si="48"/>
        <v>116947.56880000018</v>
      </c>
      <c r="E247" s="228">
        <f t="shared" si="48"/>
        <v>65432.421833333327</v>
      </c>
      <c r="F247" s="228">
        <f>+F205</f>
        <v>106512.65981043235</v>
      </c>
      <c r="G247" s="178">
        <f t="shared" si="48"/>
        <v>106512.65981043235</v>
      </c>
      <c r="H247" s="225">
        <f t="shared" si="48"/>
        <v>-0.44049780166671387</v>
      </c>
      <c r="I247" s="193">
        <f t="shared" si="48"/>
        <v>0.62782695223687202</v>
      </c>
      <c r="J247" s="178">
        <f t="shared" si="48"/>
        <v>137271.63114199252</v>
      </c>
    </row>
    <row r="248" spans="1:10" s="108" customFormat="1" ht="11.25">
      <c r="A248" s="2"/>
      <c r="B248" s="160"/>
      <c r="C248" s="113"/>
      <c r="D248" s="160"/>
      <c r="E248" s="113"/>
      <c r="F248" s="113"/>
      <c r="G248" s="162"/>
      <c r="H248" s="92"/>
      <c r="I248" s="186"/>
      <c r="J248" s="162"/>
    </row>
    <row r="249" spans="1:10" s="108" customFormat="1" ht="11.25">
      <c r="A249" s="247" t="s">
        <v>370</v>
      </c>
      <c r="B249" s="180">
        <f t="shared" ref="B249:J249" si="49">+B207+B215</f>
        <v>39444.369316699042</v>
      </c>
      <c r="C249" s="230">
        <f t="shared" si="49"/>
        <v>27157.0388543316</v>
      </c>
      <c r="D249" s="180">
        <f t="shared" si="49"/>
        <v>56115.036515525033</v>
      </c>
      <c r="E249" s="230">
        <f t="shared" si="49"/>
        <v>54057.431243755251</v>
      </c>
      <c r="F249" s="230">
        <f>+F207+F215</f>
        <v>66601.408171030635</v>
      </c>
      <c r="G249" s="181">
        <f t="shared" si="49"/>
        <v>66601.408171030649</v>
      </c>
      <c r="H249" s="380">
        <f>+IF((D249)=0,,(E249-D249)/D249)</f>
        <v>-3.6667627779240881E-2</v>
      </c>
      <c r="I249" s="381">
        <f>+IF((E249)=0,,(G249-E249)/E249)</f>
        <v>0.23204907519027712</v>
      </c>
      <c r="J249" s="181">
        <f t="shared" si="49"/>
        <v>67978.679346900928</v>
      </c>
    </row>
    <row r="250" spans="1:10" s="108" customFormat="1" ht="11.25">
      <c r="A250" s="2"/>
      <c r="B250" s="160"/>
      <c r="C250" s="113"/>
      <c r="D250" s="160"/>
      <c r="E250" s="113"/>
      <c r="F250" s="113"/>
      <c r="G250" s="162"/>
      <c r="H250" s="92"/>
      <c r="I250" s="186"/>
      <c r="J250" s="162"/>
    </row>
    <row r="251" spans="1:10" s="108" customFormat="1" ht="11.25">
      <c r="A251" s="246" t="s">
        <v>86</v>
      </c>
      <c r="B251" s="177">
        <f t="shared" ref="B251:J251" si="50">+B217</f>
        <v>43786.460633690476</v>
      </c>
      <c r="C251" s="228">
        <f t="shared" si="50"/>
        <v>-3875.2089942887069</v>
      </c>
      <c r="D251" s="177">
        <f t="shared" si="50"/>
        <v>60832.532284475157</v>
      </c>
      <c r="E251" s="228">
        <f t="shared" si="50"/>
        <v>11374.990589578076</v>
      </c>
      <c r="F251" s="228">
        <f>+F217</f>
        <v>39911.251639401715</v>
      </c>
      <c r="G251" s="178">
        <f t="shared" si="50"/>
        <v>39911.2516394017</v>
      </c>
      <c r="H251" s="225">
        <f t="shared" si="50"/>
        <v>-0.81301139106975751</v>
      </c>
      <c r="I251" s="193">
        <f t="shared" si="50"/>
        <v>2.5086843655034707</v>
      </c>
      <c r="J251" s="178">
        <f t="shared" si="50"/>
        <v>69292.951795091605</v>
      </c>
    </row>
    <row r="252" spans="1:10" s="48" customFormat="1">
      <c r="A252" s="2"/>
      <c r="B252" s="17"/>
      <c r="C252" s="113"/>
      <c r="D252" s="237"/>
      <c r="E252" s="25"/>
      <c r="F252" s="25"/>
      <c r="G252" s="182"/>
      <c r="H252" s="92"/>
      <c r="I252" s="254"/>
      <c r="J252" s="382"/>
    </row>
    <row r="253" spans="1:10" s="48" customFormat="1">
      <c r="A253" s="292" t="s">
        <v>95</v>
      </c>
      <c r="B253" s="293">
        <f>+Vannes!G253</f>
        <v>255000</v>
      </c>
      <c r="C253" s="295">
        <f>+Rennes!G253</f>
        <v>135000</v>
      </c>
      <c r="D253" s="293">
        <f>+D28</f>
        <v>381777</v>
      </c>
      <c r="E253" s="333">
        <f>+Rennes!F253+Vannes!F253</f>
        <v>0</v>
      </c>
      <c r="F253" s="333">
        <v>1382718.6038681697</v>
      </c>
      <c r="G253" s="294">
        <f>SUM(B253:C253)</f>
        <v>390000</v>
      </c>
      <c r="H253" s="378">
        <f>+IF((D253)=0,,(E253-D253)/D253)</f>
        <v>-1</v>
      </c>
      <c r="I253" s="379">
        <f>+IF((E253)=0,,(G253-E253)/E253)</f>
        <v>0</v>
      </c>
      <c r="J253" s="377"/>
    </row>
    <row r="254" spans="1:10">
      <c r="A254" s="292" t="s">
        <v>371</v>
      </c>
      <c r="B254" s="293">
        <f>+Vannes!G254</f>
        <v>788526.85414735461</v>
      </c>
      <c r="C254" s="295">
        <f>+Rennes!G254</f>
        <v>508937.25394020631</v>
      </c>
      <c r="D254" s="293">
        <f>+D223</f>
        <v>1271426.8622795856</v>
      </c>
      <c r="E254" s="295">
        <f>+E223</f>
        <v>1212091.5667828752</v>
      </c>
      <c r="F254" s="295">
        <f>+F223</f>
        <v>1247130.6599143441</v>
      </c>
      <c r="G254" s="294">
        <f>+G223</f>
        <v>1295618.3343452064</v>
      </c>
      <c r="H254" s="378">
        <f>+IF((D254)=0,,(E254-D254)/D254)</f>
        <v>-4.6668272676200988E-2</v>
      </c>
      <c r="I254" s="379">
        <f>+IF((E254)=0,,(G254-E254)/E254)</f>
        <v>6.8911268629669051E-2</v>
      </c>
      <c r="J254" s="294">
        <f>+J223</f>
        <v>1320170.9349049339</v>
      </c>
    </row>
    <row r="255" spans="1:10" s="48" customFormat="1">
      <c r="A255" s="292" t="s">
        <v>372</v>
      </c>
      <c r="B255" s="293">
        <f>+Vannes!G255</f>
        <v>0</v>
      </c>
      <c r="C255" s="295">
        <f>+Rennes!G255</f>
        <v>5000</v>
      </c>
      <c r="D255" s="383">
        <v>0</v>
      </c>
      <c r="E255" s="333">
        <v>0</v>
      </c>
      <c r="F255" s="333">
        <v>0</v>
      </c>
      <c r="G255" s="294">
        <f>SUM(B255:C255)</f>
        <v>5000</v>
      </c>
      <c r="H255" s="378">
        <f>+IF((D255)=0,,(E255-D255)/D255)</f>
        <v>0</v>
      </c>
      <c r="I255" s="379">
        <f>+IF((E255)=0,,(G255-E255)/E255)</f>
        <v>0</v>
      </c>
      <c r="J255" s="334">
        <v>0</v>
      </c>
    </row>
    <row r="256" spans="1:10" s="108" customFormat="1" ht="11.25">
      <c r="A256" s="2"/>
      <c r="B256" s="24"/>
      <c r="C256" s="113"/>
      <c r="D256" s="237"/>
      <c r="E256" s="25"/>
      <c r="F256" s="25"/>
      <c r="G256" s="182"/>
      <c r="H256" s="92"/>
      <c r="I256" s="254"/>
      <c r="J256" s="66"/>
    </row>
  </sheetData>
  <phoneticPr fontId="0" type="noConversion"/>
  <printOptions horizontalCentered="1" verticalCentered="1"/>
  <pageMargins left="0" right="0" top="0" bottom="0" header="0.51181102362204722" footer="0.51181102362204722"/>
  <pageSetup paperSize="9" scale="60" fitToHeight="2" orientation="portrait" horizontalDpi="4294967293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indexed="44"/>
    <pageSetUpPr fitToPage="1"/>
  </sheetPr>
  <dimension ref="A1:O257"/>
  <sheetViews>
    <sheetView topLeftCell="G2" workbookViewId="0">
      <selection activeCell="L2" sqref="L1:O1048576"/>
    </sheetView>
  </sheetViews>
  <sheetFormatPr baseColWidth="10" defaultRowHeight="11.25"/>
  <cols>
    <col min="1" max="1" width="60" style="2" customWidth="1"/>
    <col min="2" max="2" width="6.710937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203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/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-IF(ISNA(VLOOKUP("REN707130000",Balance!C:G,5,FALSE))=TRUE,0,VLOOKUP("REN707130000",Balance!C:G,5,FALSE))</f>
        <v>348079.19</v>
      </c>
      <c r="D8" s="117">
        <f>+[2]Rennes!$H8</f>
        <v>567000</v>
      </c>
      <c r="E8" s="160">
        <f>-IF(ISNA(VLOOKUP("REN707130000",Balanceanp!C:G,5,FALSE))=TRUE,0,VLOOKUP("REN707130000",Balanceanp!C:G,5,FALSE))</f>
        <v>488974.72000000003</v>
      </c>
      <c r="F8" s="368">
        <v>462000</v>
      </c>
      <c r="G8" s="570">
        <v>514100</v>
      </c>
      <c r="H8" s="401"/>
      <c r="I8" s="149">
        <f>+IF((E8)=0,,(F8-E8)/E8)</f>
        <v>-5.5165878514128561E-2</v>
      </c>
      <c r="J8" s="271">
        <f>+IF((F8)=0,,(G8-F8)/F8)</f>
        <v>0.11277056277056277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514100</v>
      </c>
    </row>
    <row r="9" spans="1:15" ht="12.75">
      <c r="A9" s="5" t="s">
        <v>422</v>
      </c>
      <c r="B9" s="92"/>
      <c r="C9" s="160">
        <f>-IF(ISNA(VLOOKUP("REN707131000",Balance!C:G,5,FALSE))=TRUE,0,VLOOKUP("REN707131000",Balance!C:G,5,FALSE))</f>
        <v>0</v>
      </c>
      <c r="D9" s="117">
        <f>+[2]Rennes!$H9</f>
        <v>0</v>
      </c>
      <c r="E9" s="160">
        <f>-IF(ISNA(VLOOKUP("REN707131000",Balanceanp!C:G,5,FALSE))=TRUE,0,VLOOKUP("REN707131000",Balanceanp!C:G,5,FALSE))</f>
        <v>63718.9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-IF(ISNA(VLOOKUP("REN707300000",Balance!C:G,5,FALSE))=TRUE,0,VLOOKUP("REN707300000",Balance!C:G,5,FALSE))</f>
        <v>0</v>
      </c>
      <c r="D10" s="117">
        <f>+[2]Rennes!$H10</f>
        <v>0</v>
      </c>
      <c r="E10" s="160">
        <f>-IF(ISNA(VLOOKUP("REN707300000",Balanceanp!C:G,5,FALSE))=TRUE,0,VLOOKUP("REN707300000",Balanceanp!C:G,5,FALSE))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-IF(ISNA(VLOOKUP("REN707110000",Balance!C:G,5,FALSE))=TRUE,0,VLOOKUP("REN707110000",Balance!C:G,5,FALSE))</f>
        <v>0</v>
      </c>
      <c r="D11" s="117">
        <f>+[2]Rennes!$H11</f>
        <v>0</v>
      </c>
      <c r="E11" s="160">
        <f>-IF(ISNA(VLOOKUP("REN707110000",Balanceanp!C:G,5,FALSE))=TRUE,0,VLOOKUP("REN707110000",Balanceanp!C:G,5,FALSE))</f>
        <v>0</v>
      </c>
      <c r="F11" s="368">
        <f t="shared" si="2"/>
        <v>0</v>
      </c>
      <c r="G11" s="570">
        <f t="shared" si="0"/>
        <v>0</v>
      </c>
      <c r="H11" s="401"/>
      <c r="I11" s="149">
        <f t="shared" si="1"/>
        <v>0</v>
      </c>
      <c r="J11" s="271">
        <f t="shared" si="1"/>
        <v>0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-IF(ISNA(VLOOKUP("REN707120000",Balance!C:G,5,FALSE))=TRUE,0,VLOOKUP("REN707120000",Balance!C:G,5,FALSE))</f>
        <v>0</v>
      </c>
      <c r="D12" s="117">
        <f>+[2]Rennes!$H12</f>
        <v>0</v>
      </c>
      <c r="E12" s="160">
        <f>-IF(ISNA(VLOOKUP("REN707120000",Balanceanp!C:G,5,FALSE))=TRUE,0,VLOOKUP("REN707120000",Balanceanp!C:G,5,FALSE))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-IF(ISNA(VLOOKUP("REN707230000",Balance!C:G,5,FALSE))=TRUE,0,VLOOKUP("REN707230000",Balance!C:G,5,FALSE))</f>
        <v>0</v>
      </c>
      <c r="D13" s="117">
        <f>+[2]Rennes!$H13</f>
        <v>0</v>
      </c>
      <c r="E13" s="160">
        <f>-IF(ISNA(VLOOKUP("REN707230000",Balanceanp!C:G,5,FALSE))=TRUE,0,VLOOKUP("REN707230000",Balanceanp!C:G,5,FALSE))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-IF(ISNA(VLOOKUP("REN708820000",Balance!C:G,5,FALSE))=TRUE,0,VLOOKUP("REN708820000",Balance!C:G,5,FALSE))</f>
        <v>382.76</v>
      </c>
      <c r="D14" s="117">
        <f>+[2]Rennes!$H14</f>
        <v>0</v>
      </c>
      <c r="E14" s="160">
        <f>-IF(ISNA(VLOOKUP("REN708820000",Balanceanp!C:G,5,FALSE))=TRUE,0,VLOOKUP("REN708820000",Balanceanp!C:G,5,FALSE))</f>
        <v>403.82000000000005</v>
      </c>
      <c r="F14" s="368">
        <f t="shared" si="2"/>
        <v>382.76</v>
      </c>
      <c r="G14" s="570">
        <v>0</v>
      </c>
      <c r="H14" s="401"/>
      <c r="I14" s="149">
        <f t="shared" si="1"/>
        <v>-5.215194888811861E-2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-IF(ISNA(VLOOKUP("REN708500000",Balance!C:G,5,FALSE))=TRUE,0,VLOOKUP("REN708500000",Balance!C:G,5,FALSE))</f>
        <v>792</v>
      </c>
      <c r="D15" s="117">
        <f>+[2]Rennes!$H15</f>
        <v>0</v>
      </c>
      <c r="E15" s="160">
        <f>-IF(ISNA(VLOOKUP("REN708500000",Balanceanp!C:G,5,FALSE))=TRUE,0,VLOOKUP("REN708500000",Balanceanp!C:G,5,FALSE))</f>
        <v>972</v>
      </c>
      <c r="F15" s="368">
        <f t="shared" si="2"/>
        <v>792</v>
      </c>
      <c r="G15" s="570">
        <v>0</v>
      </c>
      <c r="H15" s="401"/>
      <c r="I15" s="149">
        <f t="shared" si="1"/>
        <v>-0.18518518518518517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IF(ISNA(VLOOKUP("REN706000000",Balance!C:G,5,FALSE))=TRUE,0,-VLOOKUP("REN706000000",Balance!C:G,5,FALSE))+IF(ISNA(VLOOKUP("REN706010000",Balance!C:G,5,FALSE))=TRUE,0,-VLOOKUP("REN706010000",Balance!C:G,5,FALSE))</f>
        <v>0</v>
      </c>
      <c r="D16" s="117">
        <f>+[2]Rennes!$H16</f>
        <v>0</v>
      </c>
      <c r="E16" s="160">
        <f>IF(ISNA(VLOOKUP("REN706000000",Balanceanp!C:G,5,FALSE))=TRUE,0,-VLOOKUP("REN706000000",Balanceanp!C:G,5,FALSE))+IF(ISNA(VLOOKUP("REN706010000",Balanceanp!C:G,5,FALSE))=TRUE,0,-VLOOKUP("REN706010000",Balanceanp!C:G,5,FALSE))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IF(ISNA(VLOOKUP("REN707500000",Balance!C:G,5,FALSE))=TRUE,0,-VLOOKUP("REN707500000",Balance!C:G,5,FALSE))</f>
        <v>0</v>
      </c>
      <c r="D17" s="117">
        <f>+[2]Rennes!$H17</f>
        <v>0</v>
      </c>
      <c r="E17" s="160">
        <f>IF(ISNA(VLOOKUP("REN707500000",Balanceanp!C:G,5,FALSE))=TRUE,0,-VLOOKUP("REN707500000",Balanceanp!C:G,5,FALSE))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IF(ISNA(VLOOKUP("REN707510000",Balance!C:G,5,FALSE))=TRUE,0,-VLOOKUP("REN707510000",Balance!C:G,5,FALSE))</f>
        <v>0</v>
      </c>
      <c r="D18" s="117">
        <f>+[2]Rennes!$H18</f>
        <v>0</v>
      </c>
      <c r="E18" s="160">
        <f>IF(ISNA(VLOOKUP("REN707510000",Balanceanp!C:G,5,FALSE))=TRUE,0,-VLOOKUP("REN707510000",Balanceanp!C:G,5,FALSE))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IF(ISNA(VLOOKUP("REN708300000",Balance!C:G,5,FALSE))=TRUE,0,-VLOOKUP("REN708300000",Balance!C:G,5,FALSE))</f>
        <v>0</v>
      </c>
      <c r="D19" s="117">
        <f>+[2]Rennes!$H19</f>
        <v>0</v>
      </c>
      <c r="E19" s="160">
        <f>IF(ISNA(VLOOKUP("REN708300000",Balanceanp!C:G,5,FALSE))=TRUE,0,-VLOOKUP("REN708300000",Balanceanp!C:G,5,FALSE))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349253.95</v>
      </c>
      <c r="D21" s="118">
        <f>SUM(D7:D20)</f>
        <v>567000</v>
      </c>
      <c r="E21" s="163">
        <f>SUM(E7:E20)</f>
        <v>554069.43999999994</v>
      </c>
      <c r="F21" s="136">
        <f>SUM(F7:F20)</f>
        <v>463174.76</v>
      </c>
      <c r="G21" s="136">
        <f>SUM(G7:G20)</f>
        <v>514100</v>
      </c>
      <c r="H21" s="312"/>
      <c r="I21" s="272">
        <f>+IF((E21)=0,,(F21-E21)/E21)</f>
        <v>-0.16404925707506976</v>
      </c>
      <c r="J21" s="188">
        <f>+IF((F21)=0,,(G21-F21)/F21)</f>
        <v>0.1099482191128031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IF(ISNA(VLOOKUP("REN602650000",Balance!C:G,5,FALSE))=TRUE,0,VLOOKUP("REN602650000",Balance!C:G,5,FALSE))</f>
        <v>0</v>
      </c>
      <c r="D23" s="115"/>
      <c r="E23" s="160">
        <f>IF(ISNA(VLOOKUP("REN602650000",Balanceanp!C:G,5,FALSE))=TRUE,0,VLOOKUP("REN602650000",Balanceanp!C:G,5,FALSE))</f>
        <v>0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IF(ISNA(VLOOKUP("ren607100000",Balance!C:G,5,FALSE))=TRUE,0,VLOOKUP("ren607100000",Balance!C:G,5,FALSE))</f>
        <v>66959.350000000006</v>
      </c>
      <c r="D24" s="115"/>
      <c r="E24" s="160">
        <f>IF(ISNA(VLOOKUP("ren607100000",Balanceanp!C:G,5,FALSE))=TRUE,0,VLOOKUP("ren607100000",Balanceanp!C:G,5,FALSE))</f>
        <v>119169.04999999999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IF(ISNA(VLOOKUP("ren607110000",Balance!C:G,5,FALSE))=TRUE,0,VLOOKUP("ren607110000",Balance!C:G,5,FALSE))+IF(ISNA(VLOOKUP("ren607120000",Balance!C:G,5,FALSE))=TRUE,0,VLOOKUP("ren607120000",Balance!C:G,5,FALSE))</f>
        <v>13998.05</v>
      </c>
      <c r="D25" s="115"/>
      <c r="E25" s="160">
        <f>IF(ISNA(VLOOKUP("ren607110000",Balanceanp!C:G,5,FALSE))=TRUE,0,VLOOKUP("ren607110000",Balanceanp!C:G,5,FALSE))+IF(ISNA(VLOOKUP("ren607120000",Balanceanp!C:G,5,FALSE))=TRUE,0,VLOOKUP("ren607120000",Balanceanp!C:G,5,FALSE))</f>
        <v>30829.22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IF(ISNA(VLOOKUP("ren607130000",Balance!C:G,5,FALSE))=TRUE,0,VLOOKUP("ren607130000",Balance!C:G,5,FALSE))</f>
        <v>79394.080000000002</v>
      </c>
      <c r="D26" s="115"/>
      <c r="E26" s="160">
        <f>IF(ISNA(VLOOKUP("ren607130000",Balanceanp!C:G,5,FALSE))=TRUE,0,VLOOKUP("ren607130000",Balanceanp!C:G,5,FALSE))</f>
        <v>71261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IF(ISNA(VLOOKUP("ren607140000",Balance!C:G,5,FALSE))=TRUE,0,VLOOKUP("ren607140000",Balance!C:G,5,FALSE))</f>
        <v>-43542.55</v>
      </c>
      <c r="D27" s="115"/>
      <c r="E27" s="160">
        <f>IF(ISNA(VLOOKUP("ren607140000",Balanceanp!C:G,5,FALSE))=TRUE,0,VLOOKUP("ren607140000",Balanceanp!C:G,5,FALSE))</f>
        <v>-49074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IF(ISNA(VLOOKUP("REN607200000",Balance!C:G,5,FALSE))=TRUE,0,VLOOKUP("REN607200000",Balance!C:G,5,FALSE))</f>
        <v>110595.53</v>
      </c>
      <c r="D28" s="115"/>
      <c r="E28" s="160">
        <f>IF(ISNA(VLOOKUP("REN607200000",Balanceanp!C:G,5,FALSE))=TRUE,0,VLOOKUP("REN607200000",Balanceanp!C:G,5,FALSE))</f>
        <v>131943.21</v>
      </c>
      <c r="F28" s="134"/>
      <c r="G28" s="1161">
        <v>135000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135000</v>
      </c>
    </row>
    <row r="29" spans="1:13" ht="12.75">
      <c r="A29" s="5" t="s">
        <v>293</v>
      </c>
      <c r="B29" s="92"/>
      <c r="C29" s="160">
        <f>IF(ISNA(VLOOKUP("REN607150000",Balance!C:G,5,FALSE))=TRUE,0,VLOOKUP("REN607150000",Balance!C:G,5,FALSE))</f>
        <v>0</v>
      </c>
      <c r="D29" s="115"/>
      <c r="E29" s="357">
        <f>IF(ISNA(VLOOKUP("REN607150000",Balanceanp!C:G,5,FALSE))=TRUE,0,VLOOKUP("REN607150000",Balanceanp!C:G,5,FALSE))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227404.46000000002</v>
      </c>
      <c r="D30" s="119"/>
      <c r="E30" s="164">
        <f>SUM(E23:E29)</f>
        <v>304128.48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133607.84999999998</v>
      </c>
      <c r="D32" s="120"/>
      <c r="E32" s="166">
        <f>+E21-E30-E38</f>
        <v>238905.36549999996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0.38255215152183669</v>
      </c>
      <c r="D33" s="120"/>
      <c r="E33" s="196">
        <f>+E32/E21</f>
        <v>0.43118307607797313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IF(ISNA(VLOOKUP("REN607400000",Balance!C:G,5,FALSE))=TRUE,0,VLOOKUP("REN607400000",Balance!C:G,5,FALSE))</f>
        <v>2957.51</v>
      </c>
      <c r="D35" s="115"/>
      <c r="E35" s="160">
        <f>IF(ISNA(VLOOKUP("REN607400000",Balanceanp!C:G,5,FALSE))=TRUE,0,VLOOKUP("REN607400000",Balanceanp!C:G,5,FALSE))</f>
        <v>4053.96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IF(ISNA(VLOOKUP("REN608000000",Balance!C:G,5,FALSE))=TRUE,0,VLOOKUP("REN608000000",Balance!C:G,5,FALSE))</f>
        <v>4627.45</v>
      </c>
      <c r="D36" s="115"/>
      <c r="E36" s="160">
        <f>IF(ISNA(VLOOKUP("REN608000000",Balanceanp!C:G,5,FALSE))=TRUE,0,VLOOKUP("REN608000000",Balanceanp!C:G,5,FALSE))</f>
        <v>5190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IF(ISNA(VLOOKUP("REN608100000",Balance!C:G,5,FALSE))=TRUE,0,VLOOKUP("REN608100000",Balance!C:G,5,FALSE))</f>
        <v>0</v>
      </c>
      <c r="D37" s="115"/>
      <c r="E37" s="160">
        <f>IF(ISNA(VLOOKUP("REN608100000",Balanceanp!C:G,5,FALSE))=TRUE,0,VLOOKUP("REN608100000",Balanceanp!C:G,5,FALSE))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-11758.36</v>
      </c>
      <c r="D38" s="115"/>
      <c r="E38" s="160">
        <f>+E56-E57</f>
        <v>11035.594499999992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IF(ISNA(VLOOKUP("REN681730000",Balance!C:G,5,FALSE))=TRUE,0,VLOOKUP("REN681730000",Balance!C:G,5,FALSE))</f>
        <v>0</v>
      </c>
      <c r="D39" s="115"/>
      <c r="E39" s="160">
        <f>IF(ISNA(VLOOKUP("REN681730000",Balanceanp!C:G,5,FALSE))=TRUE,0,VLOOKUP("REN681730000",Balanceanp!C:G,5,FALSE))</f>
        <v>5649.41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IF(ISNA(VLOOKUP("REN781730000",Balance!C:G,5,FALSE))=TRUE,0,VLOOKUP("REN781730000",Balance!C:G,5,FALSE))</f>
        <v>-2951.1</v>
      </c>
      <c r="D40" s="115"/>
      <c r="E40" s="160">
        <f>IF(ISNA(VLOOKUP("REN781730000",Balanceanp!C:G,5,FALSE))=TRUE,0,VLOOKUP("REN781730000",Balanceanp!C:G,5,FALSE))</f>
        <v>-6209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IF(ISNA(VLOOKUP("ren609110000",Balance!C:G,5,FALSE))=TRUE,0,VLOOKUP("ren609110000",Balance!C:G,5,FALSE))</f>
        <v>-21.07</v>
      </c>
      <c r="D41" s="115"/>
      <c r="E41" s="160">
        <f>IF(ISNA(VLOOKUP("ren609110000",Balanceanp!C:G,5,FALSE))=TRUE,0,VLOOKUP("ren609110000",Balanceanp!C:G,5,FALSE))</f>
        <v>-4389.84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IF(ISNA(VLOOKUP("ren609120000",Balance!C:G,5,FALSE))=TRUE,0,VLOOKUP("ren609120000",Balance!C:G,5,FALSE))</f>
        <v>-7881.37</v>
      </c>
      <c r="D42" s="115"/>
      <c r="E42" s="160">
        <f>IF(ISNA(VLOOKUP("ren609120000",Balanceanp!C:G,5,FALSE))=TRUE,0,VLOOKUP("ren609120000",Balanceanp!C:G,5,FALSE))</f>
        <v>-9335.14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212377.52000000002</v>
      </c>
      <c r="D44" s="121"/>
      <c r="E44" s="163">
        <f>+E30+SUM(E34:E43)</f>
        <v>310123.4645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136876.43</v>
      </c>
      <c r="D46" s="120"/>
      <c r="E46" s="166">
        <f>+E21-E44</f>
        <v>243945.97549999994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0.39191090036347476</v>
      </c>
      <c r="D47" s="120"/>
      <c r="E47" s="196">
        <f>+E46/E21</f>
        <v>0.44028050978592137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2.955299431831766E-2</v>
      </c>
      <c r="C49" s="160">
        <f>IF(ISNA(VLOOKUP("REN709700000",Balance!C:G,5,FALSE))=TRUE,0,VLOOKUP("REN709700000",Balance!C:G,5,FALSE))</f>
        <v>10321.5</v>
      </c>
      <c r="D49" s="117">
        <f>+[2]Rennes!$H49</f>
        <v>13762.036000000002</v>
      </c>
      <c r="E49" s="160">
        <f>IF(ISNA(VLOOKUP("REN709700000",Balanceanp!C:G,5,FALSE))=TRUE,0,VLOOKUP("REN709700000",Balanceanp!C:G,5,FALSE))</f>
        <v>13279.28</v>
      </c>
      <c r="F49" s="135">
        <f>+C49+C49/9*(12-Clients!$I$14)</f>
        <v>13762</v>
      </c>
      <c r="G49" s="425">
        <f>+F49*1.03</f>
        <v>14174.86</v>
      </c>
      <c r="H49" s="419"/>
      <c r="I49" s="149">
        <f>+IF((E49)=0,,(F49-E49)/E49)</f>
        <v>3.6351368447686869E-2</v>
      </c>
      <c r="J49" s="271">
        <f>+IF((F49)=0,,(G49-F49)/F49)</f>
        <v>3.0000000000000044E-2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14174.86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338932.45</v>
      </c>
      <c r="D51" s="118">
        <f>+D21-D49</f>
        <v>553237.96400000004</v>
      </c>
      <c r="E51" s="163">
        <f>+E21-E49</f>
        <v>540790.15999999992</v>
      </c>
      <c r="F51" s="136">
        <f>+F21-F49</f>
        <v>449412.76</v>
      </c>
      <c r="G51" s="136">
        <f>+G21-G49</f>
        <v>499925.14</v>
      </c>
      <c r="H51" s="312"/>
      <c r="I51" s="272">
        <f>+IF((E51)=0,,(F51-E51)/E51)</f>
        <v>-0.16897016025587433</v>
      </c>
      <c r="J51" s="188">
        <f>+IF((F51)=0,,(G51-F51)/F51)</f>
        <v>0.11239640814826887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126554.93</v>
      </c>
      <c r="D53" s="122"/>
      <c r="E53" s="169">
        <f>+E51-E44</f>
        <v>230666.69549999991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0.37339278077386806</v>
      </c>
      <c r="D54" s="123"/>
      <c r="E54" s="197">
        <f>+E53/E51</f>
        <v>0.42653641386522262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+[2]Rennes!$C56</f>
        <v>69247.64</v>
      </c>
      <c r="D56" s="115"/>
      <c r="E56" s="160">
        <f>+[1]Rennes!$G56</f>
        <v>77754.900299999994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+[2]Rennes!$C57</f>
        <v>81006</v>
      </c>
      <c r="D57" s="115"/>
      <c r="E57" s="160">
        <f>+[1]Rennes!$G57</f>
        <v>66719.305800000002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+[2]Rennes!$C60</f>
        <v>0.4</v>
      </c>
      <c r="D60" s="123">
        <f>+[2]Rennes!$H60</f>
        <v>0.44</v>
      </c>
      <c r="E60" s="197">
        <f>+[1]Rennes!$G$54</f>
        <v>0.42653641386522262</v>
      </c>
      <c r="F60" s="141">
        <f>+C60</f>
        <v>0.4</v>
      </c>
      <c r="G60" s="141">
        <v>0.43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+[2]Rennes!$C61</f>
        <v>0.43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135572.98000000001</v>
      </c>
      <c r="D62" s="122">
        <f>D51*D60</f>
        <v>243424.70416000002</v>
      </c>
      <c r="E62" s="169">
        <f>+E51*E60</f>
        <v>230666.69549999991</v>
      </c>
      <c r="F62" s="140">
        <f>+F51*F60</f>
        <v>179765.10400000002</v>
      </c>
      <c r="G62" s="140">
        <f>+G51*G60</f>
        <v>214967.81020000001</v>
      </c>
      <c r="H62" s="405"/>
      <c r="I62" s="224">
        <f>+IF((E62)=0,,(F62-E62)/E62)</f>
        <v>-0.2206716118669152</v>
      </c>
      <c r="J62" s="123">
        <f>+IF((F62)=0,,(G62-F62)/F62)</f>
        <v>0.19582613875938892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IF(ISNA(VLOOKUP("REN613520000",Balance!C:G,5,FALSE))=TRUE,0,VLOOKUP("REN613520000",Balance!C:G,5,FALSE))</f>
        <v>2848.05</v>
      </c>
      <c r="D64" s="117">
        <f>+[2]Rennes!$H64</f>
        <v>3816</v>
      </c>
      <c r="E64" s="160">
        <f>IF(ISNA(VLOOKUP("REN613520000",Balanceanp!C:G,5,FALSE))=TRUE,0,VLOOKUP("REN613520000",Balanceanp!C:G,5,FALSE))</f>
        <v>3797.4</v>
      </c>
      <c r="F64" s="368">
        <f>+C64+C64/9*(12-Clients!$I$14)</f>
        <v>3797.4000000000005</v>
      </c>
      <c r="G64" s="570">
        <v>3816</v>
      </c>
      <c r="H64" s="401"/>
      <c r="I64" s="149">
        <f t="shared" ref="I64:J68" si="4">+IF((E64)=0,,(F64-E64)/E64)</f>
        <v>1.1975229127467848E-16</v>
      </c>
      <c r="J64" s="271">
        <f t="shared" si="4"/>
        <v>4.898088165586836E-3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3816</v>
      </c>
    </row>
    <row r="65" spans="1:13" ht="12.75">
      <c r="A65" s="5" t="s">
        <v>314</v>
      </c>
      <c r="B65" s="92"/>
      <c r="C65" s="160"/>
      <c r="D65" s="117">
        <f>+[2]Rennes!$H65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IF(ISNA(VLOOKUP("REN616120000",Balance!C:G,5,FALSE))=TRUE,0,VLOOKUP("REN616120000",Balance!C:G,5,FALSE))</f>
        <v>650.52</v>
      </c>
      <c r="D66" s="117">
        <f>+[2]Rennes!$H66</f>
        <v>796.57441281249999</v>
      </c>
      <c r="E66" s="160">
        <f>IF(ISNA(VLOOKUP("REN616120000",Balanceanp!C:G,5,FALSE))=TRUE,0,VLOOKUP("REN616120000",Balanceanp!C:G,5,FALSE))</f>
        <v>754.36</v>
      </c>
      <c r="F66" s="368">
        <f>+C66+C66/9*(12-Clients!$I$14)</f>
        <v>867.36</v>
      </c>
      <c r="G66" s="570">
        <f>+F66*1.05</f>
        <v>910.72800000000007</v>
      </c>
      <c r="H66" s="401"/>
      <c r="I66" s="149">
        <f t="shared" si="4"/>
        <v>0.14979585343867649</v>
      </c>
      <c r="J66" s="271">
        <f t="shared" si="4"/>
        <v>5.0000000000000058E-2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910.72799999999995</v>
      </c>
    </row>
    <row r="67" spans="1:13" ht="12.75">
      <c r="A67" s="5" t="s">
        <v>107</v>
      </c>
      <c r="B67" s="92"/>
      <c r="C67" s="160">
        <f>IF(ISNA(VLOOKUP("REN615520000",Balance!C:G,5,FALSE))=TRUE,0,VLOOKUP("REN615520000",Balance!C:G,5,FALSE))</f>
        <v>1398.1</v>
      </c>
      <c r="D67" s="117">
        <f>+[2]Rennes!$H67</f>
        <v>1500</v>
      </c>
      <c r="E67" s="160">
        <f>IF(ISNA(VLOOKUP("REN615520000",Balanceanp!C:G,5,FALSE))=TRUE,0,VLOOKUP("REN615520000",Balanceanp!C:G,5,FALSE))</f>
        <v>1395.39</v>
      </c>
      <c r="F67" s="368">
        <f>+C67+C67/9*(12-Clients!$I$14)</f>
        <v>1864.1333333333332</v>
      </c>
      <c r="G67" s="570">
        <v>1500</v>
      </c>
      <c r="H67" s="401"/>
      <c r="I67" s="149">
        <f t="shared" si="4"/>
        <v>0.33592281249925332</v>
      </c>
      <c r="J67" s="271">
        <f t="shared" si="4"/>
        <v>-0.19533652814534005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1500</v>
      </c>
    </row>
    <row r="68" spans="1:13" ht="12.75">
      <c r="A68" s="5" t="s">
        <v>125</v>
      </c>
      <c r="B68" s="92"/>
      <c r="C68" s="160">
        <f>IF(ISNA(VLOOKUP("REN606130000",Balance!C:G,5,FALSE))=TRUE,0,VLOOKUP("REN606130000",Balance!C:G,5,FALSE))</f>
        <v>667.85</v>
      </c>
      <c r="D68" s="117">
        <f>+[2]Rennes!$H68</f>
        <v>2008.160056546875</v>
      </c>
      <c r="E68" s="160">
        <f>IF(ISNA(VLOOKUP("REN606130000",Balanceanp!C:G,5,FALSE))=TRUE,0,VLOOKUP("REN606130000",Balanceanp!C:G,5,FALSE))</f>
        <v>2158.2600000000002</v>
      </c>
      <c r="F68" s="368">
        <f>+C68+C68/9*(12-Clients!$I$14)</f>
        <v>890.4666666666667</v>
      </c>
      <c r="G68" s="368">
        <f>+F68*1.03</f>
        <v>917.18066666666675</v>
      </c>
      <c r="H68" s="410"/>
      <c r="I68" s="149">
        <f t="shared" si="4"/>
        <v>-0.58741455308134027</v>
      </c>
      <c r="J68" s="271">
        <f t="shared" si="4"/>
        <v>3.0000000000000061E-2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917.18066666666675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5564.52</v>
      </c>
      <c r="D70" s="125">
        <f>SUM(D64:D69)</f>
        <v>8120.734469359375</v>
      </c>
      <c r="E70" s="276">
        <f>SUM(E64:E69)</f>
        <v>8105.4100000000008</v>
      </c>
      <c r="F70" s="370">
        <f>SUM(F64:F69)</f>
        <v>7419.3600000000006</v>
      </c>
      <c r="G70" s="359">
        <f>SUM(G64:G69)</f>
        <v>7143.9086666666672</v>
      </c>
      <c r="H70" s="412"/>
      <c r="I70" s="384">
        <f>+IF((E70)=0,,(F70-E70)/E70)</f>
        <v>-8.4640999036446049E-2</v>
      </c>
      <c r="J70" s="279">
        <f>+IF((F70)=0,,(G70-F70)/F70)</f>
        <v>-3.712602344856341E-2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IF(ISNA(VLOOKUP("ren602220000",Balance!C:G,5,FALSE))=TRUE,0,VLOOKUP("ren602220000",Balance!C:G,5,FALSE))</f>
        <v>0</v>
      </c>
      <c r="D72" s="117">
        <f>+[2]Rennes!$H72</f>
        <v>0</v>
      </c>
      <c r="E72" s="160">
        <f>IF(ISNA(VLOOKUP("ren602220000",Balanceanp!C:G,5,FALSE))=TRUE,0,VLOOKUP("ren602220000",Balanceanp!C:G,5,FALSE))</f>
        <v>0</v>
      </c>
      <c r="F72" s="368">
        <f>+C72+C72/9*(12-Clients!$I$14)</f>
        <v>0</v>
      </c>
      <c r="G72" s="396">
        <v>0</v>
      </c>
      <c r="H72" s="409"/>
      <c r="I72" s="149">
        <f t="shared" ref="I72:J87" si="5">+IF((E72)=0,,(F72-E72)/E72)</f>
        <v>0</v>
      </c>
      <c r="J72" s="271">
        <f t="shared" si="5"/>
        <v>0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0</v>
      </c>
    </row>
    <row r="73" spans="1:13" ht="12.75">
      <c r="A73" s="5" t="s">
        <v>123</v>
      </c>
      <c r="B73" s="92"/>
      <c r="C73" s="160">
        <f>IF(ISNA(VLOOKUP("REN606100000",Balance!C:G,5,FALSE))=TRUE,0,VLOOKUP("REN606100000",Balance!C:G,5,FALSE))</f>
        <v>684.33</v>
      </c>
      <c r="D73" s="117">
        <f>+[2]Rennes!$H73</f>
        <v>1085.619082785</v>
      </c>
      <c r="E73" s="160">
        <f>IF(ISNA(VLOOKUP("REN606100000",Balanceanp!C:G,5,FALSE))=TRUE,0,VLOOKUP("REN606100000",Balanceanp!C:G,5,FALSE))</f>
        <v>1097.8</v>
      </c>
      <c r="F73" s="368">
        <f>+C73+C73/9*(12-Clients!$I$14)</f>
        <v>912.44</v>
      </c>
      <c r="G73" s="396">
        <f t="shared" ref="G73:G101" si="6">+F73*1.03</f>
        <v>939.81320000000005</v>
      </c>
      <c r="H73" s="409"/>
      <c r="I73" s="149">
        <f t="shared" si="5"/>
        <v>-0.16884678447804691</v>
      </c>
      <c r="J73" s="271">
        <f t="shared" si="5"/>
        <v>2.9999999999999995E-2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939.81320000000005</v>
      </c>
    </row>
    <row r="74" spans="1:13" ht="12.75">
      <c r="A74" s="5" t="s">
        <v>124</v>
      </c>
      <c r="B74" s="92"/>
      <c r="C74" s="160">
        <f>IF(ISNA(VLOOKUP("REN606110000",Balance!C:G,5,FALSE))=TRUE,0,VLOOKUP("REN606110000",Balance!C:G,5,FALSE))</f>
        <v>0</v>
      </c>
      <c r="D74" s="117">
        <f>+[2]Rennes!$H74</f>
        <v>0</v>
      </c>
      <c r="E74" s="160">
        <f>IF(ISNA(VLOOKUP("REN606110000",Balanceanp!C:G,5,FALSE))=TRUE,0,VLOOKUP("REN606110000",Balanceanp!C:G,5,FALSE))</f>
        <v>0</v>
      </c>
      <c r="F74" s="368">
        <f>+C74+C74/9*(12-Clients!$I$14)</f>
        <v>0</v>
      </c>
      <c r="G74" s="396">
        <f t="shared" si="6"/>
        <v>0</v>
      </c>
      <c r="H74" s="409"/>
      <c r="I74" s="149">
        <f t="shared" si="5"/>
        <v>0</v>
      </c>
      <c r="J74" s="271">
        <f t="shared" si="5"/>
        <v>0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0</v>
      </c>
    </row>
    <row r="75" spans="1:13" ht="12.75">
      <c r="A75" s="5" t="s">
        <v>360</v>
      </c>
      <c r="B75" s="92"/>
      <c r="C75" s="160">
        <f>IF(ISNA(VLOOKUP("ren606140000",Balance!C:G,5,FALSE))=TRUE,0,VLOOKUP("ren606140000",Balance!C:G,5,FALSE))</f>
        <v>0</v>
      </c>
      <c r="D75" s="117">
        <f>+[2]Rennes!$H75</f>
        <v>0</v>
      </c>
      <c r="E75" s="160">
        <f>IF(ISNA(VLOOKUP("ren606140000",Balanceanp!C:G,5,FALSE))=TRUE,0,VLOOKUP("ren606140000",Balanceanp!C:G,5,FALSE))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IF(ISNA(VLOOKUP("REN606310000",Balance!C:G,5,FALSE))=TRUE,0,VLOOKUP("REN606310000",Balance!C:G,5,FALSE))</f>
        <v>0</v>
      </c>
      <c r="D76" s="117">
        <f>+[2]Rennes!$H76</f>
        <v>0</v>
      </c>
      <c r="E76" s="160">
        <f>IF(ISNA(VLOOKUP("REN606310000",Balanceanp!C:G,5,FALSE))=TRUE,0,VLOOKUP("REN606310000",Balanceanp!C:G,5,FALSE))</f>
        <v>0</v>
      </c>
      <c r="F76" s="368">
        <f>+C76+C76/9*(12-Clients!$I$14)</f>
        <v>0</v>
      </c>
      <c r="G76" s="396">
        <v>0</v>
      </c>
      <c r="H76" s="409"/>
      <c r="I76" s="149">
        <f t="shared" si="5"/>
        <v>0</v>
      </c>
      <c r="J76" s="271">
        <f t="shared" si="5"/>
        <v>0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0</v>
      </c>
    </row>
    <row r="77" spans="1:13" ht="12.75">
      <c r="A77" s="5" t="s">
        <v>127</v>
      </c>
      <c r="B77" s="92"/>
      <c r="C77" s="160">
        <f>IF(ISNA(VLOOKUP("REN606410000",Balance!C:G,5,FALSE))=TRUE,0,VLOOKUP("REN606410000",Balance!C:G,5,FALSE))</f>
        <v>542.69000000000005</v>
      </c>
      <c r="D77" s="117">
        <f>+[2]Rennes!$H77</f>
        <v>1400</v>
      </c>
      <c r="E77" s="160">
        <f>IF(ISNA(VLOOKUP("REN606410000",Balanceanp!C:G,5,FALSE))=TRUE,0,VLOOKUP("REN606410000",Balanceanp!C:G,5,FALSE))</f>
        <v>1310.74</v>
      </c>
      <c r="F77" s="368">
        <f>+C77+C77/9*(12-Clients!$I$14)</f>
        <v>723.58666666666682</v>
      </c>
      <c r="G77" s="396">
        <v>1400</v>
      </c>
      <c r="H77" s="409"/>
      <c r="I77" s="149">
        <f t="shared" si="5"/>
        <v>-0.44795560777372567</v>
      </c>
      <c r="J77" s="271">
        <f t="shared" si="5"/>
        <v>0.9348062429748103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1400</v>
      </c>
    </row>
    <row r="78" spans="1:13" ht="12.75">
      <c r="A78" s="5" t="s">
        <v>101</v>
      </c>
      <c r="B78" s="92"/>
      <c r="C78" s="160">
        <f>IF(ISNA(VLOOKUP("REN611000000",Balance!C:G,5,FALSE))=TRUE,0,VLOOKUP("REN611000000",Balance!C:G,5,FALSE))</f>
        <v>0</v>
      </c>
      <c r="D78" s="117">
        <f>+[2]Rennes!$H78</f>
        <v>0</v>
      </c>
      <c r="E78" s="160">
        <f>IF(ISNA(VLOOKUP("REN611000000",Balanceanp!C:G,5,FALSE))=TRUE,0,VLOOKUP("REN611000000",Balanceanp!C:G,5,FALSE))</f>
        <v>7.5</v>
      </c>
      <c r="F78" s="368">
        <f>+C78+C78/9*(12-Clients!$I$14)</f>
        <v>0</v>
      </c>
      <c r="G78" s="368">
        <v>0</v>
      </c>
      <c r="H78" s="410"/>
      <c r="I78" s="149">
        <f t="shared" si="5"/>
        <v>-1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IF(ISNA(VLOOKUP("REN613200000",Balance!C:G,5,FALSE))=TRUE,0,VLOOKUP("REN613200000",Balance!C:G,5,FALSE))</f>
        <v>19100.25</v>
      </c>
      <c r="D79" s="117">
        <f>+[2]Rennes!$H79</f>
        <v>25466.958999999999</v>
      </c>
      <c r="E79" s="160">
        <f>IF(ISNA(VLOOKUP("REN613200000",Balanceanp!C:G,5,FALSE))=TRUE,0,VLOOKUP("REN613200000",Balanceanp!C:G,5,FALSE))</f>
        <v>24753.51</v>
      </c>
      <c r="F79" s="425">
        <f>6206.76+6206.75+6250.93+6272.65</f>
        <v>24937.090000000004</v>
      </c>
      <c r="G79" s="425">
        <f>6206.76/3*5+6206.76/3*1.05*7</f>
        <v>25551.162</v>
      </c>
      <c r="H79" s="413"/>
      <c r="I79" s="149">
        <f t="shared" si="5"/>
        <v>7.4163219680766649E-3</v>
      </c>
      <c r="J79" s="271">
        <f t="shared" si="5"/>
        <v>2.4624845962379589E-2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25551.162</v>
      </c>
    </row>
    <row r="80" spans="1:13" ht="12.75">
      <c r="A80" s="5" t="s">
        <v>325</v>
      </c>
      <c r="B80" s="92"/>
      <c r="C80" s="160">
        <f>IF(ISNA(VLOOKUP("ren614000000",Balance!C:G,5,FALSE))=TRUE,0,VLOOKUP("ren614000000",Balance!C:G,5,FALSE))</f>
        <v>3223.57</v>
      </c>
      <c r="D80" s="117">
        <f>+[2]Rennes!$H80</f>
        <v>4524.3572927083333</v>
      </c>
      <c r="E80" s="160">
        <f>IF(ISNA(VLOOKUP("ren614000000",Balanceanp!C:G,5,FALSE))=TRUE,0,VLOOKUP("ren614000000",Balanceanp!C:G,5,FALSE))</f>
        <v>4314.29</v>
      </c>
      <c r="F80" s="368">
        <f>+C80+C80/9*(12-Clients!$I$14)</f>
        <v>4298.0933333333342</v>
      </c>
      <c r="G80" s="396">
        <f t="shared" si="6"/>
        <v>4427.036133333334</v>
      </c>
      <c r="H80" s="409"/>
      <c r="I80" s="149">
        <f t="shared" si="5"/>
        <v>-3.7541905311571093E-3</v>
      </c>
      <c r="J80" s="271">
        <f t="shared" si="5"/>
        <v>2.999999999999995E-2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4427.036133333334</v>
      </c>
    </row>
    <row r="81" spans="1:13" ht="12.75">
      <c r="A81" s="5" t="s">
        <v>103</v>
      </c>
      <c r="B81" s="92"/>
      <c r="C81" s="160">
        <f>IF(ISNA(VLOOKUP("REN613510000",Balance!C:G,5,FALSE))=TRUE,0,VLOOKUP("REN613510000",Balance!C:G,5,FALSE))</f>
        <v>0</v>
      </c>
      <c r="D81" s="117">
        <f>+[2]Rennes!$H81</f>
        <v>0</v>
      </c>
      <c r="E81" s="160">
        <f>IF(ISNA(VLOOKUP("REN613510000",Balanceanp!C:G,5,FALSE))=TRUE,0,VLOOKUP("REN613510000",Balanceanp!C:G,5,FALSE))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IF(ISNA(VLOOKUP("REN613530000",Balance!C:G,5,FALSE))=TRUE,0,VLOOKUP("REN613530000",Balance!C:G,5,FALSE))</f>
        <v>135</v>
      </c>
      <c r="D82" s="117">
        <f>+[2]Rennes!$H82</f>
        <v>189.42506833333334</v>
      </c>
      <c r="E82" s="160">
        <f>IF(ISNA(VLOOKUP("REN613530000",Balanceanp!C:G,5,FALSE))=TRUE,0,VLOOKUP("REN613530000",Balanceanp!C:G,5,FALSE))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IF(ISNA(VLOOKUP("ren613540000",Balance!C:G,5,FALSE))=TRUE,0,VLOOKUP("ren613540000",Balance!C:G,5,FALSE))</f>
        <v>0</v>
      </c>
      <c r="D83" s="117">
        <f>+[2]Rennes!$H83</f>
        <v>0</v>
      </c>
      <c r="E83" s="160">
        <f>IF(ISNA(VLOOKUP("ren613540000",Balanceanp!C:G,5,FALSE))=TRUE,0,VLOOKUP("ren613540000",Balanceanp!C:G,5,FALSE))</f>
        <v>0</v>
      </c>
      <c r="F83" s="368">
        <f>+C83+C83/9*(12-Clients!$I$14)</f>
        <v>0</v>
      </c>
      <c r="G83" s="396">
        <v>0</v>
      </c>
      <c r="H83" s="409"/>
      <c r="I83" s="149">
        <f t="shared" si="5"/>
        <v>0</v>
      </c>
      <c r="J83" s="271">
        <f t="shared" si="5"/>
        <v>0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0</v>
      </c>
    </row>
    <row r="84" spans="1:13" ht="12.75">
      <c r="A84" s="5" t="s">
        <v>108</v>
      </c>
      <c r="B84" s="92"/>
      <c r="C84" s="160">
        <f>IF(ISNA(VLOOKUP("REN615200000",Balance!C:G,5,FALSE))=TRUE,0,VLOOKUP("REN615200000",Balance!C:G,5,FALSE))</f>
        <v>118.84</v>
      </c>
      <c r="D84" s="117">
        <f>+[2]Rennes!$H84</f>
        <v>683.29159142083336</v>
      </c>
      <c r="E84" s="160">
        <f>IF(ISNA(VLOOKUP("REN615200000",Balanceanp!C:G,5,FALSE))=TRUE,0,VLOOKUP("REN615200000",Balanceanp!C:G,5,FALSE))</f>
        <v>852.93</v>
      </c>
      <c r="F84" s="368">
        <f>+C84+C84/9*(12-Clients!$I$14)</f>
        <v>158.45333333333332</v>
      </c>
      <c r="G84" s="396">
        <v>1500</v>
      </c>
      <c r="H84" s="409"/>
      <c r="I84" s="149">
        <f t="shared" si="5"/>
        <v>-0.81422469213964421</v>
      </c>
      <c r="J84" s="271">
        <f t="shared" si="5"/>
        <v>8.4665095927297216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1500</v>
      </c>
    </row>
    <row r="85" spans="1:13" ht="12.75">
      <c r="A85" s="5" t="s">
        <v>109</v>
      </c>
      <c r="B85" s="92"/>
      <c r="C85" s="160">
        <f>IF(ISNA(VLOOKUP("REN615500000",Balance!C:G,5,FALSE))=TRUE,0,VLOOKUP("REN615500000",Balance!C:G,5,FALSE))</f>
        <v>0</v>
      </c>
      <c r="D85" s="117">
        <f>+[2]Rennes!$H85</f>
        <v>669.46384425333338</v>
      </c>
      <c r="E85" s="160">
        <f>IF(ISNA(VLOOKUP("REN615500000",Balanceanp!C:G,5,FALSE))=TRUE,0,VLOOKUP("REN615500000",Balanceanp!C:G,5,FALSE))</f>
        <v>571.59</v>
      </c>
      <c r="F85" s="368">
        <f>+C85+C85/9*(12-Clients!$I$14)</f>
        <v>0</v>
      </c>
      <c r="G85" s="396">
        <f t="shared" si="6"/>
        <v>0</v>
      </c>
      <c r="H85" s="409"/>
      <c r="I85" s="149">
        <f t="shared" si="5"/>
        <v>-1</v>
      </c>
      <c r="J85" s="271">
        <f t="shared" si="5"/>
        <v>0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0</v>
      </c>
    </row>
    <row r="86" spans="1:13" ht="12.75">
      <c r="A86" s="5" t="s">
        <v>106</v>
      </c>
      <c r="B86" s="92"/>
      <c r="C86" s="160">
        <f>IF(ISNA(VLOOKUP("REN615510000",Balance!C:G,5,FALSE))=TRUE,0,VLOOKUP("REN615510000",Balance!C:G,5,FALSE))</f>
        <v>445.88</v>
      </c>
      <c r="D86" s="117">
        <f>+[2]Rennes!$H86</f>
        <v>455.00100821666672</v>
      </c>
      <c r="E86" s="160">
        <f>IF(ISNA(VLOOKUP("REN615510000",Balanceanp!C:G,5,FALSE))=TRUE,0,VLOOKUP("REN615510000",Balanceanp!C:G,5,FALSE))</f>
        <v>389.58</v>
      </c>
      <c r="F86" s="368">
        <f>+C86+C86/9*(12-Clients!$I$14)</f>
        <v>594.50666666666666</v>
      </c>
      <c r="G86" s="396">
        <f t="shared" si="6"/>
        <v>612.34186666666665</v>
      </c>
      <c r="H86" s="409"/>
      <c r="I86" s="149">
        <f t="shared" si="5"/>
        <v>0.52601947396341364</v>
      </c>
      <c r="J86" s="271">
        <f t="shared" si="5"/>
        <v>2.9999999999999978E-2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612.34186666666665</v>
      </c>
    </row>
    <row r="87" spans="1:13" ht="12.75">
      <c r="A87" s="5" t="s">
        <v>363</v>
      </c>
      <c r="B87" s="92"/>
      <c r="C87" s="160">
        <f>IF(ISNA(VLOOKUP("ren615530000",Balance!C:G,5,FALSE))=TRUE,0,VLOOKUP("ren615530000",Balance!C:G,5,FALSE))</f>
        <v>0</v>
      </c>
      <c r="D87" s="117">
        <f>+[2]Rennes!$H87</f>
        <v>0</v>
      </c>
      <c r="E87" s="160">
        <f>IF(ISNA(VLOOKUP("ren615530000",Balanceanp!C:G,5,FALSE))=TRUE,0,VLOOKUP("ren615530000",Balanceanp!C:G,5,FALSE))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IF(ISNA(VLOOKUP("REN616130000",Balance!C:G,5,FALSE))=TRUE,0,VLOOKUP("REN616130000",Balance!C:G,5,FALSE))</f>
        <v>2007.45</v>
      </c>
      <c r="D88" s="117">
        <f>+[2]Rennes!$H88</f>
        <v>2676.6274500000004</v>
      </c>
      <c r="E88" s="160">
        <f>IF(ISNA(VLOOKUP("REN616130000",Balanceanp!C:G,5,FALSE))=TRUE,0,VLOOKUP("REN616130000",Balanceanp!C:G,5,FALSE))</f>
        <v>2256.1799999999998</v>
      </c>
      <c r="F88" s="368">
        <f>+C88+C88/9*(12-Clients!$I$14)</f>
        <v>2676.6000000000004</v>
      </c>
      <c r="G88" s="397">
        <f>+E88*1.05*1.05</f>
        <v>2487.4384500000001</v>
      </c>
      <c r="H88" s="413"/>
      <c r="I88" s="149">
        <f t="shared" ref="I88:I101" si="7">+IF((E88)=0,,(F88-E88)/E88)</f>
        <v>0.1863415153046302</v>
      </c>
      <c r="J88" s="271">
        <f t="shared" ref="J88:J101" si="8">+IF((F88)=0,,(G88-F88)/F88)</f>
        <v>-7.0672326832548843E-2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2487.4384500000001</v>
      </c>
    </row>
    <row r="89" spans="1:13" ht="12.75">
      <c r="A89" s="5" t="s">
        <v>315</v>
      </c>
      <c r="B89" s="92"/>
      <c r="C89" s="160"/>
      <c r="D89" s="117">
        <f>+[2]Rennes!$H89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IF(ISNA(VLOOKUP("REN618100000",Balance!C:G,5,FALSE))=TRUE,0,VLOOKUP("REN618100000",Balance!C:G,5,FALSE))</f>
        <v>0</v>
      </c>
      <c r="D90" s="117">
        <f>+[2]Rennes!$H90</f>
        <v>77.613128645833342</v>
      </c>
      <c r="E90" s="160">
        <f>IF(ISNA(VLOOKUP("REN618100000",Balanceanp!C:G,5,FALSE))=TRUE,0,VLOOKUP("REN618100000",Balanceanp!C:G,5,FALSE))</f>
        <v>74.8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0</v>
      </c>
    </row>
    <row r="91" spans="1:13" ht="12.75">
      <c r="A91" s="5" t="s">
        <v>113</v>
      </c>
      <c r="B91" s="92"/>
      <c r="C91" s="160">
        <f>IF(ISNA(VLOOKUP("REN618500000",Balance!C:G,5,FALSE))=TRUE,0,VLOOKUP("REN618500000",Balance!C:G,5,FALSE))</f>
        <v>656.45</v>
      </c>
      <c r="D91" s="117">
        <f>+[2]Rennes!$H91</f>
        <v>600</v>
      </c>
      <c r="E91" s="160">
        <f>IF(ISNA(VLOOKUP("REN618500000",Balanceanp!C:G,5,FALSE))=TRUE,0,VLOOKUP("REN618500000",Balanceanp!C:G,5,FALSE))</f>
        <v>404.22</v>
      </c>
      <c r="F91" s="368">
        <f>+C91+C91/9*(12-Clients!$I$14)</f>
        <v>875.26666666666677</v>
      </c>
      <c r="G91" s="396">
        <v>600</v>
      </c>
      <c r="H91" s="409"/>
      <c r="I91" s="149">
        <f t="shared" si="7"/>
        <v>1.1653225141424637</v>
      </c>
      <c r="J91" s="271">
        <f t="shared" si="8"/>
        <v>-0.31449463020793672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600</v>
      </c>
    </row>
    <row r="92" spans="1:13" ht="12.75">
      <c r="A92" s="5" t="s">
        <v>309</v>
      </c>
      <c r="B92" s="92"/>
      <c r="C92" s="160">
        <f>IF(ISNA(VLOOKUP("REN622200000",Balance!C:G,5,FALSE))=TRUE,0,VLOOKUP("REN622200000",Balance!C:G,5,FALSE))</f>
        <v>0</v>
      </c>
      <c r="D92" s="117">
        <f>+[2]Rennes!$H92</f>
        <v>0</v>
      </c>
      <c r="E92" s="160">
        <f>IF(ISNA(VLOOKUP("REN622200000",Balanceanp!C:G,5,FALSE))=TRUE,0,VLOOKUP("REN622200000",Balanceanp!C:G,5,FALSE))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IF(ISNA(VLOOKUP("REN622600000",Balance!C:G,5,FALSE))=TRUE,0,VLOOKUP("REN622600000",Balance!C:G,5,FALSE))</f>
        <v>468.26</v>
      </c>
      <c r="D93" s="117">
        <f>+[2]Rennes!$H93</f>
        <v>695.88745438249998</v>
      </c>
      <c r="E93" s="160">
        <f>IF(ISNA(VLOOKUP("REN622600000",Balanceanp!C:G,5,FALSE))=TRUE,0,VLOOKUP("REN622600000",Balanceanp!C:G,5,FALSE))</f>
        <v>678.85</v>
      </c>
      <c r="F93" s="368">
        <f>+C93+C93/9*(12-Clients!$I$14)</f>
        <v>624.34666666666658</v>
      </c>
      <c r="G93" s="396">
        <f t="shared" si="6"/>
        <v>643.07706666666661</v>
      </c>
      <c r="H93" s="409"/>
      <c r="I93" s="149">
        <f t="shared" si="7"/>
        <v>-8.0287741523655365E-2</v>
      </c>
      <c r="J93" s="271">
        <f t="shared" si="8"/>
        <v>3.0000000000000054E-2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643.07706666666661</v>
      </c>
    </row>
    <row r="94" spans="1:13" ht="12.75">
      <c r="A94" s="5" t="s">
        <v>42</v>
      </c>
      <c r="B94" s="92"/>
      <c r="C94" s="160">
        <f>IF(ISNA(VLOOKUP("REN622710000",Balance!C:G,5,FALSE))=TRUE,0,VLOOKUP("REN622710000",Balance!C:G,5,FALSE))</f>
        <v>0</v>
      </c>
      <c r="D94" s="117">
        <f>+[2]Rennes!$H94</f>
        <v>0</v>
      </c>
      <c r="E94" s="160">
        <f>IF(ISNA(VLOOKUP("REN622710000",Balanceanp!C:G,5,FALSE))=TRUE,0,VLOOKUP("REN622710000",Balanceanp!C:G,5,FALSE))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2.2302596720810173E-2</v>
      </c>
      <c r="C95" s="160">
        <f>IF(ISNA(VLOOKUP("REN624200000",Balance!C:G,5,FALSE))=TRUE,0,VLOOKUP("REN624200000",Balance!C:G,5,FALSE))</f>
        <v>7789.27</v>
      </c>
      <c r="D95" s="117">
        <f>+[2]Rennes!$H95</f>
        <v>9736.1632436406253</v>
      </c>
      <c r="E95" s="160">
        <f>IF(ISNA(VLOOKUP("REN624200000",Balanceanp!C:G,5,FALSE))=TRUE,0,VLOOKUP("REN624200000",Balanceanp!C:G,5,FALSE))</f>
        <v>9054.59</v>
      </c>
      <c r="F95" s="368">
        <f>+C95+C95/9*(12-Clients!$I$14)</f>
        <v>10385.693333333335</v>
      </c>
      <c r="G95" s="396">
        <f t="shared" si="6"/>
        <v>10697.264133333334</v>
      </c>
      <c r="H95" s="420">
        <f>+G95/$G$21</f>
        <v>2.0807749724437531E-2</v>
      </c>
      <c r="I95" s="149">
        <f t="shared" si="7"/>
        <v>0.14700868104832293</v>
      </c>
      <c r="J95" s="271">
        <f t="shared" si="8"/>
        <v>2.999999999999995E-2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10697.264133333334</v>
      </c>
    </row>
    <row r="96" spans="1:13" ht="12.75">
      <c r="A96" s="5" t="s">
        <v>118</v>
      </c>
      <c r="B96" s="92"/>
      <c r="C96" s="160">
        <f>IF(ISNA(VLOOKUP("REN625100000",Balance!C:G,5,FALSE))=TRUE,0,VLOOKUP("REN625100000",Balance!C:G,5,FALSE))</f>
        <v>5100.62</v>
      </c>
      <c r="D96" s="117">
        <f>+[2]Rennes!$H96</f>
        <v>15000</v>
      </c>
      <c r="E96" s="160">
        <f>IF(ISNA(VLOOKUP("REN625100000",Balanceanp!C:G,5,FALSE))=TRUE,0,VLOOKUP("REN625100000",Balanceanp!C:G,5,FALSE))</f>
        <v>14783.62</v>
      </c>
      <c r="F96" s="368">
        <f>+C96+C96/9*(12-Clients!$I$14)</f>
        <v>6800.8266666666659</v>
      </c>
      <c r="G96" s="570">
        <v>8000</v>
      </c>
      <c r="H96" s="401"/>
      <c r="I96" s="149">
        <f t="shared" si="7"/>
        <v>-0.53997554951583815</v>
      </c>
      <c r="J96" s="271">
        <f t="shared" si="8"/>
        <v>0.17632758370551044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8000</v>
      </c>
    </row>
    <row r="97" spans="1:13" ht="12.75">
      <c r="A97" s="5" t="s">
        <v>7</v>
      </c>
      <c r="B97" s="92"/>
      <c r="C97" s="160">
        <f>IF(ISNA(VLOOKUP("REN625200000",Balance!C:G,5,FALSE))=TRUE,0,VLOOKUP("REN625200000",Balance!C:G,5,FALSE))</f>
        <v>75.88</v>
      </c>
      <c r="D97" s="117">
        <f>+[2]Rennes!$H97</f>
        <v>200</v>
      </c>
      <c r="E97" s="160">
        <f>IF(ISNA(VLOOKUP("REN625200000",Balanceanp!C:G,5,FALSE))=TRUE,0,VLOOKUP("REN625200000",Balanceanp!C:G,5,FALSE))</f>
        <v>247.41</v>
      </c>
      <c r="F97" s="368">
        <f>+C97+C97/9*(12-Clients!$I$14)</f>
        <v>101.17333333333333</v>
      </c>
      <c r="G97" s="570">
        <v>200</v>
      </c>
      <c r="H97" s="401"/>
      <c r="I97" s="149">
        <f t="shared" si="7"/>
        <v>-0.59107015345647584</v>
      </c>
      <c r="J97" s="271">
        <f t="shared" si="8"/>
        <v>0.97680548234053777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200</v>
      </c>
    </row>
    <row r="98" spans="1:13" ht="12.75">
      <c r="A98" s="5" t="s">
        <v>307</v>
      </c>
      <c r="B98" s="92"/>
      <c r="C98" s="160">
        <f>IF(ISNA(VLOOKUP("ren625510000",Balance!C:G,5,FALSE))=TRUE,0,VLOOKUP("ren625510000",Balance!C:G,5,FALSE))</f>
        <v>0</v>
      </c>
      <c r="D98" s="117">
        <f>+[2]Rennes!$H98</f>
        <v>0</v>
      </c>
      <c r="E98" s="160">
        <f>IF(ISNA(VLOOKUP("ren625510000",Balanceanp!C:G,5,FALSE))=TRUE,0,VLOOKUP("ren625510000",Balanceanp!C:G,5,FALSE))</f>
        <v>0</v>
      </c>
      <c r="F98" s="368">
        <f>+C98+C98/9*(12-Clients!$I$14)</f>
        <v>0</v>
      </c>
      <c r="G98" s="570">
        <v>1000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1000</v>
      </c>
    </row>
    <row r="99" spans="1:13" ht="12.75">
      <c r="A99" s="5" t="s">
        <v>119</v>
      </c>
      <c r="B99" s="92"/>
      <c r="C99" s="160">
        <f>IF(ISNA(VLOOKUP("REN626000000",Balance!C:G,5,FALSE))=TRUE,0,VLOOKUP("REN626000000",Balance!C:G,5,FALSE))</f>
        <v>2526.02</v>
      </c>
      <c r="D99" s="117">
        <f>+[2]Rennes!$H99</f>
        <v>3849.0380568175001</v>
      </c>
      <c r="E99" s="160">
        <f>IF(ISNA(VLOOKUP("REN626000000",Balanceanp!C:G,5,FALSE))=TRUE,0,VLOOKUP("REN626000000",Balanceanp!C:G,5,FALSE))</f>
        <v>3742.19</v>
      </c>
      <c r="F99" s="368">
        <f>+C99+C99/9*(12-Clients!$I$14)</f>
        <v>3368.0266666666666</v>
      </c>
      <c r="G99" s="396">
        <f>+F99</f>
        <v>3368.0266666666666</v>
      </c>
      <c r="H99" s="409"/>
      <c r="I99" s="149">
        <f t="shared" si="7"/>
        <v>-9.9985124575003789E-2</v>
      </c>
      <c r="J99" s="271">
        <f t="shared" si="8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3368.0266666666666</v>
      </c>
    </row>
    <row r="100" spans="1:13" ht="12.75">
      <c r="A100" s="5" t="s">
        <v>120</v>
      </c>
      <c r="B100" s="92"/>
      <c r="C100" s="160">
        <f>IF(ISNA(VLOOKUP("REN626100000",Balance!C:G,5,FALSE))=TRUE,0,VLOOKUP("REN626100000",Balance!C:G,5,FALSE))</f>
        <v>223.57</v>
      </c>
      <c r="D100" s="117">
        <f>+[2]Rennes!$H100</f>
        <v>527.43359839250002</v>
      </c>
      <c r="E100" s="160">
        <f>IF(ISNA(VLOOKUP("REN626100000",Balanceanp!C:G,5,FALSE))=TRUE,0,VLOOKUP("REN626100000",Balanceanp!C:G,5,FALSE))</f>
        <v>536.02000000000044</v>
      </c>
      <c r="F100" s="368">
        <f>+C100+C100/9*(12-Clients!$I$14)</f>
        <v>298.09333333333336</v>
      </c>
      <c r="G100" s="396">
        <f t="shared" si="6"/>
        <v>307.0361333333334</v>
      </c>
      <c r="H100" s="409"/>
      <c r="I100" s="149">
        <f t="shared" si="7"/>
        <v>-0.44387647227093557</v>
      </c>
      <c r="J100" s="271">
        <f t="shared" si="8"/>
        <v>3.000000000000011E-2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307.0361333333334</v>
      </c>
    </row>
    <row r="101" spans="1:13" ht="12.75">
      <c r="A101" s="5" t="s">
        <v>121</v>
      </c>
      <c r="B101" s="92"/>
      <c r="C101" s="160">
        <f>IF(ISNA(VLOOKUP("REN628400000",Balance!C:G,5,FALSE))=TRUE,0,VLOOKUP("REN628400000",Balance!C:G,5,FALSE))</f>
        <v>0</v>
      </c>
      <c r="D101" s="117">
        <f>+[2]Rennes!$H101</f>
        <v>0</v>
      </c>
      <c r="E101" s="160">
        <f>IF(ISNA(VLOOKUP("REN628400000",Balanceanp!C:G,5,FALSE))=TRUE,0,VLOOKUP("REN628400000",Balanceanp!C:G,5,FALSE))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0.13933299823810155</v>
      </c>
      <c r="C103" s="163">
        <f>SUM(C70:C102)</f>
        <v>48662.600000000006</v>
      </c>
      <c r="D103" s="118">
        <f>SUM(D70:D102)</f>
        <v>75957.614288955825</v>
      </c>
      <c r="E103" s="163">
        <f>SUM(E70:E102)</f>
        <v>73361.23000000001</v>
      </c>
      <c r="F103" s="136">
        <f>SUM(F70:F102)</f>
        <v>64353.556666666671</v>
      </c>
      <c r="G103" s="136">
        <f>SUM(G70:G102)</f>
        <v>69062.504316666673</v>
      </c>
      <c r="H103" s="421">
        <f>+G103/$G$21</f>
        <v>0.13433671331777217</v>
      </c>
      <c r="I103" s="272">
        <f>+IF((E103)=0,,(F103-E103)/E103)</f>
        <v>-0.1227852004844158</v>
      </c>
      <c r="J103" s="188">
        <f>+IF((F103)=0,,(G103-F103)/F103)</f>
        <v>7.3173075334297788E-2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IF(ISNA(VLOOKUP("REN623100000",Balance!C:G,5,FALSE))=TRUE,0,VLOOKUP("REN623100000",Balance!C:G,5,FALSE))</f>
        <v>0</v>
      </c>
      <c r="D105" s="117">
        <f>+[2]Rennes!$H106</f>
        <v>1000</v>
      </c>
      <c r="E105" s="160">
        <f>IF(ISNA(VLOOKUP("REN623100000",Balanceanp!C:G,5,FALSE))=TRUE,0,VLOOKUP("REN623100000",Balanceanp!C:G,5,FALSE))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IF(ISNA(VLOOKUP("REN623200000",Balance!C:G,5,FALSE))=TRUE,0,VLOOKUP("REN623200000",Balance!C:G,5,FALSE))</f>
        <v>2723.13</v>
      </c>
      <c r="D106" s="117">
        <f>+[2]Rennes!$H107</f>
        <v>2500</v>
      </c>
      <c r="E106" s="160">
        <f>IF(ISNA(VLOOKUP("REN623200000",Balanceanp!C:G,5,FALSE))=TRUE,0,VLOOKUP("REN623200000",Balanceanp!C:G,5,FALSE))</f>
        <v>4716.3999999999996</v>
      </c>
      <c r="F106" s="368">
        <f>+C106+C106/9*(12-Clients!$I$14)</f>
        <v>3630.84</v>
      </c>
      <c r="G106" s="570">
        <v>3000</v>
      </c>
      <c r="H106" s="401"/>
      <c r="I106" s="149">
        <f t="shared" si="9"/>
        <v>-0.23016707658383503</v>
      </c>
      <c r="J106" s="271">
        <f t="shared" si="9"/>
        <v>-0.17374491853124899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3000</v>
      </c>
    </row>
    <row r="107" spans="1:13" ht="12.75">
      <c r="A107" s="5" t="s">
        <v>131</v>
      </c>
      <c r="B107" s="92"/>
      <c r="C107" s="160">
        <f>IF(ISNA(VLOOKUP("REN629000000",Balance!C:G,5,FALSE))=TRUE,0,VLOOKUP("REN629000000",Balance!C:G,5,FALSE))</f>
        <v>0</v>
      </c>
      <c r="D107" s="117">
        <f>+[2]Rennes!$H108</f>
        <v>0</v>
      </c>
      <c r="E107" s="160">
        <f>IF(ISNA(VLOOKUP("REN629000000",Balanceanp!C:G,5,FALSE))=TRUE,0,VLOOKUP("REN629000000",Balanceanp!C:G,5,FALSE))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IF(ISNA(VLOOKUP("REN623300000",Balance!C:G,5,FALSE))=TRUE,0,VLOOKUP("REN623300000",Balance!C:G,5,FALSE))</f>
        <v>628.5</v>
      </c>
      <c r="D108" s="117">
        <f>+[2]Rennes!$H109</f>
        <v>500</v>
      </c>
      <c r="E108" s="160">
        <f>IF(ISNA(VLOOKUP("REN623300000",Balanceanp!C:G,5,FALSE))=TRUE,0,VLOOKUP("REN623300000",Balanceanp!C:G,5,FALSE))</f>
        <v>0</v>
      </c>
      <c r="F108" s="368">
        <f>+C108+C108/9*(12-Clients!$I$14)</f>
        <v>838</v>
      </c>
      <c r="G108" s="570">
        <v>0</v>
      </c>
      <c r="H108" s="401"/>
      <c r="I108" s="149">
        <f t="shared" si="9"/>
        <v>0</v>
      </c>
      <c r="J108" s="271">
        <f t="shared" si="9"/>
        <v>-1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0</v>
      </c>
    </row>
    <row r="109" spans="1:13" ht="12.75">
      <c r="A109" s="5" t="s">
        <v>133</v>
      </c>
      <c r="B109" s="92"/>
      <c r="C109" s="160">
        <f>IF(ISNA(VLOOKUP("REN623700000",Balance!C:G,5,FALSE))=TRUE,0,VLOOKUP("REN623700000",Balance!C:G,5,FALSE))</f>
        <v>2690.36</v>
      </c>
      <c r="D109" s="117">
        <f>+[2]Rennes!$H110</f>
        <v>4800</v>
      </c>
      <c r="E109" s="160">
        <f>IF(ISNA(VLOOKUP("REN623700000",Balanceanp!C:G,5,FALSE))=TRUE,0,VLOOKUP("REN623700000",Balanceanp!C:G,5,FALSE))</f>
        <v>1482.7900000000002</v>
      </c>
      <c r="F109" s="368">
        <f>+C109+C109/9*(12-Clients!$I$14)</f>
        <v>3587.1466666666665</v>
      </c>
      <c r="G109" s="570">
        <v>3800</v>
      </c>
      <c r="H109" s="401"/>
      <c r="I109" s="149">
        <f t="shared" si="9"/>
        <v>1.419187252858912</v>
      </c>
      <c r="J109" s="271">
        <f t="shared" si="9"/>
        <v>5.9337783791016854E-2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3800</v>
      </c>
    </row>
    <row r="110" spans="1:13" ht="12.75">
      <c r="A110" s="5" t="s">
        <v>134</v>
      </c>
      <c r="B110" s="92"/>
      <c r="C110" s="160">
        <f>IF(ISNA(VLOOKUP("REN623410000",Balance!C:G,5,FALSE))=TRUE,0,VLOOKUP("REN623410000",Balance!C:G,5,FALSE))+IF(ISNA(VLOOKUP("REN623420000",Balance!C:G,5,FALSE))=TRUE,0,VLOOKUP("REN623420000",Balance!C:G,5,FALSE))</f>
        <v>4996.38</v>
      </c>
      <c r="D110" s="117">
        <f>+[2]Rennes!$H111</f>
        <v>7000</v>
      </c>
      <c r="E110" s="160">
        <f>IF(ISNA(VLOOKUP("REN623410000",Balanceanp!C:G,5,FALSE))=TRUE,0,VLOOKUP("REN623410000",Balanceanp!C:G,5,FALSE))+IF(ISNA(VLOOKUP("REN623420000",Balanceanp!C:G,5,FALSE))=TRUE,0,VLOOKUP("REN623420000",Balanceanp!C:G,5,FALSE))</f>
        <v>2453.4299999999998</v>
      </c>
      <c r="F110" s="368">
        <f>+C110+C110/9*(12-Clients!$I$14)</f>
        <v>6661.84</v>
      </c>
      <c r="G110" s="570">
        <v>7000</v>
      </c>
      <c r="H110" s="401"/>
      <c r="I110" s="149">
        <f t="shared" si="9"/>
        <v>1.7153169236538235</v>
      </c>
      <c r="J110" s="271">
        <f t="shared" si="9"/>
        <v>5.0760750783567281E-2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7000</v>
      </c>
    </row>
    <row r="111" spans="1:13" ht="12.75">
      <c r="A111" s="5" t="s">
        <v>135</v>
      </c>
      <c r="B111" s="92"/>
      <c r="C111" s="160">
        <f>IF(ISNA(VLOOKUP("REN623800000",Balance!C:G,5,FALSE))=TRUE,0,VLOOKUP("REN623800000",Balance!C:G,5,FALSE))+IF(ISNA(VLOOKUP("REN623820000",Balance!C:G,5,FALSE))=TRUE,0,VLOOKUP("REN623820000",Balance!C:G,5,FALSE))</f>
        <v>0</v>
      </c>
      <c r="D111" s="117">
        <f>+[2]Rennes!$H112</f>
        <v>20</v>
      </c>
      <c r="E111" s="160">
        <f>IF(ISNA(VLOOKUP("REN623800000",Balanceanp!C:G,5,FALSE))=TRUE,0,VLOOKUP("REN623800000",Balanceanp!C:G,5,FALSE))</f>
        <v>5</v>
      </c>
      <c r="F111" s="368">
        <f>+C111+C111/9*(12-Clients!$I$14)</f>
        <v>0</v>
      </c>
      <c r="G111" s="570">
        <v>20</v>
      </c>
      <c r="H111" s="401"/>
      <c r="I111" s="149">
        <f t="shared" si="9"/>
        <v>-1</v>
      </c>
      <c r="J111" s="271">
        <f t="shared" si="9"/>
        <v>0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20</v>
      </c>
    </row>
    <row r="112" spans="1:13" ht="12.75">
      <c r="A112" s="5" t="s">
        <v>136</v>
      </c>
      <c r="B112" s="92"/>
      <c r="C112" s="160">
        <f>IF(ISNA(VLOOKUP("REN625600000",Balance!C:G,5,FALSE))=TRUE,0,VLOOKUP("REN625600000",Balance!C:G,5,FALSE))</f>
        <v>375</v>
      </c>
      <c r="D112" s="117">
        <f>+[2]Rennes!$H113</f>
        <v>500</v>
      </c>
      <c r="E112" s="160">
        <f>IF(ISNA(VLOOKUP("REN625600000",Balanceanp!C:G,5,FALSE))=TRUE,0,VLOOKUP("REN625600000",Balanceanp!C:G,5,FALSE))</f>
        <v>25.23</v>
      </c>
      <c r="F112" s="368">
        <f>+C112+C112/9*(12-Clients!$I$14)</f>
        <v>500</v>
      </c>
      <c r="G112" s="570">
        <v>500</v>
      </c>
      <c r="H112" s="401"/>
      <c r="I112" s="149">
        <f t="shared" si="9"/>
        <v>18.817677368212443</v>
      </c>
      <c r="J112" s="271">
        <f t="shared" si="9"/>
        <v>0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500</v>
      </c>
    </row>
    <row r="113" spans="1:13" ht="12.75">
      <c r="A113" s="5" t="s">
        <v>137</v>
      </c>
      <c r="B113" s="92"/>
      <c r="C113" s="160">
        <f>IF(ISNA(VLOOKUP("ren625700000",Balance!C:G,5,FALSE))=TRUE,0,VLOOKUP("ren625700000",Balance!C:G,5,FALSE))+IF(ISNA(VLOOKUP("ren625710000",Balance!C:G,5,FALSE))=TRUE,0,VLOOKUP("ren625710000",Balance!C:G,5,FALSE))</f>
        <v>3822.51</v>
      </c>
      <c r="D113" s="117">
        <f>+[2]Rennes!$H114</f>
        <v>5000</v>
      </c>
      <c r="E113" s="160">
        <f>IF(ISNA(VLOOKUP("ren625700000",Balanceanp!C:G,5,FALSE))=TRUE,0,VLOOKUP("ren625700000",Balanceanp!C:G,5,FALSE))+IF(ISNA(VLOOKUP("ren625710000",Balanceanp!C:G,5,FALSE))=TRUE,0,VLOOKUP("ren625710000",Balanceanp!C:G,5,FALSE))</f>
        <v>5589.21</v>
      </c>
      <c r="F113" s="368">
        <v>2718.45</v>
      </c>
      <c r="G113" s="570">
        <f>+F113*1.03</f>
        <v>2800.0034999999998</v>
      </c>
      <c r="H113" s="401"/>
      <c r="I113" s="149">
        <f t="shared" si="9"/>
        <v>-0.51362536029242056</v>
      </c>
      <c r="J113" s="271">
        <f t="shared" si="9"/>
        <v>2.9999999999999995E-2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2800.0034999999998</v>
      </c>
    </row>
    <row r="114" spans="1:13" ht="12.75">
      <c r="A114" s="5" t="s">
        <v>138</v>
      </c>
      <c r="B114" s="92"/>
      <c r="C114" s="160">
        <f>IF(ISNA(VLOOKUP("REN623810000",Balance!C:G,5,FALSE))=TRUE,0,VLOOKUP("REN623810000",Balance!C:G,5,FALSE))</f>
        <v>-500.25</v>
      </c>
      <c r="D114" s="117">
        <f>+[2]Rennes!$H115</f>
        <v>0</v>
      </c>
      <c r="E114" s="160">
        <f>IF(ISNA(VLOOKUP("REN623810000",Balanceanp!C:G,5,FALSE))=TRUE,0,VLOOKUP("REN623810000",Balanceanp!C:G,5,FALSE))</f>
        <v>0</v>
      </c>
      <c r="F114" s="368">
        <f>+C114+C114/9*(12-Clients!$I$14)</f>
        <v>-667</v>
      </c>
      <c r="G114" s="570">
        <f>+F114*1.03</f>
        <v>-687.01</v>
      </c>
      <c r="H114" s="401"/>
      <c r="I114" s="149">
        <f t="shared" si="9"/>
        <v>0</v>
      </c>
      <c r="J114" s="271">
        <f t="shared" si="9"/>
        <v>2.9999999999999985E-2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-687.01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4.219173469620028E-2</v>
      </c>
      <c r="C116" s="163">
        <f>SUM(C104:C115)</f>
        <v>14735.63</v>
      </c>
      <c r="D116" s="118">
        <f>SUM(D104:D115)</f>
        <v>21320</v>
      </c>
      <c r="E116" s="163">
        <f>SUM(E104:E115)</f>
        <v>15046.36</v>
      </c>
      <c r="F116" s="136">
        <f>SUM(F104:F115)</f>
        <v>17269.276666666668</v>
      </c>
      <c r="G116" s="136">
        <f>SUM(G104:G115)</f>
        <v>17432.9935</v>
      </c>
      <c r="H116" s="421">
        <f>+G116/$G$21</f>
        <v>3.3909732542306947E-2</v>
      </c>
      <c r="I116" s="272">
        <f>+IF((E116)=0,,(F116-E116)/E116)</f>
        <v>0.14773783603919272</v>
      </c>
      <c r="J116" s="188">
        <f>+IF((F116)=0,,(G116-F116)/F116)</f>
        <v>9.4802368676703119E-3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IF(ISNA(VLOOKUP("REN633300000",Balance!C:G,5,FALSE))=TRUE,0,VLOOKUP("REN633300000",Balance!C:G,5,FALSE))</f>
        <v>622.51</v>
      </c>
      <c r="D118" s="117">
        <f>+[2]Rennes!$H118</f>
        <v>412.99999999999994</v>
      </c>
      <c r="E118" s="160">
        <f>IF(ISNA(VLOOKUP("REN633300000",Balanceanp!C:G,5,FALSE))=TRUE,0,VLOOKUP("REN633300000",Balanceanp!C:G,5,FALSE))</f>
        <v>391</v>
      </c>
      <c r="F118" s="368">
        <f>+C118+C118/9*(12-Clients!$I$14)</f>
        <v>830.01333333333332</v>
      </c>
      <c r="G118" s="396">
        <f>G131*(0.2+0.5)%</f>
        <v>412.99999999999994</v>
      </c>
      <c r="H118" s="409"/>
      <c r="I118" s="149">
        <f t="shared" ref="I118:J127" si="10">+IF((E118)=0,,(F118-E118)/E118)</f>
        <v>1.1227962489343564</v>
      </c>
      <c r="J118" s="271">
        <f t="shared" si="10"/>
        <v>-0.50241763184527166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412.99999999999994</v>
      </c>
    </row>
    <row r="119" spans="1:13" ht="12.75">
      <c r="A119" s="5" t="s">
        <v>140</v>
      </c>
      <c r="B119" s="92"/>
      <c r="C119" s="160">
        <f>IF(ISNA(VLOOKUP("REN633400000",Balance!C:G,5,FALSE))=TRUE,0,VLOOKUP("REN633400000",Balance!C:G,5,FALSE))</f>
        <v>0</v>
      </c>
      <c r="D119" s="117">
        <f>+[2]Rennes!$H119</f>
        <v>265.50000000000006</v>
      </c>
      <c r="E119" s="160">
        <f>IF(ISNA(VLOOKUP("REN633400000",Balanceanp!C:G,5,FALSE))=TRUE,0,VLOOKUP("REN633400000",Balanceanp!C:G,5,FALSE))</f>
        <v>215</v>
      </c>
      <c r="F119" s="368">
        <f>+C119+C119/9*(12-Clients!$I$14)</f>
        <v>0</v>
      </c>
      <c r="G119" s="396">
        <f>+G131*0.45%</f>
        <v>265.50000000000006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265.50000000000006</v>
      </c>
    </row>
    <row r="120" spans="1:13" ht="12.75">
      <c r="A120" s="5" t="s">
        <v>141</v>
      </c>
      <c r="B120" s="92"/>
      <c r="C120" s="160">
        <f>IF(ISNA(VLOOKUP("REN633500000",Balance!C:G,5,FALSE))=TRUE,0,VLOOKUP("REN633500000",Balance!C:G,5,FALSE))</f>
        <v>0</v>
      </c>
      <c r="D120" s="117">
        <f>+[2]Rennes!$H120</f>
        <v>460.20000000000005</v>
      </c>
      <c r="E120" s="160">
        <f>IF(ISNA(VLOOKUP("REN633500000",Balanceanp!C:G,5,FALSE))=TRUE,0,VLOOKUP("REN633500000",Balanceanp!C:G,5,FALSE))</f>
        <v>325</v>
      </c>
      <c r="F120" s="368">
        <f>+C120+C120/9*(12-Clients!$I$14)</f>
        <v>0</v>
      </c>
      <c r="G120" s="396">
        <f>+G131*(0.6+0.18)%</f>
        <v>460.20000000000005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460.2</v>
      </c>
    </row>
    <row r="121" spans="1:13" ht="12.75">
      <c r="A121" s="5" t="s">
        <v>706</v>
      </c>
      <c r="B121" s="92"/>
      <c r="C121" s="160">
        <f>IF(ISNA(VLOOKUP("REN635110000",Balance!C:G,5,FALSE))=TRUE,0,VLOOKUP("REN635110000",Balance!C:G,5,FALSE))</f>
        <v>4373.01</v>
      </c>
      <c r="D121" s="117">
        <f>+[2]Rennes!$H121</f>
        <v>5830.6500000000005</v>
      </c>
      <c r="E121" s="160">
        <f>IF(ISNA(VLOOKUP("REN635110000",Balanceanp!C:G,5,FALSE))=TRUE,0,VLOOKUP("REN635110000",Balanceanp!C:G,5,FALSE))</f>
        <v>5553</v>
      </c>
      <c r="F121" s="570">
        <v>3790</v>
      </c>
      <c r="G121" s="570">
        <f>+F121*1.05</f>
        <v>3979.5</v>
      </c>
      <c r="H121" s="413"/>
      <c r="I121" s="149">
        <f t="shared" si="10"/>
        <v>-0.31748604358004684</v>
      </c>
      <c r="J121" s="271">
        <f t="shared" si="10"/>
        <v>0.05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3979.5</v>
      </c>
    </row>
    <row r="122" spans="1:13" ht="12.75">
      <c r="A122" s="5" t="s">
        <v>143</v>
      </c>
      <c r="B122" s="92"/>
      <c r="C122" s="160">
        <f>IF(ISNA(VLOOKUP("REN635120000",Balance!C:G,5,FALSE))=TRUE,0,VLOOKUP("REN635120000",Balance!C:G,5,FALSE))</f>
        <v>4184.91</v>
      </c>
      <c r="D122" s="117">
        <f>+[2]Rennes!$H122</f>
        <v>5579.8575000000001</v>
      </c>
      <c r="E122" s="160">
        <f>IF(ISNA(VLOOKUP("REN635120000",Balanceanp!C:G,5,FALSE))=TRUE,0,VLOOKUP("REN635120000",Balanceanp!C:G,5,FALSE))</f>
        <v>5314.15</v>
      </c>
      <c r="F122" s="425">
        <v>5612.92</v>
      </c>
      <c r="G122" s="425">
        <f>+F122*1.05</f>
        <v>5893.5660000000007</v>
      </c>
      <c r="H122" s="413"/>
      <c r="I122" s="149">
        <f t="shared" si="10"/>
        <v>5.6221597056914173E-2</v>
      </c>
      <c r="J122" s="271">
        <f t="shared" si="10"/>
        <v>5.0000000000000114E-2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5893.5660000000007</v>
      </c>
    </row>
    <row r="123" spans="1:13" ht="12.75">
      <c r="A123" s="5" t="s">
        <v>144</v>
      </c>
      <c r="B123" s="92"/>
      <c r="C123" s="160">
        <f>IF(ISNA(VLOOKUP("REN635130000",Balance!C:G,5,FALSE))=TRUE,0,VLOOKUP("REN635130000",Balance!C:G,5,FALSE))</f>
        <v>0</v>
      </c>
      <c r="D123" s="117">
        <f>+[2]Rennes!$H123</f>
        <v>50</v>
      </c>
      <c r="E123" s="160">
        <f>IF(ISNA(VLOOKUP("REN635130000",Balanceanp!C:G,5,FALSE))=TRUE,0,VLOOKUP("REN635130000",Balanceanp!C:G,5,FALSE))</f>
        <v>0</v>
      </c>
      <c r="F123" s="368"/>
      <c r="G123" s="570">
        <v>200</v>
      </c>
      <c r="H123" s="413"/>
      <c r="I123" s="149">
        <f t="shared" si="10"/>
        <v>0</v>
      </c>
      <c r="J123" s="271">
        <f t="shared" si="10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200</v>
      </c>
    </row>
    <row r="124" spans="1:13" ht="12.75">
      <c r="A124" s="5" t="s">
        <v>145</v>
      </c>
      <c r="B124" s="92"/>
      <c r="C124" s="160">
        <f>IF(ISNA(VLOOKUP("REN635140000",Balance!C:G,5,FALSE))=TRUE,0,VLOOKUP("REN635140000",Balance!C:G,5,FALSE))</f>
        <v>0</v>
      </c>
      <c r="D124" s="117">
        <f>+[2]Rennes!$H124</f>
        <v>0</v>
      </c>
      <c r="E124" s="160">
        <f>IF(ISNA(VLOOKUP("REN635140000",Balanceanp!C:G,5,FALSE))=TRUE,0,VLOOKUP("REN635140000",Balanceanp!C:G,5,FALSE))</f>
        <v>0</v>
      </c>
      <c r="F124" s="368">
        <f>+C124+C124/9*(12-Clients!$I$14)</f>
        <v>0</v>
      </c>
      <c r="G124" s="570">
        <f>+F124*1.03</f>
        <v>0</v>
      </c>
      <c r="H124" s="413"/>
      <c r="I124" s="149">
        <f t="shared" si="10"/>
        <v>0</v>
      </c>
      <c r="J124" s="271">
        <f t="shared" si="10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IF(ISNA(VLOOKUP("REN635300000",Balance!C:G,5,FALSE))=TRUE,0,VLOOKUP("REN635300000",Balance!C:G,5,FALSE))</f>
        <v>0</v>
      </c>
      <c r="D125" s="117">
        <f>+[2]Rennes!$H125</f>
        <v>0</v>
      </c>
      <c r="E125" s="160">
        <f>IF(ISNA(VLOOKUP("REN635300000",Balanceanp!C:G,5,FALSE))=TRUE,0,VLOOKUP("REN635300000",Balanceanp!C:G,5,FALSE))</f>
        <v>0</v>
      </c>
      <c r="F125" s="368">
        <f>+C125+C125/9*(12-Clients!$I$14)</f>
        <v>0</v>
      </c>
      <c r="G125" s="570">
        <f>+F125*1.03</f>
        <v>0</v>
      </c>
      <c r="H125" s="413"/>
      <c r="I125" s="149">
        <f t="shared" si="10"/>
        <v>0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IF(ISNA(VLOOKUP("ren635400000",Balance!C:G,5,FALSE))=TRUE,0,VLOOKUP("ren635400000",Balance!C:G,5,FALSE))</f>
        <v>0</v>
      </c>
      <c r="D126" s="117">
        <f>+[2]Rennes!$H126</f>
        <v>0</v>
      </c>
      <c r="E126" s="160">
        <f>IF(ISNA(VLOOKUP("ren635400000",Balanceanp!C:G,5,FALSE))=TRUE,0,VLOOKUP("ren635400000",Balanceanp!C:G,5,FALSE))</f>
        <v>0</v>
      </c>
      <c r="F126" s="368">
        <f>+C126+C126/9*(12-Clients!$I$14)</f>
        <v>0</v>
      </c>
      <c r="G126" s="570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IF(ISNA(VLOOKUP("REN637100000",Balance!C:G,5,FALSE))=TRUE,0,VLOOKUP("REN637100000",Balance!C:G,5,FALSE))</f>
        <v>617.26</v>
      </c>
      <c r="D127" s="117">
        <f>+[2]Rennes!$H127</f>
        <v>885.1807424000001</v>
      </c>
      <c r="E127" s="160">
        <f>IF(ISNA(VLOOKUP("REN637100000",Balanceanp!C:G,5,FALSE))=TRUE,0,VLOOKUP("REN637100000",Balanceanp!C:G,5,FALSE))</f>
        <v>865.26</v>
      </c>
      <c r="F127" s="368">
        <f>+C127+C127/9*(12-Clients!$I$14)</f>
        <v>823.01333333333332</v>
      </c>
      <c r="G127" s="396">
        <f>+G51*0.16%</f>
        <v>799.88022400000011</v>
      </c>
      <c r="H127" s="409"/>
      <c r="I127" s="149">
        <f t="shared" si="10"/>
        <v>-4.8825401228147228E-2</v>
      </c>
      <c r="J127" s="271">
        <f t="shared" si="10"/>
        <v>-2.8107818423354677E-2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799.88022400000011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2.8053197394045222E-2</v>
      </c>
      <c r="C129" s="163">
        <f>SUM(C117:C128)</f>
        <v>9797.69</v>
      </c>
      <c r="D129" s="118">
        <f>SUM(D117:D128)</f>
        <v>13484.3882424</v>
      </c>
      <c r="E129" s="163">
        <f>SUM(E117:E128)</f>
        <v>12663.41</v>
      </c>
      <c r="F129" s="136">
        <f>SUM(F117:F128)</f>
        <v>11055.946666666667</v>
      </c>
      <c r="G129" s="136">
        <f>SUM(G117:G128)</f>
        <v>12011.646224</v>
      </c>
      <c r="H129" s="421">
        <f>+G129/$G$21</f>
        <v>2.336441591908189E-2</v>
      </c>
      <c r="I129" s="272">
        <f>+IF((E129)=0,,(F129-E129)/E129)</f>
        <v>-0.12693763633439439</v>
      </c>
      <c r="J129" s="188">
        <f>+IF((F129)=0,,(G129-F129)/F129)</f>
        <v>8.6442128037279492E-2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12011.646224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IF(ISNA(VLOOKUP("REN641100000",Balance!C:G,5,FALSE))=TRUE,0,VLOOKUP("REN641100000",Balance!C:G,5,FALSE))</f>
        <v>40763.75</v>
      </c>
      <c r="D131" s="117">
        <f>+[2]Rennes!$H131</f>
        <v>59000</v>
      </c>
      <c r="E131" s="160">
        <f>IF(ISNA(VLOOKUP("REN641100000",Balanceanp!C:G,5,FALSE))=TRUE,0,VLOOKUP("REN641100000",Balanceanp!C:G,5,FALSE))</f>
        <v>69131.17</v>
      </c>
      <c r="F131" s="368">
        <f>+C131+C131/9*(12-Clients!$I$14)</f>
        <v>54351.666666666672</v>
      </c>
      <c r="G131" s="570">
        <v>59000</v>
      </c>
      <c r="H131" s="401"/>
      <c r="I131" s="149">
        <f t="shared" ref="I131:J146" si="11">+IF((E131)=0,,(F131-E131)/E131)</f>
        <v>-0.21378928395589611</v>
      </c>
      <c r="J131" s="271">
        <f t="shared" si="11"/>
        <v>8.5523289687528647E-2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59000</v>
      </c>
    </row>
    <row r="132" spans="1:13" ht="12.75">
      <c r="A132" s="5" t="s">
        <v>149</v>
      </c>
      <c r="B132" s="92"/>
      <c r="C132" s="160">
        <f>IF(ISNA(VLOOKUP("REN641110000",Balance!C:G,5,FALSE))=TRUE,0,VLOOKUP("REN641110000",Balance!C:G,5,FALSE))</f>
        <v>-550</v>
      </c>
      <c r="D132" s="117">
        <f>+[2]Rennes!$H132</f>
        <v>0</v>
      </c>
      <c r="E132" s="160">
        <f>IF(ISNA(VLOOKUP("REN641110000",Balanceanp!C:G,5,FALSE))=TRUE,0,VLOOKUP("REN641110000",Balanceanp!C:G,5,FALSE))</f>
        <v>400</v>
      </c>
      <c r="F132" s="368">
        <f>+C132+C132/9*(12-Clients!$I$14)</f>
        <v>-733.33333333333337</v>
      </c>
      <c r="G132" s="570">
        <v>0</v>
      </c>
      <c r="H132" s="401"/>
      <c r="I132" s="149">
        <f t="shared" si="11"/>
        <v>-2.8333333333333339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IF(ISNA(VLOOKUP("REN641111000",Balance!C:G,5,FALSE))=TRUE,0,VLOOKUP("REN641111000",Balance!C:G,5,FALSE))</f>
        <v>0</v>
      </c>
      <c r="D133" s="117">
        <f>+[2]Rennes!$H133</f>
        <v>0</v>
      </c>
      <c r="E133" s="160">
        <f>IF(ISNA(VLOOKUP("REN641111000",Balanceanp!C:G,5,FALSE))=TRUE,0,VLOOKUP("REN641111000",Balanceanp!C:G,5,FALSE))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IF(ISNA(VLOOKUP("REN641200000",Balance!C:G,5,FALSE))=TRUE,0,VLOOKUP("REN641200000",Balance!C:G,5,FALSE))</f>
        <v>0</v>
      </c>
      <c r="D134" s="117">
        <f>+[2]Rennes!$H134</f>
        <v>0</v>
      </c>
      <c r="E134" s="160">
        <f>IF(ISNA(VLOOKUP("REN641200000",Balanceanp!C:G,5,FALSE))=TRUE,0,VLOOKUP("REN641200000",Balanceanp!C:G,5,FALSE))</f>
        <v>117.19000000000005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IF(ISNA(VLOOKUP("REN621100000",Balance!C:G,5,FALSE))=TRUE,0,VLOOKUP("REN621100000",Balance!C:G,5,FALSE))</f>
        <v>0</v>
      </c>
      <c r="D135" s="117">
        <f>+[2]Rennes!$H135</f>
        <v>0</v>
      </c>
      <c r="E135" s="160">
        <f>IF(ISNA(VLOOKUP("REN621100000",Balanceanp!C:G,5,FALSE))=TRUE,0,VLOOKUP("REN621100000",Balanceanp!C:G,5,FALSE))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IF(ISNA(VLOOKUP("REN621200000",Balance!C:G,5,FALSE))=TRUE,0,VLOOKUP("REN621200000",Balance!C:G,5,FALSE))</f>
        <v>0</v>
      </c>
      <c r="D136" s="117">
        <f>+[2]Rennes!$H136</f>
        <v>0</v>
      </c>
      <c r="E136" s="160">
        <f>IF(ISNA(VLOOKUP("REN621200000",Balanceanp!C:G,5,FALSE))=TRUE,0,VLOOKUP("REN621200000",Balanceanp!C:G,5,FALSE))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IF(ISNA(VLOOKUP("REN706100000",Balance!C:G,5,FALSE))=TRUE,0,-VLOOKUP("REN706100000",Balance!C:G,5,FALSE))</f>
        <v>0</v>
      </c>
      <c r="D137" s="117">
        <f>+[2]Rennes!$H137</f>
        <v>0</v>
      </c>
      <c r="E137" s="160">
        <f>IF(ISNA(VLOOKUP("REN706100000",Balanceanp!C:G,5,FALSE))=TRUE,0,-VLOOKUP("REN706100000",Balanceanp!C:G,5,FALSE))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IF(ISNA(VLOOKUP("REN641210000",Balance!C:G,5,FALSE))=TRUE,0,VLOOKUP("REN641210000",Balance!C:G,5,FALSE))</f>
        <v>0</v>
      </c>
      <c r="D138" s="117">
        <f>+[2]Rennes!$H138</f>
        <v>0</v>
      </c>
      <c r="E138" s="160">
        <f>IF(ISNA(VLOOKUP("REN641210000",Balanceanp!C:G,5,FALSE))=TRUE,0,VLOOKUP("REN641210000",Balanceanp!C:G,5,FALSE))</f>
        <v>168.97999999999979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IF(ISNA(VLOOKUP("REN641400000",Balance!C:G,5,FALSE))=TRUE,0,VLOOKUP("REN641400000",Balance!C:G,5,FALSE))</f>
        <v>0</v>
      </c>
      <c r="D139" s="117">
        <f>+[2]Rennes!$H139</f>
        <v>0</v>
      </c>
      <c r="E139" s="160">
        <f>IF(ISNA(VLOOKUP("REN641400000",Balanceanp!C:G,5,FALSE))=TRUE,0,VLOOKUP("REN641400000",Balanceanp!C:G,5,FALSE))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IF(ISNA(VLOOKUP("REN641600000",Balance!C:G,5,FALSE))=TRUE,0,VLOOKUP("REN641600000",Balance!C:G,5,FALSE))</f>
        <v>0</v>
      </c>
      <c r="D140" s="117">
        <f>+[2]Rennes!$H140</f>
        <v>0</v>
      </c>
      <c r="E140" s="160">
        <f>IF(ISNA(VLOOKUP("REN641600000",Balanceanp!C:G,5,FALSE))=TRUE,0,VLOOKUP("REN641600000",Balanceanp!C:G,5,FALSE))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IF(ISNA(VLOOKUP("REN645100000",Balance!C:G,5,FALSE))=TRUE,0,VLOOKUP("REN645100000",Balance!C:G,5,FALSE))</f>
        <v>11182.42</v>
      </c>
      <c r="D141" s="117">
        <f>+[2]Rennes!$H141</f>
        <v>18192.789109099351</v>
      </c>
      <c r="E141" s="160">
        <f>IF(ISNA(VLOOKUP("REN645100000",Balanceanp!C:G,5,FALSE))=TRUE,0,VLOOKUP("REN645100000",Balanceanp!C:G,5,FALSE))</f>
        <v>20931.580000000002</v>
      </c>
      <c r="F141" s="368">
        <f>+C141+C141/9*(12-Clients!$I$14)</f>
        <v>14909.893333333333</v>
      </c>
      <c r="G141" s="396">
        <f t="shared" ref="G141:G146" si="13">+($G$131/$C$131*C141)*1.01</f>
        <v>16346.886824691055</v>
      </c>
      <c r="H141" s="409"/>
      <c r="I141" s="149">
        <f t="shared" si="11"/>
        <v>-0.28768428693231318</v>
      </c>
      <c r="J141" s="271">
        <f t="shared" si="11"/>
        <v>9.6378522584404033E-2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16346.886824691055</v>
      </c>
    </row>
    <row r="142" spans="1:13" ht="12.75">
      <c r="A142" s="5" t="s">
        <v>156</v>
      </c>
      <c r="B142" s="92"/>
      <c r="C142" s="160">
        <f>IF(ISNA(VLOOKUP("REN645200000",Balance!C:G,5,FALSE))=TRUE,0,VLOOKUP("REN645200000",Balance!C:G,5,FALSE))</f>
        <v>1165.79</v>
      </c>
      <c r="D142" s="117">
        <f>+[2]Rennes!$H142</f>
        <v>1456.3675395683226</v>
      </c>
      <c r="E142" s="160">
        <f>IF(ISNA(VLOOKUP("REN645200000",Balanceanp!C:G,5,FALSE))=TRUE,0,VLOOKUP("REN645200000",Balanceanp!C:G,5,FALSE))</f>
        <v>1709.54</v>
      </c>
      <c r="F142" s="368">
        <f>+C142+C142/9*(12-Clients!$I$14)</f>
        <v>1554.3866666666668</v>
      </c>
      <c r="G142" s="396">
        <f t="shared" si="13"/>
        <v>1704.1961571248964</v>
      </c>
      <c r="H142" s="409"/>
      <c r="I142" s="149">
        <f t="shared" si="11"/>
        <v>-9.0757357729759583E-2</v>
      </c>
      <c r="J142" s="271">
        <f t="shared" si="11"/>
        <v>9.6378522584403922E-2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1704.1961571248964</v>
      </c>
    </row>
    <row r="143" spans="1:13" ht="12.75">
      <c r="A143" s="5" t="s">
        <v>157</v>
      </c>
      <c r="B143" s="92"/>
      <c r="C143" s="160">
        <f>IF(ISNA(VLOOKUP("REN645300000",Balance!C:G,5,FALSE))=TRUE,0,VLOOKUP("REN645300000",Balance!C:G,5,FALSE))</f>
        <v>2693.82</v>
      </c>
      <c r="D143" s="117">
        <f>+[2]Rennes!$H143</f>
        <v>3117.3766984289477</v>
      </c>
      <c r="E143" s="160">
        <f>IF(ISNA(VLOOKUP("REN645300000",Balanceanp!C:G,5,FALSE))=TRUE,0,VLOOKUP("REN645300000",Balanceanp!C:G,5,FALSE))</f>
        <v>3622.58</v>
      </c>
      <c r="F143" s="368">
        <f>+C143+C143/9*(12-Clients!$I$14)</f>
        <v>3591.76</v>
      </c>
      <c r="G143" s="396">
        <f t="shared" si="13"/>
        <v>3937.9285222777589</v>
      </c>
      <c r="H143" s="409"/>
      <c r="I143" s="149">
        <f t="shared" si="11"/>
        <v>-8.5077486211483835E-3</v>
      </c>
      <c r="J143" s="271">
        <f t="shared" si="11"/>
        <v>9.6378522584403936E-2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3937.9285222777589</v>
      </c>
    </row>
    <row r="144" spans="1:13" ht="12.75">
      <c r="A144" s="5" t="s">
        <v>326</v>
      </c>
      <c r="B144" s="92"/>
      <c r="C144" s="160">
        <f>IF(ISNA(VLOOKUP("REN645310000",Balance!C:G,5,FALSE))=TRUE,0,VLOOKUP("REN645310000",Balance!C:G,5,FALSE))</f>
        <v>0</v>
      </c>
      <c r="D144" s="117">
        <f>+[2]Rennes!$H144</f>
        <v>0</v>
      </c>
      <c r="E144" s="160">
        <f>IF(ISNA(VLOOKUP("REN645310000",Balanceanp!C:G,5,FALSE))=TRUE,0,VLOOKUP("REN645310000",Balanceanp!C:G,5,FALSE))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0</v>
      </c>
    </row>
    <row r="145" spans="1:13" ht="12.75">
      <c r="A145" s="5" t="s">
        <v>158</v>
      </c>
      <c r="B145" s="92"/>
      <c r="C145" s="160">
        <f>IF(ISNA(VLOOKUP("REN645400000",Balance!C:G,5,FALSE))=TRUE,0,VLOOKUP("REN645400000",Balance!C:G,5,FALSE))</f>
        <v>1480.56</v>
      </c>
      <c r="D145" s="117">
        <f>+[2]Rennes!$H145</f>
        <v>1750.3165698676723</v>
      </c>
      <c r="E145" s="160">
        <f>IF(ISNA(VLOOKUP("REN645400000",Balanceanp!C:G,5,FALSE))=TRUE,0,VLOOKUP("REN645400000",Balanceanp!C:G,5,FALSE))</f>
        <v>2030.77</v>
      </c>
      <c r="F145" s="368">
        <f>+C145+C145/9*(12-Clients!$I$14)</f>
        <v>1974.08</v>
      </c>
      <c r="G145" s="396">
        <f t="shared" si="13"/>
        <v>2164.3389138634202</v>
      </c>
      <c r="H145" s="409"/>
      <c r="I145" s="149">
        <f t="shared" si="11"/>
        <v>-2.7915519728969825E-2</v>
      </c>
      <c r="J145" s="271">
        <f t="shared" si="11"/>
        <v>9.6378522584404019E-2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2164.3389138634202</v>
      </c>
    </row>
    <row r="146" spans="1:13" ht="12.75">
      <c r="A146" s="5" t="s">
        <v>159</v>
      </c>
      <c r="B146" s="92"/>
      <c r="C146" s="160">
        <f>IF(ISNA(VLOOKUP("REN645800000",Balance!C:G,5,FALSE))=TRUE,0,VLOOKUP("REN645800000",Balance!C:G,5,FALSE))</f>
        <v>0</v>
      </c>
      <c r="D146" s="117">
        <f>+[2]Rennes!$H146</f>
        <v>0</v>
      </c>
      <c r="E146" s="160">
        <f>IF(ISNA(VLOOKUP("REN645800000",Balanceanp!C:G,5,FALSE))=TRUE,0,VLOOKUP("REN645800000",Balanceanp!C:G,5,FALSE))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IF(ISNA(VLOOKUP("REN645900000",Balance!C:G,5,FALSE))=TRUE,0,VLOOKUP("REN645900000",Balance!C:G,5,FALSE))</f>
        <v>-228.91</v>
      </c>
      <c r="D147" s="117">
        <f>+[2]Rennes!$H147</f>
        <v>344.72241056000001</v>
      </c>
      <c r="E147" s="160">
        <f>IF(ISNA(VLOOKUP("REN645900000",Balanceanp!C:G,5,FALSE))=TRUE,0,VLOOKUP("REN645900000",Balanceanp!C:G,5,FALSE))</f>
        <v>171.1</v>
      </c>
      <c r="F147" s="368">
        <f>+C147+C147/9*(12-Clients!$I$14)</f>
        <v>-305.21333333333337</v>
      </c>
      <c r="G147" s="396">
        <f>+F147*1.03</f>
        <v>-314.36973333333339</v>
      </c>
      <c r="H147" s="409"/>
      <c r="I147" s="149">
        <f t="shared" ref="I147:J152" si="14">+IF((E147)=0,,(F147-E147)/E147)</f>
        <v>-2.7838301188388859</v>
      </c>
      <c r="J147" s="271">
        <f t="shared" si="14"/>
        <v>3.0000000000000058E-2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-314.36973333333339</v>
      </c>
    </row>
    <row r="148" spans="1:13" ht="12.75">
      <c r="A148" s="5" t="s">
        <v>161</v>
      </c>
      <c r="B148" s="92"/>
      <c r="C148" s="160">
        <f>IF(ISNA(VLOOKUP("REN647100000",Balance!C:G,5,FALSE))=TRUE,0,VLOOKUP("REN647100000",Balance!C:G,5,FALSE))</f>
        <v>0</v>
      </c>
      <c r="D148" s="117">
        <f>+[2]Rennes!$H148</f>
        <v>18.677144500000001</v>
      </c>
      <c r="E148" s="160">
        <f>IF(ISNA(VLOOKUP("REN647100000",Balanceanp!C:G,5,FALSE))=TRUE,0,VLOOKUP("REN647100000",Balanceanp!C:G,5,FALSE))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0</v>
      </c>
    </row>
    <row r="149" spans="1:13" ht="12.75">
      <c r="A149" s="5" t="s">
        <v>162</v>
      </c>
      <c r="B149" s="92"/>
      <c r="C149" s="160">
        <f>IF(ISNA(VLOOKUP("REN647400000",Balance!C:G,5,FALSE))=TRUE,0,VLOOKUP("REN647400000",Balance!C:G,5,FALSE))</f>
        <v>38.270000000000003</v>
      </c>
      <c r="D149" s="117">
        <f>+[2]Rennes!$H149</f>
        <v>79.406985830000011</v>
      </c>
      <c r="E149" s="160">
        <f>IF(ISNA(VLOOKUP("REN647400000",Balanceanp!C:G,5,FALSE))=TRUE,0,VLOOKUP("REN647400000",Balanceanp!C:G,5,FALSE))</f>
        <v>0</v>
      </c>
      <c r="F149" s="368">
        <f>+C149+C149/9*(12-Clients!$I$14)</f>
        <v>51.026666666666671</v>
      </c>
      <c r="G149" s="396">
        <f>+F149*1.03</f>
        <v>52.55746666666667</v>
      </c>
      <c r="H149" s="409"/>
      <c r="I149" s="149">
        <f t="shared" si="14"/>
        <v>0</v>
      </c>
      <c r="J149" s="271">
        <f t="shared" si="14"/>
        <v>2.9999999999999985E-2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52.55746666666667</v>
      </c>
    </row>
    <row r="150" spans="1:13" ht="12.75">
      <c r="A150" s="5" t="s">
        <v>163</v>
      </c>
      <c r="B150" s="92"/>
      <c r="C150" s="160">
        <f>IF(ISNA(VLOOKUP("REN647500000",Balance!C:G,5,FALSE))=TRUE,0,VLOOKUP("REN647500000",Balance!C:G,5,FALSE))</f>
        <v>52.6</v>
      </c>
      <c r="D150" s="117">
        <f>+[2]Rennes!$H150</f>
        <v>153.94233113416666</v>
      </c>
      <c r="E150" s="160">
        <f>IF(ISNA(VLOOKUP("REN647500000",Balanceanp!C:G,5,FALSE))=TRUE,0,VLOOKUP("REN647500000",Balanceanp!C:G,5,FALSE))</f>
        <v>213.3</v>
      </c>
      <c r="F150" s="368">
        <f>+C150+C150/9*(12-Clients!$I$14)</f>
        <v>70.13333333333334</v>
      </c>
      <c r="G150" s="396">
        <f>+F150*1.03</f>
        <v>72.237333333333339</v>
      </c>
      <c r="H150" s="409"/>
      <c r="I150" s="149">
        <f t="shared" si="14"/>
        <v>-0.67119862478512271</v>
      </c>
      <c r="J150" s="271">
        <f t="shared" si="14"/>
        <v>2.9999999999999985E-2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72.237333333333339</v>
      </c>
    </row>
    <row r="151" spans="1:13" ht="12.75">
      <c r="A151" s="5" t="s">
        <v>570</v>
      </c>
      <c r="B151" s="92"/>
      <c r="C151" s="160"/>
      <c r="D151" s="117">
        <f>+[2]Rennes!$H151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IF(ISNA(VLOOKUP("REN648000000",Balance!C:G,5,FALSE))=TRUE,0,VLOOKUP("REN648000000",Balance!C:G,5,FALSE))</f>
        <v>0</v>
      </c>
      <c r="D152" s="117">
        <f>+[2]Rennes!$H152</f>
        <v>0</v>
      </c>
      <c r="E152" s="160">
        <f>IF(ISNA(VLOOKUP("REN648000000",Balanceanp!C:G,5,FALSE))=TRUE,0,VLOOKUP("REN648000000",Balanceanp!C:G,5,FALSE))</f>
        <v>2391.69632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0.16205486008103842</v>
      </c>
      <c r="C154" s="163">
        <f>SUM(C130:C153)</f>
        <v>56598.299999999988</v>
      </c>
      <c r="D154" s="118">
        <f>SUM(D130:D153)</f>
        <v>84113.598788988485</v>
      </c>
      <c r="E154" s="163">
        <f>SUM(E130:E153)</f>
        <v>100927.50632000001</v>
      </c>
      <c r="F154" s="136">
        <f>SUM(F130:F153)</f>
        <v>75464.400000000009</v>
      </c>
      <c r="G154" s="136">
        <f>SUM(G130:G153)</f>
        <v>82963.775484623795</v>
      </c>
      <c r="H154" s="421">
        <f>+G154/$G$21</f>
        <v>0.16137672726050145</v>
      </c>
      <c r="I154" s="272">
        <f>+IF((E154)=0,,(F154-E154)/E154)</f>
        <v>-0.25229104778698153</v>
      </c>
      <c r="J154" s="188">
        <f>+IF((F154)=0,,(G154-F154)/F154)</f>
        <v>9.9376334862846388E-2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0.9194</v>
      </c>
      <c r="C156" s="160">
        <f>IF(ISNA(VLOOKUP("REN681740000",Balance!C:G,5,FALSE))=TRUE,0,VLOOKUP("REN681740000",Balance!C:G,5,FALSE))</f>
        <v>1794.69</v>
      </c>
      <c r="D156" s="117">
        <f>+[2]Rennes!$H156</f>
        <v>8114.5014299999993</v>
      </c>
      <c r="E156" s="160">
        <f>IF(ISNA(VLOOKUP("REN681740000",Balanceanp!C:G,5,FALSE))=TRUE,0,VLOOKUP("REN681740000",Balanceanp!C:G,5,FALSE))</f>
        <v>718.22</v>
      </c>
      <c r="F156" s="368">
        <f>+C156+C156/9*(12-Clients!$I$14)</f>
        <v>2392.92</v>
      </c>
      <c r="G156" s="570">
        <f>+G21*B156*1.62%</f>
        <v>7657.1493480000008</v>
      </c>
      <c r="H156" s="413"/>
      <c r="I156" s="149">
        <f t="shared" ref="I156:J166" si="15">+IF((E156)=0,,(F156-E156)/E156)</f>
        <v>2.3317367937400797</v>
      </c>
      <c r="J156" s="271">
        <f t="shared" si="15"/>
        <v>2.1999186550323455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IF(ISNA(VLOOKUP("REN781740000",Balance!C:G,5,FALSE))=TRUE,0,VLOOKUP("REN781740000",Balance!C:G,5,FALSE))</f>
        <v>0</v>
      </c>
      <c r="D157" s="117">
        <f>+[2]Rennes!$H157</f>
        <v>0</v>
      </c>
      <c r="E157" s="160">
        <f>IF(ISNA(VLOOKUP("REN781740000",Balanceanp!C:G,5,FALSE))=TRUE,0,VLOOKUP("REN781740000",Balanceanp!C:G,5,FALSE))</f>
        <v>0</v>
      </c>
      <c r="F157" s="368">
        <f>+C157+C157/9*(12-Clients!$I$14)</f>
        <v>0</v>
      </c>
      <c r="G157" s="396">
        <v>0</v>
      </c>
      <c r="H157" s="409"/>
      <c r="I157" s="149">
        <f t="shared" si="15"/>
        <v>0</v>
      </c>
      <c r="J157" s="271">
        <f t="shared" si="15"/>
        <v>0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IF(ISNA(VLOOKUP("REN654400000",Balance!C:G,5,FALSE))=TRUE,0,VLOOKUP("REN654400000",Balance!C:G,5,FALSE))</f>
        <v>3525.04</v>
      </c>
      <c r="D158" s="117">
        <f>+[2]Rennes!$H158</f>
        <v>0</v>
      </c>
      <c r="E158" s="160">
        <f>IF(ISNA(VLOOKUP("REN654400000",Balanceanp!C:G,5,FALSE))=TRUE,0,VLOOKUP("REN654400000",Balanceanp!C:G,5,FALSE))</f>
        <v>85.12</v>
      </c>
      <c r="F158" s="368">
        <f>+C158+C158/9*(12-Clients!$I$14)</f>
        <v>4700.0533333333333</v>
      </c>
      <c r="G158" s="396">
        <v>0</v>
      </c>
      <c r="H158" s="409"/>
      <c r="I158" s="149">
        <f t="shared" si="15"/>
        <v>54.216791979949875</v>
      </c>
      <c r="J158" s="271">
        <f t="shared" si="15"/>
        <v>-1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IF(ISNA(VLOOKUP("REN791100000",Balance!C:G,5,FALSE))=TRUE,0,VLOOKUP("REN791100000",Balance!C:G,5,FALSE))</f>
        <v>-3525.04</v>
      </c>
      <c r="D159" s="117">
        <f>+[2]Rennes!$H159</f>
        <v>0</v>
      </c>
      <c r="E159" s="160">
        <f>IF(ISNA(VLOOKUP("REN791100000",Balanceanp!C:G,5,FALSE))=TRUE,0,VLOOKUP("REN791100000",Balanceanp!C:G,5,FALSE))</f>
        <v>0</v>
      </c>
      <c r="F159" s="368">
        <f>+C159+C159/9*(12-Clients!$I$14)</f>
        <v>-4700.0533333333333</v>
      </c>
      <c r="G159" s="396">
        <v>0</v>
      </c>
      <c r="H159" s="409"/>
      <c r="I159" s="149">
        <f t="shared" si="15"/>
        <v>0</v>
      </c>
      <c r="J159" s="271">
        <f t="shared" si="15"/>
        <v>-1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IF(ISNA(VLOOKUP("REN654100000",Balance!C:G,5,FALSE))=TRUE,0,VLOOKUP("REN654100000",Balance!C:G,5,FALSE))</f>
        <v>0.61</v>
      </c>
      <c r="D160" s="117">
        <f>+[2]Rennes!$H160</f>
        <v>0</v>
      </c>
      <c r="E160" s="160">
        <f>IF(ISNA(VLOOKUP("REN654100000",Balanceanp!C:G,5,FALSE))=TRUE,0,VLOOKUP("REN654100000",Balanceanp!C:G,5,FALSE))</f>
        <v>-7.0000000000000007E-2</v>
      </c>
      <c r="F160" s="368">
        <f>+C160+C160/9*(12-Clients!$I$14)</f>
        <v>0.81333333333333324</v>
      </c>
      <c r="G160" s="396">
        <v>0</v>
      </c>
      <c r="H160" s="409"/>
      <c r="I160" s="149">
        <f t="shared" si="15"/>
        <v>-12.619047619047617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IF(ISNA(VLOOKUP("REN622700000",Balance!C:G,5,FALSE))=TRUE,0,VLOOKUP("REN622700000",Balance!C:G,5,FALSE))</f>
        <v>374.43</v>
      </c>
      <c r="D161" s="117">
        <f>+[2]Rennes!$H161</f>
        <v>158.66435504020833</v>
      </c>
      <c r="E161" s="160">
        <f>IF(ISNA(VLOOKUP("REN622700000",Balanceanp!C:G,5,FALSE))=TRUE,0,VLOOKUP("REN622700000",Balanceanp!C:G,5,FALSE))</f>
        <v>18.62</v>
      </c>
      <c r="F161" s="368">
        <f>+C161+C161/9*(12-Clients!$I$14)</f>
        <v>499.24</v>
      </c>
      <c r="G161" s="396">
        <f t="shared" ref="G161:G166" si="16">+F161*1.03</f>
        <v>514.21720000000005</v>
      </c>
      <c r="H161" s="409"/>
      <c r="I161" s="149">
        <f t="shared" si="15"/>
        <v>25.81203007518797</v>
      </c>
      <c r="J161" s="271">
        <f t="shared" si="15"/>
        <v>3.0000000000000079E-2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514.21720000000005</v>
      </c>
    </row>
    <row r="162" spans="1:13" ht="12.75">
      <c r="A162" s="5" t="s">
        <v>355</v>
      </c>
      <c r="B162" s="92"/>
      <c r="C162" s="160">
        <f>IF(ISNA(VLOOKUP("ren654200000",Balance!C:G,5,FALSE))=TRUE,0,VLOOKUP("ren654200000",Balance!C:G,5,FALSE))</f>
        <v>10.78</v>
      </c>
      <c r="D162" s="117">
        <f>+[2]Rennes!$H162</f>
        <v>15.008380182708333</v>
      </c>
      <c r="E162" s="160">
        <f>IF(ISNA(VLOOKUP("ren654200000",Balanceanp!C:G,5,FALSE))=TRUE,0,VLOOKUP("ren654200000",Balanceanp!C:G,5,FALSE))</f>
        <v>10.77</v>
      </c>
      <c r="F162" s="368">
        <f>+C162+C162/9*(12-Clients!$I$14)</f>
        <v>14.373333333333331</v>
      </c>
      <c r="G162" s="396">
        <f t="shared" si="16"/>
        <v>14.804533333333332</v>
      </c>
      <c r="H162" s="409"/>
      <c r="I162" s="149">
        <f t="shared" si="15"/>
        <v>0.33457134014237067</v>
      </c>
      <c r="J162" s="271">
        <f t="shared" si="15"/>
        <v>3.0000000000000037E-2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14.804533333333332</v>
      </c>
    </row>
    <row r="163" spans="1:13" ht="12.75">
      <c r="A163" s="5" t="s">
        <v>200</v>
      </c>
      <c r="B163" s="92"/>
      <c r="C163" s="160">
        <f>IF(ISNA(VLOOKUP("REN665000000",Balance!C:G,5,FALSE))=TRUE,0,VLOOKUP("REN665000000",Balance!C:G,5,FALSE))+IF(ISNA(VLOOKUP("REN665100000",Balance!C:G,5,FALSE))=TRUE,0,VLOOKUP("REN665100000",Balance!C:G,5,FALSE))</f>
        <v>103.66</v>
      </c>
      <c r="D163" s="117">
        <f>+[2]Rennes!$H163</f>
        <v>220.68296466499996</v>
      </c>
      <c r="E163" s="160">
        <f>IF(ISNA(VLOOKUP("REN665000000",Balanceanp!C:G,5,FALSE))=TRUE,0,VLOOKUP("REN665000000",Balanceanp!C:G,5,FALSE))+IF(ISNA(VLOOKUP("REN665100000",Balanceanp!C:G,5,FALSE))=TRUE,0,VLOOKUP("REN665100000",Balanceanp!C:G,5,FALSE))</f>
        <v>198.9</v>
      </c>
      <c r="F163" s="368">
        <f>+C163+C163/9*(12-Clients!$I$14)</f>
        <v>138.21333333333331</v>
      </c>
      <c r="G163" s="396">
        <f t="shared" si="16"/>
        <v>142.35973333333331</v>
      </c>
      <c r="H163" s="409"/>
      <c r="I163" s="149">
        <f t="shared" si="15"/>
        <v>-0.30511144628791703</v>
      </c>
      <c r="J163" s="271">
        <f t="shared" si="15"/>
        <v>3.0000000000000006E-2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142.35973333333331</v>
      </c>
    </row>
    <row r="164" spans="1:13" ht="12.75">
      <c r="A164" s="5" t="s">
        <v>271</v>
      </c>
      <c r="B164" s="92"/>
      <c r="C164" s="160">
        <f>IF(ISNA(VLOOKUP("REN763000000",Balance!C:G,5,FALSE))=TRUE,0,VLOOKUP("REN763000000",Balance!C:G,5,FALSE))</f>
        <v>0</v>
      </c>
      <c r="D164" s="117">
        <f>+[2]Rennes!$H164</f>
        <v>-87.628888343750006</v>
      </c>
      <c r="E164" s="160">
        <f>IF(ISNA(VLOOKUP("REN763000000",Balanceanp!C:G,5,FALSE))=TRUE,0,VLOOKUP("REN763000000",Balanceanp!C:G,5,FALSE))</f>
        <v>-87.199999999999989</v>
      </c>
      <c r="F164" s="368">
        <f>+C164+C164/9*(12-Clients!$I$14)</f>
        <v>0</v>
      </c>
      <c r="G164" s="396">
        <f t="shared" si="16"/>
        <v>0</v>
      </c>
      <c r="H164" s="409"/>
      <c r="I164" s="149">
        <f t="shared" si="15"/>
        <v>-1</v>
      </c>
      <c r="J164" s="271">
        <f t="shared" si="15"/>
        <v>0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0</v>
      </c>
    </row>
    <row r="165" spans="1:13" ht="12.75">
      <c r="A165" s="5" t="s">
        <v>242</v>
      </c>
      <c r="B165" s="92"/>
      <c r="C165" s="160">
        <f>IF(ISNA(VLOOKUP("REN627520000",Balance!C:G,5,FALSE))=TRUE,0,VLOOKUP("REN627520000",Balance!C:G,5,FALSE))</f>
        <v>72</v>
      </c>
      <c r="D165" s="117">
        <f>+[2]Rennes!$H165</f>
        <v>394.29238999375002</v>
      </c>
      <c r="E165" s="160">
        <f>IF(ISNA(VLOOKUP("REN627520000",Balanceanp!C:G,5,FALSE))=TRUE,0,VLOOKUP("REN627520000",Balanceanp!C:G,5,FALSE))</f>
        <v>370.7</v>
      </c>
      <c r="F165" s="368">
        <f>+C165+C165/9*(12-Clients!$I$14)</f>
        <v>96</v>
      </c>
      <c r="G165" s="396">
        <f t="shared" si="16"/>
        <v>98.88</v>
      </c>
      <c r="H165" s="409"/>
      <c r="I165" s="149">
        <f t="shared" si="15"/>
        <v>-0.74103048287024542</v>
      </c>
      <c r="J165" s="271">
        <f t="shared" si="15"/>
        <v>2.9999999999999954E-2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98.88</v>
      </c>
    </row>
    <row r="166" spans="1:13" ht="12.75">
      <c r="A166" s="5" t="s">
        <v>201</v>
      </c>
      <c r="B166" s="92"/>
      <c r="C166" s="160">
        <f>IF(ISNA(VLOOKUP("REN763100000",Balance!C:G,5,FALSE))=TRUE,0,VLOOKUP("REN763100000",Balance!C:G,5,FALSE))</f>
        <v>0</v>
      </c>
      <c r="D166" s="117">
        <f>+[2]Rennes!$H166</f>
        <v>0</v>
      </c>
      <c r="E166" s="160">
        <f>IF(ISNA(VLOOKUP("REN763100000",Balanceanp!C:G,5,FALSE))=TRUE,0,VLOOKUP("REN763100000",Balanceanp!C:G,5,FALSE))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6.7462944943070778E-3</v>
      </c>
      <c r="C168" s="163">
        <f>SUM(C155:C167)</f>
        <v>2356.1699999999996</v>
      </c>
      <c r="D168" s="118">
        <f>SUM(D155:D167)</f>
        <v>8815.5206315379164</v>
      </c>
      <c r="E168" s="163">
        <f>SUM(E155:E167)</f>
        <v>1315.06</v>
      </c>
      <c r="F168" s="136">
        <f>SUM(F155:F167)</f>
        <v>3141.56</v>
      </c>
      <c r="G168" s="136">
        <f>SUM(G155:G167)</f>
        <v>8427.4108146666658</v>
      </c>
      <c r="H168" s="421">
        <f>+G168/$G$21</f>
        <v>1.6392551672177916E-2</v>
      </c>
      <c r="I168" s="272">
        <f>+IF((E168)=0,,(F168-E168)/E168)</f>
        <v>1.3889100117104924</v>
      </c>
      <c r="J168" s="188">
        <f>+IF((F168)=0,,(G168-F168)/F168)</f>
        <v>1.6825560596221834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310</v>
      </c>
      <c r="B170" s="92"/>
      <c r="C170" s="160">
        <f>IF(ISNA(VLOOKUP("REN651100000",Balance!C:G,5,FALSE))=TRUE,0,VLOOKUP("REN651100000",Balance!C:G,5,FALSE))</f>
        <v>0</v>
      </c>
      <c r="D170" s="117">
        <f>+[2]Rennes!$H170</f>
        <v>0</v>
      </c>
      <c r="E170" s="160">
        <f>IF(ISNA(VLOOKUP("REN651100000",Balanceanp!C:G,5,FALSE))=TRUE,0,VLOOKUP("REN651100000",Balanceanp!C:G,5,FALSE))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IF(ISNA(VLOOKUP("REN651600000",Balance!C:G,5,FALSE))=TRUE,0,VLOOKUP("REN651600000",Balance!C:G,5,FALSE))</f>
        <v>0</v>
      </c>
      <c r="D171" s="117">
        <f>+[2]Rennes!$H171</f>
        <v>0</v>
      </c>
      <c r="E171" s="160">
        <f>IF(ISNA(VLOOKUP("REN651600000",Balanceanp!C:G,5,FALSE))=TRUE,0,VLOOKUP("REN651600000",Balanceanp!C:G,5,FALSE))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0</v>
      </c>
    </row>
    <row r="172" spans="1:13" ht="12.75">
      <c r="A172" s="5" t="s">
        <v>169</v>
      </c>
      <c r="B172" s="92"/>
      <c r="C172" s="160">
        <f>IF(ISNA(VLOOKUP("REN671200000",Balance!C:G,5,FALSE))=TRUE,0,VLOOKUP("REN671200000",Balance!C:G,5,FALSE))</f>
        <v>0</v>
      </c>
      <c r="D172" s="117">
        <f>+[2]Rennes!$H172</f>
        <v>0</v>
      </c>
      <c r="E172" s="160">
        <f>IF(ISNA(VLOOKUP("REN671200000",Balanceanp!C:G,5,FALSE))=TRUE,0,VLOOKUP("REN671200000",Balanceanp!C:G,5,FALSE))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IF(ISNA(VLOOKUP("REN671800000",Balance!C:G,5,FALSE))=TRUE,0,VLOOKUP("REN671800000",Balance!C:G,5,FALSE))</f>
        <v>7.5</v>
      </c>
      <c r="D173" s="117">
        <f>+[2]Rennes!$H173</f>
        <v>195.8442</v>
      </c>
      <c r="E173" s="160">
        <f>IF(ISNA(VLOOKUP("REN671800000",Balanceanp!C:G,5,FALSE))=TRUE,0,VLOOKUP("REN671800000",Balanceanp!C:G,5,FALSE))</f>
        <v>190.14</v>
      </c>
      <c r="F173" s="368">
        <f>+C173+C173/9*(12-Clients!$I$14)</f>
        <v>10</v>
      </c>
      <c r="G173" s="396">
        <f t="shared" si="17"/>
        <v>10.3</v>
      </c>
      <c r="H173" s="409"/>
      <c r="I173" s="149">
        <f t="shared" si="18"/>
        <v>-0.94740717366151261</v>
      </c>
      <c r="J173" s="271">
        <f t="shared" si="18"/>
        <v>3.0000000000000072E-2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10.3</v>
      </c>
    </row>
    <row r="174" spans="1:13" ht="12.75">
      <c r="A174" s="5" t="s">
        <v>171</v>
      </c>
      <c r="B174" s="92"/>
      <c r="C174" s="160">
        <f>IF(ISNA(VLOOKUP("REN672000000",Balance!C:G,5,FALSE))=TRUE,0,VLOOKUP("REN672000000",Balance!C:G,5,FALSE))</f>
        <v>0</v>
      </c>
      <c r="D174" s="117">
        <f>+[2]Rennes!$H174</f>
        <v>0</v>
      </c>
      <c r="E174" s="160">
        <f>IF(ISNA(VLOOKUP("REN672000000",Balanceanp!C:G,5,FALSE))=TRUE,0,VLOOKUP("REN672000000",Balanceanp!C:G,5,FALSE))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IF(ISNA(VLOOKUP("REN691100000",Balance!C:G,5,FALSE))=TRUE,0,VLOOKUP("REN691100000",Balance!C:G,5,FALSE))</f>
        <v>0</v>
      </c>
      <c r="D175" s="117">
        <f>+[2]Rennes!$H175</f>
        <v>0</v>
      </c>
      <c r="E175" s="160">
        <f>IF(ISNA(VLOOKUP("REN691100000",Balanceanp!C:G,5,FALSE))=TRUE,0,VLOOKUP("REN691100000",Balanceanp!C:G,5,FALSE))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IF(ISNA(VLOOKUP("REN675100000",Balance!C:G,5,FALSE))=TRUE,0,VLOOKUP("REN675100000",Balance!C:G,5,FALSE))</f>
        <v>0</v>
      </c>
      <c r="D176" s="117">
        <f>+[2]Rennes!$H176</f>
        <v>0</v>
      </c>
      <c r="E176" s="160">
        <f>IF(ISNA(VLOOKUP("REN675100000",Balanceanp!C:G,5,FALSE))=TRUE,0,VLOOKUP("REN675100000",Balanceanp!C:G,5,FALSE))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IF(ISNA(VLOOKUP("REN675200000",Balance!C:G,5,FALSE))=TRUE,0,VLOOKUP("REN675200000",Balance!C:G,5,FALSE))</f>
        <v>0</v>
      </c>
      <c r="D177" s="117">
        <f>+[2]Rennes!$H177</f>
        <v>0</v>
      </c>
      <c r="E177" s="160">
        <f>IF(ISNA(VLOOKUP("REN675200000",Balanceanp!C:G,5,FALSE))=TRUE,0,VLOOKUP("REN675200000",Balanceanp!C:G,5,FALSE))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IF(ISNA(VLOOKUP("REN681110000",Balance!C:G,5,FALSE))=TRUE,0,VLOOKUP("REN681110000",Balance!C:G,5,FALSE))</f>
        <v>0</v>
      </c>
      <c r="D178" s="117">
        <f>+[2]Rennes!$H178</f>
        <v>0</v>
      </c>
      <c r="E178" s="160">
        <f>IF(ISNA(VLOOKUP("REN681110000",Balanceanp!C:G,5,FALSE))=TRUE,0,VLOOKUP("REN681110000",Balanceanp!C:G,5,FALSE))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IF(ISNA(VLOOKUP("REN681120000",Balance!C:G,5,FALSE))=TRUE,0,VLOOKUP("REN681120000",Balance!C:G,5,FALSE))</f>
        <v>1350</v>
      </c>
      <c r="D179" s="117">
        <f>+[2]Rennes!$H179</f>
        <v>1800</v>
      </c>
      <c r="E179" s="160">
        <f>IF(ISNA(VLOOKUP("REN681120000",Balanceanp!C:G,5,FALSE))=TRUE,0,VLOOKUP("REN681120000",Balanceanp!C:G,5,FALSE))</f>
        <v>2441.12</v>
      </c>
      <c r="F179" s="425">
        <v>777.36</v>
      </c>
      <c r="G179" s="570">
        <f>777.35+500+G255/10</f>
        <v>1777.35</v>
      </c>
      <c r="H179" s="413"/>
      <c r="I179" s="149">
        <f t="shared" si="18"/>
        <v>-0.68155600707871788</v>
      </c>
      <c r="J179" s="271">
        <f t="shared" si="18"/>
        <v>1.2863924050632909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1777.35</v>
      </c>
    </row>
    <row r="180" spans="1:13" ht="12.75">
      <c r="A180" s="5" t="s">
        <v>78</v>
      </c>
      <c r="B180" s="92"/>
      <c r="C180" s="160">
        <f>IF(ISNA(VLOOKUP("REN687250000",Balance!C:G,5,FALSE))=TRUE,0,+VLOOKUP("REN687250000",Balance!C:G,5,FALSE))</f>
        <v>0</v>
      </c>
      <c r="D180" s="117">
        <f>+[2]Rennes!$H180</f>
        <v>0</v>
      </c>
      <c r="E180" s="160">
        <f>IF(ISNA(VLOOKUP("REN687250000",Balanceanp!C:G,5,FALSE))=TRUE,0,+VLOOKUP("REN687250000",Balanceanp!C:G,5,FALSE))</f>
        <v>266.35000000000002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IF(ISNA(VLOOKUP("REN661880000",Balance!C:G,5,FALSE))=TRUE,0,+VLOOKUP("REN661880000",Balance!C:G,5,FALSE))</f>
        <v>0</v>
      </c>
      <c r="D181" s="117">
        <f>+[2]Rennes!$H181</f>
        <v>0</v>
      </c>
      <c r="E181" s="160">
        <f>IF(ISNA(VLOOKUP("REN661880000",Balanceanp!C:G,5,FALSE))=TRUE,0,+VLOOKUP("REN661880000",Balanceanp!C:G,5,FALSE))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/>
      <c r="D182" s="117">
        <f>+[2]Rennes!$H182</f>
        <v>0</v>
      </c>
      <c r="E182" s="160"/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IF(ISNA(VLOOKUP("ren681500000",Balance!C:G,5,FALSE))=TRUE,0,VLOOKUP("ren681500000",Balance!C:G,5,FALSE))</f>
        <v>0</v>
      </c>
      <c r="D183" s="117">
        <f>+[2]Rennes!$H183</f>
        <v>0</v>
      </c>
      <c r="E183" s="160">
        <f>IF(ISNA(VLOOKUP("ren681500000",Balanceanp!C:G,5,FALSE))=TRUE,0,VLOOKUP("ren681500000",Balanceanp!C:G,5,FALSE))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1357.5</v>
      </c>
      <c r="D185" s="118">
        <f>SUM(D169:D184)</f>
        <v>1995.8442</v>
      </c>
      <c r="E185" s="280">
        <f>SUM(E169:E184)</f>
        <v>2897.6099999999997</v>
      </c>
      <c r="F185" s="136">
        <f>SUM(F169:F184)</f>
        <v>787.36</v>
      </c>
      <c r="G185" s="136">
        <f>SUM(G169:G184)</f>
        <v>1787.6499999999999</v>
      </c>
      <c r="H185" s="421"/>
      <c r="I185" s="272">
        <f>+IF((E185)=0,,(F185-E185)/E185)</f>
        <v>-0.72827261087585971</v>
      </c>
      <c r="J185" s="188">
        <f>+IF((F185)=0,,(G185-F185)/F185)</f>
        <v>1.2704353789880103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IF(ISNA(VLOOKUP("REN740000000",Balance!C:G,5,FALSE))=TRUE,0,-VLOOKUP("REN740000000",Balance!C:G,5,FALSE))</f>
        <v>0</v>
      </c>
      <c r="D187" s="117">
        <f>+[2]Rennes!$H187</f>
        <v>0</v>
      </c>
      <c r="E187" s="160">
        <f>IF(ISNA(VLOOKUP("REN740000000",Balanceanp!C:G,5,FALSE))=TRUE,0,-VLOOKUP("REN740000000",Balanceanp!C:G,5,FALSE))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310</v>
      </c>
      <c r="B188" s="92"/>
      <c r="C188" s="160">
        <f>IF(ISNA(VLOOKUP("REN751100000",Balance!C:G,5,FALSE))=TRUE,0,-VLOOKUP("REN751100000",Balance!C:G,5,FALSE))</f>
        <v>0</v>
      </c>
      <c r="D188" s="117">
        <f>+[2]Rennes!$H188</f>
        <v>0</v>
      </c>
      <c r="E188" s="160">
        <f>IF(ISNA(VLOOKUP("REN751100000",Balanceanp!C:G,5,FALSE))=TRUE,0,-VLOOKUP("REN751100000",Balanceanp!C:G,5,FALSE))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IF(ISNA(VLOOKUP("REN758100000",Balance!C:G,5,FALSE))=TRUE,0,-VLOOKUP("REN758100000",Balance!C:G,5,FALSE))</f>
        <v>415.51</v>
      </c>
      <c r="D189" s="117">
        <f>+[2]Rennes!$H189</f>
        <v>0</v>
      </c>
      <c r="E189" s="160">
        <f>IF(ISNA(VLOOKUP("REN758100000",Balanceanp!C:G,5,FALSE))=TRUE,0,-VLOOKUP("REN758100000",Balanceanp!C:G,5,FALSE))</f>
        <v>456.34</v>
      </c>
      <c r="F189" s="368">
        <f>+C189+C189/9*(12-Clients!$I$14)</f>
        <v>554.01333333333332</v>
      </c>
      <c r="G189" s="368">
        <v>0</v>
      </c>
      <c r="H189" s="410"/>
      <c r="I189" s="149">
        <f t="shared" si="19"/>
        <v>0.2140363179500665</v>
      </c>
      <c r="J189" s="271">
        <f t="shared" si="19"/>
        <v>-1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IF(ISNA(VLOOKUP("REN763800000",Balance!C:G,5,FALSE))=TRUE,0,-VLOOKUP("REN763800000",Balance!C:G,5,FALSE))</f>
        <v>0</v>
      </c>
      <c r="D190" s="117">
        <f>+[2]Rennes!$H190</f>
        <v>0</v>
      </c>
      <c r="E190" s="160">
        <f>IF(ISNA(VLOOKUP("REN763800000",Balanceanp!C:G,5,FALSE))=TRUE,0,-VLOOKUP("REN763800000",Balanceanp!C:G,5,FALSE))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IF(ISNA(VLOOKUP("REN765000000",Balance!C:G,5,FALSE))=TRUE,0,-VLOOKUP("REN765000000",Balance!C:G,5,FALSE))</f>
        <v>0</v>
      </c>
      <c r="D191" s="117">
        <f>+[2]Rennes!$H191</f>
        <v>0</v>
      </c>
      <c r="E191" s="160">
        <f>IF(ISNA(VLOOKUP("REN765000000",Balanceanp!C:G,5,FALSE))=TRUE,0,-VLOOKUP("REN765000000",Balanceanp!C:G,5,FALSE))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IF(ISNA(VLOOKUP("REN771400000",Balance!C:G,5,FALSE))=TRUE,0,-VLOOKUP("REN771400000",Balance!C:G,5,FALSE))</f>
        <v>0</v>
      </c>
      <c r="D192" s="117">
        <f>+[2]Rennes!$H192</f>
        <v>0</v>
      </c>
      <c r="E192" s="160">
        <f>IF(ISNA(VLOOKUP("REN771400000",Balanceanp!C:G,5,FALSE))=TRUE,0,-VLOOKUP("REN771400000",Balanceanp!C:G,5,FALSE))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IF(ISNA(VLOOKUP("REN771800000",Balance!C:G,5,FALSE))=TRUE,0,-VLOOKUP("REN771800000",Balance!C:G,5,FALSE))</f>
        <v>2155.84</v>
      </c>
      <c r="D193" s="117">
        <f>+[2]Rennes!$H193</f>
        <v>0</v>
      </c>
      <c r="E193" s="160">
        <f>IF(ISNA(VLOOKUP("REN771800000",Balanceanp!C:G,5,FALSE))=TRUE,0,-VLOOKUP("REN771800000",Balanceanp!C:G,5,FALSE))</f>
        <v>22</v>
      </c>
      <c r="F193" s="368">
        <f>+C193+C193/9*(12-Clients!$I$14)</f>
        <v>2874.4533333333334</v>
      </c>
      <c r="G193" s="368">
        <v>0</v>
      </c>
      <c r="H193" s="410"/>
      <c r="I193" s="149">
        <f t="shared" si="19"/>
        <v>129.6569696969697</v>
      </c>
      <c r="J193" s="271">
        <f t="shared" si="19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IF(ISNA(VLOOKUP("REN758000000",Balance!C:G,5,FALSE))=TRUE,0,-VLOOKUP("REN758000000",Balance!C:G,5,FALSE))</f>
        <v>0</v>
      </c>
      <c r="D194" s="117">
        <f>+[2]Rennes!$H194</f>
        <v>0</v>
      </c>
      <c r="E194" s="160">
        <f>IF(ISNA(VLOOKUP("REN772000000",Balanceanp!C:G,5,FALSE))=TRUE,0,-VLOOKUP("REN772000000",Balanceanp!C:G,5,FALSE))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IF(ISNA(VLOOKUP("REN775100000",Balance!C:G,5,FALSE))=TRUE,0,-VLOOKUP("REN775100000",Balance!C:G,5,FALSE))</f>
        <v>0</v>
      </c>
      <c r="D195" s="117">
        <f>+[2]Rennes!$H195</f>
        <v>0</v>
      </c>
      <c r="E195" s="160">
        <f>IF(ISNA(VLOOKUP("REN775100000",Balanceanp!C:G,5,FALSE))=TRUE,0,-VLOOKUP("REN775100000",Balanceanp!C:G,5,FALSE))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IF(ISNA(VLOOKUP("REN775200000",Balance!C:G,5,FALSE))=TRUE,0,-VLOOKUP("REN775200000",Balance!C:G,5,FALSE))</f>
        <v>0</v>
      </c>
      <c r="D196" s="117">
        <f>+[2]Rennes!$H196</f>
        <v>0</v>
      </c>
      <c r="E196" s="160">
        <f>IF(ISNA(VLOOKUP("REN775200000",Balanceanp!C:G,5,FALSE))=TRUE,0,-VLOOKUP("REN775200000",Balanceanp!C:G,5,FALSE))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IF(ISNA(VLOOKUP("REN791000000",Balance!C:G,5,FALSE))=TRUE,0,-VLOOKUP("REN791000000",Balance!C:G,5,FALSE))</f>
        <v>0</v>
      </c>
      <c r="D197" s="117">
        <f>+[2]Rennes!$H197</f>
        <v>0</v>
      </c>
      <c r="E197" s="160">
        <f>IF(ISNA(VLOOKUP("REN791000000",Balanceanp!C:G,5,FALSE))=TRUE,0,-VLOOKUP("REN791000000",Balanceanp!C:G,5,FALSE))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IF(ISNA(VLOOKUP("ren781500000",Balance!C:G,5,FALSE))=TRUE,0,-VLOOKUP("ren781500000",Balance!C:G,5,FALSE))</f>
        <v>0</v>
      </c>
      <c r="D198" s="117">
        <f>+[2]Rennes!$H198</f>
        <v>0</v>
      </c>
      <c r="E198" s="160">
        <f>IF(ISNA(VLOOKUP("ren781500000",Balanceanp!C:G,5,FALSE))=TRUE,0,-VLOOKUP("ren781500000",Balanceanp!C:G,5,FALSE))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IF(ISNA(VLOOKUP("ren787250000",Balance!C:G,5,FALSE))=TRUE,0,-VLOOKUP("ren787250000",Balance!C:G,5,FALSE))</f>
        <v>0</v>
      </c>
      <c r="D199" s="117">
        <f>+[2]Rennes!$H199</f>
        <v>0</v>
      </c>
      <c r="E199" s="160">
        <f>IF(ISNA(VLOOKUP("ren787250000",Balanceanp!C:G,5,FALSE))=TRUE,0,-VLOOKUP("ren787250000",Balanceanp!C:G,5,FALSE))</f>
        <v>1112.3399999999999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2571.3500000000004</v>
      </c>
      <c r="D201" s="118">
        <f>SUM(D186:D200)</f>
        <v>0</v>
      </c>
      <c r="E201" s="163">
        <f>SUM(E186:E200)</f>
        <v>1590.6799999999998</v>
      </c>
      <c r="F201" s="136">
        <f>SUM(F186:F200)</f>
        <v>3428.4666666666667</v>
      </c>
      <c r="G201" s="136">
        <f>SUM(G186:G200)</f>
        <v>0</v>
      </c>
      <c r="H201" s="421"/>
      <c r="I201" s="272">
        <f>+IF((E201)=0,,(F201-E201)/E201)</f>
        <v>1.1553465603808855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0.3749035336608218</v>
      </c>
      <c r="C203" s="175">
        <f>+C103+C116+C129+C154+C168+C185-C201</f>
        <v>130936.53999999998</v>
      </c>
      <c r="D203" s="126">
        <f>+D103+D116+D129+D154+D168+D185-D201</f>
        <v>205686.96615188222</v>
      </c>
      <c r="E203" s="175">
        <f>+E103+E116+E129+E154+E168+E185-E201</f>
        <v>204620.49632000003</v>
      </c>
      <c r="F203" s="145">
        <f>+F103+F116+F129+F154+F168+F185-F201</f>
        <v>168643.63333333333</v>
      </c>
      <c r="G203" s="145">
        <f>+G103+G116+G129+G154+G168+G185-G201</f>
        <v>191685.98033995711</v>
      </c>
      <c r="H203" s="422">
        <f>+G203/$G$21</f>
        <v>0.37285738249359485</v>
      </c>
      <c r="I203" s="281">
        <f>+IF((E203)=0,,(F203-E203)/E203)</f>
        <v>-0.1758223815976066</v>
      </c>
      <c r="J203" s="282">
        <f>+IF((F203)=0,,(G203-F203)/F203)</f>
        <v>0.13663336439792734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1.3275268611851151E-2</v>
      </c>
      <c r="C205" s="177">
        <f>+C62-C203</f>
        <v>4636.4400000000314</v>
      </c>
      <c r="D205" s="127">
        <f>+D62-D203</f>
        <v>37737.738008117798</v>
      </c>
      <c r="E205" s="177">
        <f>+E53-E203</f>
        <v>26046.19917999988</v>
      </c>
      <c r="F205" s="146">
        <f>+F62-F203</f>
        <v>11121.47066666669</v>
      </c>
      <c r="G205" s="146">
        <f>+G62-G203</f>
        <v>23281.829860042897</v>
      </c>
      <c r="H205" s="406">
        <f>+G205/$G$21</f>
        <v>4.5286578214438628E-2</v>
      </c>
      <c r="I205" s="226">
        <f>+IF((E205)=0,,(F205-E205)/E205)</f>
        <v>-0.57300984340139172</v>
      </c>
      <c r="J205" s="283">
        <f>+IF((F205)=0,,(G205-F205)/F205)</f>
        <v>1.0934128729776069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2.6444334146794612E-3</v>
      </c>
      <c r="C207" s="179">
        <f>+[2]Rennes!$C207</f>
        <v>923.57881558878978</v>
      </c>
      <c r="D207" s="128">
        <f>+[2]Rennes!$H207</f>
        <v>3380.8696831075836</v>
      </c>
      <c r="E207" s="284">
        <f>+[1]Rennes!$G$207</f>
        <v>1294.7300294516858</v>
      </c>
      <c r="F207" s="150">
        <f>+Repart!K6</f>
        <v>1230.3466915453473</v>
      </c>
      <c r="G207" s="150">
        <f>+Repart!Q6</f>
        <v>1945.9727008092068</v>
      </c>
      <c r="H207" s="423">
        <f>+G207/$G$21</f>
        <v>3.785202685876691E-3</v>
      </c>
      <c r="I207" s="281">
        <f>+IF((E207)=0,,(F207-E207)/E207)</f>
        <v>-4.9727229956661047E-2</v>
      </c>
      <c r="J207" s="282">
        <f>+IF((F207)=0,,(G207-F207)/F207)</f>
        <v>0.58164581916745328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1.063083519717169E-2</v>
      </c>
      <c r="C209" s="177">
        <f>+C205-C207</f>
        <v>3712.8611844112415</v>
      </c>
      <c r="D209" s="127">
        <f>+D205-D207</f>
        <v>34356.868325010211</v>
      </c>
      <c r="E209" s="177">
        <f>+E205-E207</f>
        <v>24751.469150548193</v>
      </c>
      <c r="F209" s="146">
        <f>+F205-F207</f>
        <v>9891.1239751213434</v>
      </c>
      <c r="G209" s="146">
        <f>+G205-G207</f>
        <v>21335.857159233688</v>
      </c>
      <c r="H209" s="406">
        <f>+G209/$G$21</f>
        <v>4.150137552856193E-2</v>
      </c>
      <c r="I209" s="226">
        <f>+IF((E209)=0,,(F209-E209)/E209)</f>
        <v>-0.60038234841901195</v>
      </c>
      <c r="J209" s="283">
        <f>+IF((F209)=0,,(G209-F209)/F209)</f>
        <v>1.1570710480324298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1.8711491793735872E-2</v>
      </c>
      <c r="C211" s="160">
        <f>+[2]Rennes!$C211</f>
        <v>6535.0624193548392</v>
      </c>
      <c r="D211" s="117">
        <f>+[2]Rennes!$H211</f>
        <v>9026.0372215405096</v>
      </c>
      <c r="E211" s="160">
        <f>+[1]Rennes!$G211</f>
        <v>8095.0860719999991</v>
      </c>
      <c r="F211" s="368">
        <f>+Repart!I6</f>
        <v>8997.9607634408567</v>
      </c>
      <c r="G211" s="368">
        <f>+Repart!O6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3.8603288450757368E-2</v>
      </c>
      <c r="C212" s="160">
        <f>+[2]Rennes!$C212</f>
        <v>13482.350974416393</v>
      </c>
      <c r="D212" s="117">
        <f>+[2]Rennes!$H212</f>
        <v>21414.635509408359</v>
      </c>
      <c r="E212" s="160">
        <f>+[1]Rennes!$G212</f>
        <v>19870.856263763875</v>
      </c>
      <c r="F212" s="368">
        <f>+Repart!J6</f>
        <v>18790.272680534043</v>
      </c>
      <c r="G212" s="368">
        <f>+Repart!P6</f>
        <v>20966.381474211918</v>
      </c>
      <c r="H212" s="410"/>
      <c r="I212" s="149">
        <f t="shared" si="20"/>
        <v>-5.4380323066417866E-2</v>
      </c>
      <c r="J212" s="271">
        <f t="shared" si="20"/>
        <v>0.11581038927296862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+[2]Rennes!$C213</f>
        <v>-4503.6400000000003</v>
      </c>
      <c r="D213" s="117">
        <f>+[2]Rennes!$H213</f>
        <v>-5400</v>
      </c>
      <c r="E213" s="160">
        <f>+[1]Rennes!$G213</f>
        <v>-5334.36</v>
      </c>
      <c r="F213" s="368">
        <f>+C213+C213/9*(12-Clients!$I$14)</f>
        <v>-6004.8533333333344</v>
      </c>
      <c r="G213" s="368">
        <f>+G253*-4%</f>
        <v>-5400</v>
      </c>
      <c r="H213" s="410"/>
      <c r="I213" s="149">
        <f t="shared" si="20"/>
        <v>0.12569330403897278</v>
      </c>
      <c r="J213" s="271">
        <f t="shared" si="20"/>
        <v>-0.10072741160483535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4.4419750710825837E-2</v>
      </c>
      <c r="C215" s="180">
        <f>SUM(C210:C213)</f>
        <v>15513.773393771233</v>
      </c>
      <c r="D215" s="129">
        <f>SUM(D210:D213)</f>
        <v>25040.672730948871</v>
      </c>
      <c r="E215" s="180">
        <f>SUM(E210:E213)</f>
        <v>22631.582335763873</v>
      </c>
      <c r="F215" s="148">
        <f>SUM(F210:F213)</f>
        <v>21783.380110641563</v>
      </c>
      <c r="G215" s="148">
        <f>SUM(G210:G213)</f>
        <v>25211.066153522395</v>
      </c>
      <c r="H215" s="424">
        <f>+G215/$G$21</f>
        <v>4.9039226130173884E-2</v>
      </c>
      <c r="I215" s="281">
        <f>+IF((E215)=0,,(F215-E215)/E215)</f>
        <v>-3.7478697359217626E-2</v>
      </c>
      <c r="J215" s="282">
        <f>+IF((F215)=0,,(G215-F215)/F215)</f>
        <v>0.15735326774224298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-3.378891551365415E-2</v>
      </c>
      <c r="C217" s="177">
        <f>+C209-C215</f>
        <v>-11800.912209359991</v>
      </c>
      <c r="D217" s="127">
        <f>+D209-D215</f>
        <v>9316.1955940613407</v>
      </c>
      <c r="E217" s="177">
        <f>+E209-E215</f>
        <v>2119.8868147843204</v>
      </c>
      <c r="F217" s="146">
        <f>+F209-F215</f>
        <v>-11892.25613552022</v>
      </c>
      <c r="G217" s="146">
        <f>+G209-G215</f>
        <v>-3875.2089942887069</v>
      </c>
      <c r="H217" s="406">
        <f>+G217/$G$21</f>
        <v>-7.5378506016119569E-3</v>
      </c>
      <c r="I217" s="226">
        <f>+IF((E217)=0,,(F217-E217)/E217)</f>
        <v>-6.6098542868337766</v>
      </c>
      <c r="J217" s="283">
        <f>+IF((F217)=0,,(G217-F217)/F217)</f>
        <v>-0.67414013370313364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-11800.912209360016</v>
      </c>
      <c r="D218" s="117">
        <f>+[2]Rennes!$H$217</f>
        <v>9316.1955940613407</v>
      </c>
      <c r="E218" s="17">
        <f>+[1]Rennes!$G$217</f>
        <v>2119.8868147843204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102.9846285049378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+B220/(C21*1.196)*Clients!K20</f>
        <v>70.86701223132421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491246.30736453325</v>
      </c>
      <c r="D222" s="265">
        <f>+(D215+D207+D203)/D60</f>
        <v>532064.79219531524</v>
      </c>
      <c r="E222" s="265">
        <f>+(E215+E207+E203)/E60/Clients!$I$13*12</f>
        <v>714426.87738084362</v>
      </c>
      <c r="F222" s="265">
        <f>+(F215+F207+F203)/F60</f>
        <v>479143.40033880057</v>
      </c>
      <c r="G222" s="265">
        <f>+(G215+G207+G203)/G60</f>
        <v>508937.25394020631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40937.192280377771</v>
      </c>
      <c r="D223" s="265">
        <f>+(D215+D207+D203)/D60/12</f>
        <v>44338.732682942937</v>
      </c>
      <c r="E223" s="265">
        <f>+(E215+E207+E203)/E60/Clients!$I$13</f>
        <v>59535.5731150703</v>
      </c>
      <c r="F223" s="265">
        <f>+(F215+F207+F203)/F60/9</f>
        <v>53238.155593200063</v>
      </c>
      <c r="G223" s="265">
        <f>+(G215+G207+G203)/G60/12</f>
        <v>42411.437828350528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347979.93999999994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359616.26999999996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RENNES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338932.45</v>
      </c>
      <c r="D233" s="176">
        <f t="shared" si="21"/>
        <v>553237.96400000004</v>
      </c>
      <c r="E233" s="175">
        <f t="shared" si="21"/>
        <v>540790.15999999992</v>
      </c>
      <c r="F233" s="206">
        <f t="shared" si="21"/>
        <v>449412.76</v>
      </c>
      <c r="G233" s="206">
        <f t="shared" si="21"/>
        <v>499925.14</v>
      </c>
      <c r="H233" s="313"/>
      <c r="I233" s="281">
        <f>+I51</f>
        <v>-0.16897016025587433</v>
      </c>
      <c r="J233" s="192">
        <f t="shared" si="21"/>
        <v>0.11239640814826887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0.4</v>
      </c>
      <c r="D235" s="191">
        <f>+D60</f>
        <v>0.44</v>
      </c>
      <c r="E235" s="197">
        <f>+E60</f>
        <v>0.42653641386522262</v>
      </c>
      <c r="F235" s="224">
        <f>+F60</f>
        <v>0.4</v>
      </c>
      <c r="G235" s="224">
        <f>+G60</f>
        <v>0.43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135572.98000000001</v>
      </c>
      <c r="D236" s="170">
        <f>+D62</f>
        <v>243424.70416000002</v>
      </c>
      <c r="E236" s="169">
        <f>+E62</f>
        <v>230666.69549999991</v>
      </c>
      <c r="F236" s="223">
        <f>+F62</f>
        <v>179765.10400000002</v>
      </c>
      <c r="G236" s="223">
        <f>+G62</f>
        <v>214967.81020000001</v>
      </c>
      <c r="H236" s="309"/>
      <c r="I236" s="226">
        <f>+IF((E236)=0,,(F236-E236)/E236)</f>
        <v>-0.2206716118669152</v>
      </c>
      <c r="J236" s="283">
        <f>+IF((F236)=0,,(G236-F236)/F236)</f>
        <v>0.19582613875938892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48662.600000000006</v>
      </c>
      <c r="D238" s="294">
        <f>+D103</f>
        <v>75957.614288955825</v>
      </c>
      <c r="E238" s="293">
        <f>+E103</f>
        <v>73361.23000000001</v>
      </c>
      <c r="F238" s="295">
        <f>+F103</f>
        <v>64353.556666666671</v>
      </c>
      <c r="G238" s="295">
        <f>+G103</f>
        <v>69062.504316666673</v>
      </c>
      <c r="H238" s="388"/>
      <c r="I238" s="415">
        <f t="shared" ref="I238:J243" si="22">+IF((E238)=0,,(F238-E238)/E238)</f>
        <v>-0.1227852004844158</v>
      </c>
      <c r="J238" s="297">
        <f t="shared" si="22"/>
        <v>7.3173075334297788E-2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14735.63</v>
      </c>
      <c r="D239" s="294">
        <f>+D116</f>
        <v>21320</v>
      </c>
      <c r="E239" s="293">
        <f>+E116</f>
        <v>15046.36</v>
      </c>
      <c r="F239" s="295">
        <f>+F116</f>
        <v>17269.276666666668</v>
      </c>
      <c r="G239" s="295">
        <f>+G116</f>
        <v>17432.9935</v>
      </c>
      <c r="H239" s="388"/>
      <c r="I239" s="415">
        <f t="shared" si="22"/>
        <v>0.14773783603919272</v>
      </c>
      <c r="J239" s="297">
        <f t="shared" si="22"/>
        <v>9.4802368676703119E-3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9797.69</v>
      </c>
      <c r="D240" s="294">
        <f>+D129</f>
        <v>13484.3882424</v>
      </c>
      <c r="E240" s="293">
        <f>+E129</f>
        <v>12663.41</v>
      </c>
      <c r="F240" s="295">
        <f>+F129</f>
        <v>11055.946666666667</v>
      </c>
      <c r="G240" s="295">
        <f>+G129</f>
        <v>12011.646224</v>
      </c>
      <c r="H240" s="388"/>
      <c r="I240" s="415">
        <f t="shared" si="22"/>
        <v>-0.12693763633439439</v>
      </c>
      <c r="J240" s="297">
        <f t="shared" si="22"/>
        <v>8.6442128037279492E-2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56598.299999999988</v>
      </c>
      <c r="D241" s="294">
        <f>+D154</f>
        <v>84113.598788988485</v>
      </c>
      <c r="E241" s="293">
        <f>+E154</f>
        <v>100927.50632000001</v>
      </c>
      <c r="F241" s="295">
        <f>+F154</f>
        <v>75464.400000000009</v>
      </c>
      <c r="G241" s="295">
        <f>+G154</f>
        <v>82963.775484623795</v>
      </c>
      <c r="H241" s="388"/>
      <c r="I241" s="415">
        <f t="shared" si="22"/>
        <v>-0.25229104778698153</v>
      </c>
      <c r="J241" s="297">
        <f t="shared" si="22"/>
        <v>9.9376334862846388E-2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2356.1699999999996</v>
      </c>
      <c r="D242" s="294">
        <f>+D168</f>
        <v>8815.5206315379164</v>
      </c>
      <c r="E242" s="293">
        <f>+E168</f>
        <v>1315.06</v>
      </c>
      <c r="F242" s="295">
        <f>+F168</f>
        <v>3141.56</v>
      </c>
      <c r="G242" s="295">
        <f>+G168</f>
        <v>8427.4108146666658</v>
      </c>
      <c r="H242" s="388"/>
      <c r="I242" s="415">
        <f t="shared" si="22"/>
        <v>1.3889100117104924</v>
      </c>
      <c r="J242" s="297">
        <f t="shared" si="22"/>
        <v>1.6825560596221834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-1213.8500000000004</v>
      </c>
      <c r="D243" s="294">
        <f>+D185-D201</f>
        <v>1995.8442</v>
      </c>
      <c r="E243" s="293">
        <f>+E185-E201</f>
        <v>1306.9299999999998</v>
      </c>
      <c r="F243" s="295">
        <f>+F185-F201</f>
        <v>-2641.1066666666666</v>
      </c>
      <c r="G243" s="295">
        <f>+G185-G201</f>
        <v>1787.6499999999999</v>
      </c>
      <c r="H243" s="388"/>
      <c r="I243" s="415">
        <f t="shared" si="22"/>
        <v>-3.0208478393385008</v>
      </c>
      <c r="J243" s="297">
        <f t="shared" si="22"/>
        <v>-1.6768564187739481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130936.53999999998</v>
      </c>
      <c r="D245" s="300">
        <f>+D203</f>
        <v>205686.96615188222</v>
      </c>
      <c r="E245" s="299">
        <f>+E203</f>
        <v>204620.49632000003</v>
      </c>
      <c r="F245" s="301">
        <f>+F203</f>
        <v>168643.63333333333</v>
      </c>
      <c r="G245" s="301">
        <f>+G203</f>
        <v>191685.98033995711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4636.4400000000314</v>
      </c>
      <c r="D247" s="178">
        <f>+D205</f>
        <v>37737.738008117798</v>
      </c>
      <c r="E247" s="177">
        <f>+E205</f>
        <v>26046.19917999988</v>
      </c>
      <c r="F247" s="228">
        <f>+F205</f>
        <v>11121.47066666669</v>
      </c>
      <c r="G247" s="228">
        <f>+G205</f>
        <v>23281.829860042897</v>
      </c>
      <c r="H247" s="314"/>
      <c r="I247" s="226">
        <f>+IF((E247)=0,,(F247-E247)/E247)</f>
        <v>-0.57300984340139172</v>
      </c>
      <c r="J247" s="283">
        <f>+IF((F247)=0,,(G247-F247)/F247)</f>
        <v>1.0934128729776069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16437.352209360022</v>
      </c>
      <c r="D249" s="181">
        <f>+D207+D215</f>
        <v>28421.542414056454</v>
      </c>
      <c r="E249" s="180">
        <f>+E207+E215</f>
        <v>23926.312365215559</v>
      </c>
      <c r="F249" s="230">
        <f>+F207+F215</f>
        <v>23013.726802186909</v>
      </c>
      <c r="G249" s="230">
        <f>+G207+G215</f>
        <v>27157.0388543316</v>
      </c>
      <c r="H249" s="316"/>
      <c r="I249" s="281">
        <f>+I67</f>
        <v>0.33592281249925332</v>
      </c>
      <c r="J249" s="192">
        <f>+J67</f>
        <v>-0.19533652814534005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-11800.912209359991</v>
      </c>
      <c r="D251" s="178">
        <f>+D217</f>
        <v>9316.1955940613407</v>
      </c>
      <c r="E251" s="177">
        <f>+E217</f>
        <v>2119.8868147843204</v>
      </c>
      <c r="F251" s="228">
        <f>+F217</f>
        <v>-11892.25613552022</v>
      </c>
      <c r="G251" s="228">
        <f>+G217</f>
        <v>-3875.2089942887069</v>
      </c>
      <c r="H251" s="314"/>
      <c r="I251" s="226">
        <f>+IF((E251)=0,,(F251-E251)/E251)</f>
        <v>-6.6098542868337766</v>
      </c>
      <c r="J251" s="283">
        <f>+IF((F251)=0,,(G251-F251)/F251)</f>
        <v>-0.67414013370313364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110595.53</v>
      </c>
      <c r="D253" s="294">
        <v>140000</v>
      </c>
      <c r="E253" s="293">
        <f>+E28</f>
        <v>131943.21</v>
      </c>
      <c r="F253" s="295"/>
      <c r="G253" s="1162">
        <v>135000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491246.30736453325</v>
      </c>
      <c r="D254" s="294">
        <f>+D222</f>
        <v>532064.79219531524</v>
      </c>
      <c r="E254" s="293">
        <f>+E222</f>
        <v>714426.87738084362</v>
      </c>
      <c r="F254" s="295">
        <f>+F222</f>
        <v>479143.40033880057</v>
      </c>
      <c r="G254" s="295">
        <f>+G222</f>
        <v>508937.25394020631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5000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 enableFormatConditionsCalculation="0">
    <tabColor indexed="57"/>
    <pageSetUpPr fitToPage="1"/>
  </sheetPr>
  <dimension ref="A1:S255"/>
  <sheetViews>
    <sheetView zoomScaleNormal="85" workbookViewId="0">
      <pane xSplit="1" ySplit="6" topLeftCell="I222" activePane="bottomRight" state="frozen"/>
      <selection pane="topRight" activeCell="B1" sqref="B1"/>
      <selection pane="bottomLeft" activeCell="A7" sqref="A7"/>
      <selection pane="bottomRight" activeCell="A3" sqref="A3:R224"/>
    </sheetView>
  </sheetViews>
  <sheetFormatPr baseColWidth="10" defaultRowHeight="12.75"/>
  <cols>
    <col min="1" max="1" width="57.28515625" bestFit="1" customWidth="1"/>
    <col min="2" max="8" width="12.7109375" style="26" customWidth="1"/>
    <col min="9" max="11" width="12.7109375" style="322" customWidth="1"/>
    <col min="12" max="12" width="12.7109375" style="28" customWidth="1"/>
    <col min="14" max="14" width="13.140625" style="64" hidden="1" customWidth="1"/>
    <col min="16" max="16" width="9.5703125" style="66" customWidth="1"/>
    <col min="17" max="17" width="10.28515625" style="66" customWidth="1"/>
    <col min="18" max="18" width="12.28515625" style="109" bestFit="1" customWidth="1"/>
    <col min="19" max="19" width="13.28515625" customWidth="1"/>
  </cols>
  <sheetData>
    <row r="1" spans="1:19">
      <c r="A1" s="1" t="s">
        <v>515</v>
      </c>
      <c r="L1" s="45" t="s">
        <v>299</v>
      </c>
    </row>
    <row r="3" spans="1:19" s="2" customFormat="1" ht="12.75" customHeight="1">
      <c r="A3" s="6"/>
      <c r="B3" s="155"/>
      <c r="C3" s="211"/>
      <c r="D3" s="211"/>
      <c r="E3" s="211"/>
      <c r="F3" s="211"/>
      <c r="G3" s="211"/>
      <c r="H3" s="211"/>
      <c r="I3" s="211"/>
      <c r="J3" s="211"/>
      <c r="K3" s="211"/>
      <c r="L3" s="267" t="s">
        <v>55</v>
      </c>
      <c r="M3" s="130" t="s">
        <v>364</v>
      </c>
      <c r="N3" s="130" t="s">
        <v>543</v>
      </c>
      <c r="O3" s="104" t="s">
        <v>196</v>
      </c>
      <c r="P3" s="151" t="s">
        <v>225</v>
      </c>
      <c r="Q3" s="183" t="s">
        <v>225</v>
      </c>
      <c r="R3" s="8" t="s">
        <v>196</v>
      </c>
    </row>
    <row r="4" spans="1:19" s="2" customFormat="1" ht="20.25" customHeight="1">
      <c r="A4" s="7" t="s">
        <v>218</v>
      </c>
      <c r="B4" s="212" t="s">
        <v>204</v>
      </c>
      <c r="C4" s="213" t="s">
        <v>205</v>
      </c>
      <c r="D4" s="213" t="s">
        <v>206</v>
      </c>
      <c r="E4" s="213" t="s">
        <v>232</v>
      </c>
      <c r="F4" s="213" t="s">
        <v>322</v>
      </c>
      <c r="G4" s="213" t="s">
        <v>68</v>
      </c>
      <c r="H4" s="213" t="s">
        <v>51</v>
      </c>
      <c r="I4" s="213" t="s">
        <v>516</v>
      </c>
      <c r="J4" s="213" t="s">
        <v>418</v>
      </c>
      <c r="K4" s="213" t="s">
        <v>550</v>
      </c>
      <c r="L4" s="260" t="s">
        <v>366</v>
      </c>
      <c r="M4" s="131" t="s">
        <v>366</v>
      </c>
      <c r="N4" s="131" t="s">
        <v>432</v>
      </c>
      <c r="O4" s="105" t="s">
        <v>197</v>
      </c>
      <c r="P4" s="152" t="s">
        <v>55</v>
      </c>
      <c r="Q4" s="131" t="s">
        <v>432</v>
      </c>
      <c r="R4" s="9" t="s">
        <v>197</v>
      </c>
    </row>
    <row r="5" spans="1:19" s="2" customFormat="1" ht="20.25" customHeight="1">
      <c r="A5" s="7" t="s">
        <v>231</v>
      </c>
      <c r="B5" s="157"/>
      <c r="C5" s="215"/>
      <c r="D5" s="215"/>
      <c r="E5" s="215"/>
      <c r="F5" s="215"/>
      <c r="G5" s="215"/>
      <c r="H5" s="215"/>
      <c r="I5" s="213" t="s">
        <v>517</v>
      </c>
      <c r="J5" s="215"/>
      <c r="K5" s="213" t="s">
        <v>551</v>
      </c>
      <c r="L5" s="157">
        <f>L217</f>
        <v>147291.00190728367</v>
      </c>
      <c r="M5" s="157">
        <f>M217</f>
        <v>209107.95475034113</v>
      </c>
      <c r="N5" s="157">
        <f>N217</f>
        <v>244179.3216198181</v>
      </c>
      <c r="O5" s="157">
        <f>O217</f>
        <v>244179.32161981799</v>
      </c>
      <c r="P5" s="152"/>
      <c r="Q5" s="132" t="s">
        <v>433</v>
      </c>
      <c r="R5" s="10"/>
    </row>
    <row r="6" spans="1:19" s="2" customFormat="1" ht="18">
      <c r="A6" s="68"/>
      <c r="B6" s="158"/>
      <c r="C6" s="231"/>
      <c r="D6" s="231"/>
      <c r="E6" s="231"/>
      <c r="F6" s="231"/>
      <c r="G6" s="231"/>
      <c r="H6" s="231"/>
      <c r="I6" s="1163" t="s">
        <v>719</v>
      </c>
      <c r="J6" s="231"/>
      <c r="K6" s="231">
        <v>2010</v>
      </c>
      <c r="L6" s="269">
        <v>2009</v>
      </c>
      <c r="M6" s="133">
        <v>2010</v>
      </c>
      <c r="N6" s="133">
        <v>2009</v>
      </c>
      <c r="O6" s="159">
        <v>2011</v>
      </c>
      <c r="P6" s="153" t="s">
        <v>544</v>
      </c>
      <c r="Q6" s="185" t="s">
        <v>368</v>
      </c>
      <c r="R6" s="4">
        <v>2010</v>
      </c>
    </row>
    <row r="7" spans="1:19" s="2" customFormat="1" ht="18">
      <c r="A7" s="67"/>
      <c r="B7" s="217"/>
      <c r="C7" s="113"/>
      <c r="D7" s="113"/>
      <c r="E7" s="113"/>
      <c r="F7" s="113"/>
      <c r="G7" s="113"/>
      <c r="H7" s="113"/>
      <c r="I7" s="113"/>
      <c r="J7" s="113"/>
      <c r="K7" s="113"/>
      <c r="L7" s="160"/>
      <c r="M7" s="134"/>
      <c r="N7" s="25"/>
      <c r="O7" s="154"/>
      <c r="P7" s="149"/>
      <c r="Q7" s="186"/>
      <c r="R7" s="115"/>
    </row>
    <row r="8" spans="1:19" s="2" customFormat="1" ht="11.25">
      <c r="A8" s="5" t="s">
        <v>221</v>
      </c>
      <c r="B8" s="160">
        <f>+Orléans!$G8</f>
        <v>1100050</v>
      </c>
      <c r="C8" s="113">
        <f>+Angers!$G8</f>
        <v>1268860</v>
      </c>
      <c r="D8" s="113">
        <f>+Thouars!$G8</f>
        <v>891400</v>
      </c>
      <c r="E8" s="113">
        <f>+Château!$G8</f>
        <v>495500</v>
      </c>
      <c r="F8" s="113">
        <f>+Chartres!$G8</f>
        <v>1170550</v>
      </c>
      <c r="G8" s="113">
        <f>+Bosc!$G8</f>
        <v>1502600</v>
      </c>
      <c r="H8" s="113">
        <f>Cham!$G8</f>
        <v>815020</v>
      </c>
      <c r="I8" s="113">
        <f>+Mans!$G8</f>
        <v>909800</v>
      </c>
      <c r="J8" s="113">
        <f>+Saumur!$G8</f>
        <v>284396</v>
      </c>
      <c r="K8" s="113">
        <f>+Chalette!$G8</f>
        <v>489700</v>
      </c>
      <c r="L8" s="344">
        <f>+Orléans!E8+Angers!E8+Thouars!E8+Château!E8+Chartres!E8+Bosc!E8+Cham!E8+Mans!E8+Saumur!E8</f>
        <v>6483839.3799999999</v>
      </c>
      <c r="M8" s="135">
        <f>+Orléans!F8+Angers!F8+Thouars!F8+Château!F8+Chartres!F8+Bosc!F8+Cham!F8+Mans!F8+Saumur!F8+Chalette!F8</f>
        <v>8187000</v>
      </c>
      <c r="N8" s="113">
        <f>+O8</f>
        <v>8927876</v>
      </c>
      <c r="O8" s="161">
        <f t="shared" ref="O8:O19" si="0">SUM(B8:K8)</f>
        <v>8927876</v>
      </c>
      <c r="P8" s="149">
        <f>+IF((L8)=0,,(M8-L8)/L8)</f>
        <v>0.26267779323059048</v>
      </c>
      <c r="Q8" s="271">
        <f>+IF((M8)=0,,(O8-M8)/M8)</f>
        <v>9.0494198118969096E-2</v>
      </c>
      <c r="R8" s="117">
        <f>+Orléans!D8+Angers!D8+Thouars!D8+Château!D8+Chartres!D8+Bosc!D8+Cham!D8+Mans!D8+Saumur!D8+Chalette!D8</f>
        <v>8841512.6084000003</v>
      </c>
      <c r="S8" s="395"/>
    </row>
    <row r="9" spans="1:19" s="2" customFormat="1" ht="11.25">
      <c r="A9" s="5" t="s">
        <v>422</v>
      </c>
      <c r="B9" s="160">
        <f>+Orléans!$G9</f>
        <v>0</v>
      </c>
      <c r="C9" s="113">
        <f>+Angers!$G9</f>
        <v>0</v>
      </c>
      <c r="D9" s="113">
        <f>+Thouars!$G9</f>
        <v>0</v>
      </c>
      <c r="E9" s="113">
        <f>+Château!$G9</f>
        <v>0</v>
      </c>
      <c r="F9" s="113">
        <f>+Chartres!$G9</f>
        <v>0</v>
      </c>
      <c r="G9" s="113">
        <f>+Bosc!$G9</f>
        <v>0</v>
      </c>
      <c r="H9" s="113">
        <f>Cham!$G9</f>
        <v>0</v>
      </c>
      <c r="I9" s="113">
        <f>+Mans!$G9</f>
        <v>0</v>
      </c>
      <c r="J9" s="113">
        <f>+Saumur!$G9</f>
        <v>0</v>
      </c>
      <c r="K9" s="113">
        <f>+Chalette!$G9</f>
        <v>0</v>
      </c>
      <c r="L9" s="344">
        <f>+Orléans!E9+Angers!E9+Thouars!E9+Château!E9+Chartres!E9+Bosc!E9+Cham!E9+Mans!E9+Saumur!E9</f>
        <v>1167677.69</v>
      </c>
      <c r="M9" s="135">
        <f>+Orléans!F9+Angers!F9+Thouars!F9+Château!F9+Chartres!F9+Bosc!F9+Cham!F9+Mans!F9+Saumur!F9+Chalette!F9</f>
        <v>0</v>
      </c>
      <c r="N9" s="113">
        <f t="shared" ref="N9:N19" si="1">+O9</f>
        <v>0</v>
      </c>
      <c r="O9" s="161">
        <f t="shared" si="0"/>
        <v>0</v>
      </c>
      <c r="P9" s="149">
        <f t="shared" ref="P9:P19" si="2">+IF((L9)=0,,(M9-L9)/L9)</f>
        <v>-1</v>
      </c>
      <c r="Q9" s="271">
        <f t="shared" ref="Q9:Q19" si="3">+IF((M9)=0,,(O9-M9)/M9)</f>
        <v>0</v>
      </c>
      <c r="R9" s="117">
        <f>+Orléans!D9+Angers!D9+Thouars!D9+Château!D9+Chartres!D9+Bosc!D9+Cham!D9+Mans!D9+Saumur!D9+Chalette!D9</f>
        <v>0</v>
      </c>
      <c r="S9" s="395"/>
    </row>
    <row r="10" spans="1:19" s="2" customFormat="1" ht="11.25">
      <c r="A10" s="5" t="s">
        <v>84</v>
      </c>
      <c r="B10" s="160">
        <f>+Orléans!$G10</f>
        <v>0</v>
      </c>
      <c r="C10" s="113">
        <f>+Angers!$G10</f>
        <v>0</v>
      </c>
      <c r="D10" s="113">
        <f>+Thouars!$G10</f>
        <v>0</v>
      </c>
      <c r="E10" s="113">
        <f>+Château!$G10</f>
        <v>0</v>
      </c>
      <c r="F10" s="113">
        <f>+Chartres!$G10</f>
        <v>0</v>
      </c>
      <c r="G10" s="113">
        <f>+Bosc!$G10</f>
        <v>0</v>
      </c>
      <c r="H10" s="113">
        <f>+Cham!$G10</f>
        <v>0</v>
      </c>
      <c r="I10" s="113">
        <f>+Mans!$G10</f>
        <v>0</v>
      </c>
      <c r="J10" s="113">
        <f>+Saumur!$G10</f>
        <v>0</v>
      </c>
      <c r="K10" s="113">
        <f>+Chalette!$G10</f>
        <v>0</v>
      </c>
      <c r="L10" s="344">
        <f>+Orléans!E10+Angers!E10+Thouars!E10+Château!E10+Chartres!E10+Bosc!E10+Cham!E10+Mans!E10+Saumur!E10</f>
        <v>0</v>
      </c>
      <c r="M10" s="135">
        <f>+Orléans!F10+Angers!F10+Thouars!F10+Château!F10+Chartres!F10+Bosc!F10+Cham!F10+Mans!F10+Saumur!F10+Chalette!F10</f>
        <v>0</v>
      </c>
      <c r="N10" s="113">
        <f t="shared" si="1"/>
        <v>0</v>
      </c>
      <c r="O10" s="161">
        <f t="shared" si="0"/>
        <v>0</v>
      </c>
      <c r="P10" s="149">
        <f t="shared" si="2"/>
        <v>0</v>
      </c>
      <c r="Q10" s="271">
        <f t="shared" si="3"/>
        <v>0</v>
      </c>
      <c r="R10" s="117">
        <f>+Orléans!D10+Angers!D10+Thouars!D10+Château!D10+Chartres!D10+Bosc!D10+Cham!D10+Mans!D10+Saumur!D10+Chalette!D10</f>
        <v>0</v>
      </c>
      <c r="S10" s="395"/>
    </row>
    <row r="11" spans="1:19" s="2" customFormat="1" ht="11.25">
      <c r="A11" s="5" t="s">
        <v>267</v>
      </c>
      <c r="B11" s="160">
        <f>+Orléans!$G11</f>
        <v>0</v>
      </c>
      <c r="C11" s="113">
        <f>+Angers!$G11</f>
        <v>0</v>
      </c>
      <c r="D11" s="113">
        <f>+Thouars!$G11</f>
        <v>0</v>
      </c>
      <c r="E11" s="113">
        <f>+Château!$G11</f>
        <v>0</v>
      </c>
      <c r="F11" s="113">
        <f>+Chartres!$G11</f>
        <v>0</v>
      </c>
      <c r="G11" s="113">
        <f>+Bosc!$G11</f>
        <v>0</v>
      </c>
      <c r="H11" s="113">
        <f>+Cham!$G11</f>
        <v>0</v>
      </c>
      <c r="I11" s="113">
        <f>+Mans!$G11</f>
        <v>0</v>
      </c>
      <c r="J11" s="113">
        <f>+Saumur!$G11</f>
        <v>0</v>
      </c>
      <c r="K11" s="113">
        <f>+Chalette!$G11</f>
        <v>0</v>
      </c>
      <c r="L11" s="344">
        <f>+Orléans!E11+Angers!E11+Thouars!E11+Château!E11+Chartres!E11+Bosc!E11+Cham!E11+Mans!E11+Saumur!E11</f>
        <v>1688.5500000000002</v>
      </c>
      <c r="M11" s="135">
        <f>+Orléans!F11+Angers!F11+Thouars!F11+Château!F11+Chartres!F11+Bosc!F11+Cham!F11+Mans!F11+Saumur!F11+Chalette!F11</f>
        <v>1105.1500000000001</v>
      </c>
      <c r="N11" s="113">
        <f t="shared" si="1"/>
        <v>0</v>
      </c>
      <c r="O11" s="161">
        <f t="shared" si="0"/>
        <v>0</v>
      </c>
      <c r="P11" s="149">
        <f t="shared" si="2"/>
        <v>-0.34550353853898319</v>
      </c>
      <c r="Q11" s="271">
        <f t="shared" si="3"/>
        <v>-1</v>
      </c>
      <c r="R11" s="117">
        <f>+Orléans!D11+Angers!D11+Thouars!D11+Château!D11+Chartres!D11+Bosc!D11+Cham!D11+Mans!D11+Saumur!D11+Chalette!D11</f>
        <v>0</v>
      </c>
      <c r="S11" s="395"/>
    </row>
    <row r="12" spans="1:19" s="2" customFormat="1" ht="11.25">
      <c r="A12" s="5" t="s">
        <v>46</v>
      </c>
      <c r="B12" s="160">
        <f>+Orléans!$G12</f>
        <v>0</v>
      </c>
      <c r="C12" s="113">
        <f>+Angers!$G12</f>
        <v>0</v>
      </c>
      <c r="D12" s="113">
        <f>+Thouars!$G12</f>
        <v>0</v>
      </c>
      <c r="E12" s="113">
        <f>+Château!$G12</f>
        <v>0</v>
      </c>
      <c r="F12" s="113">
        <f>+Chartres!$G12</f>
        <v>0</v>
      </c>
      <c r="G12" s="113">
        <f>+Bosc!$G12</f>
        <v>0</v>
      </c>
      <c r="H12" s="113">
        <f>+Cham!$G12</f>
        <v>0</v>
      </c>
      <c r="I12" s="113">
        <f>+Mans!$G12</f>
        <v>0</v>
      </c>
      <c r="J12" s="113">
        <f>+Saumur!$G12</f>
        <v>0</v>
      </c>
      <c r="K12" s="113">
        <f>+Chalette!$G12</f>
        <v>0</v>
      </c>
      <c r="L12" s="344">
        <f>+Orléans!E12+Angers!E12+Thouars!E12+Château!E12+Chartres!E12+Bosc!E12+Cham!E12+Mans!E12+Saumur!E12</f>
        <v>0</v>
      </c>
      <c r="M12" s="135">
        <f>+Orléans!F12+Angers!F12+Thouars!F12+Château!F12+Chartres!F12+Bosc!F12+Cham!F12+Mans!F12+Saumur!F12+Chalette!F12</f>
        <v>0</v>
      </c>
      <c r="N12" s="113">
        <f t="shared" si="1"/>
        <v>0</v>
      </c>
      <c r="O12" s="161">
        <f t="shared" si="0"/>
        <v>0</v>
      </c>
      <c r="P12" s="149">
        <f t="shared" si="2"/>
        <v>0</v>
      </c>
      <c r="Q12" s="271">
        <f t="shared" si="3"/>
        <v>0</v>
      </c>
      <c r="R12" s="117">
        <f>+Orléans!D12+Angers!D12+Thouars!D12+Château!D12+Chartres!D12+Bosc!D12+Cham!D12+Mans!D12+Saumur!D12+Chalette!D12</f>
        <v>0</v>
      </c>
      <c r="S12" s="395"/>
    </row>
    <row r="13" spans="1:19" s="2" customFormat="1" ht="11.25">
      <c r="A13" s="5" t="s">
        <v>268</v>
      </c>
      <c r="B13" s="160">
        <f>+Orléans!$G13</f>
        <v>0</v>
      </c>
      <c r="C13" s="113">
        <f>+Angers!$G13</f>
        <v>0</v>
      </c>
      <c r="D13" s="113">
        <f>+Thouars!$G13</f>
        <v>0</v>
      </c>
      <c r="E13" s="113">
        <f>+Château!$G13</f>
        <v>0</v>
      </c>
      <c r="F13" s="113">
        <f>+Chartres!$G13</f>
        <v>0</v>
      </c>
      <c r="G13" s="113">
        <f>+Bosc!$G13</f>
        <v>0</v>
      </c>
      <c r="H13" s="113">
        <f>+Cham!$G13</f>
        <v>0</v>
      </c>
      <c r="I13" s="113">
        <f>+Mans!$G13</f>
        <v>0</v>
      </c>
      <c r="J13" s="113">
        <f>+Saumur!$G13</f>
        <v>0</v>
      </c>
      <c r="K13" s="113">
        <f>+Chalette!$G13</f>
        <v>0</v>
      </c>
      <c r="L13" s="344">
        <f>+Orléans!E13+Angers!E13+Thouars!E13+Château!E13+Chartres!E13+Bosc!E13+Cham!E13+Mans!E13+Saumur!E13</f>
        <v>0</v>
      </c>
      <c r="M13" s="135">
        <f>+Orléans!F13+Angers!F13+Thouars!F13+Château!F13+Chartres!F13+Bosc!F13+Cham!F13+Mans!F13+Saumur!F13+Chalette!F13</f>
        <v>0</v>
      </c>
      <c r="N13" s="113">
        <f t="shared" si="1"/>
        <v>0</v>
      </c>
      <c r="O13" s="161">
        <f t="shared" si="0"/>
        <v>0</v>
      </c>
      <c r="P13" s="149">
        <f t="shared" si="2"/>
        <v>0</v>
      </c>
      <c r="Q13" s="271">
        <f t="shared" si="3"/>
        <v>0</v>
      </c>
      <c r="R13" s="117">
        <f>+Orléans!D13+Angers!D13+Thouars!D13+Château!D13+Chartres!D13+Bosc!D13+Cham!D13+Mans!D13+Saumur!D13+Chalette!D13</f>
        <v>0</v>
      </c>
      <c r="S13" s="395"/>
    </row>
    <row r="14" spans="1:19" s="2" customFormat="1" ht="11.25">
      <c r="A14" s="5" t="s">
        <v>269</v>
      </c>
      <c r="B14" s="160">
        <f>+Orléans!$G14</f>
        <v>0</v>
      </c>
      <c r="C14" s="113">
        <f>+Angers!$G14</f>
        <v>0</v>
      </c>
      <c r="D14" s="113">
        <f>+Thouars!$G14</f>
        <v>0</v>
      </c>
      <c r="E14" s="113">
        <f>+Château!$G14</f>
        <v>0</v>
      </c>
      <c r="F14" s="113">
        <f>+Chartres!$G14</f>
        <v>0</v>
      </c>
      <c r="G14" s="113">
        <f>+Bosc!$G14</f>
        <v>0</v>
      </c>
      <c r="H14" s="113">
        <f>+Cham!$G14</f>
        <v>0</v>
      </c>
      <c r="I14" s="113">
        <f>+Mans!$G14</f>
        <v>0</v>
      </c>
      <c r="J14" s="113">
        <f>+Saumur!$G14</f>
        <v>0</v>
      </c>
      <c r="K14" s="113">
        <f>+Chalette!$G14</f>
        <v>0</v>
      </c>
      <c r="L14" s="344">
        <f>+Orléans!E14+Angers!E14+Thouars!E14+Château!E14+Chartres!E14+Bosc!E14+Cham!E14+Mans!E14+Saumur!E14</f>
        <v>3774.22</v>
      </c>
      <c r="M14" s="135">
        <f>+Orléans!F14+Angers!F14+Thouars!F14+Château!F14+Chartres!F14+Bosc!F14+Cham!F14+Mans!F14+Saumur!F14+Chalette!F14</f>
        <v>3314.87</v>
      </c>
      <c r="N14" s="113">
        <f t="shared" si="1"/>
        <v>0</v>
      </c>
      <c r="O14" s="161">
        <f t="shared" si="0"/>
        <v>0</v>
      </c>
      <c r="P14" s="149">
        <f t="shared" si="2"/>
        <v>-0.12170726666701992</v>
      </c>
      <c r="Q14" s="271">
        <f t="shared" si="3"/>
        <v>-1</v>
      </c>
      <c r="R14" s="117">
        <f>+Orléans!D14+Angers!D14+Thouars!D14+Château!D14+Chartres!D14+Bosc!D14+Cham!D14+Mans!D14+Saumur!D14+Chalette!D14</f>
        <v>0</v>
      </c>
      <c r="S14" s="395"/>
    </row>
    <row r="15" spans="1:19" s="2" customFormat="1" ht="11.25">
      <c r="A15" s="5" t="s">
        <v>270</v>
      </c>
      <c r="B15" s="160">
        <f>+Orléans!$G15</f>
        <v>0</v>
      </c>
      <c r="C15" s="113">
        <f>+Angers!$G15</f>
        <v>0</v>
      </c>
      <c r="D15" s="113">
        <f>+Thouars!$G15</f>
        <v>0</v>
      </c>
      <c r="E15" s="113">
        <f>+Château!$G15</f>
        <v>0</v>
      </c>
      <c r="F15" s="113">
        <f>+Chartres!$G15</f>
        <v>0</v>
      </c>
      <c r="G15" s="113">
        <f>+Bosc!$G15</f>
        <v>0</v>
      </c>
      <c r="H15" s="113">
        <f>+Cham!$G15</f>
        <v>0</v>
      </c>
      <c r="I15" s="113">
        <f>+Mans!$G15</f>
        <v>0</v>
      </c>
      <c r="J15" s="113">
        <f>+Saumur!$G15</f>
        <v>0</v>
      </c>
      <c r="K15" s="113">
        <f>+Chalette!$G15</f>
        <v>0</v>
      </c>
      <c r="L15" s="344">
        <f>+Orléans!E15+Angers!E15+Thouars!E15+Château!E15+Chartres!E15+Bosc!E15+Cham!E15+Mans!E15+Saumur!E15</f>
        <v>14049</v>
      </c>
      <c r="M15" s="135">
        <f>+Orléans!F15+Angers!F15+Thouars!F15+Château!F15+Chartres!F15+Bosc!F15+Cham!F15+Mans!F15+Saumur!F15+Chalette!F15</f>
        <v>10125</v>
      </c>
      <c r="N15" s="113">
        <f t="shared" si="1"/>
        <v>0</v>
      </c>
      <c r="O15" s="161">
        <f t="shared" si="0"/>
        <v>0</v>
      </c>
      <c r="P15" s="149">
        <f t="shared" si="2"/>
        <v>-0.27930813581037794</v>
      </c>
      <c r="Q15" s="271">
        <f t="shared" si="3"/>
        <v>-1</v>
      </c>
      <c r="R15" s="117">
        <f>+Orléans!D15+Angers!D15+Thouars!D15+Château!D15+Chartres!D15+Bosc!D15+Cham!D15+Mans!D15+Saumur!D15+Chalette!D15</f>
        <v>0</v>
      </c>
      <c r="S15" s="395"/>
    </row>
    <row r="16" spans="1:19" s="2" customFormat="1" ht="11.25">
      <c r="A16" s="5" t="s">
        <v>85</v>
      </c>
      <c r="B16" s="160">
        <f>+Orléans!$G16</f>
        <v>0</v>
      </c>
      <c r="C16" s="113">
        <f>+Angers!$G16</f>
        <v>0</v>
      </c>
      <c r="D16" s="113">
        <f>+Thouars!$G16</f>
        <v>0</v>
      </c>
      <c r="E16" s="113">
        <f>+Château!$G16</f>
        <v>0</v>
      </c>
      <c r="F16" s="113">
        <f>+Chartres!$G16</f>
        <v>0</v>
      </c>
      <c r="G16" s="113">
        <f>+Bosc!$G16</f>
        <v>0</v>
      </c>
      <c r="H16" s="113">
        <f>+Cham!$G16</f>
        <v>0</v>
      </c>
      <c r="I16" s="113">
        <f>+Mans!$G16</f>
        <v>0</v>
      </c>
      <c r="J16" s="113">
        <f>+Saumur!$G16</f>
        <v>0</v>
      </c>
      <c r="K16" s="113">
        <f>+Chalette!$G16</f>
        <v>0</v>
      </c>
      <c r="L16" s="344">
        <f>+Orléans!E16+Angers!E16+Thouars!E16+Château!E16+Chartres!E16+Bosc!E16+Cham!E16+Mans!E16+Saumur!E16</f>
        <v>0</v>
      </c>
      <c r="M16" s="135">
        <f>+Orléans!F16+Angers!F16+Thouars!F16+Château!F16+Chartres!F16+Bosc!F16+Cham!F16+Mans!F16+Saumur!F16+Chalette!F16</f>
        <v>0</v>
      </c>
      <c r="N16" s="113">
        <f t="shared" si="1"/>
        <v>0</v>
      </c>
      <c r="O16" s="161">
        <f t="shared" si="0"/>
        <v>0</v>
      </c>
      <c r="P16" s="149">
        <f t="shared" si="2"/>
        <v>0</v>
      </c>
      <c r="Q16" s="271">
        <f t="shared" si="3"/>
        <v>0</v>
      </c>
      <c r="R16" s="117">
        <f>+Orléans!D16+Angers!D16+Thouars!D16+Château!D16+Chartres!D16+Bosc!D16+Cham!D16+Mans!D16+Saumur!D16+Chalette!D16</f>
        <v>0</v>
      </c>
      <c r="S16" s="395"/>
    </row>
    <row r="17" spans="1:19" s="2" customFormat="1" ht="11.25">
      <c r="A17" s="5" t="s">
        <v>88</v>
      </c>
      <c r="B17" s="160">
        <f>+Orléans!$G17</f>
        <v>0</v>
      </c>
      <c r="C17" s="113">
        <f>+Angers!$G17</f>
        <v>0</v>
      </c>
      <c r="D17" s="113">
        <f>+Thouars!$G17</f>
        <v>0</v>
      </c>
      <c r="E17" s="113">
        <f>+Château!$G17</f>
        <v>0</v>
      </c>
      <c r="F17" s="113">
        <f>+Chartres!$G17</f>
        <v>0</v>
      </c>
      <c r="G17" s="113">
        <f>+Bosc!$G17</f>
        <v>0</v>
      </c>
      <c r="H17" s="113">
        <f>+Cham!$G17</f>
        <v>0</v>
      </c>
      <c r="I17" s="113">
        <f>+Mans!$G17</f>
        <v>0</v>
      </c>
      <c r="J17" s="113">
        <f>+Saumur!$G17</f>
        <v>0</v>
      </c>
      <c r="K17" s="113">
        <f>+Chalette!$G17</f>
        <v>0</v>
      </c>
      <c r="L17" s="344">
        <f>+Orléans!E17+Angers!E17+Thouars!E17+Château!E17+Chartres!E17+Bosc!E17+Cham!E17+Mans!E17+Saumur!E17</f>
        <v>0</v>
      </c>
      <c r="M17" s="135">
        <f>+Orléans!F17+Angers!F17+Thouars!F17+Château!F17+Chartres!F17+Bosc!F17+Cham!F17+Mans!F17+Saumur!F17+Chalette!F17</f>
        <v>0</v>
      </c>
      <c r="N17" s="113">
        <f t="shared" si="1"/>
        <v>0</v>
      </c>
      <c r="O17" s="161">
        <f t="shared" si="0"/>
        <v>0</v>
      </c>
      <c r="P17" s="149">
        <f t="shared" si="2"/>
        <v>0</v>
      </c>
      <c r="Q17" s="271">
        <f t="shared" si="3"/>
        <v>0</v>
      </c>
      <c r="R17" s="117">
        <f>+Orléans!D17+Angers!D17+Thouars!D17+Château!D17+Chartres!D17+Bosc!D17+Cham!D17+Mans!D17+Saumur!D17+Chalette!D17</f>
        <v>0</v>
      </c>
      <c r="S17" s="395"/>
    </row>
    <row r="18" spans="1:19" s="2" customFormat="1" ht="11.25">
      <c r="A18" s="5" t="s">
        <v>89</v>
      </c>
      <c r="B18" s="160">
        <f>+Orléans!$G18</f>
        <v>0</v>
      </c>
      <c r="C18" s="113">
        <f>+Angers!$G18</f>
        <v>0</v>
      </c>
      <c r="D18" s="113">
        <f>+Thouars!$G18</f>
        <v>0</v>
      </c>
      <c r="E18" s="113">
        <f>+Château!$G18</f>
        <v>0</v>
      </c>
      <c r="F18" s="113">
        <f>+Chartres!$G18</f>
        <v>0</v>
      </c>
      <c r="G18" s="113">
        <f>+Bosc!$G18</f>
        <v>0</v>
      </c>
      <c r="H18" s="113">
        <f>+Cham!$G18</f>
        <v>0</v>
      </c>
      <c r="I18" s="113">
        <f>+Mans!$G18</f>
        <v>0</v>
      </c>
      <c r="J18" s="113">
        <f>+Saumur!$G18</f>
        <v>0</v>
      </c>
      <c r="K18" s="113">
        <f>+Chalette!$G18</f>
        <v>0</v>
      </c>
      <c r="L18" s="344">
        <f>+Orléans!E18+Angers!E18+Thouars!E18+Château!E18+Chartres!E18+Bosc!E18+Cham!E18+Mans!E18+Saumur!E18</f>
        <v>0</v>
      </c>
      <c r="M18" s="135">
        <f>+Orléans!F18+Angers!F18+Thouars!F18+Château!F18+Chartres!F18+Bosc!F18+Cham!F18+Mans!F18+Saumur!F18+Chalette!F18</f>
        <v>0</v>
      </c>
      <c r="N18" s="113">
        <f t="shared" si="1"/>
        <v>0</v>
      </c>
      <c r="O18" s="161">
        <f t="shared" si="0"/>
        <v>0</v>
      </c>
      <c r="P18" s="149">
        <f t="shared" si="2"/>
        <v>0</v>
      </c>
      <c r="Q18" s="271">
        <f t="shared" si="3"/>
        <v>0</v>
      </c>
      <c r="R18" s="117">
        <f>+Orléans!D18+Angers!D18+Thouars!D18+Château!D18+Chartres!D18+Bosc!D18+Cham!D18+Mans!D18+Saumur!D18+Chalette!D18</f>
        <v>0</v>
      </c>
      <c r="S18" s="395"/>
    </row>
    <row r="19" spans="1:19" s="2" customFormat="1" ht="11.25">
      <c r="A19" s="5" t="s">
        <v>90</v>
      </c>
      <c r="B19" s="160">
        <f>+Orléans!$G19</f>
        <v>0</v>
      </c>
      <c r="C19" s="113">
        <f>+Angers!$G19</f>
        <v>0</v>
      </c>
      <c r="D19" s="113">
        <f>+Thouars!$G19</f>
        <v>0</v>
      </c>
      <c r="E19" s="113">
        <f>+Château!$G19</f>
        <v>0</v>
      </c>
      <c r="F19" s="113">
        <f>+Chartres!$G19</f>
        <v>0</v>
      </c>
      <c r="G19" s="113">
        <f>+Bosc!$G19</f>
        <v>0</v>
      </c>
      <c r="H19" s="113">
        <f>+Cham!$G19</f>
        <v>0</v>
      </c>
      <c r="I19" s="113">
        <f>+Mans!$G19</f>
        <v>0</v>
      </c>
      <c r="J19" s="113">
        <f>+Saumur!$G19</f>
        <v>0</v>
      </c>
      <c r="K19" s="113">
        <f>+Chalette!$G19</f>
        <v>0</v>
      </c>
      <c r="L19" s="344">
        <f>+Orléans!E19+Angers!E19+Thouars!E19+Château!E19+Chartres!E19+Bosc!E19+Cham!E19+Mans!E19+Saumur!E19</f>
        <v>0</v>
      </c>
      <c r="M19" s="135">
        <f>+Orléans!F19+Angers!F19+Thouars!F19+Château!F19+Chartres!F19+Bosc!F19+Cham!F19+Mans!F19+Saumur!F19+Chalette!F19</f>
        <v>0</v>
      </c>
      <c r="N19" s="113">
        <f t="shared" si="1"/>
        <v>0</v>
      </c>
      <c r="O19" s="161">
        <f t="shared" si="0"/>
        <v>0</v>
      </c>
      <c r="P19" s="149">
        <f t="shared" si="2"/>
        <v>0</v>
      </c>
      <c r="Q19" s="271">
        <f t="shared" si="3"/>
        <v>0</v>
      </c>
      <c r="R19" s="117">
        <f>+Orléans!D19+Angers!D19+Thouars!D19+Château!D19+Chartres!D19+Bosc!D19+Cham!D19+Mans!D19+Saumur!D19+Chalette!D19</f>
        <v>0</v>
      </c>
      <c r="S19" s="395"/>
    </row>
    <row r="20" spans="1:19" s="2" customFormat="1" ht="11.25">
      <c r="A20" s="5"/>
      <c r="B20" s="160"/>
      <c r="C20" s="113"/>
      <c r="D20" s="113"/>
      <c r="E20" s="113"/>
      <c r="F20" s="113"/>
      <c r="G20" s="113"/>
      <c r="H20" s="113"/>
      <c r="I20" s="113"/>
      <c r="J20" s="113"/>
      <c r="K20" s="113"/>
      <c r="L20" s="160"/>
      <c r="M20" s="134"/>
      <c r="N20" s="25"/>
      <c r="O20" s="154"/>
      <c r="P20" s="149"/>
      <c r="Q20" s="254"/>
      <c r="R20" s="115"/>
      <c r="S20" s="134"/>
    </row>
    <row r="21" spans="1:19" s="57" customFormat="1" ht="15" customHeight="1">
      <c r="A21" s="13" t="s">
        <v>222</v>
      </c>
      <c r="B21" s="163">
        <f t="shared" ref="B21:G21" si="4">SUM(B5:B20)</f>
        <v>1100050</v>
      </c>
      <c r="C21" s="204">
        <f t="shared" si="4"/>
        <v>1268860</v>
      </c>
      <c r="D21" s="204">
        <f t="shared" si="4"/>
        <v>891400</v>
      </c>
      <c r="E21" s="204">
        <f t="shared" si="4"/>
        <v>495500</v>
      </c>
      <c r="F21" s="204">
        <f t="shared" si="4"/>
        <v>1170550</v>
      </c>
      <c r="G21" s="204">
        <f t="shared" si="4"/>
        <v>1502600</v>
      </c>
      <c r="H21" s="204">
        <f>SUM(H5:H20)</f>
        <v>815020</v>
      </c>
      <c r="I21" s="204">
        <f>SUM(I5:I20)</f>
        <v>909800</v>
      </c>
      <c r="J21" s="204">
        <f>SUM(J5:J20)</f>
        <v>284396</v>
      </c>
      <c r="K21" s="204">
        <f>SUM(K8:K20)</f>
        <v>489700</v>
      </c>
      <c r="L21" s="163">
        <f>SUM(L8:L20)</f>
        <v>7671028.8399999999</v>
      </c>
      <c r="M21" s="136">
        <f>+Orléans!F21+Angers!F21+Thouars!F21+Château!F21+Chartres!F21+Bosc!F21+Cham!F21+Mans!F21+Saumur!F21+Chalette!F21</f>
        <v>8201545.0199999996</v>
      </c>
      <c r="N21" s="204">
        <f>+O21</f>
        <v>8927876</v>
      </c>
      <c r="O21" s="118">
        <f>SUM(O8:O20)</f>
        <v>8927876</v>
      </c>
      <c r="P21" s="272">
        <f>+IF((L21)=0,,(M21-L21)/L21)</f>
        <v>6.9158412915052953E-2</v>
      </c>
      <c r="Q21" s="188">
        <f>+IF((M21)=0,,(O21-M21)/M21)</f>
        <v>8.8560262515025551E-2</v>
      </c>
      <c r="R21" s="118">
        <f>+Orléans!D21+Angers!D21+Thouars!D21+Château!D21+Chartres!D21+Bosc!D21+Cham!D21+Mans!D21+Saumur!D21+Chalette!D21</f>
        <v>8841512.6084000003</v>
      </c>
      <c r="S21" s="136"/>
    </row>
    <row r="22" spans="1:19" s="57" customFormat="1" ht="15" customHeight="1">
      <c r="A22" s="5"/>
      <c r="B22" s="160"/>
      <c r="C22" s="113"/>
      <c r="D22" s="113"/>
      <c r="E22" s="113"/>
      <c r="F22" s="113"/>
      <c r="G22" s="113"/>
      <c r="H22" s="113"/>
      <c r="I22" s="113"/>
      <c r="J22" s="113"/>
      <c r="K22" s="113"/>
      <c r="L22" s="160"/>
      <c r="M22" s="134"/>
      <c r="N22" s="25"/>
      <c r="O22" s="154"/>
      <c r="P22" s="149"/>
      <c r="Q22" s="271"/>
      <c r="R22" s="115"/>
      <c r="S22" s="134"/>
    </row>
    <row r="23" spans="1:19" s="2" customFormat="1" ht="11.25">
      <c r="A23" s="5" t="s">
        <v>92</v>
      </c>
      <c r="B23" s="160">
        <f>+Orléans!$G23</f>
        <v>0</v>
      </c>
      <c r="C23" s="113">
        <f>+Angers!$G23</f>
        <v>0</v>
      </c>
      <c r="D23" s="113">
        <f>+Thouars!$G23</f>
        <v>0</v>
      </c>
      <c r="E23" s="113">
        <f>+Château!$G23</f>
        <v>0</v>
      </c>
      <c r="F23" s="113">
        <f>+Chartres!$G23</f>
        <v>0</v>
      </c>
      <c r="G23" s="113">
        <f>+Bosc!$G23</f>
        <v>0</v>
      </c>
      <c r="H23" s="113">
        <f>+Cham!$G23</f>
        <v>0</v>
      </c>
      <c r="I23" s="113">
        <f>+Mans!$G23</f>
        <v>0</v>
      </c>
      <c r="J23" s="113">
        <f>+Saumur!$G23</f>
        <v>0</v>
      </c>
      <c r="K23" s="113">
        <f>+Chalette!$G23</f>
        <v>0</v>
      </c>
      <c r="L23" s="160">
        <f>+Orléans!E23+Angers!E23+Thouars!E23+Château!E23+Chartres!E23+Bosc!E23+Cham!E23+Mans!E23+Saumur!E23</f>
        <v>318.8</v>
      </c>
      <c r="M23" s="134"/>
      <c r="N23" s="113">
        <f t="shared" ref="N23:N29" si="5">+O23</f>
        <v>0</v>
      </c>
      <c r="O23" s="161">
        <f t="shared" ref="O23:O29" si="6">SUM(B23:K23)</f>
        <v>0</v>
      </c>
      <c r="P23" s="149"/>
      <c r="Q23" s="271"/>
      <c r="R23" s="115"/>
      <c r="S23" s="134"/>
    </row>
    <row r="24" spans="1:19" s="2" customFormat="1" ht="11.25">
      <c r="A24" s="5" t="s">
        <v>93</v>
      </c>
      <c r="B24" s="160">
        <f>+Orléans!$G24</f>
        <v>0</v>
      </c>
      <c r="C24" s="113">
        <f>+Angers!$G24</f>
        <v>0</v>
      </c>
      <c r="D24" s="113">
        <f>+Thouars!$G24</f>
        <v>0</v>
      </c>
      <c r="E24" s="113">
        <f>+Château!$G24</f>
        <v>0</v>
      </c>
      <c r="F24" s="113">
        <f>+Chartres!$G24</f>
        <v>0</v>
      </c>
      <c r="G24" s="113">
        <f>+Bosc!$G24</f>
        <v>0</v>
      </c>
      <c r="H24" s="113">
        <f>+Cham!$G24</f>
        <v>0</v>
      </c>
      <c r="I24" s="113">
        <f>+Mans!$G24</f>
        <v>0</v>
      </c>
      <c r="J24" s="251">
        <f>+Saumur!$G24</f>
        <v>0</v>
      </c>
      <c r="K24" s="251">
        <f>+Chalette!$G24</f>
        <v>0</v>
      </c>
      <c r="L24" s="160">
        <f>+Orléans!E24+Angers!E24+Thouars!E24+Château!E24+Chartres!E24+Bosc!E24+Cham!E24+Mans!E24+Saumur!E24</f>
        <v>2684468.12</v>
      </c>
      <c r="M24" s="134"/>
      <c r="N24" s="113">
        <f t="shared" si="5"/>
        <v>0</v>
      </c>
      <c r="O24" s="161">
        <f t="shared" si="6"/>
        <v>0</v>
      </c>
      <c r="P24" s="149"/>
      <c r="Q24" s="271"/>
      <c r="R24" s="115"/>
      <c r="S24" s="558"/>
    </row>
    <row r="25" spans="1:19" s="2" customFormat="1" ht="11.25">
      <c r="A25" s="5" t="s">
        <v>94</v>
      </c>
      <c r="B25" s="160">
        <f>+Orléans!$G25</f>
        <v>0</v>
      </c>
      <c r="C25" s="113">
        <f>+Angers!$G25</f>
        <v>0</v>
      </c>
      <c r="D25" s="113">
        <f>+Thouars!$G25</f>
        <v>0</v>
      </c>
      <c r="E25" s="113">
        <f>+Château!$G25</f>
        <v>0</v>
      </c>
      <c r="F25" s="113">
        <f>+Chartres!$G25</f>
        <v>0</v>
      </c>
      <c r="G25" s="113">
        <f>+Bosc!$G25</f>
        <v>0</v>
      </c>
      <c r="H25" s="113">
        <f>+Cham!$G25</f>
        <v>0</v>
      </c>
      <c r="I25" s="113">
        <f>+Mans!$G25</f>
        <v>0</v>
      </c>
      <c r="J25" s="113">
        <f>+Saumur!$G25</f>
        <v>0</v>
      </c>
      <c r="K25" s="113">
        <f>+Chalette!$G25</f>
        <v>0</v>
      </c>
      <c r="L25" s="160">
        <f>+Orléans!E25+Angers!E25+Thouars!E25+Château!E25+Chartres!E25+Bosc!E25+Cham!E25+Mans!E25+Saumur!E25</f>
        <v>263047.03999999998</v>
      </c>
      <c r="M25" s="134"/>
      <c r="N25" s="113">
        <f t="shared" si="5"/>
        <v>0</v>
      </c>
      <c r="O25" s="161">
        <f t="shared" si="6"/>
        <v>0</v>
      </c>
      <c r="P25" s="149"/>
      <c r="Q25" s="271"/>
      <c r="R25" s="115"/>
      <c r="S25" s="558"/>
    </row>
    <row r="26" spans="1:19" s="57" customFormat="1" ht="15" customHeight="1">
      <c r="A26" s="5" t="s">
        <v>288</v>
      </c>
      <c r="B26" s="160">
        <f>+Orléans!$G26</f>
        <v>0</v>
      </c>
      <c r="C26" s="113">
        <f>+Angers!$G26</f>
        <v>0</v>
      </c>
      <c r="D26" s="113">
        <f>+Thouars!$G26</f>
        <v>0</v>
      </c>
      <c r="E26" s="113">
        <f>+Château!$G26</f>
        <v>0</v>
      </c>
      <c r="F26" s="113">
        <f>+Chartres!$G26</f>
        <v>0</v>
      </c>
      <c r="G26" s="113">
        <f>+Bosc!$G26</f>
        <v>0</v>
      </c>
      <c r="H26" s="113">
        <f>+Cham!$G26</f>
        <v>0</v>
      </c>
      <c r="I26" s="113">
        <f>+Mans!$G26</f>
        <v>0</v>
      </c>
      <c r="J26" s="113">
        <f>+Saumur!$G26</f>
        <v>0</v>
      </c>
      <c r="K26" s="113">
        <f>+Chalette!$G26</f>
        <v>0</v>
      </c>
      <c r="L26" s="160">
        <f>+Orléans!E26+Angers!E26+Thouars!E26+Château!E26+Chartres!E26+Bosc!E26+Cham!E26+Mans!E26+Saumur!E26</f>
        <v>546205</v>
      </c>
      <c r="M26" s="134"/>
      <c r="N26" s="113">
        <f t="shared" si="5"/>
        <v>0</v>
      </c>
      <c r="O26" s="161">
        <f t="shared" si="6"/>
        <v>0</v>
      </c>
      <c r="P26" s="149"/>
      <c r="Q26" s="271"/>
      <c r="R26" s="115"/>
      <c r="S26" s="558"/>
    </row>
    <row r="27" spans="1:19" s="57" customFormat="1" ht="15" customHeight="1">
      <c r="A27" s="5" t="s">
        <v>289</v>
      </c>
      <c r="B27" s="160">
        <f>+Orléans!$G27</f>
        <v>0</v>
      </c>
      <c r="C27" s="113">
        <f>+Angers!$G27</f>
        <v>0</v>
      </c>
      <c r="D27" s="113">
        <f>+Thouars!$G27</f>
        <v>0</v>
      </c>
      <c r="E27" s="113">
        <f>+Château!$G27</f>
        <v>0</v>
      </c>
      <c r="F27" s="113">
        <f>+Chartres!$G27</f>
        <v>0</v>
      </c>
      <c r="G27" s="113">
        <f>+Bosc!$G27</f>
        <v>0</v>
      </c>
      <c r="H27" s="113">
        <f>+Cham!$G27</f>
        <v>0</v>
      </c>
      <c r="I27" s="113">
        <f>+Mans!$G27</f>
        <v>0</v>
      </c>
      <c r="J27" s="113">
        <f>+Saumur!$G27</f>
        <v>0</v>
      </c>
      <c r="K27" s="113">
        <f>+Chalette!$G27</f>
        <v>0</v>
      </c>
      <c r="L27" s="160">
        <f>+Orléans!E27+Angers!E27+Thouars!E27+Château!E27+Chartres!E27+Bosc!E27+Cham!E27+Mans!E27+Saumur!E27</f>
        <v>-477989</v>
      </c>
      <c r="M27" s="134"/>
      <c r="N27" s="113">
        <f t="shared" si="5"/>
        <v>0</v>
      </c>
      <c r="O27" s="161">
        <f t="shared" si="6"/>
        <v>0</v>
      </c>
      <c r="P27" s="149"/>
      <c r="Q27" s="271"/>
      <c r="R27" s="115"/>
      <c r="S27" s="558"/>
    </row>
    <row r="28" spans="1:19" s="2" customFormat="1" ht="11.25">
      <c r="A28" s="5" t="s">
        <v>95</v>
      </c>
      <c r="B28" s="160">
        <f>+Orléans!$G28</f>
        <v>250000</v>
      </c>
      <c r="C28" s="113">
        <f>+Angers!$G28</f>
        <v>250000</v>
      </c>
      <c r="D28" s="113">
        <f>+Thouars!$G28</f>
        <v>210000</v>
      </c>
      <c r="E28" s="113">
        <f>+Château!$G28</f>
        <v>105000</v>
      </c>
      <c r="F28" s="113">
        <f>+Chartres!$G28</f>
        <v>200000</v>
      </c>
      <c r="G28" s="113">
        <f>+Bosc!$G28</f>
        <v>330000</v>
      </c>
      <c r="H28" s="113">
        <f>+Cham!$G28</f>
        <v>180000</v>
      </c>
      <c r="I28" s="113">
        <f>+Mans!$G28</f>
        <v>140000</v>
      </c>
      <c r="J28" s="113">
        <f>+Saumur!$G28</f>
        <v>80000</v>
      </c>
      <c r="K28" s="113">
        <f>+Chalette!$G28</f>
        <v>140000</v>
      </c>
      <c r="L28" s="160">
        <f>+Orléans!E28+Angers!E28+Thouars!E28+Château!E28+Chartres!E28+Bosc!E28+Cham!E28+Mans!E28+Saumur!E28</f>
        <v>1692138.43</v>
      </c>
      <c r="M28" s="134"/>
      <c r="N28" s="113">
        <f t="shared" si="5"/>
        <v>1885000</v>
      </c>
      <c r="O28" s="161">
        <f t="shared" si="6"/>
        <v>1885000</v>
      </c>
      <c r="P28" s="149"/>
      <c r="Q28" s="271"/>
      <c r="R28" s="115"/>
      <c r="S28" s="558"/>
    </row>
    <row r="29" spans="1:19" s="2" customFormat="1" ht="11.25">
      <c r="A29" s="5" t="s">
        <v>293</v>
      </c>
      <c r="B29" s="160">
        <f>+Orléans!$G29</f>
        <v>0</v>
      </c>
      <c r="C29" s="113">
        <f>+Angers!$G29</f>
        <v>0</v>
      </c>
      <c r="D29" s="113">
        <f>+Thouars!$G29</f>
        <v>0</v>
      </c>
      <c r="E29" s="113">
        <f>+Château!$G29</f>
        <v>0</v>
      </c>
      <c r="F29" s="113">
        <f>+Chartres!$G29</f>
        <v>0</v>
      </c>
      <c r="G29" s="113">
        <f>+Bosc!$G29</f>
        <v>0</v>
      </c>
      <c r="H29" s="113">
        <f>+Cham!$G29</f>
        <v>0</v>
      </c>
      <c r="I29" s="113">
        <f>+Mans!$G29</f>
        <v>0</v>
      </c>
      <c r="J29" s="113">
        <f>+Saumur!$G29</f>
        <v>0</v>
      </c>
      <c r="K29" s="113">
        <f>+Chalette!$G29</f>
        <v>0</v>
      </c>
      <c r="L29" s="160">
        <f>+Orléans!E29+Angers!E29+Thouars!E29+Château!E29+Chartres!E29+Bosc!E29+Cham!E29+Mans!E29+Saumur!E29</f>
        <v>0</v>
      </c>
      <c r="M29" s="134"/>
      <c r="N29" s="113">
        <f t="shared" si="5"/>
        <v>0</v>
      </c>
      <c r="O29" s="161">
        <f t="shared" si="6"/>
        <v>0</v>
      </c>
      <c r="P29" s="149"/>
      <c r="Q29" s="271"/>
      <c r="R29" s="115"/>
      <c r="S29" s="134"/>
    </row>
    <row r="30" spans="1:19" s="2" customFormat="1" ht="11.25">
      <c r="A30" s="42" t="s">
        <v>292</v>
      </c>
      <c r="B30" s="164">
        <f>SUM(B23:B29)</f>
        <v>250000</v>
      </c>
      <c r="C30" s="220">
        <f t="shared" ref="C30:L30" si="7">SUM(C23:C29)</f>
        <v>250000</v>
      </c>
      <c r="D30" s="220">
        <f t="shared" si="7"/>
        <v>210000</v>
      </c>
      <c r="E30" s="220">
        <f t="shared" si="7"/>
        <v>105000</v>
      </c>
      <c r="F30" s="220">
        <f t="shared" si="7"/>
        <v>200000</v>
      </c>
      <c r="G30" s="220">
        <f t="shared" si="7"/>
        <v>330000</v>
      </c>
      <c r="H30" s="220">
        <f>SUM(H23:H29)</f>
        <v>180000</v>
      </c>
      <c r="I30" s="220">
        <f>SUM(I23:I29)</f>
        <v>140000</v>
      </c>
      <c r="J30" s="220">
        <f>SUM(J23:J29)</f>
        <v>80000</v>
      </c>
      <c r="K30" s="220">
        <f>SUM(K23:K29)</f>
        <v>140000</v>
      </c>
      <c r="L30" s="164">
        <f t="shared" si="7"/>
        <v>4708188.3899999997</v>
      </c>
      <c r="M30" s="137"/>
      <c r="N30" s="220">
        <v>0</v>
      </c>
      <c r="O30" s="165">
        <f>SUM(O23:O29)</f>
        <v>1885000</v>
      </c>
      <c r="P30" s="273"/>
      <c r="Q30" s="342"/>
      <c r="R30" s="119"/>
      <c r="S30" s="137"/>
    </row>
    <row r="31" spans="1:19" s="2" customFormat="1" ht="15" customHeight="1">
      <c r="A31" s="5"/>
      <c r="B31" s="160"/>
      <c r="C31" s="113"/>
      <c r="D31" s="113"/>
      <c r="E31" s="113"/>
      <c r="F31" s="113"/>
      <c r="G31" s="113"/>
      <c r="H31" s="113"/>
      <c r="I31" s="113"/>
      <c r="J31" s="113"/>
      <c r="K31" s="113"/>
      <c r="L31" s="160"/>
      <c r="M31" s="134"/>
      <c r="N31" s="25"/>
      <c r="O31" s="154"/>
      <c r="P31" s="149"/>
      <c r="Q31" s="254"/>
      <c r="R31" s="115"/>
      <c r="S31" s="134"/>
    </row>
    <row r="32" spans="1:19" s="2" customFormat="1" ht="15" customHeight="1">
      <c r="A32" s="56" t="s">
        <v>336</v>
      </c>
      <c r="B32" s="166">
        <f>+B21-B30-B38</f>
        <v>850050</v>
      </c>
      <c r="C32" s="221">
        <f t="shared" ref="C32:L32" si="8">+C21-C30-C38</f>
        <v>1018860</v>
      </c>
      <c r="D32" s="221">
        <f t="shared" si="8"/>
        <v>681400</v>
      </c>
      <c r="E32" s="221">
        <f t="shared" si="8"/>
        <v>390500</v>
      </c>
      <c r="F32" s="221">
        <f t="shared" si="8"/>
        <v>970550</v>
      </c>
      <c r="G32" s="221">
        <f t="shared" si="8"/>
        <v>1172600</v>
      </c>
      <c r="H32" s="221">
        <f>+H21-H30-H38</f>
        <v>635020</v>
      </c>
      <c r="I32" s="221">
        <f>+I21-I30-I38</f>
        <v>769800</v>
      </c>
      <c r="J32" s="221">
        <f>+J21-J30-J38</f>
        <v>204396</v>
      </c>
      <c r="K32" s="221">
        <f>+K21-K30-K38</f>
        <v>349700</v>
      </c>
      <c r="L32" s="166">
        <f t="shared" si="8"/>
        <v>2856964.9659000002</v>
      </c>
      <c r="M32" s="138"/>
      <c r="N32" s="349">
        <v>8023447.4542999994</v>
      </c>
      <c r="O32" s="167">
        <f>+O21-O30-O38</f>
        <v>7042876</v>
      </c>
      <c r="P32" s="273"/>
      <c r="Q32" s="274"/>
      <c r="R32" s="120"/>
      <c r="S32" s="138"/>
    </row>
    <row r="33" spans="1:19" s="2" customFormat="1" ht="11.25">
      <c r="A33" s="56" t="s">
        <v>337</v>
      </c>
      <c r="B33" s="196">
        <f>+B32/B21</f>
        <v>0.77273760283623472</v>
      </c>
      <c r="C33" s="222">
        <f t="shared" ref="C33:L33" si="9">+C32/C21</f>
        <v>0.80297274719039136</v>
      </c>
      <c r="D33" s="222">
        <f t="shared" si="9"/>
        <v>0.76441552613865826</v>
      </c>
      <c r="E33" s="222">
        <f t="shared" si="9"/>
        <v>0.78809283551967713</v>
      </c>
      <c r="F33" s="222">
        <f t="shared" si="9"/>
        <v>0.82914014779377221</v>
      </c>
      <c r="G33" s="222">
        <f t="shared" si="9"/>
        <v>0.78038067349926798</v>
      </c>
      <c r="H33" s="222">
        <f>+H32/H21</f>
        <v>0.77914652401168072</v>
      </c>
      <c r="I33" s="222">
        <f>+I32/I21</f>
        <v>0.84612002637942407</v>
      </c>
      <c r="J33" s="222">
        <f>+J32/J21</f>
        <v>0.71870209144995012</v>
      </c>
      <c r="K33" s="222">
        <f>+K32/K21</f>
        <v>0.71411068000816824</v>
      </c>
      <c r="L33" s="196">
        <f t="shared" si="9"/>
        <v>0.37243569610931099</v>
      </c>
      <c r="M33" s="138"/>
      <c r="N33" s="222">
        <v>1</v>
      </c>
      <c r="O33" s="189">
        <f>+O32/O21</f>
        <v>0.78886355500457217</v>
      </c>
      <c r="P33" s="273"/>
      <c r="Q33" s="274"/>
      <c r="R33" s="120"/>
      <c r="S33" s="138"/>
    </row>
    <row r="34" spans="1:19" s="2" customFormat="1" ht="11.25">
      <c r="A34" s="5"/>
      <c r="B34" s="160"/>
      <c r="C34" s="113"/>
      <c r="D34" s="113"/>
      <c r="E34" s="113"/>
      <c r="F34" s="113"/>
      <c r="G34" s="113"/>
      <c r="H34" s="113"/>
      <c r="I34" s="113"/>
      <c r="J34" s="113"/>
      <c r="K34" s="113"/>
      <c r="L34" s="160"/>
      <c r="M34" s="134"/>
      <c r="N34" s="25"/>
      <c r="O34" s="154"/>
      <c r="P34" s="149"/>
      <c r="Q34" s="271"/>
      <c r="R34" s="115"/>
      <c r="S34" s="134"/>
    </row>
    <row r="35" spans="1:19" s="33" customFormat="1" ht="15" customHeight="1">
      <c r="A35" s="5" t="s">
        <v>96</v>
      </c>
      <c r="B35" s="160">
        <f>+Orléans!$G35</f>
        <v>0</v>
      </c>
      <c r="C35" s="113">
        <f>+Angers!$G35</f>
        <v>0</v>
      </c>
      <c r="D35" s="113">
        <f>+Thouars!$G35</f>
        <v>0</v>
      </c>
      <c r="E35" s="113">
        <f>+Château!$G35</f>
        <v>0</v>
      </c>
      <c r="F35" s="113">
        <f>+Chartres!$G35</f>
        <v>0</v>
      </c>
      <c r="G35" s="113">
        <f>+Bosc!$G35</f>
        <v>0</v>
      </c>
      <c r="H35" s="113">
        <f>+Cham!$G35</f>
        <v>0</v>
      </c>
      <c r="I35" s="113">
        <f>+Mans!$G35</f>
        <v>0</v>
      </c>
      <c r="J35" s="113">
        <f>+Saumur!$G35</f>
        <v>0</v>
      </c>
      <c r="K35" s="113">
        <f>+Chalette!$G35</f>
        <v>0</v>
      </c>
      <c r="L35" s="160">
        <f>+Orléans!E35+Angers!E35+Thouars!E35+Château!E35+Chartres!E35+Bosc!E35+Cham!E35+Mans!E35+Saumur!E35</f>
        <v>65407.770000000004</v>
      </c>
      <c r="M35" s="134"/>
      <c r="N35" s="113">
        <f t="shared" ref="N35:N42" si="10">+O35</f>
        <v>0</v>
      </c>
      <c r="O35" s="161">
        <f t="shared" ref="O35:O42" si="11">SUM(B35:K35)</f>
        <v>0</v>
      </c>
      <c r="P35" s="149"/>
      <c r="Q35" s="271"/>
      <c r="R35" s="115"/>
      <c r="S35" s="558"/>
    </row>
    <row r="36" spans="1:19" s="2" customFormat="1" ht="11.25">
      <c r="A36" s="5" t="s">
        <v>97</v>
      </c>
      <c r="B36" s="160">
        <f>+Orléans!$G36</f>
        <v>0</v>
      </c>
      <c r="C36" s="113">
        <f>+Angers!$G36</f>
        <v>0</v>
      </c>
      <c r="D36" s="113">
        <f>+Thouars!$G36</f>
        <v>0</v>
      </c>
      <c r="E36" s="113">
        <f>+Château!$G36</f>
        <v>0</v>
      </c>
      <c r="F36" s="113">
        <f>+Chartres!$G36</f>
        <v>0</v>
      </c>
      <c r="G36" s="113">
        <f>+Bosc!$G36</f>
        <v>0</v>
      </c>
      <c r="H36" s="113">
        <f>+Cham!$G36</f>
        <v>0</v>
      </c>
      <c r="I36" s="113">
        <f>+Mans!$G36</f>
        <v>0</v>
      </c>
      <c r="J36" s="113">
        <f>+Saumur!$G36</f>
        <v>0</v>
      </c>
      <c r="K36" s="113">
        <f>+Chalette!$G36</f>
        <v>0</v>
      </c>
      <c r="L36" s="160">
        <f>+Orléans!E36+Angers!E36+Thouars!E36+Château!E36+Chartres!E36+Bosc!E36+Cham!E36+Mans!E36+Saumur!E36</f>
        <v>48861.93</v>
      </c>
      <c r="M36" s="134"/>
      <c r="N36" s="113">
        <f t="shared" si="10"/>
        <v>0</v>
      </c>
      <c r="O36" s="161">
        <f t="shared" si="11"/>
        <v>0</v>
      </c>
      <c r="P36" s="149"/>
      <c r="Q36" s="271"/>
      <c r="R36" s="115"/>
      <c r="S36" s="558"/>
    </row>
    <row r="37" spans="1:19" s="33" customFormat="1" ht="15.75" customHeight="1">
      <c r="A37" s="5" t="s">
        <v>98</v>
      </c>
      <c r="B37" s="160">
        <f>+Orléans!$G37</f>
        <v>0</v>
      </c>
      <c r="C37" s="113">
        <f>+Angers!$G37</f>
        <v>0</v>
      </c>
      <c r="D37" s="113">
        <f>+Thouars!$G37</f>
        <v>0</v>
      </c>
      <c r="E37" s="113">
        <f>+Château!$G37</f>
        <v>0</v>
      </c>
      <c r="F37" s="113">
        <f>+Chartres!$G37</f>
        <v>0</v>
      </c>
      <c r="G37" s="113">
        <f>+Bosc!$G37</f>
        <v>0</v>
      </c>
      <c r="H37" s="113">
        <f>+Cham!$G37</f>
        <v>0</v>
      </c>
      <c r="I37" s="113">
        <f>+Mans!$G37</f>
        <v>0</v>
      </c>
      <c r="J37" s="113">
        <f>+Saumur!$G37</f>
        <v>0</v>
      </c>
      <c r="K37" s="113">
        <f>+Chalette!$G37</f>
        <v>0</v>
      </c>
      <c r="L37" s="160">
        <f>+Orléans!E37+Angers!E37+Thouars!E37+Château!E37+Chartres!E37+Bosc!E37+Cham!E37+Mans!E37+Saumur!E37</f>
        <v>0</v>
      </c>
      <c r="M37" s="134"/>
      <c r="N37" s="113">
        <f t="shared" si="10"/>
        <v>0</v>
      </c>
      <c r="O37" s="161">
        <f t="shared" si="11"/>
        <v>0</v>
      </c>
      <c r="P37" s="149"/>
      <c r="Q37" s="271"/>
      <c r="R37" s="115"/>
      <c r="S37" s="558"/>
    </row>
    <row r="38" spans="1:19" s="2" customFormat="1" ht="11.25">
      <c r="A38" s="5" t="s">
        <v>99</v>
      </c>
      <c r="B38" s="160">
        <f>+Orléans!$G38</f>
        <v>0</v>
      </c>
      <c r="C38" s="113">
        <f>+Angers!$G38</f>
        <v>0</v>
      </c>
      <c r="D38" s="113">
        <f>+Thouars!$G38</f>
        <v>0</v>
      </c>
      <c r="E38" s="113">
        <f>+Château!$G38</f>
        <v>0</v>
      </c>
      <c r="F38" s="113">
        <f>+Chartres!$G38</f>
        <v>0</v>
      </c>
      <c r="G38" s="113">
        <f>+Bosc!$G38</f>
        <v>0</v>
      </c>
      <c r="H38" s="113">
        <f>+Cham!$G38</f>
        <v>0</v>
      </c>
      <c r="I38" s="113">
        <f>+Mans!$G38</f>
        <v>0</v>
      </c>
      <c r="J38" s="113">
        <f>+Saumur!$G38</f>
        <v>0</v>
      </c>
      <c r="K38" s="113">
        <f>+Chalette!$G38</f>
        <v>0</v>
      </c>
      <c r="L38" s="160">
        <f>+Orléans!E38+Angers!E38+Thouars!E38+Château!E38+Chartres!E38+Bosc!E38+Cham!E38+Mans!E38+Saumur!E38</f>
        <v>105875.48409999997</v>
      </c>
      <c r="M38" s="134"/>
      <c r="N38" s="113">
        <f t="shared" si="10"/>
        <v>0</v>
      </c>
      <c r="O38" s="161">
        <f t="shared" si="11"/>
        <v>0</v>
      </c>
      <c r="P38" s="149"/>
      <c r="Q38" s="271"/>
      <c r="R38" s="115"/>
      <c r="S38" s="558"/>
    </row>
    <row r="39" spans="1:19" s="2" customFormat="1" ht="11.25">
      <c r="A39" s="5" t="s">
        <v>177</v>
      </c>
      <c r="B39" s="160">
        <f>+Orléans!$G39</f>
        <v>0</v>
      </c>
      <c r="C39" s="113">
        <f>+Angers!$G39</f>
        <v>0</v>
      </c>
      <c r="D39" s="113">
        <f>+Thouars!$G39</f>
        <v>0</v>
      </c>
      <c r="E39" s="113">
        <f>+Château!$G39</f>
        <v>0</v>
      </c>
      <c r="F39" s="113">
        <f>+Chartres!$G39</f>
        <v>0</v>
      </c>
      <c r="G39" s="113">
        <f>+Bosc!$G39</f>
        <v>0</v>
      </c>
      <c r="H39" s="113">
        <f>+Cham!$G39</f>
        <v>0</v>
      </c>
      <c r="I39" s="113">
        <f>+Mans!$G39</f>
        <v>0</v>
      </c>
      <c r="J39" s="113">
        <f>+Saumur!$G39</f>
        <v>0</v>
      </c>
      <c r="K39" s="113">
        <f>+Chalette!$G39</f>
        <v>0</v>
      </c>
      <c r="L39" s="160">
        <f>+Orléans!E39+Angers!E39+Thouars!E39+Château!E39+Chartres!E39+Bosc!E39+Cham!E39+Mans!E39+Saumur!E39</f>
        <v>59054.34</v>
      </c>
      <c r="M39" s="134"/>
      <c r="N39" s="113">
        <f t="shared" si="10"/>
        <v>0</v>
      </c>
      <c r="O39" s="161">
        <f t="shared" si="11"/>
        <v>0</v>
      </c>
      <c r="P39" s="149"/>
      <c r="Q39" s="271"/>
      <c r="R39" s="115"/>
      <c r="S39" s="558"/>
    </row>
    <row r="40" spans="1:19" s="2" customFormat="1" ht="11.25">
      <c r="A40" s="5" t="s">
        <v>176</v>
      </c>
      <c r="B40" s="160">
        <f>+Orléans!$G40</f>
        <v>0</v>
      </c>
      <c r="C40" s="113">
        <f>+Angers!$G40</f>
        <v>0</v>
      </c>
      <c r="D40" s="113">
        <f>+Thouars!$G40</f>
        <v>0</v>
      </c>
      <c r="E40" s="113">
        <f>+Château!$G40</f>
        <v>0</v>
      </c>
      <c r="F40" s="113">
        <f>+Chartres!$G40</f>
        <v>0</v>
      </c>
      <c r="G40" s="113">
        <f>+Bosc!$G40</f>
        <v>0</v>
      </c>
      <c r="H40" s="113">
        <f>+Cham!$G40</f>
        <v>0</v>
      </c>
      <c r="I40" s="113">
        <f>+Mans!$G40</f>
        <v>0</v>
      </c>
      <c r="J40" s="113">
        <f>+Saumur!$G40</f>
        <v>0</v>
      </c>
      <c r="K40" s="113">
        <f>+Chalette!$G40</f>
        <v>0</v>
      </c>
      <c r="L40" s="160">
        <f>+Orléans!E40+Angers!E40+Thouars!E40+Château!E40+Chartres!E40+Bosc!E40+Cham!E40+Mans!E40+Saumur!E40</f>
        <v>-54570.689999999995</v>
      </c>
      <c r="M40" s="134"/>
      <c r="N40" s="113">
        <f t="shared" si="10"/>
        <v>0</v>
      </c>
      <c r="O40" s="161">
        <f t="shared" si="11"/>
        <v>0</v>
      </c>
      <c r="P40" s="149"/>
      <c r="Q40" s="271"/>
      <c r="R40" s="115"/>
      <c r="S40" s="558"/>
    </row>
    <row r="41" spans="1:19" s="2" customFormat="1" ht="11.25">
      <c r="A41" s="5" t="s">
        <v>317</v>
      </c>
      <c r="B41" s="160">
        <f>+Orléans!$G41</f>
        <v>0</v>
      </c>
      <c r="C41" s="113">
        <f>+Angers!$G41</f>
        <v>0</v>
      </c>
      <c r="D41" s="113">
        <f>+Thouars!$G41</f>
        <v>0</v>
      </c>
      <c r="E41" s="113">
        <f>+Château!$G41</f>
        <v>0</v>
      </c>
      <c r="F41" s="113">
        <f>+Chartres!$G41</f>
        <v>0</v>
      </c>
      <c r="G41" s="113">
        <f>+Bosc!$G41</f>
        <v>0</v>
      </c>
      <c r="H41" s="113">
        <f>+Cham!$G41</f>
        <v>0</v>
      </c>
      <c r="I41" s="113">
        <f>+Mans!$G41</f>
        <v>0</v>
      </c>
      <c r="J41" s="113">
        <f>+Saumur!$G41</f>
        <v>0</v>
      </c>
      <c r="K41" s="113">
        <f>+Chalette!$G41</f>
        <v>0</v>
      </c>
      <c r="L41" s="160">
        <f>+Orléans!E41+Angers!E41+Thouars!E41+Château!E41+Chartres!E41+Bosc!E41+Cham!E41+Mans!E41+Saumur!E41</f>
        <v>-73967.930000000008</v>
      </c>
      <c r="M41" s="134"/>
      <c r="N41" s="113">
        <f t="shared" si="10"/>
        <v>0</v>
      </c>
      <c r="O41" s="161">
        <f t="shared" si="11"/>
        <v>0</v>
      </c>
      <c r="P41" s="149"/>
      <c r="Q41" s="271"/>
      <c r="R41" s="115"/>
      <c r="S41" s="558"/>
    </row>
    <row r="42" spans="1:19" s="2" customFormat="1" ht="11.25">
      <c r="A42" s="5" t="s">
        <v>318</v>
      </c>
      <c r="B42" s="160">
        <f>+Orléans!$G42</f>
        <v>0</v>
      </c>
      <c r="C42" s="113">
        <f>+Angers!$G42</f>
        <v>0</v>
      </c>
      <c r="D42" s="113">
        <f>+Thouars!$G42</f>
        <v>0</v>
      </c>
      <c r="E42" s="113">
        <f>+Château!$G42</f>
        <v>0</v>
      </c>
      <c r="F42" s="113">
        <f>+Chartres!$G42</f>
        <v>0</v>
      </c>
      <c r="G42" s="113">
        <f>+Bosc!$G42</f>
        <v>0</v>
      </c>
      <c r="H42" s="113">
        <f>+Cham!$G42</f>
        <v>0</v>
      </c>
      <c r="I42" s="113">
        <f>+Mans!$G42</f>
        <v>0</v>
      </c>
      <c r="J42" s="113">
        <f>+Saumur!$G42</f>
        <v>0</v>
      </c>
      <c r="K42" s="113">
        <f>+Chalette!$G42</f>
        <v>0</v>
      </c>
      <c r="L42" s="160">
        <f>+Orléans!E42+Angers!E42+Thouars!E42+Château!E42+Chartres!E42+Bosc!E42+Cham!E42+Mans!E42+Saumur!E42</f>
        <v>-119651.02000000002</v>
      </c>
      <c r="M42" s="134"/>
      <c r="N42" s="113">
        <f t="shared" si="10"/>
        <v>0</v>
      </c>
      <c r="O42" s="161">
        <f t="shared" si="11"/>
        <v>0</v>
      </c>
      <c r="P42" s="149"/>
      <c r="Q42" s="271"/>
      <c r="R42" s="115"/>
      <c r="S42" s="558"/>
    </row>
    <row r="43" spans="1:19" s="2" customFormat="1" ht="11.25">
      <c r="A43" s="5"/>
      <c r="B43" s="160"/>
      <c r="C43" s="113"/>
      <c r="D43" s="113"/>
      <c r="E43" s="113"/>
      <c r="F43" s="113"/>
      <c r="G43" s="113"/>
      <c r="H43" s="113"/>
      <c r="I43" s="113"/>
      <c r="J43" s="113"/>
      <c r="K43" s="113"/>
      <c r="L43" s="160"/>
      <c r="M43" s="134"/>
      <c r="N43" s="25"/>
      <c r="O43" s="154"/>
      <c r="P43" s="149"/>
      <c r="Q43" s="254"/>
      <c r="R43" s="115"/>
      <c r="S43" s="134"/>
    </row>
    <row r="44" spans="1:19" s="2" customFormat="1" ht="11.25">
      <c r="A44" s="13" t="s">
        <v>291</v>
      </c>
      <c r="B44" s="163">
        <f>+B30+SUM(B34:B43)</f>
        <v>250000</v>
      </c>
      <c r="C44" s="204">
        <f t="shared" ref="C44:L44" si="12">+C30+SUM(C34:C43)</f>
        <v>250000</v>
      </c>
      <c r="D44" s="204">
        <f t="shared" si="12"/>
        <v>210000</v>
      </c>
      <c r="E44" s="204">
        <f t="shared" si="12"/>
        <v>105000</v>
      </c>
      <c r="F44" s="204">
        <f t="shared" si="12"/>
        <v>200000</v>
      </c>
      <c r="G44" s="204">
        <f t="shared" si="12"/>
        <v>330000</v>
      </c>
      <c r="H44" s="204">
        <f>+H30+SUM(H34:H43)</f>
        <v>180000</v>
      </c>
      <c r="I44" s="204">
        <f>+I30+SUM(I34:I43)</f>
        <v>140000</v>
      </c>
      <c r="J44" s="204">
        <f>+J30+SUM(J34:J43)</f>
        <v>80000</v>
      </c>
      <c r="K44" s="204">
        <f>+K30+SUM(K34:K43)</f>
        <v>140000</v>
      </c>
      <c r="L44" s="163">
        <f t="shared" si="12"/>
        <v>4739198.2741</v>
      </c>
      <c r="M44" s="136">
        <f>+Orléans!F44+Angers!F44+Thouars!F44+Château!F44+Chartres!F44+Bosc!F44+Cham!F44+Mans!F44+Saumur!F44+Chalette!F44</f>
        <v>105000</v>
      </c>
      <c r="N44" s="204">
        <v>0</v>
      </c>
      <c r="O44" s="168">
        <f>+O30+SUM(O34:O43)</f>
        <v>1885000</v>
      </c>
      <c r="P44" s="272"/>
      <c r="Q44" s="188"/>
      <c r="R44" s="118">
        <f>+Orléans!D44+Angers!D44+Thouars!D44+Château!D44+Chartres!D44+Bosc!D44+Cham!D44+Mans!D44+Saumur!D44+Chalette!D44</f>
        <v>0</v>
      </c>
      <c r="S44" s="139"/>
    </row>
    <row r="45" spans="1:19" s="2" customFormat="1" ht="11.25">
      <c r="A45" s="5"/>
      <c r="B45" s="160"/>
      <c r="C45" s="113"/>
      <c r="D45" s="113"/>
      <c r="E45" s="113"/>
      <c r="F45" s="113"/>
      <c r="G45" s="113"/>
      <c r="H45" s="113"/>
      <c r="I45" s="113"/>
      <c r="J45" s="113"/>
      <c r="K45" s="113"/>
      <c r="L45" s="160"/>
      <c r="M45" s="134"/>
      <c r="N45" s="25"/>
      <c r="O45" s="154"/>
      <c r="P45" s="149"/>
      <c r="Q45" s="254"/>
      <c r="R45" s="115"/>
      <c r="S45" s="134"/>
    </row>
    <row r="46" spans="1:19" s="2" customFormat="1" ht="11.25">
      <c r="A46" s="56" t="s">
        <v>339</v>
      </c>
      <c r="B46" s="166">
        <f>+B21-B44</f>
        <v>850050</v>
      </c>
      <c r="C46" s="221">
        <f t="shared" ref="C46:L46" si="13">+C21-C44</f>
        <v>1018860</v>
      </c>
      <c r="D46" s="221">
        <f t="shared" si="13"/>
        <v>681400</v>
      </c>
      <c r="E46" s="221">
        <f t="shared" si="13"/>
        <v>390500</v>
      </c>
      <c r="F46" s="221">
        <f t="shared" si="13"/>
        <v>970550</v>
      </c>
      <c r="G46" s="221">
        <f t="shared" si="13"/>
        <v>1172600</v>
      </c>
      <c r="H46" s="221">
        <f>+H21-H44</f>
        <v>635020</v>
      </c>
      <c r="I46" s="221">
        <f>+I21-I44</f>
        <v>769800</v>
      </c>
      <c r="J46" s="221">
        <f>+J21-J44</f>
        <v>204396</v>
      </c>
      <c r="K46" s="221">
        <f>+K21-K44</f>
        <v>349700</v>
      </c>
      <c r="L46" s="166">
        <f t="shared" si="13"/>
        <v>2931830.5658999998</v>
      </c>
      <c r="M46" s="138">
        <f>+Orléans!F46+Angers!F46+Thouars!F46+Château!F46+Chartres!F46+Bosc!F46+Cham!F46+Mans!F46</f>
        <v>0</v>
      </c>
      <c r="N46" s="349">
        <v>8023447.4542999994</v>
      </c>
      <c r="O46" s="167">
        <f>+O21-O44</f>
        <v>7042876</v>
      </c>
      <c r="P46" s="273"/>
      <c r="Q46" s="274"/>
      <c r="R46" s="120">
        <f>+Orléans!D46+Angers!D46+Thouars!D46+Château!D46+Chartres!D46+Bosc!D46+Cham!D46+Mans!D46</f>
        <v>0</v>
      </c>
      <c r="S46" s="138"/>
    </row>
    <row r="47" spans="1:19" s="2" customFormat="1" ht="11.25">
      <c r="A47" s="56" t="s">
        <v>340</v>
      </c>
      <c r="B47" s="196">
        <f>+B46/B21</f>
        <v>0.77273760283623472</v>
      </c>
      <c r="C47" s="222">
        <f t="shared" ref="C47:L47" si="14">+C46/C21</f>
        <v>0.80297274719039136</v>
      </c>
      <c r="D47" s="222">
        <f t="shared" si="14"/>
        <v>0.76441552613865826</v>
      </c>
      <c r="E47" s="222">
        <f t="shared" si="14"/>
        <v>0.78809283551967713</v>
      </c>
      <c r="F47" s="222">
        <f t="shared" si="14"/>
        <v>0.82914014779377221</v>
      </c>
      <c r="G47" s="222">
        <f t="shared" si="14"/>
        <v>0.78038067349926798</v>
      </c>
      <c r="H47" s="222">
        <f>+H46/H21</f>
        <v>0.77914652401168072</v>
      </c>
      <c r="I47" s="222">
        <f>+I46/I21</f>
        <v>0.84612002637942407</v>
      </c>
      <c r="J47" s="222">
        <f>+J46/J21</f>
        <v>0.71870209144995012</v>
      </c>
      <c r="K47" s="222">
        <f>+K46/K21</f>
        <v>0.71411068000816824</v>
      </c>
      <c r="L47" s="196">
        <f t="shared" si="14"/>
        <v>0.38219522140396489</v>
      </c>
      <c r="M47" s="138">
        <f>+Orléans!F47+Angers!F47+Thouars!F47+Château!F47+Chartres!F47+Bosc!F47+Cham!F47+Mans!F47</f>
        <v>0</v>
      </c>
      <c r="N47" s="222">
        <v>1</v>
      </c>
      <c r="O47" s="189">
        <f>+O46/O21</f>
        <v>0.78886355500457217</v>
      </c>
      <c r="P47" s="273"/>
      <c r="Q47" s="274"/>
      <c r="R47" s="120">
        <f>+Orléans!D47+Angers!D47+Thouars!D47+Château!D47+Chartres!D47+Bosc!D47+Cham!D47+Mans!D47</f>
        <v>0</v>
      </c>
      <c r="S47" s="138"/>
    </row>
    <row r="48" spans="1:19" s="2" customFormat="1" ht="15" customHeight="1">
      <c r="A48" s="5"/>
      <c r="B48" s="160"/>
      <c r="C48" s="113"/>
      <c r="D48" s="113"/>
      <c r="E48" s="113"/>
      <c r="F48" s="113"/>
      <c r="G48" s="113"/>
      <c r="H48" s="113"/>
      <c r="I48" s="113"/>
      <c r="J48" s="113"/>
      <c r="K48" s="113"/>
      <c r="L48" s="160"/>
      <c r="M48" s="134"/>
      <c r="N48" s="25"/>
      <c r="O48" s="154"/>
      <c r="P48" s="149"/>
      <c r="Q48" s="271"/>
      <c r="R48" s="115"/>
      <c r="S48" s="134"/>
    </row>
    <row r="49" spans="1:19" s="2" customFormat="1" ht="11.25">
      <c r="A49" s="5" t="s">
        <v>91</v>
      </c>
      <c r="B49" s="160">
        <f>+Orléans!$G49</f>
        <v>15000</v>
      </c>
      <c r="C49" s="113">
        <f>+Angers!$G49</f>
        <v>11000</v>
      </c>
      <c r="D49" s="113">
        <f>+Thouars!$G49</f>
        <v>10000</v>
      </c>
      <c r="E49" s="113">
        <f>+Château!$G49</f>
        <v>12000</v>
      </c>
      <c r="F49" s="113">
        <f>+Chartres!$G49</f>
        <v>10000</v>
      </c>
      <c r="G49" s="113">
        <f>+Bosc!$G49</f>
        <v>28000</v>
      </c>
      <c r="H49" s="113">
        <f>+Cham!$G49</f>
        <v>11000</v>
      </c>
      <c r="I49" s="113">
        <f>+Mans!$G49</f>
        <v>8500</v>
      </c>
      <c r="J49" s="113">
        <f>+Saumur!$G49</f>
        <v>3000</v>
      </c>
      <c r="K49" s="113">
        <f>+Chalette!$G49</f>
        <v>5000</v>
      </c>
      <c r="L49" s="160">
        <f>+Orléans!E49+Angers!E49+Thouars!E49+Château!E49+Chartres!E49+Bosc!E49+Cham!E49+Mans!E49+Saumur!E49</f>
        <v>89069.98</v>
      </c>
      <c r="M49" s="135">
        <f>+Orléans!F49+Angers!F49+Thouars!F49+Château!F49+Chartres!F49+Bosc!F49+Cham!F49+Mans!F49+Saumur!F49+Chalette!F49</f>
        <v>102240</v>
      </c>
      <c r="N49" s="113">
        <f>+O49</f>
        <v>113500</v>
      </c>
      <c r="O49" s="161">
        <f>SUM(B49:K49)</f>
        <v>113500</v>
      </c>
      <c r="P49" s="149">
        <f>+IF((L49)=0,,(M49-L49)/L49)</f>
        <v>0.14786149048197839</v>
      </c>
      <c r="Q49" s="271">
        <f>+IF((M49)=0,,(O49-M49)/M49)</f>
        <v>0.11013302034428794</v>
      </c>
      <c r="R49" s="117">
        <f>+Orléans!D49+Angers!D49+Thouars!D49+Château!D49+Chartres!D49+Bosc!D49+Cham!D49+Mans!D49+Saumur!D49+Chalette!D49</f>
        <v>108240</v>
      </c>
      <c r="S49" s="395"/>
    </row>
    <row r="50" spans="1:19" s="2" customFormat="1" ht="15" customHeight="1">
      <c r="A50" s="5"/>
      <c r="B50" s="160"/>
      <c r="C50" s="113"/>
      <c r="D50" s="113"/>
      <c r="E50" s="113"/>
      <c r="F50" s="113"/>
      <c r="G50" s="113"/>
      <c r="H50" s="113"/>
      <c r="I50" s="113"/>
      <c r="J50" s="113"/>
      <c r="K50" s="113"/>
      <c r="L50" s="160"/>
      <c r="M50" s="134"/>
      <c r="N50" s="25"/>
      <c r="O50" s="154"/>
      <c r="P50" s="149"/>
      <c r="Q50" s="271"/>
      <c r="R50" s="115"/>
      <c r="S50" s="134"/>
    </row>
    <row r="51" spans="1:19" s="2" customFormat="1" ht="11.25">
      <c r="A51" s="13" t="s">
        <v>223</v>
      </c>
      <c r="B51" s="163">
        <f>+B21-B49</f>
        <v>1085050</v>
      </c>
      <c r="C51" s="204">
        <f t="shared" ref="C51:L51" si="15">+C21-C49</f>
        <v>1257860</v>
      </c>
      <c r="D51" s="204">
        <f t="shared" si="15"/>
        <v>881400</v>
      </c>
      <c r="E51" s="204">
        <f t="shared" si="15"/>
        <v>483500</v>
      </c>
      <c r="F51" s="204">
        <f t="shared" si="15"/>
        <v>1160550</v>
      </c>
      <c r="G51" s="204">
        <f t="shared" si="15"/>
        <v>1474600</v>
      </c>
      <c r="H51" s="204">
        <f>+H21-H49</f>
        <v>804020</v>
      </c>
      <c r="I51" s="204">
        <f>+I21-I49</f>
        <v>901300</v>
      </c>
      <c r="J51" s="204">
        <f>+J21-J49</f>
        <v>281396</v>
      </c>
      <c r="K51" s="204">
        <f>+K21-K49</f>
        <v>484700</v>
      </c>
      <c r="L51" s="163">
        <f t="shared" si="15"/>
        <v>7581958.8599999994</v>
      </c>
      <c r="M51" s="136">
        <f>+Orléans!F51+Angers!F51+Thouars!F51+Château!F51+Chartres!F51+Bosc!F51+Cham!F51+Mans!F51+Saumur!F51+Chalette!F51</f>
        <v>8099305.0199999996</v>
      </c>
      <c r="N51" s="204">
        <v>7908087.4542999994</v>
      </c>
      <c r="O51" s="168">
        <f>+O21-O49</f>
        <v>8814376</v>
      </c>
      <c r="P51" s="272"/>
      <c r="Q51" s="188"/>
      <c r="R51" s="118">
        <f>+Orléans!D51+Angers!D51+Thouars!D51+Château!D51+Chartres!D51+Bosc!D51+Cham!D51+Mans!D51+Saumur!D51+Chalette!D51</f>
        <v>8733272.6084000003</v>
      </c>
      <c r="S51" s="136"/>
    </row>
    <row r="52" spans="1:19" s="2" customFormat="1" ht="15" customHeight="1">
      <c r="A52" s="5"/>
      <c r="B52" s="160"/>
      <c r="C52" s="113"/>
      <c r="D52" s="113"/>
      <c r="E52" s="113"/>
      <c r="F52" s="113"/>
      <c r="G52" s="113"/>
      <c r="H52" s="113"/>
      <c r="I52" s="113"/>
      <c r="J52" s="113"/>
      <c r="K52" s="113"/>
      <c r="L52" s="160"/>
      <c r="M52" s="134"/>
      <c r="N52" s="25"/>
      <c r="O52" s="154"/>
      <c r="P52" s="149"/>
      <c r="Q52" s="254"/>
      <c r="R52" s="115"/>
      <c r="S52" s="134"/>
    </row>
    <row r="53" spans="1:19" s="2" customFormat="1" ht="11.25">
      <c r="A53" s="16" t="s">
        <v>3</v>
      </c>
      <c r="B53" s="169">
        <f>+B51-B44</f>
        <v>835050</v>
      </c>
      <c r="C53" s="223">
        <f t="shared" ref="C53:L53" si="16">+C51-C44</f>
        <v>1007860</v>
      </c>
      <c r="D53" s="223">
        <f t="shared" si="16"/>
        <v>671400</v>
      </c>
      <c r="E53" s="223">
        <f t="shared" si="16"/>
        <v>378500</v>
      </c>
      <c r="F53" s="223">
        <f t="shared" si="16"/>
        <v>960550</v>
      </c>
      <c r="G53" s="223">
        <f t="shared" si="16"/>
        <v>1144600</v>
      </c>
      <c r="H53" s="223">
        <f>+H51-H44</f>
        <v>624020</v>
      </c>
      <c r="I53" s="223">
        <f>+I51-I44</f>
        <v>761300</v>
      </c>
      <c r="J53" s="223">
        <f>+J51-J44</f>
        <v>201396</v>
      </c>
      <c r="K53" s="223">
        <f>+K51-K44</f>
        <v>344700</v>
      </c>
      <c r="L53" s="169">
        <f t="shared" si="16"/>
        <v>2842760.5858999994</v>
      </c>
      <c r="M53" s="140"/>
      <c r="N53" s="223">
        <v>7908087.4542999994</v>
      </c>
      <c r="O53" s="170">
        <f>+O51-O44</f>
        <v>6929376</v>
      </c>
      <c r="P53" s="224"/>
      <c r="Q53" s="123"/>
      <c r="R53" s="122"/>
      <c r="S53" s="140"/>
    </row>
    <row r="54" spans="1:19" s="2" customFormat="1" ht="15" customHeight="1">
      <c r="A54" s="16" t="s">
        <v>4</v>
      </c>
      <c r="B54" s="197">
        <f>+B53/B51</f>
        <v>0.7695958711580112</v>
      </c>
      <c r="C54" s="224">
        <f t="shared" ref="C54:L54" si="17">+C53/C51</f>
        <v>0.80124974162466411</v>
      </c>
      <c r="D54" s="224">
        <f t="shared" si="17"/>
        <v>0.7617426820966644</v>
      </c>
      <c r="E54" s="224">
        <f t="shared" si="17"/>
        <v>0.78283350568769394</v>
      </c>
      <c r="F54" s="224">
        <f t="shared" si="17"/>
        <v>0.82766791607427515</v>
      </c>
      <c r="G54" s="224">
        <f t="shared" si="17"/>
        <v>0.77621049776210493</v>
      </c>
      <c r="H54" s="224">
        <f>+H53/H51</f>
        <v>0.77612497201562147</v>
      </c>
      <c r="I54" s="224">
        <f>+I53/I51</f>
        <v>0.84466881171640962</v>
      </c>
      <c r="J54" s="224">
        <f>+J53/J51</f>
        <v>0.71570313721588086</v>
      </c>
      <c r="K54" s="224">
        <f>+K53/K51</f>
        <v>0.71116154322261194</v>
      </c>
      <c r="L54" s="197">
        <f t="shared" si="17"/>
        <v>0.37493748494172119</v>
      </c>
      <c r="M54" s="141"/>
      <c r="N54" s="224">
        <v>1</v>
      </c>
      <c r="O54" s="191">
        <f>+O53/O51</f>
        <v>0.78614481615034348</v>
      </c>
      <c r="P54" s="224"/>
      <c r="Q54" s="123"/>
      <c r="R54" s="123"/>
      <c r="S54" s="141"/>
    </row>
    <row r="55" spans="1:19" s="2" customFormat="1" ht="11.25">
      <c r="A55" s="5"/>
      <c r="B55" s="160"/>
      <c r="C55" s="113"/>
      <c r="D55" s="113"/>
      <c r="E55" s="113"/>
      <c r="F55" s="113"/>
      <c r="G55" s="113"/>
      <c r="H55" s="113"/>
      <c r="I55" s="113"/>
      <c r="J55" s="113"/>
      <c r="K55" s="113"/>
      <c r="L55" s="160"/>
      <c r="M55" s="134"/>
      <c r="N55" s="25"/>
      <c r="O55" s="154"/>
      <c r="P55" s="149"/>
      <c r="Q55" s="271"/>
      <c r="R55" s="115"/>
      <c r="S55" s="134"/>
    </row>
    <row r="56" spans="1:19" s="2" customFormat="1" ht="11.25">
      <c r="A56" s="5" t="s">
        <v>290</v>
      </c>
      <c r="B56" s="160">
        <f>+Orléans!$G56</f>
        <v>0</v>
      </c>
      <c r="C56" s="113">
        <f>+Angers!$G56</f>
        <v>0</v>
      </c>
      <c r="D56" s="113">
        <f>+Thouars!$G56</f>
        <v>0</v>
      </c>
      <c r="E56" s="113">
        <f>+Château!$G56</f>
        <v>0</v>
      </c>
      <c r="F56" s="113">
        <f>+Chartres!$G56</f>
        <v>0</v>
      </c>
      <c r="G56" s="113">
        <f>+Bosc!$G56</f>
        <v>0</v>
      </c>
      <c r="H56" s="113">
        <f>+Cham!$G56</f>
        <v>0</v>
      </c>
      <c r="I56" s="113">
        <f>+Mans!$G56</f>
        <v>0</v>
      </c>
      <c r="J56" s="113">
        <f>+Saumur!$G56</f>
        <v>0</v>
      </c>
      <c r="K56" s="113">
        <f>+Chalette!$G56</f>
        <v>0</v>
      </c>
      <c r="L56" s="160">
        <f>+Orléans!E56+Angers!E56+Thouars!E56+Château!E56+Chartres!E56+Bosc!E56+Cham!E56+Mans!E56+Saumur!E56</f>
        <v>1148600.9457</v>
      </c>
      <c r="M56" s="134"/>
      <c r="N56" s="113">
        <f>+O56</f>
        <v>0</v>
      </c>
      <c r="O56" s="161">
        <f>SUM(B56:K56)</f>
        <v>0</v>
      </c>
      <c r="P56" s="149"/>
      <c r="Q56" s="271"/>
      <c r="R56" s="115"/>
      <c r="S56" s="134"/>
    </row>
    <row r="57" spans="1:19" s="2" customFormat="1" ht="11.25">
      <c r="A57" s="5" t="s">
        <v>100</v>
      </c>
      <c r="B57" s="160">
        <f>+Orléans!$G57</f>
        <v>0</v>
      </c>
      <c r="C57" s="113">
        <f>+Angers!$G57</f>
        <v>0</v>
      </c>
      <c r="D57" s="113">
        <f>+Thouars!$G57</f>
        <v>0</v>
      </c>
      <c r="E57" s="113">
        <f>+Château!$G57</f>
        <v>0</v>
      </c>
      <c r="F57" s="113">
        <f>+Chartres!$G57</f>
        <v>0</v>
      </c>
      <c r="G57" s="113">
        <f>+Bosc!$G57</f>
        <v>0</v>
      </c>
      <c r="H57" s="113">
        <f>+Cham!$G57</f>
        <v>0</v>
      </c>
      <c r="I57" s="113">
        <f>+Mans!$G57</f>
        <v>0</v>
      </c>
      <c r="J57" s="113">
        <f>+Saumur!$G57</f>
        <v>0</v>
      </c>
      <c r="K57" s="113">
        <f>+Chalette!$G57</f>
        <v>0</v>
      </c>
      <c r="L57" s="160">
        <f>+Orléans!E57+Angers!E57+Thouars!E57+Château!E57+Chartres!E57+Bosc!E57+Cham!E57+Mans!E57+Saumur!E57</f>
        <v>1042725.4615999999</v>
      </c>
      <c r="M57" s="134"/>
      <c r="N57" s="113">
        <f>+O57</f>
        <v>0</v>
      </c>
      <c r="O57" s="161">
        <f>SUM(B57:K57)</f>
        <v>0</v>
      </c>
      <c r="P57" s="149"/>
      <c r="Q57" s="271"/>
      <c r="R57" s="115"/>
      <c r="S57" s="134"/>
    </row>
    <row r="58" spans="1:19" s="2" customFormat="1" ht="12" thickBot="1">
      <c r="A58" s="21"/>
      <c r="B58" s="171"/>
      <c r="C58" s="205"/>
      <c r="D58" s="205"/>
      <c r="E58" s="205"/>
      <c r="F58" s="205"/>
      <c r="G58" s="205"/>
      <c r="H58" s="205"/>
      <c r="I58" s="205"/>
      <c r="J58" s="205"/>
      <c r="K58" s="205"/>
      <c r="L58" s="171"/>
      <c r="M58" s="142"/>
      <c r="N58" s="337"/>
      <c r="O58" s="198"/>
      <c r="P58" s="236"/>
      <c r="Q58" s="275"/>
      <c r="R58" s="124"/>
      <c r="S58" s="142"/>
    </row>
    <row r="59" spans="1:19" s="2" customFormat="1" ht="12" thickTop="1">
      <c r="A59" s="5"/>
      <c r="B59" s="160"/>
      <c r="C59" s="113"/>
      <c r="D59" s="113"/>
      <c r="E59" s="113"/>
      <c r="F59" s="113"/>
      <c r="G59" s="113"/>
      <c r="H59" s="113"/>
      <c r="I59" s="113"/>
      <c r="J59" s="113"/>
      <c r="K59" s="113"/>
      <c r="L59" s="160"/>
      <c r="M59" s="134"/>
      <c r="N59" s="25"/>
      <c r="O59" s="154"/>
      <c r="P59" s="149"/>
      <c r="Q59" s="254"/>
      <c r="R59" s="115"/>
      <c r="S59" s="134"/>
    </row>
    <row r="60" spans="1:19" s="2" customFormat="1" ht="15" customHeight="1">
      <c r="A60" s="16" t="s">
        <v>295</v>
      </c>
      <c r="B60" s="225">
        <f>+Orléans!$G60</f>
        <v>0.41</v>
      </c>
      <c r="C60" s="226">
        <f>+Angers!$G60</f>
        <v>0.375</v>
      </c>
      <c r="D60" s="226">
        <f>+Thouars!$G60</f>
        <v>0.36</v>
      </c>
      <c r="E60" s="226">
        <f>+Château!G60</f>
        <v>0.35</v>
      </c>
      <c r="F60" s="226">
        <f>+Chartres!$G60</f>
        <v>0.35499999999999998</v>
      </c>
      <c r="G60" s="226">
        <f>+Bosc!$G60</f>
        <v>0.37</v>
      </c>
      <c r="H60" s="226">
        <f>+Cham!$G60</f>
        <v>0.36499999999999999</v>
      </c>
      <c r="I60" s="226">
        <f>+Mans!G60</f>
        <v>0.42</v>
      </c>
      <c r="J60" s="226">
        <f>+Saumur!G60</f>
        <v>0.43</v>
      </c>
      <c r="K60" s="226">
        <f>+Chalette!G60</f>
        <v>0.36</v>
      </c>
      <c r="L60" s="197">
        <f>+L62/L51</f>
        <v>0.36915408196372096</v>
      </c>
      <c r="M60" s="141">
        <f>+M62/M51</f>
        <v>0.37236738081263177</v>
      </c>
      <c r="N60" s="224">
        <f>+O60</f>
        <v>0.37758768516341934</v>
      </c>
      <c r="O60" s="224">
        <f>+O62/O51</f>
        <v>0.37758768516341934</v>
      </c>
      <c r="P60" s="224"/>
      <c r="Q60" s="123"/>
      <c r="R60" s="123">
        <f>+R62/R51</f>
        <v>0.37700574917965479</v>
      </c>
      <c r="S60" s="141"/>
    </row>
    <row r="61" spans="1:19" s="2" customFormat="1" ht="11.25">
      <c r="A61" s="5" t="s">
        <v>75</v>
      </c>
      <c r="B61" s="92">
        <v>0.36699999999999999</v>
      </c>
      <c r="C61" s="149">
        <v>0.372</v>
      </c>
      <c r="D61" s="149">
        <v>0.377</v>
      </c>
      <c r="E61" s="149">
        <v>0.374</v>
      </c>
      <c r="F61" s="149">
        <v>0.36899999999999999</v>
      </c>
      <c r="G61" s="149">
        <v>0.34899999999999998</v>
      </c>
      <c r="H61" s="149">
        <v>0.371</v>
      </c>
      <c r="I61" s="149">
        <v>0.40100000000000002</v>
      </c>
      <c r="J61" s="149">
        <v>0.41899999999999998</v>
      </c>
      <c r="K61" s="149">
        <v>1.419</v>
      </c>
      <c r="L61" s="92">
        <f>+(B21*B61+C21*C61+D21*D61+E21*E61+F21*F61+G21*G61+H21*H61+I21*I61+J21*J61)/L21</f>
        <v>0.40930801193546285</v>
      </c>
      <c r="M61" s="135"/>
      <c r="N61" s="113"/>
      <c r="O61" s="162"/>
      <c r="P61" s="149"/>
      <c r="Q61" s="254"/>
      <c r="R61" s="117"/>
      <c r="S61" s="135"/>
    </row>
    <row r="62" spans="1:19" s="2" customFormat="1" ht="15" customHeight="1">
      <c r="A62" s="16" t="s">
        <v>296</v>
      </c>
      <c r="B62" s="169">
        <f t="shared" ref="B62:G62" si="18">+B51*B60</f>
        <v>444870.5</v>
      </c>
      <c r="C62" s="223">
        <f t="shared" si="18"/>
        <v>471697.5</v>
      </c>
      <c r="D62" s="223">
        <f t="shared" si="18"/>
        <v>317304</v>
      </c>
      <c r="E62" s="223">
        <f t="shared" si="18"/>
        <v>169225</v>
      </c>
      <c r="F62" s="223">
        <f t="shared" si="18"/>
        <v>411995.25</v>
      </c>
      <c r="G62" s="223">
        <f t="shared" si="18"/>
        <v>545602</v>
      </c>
      <c r="H62" s="223">
        <f>+H51*H60</f>
        <v>293467.3</v>
      </c>
      <c r="I62" s="223">
        <f>+I51*I60</f>
        <v>378546</v>
      </c>
      <c r="J62" s="223">
        <f>+J51*J60</f>
        <v>121000.28</v>
      </c>
      <c r="K62" s="223">
        <f>+K51*K60</f>
        <v>174492</v>
      </c>
      <c r="L62" s="169">
        <f>+Orléans!E62+Angers!E62+Thouars!E62+Château!E62+Chartres!E62+Bosc!E62+Cham!E62+Mans!E62+Saumur!E62</f>
        <v>2798911.0624500001</v>
      </c>
      <c r="M62" s="140">
        <f>+Orléans!F62+Angers!F62+Thouars!F62+Château!F62+Chartres!F62+Bosc!F62+Cham!F62+Mans!F62+Saumur!F62+Chalette!F62</f>
        <v>3015916.9967</v>
      </c>
      <c r="N62" s="223">
        <f>+O62</f>
        <v>3328199.8299999996</v>
      </c>
      <c r="O62" s="170">
        <f>SUM(B62:K62)</f>
        <v>3328199.8299999996</v>
      </c>
      <c r="P62" s="224">
        <f>+IF((L62)=0,,(M62-L62)/L62)</f>
        <v>7.7532272161604826E-2</v>
      </c>
      <c r="Q62" s="123">
        <f>+IF((M62)=0,,(O62-M62)/M62)</f>
        <v>0.10354490313947558</v>
      </c>
      <c r="R62" s="122">
        <f>+Orléans!D62+Angers!D62+Thouars!D62+Château!D62+Chartres!D62+Bosc!D62+Cham!D62+Mans!D62+Saumur!D62+Chalette!D62</f>
        <v>3292493.9825200001</v>
      </c>
      <c r="S62" s="140"/>
    </row>
    <row r="63" spans="1:19" s="2" customFormat="1" ht="11.25">
      <c r="A63" s="5"/>
      <c r="B63" s="160"/>
      <c r="C63" s="113"/>
      <c r="D63" s="113"/>
      <c r="E63" s="113"/>
      <c r="F63" s="113"/>
      <c r="G63" s="113"/>
      <c r="H63" s="113"/>
      <c r="I63" s="113"/>
      <c r="J63" s="113"/>
      <c r="K63" s="113"/>
      <c r="L63" s="160"/>
      <c r="M63" s="134"/>
      <c r="N63" s="25"/>
      <c r="O63" s="154"/>
      <c r="P63" s="149"/>
      <c r="Q63" s="271"/>
      <c r="R63" s="115"/>
      <c r="S63" s="134"/>
    </row>
    <row r="64" spans="1:19" s="2" customFormat="1" ht="11.25">
      <c r="A64" s="5" t="s">
        <v>104</v>
      </c>
      <c r="B64" s="160">
        <f>+Orléans!$G64</f>
        <v>4169.0320000000011</v>
      </c>
      <c r="C64" s="113">
        <f>+Angers!$G64</f>
        <v>7150</v>
      </c>
      <c r="D64" s="113">
        <f>+Thouars!$G64</f>
        <v>3972.96</v>
      </c>
      <c r="E64" s="113">
        <f>+Château!$G64</f>
        <v>2769.6288</v>
      </c>
      <c r="F64" s="113">
        <f>+Chartres!$G64</f>
        <v>7643.1600000000008</v>
      </c>
      <c r="G64" s="113">
        <f>+Bosc!$G64</f>
        <v>6270</v>
      </c>
      <c r="H64" s="113">
        <f>+Cham!$G64</f>
        <v>4056.5066666666667</v>
      </c>
      <c r="I64" s="113">
        <f>+Mans!$G64</f>
        <v>3859.6139999999996</v>
      </c>
      <c r="J64" s="113">
        <f>+Saumur!$G64</f>
        <v>0</v>
      </c>
      <c r="K64" s="113">
        <f>+Chalette!$G64</f>
        <v>3360</v>
      </c>
      <c r="L64" s="160">
        <f>+Orléans!E64+Angers!E64+Thouars!E64+Château!E64+Chartres!E64+Bosc!E64+Cham!E64+Mans!E64+Saumur!E64</f>
        <v>36217.839999999997</v>
      </c>
      <c r="M64" s="135">
        <f>+Orléans!F64+Angers!F64+Thouars!F64+Château!F64+Chartres!F64+Bosc!F64+Cham!F64+Mans!F64+Saumur!F64+Chalette!F64</f>
        <v>36391.236666666671</v>
      </c>
      <c r="N64" s="113">
        <f>+O64</f>
        <v>43250.90146666667</v>
      </c>
      <c r="O64" s="161">
        <f>SUM(B64:K64)</f>
        <v>43250.90146666667</v>
      </c>
      <c r="P64" s="149">
        <f>+IF((L64)=0,,(M64-L64)/L64)</f>
        <v>4.7876037518160865E-3</v>
      </c>
      <c r="Q64" s="271">
        <f>+IF((M64)=0,,(O64-M64)/M64)</f>
        <v>0.18849771066678958</v>
      </c>
      <c r="R64" s="117">
        <f>+Orléans!D64+Angers!D64+Thouars!D64+Château!D64+Chartres!D64+Bosc!D64+Cham!D64+Mans!D64+Saumur!D64+Chalette!D64</f>
        <v>44495.321199999991</v>
      </c>
      <c r="S64" s="395"/>
    </row>
    <row r="65" spans="1:19" s="2" customFormat="1" ht="11.25">
      <c r="A65" s="5" t="s">
        <v>314</v>
      </c>
      <c r="B65" s="160">
        <f>+Orléans!$G65</f>
        <v>0</v>
      </c>
      <c r="C65" s="113">
        <f>+Angers!$G65</f>
        <v>3150</v>
      </c>
      <c r="D65" s="113">
        <f>+Thouars!$G65</f>
        <v>0</v>
      </c>
      <c r="E65" s="113">
        <f>+Château!$G65</f>
        <v>0</v>
      </c>
      <c r="F65" s="113">
        <f>+Chartres!$G65</f>
        <v>0</v>
      </c>
      <c r="G65" s="113">
        <f>+Bosc!$G65</f>
        <v>0</v>
      </c>
      <c r="H65" s="113">
        <f>+Cham!$G65</f>
        <v>0</v>
      </c>
      <c r="I65" s="113">
        <f>+Mans!$G65</f>
        <v>0</v>
      </c>
      <c r="J65" s="113">
        <f>+Saumur!$G65</f>
        <v>0</v>
      </c>
      <c r="K65" s="113">
        <f>+Chalette!$G65</f>
        <v>0</v>
      </c>
      <c r="L65" s="160">
        <f>+Orléans!E65+Angers!E65+Thouars!E65+Château!E65+Chartres!E65+Bosc!E65+Cham!E65+Mans!E65+Saumur!E65</f>
        <v>3411.85</v>
      </c>
      <c r="M65" s="135">
        <f>+Orléans!F65+Angers!F65+Thouars!F65+Château!F65+Chartres!F65+Bosc!F65+Cham!F65+Mans!F65+Saumur!F65+Chalette!F65</f>
        <v>3149.4</v>
      </c>
      <c r="N65" s="113">
        <f>+O65</f>
        <v>3150</v>
      </c>
      <c r="O65" s="161">
        <f>SUM(B65:K65)</f>
        <v>3150</v>
      </c>
      <c r="P65" s="149">
        <f>+IF((L65)=0,,(M65-L65)/L65)</f>
        <v>-7.6923076923076872E-2</v>
      </c>
      <c r="Q65" s="271">
        <f>+IF((M65)=0,,(O65-M65)/M65)</f>
        <v>1.9051247856731728E-4</v>
      </c>
      <c r="R65" s="117">
        <f>+Orléans!D65+Angers!D65+Thouars!D65+Château!D65+Chartres!D65+Bosc!D65+Cham!D65+Mans!D65+Saumur!D65+Chalette!D65</f>
        <v>4031.8550999999998</v>
      </c>
      <c r="S65" s="395"/>
    </row>
    <row r="66" spans="1:19" s="2" customFormat="1" ht="15" customHeight="1">
      <c r="A66" s="5" t="s">
        <v>110</v>
      </c>
      <c r="B66" s="160">
        <f>+Orléans!$G66</f>
        <v>2210.3620000000001</v>
      </c>
      <c r="C66" s="113">
        <f>+Angers!$G66</f>
        <v>2700</v>
      </c>
      <c r="D66" s="113">
        <f>+Thouars!$G66</f>
        <v>1466.3880000000001</v>
      </c>
      <c r="E66" s="113">
        <f>+Château!$G66</f>
        <v>687.45600000000002</v>
      </c>
      <c r="F66" s="113">
        <f>+Chartres!$G66</f>
        <v>2400</v>
      </c>
      <c r="G66" s="113">
        <f>+Bosc!$G66</f>
        <v>2164.3020000000001</v>
      </c>
      <c r="H66" s="113">
        <f>+Cham!$G66</f>
        <v>1620.556</v>
      </c>
      <c r="I66" s="113">
        <f>+Mans!$G66</f>
        <v>2086.5460000000003</v>
      </c>
      <c r="J66" s="113">
        <f>+Saumur!$G66</f>
        <v>0</v>
      </c>
      <c r="K66" s="113">
        <f>+Chalette!$G66</f>
        <v>0</v>
      </c>
      <c r="L66" s="160">
        <f>+Orléans!E66+Angers!E66+Thouars!E66+Château!E66+Chartres!E66+Bosc!E66+Cham!E66+Mans!E66+Saumur!E66</f>
        <v>11641.33</v>
      </c>
      <c r="M66" s="135">
        <f>+Orléans!F66+Angers!F66+Thouars!F66+Château!F66+Chartres!F66+Bosc!F66+Cham!F66+Mans!F66+Saumur!F66+Chalette!F66</f>
        <v>14259.52</v>
      </c>
      <c r="N66" s="113">
        <f>+O66</f>
        <v>15335.61</v>
      </c>
      <c r="O66" s="161">
        <f>SUM(B66:K66)</f>
        <v>15335.61</v>
      </c>
      <c r="P66" s="149">
        <f>+IF((L66)=0,,(M66-L66)/L66)</f>
        <v>0.22490471449568053</v>
      </c>
      <c r="Q66" s="271">
        <f>+IF((M66)=0,,(O66-M66)/M66)</f>
        <v>7.546467202262068E-2</v>
      </c>
      <c r="R66" s="117">
        <f>+Orléans!D66+Angers!D66+Thouars!D66+Château!D66+Chartres!D66+Bosc!D66+Cham!D66+Mans!D66+Saumur!D66+Chalette!D66</f>
        <v>13014.496999999999</v>
      </c>
      <c r="S66" s="395"/>
    </row>
    <row r="67" spans="1:19" s="2" customFormat="1" ht="11.25">
      <c r="A67" s="5" t="s">
        <v>107</v>
      </c>
      <c r="B67" s="160">
        <f>+Orléans!$G67</f>
        <v>2000</v>
      </c>
      <c r="C67" s="113">
        <f>+Angers!$G67</f>
        <v>1700</v>
      </c>
      <c r="D67" s="113">
        <f>+Thouars!$G67</f>
        <v>1500</v>
      </c>
      <c r="E67" s="113">
        <f>+Château!$G67</f>
        <v>600</v>
      </c>
      <c r="F67" s="113">
        <f>+Chartres!$G67</f>
        <v>3100</v>
      </c>
      <c r="G67" s="113">
        <f>+Bosc!$G67</f>
        <v>3900</v>
      </c>
      <c r="H67" s="113">
        <f>+Cham!$G67</f>
        <v>1500</v>
      </c>
      <c r="I67" s="113">
        <f>+Mans!$G67</f>
        <v>3000</v>
      </c>
      <c r="J67" s="113">
        <f>+Saumur!$G67</f>
        <v>0</v>
      </c>
      <c r="K67" s="113">
        <f>+Chalette!$G67</f>
        <v>321.36</v>
      </c>
      <c r="L67" s="160">
        <f>+Orléans!E67+Angers!E67+Thouars!E67+Château!E67+Chartres!E67+Bosc!E67+Cham!E67+Mans!E67+Saumur!E67</f>
        <v>17367</v>
      </c>
      <c r="M67" s="135">
        <f>+Orléans!F67+Angers!F67+Thouars!F67+Château!F67+Chartres!F67+Bosc!F67+Cham!F67+Mans!F67+Saumur!F67+Chalette!F67</f>
        <v>29689.000000000004</v>
      </c>
      <c r="N67" s="113">
        <f>+O67</f>
        <v>17621.36</v>
      </c>
      <c r="O67" s="161">
        <f>SUM(B67:K67)</f>
        <v>17621.36</v>
      </c>
      <c r="P67" s="149">
        <f>+IF((L67)=0,,(M67-L67)/L67)</f>
        <v>0.70950653538319819</v>
      </c>
      <c r="Q67" s="271">
        <f>+IF((M67)=0,,(O67-M67)/M67)</f>
        <v>-0.40646838896561022</v>
      </c>
      <c r="R67" s="117">
        <f>+Orléans!D67+Angers!D67+Thouars!D67+Château!D67+Chartres!D67+Bosc!D67+Cham!D67+Mans!D67+Saumur!D67+Chalette!D67</f>
        <v>17581.907899999998</v>
      </c>
      <c r="S67" s="395"/>
    </row>
    <row r="68" spans="1:19" s="2" customFormat="1" ht="18.75" customHeight="1">
      <c r="A68" s="5" t="s">
        <v>125</v>
      </c>
      <c r="B68" s="160">
        <f>+Orléans!$G68</f>
        <v>3961.2289333333333</v>
      </c>
      <c r="C68" s="113">
        <f>+Angers!$G68</f>
        <v>2674.7589333333335</v>
      </c>
      <c r="D68" s="113">
        <f>+Thouars!$G68</f>
        <v>2676.297066666667</v>
      </c>
      <c r="E68" s="113">
        <f>+Château!$G68</f>
        <v>1000</v>
      </c>
      <c r="F68" s="113">
        <f>+Chartres!$G68</f>
        <v>5500</v>
      </c>
      <c r="G68" s="113">
        <f>+Bosc!$G68</f>
        <v>4120</v>
      </c>
      <c r="H68" s="113">
        <f>+Cham!$G68</f>
        <v>3150</v>
      </c>
      <c r="I68" s="113">
        <f>+Mans!$G68</f>
        <v>6500</v>
      </c>
      <c r="J68" s="113">
        <f>+Saumur!$G68</f>
        <v>0</v>
      </c>
      <c r="K68" s="113">
        <f>+Chalette!$G68</f>
        <v>1279.3835999999999</v>
      </c>
      <c r="L68" s="160">
        <f>+Orléans!E68+Angers!E68+Thouars!E68+Château!E68+Chartres!E68+Bosc!E68+Cham!E68+Mans!E68+Saumur!E68</f>
        <v>29984.6</v>
      </c>
      <c r="M68" s="135">
        <f>+Orléans!F68+Angers!F68+Thouars!F68+Château!F68+Chartres!F68+Bosc!F68+Cham!F68+Mans!F68+Saumur!F68+Chalette!F68</f>
        <v>30835.976666666669</v>
      </c>
      <c r="N68" s="113">
        <f>+O68</f>
        <v>30861.668533333333</v>
      </c>
      <c r="O68" s="161">
        <f>SUM(B68:K68)</f>
        <v>30861.668533333333</v>
      </c>
      <c r="P68" s="149">
        <f>+IF((L68)=0,,(M68-L68)/L68)</f>
        <v>2.8393797705044278E-2</v>
      </c>
      <c r="Q68" s="271">
        <f>+IF((M68)=0,,(O68-M68)/M68)</f>
        <v>8.3317830157904132E-4</v>
      </c>
      <c r="R68" s="117">
        <f>+Orléans!D68+Angers!D68+Thouars!D68+Château!D68+Chartres!D68+Bosc!D68+Cham!D68+Mans!D68+Saumur!D68+Chalette!D68</f>
        <v>34907.841699999997</v>
      </c>
      <c r="S68" s="395"/>
    </row>
    <row r="69" spans="1:19" s="2" customFormat="1" ht="11.25">
      <c r="A69" s="5"/>
      <c r="B69" s="160"/>
      <c r="C69" s="113"/>
      <c r="D69" s="113"/>
      <c r="E69" s="113"/>
      <c r="F69" s="113"/>
      <c r="G69" s="113"/>
      <c r="H69" s="113"/>
      <c r="I69" s="113"/>
      <c r="J69" s="113"/>
      <c r="K69" s="113"/>
      <c r="L69" s="160"/>
      <c r="M69" s="143"/>
      <c r="N69" s="149"/>
      <c r="O69" s="187"/>
      <c r="P69" s="149"/>
      <c r="Q69" s="271"/>
      <c r="R69" s="254"/>
      <c r="S69" s="143"/>
    </row>
    <row r="70" spans="1:19" s="2" customFormat="1" ht="11.25">
      <c r="A70" s="11" t="s">
        <v>128</v>
      </c>
      <c r="B70" s="173">
        <f t="shared" ref="B70:N70" si="19">SUM(B64:B69)</f>
        <v>12340.622933333334</v>
      </c>
      <c r="C70" s="227">
        <f t="shared" si="19"/>
        <v>17374.758933333334</v>
      </c>
      <c r="D70" s="227">
        <f t="shared" si="19"/>
        <v>9615.6450666666678</v>
      </c>
      <c r="E70" s="227">
        <f t="shared" si="19"/>
        <v>5057.0848000000005</v>
      </c>
      <c r="F70" s="227">
        <f t="shared" si="19"/>
        <v>18643.16</v>
      </c>
      <c r="G70" s="227">
        <f t="shared" si="19"/>
        <v>16454.302</v>
      </c>
      <c r="H70" s="227">
        <f t="shared" si="19"/>
        <v>10327.062666666667</v>
      </c>
      <c r="I70" s="227">
        <f t="shared" si="19"/>
        <v>15446.16</v>
      </c>
      <c r="J70" s="227">
        <f t="shared" si="19"/>
        <v>0</v>
      </c>
      <c r="K70" s="227">
        <f>SUM(K64:K69)</f>
        <v>4960.7435999999998</v>
      </c>
      <c r="L70" s="173">
        <f t="shared" si="19"/>
        <v>98622.62</v>
      </c>
      <c r="M70" s="227">
        <f t="shared" si="19"/>
        <v>114325.13333333335</v>
      </c>
      <c r="N70" s="227">
        <f t="shared" si="19"/>
        <v>110219.54</v>
      </c>
      <c r="O70" s="174">
        <f>SUM(O64:O69)</f>
        <v>110219.54</v>
      </c>
      <c r="P70" s="278">
        <f>+IF((L70)=0,,(M70-L70)/L70)</f>
        <v>0.15921817259907869</v>
      </c>
      <c r="Q70" s="279">
        <f>+IF((M70)=0,,(O70-M70)/M70)</f>
        <v>-3.5911555172761823E-2</v>
      </c>
      <c r="R70" s="209">
        <f>SUM(R64:R69)</f>
        <v>114031.42289999998</v>
      </c>
      <c r="S70" s="359"/>
    </row>
    <row r="71" spans="1:19" s="2" customFormat="1" ht="11.25">
      <c r="A71" s="5"/>
      <c r="B71" s="160"/>
      <c r="C71" s="113"/>
      <c r="D71" s="113"/>
      <c r="E71" s="113"/>
      <c r="F71" s="113"/>
      <c r="G71" s="113"/>
      <c r="H71" s="113"/>
      <c r="I71" s="113"/>
      <c r="J71" s="113"/>
      <c r="K71" s="113"/>
      <c r="L71" s="160"/>
      <c r="M71" s="143"/>
      <c r="N71" s="149"/>
      <c r="O71" s="187"/>
      <c r="P71" s="149"/>
      <c r="Q71" s="271"/>
      <c r="R71" s="254"/>
      <c r="S71" s="143"/>
    </row>
    <row r="72" spans="1:19" s="2" customFormat="1" ht="11.25">
      <c r="A72" s="5" t="s">
        <v>1</v>
      </c>
      <c r="B72" s="160">
        <f>+Orléans!$G72</f>
        <v>0</v>
      </c>
      <c r="C72" s="113">
        <f>+Angers!$G72</f>
        <v>0</v>
      </c>
      <c r="D72" s="113">
        <f>+Thouars!$G72</f>
        <v>33.83893333333333</v>
      </c>
      <c r="E72" s="113">
        <f>+Château!$G72</f>
        <v>16.740933333333331</v>
      </c>
      <c r="F72" s="113">
        <f>+Chartres!$G72</f>
        <v>0</v>
      </c>
      <c r="G72" s="113">
        <f>+Bosc!$G72</f>
        <v>0</v>
      </c>
      <c r="H72" s="113">
        <f>+Cham!$G72</f>
        <v>0</v>
      </c>
      <c r="I72" s="113">
        <f>+Mans!$G72</f>
        <v>0</v>
      </c>
      <c r="J72" s="113">
        <f>+Saumur!$G72</f>
        <v>81.081599999999995</v>
      </c>
      <c r="K72" s="113">
        <f>+Chalette!$G72</f>
        <v>0</v>
      </c>
      <c r="L72" s="160">
        <f>+Orléans!E72+Angers!E72+Thouars!E72+Château!E72+Chartres!E72+Bosc!E72+Cham!E72+Mans!E72+Saumur!E72</f>
        <v>288.07</v>
      </c>
      <c r="M72" s="135">
        <f>+Orléans!F72+Angers!F72+Thouars!F72+Château!F72+Chartres!F72+Bosc!F72+Cham!F72+Mans!F72+Saumur!F72+Chalette!F72</f>
        <v>127.82666666666665</v>
      </c>
      <c r="N72" s="113">
        <f t="shared" ref="N72:N101" si="20">+O72</f>
        <v>131.66146666666666</v>
      </c>
      <c r="O72" s="161">
        <f t="shared" ref="O72:O101" si="21">SUM(B72:K72)</f>
        <v>131.66146666666666</v>
      </c>
      <c r="P72" s="149">
        <f>+IF((L72)=0,,(M72-L72)/L72)</f>
        <v>-0.55626525960125439</v>
      </c>
      <c r="Q72" s="271">
        <f>+IF((M72)=0,,(O72-M72)/M72)</f>
        <v>3.0000000000000013E-2</v>
      </c>
      <c r="R72" s="117">
        <f>+Orléans!D72+Angers!D72+Thouars!D72+Château!D72+Chartres!D72+Bosc!D72+Cham!D72+Mans!D72+Saumur!D72+Chalette!D72</f>
        <v>835.27107082308123</v>
      </c>
      <c r="S72" s="395"/>
    </row>
    <row r="73" spans="1:19" s="2" customFormat="1" ht="11.25">
      <c r="A73" s="5" t="s">
        <v>123</v>
      </c>
      <c r="B73" s="160">
        <f>+Orléans!$G73</f>
        <v>4250</v>
      </c>
      <c r="C73" s="113">
        <f>+Angers!$G73</f>
        <v>3368.2235999999998</v>
      </c>
      <c r="D73" s="113">
        <f>+Thouars!$G73</f>
        <v>1778.8786666666667</v>
      </c>
      <c r="E73" s="113">
        <f>+Château!$G73</f>
        <v>5567.9877333333334</v>
      </c>
      <c r="F73" s="113">
        <f>+Chartres!$G73</f>
        <v>1887.1934666666671</v>
      </c>
      <c r="G73" s="113">
        <f>+Bosc!$G73</f>
        <v>3090</v>
      </c>
      <c r="H73" s="113">
        <f>+Cham!$G73</f>
        <v>4100</v>
      </c>
      <c r="I73" s="113">
        <f>+Mans!$G73</f>
        <v>3914</v>
      </c>
      <c r="J73" s="113">
        <f>+Saumur!$G73</f>
        <v>4120</v>
      </c>
      <c r="K73" s="113">
        <f>+Chalette!$G73</f>
        <v>1074.1870000000001</v>
      </c>
      <c r="L73" s="160">
        <f>+Orléans!E73+Angers!E73+Thouars!E73+Château!E73+Chartres!E73+Bosc!E73+Cham!E73+Mans!E73+Saumur!E73</f>
        <v>33205.1</v>
      </c>
      <c r="M73" s="135">
        <f>+Orléans!F73+Angers!F73+Thouars!F73+Château!F73+Chartres!F73+Bosc!F73+Cham!F73+Mans!F73+Saumur!F73+Chalette!F73</f>
        <v>32517.401666666668</v>
      </c>
      <c r="N73" s="113">
        <f t="shared" si="20"/>
        <v>33150.470466666666</v>
      </c>
      <c r="O73" s="161">
        <f t="shared" si="21"/>
        <v>33150.470466666666</v>
      </c>
      <c r="P73" s="149">
        <f t="shared" ref="P73:P101" si="22">+IF((L73)=0,,(M73-L73)/L73)</f>
        <v>-2.0710623769641716E-2</v>
      </c>
      <c r="Q73" s="271">
        <f t="shared" ref="Q73:Q101" si="23">+IF((M73)=0,,(O73-M73)/M73)</f>
        <v>1.9468615804224945E-2</v>
      </c>
      <c r="R73" s="117">
        <f>+Orléans!D73+Angers!D73+Thouars!D73+Château!D73+Chartres!D73+Bosc!D73+Cham!D73+Mans!D73+Saumur!D73+Chalette!D73</f>
        <v>35373.585360872436</v>
      </c>
      <c r="S73" s="395"/>
    </row>
    <row r="74" spans="1:19" s="2" customFormat="1" ht="11.25">
      <c r="A74" s="5" t="s">
        <v>124</v>
      </c>
      <c r="B74" s="160">
        <f>+Orléans!$G74</f>
        <v>0</v>
      </c>
      <c r="C74" s="113">
        <f>+Angers!$G74</f>
        <v>3363.3482666666664</v>
      </c>
      <c r="D74" s="113">
        <f>+Thouars!$G74</f>
        <v>3600</v>
      </c>
      <c r="E74" s="113">
        <f>+Château!$G74</f>
        <v>0</v>
      </c>
      <c r="F74" s="113">
        <f>+Chartres!$G74</f>
        <v>5197.8881333333329</v>
      </c>
      <c r="G74" s="113">
        <f>+Bosc!$G74</f>
        <v>1983.0383999999999</v>
      </c>
      <c r="H74" s="113">
        <f>+Cham!$G74</f>
        <v>4232.2700000000004</v>
      </c>
      <c r="I74" s="113">
        <f>+Mans!$G74</f>
        <v>0</v>
      </c>
      <c r="J74" s="113">
        <f>+Saumur!$G74</f>
        <v>0</v>
      </c>
      <c r="K74" s="113">
        <f>+Chalette!$G74</f>
        <v>2479.2512000000002</v>
      </c>
      <c r="L74" s="160">
        <f>+Orléans!E74+Angers!E74+Thouars!E74+Château!E74+Chartres!E74+Bosc!E74+Cham!E74+Mans!E74+Saumur!E74</f>
        <v>24087.68</v>
      </c>
      <c r="M74" s="135">
        <f>+Orléans!F74+Angers!F74+Thouars!F74+Château!F74+Chartres!F74+Bosc!F74+Cham!F74+Mans!F74+Saumur!F74+Chalette!F74</f>
        <v>19651.439999999999</v>
      </c>
      <c r="N74" s="113">
        <f t="shared" si="20"/>
        <v>20855.795999999995</v>
      </c>
      <c r="O74" s="161">
        <f t="shared" si="21"/>
        <v>20855.795999999995</v>
      </c>
      <c r="P74" s="149">
        <f t="shared" si="22"/>
        <v>-0.18417049711719857</v>
      </c>
      <c r="Q74" s="271">
        <f t="shared" si="23"/>
        <v>6.1285890499627314E-2</v>
      </c>
      <c r="R74" s="117">
        <f>+Orléans!D74+Angers!D74+Thouars!D74+Château!D74+Chartres!D74+Bosc!D74+Cham!D74+Mans!D74+Saumur!D74+Chalette!D74</f>
        <v>25432.006772767181</v>
      </c>
      <c r="S74" s="395"/>
    </row>
    <row r="75" spans="1:19" s="2" customFormat="1" ht="11.25">
      <c r="A75" s="5" t="s">
        <v>360</v>
      </c>
      <c r="B75" s="160">
        <f>+Orléans!$G75</f>
        <v>0</v>
      </c>
      <c r="C75" s="113">
        <f>+Angers!$G75</f>
        <v>0</v>
      </c>
      <c r="D75" s="113">
        <f>+Thouars!$G75</f>
        <v>0</v>
      </c>
      <c r="E75" s="113">
        <f>+Château!$G75</f>
        <v>0</v>
      </c>
      <c r="F75" s="113">
        <f>+Chartres!$G75</f>
        <v>0</v>
      </c>
      <c r="G75" s="113">
        <f>+Bosc!$G75</f>
        <v>0</v>
      </c>
      <c r="H75" s="113">
        <f>+Cham!$G75</f>
        <v>0</v>
      </c>
      <c r="I75" s="113">
        <f>+Mans!$G75</f>
        <v>0</v>
      </c>
      <c r="J75" s="113">
        <f>+Saumur!$G75</f>
        <v>0</v>
      </c>
      <c r="K75" s="113">
        <f>+Chalette!$G75</f>
        <v>0</v>
      </c>
      <c r="L75" s="160">
        <f>+Orléans!E75+Angers!E75+Thouars!E75+Château!E75+Chartres!E75+Bosc!E75+Cham!E75+Mans!E75+Saumur!E75</f>
        <v>0</v>
      </c>
      <c r="M75" s="135">
        <f>+Orléans!F75+Angers!F75+Thouars!F75+Château!F75+Chartres!F75+Bosc!F75+Cham!F75+Mans!F75+Saumur!F75+Chalette!F75</f>
        <v>0</v>
      </c>
      <c r="N75" s="113">
        <f t="shared" si="20"/>
        <v>0</v>
      </c>
      <c r="O75" s="161">
        <f t="shared" si="21"/>
        <v>0</v>
      </c>
      <c r="P75" s="149">
        <f t="shared" si="22"/>
        <v>0</v>
      </c>
      <c r="Q75" s="271">
        <f t="shared" si="23"/>
        <v>0</v>
      </c>
      <c r="R75" s="117">
        <f>+Orléans!D75+Angers!D75+Thouars!D75+Château!D75+Chartres!D75+Bosc!D75+Cham!D75+Mans!D75+Saumur!D75+Chalette!D75</f>
        <v>0</v>
      </c>
      <c r="S75" s="395"/>
    </row>
    <row r="76" spans="1:19" s="2" customFormat="1" ht="11.25">
      <c r="A76" s="5" t="s">
        <v>126</v>
      </c>
      <c r="B76" s="160">
        <f>+Orléans!$G76</f>
        <v>238.82266666666669</v>
      </c>
      <c r="C76" s="113">
        <f>+Angers!$G76</f>
        <v>96.284400000000005</v>
      </c>
      <c r="D76" s="113">
        <f>+Thouars!$G76</f>
        <v>20.613733333333336</v>
      </c>
      <c r="E76" s="113">
        <f>+Château!$G76</f>
        <v>0</v>
      </c>
      <c r="F76" s="113">
        <f>+Chartres!$G76</f>
        <v>45.471066666666673</v>
      </c>
      <c r="G76" s="113">
        <f>+Bosc!$G76</f>
        <v>10.286266666666666</v>
      </c>
      <c r="H76" s="113">
        <f>+Cham!$G76</f>
        <v>133.88626666666664</v>
      </c>
      <c r="I76" s="113">
        <f>+Mans!$G76</f>
        <v>84.405066666666656</v>
      </c>
      <c r="J76" s="113">
        <f>+Saumur!$G76</f>
        <v>0</v>
      </c>
      <c r="K76" s="113">
        <f>+Chalette!$G76</f>
        <v>312.64620000000002</v>
      </c>
      <c r="L76" s="160">
        <f>+Orléans!E76+Angers!E76+Thouars!E76+Château!E76+Chartres!E76+Bosc!E76+Cham!E76+Mans!E76+Saumur!E76</f>
        <v>314.52</v>
      </c>
      <c r="M76" s="135">
        <f>+Orléans!F76+Angers!F76+Thouars!F76+Château!F76+Chartres!F76+Bosc!F76+Cham!F76+Mans!F76+Saumur!F76+Chalette!F76</f>
        <v>839.08166666666671</v>
      </c>
      <c r="N76" s="113">
        <f t="shared" si="20"/>
        <v>942.41566666666677</v>
      </c>
      <c r="O76" s="161">
        <f t="shared" si="21"/>
        <v>942.41566666666677</v>
      </c>
      <c r="P76" s="149">
        <f t="shared" si="22"/>
        <v>1.6678165670439615</v>
      </c>
      <c r="Q76" s="271">
        <f t="shared" si="23"/>
        <v>0.12315130231662003</v>
      </c>
      <c r="R76" s="117">
        <f>+Orléans!D76+Angers!D76+Thouars!D76+Château!D76+Chartres!D76+Bosc!D76+Cham!D76+Mans!D76+Saumur!D76+Chalette!D76</f>
        <v>545.5962260402149</v>
      </c>
      <c r="S76" s="395"/>
    </row>
    <row r="77" spans="1:19" s="2" customFormat="1" ht="11.25">
      <c r="A77" s="5" t="s">
        <v>127</v>
      </c>
      <c r="B77" s="160">
        <f>+Orléans!$G77</f>
        <v>2871.2417333333333</v>
      </c>
      <c r="C77" s="113">
        <f>+Angers!$G77</f>
        <v>1079.4537333333333</v>
      </c>
      <c r="D77" s="113">
        <f>+Thouars!$G77</f>
        <v>2576.9638666666669</v>
      </c>
      <c r="E77" s="113">
        <f>+Château!$G77</f>
        <v>893.88893333333328</v>
      </c>
      <c r="F77" s="113">
        <f>+Chartres!$G77</f>
        <v>2500</v>
      </c>
      <c r="G77" s="113">
        <f>+Bosc!$G77</f>
        <v>1767.5761333333332</v>
      </c>
      <c r="H77" s="113">
        <f>+Cham!$G77</f>
        <v>489.05773333333326</v>
      </c>
      <c r="I77" s="113">
        <f>+Mans!$G77</f>
        <v>1064.1135999999999</v>
      </c>
      <c r="J77" s="113">
        <f>+Saumur!$G77</f>
        <v>1606.5115999999998</v>
      </c>
      <c r="K77" s="113">
        <f>+Chalette!$G77</f>
        <v>1300</v>
      </c>
      <c r="L77" s="160">
        <f>+Orléans!E77+Angers!E77+Thouars!E77+Château!E77+Chartres!E77+Bosc!E77+Cham!E77+Mans!E77+Saumur!E77</f>
        <v>16655.5</v>
      </c>
      <c r="M77" s="135">
        <f>+Orléans!F77+Angers!F77+Thouars!F77+Château!F77+Chartres!F77+Bosc!F77+Cham!F77+Mans!F77+Saumur!F77+Chalette!F77</f>
        <v>17249.346666666665</v>
      </c>
      <c r="N77" s="113">
        <f t="shared" si="20"/>
        <v>16148.807333333334</v>
      </c>
      <c r="O77" s="161">
        <f t="shared" si="21"/>
        <v>16148.807333333334</v>
      </c>
      <c r="P77" s="149">
        <f t="shared" si="22"/>
        <v>3.5654688641389605E-2</v>
      </c>
      <c r="Q77" s="271">
        <f t="shared" si="23"/>
        <v>-6.3801798097087192E-2</v>
      </c>
      <c r="R77" s="117">
        <f>+Orléans!D77+Angers!D77+Thouars!D77+Château!D77+Chartres!D77+Bosc!D77+Cham!D77+Mans!D77+Saumur!D77+Chalette!D77</f>
        <v>18439.857321786785</v>
      </c>
      <c r="S77" s="395"/>
    </row>
    <row r="78" spans="1:19" s="2" customFormat="1" ht="11.25">
      <c r="A78" s="5" t="s">
        <v>101</v>
      </c>
      <c r="B78" s="160">
        <f>+Orléans!$G78</f>
        <v>0</v>
      </c>
      <c r="C78" s="113">
        <f>+Angers!$G78</f>
        <v>0</v>
      </c>
      <c r="D78" s="113">
        <f>+Thouars!$G78</f>
        <v>0</v>
      </c>
      <c r="E78" s="113">
        <f>+Château!$G78</f>
        <v>0</v>
      </c>
      <c r="F78" s="113">
        <f>+Chartres!$G78</f>
        <v>0</v>
      </c>
      <c r="G78" s="113">
        <f>+Bosc!$G78</f>
        <v>0</v>
      </c>
      <c r="H78" s="113">
        <f>+Cham!$G78</f>
        <v>2033.7830666666666</v>
      </c>
      <c r="I78" s="113">
        <f>+Mans!$G78</f>
        <v>0</v>
      </c>
      <c r="J78" s="113">
        <f>+Saumur!$G78</f>
        <v>0</v>
      </c>
      <c r="K78" s="113">
        <f>+Chalette!$G78</f>
        <v>0</v>
      </c>
      <c r="L78" s="160">
        <f>+Orléans!E78+Angers!E78+Thouars!E78+Château!E78+Chartres!E78+Bosc!E78+Cham!E78+Mans!E78+Saumur!E78</f>
        <v>1000</v>
      </c>
      <c r="M78" s="135">
        <f>+Orléans!F78+Angers!F78+Thouars!F78+Château!F78+Chartres!F78+Bosc!F78+Cham!F78+Mans!F78+Saumur!F78+Chalette!F78</f>
        <v>1974.5466666666666</v>
      </c>
      <c r="N78" s="113">
        <f t="shared" si="20"/>
        <v>2033.7830666666666</v>
      </c>
      <c r="O78" s="161">
        <f t="shared" si="21"/>
        <v>2033.7830666666666</v>
      </c>
      <c r="P78" s="149">
        <f t="shared" si="22"/>
        <v>0.97454666666666667</v>
      </c>
      <c r="Q78" s="271">
        <f t="shared" si="23"/>
        <v>3.0000000000000002E-2</v>
      </c>
      <c r="R78" s="117">
        <f>+Orléans!D78+Angers!D78+Thouars!D78+Château!D78+Chartres!D78+Bosc!D78+Cham!D78+Mans!D78+Saumur!D78+Chalette!D78</f>
        <v>7531.4972486819252</v>
      </c>
      <c r="S78" s="395"/>
    </row>
    <row r="79" spans="1:19" s="2" customFormat="1" ht="11.25">
      <c r="A79" s="5" t="s">
        <v>102</v>
      </c>
      <c r="B79" s="160">
        <f>+Orléans!$G79</f>
        <v>34079.282000000007</v>
      </c>
      <c r="C79" s="113">
        <f>+Angers!$G79</f>
        <v>23754.680720961282</v>
      </c>
      <c r="D79" s="113">
        <f>+Thouars!$G79</f>
        <v>31738.770250000001</v>
      </c>
      <c r="E79" s="113">
        <f>+Château!$G79</f>
        <v>16953.3</v>
      </c>
      <c r="F79" s="113">
        <f>+Chartres!$G79</f>
        <v>21661.220720961301</v>
      </c>
      <c r="G79" s="113">
        <f>+Bosc!$G79</f>
        <v>40228.65</v>
      </c>
      <c r="H79" s="113">
        <f>+Cham!$G79</f>
        <v>24405.67423230975</v>
      </c>
      <c r="I79" s="113">
        <f>+Mans!$G79</f>
        <v>31714.292630173568</v>
      </c>
      <c r="J79" s="113">
        <f>+Saumur!$G79</f>
        <v>23502.798000000003</v>
      </c>
      <c r="K79" s="113">
        <f>+Chalette!$G79</f>
        <v>19908.633102285501</v>
      </c>
      <c r="L79" s="160">
        <f>+Orléans!E79+Angers!E79+Thouars!E79+Château!E79+Chartres!E79+Bosc!E79+Cham!E79+Mans!E79+Saumur!E79</f>
        <v>254554.51</v>
      </c>
      <c r="M79" s="135">
        <f>+Orléans!F79+Angers!F79+Thouars!F79+Château!F79+Chartres!F79+Bosc!F79+Cham!F79+Mans!F79+Saumur!F79+Chalette!F79</f>
        <v>267891.7296346646</v>
      </c>
      <c r="N79" s="113">
        <f t="shared" si="20"/>
        <v>267947.30165669136</v>
      </c>
      <c r="O79" s="161">
        <f t="shared" si="21"/>
        <v>267947.30165669136</v>
      </c>
      <c r="P79" s="149">
        <f t="shared" si="22"/>
        <v>5.2394356064108208E-2</v>
      </c>
      <c r="Q79" s="271">
        <f t="shared" si="23"/>
        <v>2.074420964862929E-4</v>
      </c>
      <c r="R79" s="117">
        <f>+Orléans!D79+Angers!D79+Thouars!D79+Château!D79+Chartres!D79+Bosc!D79+Cham!D79+Mans!D79+Saumur!D79+Chalette!D79</f>
        <v>270645.40911173704</v>
      </c>
      <c r="S79" s="425"/>
    </row>
    <row r="80" spans="1:19" s="2" customFormat="1" ht="11.25">
      <c r="A80" s="5" t="s">
        <v>325</v>
      </c>
      <c r="B80" s="160">
        <f>+Orléans!$G80</f>
        <v>0</v>
      </c>
      <c r="C80" s="113">
        <f>+Angers!$G80</f>
        <v>329.73733333333331</v>
      </c>
      <c r="D80" s="113">
        <f>+Thouars!$G80</f>
        <v>0</v>
      </c>
      <c r="E80" s="113">
        <f>+Château!$G80</f>
        <v>164.8</v>
      </c>
      <c r="F80" s="113">
        <f>+Chartres!$G80</f>
        <v>2500</v>
      </c>
      <c r="G80" s="113">
        <f>+Bosc!$G80</f>
        <v>0</v>
      </c>
      <c r="H80" s="113">
        <f>+Cham!$G80</f>
        <v>0</v>
      </c>
      <c r="I80" s="113">
        <f>+Mans!$G80</f>
        <v>0</v>
      </c>
      <c r="J80" s="113">
        <f>+Saumur!$G80</f>
        <v>0</v>
      </c>
      <c r="K80" s="113">
        <f>+Chalette!$G80</f>
        <v>0</v>
      </c>
      <c r="L80" s="160">
        <f>+Orléans!E80+Angers!E80+Thouars!E80+Château!E80+Chartres!E80+Bosc!E80+Cham!E80+Mans!E80+Saumur!E80</f>
        <v>1487.1200000000001</v>
      </c>
      <c r="M80" s="135">
        <f>+Orléans!F80+Angers!F80+Thouars!F80+Château!F80+Chartres!F80+Bosc!F80+Cham!F80+Mans!F80+Saumur!F80+Chalette!F80</f>
        <v>2173.9466666666667</v>
      </c>
      <c r="N80" s="113">
        <f t="shared" si="20"/>
        <v>2994.5373333333332</v>
      </c>
      <c r="O80" s="161">
        <f t="shared" si="21"/>
        <v>2994.5373333333332</v>
      </c>
      <c r="P80" s="149">
        <f t="shared" si="22"/>
        <v>0.46185019814585676</v>
      </c>
      <c r="Q80" s="271">
        <f t="shared" si="23"/>
        <v>0.37746586852790004</v>
      </c>
      <c r="R80" s="117">
        <f>+Orléans!D80+Angers!D80+Thouars!D80+Château!D80+Chartres!D80+Bosc!D80+Cham!D80+Mans!D80+Saumur!D80+Chalette!D80</f>
        <v>1847.0384557981381</v>
      </c>
      <c r="S80" s="395"/>
    </row>
    <row r="81" spans="1:19" s="2" customFormat="1" ht="11.25">
      <c r="A81" s="5" t="s">
        <v>103</v>
      </c>
      <c r="B81" s="160">
        <f>+Orléans!$G81</f>
        <v>0</v>
      </c>
      <c r="C81" s="113">
        <f>+Angers!$G81</f>
        <v>0</v>
      </c>
      <c r="D81" s="113">
        <f>+Thouars!$G81</f>
        <v>0</v>
      </c>
      <c r="E81" s="113">
        <f>+Château!$G81</f>
        <v>0</v>
      </c>
      <c r="F81" s="113">
        <f>+Chartres!$G81</f>
        <v>0</v>
      </c>
      <c r="G81" s="113">
        <f>+Bosc!$G81</f>
        <v>0</v>
      </c>
      <c r="H81" s="113">
        <f>+Cham!$G81</f>
        <v>0</v>
      </c>
      <c r="I81" s="113">
        <f>+Mans!$G81</f>
        <v>0</v>
      </c>
      <c r="J81" s="113">
        <f>+Saumur!$G81</f>
        <v>0</v>
      </c>
      <c r="K81" s="113">
        <f>+Chalette!$G81</f>
        <v>0</v>
      </c>
      <c r="L81" s="160">
        <f>+Orléans!E81+Angers!E81+Thouars!E81+Château!E81+Chartres!E81+Bosc!E81+Cham!E81+Mans!E81+Saumur!E81</f>
        <v>552.03</v>
      </c>
      <c r="M81" s="135">
        <f>+Orléans!F81+Angers!F81+Thouars!F81+Château!F81+Chartres!F81+Bosc!F81+Cham!F81+Mans!F81+Saumur!F81+Chalette!F81</f>
        <v>0</v>
      </c>
      <c r="N81" s="113">
        <f t="shared" si="20"/>
        <v>0</v>
      </c>
      <c r="O81" s="161">
        <f t="shared" si="21"/>
        <v>0</v>
      </c>
      <c r="P81" s="149">
        <f t="shared" si="22"/>
        <v>-1</v>
      </c>
      <c r="Q81" s="271">
        <f t="shared" si="23"/>
        <v>0</v>
      </c>
      <c r="R81" s="117">
        <f>+Orléans!D81+Angers!D81+Thouars!D81+Château!D81+Chartres!D81+Bosc!D81+Cham!D81+Mans!D81+Saumur!D81+Chalette!D81</f>
        <v>32.325596098080908</v>
      </c>
      <c r="S81" s="395"/>
    </row>
    <row r="82" spans="1:19" s="2" customFormat="1" ht="11.25">
      <c r="A82" s="5" t="s">
        <v>105</v>
      </c>
      <c r="B82" s="160">
        <f>+Orléans!$G82</f>
        <v>185.4</v>
      </c>
      <c r="C82" s="113">
        <f>+Angers!$G82</f>
        <v>185.4</v>
      </c>
      <c r="D82" s="113">
        <f>+Thouars!$G82</f>
        <v>687.58680000000004</v>
      </c>
      <c r="E82" s="113">
        <f>+Château!$G82</f>
        <v>185.4</v>
      </c>
      <c r="F82" s="113">
        <f>+Chartres!$G82</f>
        <v>185.4</v>
      </c>
      <c r="G82" s="113">
        <f>+Bosc!$G82</f>
        <v>185.4</v>
      </c>
      <c r="H82" s="113">
        <f>+Cham!$G82</f>
        <v>5030.5200000000004</v>
      </c>
      <c r="I82" s="113">
        <f>+Mans!$G82</f>
        <v>185.4</v>
      </c>
      <c r="J82" s="113">
        <f>+Saumur!$G82</f>
        <v>1280.5234666666668</v>
      </c>
      <c r="K82" s="113">
        <f>+Chalette!$G82</f>
        <v>240</v>
      </c>
      <c r="L82" s="160">
        <f>+Orléans!E82+Angers!E82+Thouars!E82+Château!E82+Chartres!E82+Bosc!E82+Cham!E82+Mans!E82+Saumur!E82</f>
        <v>6224.17</v>
      </c>
      <c r="M82" s="135">
        <f>+Orléans!F82+Angers!F82+Thouars!F82+Château!F82+Chartres!F82+Bosc!F82+Cham!F82+Mans!F82+Saumur!F82+Chalette!F82</f>
        <v>8054.786666666666</v>
      </c>
      <c r="N82" s="113">
        <f t="shared" si="20"/>
        <v>8351.0302666666666</v>
      </c>
      <c r="O82" s="161">
        <f t="shared" si="21"/>
        <v>8351.0302666666666</v>
      </c>
      <c r="P82" s="149">
        <f t="shared" si="22"/>
        <v>0.29411418175703202</v>
      </c>
      <c r="Q82" s="271">
        <f t="shared" si="23"/>
        <v>3.677857803806938E-2</v>
      </c>
      <c r="R82" s="117">
        <f>+Orléans!D82+Angers!D82+Thouars!D82+Château!D82+Chartres!D82+Bosc!D82+Cham!D82+Mans!D82+Saumur!D82+Chalette!D82</f>
        <v>5718.1915950214479</v>
      </c>
      <c r="S82" s="395"/>
    </row>
    <row r="83" spans="1:19" s="2" customFormat="1" ht="11.25">
      <c r="A83" s="5" t="s">
        <v>287</v>
      </c>
      <c r="B83" s="160">
        <f>+Orléans!$G83</f>
        <v>0</v>
      </c>
      <c r="C83" s="113">
        <f>+Angers!$G83</f>
        <v>1381.5184000000002</v>
      </c>
      <c r="D83" s="113">
        <f>+Thouars!$G83</f>
        <v>0</v>
      </c>
      <c r="E83" s="113">
        <f>+Château!$G83</f>
        <v>52.186666666666675</v>
      </c>
      <c r="F83" s="113">
        <f>+Chartres!$G83</f>
        <v>0</v>
      </c>
      <c r="G83" s="113">
        <f>+Bosc!$G83</f>
        <v>0</v>
      </c>
      <c r="H83" s="113">
        <f>+Cham!$G83</f>
        <v>1199.0985333333335</v>
      </c>
      <c r="I83" s="113">
        <f>+Mans!$G83</f>
        <v>0</v>
      </c>
      <c r="J83" s="113">
        <f>+Saumur!$G83</f>
        <v>0</v>
      </c>
      <c r="K83" s="113">
        <f>+Chalette!$G83</f>
        <v>0</v>
      </c>
      <c r="L83" s="160">
        <f>+Orléans!E83+Angers!E83+Thouars!E83+Château!E83+Chartres!E83+Bosc!E83+Cham!E83+Mans!E83+Saumur!E83</f>
        <v>3023.25</v>
      </c>
      <c r="M83" s="135">
        <f>+Orléans!F83+Angers!F83+Thouars!F83+Château!F83+Chartres!F83+Bosc!F83+Cham!F83+Mans!F83+Saumur!F83+Chalette!F83</f>
        <v>2556.1200000000003</v>
      </c>
      <c r="N83" s="113">
        <f t="shared" si="20"/>
        <v>2632.8036000000002</v>
      </c>
      <c r="O83" s="161">
        <f t="shared" si="21"/>
        <v>2632.8036000000002</v>
      </c>
      <c r="P83" s="149">
        <f t="shared" si="22"/>
        <v>-0.1545125279087074</v>
      </c>
      <c r="Q83" s="271">
        <f t="shared" si="23"/>
        <v>2.9999999999999933E-2</v>
      </c>
      <c r="R83" s="117">
        <f>+Orléans!D83+Angers!D83+Thouars!D83+Château!D83+Chartres!D83+Bosc!D83+Cham!D83+Mans!D83+Saumur!D83+Chalette!D83</f>
        <v>5422.7325954125863</v>
      </c>
      <c r="S83" s="395"/>
    </row>
    <row r="84" spans="1:19" s="2" customFormat="1" ht="11.25">
      <c r="A84" s="5" t="s">
        <v>108</v>
      </c>
      <c r="B84" s="160">
        <f>+Orléans!$G84</f>
        <v>7609.9558666666662</v>
      </c>
      <c r="C84" s="113">
        <f>+Angers!$G84</f>
        <v>2921.6293333333338</v>
      </c>
      <c r="D84" s="113">
        <f>+Thouars!$G84</f>
        <v>2625.1953333333336</v>
      </c>
      <c r="E84" s="113">
        <f>+Château!$G84</f>
        <v>1400.182</v>
      </c>
      <c r="F84" s="113">
        <f>+Chartres!$G84</f>
        <v>3909.4268000000006</v>
      </c>
      <c r="G84" s="113">
        <f>+Bosc!$G84</f>
        <v>254.32760000000002</v>
      </c>
      <c r="H84" s="113">
        <f>+Cham!$G84</f>
        <v>8032.3932000000004</v>
      </c>
      <c r="I84" s="113">
        <f>+Mans!$G84</f>
        <v>1840.4864000000002</v>
      </c>
      <c r="J84" s="113">
        <f>+Saumur!$G84</f>
        <v>1583.1512</v>
      </c>
      <c r="K84" s="113">
        <f>+Chalette!$G84</f>
        <v>1000</v>
      </c>
      <c r="L84" s="160">
        <f>+Orléans!E84+Angers!E84+Thouars!E84+Château!E84+Chartres!E84+Bosc!E84+Cham!E84+Mans!E84+Saumur!E84</f>
        <v>23566.390000000003</v>
      </c>
      <c r="M84" s="135">
        <f>+Orléans!F84+Angers!F84+Thouars!F84+Château!F84+Chartres!F84+Bosc!F84+Cham!F84+Mans!F84+Saumur!F84+Chalette!F84</f>
        <v>29791.163333333334</v>
      </c>
      <c r="N84" s="113">
        <f t="shared" si="20"/>
        <v>31176.747733333337</v>
      </c>
      <c r="O84" s="161">
        <f t="shared" si="21"/>
        <v>31176.747733333337</v>
      </c>
      <c r="P84" s="149">
        <f t="shared" si="22"/>
        <v>0.2641377543753341</v>
      </c>
      <c r="Q84" s="271">
        <f t="shared" si="23"/>
        <v>4.6509912503137227E-2</v>
      </c>
      <c r="R84" s="117">
        <f>+Orléans!D84+Angers!D84+Thouars!D84+Château!D84+Chartres!D84+Bosc!D84+Cham!D84+Mans!D84+Saumur!D84+Chalette!D84</f>
        <v>20439.883584509465</v>
      </c>
      <c r="S84" s="395"/>
    </row>
    <row r="85" spans="1:19" s="2" customFormat="1" ht="11.25">
      <c r="A85" s="5" t="s">
        <v>109</v>
      </c>
      <c r="B85" s="160">
        <f>+Orléans!$G85</f>
        <v>0</v>
      </c>
      <c r="C85" s="113">
        <f>+Angers!$G85</f>
        <v>3.5569333333333333</v>
      </c>
      <c r="D85" s="113">
        <f>+Thouars!$G85</f>
        <v>0</v>
      </c>
      <c r="E85" s="113">
        <f>+Château!$G85</f>
        <v>0</v>
      </c>
      <c r="F85" s="113">
        <f>+Chartres!$G85</f>
        <v>1282.6933333333334</v>
      </c>
      <c r="G85" s="113">
        <f>+Bosc!$G85</f>
        <v>1476.2646666666669</v>
      </c>
      <c r="H85" s="113">
        <f>+Cham!$G85</f>
        <v>6132.2629333333325</v>
      </c>
      <c r="I85" s="113">
        <f>+Mans!$G85</f>
        <v>1282.6933333333334</v>
      </c>
      <c r="J85" s="113">
        <f>+Saumur!$G85</f>
        <v>1282.6933333333334</v>
      </c>
      <c r="K85" s="113">
        <f>+Chalette!$G85</f>
        <v>1000</v>
      </c>
      <c r="L85" s="160">
        <f>+Orléans!E85+Angers!E85+Thouars!E85+Château!E85+Chartres!E85+Bosc!E85+Cham!E85+Mans!E85+Saumur!E85</f>
        <v>10477.5</v>
      </c>
      <c r="M85" s="135">
        <f>+Orléans!F85+Angers!F85+Thouars!F85+Château!F85+Chartres!F85+Bosc!F85+Cham!F85+Mans!F85+Saumur!F85+Chalette!F85</f>
        <v>12072.373333333333</v>
      </c>
      <c r="N85" s="113">
        <f t="shared" si="20"/>
        <v>12460.164533333333</v>
      </c>
      <c r="O85" s="161">
        <f t="shared" si="21"/>
        <v>12460.164533333333</v>
      </c>
      <c r="P85" s="149">
        <f t="shared" si="22"/>
        <v>0.15221888173069273</v>
      </c>
      <c r="Q85" s="271">
        <f t="shared" si="23"/>
        <v>3.2122200771347885E-2</v>
      </c>
      <c r="R85" s="117">
        <f>+Orléans!D85+Angers!D85+Thouars!D85+Château!D85+Chartres!D85+Bosc!D85+Cham!D85+Mans!D85+Saumur!D85+Chalette!D85</f>
        <v>12709.608801770126</v>
      </c>
      <c r="S85" s="395"/>
    </row>
    <row r="86" spans="1:19" s="2" customFormat="1" ht="11.25">
      <c r="A86" s="5" t="s">
        <v>106</v>
      </c>
      <c r="B86" s="160">
        <f>+Orléans!$G86</f>
        <v>979.85960000000011</v>
      </c>
      <c r="C86" s="113">
        <f>+Angers!$G86</f>
        <v>2519.5310666666664</v>
      </c>
      <c r="D86" s="113">
        <f>+Thouars!$G86</f>
        <v>311.63679999999994</v>
      </c>
      <c r="E86" s="113">
        <f>+Château!$G86</f>
        <v>491.88679999999999</v>
      </c>
      <c r="F86" s="113">
        <f>+Chartres!$G86</f>
        <v>0</v>
      </c>
      <c r="G86" s="113">
        <f>+Bosc!$G86</f>
        <v>730.13266666666664</v>
      </c>
      <c r="H86" s="113">
        <f>+Cham!$G86</f>
        <v>1703.8122666666668</v>
      </c>
      <c r="I86" s="113">
        <f>+Mans!$G86</f>
        <v>179.11013333333332</v>
      </c>
      <c r="J86" s="113">
        <f>+Saumur!$G86</f>
        <v>269.98360000000002</v>
      </c>
      <c r="K86" s="113">
        <f>+Chalette!$G86</f>
        <v>800</v>
      </c>
      <c r="L86" s="160">
        <f>+Orléans!E86+Angers!E86+Thouars!E86+Château!E86+Chartres!E86+Bosc!E86+Cham!E86+Mans!E86+Saumur!E86</f>
        <v>3071.66</v>
      </c>
      <c r="M86" s="135">
        <f>+Orléans!F86+Angers!F86+Thouars!F86+Château!F86+Chartres!F86+Bosc!F86+Cham!F86+Mans!F86+Saumur!F86+Chalette!F86</f>
        <v>7526.6533333333336</v>
      </c>
      <c r="N86" s="113">
        <f t="shared" si="20"/>
        <v>7985.9529333333339</v>
      </c>
      <c r="O86" s="161">
        <f t="shared" si="21"/>
        <v>7985.9529333333339</v>
      </c>
      <c r="P86" s="149">
        <f t="shared" si="22"/>
        <v>1.4503536632743643</v>
      </c>
      <c r="Q86" s="271">
        <f t="shared" si="23"/>
        <v>6.1023084186154486E-2</v>
      </c>
      <c r="R86" s="117">
        <f>+Orléans!D86+Angers!D86+Thouars!D86+Château!D86+Chartres!D86+Bosc!D86+Cham!D86+Mans!D86+Saumur!D86+Chalette!D86</f>
        <v>5338.8110213677946</v>
      </c>
      <c r="S86" s="395"/>
    </row>
    <row r="87" spans="1:19" s="2" customFormat="1" ht="11.25">
      <c r="A87" s="5" t="s">
        <v>363</v>
      </c>
      <c r="B87" s="160">
        <f>+Orléans!$G87</f>
        <v>0</v>
      </c>
      <c r="C87" s="113">
        <f>+Angers!$G87</f>
        <v>0</v>
      </c>
      <c r="D87" s="113">
        <f>+Thouars!$G87</f>
        <v>0</v>
      </c>
      <c r="E87" s="113">
        <f>+Château!$G87</f>
        <v>0</v>
      </c>
      <c r="F87" s="113">
        <f>+Chartres!$G87</f>
        <v>0</v>
      </c>
      <c r="G87" s="113">
        <f>+Bosc!$G87</f>
        <v>0</v>
      </c>
      <c r="H87" s="113">
        <f>+Cham!$G87</f>
        <v>0</v>
      </c>
      <c r="I87" s="113">
        <f>+Mans!$G87</f>
        <v>0</v>
      </c>
      <c r="J87" s="113">
        <f>+Saumur!$G87</f>
        <v>0</v>
      </c>
      <c r="K87" s="113">
        <f>+Chalette!$G87</f>
        <v>0</v>
      </c>
      <c r="L87" s="160">
        <f>+Orléans!E87+Angers!E87+Thouars!E87+Château!E87+Chartres!E87+Bosc!E87+Cham!E87+Mans!E87+Saumur!E87</f>
        <v>0</v>
      </c>
      <c r="M87" s="135">
        <f>+Orléans!F87+Angers!F87+Thouars!F87+Château!F87+Chartres!F87+Bosc!F87+Cham!F87+Mans!F87+Saumur!F87+Chalette!F87</f>
        <v>0</v>
      </c>
      <c r="N87" s="113">
        <f t="shared" si="20"/>
        <v>0</v>
      </c>
      <c r="O87" s="161">
        <f t="shared" si="21"/>
        <v>0</v>
      </c>
      <c r="P87" s="149">
        <f t="shared" si="22"/>
        <v>0</v>
      </c>
      <c r="Q87" s="271">
        <f t="shared" si="23"/>
        <v>0</v>
      </c>
      <c r="R87" s="117">
        <f>+Orléans!D87+Angers!D87+Thouars!D87+Château!D87+Chartres!D87+Bosc!D87+Cham!D87+Mans!D87+Saumur!D87+Chalette!D87</f>
        <v>0</v>
      </c>
      <c r="S87" s="395"/>
    </row>
    <row r="88" spans="1:19" s="2" customFormat="1" ht="11.25">
      <c r="A88" s="5" t="s">
        <v>111</v>
      </c>
      <c r="B88" s="160">
        <f>+Orléans!$G88</f>
        <v>3000</v>
      </c>
      <c r="C88" s="113">
        <f>+Angers!$G88</f>
        <v>3063.6490500000004</v>
      </c>
      <c r="D88" s="113">
        <f>+Thouars!$G88</f>
        <v>2520.4472999999998</v>
      </c>
      <c r="E88" s="113">
        <f>+Château!$G88</f>
        <v>2408.1120000000001</v>
      </c>
      <c r="F88" s="113">
        <f>+Chartres!$G88</f>
        <v>2827.44</v>
      </c>
      <c r="G88" s="113">
        <f>+Bosc!$G88</f>
        <v>3737.9160000000002</v>
      </c>
      <c r="H88" s="113">
        <f>+Cham!$G88</f>
        <v>3253.0680000000002</v>
      </c>
      <c r="I88" s="113">
        <f>+Mans!$G88</f>
        <v>2441.6280000000002</v>
      </c>
      <c r="J88" s="113">
        <f>+Saumur!$G88</f>
        <v>2572.038</v>
      </c>
      <c r="K88" s="113">
        <f>+Chalette!$G88</f>
        <v>2486.1109999999999</v>
      </c>
      <c r="L88" s="160">
        <f>+Orléans!E88+Angers!E88+Thouars!E88+Château!E88+Chartres!E88+Bosc!E88+Cham!E88+Mans!E88+Saumur!E88</f>
        <v>21458.54</v>
      </c>
      <c r="M88" s="135">
        <f>+Orléans!F88+Angers!F88+Thouars!F88+Château!F88+Chartres!F88+Bosc!F88+Cham!F88+Mans!F88+Saumur!F88+Chalette!F88</f>
        <v>26878.635000000002</v>
      </c>
      <c r="N88" s="113">
        <f t="shared" si="20"/>
        <v>28310.409350000002</v>
      </c>
      <c r="O88" s="161">
        <f t="shared" si="21"/>
        <v>28310.409350000002</v>
      </c>
      <c r="P88" s="149">
        <f t="shared" si="22"/>
        <v>0.25258451879764426</v>
      </c>
      <c r="Q88" s="271">
        <f t="shared" si="23"/>
        <v>5.3268119828257632E-2</v>
      </c>
      <c r="R88" s="117">
        <f>+Orléans!D88+Angers!D88+Thouars!D88+Château!D88+Chartres!D88+Bosc!D88+Cham!D88+Mans!D88+Saumur!D88+Chalette!D88</f>
        <v>28016.804700000001</v>
      </c>
      <c r="S88" s="395"/>
    </row>
    <row r="89" spans="1:19" s="2" customFormat="1" ht="11.25">
      <c r="A89" s="5" t="s">
        <v>315</v>
      </c>
      <c r="B89" s="160">
        <f>+Orléans!$G89</f>
        <v>0</v>
      </c>
      <c r="C89" s="113">
        <f>+Angers!$G89</f>
        <v>0</v>
      </c>
      <c r="D89" s="113">
        <f>+Thouars!$G89</f>
        <v>0</v>
      </c>
      <c r="E89" s="113">
        <f>+Château!$G89</f>
        <v>0</v>
      </c>
      <c r="F89" s="113">
        <f>+Chartres!$G89</f>
        <v>0</v>
      </c>
      <c r="G89" s="113">
        <f>+Bosc!$G89</f>
        <v>0</v>
      </c>
      <c r="H89" s="113">
        <f>+Cham!$G89</f>
        <v>0</v>
      </c>
      <c r="I89" s="113">
        <f>+Mans!$G89</f>
        <v>0</v>
      </c>
      <c r="J89" s="113">
        <f>+Saumur!$G89</f>
        <v>0</v>
      </c>
      <c r="K89" s="113">
        <f>+Chalette!$G89</f>
        <v>0</v>
      </c>
      <c r="L89" s="160">
        <f>+Orléans!E89+Angers!E89+Thouars!E89+Château!E89+Chartres!E89+Bosc!E89+Cham!E89+Mans!E89+Saumur!E89</f>
        <v>0</v>
      </c>
      <c r="M89" s="135">
        <f>+Orléans!F89+Angers!F89+Thouars!F89+Château!F89+Chartres!F89+Bosc!F89+Cham!F89+Mans!F89+Saumur!F89+Chalette!F89</f>
        <v>0</v>
      </c>
      <c r="N89" s="113">
        <f t="shared" si="20"/>
        <v>0</v>
      </c>
      <c r="O89" s="161">
        <f t="shared" si="21"/>
        <v>0</v>
      </c>
      <c r="P89" s="149">
        <f t="shared" si="22"/>
        <v>0</v>
      </c>
      <c r="Q89" s="271">
        <f t="shared" si="23"/>
        <v>0</v>
      </c>
      <c r="R89" s="117">
        <f>+Orléans!D89+Angers!D89+Thouars!D89+Château!D89+Chartres!D89+Bosc!D89+Cham!D89+Mans!D89+Saumur!D89+Chalette!D89</f>
        <v>0</v>
      </c>
      <c r="S89" s="395"/>
    </row>
    <row r="90" spans="1:19" s="2" customFormat="1" ht="11.25">
      <c r="A90" s="5" t="s">
        <v>112</v>
      </c>
      <c r="B90" s="160">
        <f>+Orléans!$G90</f>
        <v>336.27440000000001</v>
      </c>
      <c r="C90" s="113">
        <f>+Angers!$G90</f>
        <v>0</v>
      </c>
      <c r="D90" s="113">
        <f>+Thouars!$G90</f>
        <v>153.34639999999999</v>
      </c>
      <c r="E90" s="113">
        <f>+Château!$G90</f>
        <v>362.43640000000005</v>
      </c>
      <c r="F90" s="113">
        <f>+Chartres!$G90</f>
        <v>286.60093333333333</v>
      </c>
      <c r="G90" s="113">
        <f>+Bosc!$G90</f>
        <v>0</v>
      </c>
      <c r="H90" s="113">
        <f>+Cham!$G90</f>
        <v>0</v>
      </c>
      <c r="I90" s="113">
        <f>+Mans!$G90</f>
        <v>0</v>
      </c>
      <c r="J90" s="113">
        <f>+Saumur!$G90</f>
        <v>0</v>
      </c>
      <c r="K90" s="113">
        <f>+Chalette!$G90</f>
        <v>200</v>
      </c>
      <c r="L90" s="160">
        <f>+Orléans!E90+Angers!E90+Thouars!E90+Château!E90+Chartres!E90+Bosc!E90+Cham!E90+Mans!E90+Saumur!E90</f>
        <v>3259.25</v>
      </c>
      <c r="M90" s="135">
        <f>+Orléans!F90+Angers!F90+Thouars!F90+Château!F90+Chartres!F90+Bosc!F90+Cham!F90+Mans!F90+Saumur!F90+Chalette!F90</f>
        <v>1105.4933333333333</v>
      </c>
      <c r="N90" s="113">
        <f t="shared" si="20"/>
        <v>1338.6581333333334</v>
      </c>
      <c r="O90" s="161">
        <f t="shared" si="21"/>
        <v>1338.6581333333334</v>
      </c>
      <c r="P90" s="149">
        <f t="shared" si="22"/>
        <v>-0.66081358185676664</v>
      </c>
      <c r="Q90" s="271">
        <f t="shared" si="23"/>
        <v>0.21091470474720186</v>
      </c>
      <c r="R90" s="117">
        <f>+Orléans!D90+Angers!D90+Thouars!D90+Château!D90+Chartres!D90+Bosc!D90+Cham!D90+Mans!D90+Saumur!D90+Chalette!D90</f>
        <v>3836.1944947516304</v>
      </c>
      <c r="S90" s="395"/>
    </row>
    <row r="91" spans="1:19" s="2" customFormat="1" ht="11.25">
      <c r="A91" s="5" t="s">
        <v>113</v>
      </c>
      <c r="B91" s="160">
        <f>+Orléans!$G91</f>
        <v>901.53840000000002</v>
      </c>
      <c r="C91" s="113">
        <f>+Angers!$G91</f>
        <v>2194.3806666666669</v>
      </c>
      <c r="D91" s="113">
        <f>+Thouars!$G91</f>
        <v>1501.6301333333333</v>
      </c>
      <c r="E91" s="113">
        <f>+Château!$G91</f>
        <v>92.425333333333342</v>
      </c>
      <c r="F91" s="113">
        <f>+Chartres!$G91</f>
        <v>1099.8065333333336</v>
      </c>
      <c r="G91" s="113">
        <f>+Bosc!$G91</f>
        <v>1058.6752000000001</v>
      </c>
      <c r="H91" s="113">
        <f>+Cham!$G91</f>
        <v>901.53840000000002</v>
      </c>
      <c r="I91" s="113">
        <f>+Mans!$G91</f>
        <v>1300</v>
      </c>
      <c r="J91" s="113">
        <f>+Saumur!$G91</f>
        <v>500</v>
      </c>
      <c r="K91" s="113">
        <f>+Chalette!$G91</f>
        <v>500</v>
      </c>
      <c r="L91" s="160">
        <f>+Orléans!E91+Angers!E91+Thouars!E91+Château!E91+Chartres!E91+Bosc!E91+Cham!E91+Mans!E91+Saumur!E91</f>
        <v>5076.6400000000003</v>
      </c>
      <c r="M91" s="135">
        <f>+Orléans!F91+Angers!F91+Thouars!F91+Château!F91+Chartres!F91+Bosc!F91+Cham!F91+Mans!F91+Saumur!F91+Chalette!F91</f>
        <v>9594.7333333333336</v>
      </c>
      <c r="N91" s="113">
        <f t="shared" si="20"/>
        <v>10049.994666666669</v>
      </c>
      <c r="O91" s="161">
        <f t="shared" si="21"/>
        <v>10049.994666666669</v>
      </c>
      <c r="P91" s="149">
        <f t="shared" si="22"/>
        <v>0.88997709771292288</v>
      </c>
      <c r="Q91" s="271">
        <f t="shared" si="23"/>
        <v>4.7449086651704997E-2</v>
      </c>
      <c r="R91" s="117">
        <f>+Orléans!D91+Angers!D91+Thouars!D91+Château!D91+Chartres!D91+Bosc!D91+Cham!D91+Mans!D91+Saumur!D91+Chalette!D91</f>
        <v>7207.1551404077081</v>
      </c>
      <c r="S91" s="395"/>
    </row>
    <row r="92" spans="1:19" s="2" customFormat="1" ht="11.25">
      <c r="A92" s="5" t="s">
        <v>309</v>
      </c>
      <c r="B92" s="160">
        <f>+Orléans!$G92</f>
        <v>0</v>
      </c>
      <c r="C92" s="113">
        <f>+Angers!$G92</f>
        <v>0</v>
      </c>
      <c r="D92" s="113">
        <f>+Thouars!$G92</f>
        <v>0</v>
      </c>
      <c r="E92" s="113">
        <f>+Château!$G92</f>
        <v>0</v>
      </c>
      <c r="F92" s="113">
        <f>+Chartres!$G92</f>
        <v>0</v>
      </c>
      <c r="G92" s="113">
        <f>+Bosc!$G92</f>
        <v>0</v>
      </c>
      <c r="H92" s="113">
        <f>+Cham!$G92</f>
        <v>0</v>
      </c>
      <c r="I92" s="113">
        <f>+Mans!$G92</f>
        <v>0</v>
      </c>
      <c r="J92" s="113">
        <f>+Saumur!$G92</f>
        <v>0</v>
      </c>
      <c r="K92" s="113">
        <f>+Chalette!$G92</f>
        <v>0</v>
      </c>
      <c r="L92" s="160">
        <f>+Orléans!E92+Angers!E92+Thouars!E92+Château!E92+Chartres!E92+Bosc!E92+Cham!E92+Mans!E92+Saumur!E92</f>
        <v>0</v>
      </c>
      <c r="M92" s="135">
        <f>+Orléans!F92+Angers!F92+Thouars!F92+Château!F92+Chartres!F92+Bosc!F92+Cham!F92+Mans!F92+Saumur!F92+Chalette!F92</f>
        <v>0</v>
      </c>
      <c r="N92" s="113">
        <f t="shared" si="20"/>
        <v>0</v>
      </c>
      <c r="O92" s="161">
        <f t="shared" si="21"/>
        <v>0</v>
      </c>
      <c r="P92" s="149">
        <f t="shared" si="22"/>
        <v>0</v>
      </c>
      <c r="Q92" s="271">
        <f t="shared" si="23"/>
        <v>0</v>
      </c>
      <c r="R92" s="117">
        <f>+Orléans!D92+Angers!D92+Thouars!D92+Château!D92+Chartres!D92+Bosc!D92+Cham!D92+Mans!D92+Saumur!D92+Chalette!D92</f>
        <v>0</v>
      </c>
      <c r="S92" s="395"/>
    </row>
    <row r="93" spans="1:19" s="2" customFormat="1" ht="11.25">
      <c r="A93" s="5" t="s">
        <v>115</v>
      </c>
      <c r="B93" s="160">
        <f>+Orléans!$G93</f>
        <v>0</v>
      </c>
      <c r="C93" s="113">
        <f>+Angers!$G93</f>
        <v>0</v>
      </c>
      <c r="D93" s="113">
        <f>+Thouars!$G93</f>
        <v>0</v>
      </c>
      <c r="E93" s="113">
        <f>+Château!$G93</f>
        <v>0</v>
      </c>
      <c r="F93" s="113">
        <f>+Chartres!$G93</f>
        <v>0</v>
      </c>
      <c r="G93" s="113">
        <f>+Bosc!$G93</f>
        <v>0</v>
      </c>
      <c r="H93" s="113">
        <f>+Cham!$G93</f>
        <v>274.66666666666663</v>
      </c>
      <c r="I93" s="113">
        <f>+Mans!$G93</f>
        <v>0</v>
      </c>
      <c r="J93" s="113">
        <f>+Saumur!$G93</f>
        <v>0</v>
      </c>
      <c r="K93" s="113">
        <f>+Chalette!$G93</f>
        <v>0</v>
      </c>
      <c r="L93" s="160">
        <f>+Orléans!E93+Angers!E93+Thouars!E93+Château!E93+Chartres!E93+Bosc!E93+Cham!E93+Mans!E93+Saumur!E93</f>
        <v>517.85</v>
      </c>
      <c r="M93" s="135">
        <f>+Orléans!F93+Angers!F93+Thouars!F93+Château!F93+Chartres!F93+Bosc!F93+Cham!F93+Mans!F93+Saumur!F93+Chalette!F93</f>
        <v>4121.666666666667</v>
      </c>
      <c r="N93" s="113">
        <f t="shared" si="20"/>
        <v>274.66666666666663</v>
      </c>
      <c r="O93" s="161">
        <f t="shared" si="21"/>
        <v>274.66666666666663</v>
      </c>
      <c r="P93" s="149">
        <f t="shared" si="22"/>
        <v>6.9591902417044835</v>
      </c>
      <c r="Q93" s="271">
        <f t="shared" si="23"/>
        <v>-0.93336029114435914</v>
      </c>
      <c r="R93" s="117">
        <f>+Orléans!D93+Angers!D93+Thouars!D93+Château!D93+Chartres!D93+Bosc!D93+Cham!D93+Mans!D93+Saumur!D93+Chalette!D93</f>
        <v>6563.1102052248689</v>
      </c>
      <c r="S93" s="395"/>
    </row>
    <row r="94" spans="1:19" s="2" customFormat="1" ht="11.25">
      <c r="A94" s="5" t="s">
        <v>42</v>
      </c>
      <c r="B94" s="160">
        <f>+Orléans!$G94</f>
        <v>0</v>
      </c>
      <c r="C94" s="113">
        <f>+Angers!$G94</f>
        <v>0</v>
      </c>
      <c r="D94" s="113">
        <f>+Thouars!$G94</f>
        <v>0</v>
      </c>
      <c r="E94" s="113">
        <f>+Château!$G94</f>
        <v>0</v>
      </c>
      <c r="F94" s="113">
        <f>+Chartres!$G94</f>
        <v>0</v>
      </c>
      <c r="G94" s="113">
        <f>+Bosc!$G94</f>
        <v>0</v>
      </c>
      <c r="H94" s="113">
        <f>+Cham!$G94</f>
        <v>0</v>
      </c>
      <c r="I94" s="113">
        <f>+Mans!$G94</f>
        <v>0</v>
      </c>
      <c r="J94" s="113">
        <f>+Saumur!$G94</f>
        <v>0</v>
      </c>
      <c r="K94" s="113">
        <f>+Chalette!$G94</f>
        <v>0</v>
      </c>
      <c r="L94" s="160">
        <f>+Orléans!E94+Angers!E94+Thouars!E94+Château!E94+Chartres!E94+Bosc!E94+Cham!E94+Mans!E94+Saumur!E94</f>
        <v>88.1</v>
      </c>
      <c r="M94" s="135">
        <f>+Orléans!F94+Angers!F94+Thouars!F94+Château!F94+Chartres!F94+Bosc!F94+Cham!F94+Mans!F94+Saumur!F94+Chalette!F94</f>
        <v>0</v>
      </c>
      <c r="N94" s="113">
        <f t="shared" si="20"/>
        <v>0</v>
      </c>
      <c r="O94" s="161">
        <f t="shared" si="21"/>
        <v>0</v>
      </c>
      <c r="P94" s="149">
        <f t="shared" si="22"/>
        <v>-1</v>
      </c>
      <c r="Q94" s="271">
        <f t="shared" si="23"/>
        <v>0</v>
      </c>
      <c r="R94" s="117">
        <f>+Orléans!D94+Angers!D94+Thouars!D94+Château!D94+Chartres!D94+Bosc!D94+Cham!D94+Mans!D94+Saumur!D94+Chalette!D94</f>
        <v>104.8133338516823</v>
      </c>
      <c r="S94" s="395"/>
    </row>
    <row r="95" spans="1:19" s="2" customFormat="1" ht="11.25">
      <c r="A95" s="5" t="s">
        <v>117</v>
      </c>
      <c r="B95" s="160">
        <f>+Orléans!$G95</f>
        <v>7845.2490666666681</v>
      </c>
      <c r="C95" s="113">
        <f>+Angers!$G95</f>
        <v>10784.525733333334</v>
      </c>
      <c r="D95" s="113">
        <f>+Thouars!$G95</f>
        <v>15892.776399999999</v>
      </c>
      <c r="E95" s="113">
        <f>+Château!$G95</f>
        <v>4643.7755999999999</v>
      </c>
      <c r="F95" s="113">
        <f>+Chartres!$G95</f>
        <v>10000</v>
      </c>
      <c r="G95" s="113">
        <f>+Bosc!$G95</f>
        <v>15705.742133333331</v>
      </c>
      <c r="H95" s="113">
        <f>+Cham!$G95</f>
        <v>4000</v>
      </c>
      <c r="I95" s="113">
        <f>+Mans!$G95</f>
        <v>12754.764666666666</v>
      </c>
      <c r="J95" s="113">
        <f>+Saumur!$G95</f>
        <v>3000</v>
      </c>
      <c r="K95" s="113">
        <f>+Chalette!$G95</f>
        <v>0</v>
      </c>
      <c r="L95" s="160">
        <f>+Orléans!E95+Angers!E95+Thouars!E95+Château!E95+Chartres!E95+Bosc!E95+Cham!E95+Mans!E95+Saumur!E95</f>
        <v>98442.57</v>
      </c>
      <c r="M95" s="135">
        <f>+Orléans!F95+Angers!F95+Thouars!F95+Château!F95+Chartres!F95+Bosc!F95+Cham!F95+Mans!F95+Saumur!F95+Chalette!F95</f>
        <v>78732.36</v>
      </c>
      <c r="N95" s="113">
        <f t="shared" si="20"/>
        <v>84626.833599999998</v>
      </c>
      <c r="O95" s="161">
        <f t="shared" si="21"/>
        <v>84626.833599999998</v>
      </c>
      <c r="P95" s="149">
        <f t="shared" si="22"/>
        <v>-0.20022039245826276</v>
      </c>
      <c r="Q95" s="271">
        <f t="shared" si="23"/>
        <v>7.4867228671920888E-2</v>
      </c>
      <c r="R95" s="117">
        <f>+Orléans!D95+Angers!D95+Thouars!D95+Château!D95+Chartres!D95+Bosc!D95+Cham!D95+Mans!D95+Saumur!D95+Chalette!D95</f>
        <v>102456.7184724375</v>
      </c>
      <c r="S95" s="395"/>
    </row>
    <row r="96" spans="1:19" s="2" customFormat="1" ht="11.25">
      <c r="A96" s="5" t="s">
        <v>118</v>
      </c>
      <c r="B96" s="160">
        <f>+Orléans!$G96</f>
        <v>14000</v>
      </c>
      <c r="C96" s="113">
        <f>+Angers!$G96</f>
        <v>10000</v>
      </c>
      <c r="D96" s="113">
        <f>+Thouars!$G96</f>
        <v>9000</v>
      </c>
      <c r="E96" s="113">
        <f>+Château!$G96</f>
        <v>4500</v>
      </c>
      <c r="F96" s="113">
        <f>+Chartres!$G96</f>
        <v>7000</v>
      </c>
      <c r="G96" s="113">
        <f>+Bosc!$G96</f>
        <v>16000</v>
      </c>
      <c r="H96" s="113">
        <f>+Cham!$G96</f>
        <v>7000</v>
      </c>
      <c r="I96" s="113">
        <f>+Mans!$G96</f>
        <v>13000</v>
      </c>
      <c r="J96" s="113">
        <f>+Saumur!$G96</f>
        <v>3000</v>
      </c>
      <c r="K96" s="113">
        <f>+Chalette!$G96</f>
        <v>3000</v>
      </c>
      <c r="L96" s="160">
        <f>+Orléans!E96+Angers!E96+Thouars!E96+Château!E96+Chartres!E96+Bosc!E96+Cham!E96+Mans!E96+Saumur!E96</f>
        <v>89074.63</v>
      </c>
      <c r="M96" s="135">
        <f>+Orléans!F96+Angers!F96+Thouars!F96+Château!F96+Chartres!F96+Bosc!F96+Cham!F96+Mans!F96+Saumur!F96+Chalette!F96</f>
        <v>77835.253333333327</v>
      </c>
      <c r="N96" s="113">
        <f t="shared" si="20"/>
        <v>86500</v>
      </c>
      <c r="O96" s="161">
        <f t="shared" si="21"/>
        <v>86500</v>
      </c>
      <c r="P96" s="149">
        <f t="shared" si="22"/>
        <v>-0.12617932476022273</v>
      </c>
      <c r="Q96" s="271">
        <f t="shared" si="23"/>
        <v>0.11132162221608589</v>
      </c>
      <c r="R96" s="117">
        <f>+Orléans!D96+Angers!D96+Thouars!D96+Château!D96+Chartres!D96+Bosc!D96+Cham!D96+Mans!D96+Saumur!D96+Chalette!D96</f>
        <v>88449.3027</v>
      </c>
      <c r="S96" s="395"/>
    </row>
    <row r="97" spans="1:19" s="2" customFormat="1" ht="11.25">
      <c r="A97" s="5" t="s">
        <v>7</v>
      </c>
      <c r="B97" s="160">
        <f>+Orléans!$G97</f>
        <v>0</v>
      </c>
      <c r="C97" s="113">
        <f>+Angers!$G97</f>
        <v>0</v>
      </c>
      <c r="D97" s="113">
        <f>+Thouars!$G97</f>
        <v>0</v>
      </c>
      <c r="E97" s="113">
        <f>+Château!$G97</f>
        <v>200</v>
      </c>
      <c r="F97" s="113">
        <f>+Chartres!$G97</f>
        <v>0</v>
      </c>
      <c r="G97" s="113">
        <f>+Bosc!$G97</f>
        <v>200</v>
      </c>
      <c r="H97" s="113">
        <f>+Cham!$G97</f>
        <v>250</v>
      </c>
      <c r="I97" s="113">
        <f>+Mans!$G97</f>
        <v>0</v>
      </c>
      <c r="J97" s="113">
        <f>+Saumur!$G97</f>
        <v>0</v>
      </c>
      <c r="K97" s="113">
        <f>+Chalette!$G97</f>
        <v>0</v>
      </c>
      <c r="L97" s="160">
        <f>+Orléans!E97+Angers!E97+Thouars!E97+Château!E97+Chartres!E97+Bosc!E97+Cham!E97+Mans!E97+Saumur!E97</f>
        <v>893.80000000000007</v>
      </c>
      <c r="M97" s="135">
        <f>+Orléans!F97+Angers!F97+Thouars!F97+Château!F97+Chartres!F97+Bosc!F97+Cham!F97+Mans!F97+Saumur!F97+Chalette!F97</f>
        <v>909.7733333333332</v>
      </c>
      <c r="N97" s="113">
        <f t="shared" si="20"/>
        <v>650</v>
      </c>
      <c r="O97" s="161">
        <f t="shared" si="21"/>
        <v>650</v>
      </c>
      <c r="P97" s="149">
        <f t="shared" si="22"/>
        <v>1.7871261281419925E-2</v>
      </c>
      <c r="Q97" s="271">
        <f t="shared" si="23"/>
        <v>-0.28553632406606766</v>
      </c>
      <c r="R97" s="117">
        <f>+Orléans!D97+Angers!D97+Thouars!D97+Château!D97+Chartres!D97+Bosc!D97+Cham!D97+Mans!D97+Saumur!D97+Chalette!D97</f>
        <v>2069.6795723549999</v>
      </c>
      <c r="S97" s="395"/>
    </row>
    <row r="98" spans="1:19" s="2" customFormat="1" ht="11.25">
      <c r="A98" s="5" t="s">
        <v>307</v>
      </c>
      <c r="B98" s="160">
        <f>+Orléans!$G98</f>
        <v>0</v>
      </c>
      <c r="C98" s="113">
        <f>+Angers!$G98</f>
        <v>0</v>
      </c>
      <c r="D98" s="113">
        <f>+Thouars!$G98</f>
        <v>0</v>
      </c>
      <c r="E98" s="113">
        <f>+Château!$G98</f>
        <v>0</v>
      </c>
      <c r="F98" s="113">
        <f>+Chartres!$G98</f>
        <v>0</v>
      </c>
      <c r="G98" s="113">
        <f>+Bosc!$G98</f>
        <v>0</v>
      </c>
      <c r="H98" s="113">
        <f>+Cham!$G98</f>
        <v>0</v>
      </c>
      <c r="I98" s="113">
        <f>+Mans!$G98</f>
        <v>0</v>
      </c>
      <c r="J98" s="113">
        <f>+Saumur!$G98</f>
        <v>0</v>
      </c>
      <c r="K98" s="113">
        <f>+Chalette!$G98</f>
        <v>0</v>
      </c>
      <c r="L98" s="160">
        <f>+Orléans!E98+Angers!E98+Thouars!E98+Château!E98+Chartres!E98+Bosc!E98+Cham!E98+Mans!E98+Saumur!E98</f>
        <v>0</v>
      </c>
      <c r="M98" s="135">
        <f>+Orléans!F98+Angers!F98+Thouars!F98+Château!F98+Chartres!F98+Bosc!F98+Cham!F98+Mans!F98+Saumur!F98+Chalette!F98</f>
        <v>0</v>
      </c>
      <c r="N98" s="113">
        <f t="shared" si="20"/>
        <v>0</v>
      </c>
      <c r="O98" s="161">
        <f t="shared" si="21"/>
        <v>0</v>
      </c>
      <c r="P98" s="149">
        <f t="shared" si="22"/>
        <v>0</v>
      </c>
      <c r="Q98" s="271">
        <f t="shared" si="23"/>
        <v>0</v>
      </c>
      <c r="R98" s="117">
        <f>+Orléans!D98+Angers!D98+Thouars!D98+Château!D98+Chartres!D98+Bosc!D98+Cham!D98+Mans!D98+Saumur!D98+Chalette!D98</f>
        <v>0</v>
      </c>
      <c r="S98" s="395"/>
    </row>
    <row r="99" spans="1:19" s="2" customFormat="1" ht="11.25">
      <c r="A99" s="5" t="s">
        <v>119</v>
      </c>
      <c r="B99" s="160">
        <f>+Orléans!$G99</f>
        <v>5882.5733333333337</v>
      </c>
      <c r="C99" s="113">
        <f>+Angers!$G99</f>
        <v>5153.68</v>
      </c>
      <c r="D99" s="113">
        <f>+Thouars!$G99</f>
        <v>3955.413333333333</v>
      </c>
      <c r="E99" s="113">
        <f>+Château!$G99</f>
        <v>4057.44</v>
      </c>
      <c r="F99" s="113">
        <f>+Chartres!$G99</f>
        <v>5500</v>
      </c>
      <c r="G99" s="113">
        <f>+Bosc!$G99</f>
        <v>5844.88</v>
      </c>
      <c r="H99" s="113">
        <f>+Cham!$G99</f>
        <v>5887</v>
      </c>
      <c r="I99" s="113">
        <f>+Mans!$G99</f>
        <v>5208.6133333333337</v>
      </c>
      <c r="J99" s="113">
        <f>+Saumur!$G99</f>
        <v>2943.2666666666664</v>
      </c>
      <c r="K99" s="113">
        <f>+Chalette!$G99</f>
        <v>1800</v>
      </c>
      <c r="L99" s="160">
        <f>+Orléans!E99+Angers!E99+Thouars!E99+Château!E99+Chartres!E99+Bosc!E99+Cham!E99+Mans!E99+Saumur!E99</f>
        <v>44846.780000000006</v>
      </c>
      <c r="M99" s="135">
        <f>+Orléans!F99+Angers!F99+Thouars!F99+Château!F99+Chartres!F99+Bosc!F99+Cham!F99+Mans!F99+Saumur!F99+Chalette!F99</f>
        <v>43122.493333333332</v>
      </c>
      <c r="N99" s="113">
        <f t="shared" si="20"/>
        <v>46232.866666666669</v>
      </c>
      <c r="O99" s="161">
        <f t="shared" si="21"/>
        <v>46232.866666666669</v>
      </c>
      <c r="P99" s="149">
        <f t="shared" si="22"/>
        <v>-3.8448393990977145E-2</v>
      </c>
      <c r="Q99" s="271">
        <f t="shared" si="23"/>
        <v>7.2128791563382158E-2</v>
      </c>
      <c r="R99" s="117">
        <f>+Orléans!D99+Angers!D99+Thouars!D99+Château!D99+Chartres!D99+Bosc!D99+Cham!D99+Mans!D99+Saumur!D99+Chalette!D99</f>
        <v>51470.700206609523</v>
      </c>
      <c r="S99" s="395"/>
    </row>
    <row r="100" spans="1:19" s="2" customFormat="1" ht="11.25">
      <c r="A100" s="5" t="s">
        <v>120</v>
      </c>
      <c r="B100" s="160">
        <f>+Orléans!$G100</f>
        <v>909.77840000000003</v>
      </c>
      <c r="C100" s="113">
        <f>+Angers!$G100</f>
        <v>1222.3216</v>
      </c>
      <c r="D100" s="113">
        <f>+Thouars!$G100</f>
        <v>1906.5162666666668</v>
      </c>
      <c r="E100" s="113">
        <f>+Château!$G100</f>
        <v>942.62853333333339</v>
      </c>
      <c r="F100" s="113">
        <f>+Chartres!$G100</f>
        <v>1431.2056000000002</v>
      </c>
      <c r="G100" s="113">
        <f>+Bosc!$G100</f>
        <v>1302.8401333333331</v>
      </c>
      <c r="H100" s="113">
        <f>+Cham!$G100</f>
        <v>871.28386666666654</v>
      </c>
      <c r="I100" s="113">
        <f>+Mans!$G100</f>
        <v>1042.0166666666669</v>
      </c>
      <c r="J100" s="113">
        <f>+Saumur!$G100</f>
        <v>597.30386666666664</v>
      </c>
      <c r="K100" s="113">
        <f>+Chalette!$G100</f>
        <v>650.69220000000007</v>
      </c>
      <c r="L100" s="160">
        <f>+Orléans!E100+Angers!E100+Thouars!E100+Château!E100+Chartres!E100+Bosc!E100+Cham!E100+Mans!E100+Saumur!E100</f>
        <v>8330.99</v>
      </c>
      <c r="M100" s="135">
        <f>+Orléans!F100+Angers!F100+Thouars!F100+Château!F100+Chartres!F100+Bosc!F100+Cham!F100+Mans!F100+Saumur!F100+Chalette!F100</f>
        <v>10401.858333333332</v>
      </c>
      <c r="N100" s="113">
        <f t="shared" si="20"/>
        <v>10876.587133333333</v>
      </c>
      <c r="O100" s="161">
        <f t="shared" si="21"/>
        <v>10876.587133333333</v>
      </c>
      <c r="P100" s="149">
        <f t="shared" si="22"/>
        <v>0.24857409903664895</v>
      </c>
      <c r="Q100" s="271">
        <f t="shared" si="23"/>
        <v>4.5638844982026527E-2</v>
      </c>
      <c r="R100" s="117">
        <f>+Orléans!D100+Angers!D100+Thouars!D100+Château!D100+Chartres!D100+Bosc!D100+Cham!D100+Mans!D100+Saumur!D100+Chalette!D100</f>
        <v>8907.9757161843954</v>
      </c>
      <c r="S100" s="395"/>
    </row>
    <row r="101" spans="1:19" s="2" customFormat="1" ht="11.25">
      <c r="A101" s="5" t="s">
        <v>121</v>
      </c>
      <c r="B101" s="160">
        <f>+Orléans!$G101</f>
        <v>0</v>
      </c>
      <c r="C101" s="113">
        <f>+Angers!$G101</f>
        <v>0</v>
      </c>
      <c r="D101" s="113">
        <f>+Thouars!$G101</f>
        <v>0</v>
      </c>
      <c r="E101" s="113">
        <f>+Château!$G101</f>
        <v>0</v>
      </c>
      <c r="F101" s="113">
        <f>+Chartres!$G101</f>
        <v>0</v>
      </c>
      <c r="G101" s="113">
        <f>+Bosc!$G101</f>
        <v>0</v>
      </c>
      <c r="H101" s="113">
        <f>+Cham!$G101</f>
        <v>0</v>
      </c>
      <c r="I101" s="113">
        <f>+Mans!$G101</f>
        <v>0</v>
      </c>
      <c r="J101" s="113">
        <f>+Saumur!$G101</f>
        <v>0</v>
      </c>
      <c r="K101" s="113">
        <f>+Chalette!$G101</f>
        <v>0</v>
      </c>
      <c r="L101" s="160">
        <f>+Orléans!E101+Angers!E101+Thouars!E101+Château!E101+Chartres!E101+Bosc!E101+Cham!E101+Mans!E101+Saumur!E101</f>
        <v>0</v>
      </c>
      <c r="M101" s="135">
        <f>+Orléans!F101+Angers!F101+Thouars!F101+Château!F101+Chartres!F101+Bosc!F101+Cham!F101+Mans!F101+Saumur!F101+Chalette!F101</f>
        <v>0</v>
      </c>
      <c r="N101" s="113">
        <f t="shared" si="20"/>
        <v>0</v>
      </c>
      <c r="O101" s="161">
        <f t="shared" si="21"/>
        <v>0</v>
      </c>
      <c r="P101" s="149">
        <f t="shared" si="22"/>
        <v>0</v>
      </c>
      <c r="Q101" s="271">
        <f t="shared" si="23"/>
        <v>0</v>
      </c>
      <c r="R101" s="117">
        <f>+Orléans!D101+Angers!D101+Thouars!D101+Château!D101+Chartres!D101+Bosc!D101+Cham!D101+Mans!D101+Saumur!D101+Chalette!D101</f>
        <v>472.56400000000002</v>
      </c>
      <c r="S101" s="395"/>
    </row>
    <row r="102" spans="1:19" s="2" customFormat="1" ht="11.25">
      <c r="A102" s="5"/>
      <c r="B102" s="160"/>
      <c r="C102" s="113"/>
      <c r="D102" s="113"/>
      <c r="E102" s="113"/>
      <c r="F102" s="113"/>
      <c r="G102" s="113"/>
      <c r="H102" s="113"/>
      <c r="I102" s="113"/>
      <c r="J102" s="113"/>
      <c r="K102" s="113"/>
      <c r="L102" s="160"/>
      <c r="M102" s="143"/>
      <c r="N102" s="149"/>
      <c r="O102" s="186"/>
      <c r="P102" s="149"/>
      <c r="Q102" s="254"/>
      <c r="R102" s="254"/>
      <c r="S102" s="143"/>
    </row>
    <row r="103" spans="1:19" s="2" customFormat="1" ht="11.25">
      <c r="A103" s="13" t="s">
        <v>122</v>
      </c>
      <c r="B103" s="163">
        <f t="shared" ref="B103:N103" si="24">SUM(B70:B102)</f>
        <v>95430.598400000017</v>
      </c>
      <c r="C103" s="204">
        <f t="shared" si="24"/>
        <v>88796.679770961287</v>
      </c>
      <c r="D103" s="204">
        <f t="shared" si="24"/>
        <v>87919.259283333347</v>
      </c>
      <c r="E103" s="204">
        <f t="shared" si="24"/>
        <v>47990.275733333336</v>
      </c>
      <c r="F103" s="204">
        <f t="shared" si="24"/>
        <v>85957.506587627984</v>
      </c>
      <c r="G103" s="204">
        <f t="shared" si="24"/>
        <v>110030.0312</v>
      </c>
      <c r="H103" s="204">
        <f t="shared" si="24"/>
        <v>90257.37783230975</v>
      </c>
      <c r="I103" s="204">
        <f t="shared" si="24"/>
        <v>91457.683830173555</v>
      </c>
      <c r="J103" s="204">
        <f t="shared" si="24"/>
        <v>46339.351333333339</v>
      </c>
      <c r="K103" s="204">
        <f>SUM(K70:K102)</f>
        <v>41712.264302285497</v>
      </c>
      <c r="L103" s="163">
        <f t="shared" si="24"/>
        <v>749119.27</v>
      </c>
      <c r="M103" s="204">
        <f t="shared" si="24"/>
        <v>769453.81630133092</v>
      </c>
      <c r="N103" s="204">
        <f t="shared" si="24"/>
        <v>785891.02827335801</v>
      </c>
      <c r="O103" s="168">
        <f>SUM(O70:O102)</f>
        <v>785891.02827335801</v>
      </c>
      <c r="P103" s="272">
        <f>+IF((L103)=0,,(M103-L103)/L103)</f>
        <v>2.7144604491793282E-2</v>
      </c>
      <c r="Q103" s="188">
        <f>+IF((M103)=0,,(O103-M103)/M103)</f>
        <v>2.1362181360070089E-2</v>
      </c>
      <c r="R103" s="168">
        <f>SUM(R70:R102)</f>
        <v>823898.25620450859</v>
      </c>
      <c r="S103" s="136"/>
    </row>
    <row r="104" spans="1:19" s="2" customFormat="1" ht="11.25">
      <c r="A104" s="5"/>
      <c r="B104" s="160"/>
      <c r="C104" s="113"/>
      <c r="D104" s="113"/>
      <c r="E104" s="113"/>
      <c r="F104" s="113"/>
      <c r="G104" s="113"/>
      <c r="H104" s="113"/>
      <c r="I104" s="113"/>
      <c r="J104" s="113"/>
      <c r="K104" s="113"/>
      <c r="L104" s="160"/>
      <c r="M104" s="143"/>
      <c r="N104" s="149"/>
      <c r="O104" s="186"/>
      <c r="P104" s="149"/>
      <c r="Q104" s="254"/>
      <c r="R104" s="254"/>
      <c r="S104" s="143"/>
    </row>
    <row r="105" spans="1:19" s="2" customFormat="1" ht="11.25">
      <c r="A105" s="5" t="s">
        <v>129</v>
      </c>
      <c r="B105" s="160">
        <f>+Orléans!$G105</f>
        <v>1000</v>
      </c>
      <c r="C105" s="113">
        <f>+Angers!$G105</f>
        <v>1000</v>
      </c>
      <c r="D105" s="113">
        <f>+Thouars!$G105</f>
        <v>1000</v>
      </c>
      <c r="E105" s="113">
        <f>+Château!$G105</f>
        <v>1000</v>
      </c>
      <c r="F105" s="113">
        <f>+Chartres!$G105</f>
        <v>1000</v>
      </c>
      <c r="G105" s="113">
        <f>+Bosc!$G105</f>
        <v>1300</v>
      </c>
      <c r="H105" s="113">
        <f>+Cham!$G105</f>
        <v>1000</v>
      </c>
      <c r="I105" s="113">
        <f>+Mans!$G105</f>
        <v>1000</v>
      </c>
      <c r="J105" s="113">
        <f>+Saumur!$G105</f>
        <v>1000</v>
      </c>
      <c r="K105" s="113">
        <f>+Chalette!$G105</f>
        <v>1400</v>
      </c>
      <c r="L105" s="160">
        <f>+Orléans!E105+Angers!E105+Thouars!E105+Château!E105+Chartres!E105+Bosc!E105+Cham!E105+Mans!E105+Saumur!E105</f>
        <v>6486.0000000000009</v>
      </c>
      <c r="M105" s="135">
        <f>+Orléans!F105+Angers!F105+Thouars!F105+Château!F105+Chartres!F105+Bosc!F105+Cham!F105+Mans!F105+Saumur!F105+Chalette!F105</f>
        <v>3204</v>
      </c>
      <c r="N105" s="113">
        <f t="shared" ref="N105:N114" si="25">+O105</f>
        <v>10700</v>
      </c>
      <c r="O105" s="161">
        <f t="shared" ref="O105:O114" si="26">SUM(B105:K105)</f>
        <v>10700</v>
      </c>
      <c r="P105" s="149">
        <f>+IF((L105)=0,,(M105-L105)/L105)</f>
        <v>-0.50601295097132293</v>
      </c>
      <c r="Q105" s="271">
        <f>+IF((M105)=0,,(O105-M105)/M105)</f>
        <v>2.3395755305867665</v>
      </c>
      <c r="R105" s="117">
        <f>+Orléans!D105+Angers!D105+Thouars!D105+Château!D105+Chartres!D105+Bosc!D105+Cham!D105+Mans!D105+Saumur!D105+Chalette!D105</f>
        <v>11652.1492</v>
      </c>
      <c r="S105" s="395"/>
    </row>
    <row r="106" spans="1:19" s="2" customFormat="1" ht="11.25">
      <c r="A106" s="5" t="s">
        <v>130</v>
      </c>
      <c r="B106" s="160">
        <f>+Orléans!$G106</f>
        <v>5000</v>
      </c>
      <c r="C106" s="113">
        <f>+Angers!$G106</f>
        <v>8000</v>
      </c>
      <c r="D106" s="113">
        <f>+Thouars!$G106</f>
        <v>4000</v>
      </c>
      <c r="E106" s="113">
        <f>+Château!$G106</f>
        <v>2500</v>
      </c>
      <c r="F106" s="113">
        <f>+Chartres!$G106</f>
        <v>6000</v>
      </c>
      <c r="G106" s="113">
        <f>+Bosc!$G106</f>
        <v>6500</v>
      </c>
      <c r="H106" s="113">
        <f>+Cham!$G106</f>
        <v>4000</v>
      </c>
      <c r="I106" s="113">
        <f>+Mans!$G106</f>
        <v>4000</v>
      </c>
      <c r="J106" s="113">
        <f>+Saumur!$G106</f>
        <v>1500</v>
      </c>
      <c r="K106" s="113">
        <f>+Chalette!$G106</f>
        <v>2000</v>
      </c>
      <c r="L106" s="160">
        <f>+Orléans!E106+Angers!E106+Thouars!E106+Château!E106+Chartres!E106+Bosc!E106+Cham!E106+Mans!E106+Saumur!E106</f>
        <v>53736.249999999993</v>
      </c>
      <c r="M106" s="135">
        <f>+Orléans!F106+Angers!F106+Thouars!F106+Château!F106+Chartres!F106+Bosc!F106+Cham!F106+Mans!F106+Saumur!F106+Chalette!F106</f>
        <v>55907.613333333327</v>
      </c>
      <c r="N106" s="113">
        <f t="shared" si="25"/>
        <v>43500</v>
      </c>
      <c r="O106" s="161">
        <f t="shared" si="26"/>
        <v>43500</v>
      </c>
      <c r="P106" s="149">
        <f t="shared" ref="P106:P114" si="27">+IF((L106)=0,,(M106-L106)/L106)</f>
        <v>4.040779424193789E-2</v>
      </c>
      <c r="Q106" s="271">
        <f t="shared" ref="Q106:Q114" si="28">+IF((M106)=0,,(O106-M106)/M106)</f>
        <v>-0.22193065655220234</v>
      </c>
      <c r="R106" s="117">
        <f>+Orléans!D106+Angers!D106+Thouars!D106+Château!D106+Chartres!D106+Bosc!D106+Cham!D106+Mans!D106+Saumur!D106+Chalette!D106</f>
        <v>29500</v>
      </c>
      <c r="S106" s="395"/>
    </row>
    <row r="107" spans="1:19" s="2" customFormat="1" ht="11.25">
      <c r="A107" s="5" t="s">
        <v>131</v>
      </c>
      <c r="B107" s="160">
        <f>+Orléans!$G107</f>
        <v>0</v>
      </c>
      <c r="C107" s="113">
        <f>+Angers!$G107</f>
        <v>0</v>
      </c>
      <c r="D107" s="113">
        <f>+Thouars!$G107</f>
        <v>0</v>
      </c>
      <c r="E107" s="113">
        <f>+Château!$G107</f>
        <v>0</v>
      </c>
      <c r="F107" s="113">
        <f>+Chartres!$G107</f>
        <v>0</v>
      </c>
      <c r="G107" s="113">
        <f>+Bosc!$G107</f>
        <v>0</v>
      </c>
      <c r="H107" s="113">
        <f>+Cham!$G107</f>
        <v>0</v>
      </c>
      <c r="I107" s="113">
        <f>+Mans!$G107</f>
        <v>0</v>
      </c>
      <c r="J107" s="113">
        <f>+Saumur!$G107</f>
        <v>0</v>
      </c>
      <c r="K107" s="113">
        <f>+Chalette!$G107</f>
        <v>0</v>
      </c>
      <c r="L107" s="160">
        <f>+Orléans!E107+Angers!E107+Thouars!E107+Château!E107+Chartres!E107+Bosc!E107+Cham!E107+Mans!E107+Saumur!E107</f>
        <v>0</v>
      </c>
      <c r="M107" s="135">
        <f>+Orléans!F107+Angers!F107+Thouars!F107+Château!F107+Chartres!F107+Bosc!F107+Cham!F107+Mans!F107+Saumur!F107+Chalette!F107</f>
        <v>0</v>
      </c>
      <c r="N107" s="113">
        <f t="shared" si="25"/>
        <v>0</v>
      </c>
      <c r="O107" s="161">
        <f t="shared" si="26"/>
        <v>0</v>
      </c>
      <c r="P107" s="149">
        <f t="shared" si="27"/>
        <v>0</v>
      </c>
      <c r="Q107" s="271">
        <f t="shared" si="28"/>
        <v>0</v>
      </c>
      <c r="R107" s="117">
        <f>+Orléans!D107+Angers!D107+Thouars!D107+Château!D107+Chartres!D107+Bosc!D107+Cham!D107+Mans!D107+Saumur!D107+Chalette!D107</f>
        <v>0</v>
      </c>
      <c r="S107" s="395"/>
    </row>
    <row r="108" spans="1:19" s="2" customFormat="1" ht="11.25">
      <c r="A108" s="5" t="s">
        <v>132</v>
      </c>
      <c r="B108" s="160">
        <f>+Orléans!$G108</f>
        <v>0</v>
      </c>
      <c r="C108" s="113">
        <f>+Angers!$G108</f>
        <v>500</v>
      </c>
      <c r="D108" s="113">
        <f>+Thouars!$G108</f>
        <v>300</v>
      </c>
      <c r="E108" s="113">
        <f>+Château!$G108</f>
        <v>150</v>
      </c>
      <c r="F108" s="113">
        <f>+Chartres!$G108</f>
        <v>0</v>
      </c>
      <c r="G108" s="113">
        <f>+Bosc!$G108</f>
        <v>200</v>
      </c>
      <c r="H108" s="113">
        <f>+Cham!$G108</f>
        <v>150</v>
      </c>
      <c r="I108" s="113">
        <f>+Mans!$G108</f>
        <v>150</v>
      </c>
      <c r="J108" s="113">
        <f>+Saumur!$G108</f>
        <v>0</v>
      </c>
      <c r="K108" s="113">
        <f>+Chalette!$G108</f>
        <v>0</v>
      </c>
      <c r="L108" s="160">
        <f>+Orléans!E108+Angers!E108+Thouars!E108+Château!E108+Chartres!E108+Bosc!E108+Cham!E108+Mans!E108+Saumur!E108</f>
        <v>2628.2</v>
      </c>
      <c r="M108" s="135">
        <f>+Orléans!F108+Angers!F108+Thouars!F108+Château!F108+Chartres!F108+Bosc!F108+Cham!F108+Mans!F108+Saumur!F108+Chalette!F108</f>
        <v>2131.96</v>
      </c>
      <c r="N108" s="113">
        <f t="shared" si="25"/>
        <v>1450</v>
      </c>
      <c r="O108" s="161">
        <f t="shared" si="26"/>
        <v>1450</v>
      </c>
      <c r="P108" s="149">
        <f t="shared" si="27"/>
        <v>-0.18881363670953497</v>
      </c>
      <c r="Q108" s="271">
        <f t="shared" si="28"/>
        <v>-0.31987466931837372</v>
      </c>
      <c r="R108" s="117">
        <f>+Orléans!D108+Angers!D108+Thouars!D108+Château!D108+Chartres!D108+Bosc!D108+Cham!D108+Mans!D108+Saumur!D108+Chalette!D108</f>
        <v>2300</v>
      </c>
      <c r="S108" s="395"/>
    </row>
    <row r="109" spans="1:19" s="2" customFormat="1" ht="11.25">
      <c r="A109" s="5" t="s">
        <v>133</v>
      </c>
      <c r="B109" s="160">
        <f>+Orléans!$G109</f>
        <v>5500</v>
      </c>
      <c r="C109" s="113">
        <f>+Angers!$G109</f>
        <v>4500</v>
      </c>
      <c r="D109" s="113">
        <f>+Thouars!$G109</f>
        <v>4500</v>
      </c>
      <c r="E109" s="113">
        <f>+Château!$G109</f>
        <v>2500</v>
      </c>
      <c r="F109" s="113">
        <f>+Chartres!$G109</f>
        <v>4500</v>
      </c>
      <c r="G109" s="113">
        <f>+Bosc!$G109</f>
        <v>4500</v>
      </c>
      <c r="H109" s="113">
        <f>+Cham!$G109</f>
        <v>5000</v>
      </c>
      <c r="I109" s="113">
        <f>+Mans!$G109</f>
        <v>2800</v>
      </c>
      <c r="J109" s="113">
        <f>+Saumur!$G109</f>
        <v>2000</v>
      </c>
      <c r="K109" s="113">
        <f>+Chalette!$G109</f>
        <v>1500</v>
      </c>
      <c r="L109" s="160">
        <f>+Orléans!E109+Angers!E109+Thouars!E109+Château!E109+Chartres!E109+Bosc!E109+Cham!E109+Mans!E109+Saumur!E109</f>
        <v>19842.169999999998</v>
      </c>
      <c r="M109" s="135">
        <f>+Orléans!F109+Angers!F109+Thouars!F109+Château!F109+Chartres!F109+Bosc!F109+Cham!F109+Mans!F109+Saumur!F109+Chalette!F109</f>
        <v>29352.466666666664</v>
      </c>
      <c r="N109" s="113">
        <f t="shared" si="25"/>
        <v>37300</v>
      </c>
      <c r="O109" s="161">
        <f t="shared" si="26"/>
        <v>37300</v>
      </c>
      <c r="P109" s="149">
        <f t="shared" si="27"/>
        <v>0.47929720724430169</v>
      </c>
      <c r="Q109" s="271">
        <f t="shared" si="28"/>
        <v>0.27076202567870516</v>
      </c>
      <c r="R109" s="117">
        <f>+Orléans!D109+Angers!D109+Thouars!D109+Château!D109+Chartres!D109+Bosc!D109+Cham!D109+Mans!D109+Saumur!D109+Chalette!D109</f>
        <v>44800</v>
      </c>
      <c r="S109" s="395"/>
    </row>
    <row r="110" spans="1:19" s="2" customFormat="1" ht="11.25">
      <c r="A110" s="5" t="s">
        <v>134</v>
      </c>
      <c r="B110" s="160">
        <f>+Orléans!$G110</f>
        <v>20000</v>
      </c>
      <c r="C110" s="113">
        <f>+Angers!$G110</f>
        <v>7000</v>
      </c>
      <c r="D110" s="113">
        <f>+Thouars!$G110</f>
        <v>8000</v>
      </c>
      <c r="E110" s="113">
        <f>+Château!$G110</f>
        <v>10000</v>
      </c>
      <c r="F110" s="113">
        <f>+Chartres!$G110</f>
        <v>10000</v>
      </c>
      <c r="G110" s="113">
        <f>+Bosc!$G110</f>
        <v>40000</v>
      </c>
      <c r="H110" s="113">
        <f>+Cham!$G110</f>
        <v>12000</v>
      </c>
      <c r="I110" s="113">
        <f>+Mans!$G110</f>
        <v>3000</v>
      </c>
      <c r="J110" s="113">
        <f>+Saumur!$G110</f>
        <v>2000</v>
      </c>
      <c r="K110" s="113">
        <f>+Chalette!$G110</f>
        <v>2000</v>
      </c>
      <c r="L110" s="160">
        <f>+Orléans!E110+Angers!E110+Thouars!E110+Château!E110+Chartres!E110+Bosc!E110+Cham!E110+Mans!E110+Saumur!E110</f>
        <v>108328.06999999999</v>
      </c>
      <c r="M110" s="135">
        <f>+Orléans!F110+Angers!F110+Thouars!F110+Château!F110+Chartres!F110+Bosc!F110+Cham!F110+Mans!F110+Saumur!F110+Chalette!F110</f>
        <v>110018.48000000001</v>
      </c>
      <c r="N110" s="113">
        <f t="shared" si="25"/>
        <v>114000</v>
      </c>
      <c r="O110" s="161">
        <f t="shared" si="26"/>
        <v>114000</v>
      </c>
      <c r="P110" s="149">
        <f t="shared" si="27"/>
        <v>1.560454275609284E-2</v>
      </c>
      <c r="Q110" s="271">
        <f t="shared" si="28"/>
        <v>3.6189556518141215E-2</v>
      </c>
      <c r="R110" s="117">
        <f>+Orléans!D110+Angers!D110+Thouars!D110+Château!D110+Chartres!D110+Bosc!D110+Cham!D110+Mans!D110+Saumur!D110+Chalette!D110</f>
        <v>112369.22410000001</v>
      </c>
      <c r="S110" s="395"/>
    </row>
    <row r="111" spans="1:19" s="2" customFormat="1" ht="11.25">
      <c r="A111" s="5" t="s">
        <v>135</v>
      </c>
      <c r="B111" s="160">
        <f>+Orléans!$G111</f>
        <v>150</v>
      </c>
      <c r="C111" s="113">
        <f>+Angers!$G111</f>
        <v>100</v>
      </c>
      <c r="D111" s="113">
        <f>+Thouars!$G111</f>
        <v>150</v>
      </c>
      <c r="E111" s="113">
        <f>+Château!$G111</f>
        <v>20</v>
      </c>
      <c r="F111" s="113">
        <f>+Chartres!$G111</f>
        <v>100</v>
      </c>
      <c r="G111" s="113">
        <f>+Bosc!$G111</f>
        <v>100</v>
      </c>
      <c r="H111" s="113">
        <f>+Cham!$G111</f>
        <v>50</v>
      </c>
      <c r="I111" s="113">
        <f>+Mans!$G111</f>
        <v>50</v>
      </c>
      <c r="J111" s="113">
        <f>+Saumur!$G111</f>
        <v>50</v>
      </c>
      <c r="K111" s="113">
        <f>+Chalette!$G111</f>
        <v>200</v>
      </c>
      <c r="L111" s="160">
        <f>+Orléans!E111+Angers!E111+Thouars!E111+Château!E111+Chartres!E111+Bosc!E111+Cham!E111+Mans!E111+Saumur!E111</f>
        <v>855</v>
      </c>
      <c r="M111" s="135">
        <f>+Orléans!F111+Angers!F111+Thouars!F111+Château!F111+Chartres!F111+Bosc!F111+Cham!F111+Mans!F111+Saumur!F111+Chalette!F111</f>
        <v>936.4666666666667</v>
      </c>
      <c r="N111" s="113">
        <f t="shared" si="25"/>
        <v>970</v>
      </c>
      <c r="O111" s="161">
        <f t="shared" si="26"/>
        <v>970</v>
      </c>
      <c r="P111" s="149">
        <f t="shared" si="27"/>
        <v>9.5282651072124788E-2</v>
      </c>
      <c r="Q111" s="271">
        <f t="shared" si="28"/>
        <v>3.5808357656439062E-2</v>
      </c>
      <c r="R111" s="117">
        <f>+Orléans!D111+Angers!D111+Thouars!D111+Château!D111+Chartres!D111+Bosc!D111+Cham!D111+Mans!D111+Saumur!D111+Chalette!D111</f>
        <v>863.6</v>
      </c>
      <c r="S111" s="395"/>
    </row>
    <row r="112" spans="1:19" s="2" customFormat="1" ht="11.25">
      <c r="A112" s="5" t="s">
        <v>136</v>
      </c>
      <c r="B112" s="160">
        <f>+Orléans!$G112</f>
        <v>1000</v>
      </c>
      <c r="C112" s="113">
        <f>+Angers!$G112</f>
        <v>1000</v>
      </c>
      <c r="D112" s="113">
        <f>+Thouars!$G112</f>
        <v>0</v>
      </c>
      <c r="E112" s="113">
        <f>+Château!$G112</f>
        <v>500</v>
      </c>
      <c r="F112" s="113">
        <f>+Chartres!$G112</f>
        <v>0</v>
      </c>
      <c r="G112" s="113">
        <f>+Bosc!$G112</f>
        <v>500</v>
      </c>
      <c r="H112" s="113">
        <f>+Cham!$G112</f>
        <v>150</v>
      </c>
      <c r="I112" s="113">
        <f>+Mans!$G112</f>
        <v>1000</v>
      </c>
      <c r="J112" s="113">
        <f>+Saumur!$G112</f>
        <v>0</v>
      </c>
      <c r="K112" s="113">
        <f>+Chalette!$G112</f>
        <v>0</v>
      </c>
      <c r="L112" s="160">
        <f>+Orléans!E112+Angers!E112+Thouars!E112+Château!E112+Chartres!E112+Bosc!E112+Cham!E112+Mans!E112+Saumur!E112</f>
        <v>977.08000000000015</v>
      </c>
      <c r="M112" s="135">
        <f>+Orléans!F112+Angers!F112+Thouars!F112+Château!F112+Chartres!F112+Bosc!F112+Cham!F112+Mans!F112+Saumur!F112+Chalette!F112</f>
        <v>27623.056666666664</v>
      </c>
      <c r="N112" s="113">
        <f t="shared" si="25"/>
        <v>4150</v>
      </c>
      <c r="O112" s="161">
        <f t="shared" si="26"/>
        <v>4150</v>
      </c>
      <c r="P112" s="149">
        <f t="shared" si="27"/>
        <v>27.271028643168069</v>
      </c>
      <c r="Q112" s="271">
        <f t="shared" si="28"/>
        <v>-0.84976318696084441</v>
      </c>
      <c r="R112" s="117">
        <f>+Orléans!D112+Angers!D112+Thouars!D112+Château!D112+Chartres!D112+Bosc!D112+Cham!D112+Mans!D112+Saumur!D112+Chalette!D112</f>
        <v>8500</v>
      </c>
      <c r="S112" s="395"/>
    </row>
    <row r="113" spans="1:19" s="2" customFormat="1" ht="11.25">
      <c r="A113" s="5" t="s">
        <v>137</v>
      </c>
      <c r="B113" s="160">
        <f>+Orléans!$G113</f>
        <v>7200</v>
      </c>
      <c r="C113" s="113">
        <f>+Angers!$G113</f>
        <v>5000</v>
      </c>
      <c r="D113" s="113">
        <f>+Thouars!$G113</f>
        <v>4169.9755999999998</v>
      </c>
      <c r="E113" s="113">
        <f>+Château!$G113</f>
        <v>4500</v>
      </c>
      <c r="F113" s="113">
        <f>+Chartres!$G113</f>
        <v>7500</v>
      </c>
      <c r="G113" s="113">
        <f>+Bosc!$G113</f>
        <v>18000</v>
      </c>
      <c r="H113" s="113">
        <f>+Cham!$G113</f>
        <v>5500</v>
      </c>
      <c r="I113" s="113">
        <f>+Mans!$G113</f>
        <v>4600</v>
      </c>
      <c r="J113" s="113">
        <f>+Saumur!$G113</f>
        <v>2400</v>
      </c>
      <c r="K113" s="113">
        <f>+Chalette!$G113</f>
        <v>2000</v>
      </c>
      <c r="L113" s="160">
        <f>+Orléans!E113+Angers!E113+Thouars!E113+Château!E113+Chartres!E113+Bosc!E113+Cham!E113+Mans!E113+Saumur!E113</f>
        <v>70987.350000000006</v>
      </c>
      <c r="M113" s="135">
        <f>+Orléans!F113+Angers!F113+Thouars!F113+Château!F113+Chartres!F113+Bosc!F113+Cham!F113+Mans!F113+Saumur!F113+Chalette!F113</f>
        <v>55709.98</v>
      </c>
      <c r="N113" s="113">
        <f t="shared" si="25"/>
        <v>60869.975599999998</v>
      </c>
      <c r="O113" s="161">
        <f t="shared" si="26"/>
        <v>60869.975599999998</v>
      </c>
      <c r="P113" s="149">
        <f t="shared" si="27"/>
        <v>-0.21521256956345042</v>
      </c>
      <c r="Q113" s="271">
        <f t="shared" si="28"/>
        <v>9.2622463695014687E-2</v>
      </c>
      <c r="R113" s="117">
        <f>+Orléans!D113+Angers!D113+Thouars!D113+Château!D113+Chartres!D113+Bosc!D113+Cham!D113+Mans!D113+Saumur!D113+Chalette!D113</f>
        <v>58500</v>
      </c>
      <c r="S113" s="395"/>
    </row>
    <row r="114" spans="1:19" s="2" customFormat="1" ht="11.25">
      <c r="A114" s="5" t="s">
        <v>138</v>
      </c>
      <c r="B114" s="160">
        <f>+Orléans!$G114</f>
        <v>0</v>
      </c>
      <c r="C114" s="113">
        <f>+Angers!$G114</f>
        <v>0</v>
      </c>
      <c r="D114" s="113">
        <f>+Thouars!$G114</f>
        <v>0</v>
      </c>
      <c r="E114" s="113">
        <f>+Château!$G114</f>
        <v>0</v>
      </c>
      <c r="F114" s="113">
        <f>+Chartres!$G114</f>
        <v>0</v>
      </c>
      <c r="G114" s="113">
        <f>+Bosc!$G114</f>
        <v>0</v>
      </c>
      <c r="H114" s="113">
        <f>+Cham!$G114</f>
        <v>0</v>
      </c>
      <c r="I114" s="113">
        <f>+Mans!$G114</f>
        <v>0</v>
      </c>
      <c r="J114" s="113">
        <f>+Saumur!$G114</f>
        <v>0</v>
      </c>
      <c r="K114" s="113">
        <f>+Chalette!$G114</f>
        <v>0</v>
      </c>
      <c r="L114" s="160">
        <f>+Orléans!E114+Angers!E114+Thouars!E114+Château!E114+Chartres!E114+Bosc!E114+Cham!E114+Mans!E114+Saumur!E114</f>
        <v>0</v>
      </c>
      <c r="M114" s="135">
        <f>+Orléans!F114+Angers!F114+Thouars!F114+Château!F114+Chartres!F114+Bosc!F114+Cham!F114+Mans!F114+Saumur!F114+Chalette!F114</f>
        <v>0</v>
      </c>
      <c r="N114" s="113">
        <f t="shared" si="25"/>
        <v>0</v>
      </c>
      <c r="O114" s="161">
        <f t="shared" si="26"/>
        <v>0</v>
      </c>
      <c r="P114" s="149">
        <f t="shared" si="27"/>
        <v>0</v>
      </c>
      <c r="Q114" s="271">
        <f t="shared" si="28"/>
        <v>0</v>
      </c>
      <c r="R114" s="117">
        <f>+Orléans!D114+Angers!D114+Thouars!D114+Château!D114+Chartres!D114+Bosc!D114+Cham!D114+Mans!D114+Saumur!D114+Chalette!D114</f>
        <v>0</v>
      </c>
      <c r="S114" s="395"/>
    </row>
    <row r="115" spans="1:19" s="2" customFormat="1" ht="11.25">
      <c r="A115" s="5"/>
      <c r="B115" s="160"/>
      <c r="C115" s="113"/>
      <c r="D115" s="113"/>
      <c r="E115" s="113"/>
      <c r="F115" s="113"/>
      <c r="G115" s="113"/>
      <c r="H115" s="113"/>
      <c r="I115" s="113"/>
      <c r="J115" s="113"/>
      <c r="K115" s="113"/>
      <c r="L115" s="160"/>
      <c r="M115" s="143"/>
      <c r="N115" s="149"/>
      <c r="O115" s="186"/>
      <c r="P115" s="149"/>
      <c r="Q115" s="254"/>
      <c r="R115" s="254"/>
      <c r="S115" s="143"/>
    </row>
    <row r="116" spans="1:19" s="2" customFormat="1" ht="11.25">
      <c r="A116" s="13" t="s">
        <v>133</v>
      </c>
      <c r="B116" s="163">
        <f t="shared" ref="B116:N116" si="29">SUM(B104:B115)</f>
        <v>39850</v>
      </c>
      <c r="C116" s="204">
        <f t="shared" si="29"/>
        <v>27100</v>
      </c>
      <c r="D116" s="204">
        <f t="shared" si="29"/>
        <v>22119.975599999998</v>
      </c>
      <c r="E116" s="204">
        <f t="shared" si="29"/>
        <v>21170</v>
      </c>
      <c r="F116" s="204">
        <f t="shared" si="29"/>
        <v>29100</v>
      </c>
      <c r="G116" s="204">
        <f t="shared" si="29"/>
        <v>71100</v>
      </c>
      <c r="H116" s="204">
        <f t="shared" si="29"/>
        <v>27850</v>
      </c>
      <c r="I116" s="204">
        <f t="shared" si="29"/>
        <v>16600</v>
      </c>
      <c r="J116" s="204">
        <f t="shared" si="29"/>
        <v>8950</v>
      </c>
      <c r="K116" s="204">
        <f>SUM(K104:K115)</f>
        <v>9100</v>
      </c>
      <c r="L116" s="163">
        <f t="shared" si="29"/>
        <v>263840.12</v>
      </c>
      <c r="M116" s="204">
        <f t="shared" si="29"/>
        <v>284884.02333333337</v>
      </c>
      <c r="N116" s="204">
        <f t="shared" si="29"/>
        <v>272939.97560000001</v>
      </c>
      <c r="O116" s="168">
        <f>SUM(O104:O115)</f>
        <v>272939.97560000001</v>
      </c>
      <c r="P116" s="272">
        <f>+IF((L116)=0,,(M116-L116)/L116)</f>
        <v>7.9760058225160677E-2</v>
      </c>
      <c r="Q116" s="188">
        <f>+IF((M116)=0,,(O116-M116)/M116)</f>
        <v>-4.1926000600454996E-2</v>
      </c>
      <c r="R116" s="168">
        <f>SUM(R104:R115)</f>
        <v>268484.97330000001</v>
      </c>
      <c r="S116" s="136"/>
    </row>
    <row r="117" spans="1:19" s="2" customFormat="1" ht="11.25">
      <c r="A117" s="5"/>
      <c r="B117" s="160"/>
      <c r="C117" s="113"/>
      <c r="D117" s="113"/>
      <c r="E117" s="113"/>
      <c r="F117" s="113"/>
      <c r="G117" s="113"/>
      <c r="H117" s="113"/>
      <c r="I117" s="113"/>
      <c r="J117" s="113"/>
      <c r="K117" s="113"/>
      <c r="L117" s="160"/>
      <c r="M117" s="143"/>
      <c r="N117" s="149"/>
      <c r="O117" s="186"/>
      <c r="P117" s="149"/>
      <c r="Q117" s="254"/>
      <c r="R117" s="254"/>
      <c r="S117" s="143"/>
    </row>
    <row r="118" spans="1:19" s="2" customFormat="1" ht="11.25">
      <c r="A118" s="5" t="s">
        <v>139</v>
      </c>
      <c r="B118" s="160">
        <f>+Orléans!$G118</f>
        <v>734.99999999999989</v>
      </c>
      <c r="C118" s="113">
        <f>+Angers!$G118</f>
        <v>944.99999999999989</v>
      </c>
      <c r="D118" s="113">
        <f>+Thouars!$G118</f>
        <v>664.99999999999989</v>
      </c>
      <c r="E118" s="113">
        <f>+Château!$G118</f>
        <v>377.99999999999994</v>
      </c>
      <c r="F118" s="113">
        <f>+Chartres!$G118</f>
        <v>909.99999999999989</v>
      </c>
      <c r="G118" s="113">
        <f>+Bosc!$G118</f>
        <v>944.99999999999989</v>
      </c>
      <c r="H118" s="113">
        <f>+Cham!$G118</f>
        <v>594.99999999999989</v>
      </c>
      <c r="I118" s="113">
        <f>+Mans!$G118</f>
        <v>797.99999999999989</v>
      </c>
      <c r="J118" s="113">
        <f>+Saumur!$G118</f>
        <v>293.99999999999994</v>
      </c>
      <c r="K118" s="113">
        <f>+Chalette!$G118</f>
        <v>407.4</v>
      </c>
      <c r="L118" s="160">
        <f>+Orléans!E118+Angers!E118+Thouars!E118+Château!E118+Chartres!E118+Bosc!E118+Cham!E118+Mans!E118+Saumur!E118</f>
        <v>6628.87</v>
      </c>
      <c r="M118" s="135">
        <f>+Orléans!F118+Angers!F118+Thouars!F118+Château!F118+Chartres!F118+Bosc!F118+Cham!F118+Mans!F118+Saumur!F118+Chalette!F118</f>
        <v>16625.89333333333</v>
      </c>
      <c r="N118" s="113">
        <f t="shared" ref="N118:N127" si="30">+O118</f>
        <v>6672.3999999999987</v>
      </c>
      <c r="O118" s="161">
        <f t="shared" ref="O118:O127" si="31">SUM(B118:K118)</f>
        <v>6672.3999999999987</v>
      </c>
      <c r="P118" s="149">
        <f>+IF((L118)=0,,(M118-L118)/L118)</f>
        <v>1.5081036938925234</v>
      </c>
      <c r="Q118" s="271">
        <f>+IF((M118)=0,,(O118-M118)/M118)</f>
        <v>-0.59867419655445087</v>
      </c>
      <c r="R118" s="117">
        <f>+Orléans!D118+Angers!D118+Thouars!D118+Château!D118+Chartres!D118+Bosc!D118+Cham!D118+Mans!D118+Saumur!D118+Chalette!D118</f>
        <v>6052.6515999999992</v>
      </c>
      <c r="S118" s="395"/>
    </row>
    <row r="119" spans="1:19" s="2" customFormat="1" ht="11.25">
      <c r="A119" s="5" t="s">
        <v>140</v>
      </c>
      <c r="B119" s="160">
        <f>+Orléans!$G119</f>
        <v>472.50000000000006</v>
      </c>
      <c r="C119" s="113">
        <f>+Angers!$G119</f>
        <v>607.50000000000011</v>
      </c>
      <c r="D119" s="113">
        <f>+Thouars!$G119</f>
        <v>427.50000000000006</v>
      </c>
      <c r="E119" s="113">
        <f>+Château!$G119</f>
        <v>243.00000000000003</v>
      </c>
      <c r="F119" s="113">
        <f>+Chartres!$G119</f>
        <v>585.00000000000011</v>
      </c>
      <c r="G119" s="113">
        <f>+Bosc!$G119</f>
        <v>607.50000000000011</v>
      </c>
      <c r="H119" s="113">
        <f>+Cham!$G119</f>
        <v>382.50000000000006</v>
      </c>
      <c r="I119" s="113">
        <f>+Mans!$G119</f>
        <v>513.00000000000011</v>
      </c>
      <c r="J119" s="113">
        <f>+Saumur!$G119</f>
        <v>189.00000000000003</v>
      </c>
      <c r="K119" s="113">
        <f>+Chalette!$G119</f>
        <v>261.90000000000003</v>
      </c>
      <c r="L119" s="160">
        <f>+Orléans!E119+Angers!E119+Thouars!E119+Château!E119+Chartres!E119+Bosc!E119+Cham!E119+Mans!E119+Saumur!E119</f>
        <v>3631</v>
      </c>
      <c r="M119" s="135">
        <f>+Orléans!F119+Angers!F119+Thouars!F119+Château!F119+Chartres!F119+Bosc!F119+Cham!F119+Mans!F119+Saumur!F119+Chalette!F119</f>
        <v>211.50000000000003</v>
      </c>
      <c r="N119" s="113">
        <f t="shared" si="30"/>
        <v>4289.4000000000005</v>
      </c>
      <c r="O119" s="161">
        <f t="shared" si="31"/>
        <v>4289.4000000000005</v>
      </c>
      <c r="P119" s="149">
        <f t="shared" ref="P119:P127" si="32">+IF((L119)=0,,(M119-L119)/L119)</f>
        <v>-0.94175158358578903</v>
      </c>
      <c r="Q119" s="271">
        <f t="shared" ref="Q119:Q127" si="33">+IF((M119)=0,,(O119-M119)/M119)</f>
        <v>19.280851063829786</v>
      </c>
      <c r="R119" s="117">
        <f>+Orléans!D119+Angers!D119+Thouars!D119+Château!D119+Chartres!D119+Bosc!D119+Cham!D119+Mans!D119+Saumur!D119+Chalette!D119</f>
        <v>3642.7500000000005</v>
      </c>
      <c r="S119" s="395"/>
    </row>
    <row r="120" spans="1:19" s="2" customFormat="1" ht="11.25">
      <c r="A120" s="5" t="s">
        <v>141</v>
      </c>
      <c r="B120" s="160">
        <f>+Orléans!$G120</f>
        <v>819</v>
      </c>
      <c r="C120" s="113">
        <f>+Angers!$G120</f>
        <v>1053</v>
      </c>
      <c r="D120" s="113">
        <f>+Thouars!$G120</f>
        <v>741</v>
      </c>
      <c r="E120" s="113">
        <f>+Château!$G120</f>
        <v>421.20000000000005</v>
      </c>
      <c r="F120" s="113">
        <f>+Chartres!$G120</f>
        <v>1014.0000000000001</v>
      </c>
      <c r="G120" s="113">
        <f>+Bosc!$G120</f>
        <v>1053</v>
      </c>
      <c r="H120" s="113">
        <f>+Cham!$G120</f>
        <v>663</v>
      </c>
      <c r="I120" s="113">
        <f>+Mans!$G120</f>
        <v>889.2</v>
      </c>
      <c r="J120" s="113">
        <f>+Saumur!$G120</f>
        <v>327.60000000000002</v>
      </c>
      <c r="K120" s="113">
        <f>+Chalette!$G120</f>
        <v>453.96000000000004</v>
      </c>
      <c r="L120" s="160">
        <f>+Orléans!E120+Angers!E120+Thouars!E120+Château!E120+Chartres!E120+Bosc!E120+Cham!E120+Mans!E120+Saumur!E120</f>
        <v>5489</v>
      </c>
      <c r="M120" s="135">
        <f>+Orléans!F120+Angers!F120+Thouars!F120+Château!F120+Chartres!F120+Bosc!F120+Cham!F120+Mans!F120+Saumur!F120+Chalette!F120</f>
        <v>366.6</v>
      </c>
      <c r="N120" s="113">
        <f t="shared" si="30"/>
        <v>7434.96</v>
      </c>
      <c r="O120" s="161">
        <f t="shared" si="31"/>
        <v>7434.96</v>
      </c>
      <c r="P120" s="149">
        <f t="shared" si="32"/>
        <v>-0.93321187830205865</v>
      </c>
      <c r="Q120" s="271">
        <f t="shared" si="33"/>
        <v>19.280851063829786</v>
      </c>
      <c r="R120" s="117">
        <f>+Orléans!D120+Angers!D120+Thouars!D120+Château!D120+Chartres!D120+Bosc!D120+Cham!D120+Mans!D120+Saumur!D120+Chalette!D120</f>
        <v>6792.4800000000014</v>
      </c>
      <c r="S120" s="395"/>
    </row>
    <row r="121" spans="1:19" s="2" customFormat="1" ht="11.25">
      <c r="A121" s="5" t="s">
        <v>142</v>
      </c>
      <c r="B121" s="160">
        <f>+Orléans!$G121</f>
        <v>1376.55</v>
      </c>
      <c r="C121" s="113">
        <f>+Angers!$G121</f>
        <v>1257.9000000000001</v>
      </c>
      <c r="D121" s="113">
        <f>+Thouars!$G121</f>
        <v>479.85</v>
      </c>
      <c r="E121" s="113">
        <f>+Château!$G121</f>
        <v>691.95</v>
      </c>
      <c r="F121" s="113">
        <f>+Chartres!$G121</f>
        <v>609</v>
      </c>
      <c r="G121" s="113">
        <f>+Bosc!$G121</f>
        <v>1184.4000000000001</v>
      </c>
      <c r="H121" s="113">
        <f>+Cham!$G121</f>
        <v>1474.2</v>
      </c>
      <c r="I121" s="113">
        <f>+Mans!$G121</f>
        <v>1021.6500000000001</v>
      </c>
      <c r="J121" s="113">
        <f>+Saumur!$G121</f>
        <v>2998.8</v>
      </c>
      <c r="K121" s="113">
        <f>+Chalette!$G121</f>
        <v>1387.0666666666668</v>
      </c>
      <c r="L121" s="160">
        <f>+Orléans!E121+Angers!E121+Thouars!E121+Château!E121+Chartres!E121+Bosc!E121+Cham!E121+Mans!E121+Saumur!E121</f>
        <v>28736</v>
      </c>
      <c r="M121" s="135">
        <f>+Orléans!F121+Angers!F121+Thouars!F121+Château!F121+Chartres!F121+Bosc!F121+Cham!F121+Mans!F121+Saumur!F121+Chalette!F121</f>
        <v>10148</v>
      </c>
      <c r="N121" s="113">
        <f t="shared" si="30"/>
        <v>12481.366666666667</v>
      </c>
      <c r="O121" s="161">
        <f t="shared" si="31"/>
        <v>12481.366666666667</v>
      </c>
      <c r="P121" s="149">
        <f t="shared" si="32"/>
        <v>-0.64685412026726052</v>
      </c>
      <c r="Q121" s="271">
        <f t="shared" si="33"/>
        <v>0.22993364866640389</v>
      </c>
      <c r="R121" s="117">
        <f>+Orléans!D121+Angers!D121+Thouars!D121+Château!D121+Chartres!D121+Bosc!D121+Cham!D121+Mans!D121+Saumur!D121+Chalette!D121</f>
        <v>39235.087500000001</v>
      </c>
      <c r="S121" s="395"/>
    </row>
    <row r="122" spans="1:19" s="2" customFormat="1" ht="11.25">
      <c r="A122" s="5" t="s">
        <v>143</v>
      </c>
      <c r="B122" s="160">
        <f>+Orléans!$G122</f>
        <v>6262.2</v>
      </c>
      <c r="C122" s="113">
        <f>+Angers!$G122</f>
        <v>2670.15</v>
      </c>
      <c r="D122" s="113">
        <f>+Thouars!$G122</f>
        <v>730.24350000000004</v>
      </c>
      <c r="E122" s="113">
        <f>+Château!$G122</f>
        <v>1880.5500000000002</v>
      </c>
      <c r="F122" s="113">
        <f>+Chartres!$G122</f>
        <v>1797.0120000000002</v>
      </c>
      <c r="G122" s="113">
        <f>+Bosc!$G122</f>
        <v>2938.9500000000003</v>
      </c>
      <c r="H122" s="113">
        <f>+Cham!$G122</f>
        <v>2275.5600000000004</v>
      </c>
      <c r="I122" s="113">
        <f>+Mans!$G122</f>
        <v>1713.9990000000003</v>
      </c>
      <c r="J122" s="113">
        <f>+Saumur!$G122</f>
        <v>2508.1035000000002</v>
      </c>
      <c r="K122" s="113">
        <f>+Chalette!$G122</f>
        <v>2474.666666666667</v>
      </c>
      <c r="L122" s="160">
        <f>+Orléans!E122+Angers!E122+Thouars!E122+Château!E122+Chartres!E122+Bosc!E122+Cham!E122+Mans!E122+Saumur!E122</f>
        <v>20886.46</v>
      </c>
      <c r="M122" s="135">
        <f>+Orléans!F122+Angers!F122+Thouars!F122+Château!F122+Chartres!F122+Bosc!F122+Cham!F122+Mans!F122+Saumur!F122+Chalette!F122</f>
        <v>23841.230000000003</v>
      </c>
      <c r="N122" s="113">
        <f t="shared" si="30"/>
        <v>25251.434666666672</v>
      </c>
      <c r="O122" s="161">
        <f t="shared" si="31"/>
        <v>25251.434666666672</v>
      </c>
      <c r="P122" s="149">
        <f t="shared" si="32"/>
        <v>0.14146820476040478</v>
      </c>
      <c r="Q122" s="271">
        <f t="shared" si="33"/>
        <v>5.9149828539327383E-2</v>
      </c>
      <c r="R122" s="117">
        <f>+Orléans!D122+Angers!D122+Thouars!D122+Château!D122+Chartres!D122+Bosc!D122+Cham!D122+Mans!D122+Saumur!D122+Chalette!D122</f>
        <v>24225.840686250001</v>
      </c>
      <c r="S122" s="395"/>
    </row>
    <row r="123" spans="1:19" s="2" customFormat="1" ht="11.25">
      <c r="A123" s="5" t="s">
        <v>144</v>
      </c>
      <c r="B123" s="160">
        <f>+Orléans!$G123</f>
        <v>200</v>
      </c>
      <c r="C123" s="113">
        <f>+Angers!$G123</f>
        <v>21.218000000000004</v>
      </c>
      <c r="D123" s="113">
        <f>+Thouars!$G123</f>
        <v>50</v>
      </c>
      <c r="E123" s="113">
        <f>+Château!$G123</f>
        <v>50</v>
      </c>
      <c r="F123" s="113">
        <f>+Chartres!$G123</f>
        <v>200</v>
      </c>
      <c r="G123" s="113">
        <f>+Bosc!$G123</f>
        <v>200</v>
      </c>
      <c r="H123" s="113">
        <f>+Cham!$G123</f>
        <v>748.43999999999994</v>
      </c>
      <c r="I123" s="113">
        <f>+Mans!$G123</f>
        <v>2512.125</v>
      </c>
      <c r="J123" s="113">
        <f>+Saumur!$G123</f>
        <v>50</v>
      </c>
      <c r="K123" s="113">
        <f>+Chalette!$G123</f>
        <v>200</v>
      </c>
      <c r="L123" s="160">
        <f>+Orléans!E123+Angers!E123+Thouars!E123+Château!E123+Chartres!E123+Bosc!E123+Cham!E123+Mans!E123+Saumur!E123</f>
        <v>0</v>
      </c>
      <c r="M123" s="135">
        <f>+Orléans!F123+Angers!F123+Thouars!F123+Château!F123+Chartres!F123+Bosc!F123+Cham!F123+Mans!F123+Saumur!F123+Chalette!F123</f>
        <v>3125.9</v>
      </c>
      <c r="N123" s="113">
        <f t="shared" si="30"/>
        <v>4231.7829999999994</v>
      </c>
      <c r="O123" s="161">
        <f t="shared" si="31"/>
        <v>4231.7829999999994</v>
      </c>
      <c r="P123" s="149">
        <f t="shared" si="32"/>
        <v>0</v>
      </c>
      <c r="Q123" s="271">
        <f t="shared" si="33"/>
        <v>0.35378067116670375</v>
      </c>
      <c r="R123" s="117">
        <f>+Orléans!D123+Angers!D123+Thouars!D123+Château!D123+Chartres!D123+Bosc!D123+Cham!D123+Mans!D123+Saumur!D123+Chalette!D123</f>
        <v>621.21800000000007</v>
      </c>
      <c r="S123" s="395"/>
    </row>
    <row r="124" spans="1:19" s="2" customFormat="1" ht="11.25">
      <c r="A124" s="5" t="s">
        <v>145</v>
      </c>
      <c r="B124" s="160">
        <f>+Orléans!$G124</f>
        <v>0</v>
      </c>
      <c r="C124" s="113">
        <f>+Angers!$G124</f>
        <v>0</v>
      </c>
      <c r="D124" s="113">
        <f>+Thouars!$G124</f>
        <v>0</v>
      </c>
      <c r="E124" s="113">
        <f>+Château!$G124</f>
        <v>0</v>
      </c>
      <c r="F124" s="113">
        <f>+Chartres!$G124</f>
        <v>0</v>
      </c>
      <c r="G124" s="113">
        <f>+Bosc!$G124</f>
        <v>0</v>
      </c>
      <c r="H124" s="113">
        <f>+Cham!$G124</f>
        <v>0</v>
      </c>
      <c r="I124" s="113">
        <f>+Mans!$G124</f>
        <v>0</v>
      </c>
      <c r="J124" s="113">
        <f>+Saumur!$G124</f>
        <v>0</v>
      </c>
      <c r="K124" s="113">
        <f>+Chalette!$G124</f>
        <v>0</v>
      </c>
      <c r="L124" s="160">
        <f>+Orléans!E124+Angers!E124+Thouars!E124+Château!E124+Chartres!E124+Bosc!E124+Cham!E124+Mans!E124+Saumur!E124</f>
        <v>105</v>
      </c>
      <c r="M124" s="135">
        <f>+Orléans!F124+Angers!F124+Thouars!F124+Château!F124+Chartres!F124+Bosc!F124+Cham!F124+Mans!F124+Saumur!F124+Chalette!F124</f>
        <v>352.66666666666669</v>
      </c>
      <c r="N124" s="113">
        <f t="shared" si="30"/>
        <v>0</v>
      </c>
      <c r="O124" s="161">
        <f t="shared" si="31"/>
        <v>0</v>
      </c>
      <c r="P124" s="149">
        <f t="shared" si="32"/>
        <v>2.3587301587301588</v>
      </c>
      <c r="Q124" s="271">
        <f t="shared" si="33"/>
        <v>-1</v>
      </c>
      <c r="R124" s="117">
        <f>+Orléans!D124+Angers!D124+Thouars!D124+Château!D124+Chartres!D124+Bosc!D124+Cham!D124+Mans!D124+Saumur!D124+Chalette!D124</f>
        <v>0</v>
      </c>
      <c r="S124" s="395"/>
    </row>
    <row r="125" spans="1:19" s="2" customFormat="1" ht="11.25">
      <c r="A125" s="5" t="s">
        <v>286</v>
      </c>
      <c r="B125" s="160">
        <f>+Orléans!$G125</f>
        <v>0</v>
      </c>
      <c r="C125" s="113">
        <f>+Angers!$G125</f>
        <v>0</v>
      </c>
      <c r="D125" s="113">
        <f>+Thouars!$G125</f>
        <v>0</v>
      </c>
      <c r="E125" s="113">
        <f>+Château!$G125</f>
        <v>0</v>
      </c>
      <c r="F125" s="113">
        <f>+Chartres!$G125</f>
        <v>0</v>
      </c>
      <c r="G125" s="113">
        <f>+Bosc!$G125</f>
        <v>0</v>
      </c>
      <c r="H125" s="113">
        <f>+Cham!$G125</f>
        <v>0</v>
      </c>
      <c r="I125" s="113">
        <f>+Mans!$G125</f>
        <v>0</v>
      </c>
      <c r="J125" s="113">
        <f>+Saumur!$G125</f>
        <v>0</v>
      </c>
      <c r="K125" s="113">
        <f>+Chalette!$G125</f>
        <v>0</v>
      </c>
      <c r="L125" s="160">
        <f>+Orléans!E125+Angers!E125+Thouars!E125+Château!E125+Chartres!E125+Bosc!E125+Cham!E125+Mans!E125+Saumur!E125</f>
        <v>20.6</v>
      </c>
      <c r="M125" s="135">
        <f>+Orléans!F125+Angers!F125+Thouars!F125+Château!F125+Chartres!F125+Bosc!F125+Cham!F125+Mans!F125+Saumur!F125+Chalette!F125</f>
        <v>0</v>
      </c>
      <c r="N125" s="113">
        <f t="shared" si="30"/>
        <v>0</v>
      </c>
      <c r="O125" s="161">
        <f t="shared" si="31"/>
        <v>0</v>
      </c>
      <c r="P125" s="149">
        <f t="shared" si="32"/>
        <v>-1</v>
      </c>
      <c r="Q125" s="271">
        <f t="shared" si="33"/>
        <v>0</v>
      </c>
      <c r="R125" s="117">
        <f>+Orléans!D125+Angers!D125+Thouars!D125+Château!D125+Chartres!D125+Bosc!D125+Cham!D125+Mans!D125+Saumur!D125+Chalette!D125</f>
        <v>0</v>
      </c>
      <c r="S125" s="395"/>
    </row>
    <row r="126" spans="1:19" s="2" customFormat="1" ht="11.25">
      <c r="A126" s="5" t="s">
        <v>361</v>
      </c>
      <c r="B126" s="160">
        <f>+Orléans!$G126</f>
        <v>0</v>
      </c>
      <c r="C126" s="113">
        <f>+Angers!$G126</f>
        <v>0</v>
      </c>
      <c r="D126" s="113">
        <f>+Thouars!$G126</f>
        <v>0</v>
      </c>
      <c r="E126" s="113">
        <f>+Château!$G126</f>
        <v>0</v>
      </c>
      <c r="F126" s="113">
        <f>+Chartres!$G126</f>
        <v>0</v>
      </c>
      <c r="G126" s="113">
        <f>+Bosc!$G126</f>
        <v>0</v>
      </c>
      <c r="H126" s="113">
        <f>+Cham!$G126</f>
        <v>0</v>
      </c>
      <c r="I126" s="113">
        <f>+Mans!$G126</f>
        <v>0</v>
      </c>
      <c r="J126" s="113">
        <f>+Saumur!$G126</f>
        <v>0</v>
      </c>
      <c r="K126" s="113">
        <f>+Chalette!$G126</f>
        <v>0</v>
      </c>
      <c r="L126" s="160">
        <f>+Orléans!E126+Angers!E126+Thouars!E126+Château!E126+Chartres!E126+Bosc!E126+Cham!E126+Mans!E126+Saumur!E126</f>
        <v>0</v>
      </c>
      <c r="M126" s="135">
        <f>+Orléans!F126+Angers!F126+Thouars!F126+Château!F126+Chartres!F126+Bosc!F126+Cham!F126+Mans!F126+Saumur!F126+Chalette!F126</f>
        <v>578</v>
      </c>
      <c r="N126" s="113">
        <f t="shared" si="30"/>
        <v>0</v>
      </c>
      <c r="O126" s="161">
        <f t="shared" si="31"/>
        <v>0</v>
      </c>
      <c r="P126" s="149">
        <f t="shared" si="32"/>
        <v>0</v>
      </c>
      <c r="Q126" s="271">
        <f t="shared" si="33"/>
        <v>-1</v>
      </c>
      <c r="R126" s="117">
        <f>+Orléans!D126+Angers!D126+Thouars!D126+Château!D126+Chartres!D126+Bosc!D126+Cham!D126+Mans!D126+Saumur!D126+Chalette!D126</f>
        <v>0</v>
      </c>
      <c r="S126" s="395"/>
    </row>
    <row r="127" spans="1:19" s="2" customFormat="1" ht="11.25">
      <c r="A127" s="5" t="s">
        <v>146</v>
      </c>
      <c r="B127" s="160">
        <f>+Orléans!$G127</f>
        <v>1736.0800000000002</v>
      </c>
      <c r="C127" s="113">
        <f>+Angers!$G127</f>
        <v>2012.576</v>
      </c>
      <c r="D127" s="113">
        <f>+Thouars!$G127</f>
        <v>1410.24</v>
      </c>
      <c r="E127" s="113">
        <f>+Château!$G127</f>
        <v>773.6</v>
      </c>
      <c r="F127" s="113">
        <f>+Chartres!$G127</f>
        <v>1856.88</v>
      </c>
      <c r="G127" s="113">
        <f>+Bosc!$G127</f>
        <v>2359.36</v>
      </c>
      <c r="H127" s="113">
        <f>+Cham!$G127</f>
        <v>1286.432</v>
      </c>
      <c r="I127" s="113">
        <f>+Mans!$G127</f>
        <v>1442.0800000000002</v>
      </c>
      <c r="J127" s="113">
        <f>+Saumur!$G127</f>
        <v>450.23360000000002</v>
      </c>
      <c r="K127" s="113">
        <f>+Chalette!$G127</f>
        <v>783.52</v>
      </c>
      <c r="L127" s="160">
        <f>+Orléans!E127+Angers!E127+Thouars!E127+Château!E127+Chartres!E127+Bosc!E127+Cham!E127+Mans!E127+Saumur!E127</f>
        <v>12183.66</v>
      </c>
      <c r="M127" s="135">
        <f>+Orléans!F127+Angers!F127+Thouars!F127+Château!F127+Chartres!F127+Bosc!F127+Cham!F127+Mans!F127+Saumur!F127+Chalette!F127</f>
        <v>14164.906666666666</v>
      </c>
      <c r="N127" s="113">
        <f t="shared" si="30"/>
        <v>14111.001600000001</v>
      </c>
      <c r="O127" s="161">
        <f t="shared" si="31"/>
        <v>14111.001600000001</v>
      </c>
      <c r="P127" s="149">
        <f t="shared" si="32"/>
        <v>0.16261506531425418</v>
      </c>
      <c r="Q127" s="271">
        <f t="shared" si="33"/>
        <v>-3.8055363113345207E-3</v>
      </c>
      <c r="R127" s="117">
        <f>+Orléans!D127+Angers!D127+Thouars!D127+Château!D127+Chartres!D127+Bosc!D127+Cham!D127+Mans!D127+Saumur!D127+Chalette!D127</f>
        <v>13973.236173440002</v>
      </c>
      <c r="S127" s="396"/>
    </row>
    <row r="128" spans="1:19" s="2" customFormat="1" ht="11.25">
      <c r="A128" s="5"/>
      <c r="B128" s="160"/>
      <c r="C128" s="113"/>
      <c r="D128" s="113"/>
      <c r="E128" s="113"/>
      <c r="F128" s="113"/>
      <c r="G128" s="113"/>
      <c r="H128" s="113"/>
      <c r="I128" s="113"/>
      <c r="J128" s="113"/>
      <c r="K128" s="113"/>
      <c r="L128" s="160"/>
      <c r="M128" s="143"/>
      <c r="N128" s="149"/>
      <c r="O128" s="186"/>
      <c r="P128" s="149"/>
      <c r="Q128" s="254"/>
      <c r="R128" s="254"/>
      <c r="S128" s="143"/>
    </row>
    <row r="129" spans="1:19" s="2" customFormat="1" ht="11.25">
      <c r="A129" s="13" t="s">
        <v>147</v>
      </c>
      <c r="B129" s="163">
        <f t="shared" ref="B129:N129" si="34">SUM(B117:B128)</f>
        <v>11601.33</v>
      </c>
      <c r="C129" s="204">
        <f t="shared" si="34"/>
        <v>8567.344000000001</v>
      </c>
      <c r="D129" s="204">
        <f t="shared" si="34"/>
        <v>4503.8334999999997</v>
      </c>
      <c r="E129" s="204">
        <f t="shared" si="34"/>
        <v>4438.3</v>
      </c>
      <c r="F129" s="204">
        <f t="shared" si="34"/>
        <v>6971.8920000000007</v>
      </c>
      <c r="G129" s="204">
        <f t="shared" si="34"/>
        <v>9288.2100000000009</v>
      </c>
      <c r="H129" s="204">
        <f t="shared" si="34"/>
        <v>7425.1319999999996</v>
      </c>
      <c r="I129" s="204">
        <f t="shared" si="34"/>
        <v>8890.0540000000001</v>
      </c>
      <c r="J129" s="204">
        <f t="shared" si="34"/>
        <v>6817.7371000000003</v>
      </c>
      <c r="K129" s="204">
        <f>SUM(K117:K128)</f>
        <v>5968.5133333333342</v>
      </c>
      <c r="L129" s="163">
        <f t="shared" si="34"/>
        <v>77680.59</v>
      </c>
      <c r="M129" s="204">
        <f t="shared" si="34"/>
        <v>69414.696666666656</v>
      </c>
      <c r="N129" s="204">
        <f t="shared" si="34"/>
        <v>74472.34593333333</v>
      </c>
      <c r="O129" s="168">
        <f>SUM(O117:O128)</f>
        <v>74472.34593333333</v>
      </c>
      <c r="P129" s="272">
        <f>+IF((L129)=0,,(M129-L129)/L129)</f>
        <v>-0.10640873522373273</v>
      </c>
      <c r="Q129" s="188">
        <f>+IF((M129)=0,,(O129-M129)/M129)</f>
        <v>7.2861360915452755E-2</v>
      </c>
      <c r="R129" s="168">
        <f>SUM(R117:R128)</f>
        <v>94543.263959689997</v>
      </c>
      <c r="S129" s="136"/>
    </row>
    <row r="130" spans="1:19" s="2" customFormat="1" ht="11.25">
      <c r="A130" s="5"/>
      <c r="B130" s="160"/>
      <c r="C130" s="113"/>
      <c r="D130" s="113"/>
      <c r="E130" s="113"/>
      <c r="F130" s="113"/>
      <c r="G130" s="113"/>
      <c r="H130" s="113"/>
      <c r="I130" s="113"/>
      <c r="J130" s="113"/>
      <c r="K130" s="113"/>
      <c r="L130" s="160"/>
      <c r="M130" s="143"/>
      <c r="N130" s="149"/>
      <c r="O130" s="186"/>
      <c r="P130" s="149"/>
      <c r="Q130" s="254"/>
      <c r="R130" s="254"/>
      <c r="S130" s="143"/>
    </row>
    <row r="131" spans="1:19" s="2" customFormat="1" ht="11.25">
      <c r="A131" s="5" t="s">
        <v>148</v>
      </c>
      <c r="B131" s="160">
        <f>+Orléans!$G131</f>
        <v>105000</v>
      </c>
      <c r="C131" s="113">
        <f>+Angers!$G131</f>
        <v>135000</v>
      </c>
      <c r="D131" s="113">
        <f>+Thouars!$G131</f>
        <v>95000</v>
      </c>
      <c r="E131" s="113">
        <f>+Château!$G131</f>
        <v>54000</v>
      </c>
      <c r="F131" s="113">
        <f>+Chartres!$G131</f>
        <v>130000</v>
      </c>
      <c r="G131" s="113">
        <f>+Bosc!$G131</f>
        <v>135000</v>
      </c>
      <c r="H131" s="113">
        <f>+Cham!$G131</f>
        <v>85000</v>
      </c>
      <c r="I131" s="113">
        <f>+Mans!$G131</f>
        <v>114000</v>
      </c>
      <c r="J131" s="113">
        <f>+Saumur!$G131</f>
        <v>42000</v>
      </c>
      <c r="K131" s="113">
        <f>+Chalette!$G131</f>
        <v>58200</v>
      </c>
      <c r="L131" s="160">
        <f>+Orléans!E131+Angers!E131+Thouars!E131+Château!E131+Chartres!E131+Bosc!E131+Cham!E131+Mans!E131+Saumur!E131</f>
        <v>790150.50999999989</v>
      </c>
      <c r="M131" s="135">
        <f>+Orléans!F131+Angers!F131+Thouars!F131+Château!F131+Chartres!F131+Bosc!F131+Cham!F131+Mans!F131+Saumur!F131+Chalette!F131</f>
        <v>868320.54666666675</v>
      </c>
      <c r="N131" s="113">
        <f t="shared" ref="N131:N152" si="35">+O131</f>
        <v>953200</v>
      </c>
      <c r="O131" s="161">
        <f t="shared" ref="O131:O152" si="36">SUM(B131:K131)</f>
        <v>953200</v>
      </c>
      <c r="P131" s="149">
        <f>+IF((L131)=0,,(M131-L131)/L131)</f>
        <v>9.8930565350982144E-2</v>
      </c>
      <c r="Q131" s="271">
        <f>+IF((M131)=0,,(O131-M131)/M131)</f>
        <v>9.7751289727245172E-2</v>
      </c>
      <c r="R131" s="117">
        <f>+Orléans!D131+Angers!D131+Thouars!D131+Château!D131+Chartres!D131+Bosc!D131+Cham!D131+Mans!D131+Saumur!D131+Chalette!D131</f>
        <v>879749.50120000006</v>
      </c>
      <c r="S131" s="395"/>
    </row>
    <row r="132" spans="1:19" s="2" customFormat="1" ht="11.25">
      <c r="A132" s="5" t="s">
        <v>149</v>
      </c>
      <c r="B132" s="160">
        <f>+Orléans!$G132</f>
        <v>0</v>
      </c>
      <c r="C132" s="113">
        <f>+Angers!$G132</f>
        <v>0</v>
      </c>
      <c r="D132" s="113">
        <f>+Thouars!$G132</f>
        <v>0</v>
      </c>
      <c r="E132" s="113">
        <f>+Château!$G132</f>
        <v>0</v>
      </c>
      <c r="F132" s="113">
        <f>+Chartres!$G132</f>
        <v>0</v>
      </c>
      <c r="G132" s="113">
        <f>+Bosc!$G132</f>
        <v>0</v>
      </c>
      <c r="H132" s="113">
        <f>+Cham!$G132</f>
        <v>0</v>
      </c>
      <c r="I132" s="113">
        <f>+Mans!$G132</f>
        <v>0</v>
      </c>
      <c r="J132" s="113">
        <f>+Saumur!$G132</f>
        <v>0</v>
      </c>
      <c r="K132" s="113">
        <f>+Chalette!$G132</f>
        <v>0</v>
      </c>
      <c r="L132" s="160">
        <f>+Orléans!E132+Angers!E132+Thouars!E132+Château!E132+Chartres!E132+Bosc!E132+Cham!E132+Mans!E132+Saumur!E132</f>
        <v>852.18999999999983</v>
      </c>
      <c r="M132" s="135">
        <f>+Orléans!F132+Angers!F132+Thouars!F132+Château!F132+Chartres!F132+Bosc!F132+Cham!F132+Mans!F132+Saumur!F132+Chalette!F132</f>
        <v>-13240.626666666667</v>
      </c>
      <c r="N132" s="113">
        <f t="shared" si="35"/>
        <v>0</v>
      </c>
      <c r="O132" s="161">
        <f t="shared" si="36"/>
        <v>0</v>
      </c>
      <c r="P132" s="149">
        <f t="shared" ref="P132:P152" si="37">+IF((L132)=0,,(M132-L132)/L132)</f>
        <v>-16.537176764180135</v>
      </c>
      <c r="Q132" s="271">
        <f t="shared" ref="Q132:Q152" si="38">+IF((M132)=0,,(O132-M132)/M132)</f>
        <v>-1</v>
      </c>
      <c r="R132" s="117">
        <f>+Orléans!D132+Angers!D132+Thouars!D132+Château!D132+Chartres!D132+Bosc!D132+Cham!D132+Mans!D132+Saumur!D132+Chalette!D132</f>
        <v>0</v>
      </c>
      <c r="S132" s="395"/>
    </row>
    <row r="133" spans="1:19" s="2" customFormat="1" ht="11.25">
      <c r="A133" s="5" t="s">
        <v>150</v>
      </c>
      <c r="B133" s="160">
        <f>+Orléans!$G133</f>
        <v>0</v>
      </c>
      <c r="C133" s="113">
        <f>+Angers!$G133</f>
        <v>0</v>
      </c>
      <c r="D133" s="113">
        <f>+Thouars!$G133</f>
        <v>0</v>
      </c>
      <c r="E133" s="113">
        <f>+Château!$G133</f>
        <v>0</v>
      </c>
      <c r="F133" s="113">
        <f>+Chartres!$G133</f>
        <v>0</v>
      </c>
      <c r="G133" s="113">
        <f>+Bosc!$G133</f>
        <v>0</v>
      </c>
      <c r="H133" s="113">
        <f>+Cham!$G133</f>
        <v>0</v>
      </c>
      <c r="I133" s="113">
        <f>+Mans!$G133</f>
        <v>0</v>
      </c>
      <c r="J133" s="113">
        <f>+Saumur!$G133</f>
        <v>0</v>
      </c>
      <c r="K133" s="113">
        <f>+Chalette!$G133</f>
        <v>0</v>
      </c>
      <c r="L133" s="160">
        <f>+Orléans!E133+Angers!E133+Thouars!E133+Château!E133+Chartres!E133+Bosc!E133+Cham!E133+Mans!E133+Saumur!E133</f>
        <v>400</v>
      </c>
      <c r="M133" s="135">
        <f>+Orléans!F133+Angers!F133+Thouars!F133+Château!F133+Chartres!F133+Bosc!F133+Cham!F133+Mans!F133+Saumur!F133+Chalette!F133</f>
        <v>362.66666666666663</v>
      </c>
      <c r="N133" s="113">
        <f t="shared" si="35"/>
        <v>0</v>
      </c>
      <c r="O133" s="161">
        <f t="shared" si="36"/>
        <v>0</v>
      </c>
      <c r="P133" s="149">
        <f t="shared" si="37"/>
        <v>-9.3333333333333435E-2</v>
      </c>
      <c r="Q133" s="271">
        <f t="shared" si="38"/>
        <v>-1</v>
      </c>
      <c r="R133" s="117">
        <f>+Orléans!D133+Angers!D133+Thouars!D133+Château!D133+Chartres!D133+Bosc!D133+Cham!D133+Mans!D133+Saumur!D133+Chalette!D133</f>
        <v>0</v>
      </c>
      <c r="S133" s="395"/>
    </row>
    <row r="134" spans="1:19" s="2" customFormat="1" ht="11.25">
      <c r="A134" s="5" t="s">
        <v>151</v>
      </c>
      <c r="B134" s="160">
        <f>+Orléans!$G134</f>
        <v>0</v>
      </c>
      <c r="C134" s="113">
        <f>+Angers!$G134</f>
        <v>0</v>
      </c>
      <c r="D134" s="113">
        <f>+Thouars!$G134</f>
        <v>0</v>
      </c>
      <c r="E134" s="113">
        <f>+Château!$G134</f>
        <v>0</v>
      </c>
      <c r="F134" s="113">
        <f>+Chartres!$G134</f>
        <v>0</v>
      </c>
      <c r="G134" s="113">
        <f>+Bosc!$G134</f>
        <v>0</v>
      </c>
      <c r="H134" s="113">
        <f>+Cham!$G134</f>
        <v>0</v>
      </c>
      <c r="I134" s="113">
        <f>+Mans!$G134</f>
        <v>0</v>
      </c>
      <c r="J134" s="113">
        <f>+Saumur!$G134</f>
        <v>0</v>
      </c>
      <c r="K134" s="113">
        <f>+Chalette!$G134</f>
        <v>0</v>
      </c>
      <c r="L134" s="160">
        <f>+Orléans!E134+Angers!E134+Thouars!E134+Château!E134+Chartres!E134+Bosc!E134+Cham!E134+Mans!E134+Saumur!E134</f>
        <v>-6569.69</v>
      </c>
      <c r="M134" s="135">
        <f>+Orléans!F134+Angers!F134+Thouars!F134+Château!F134+Chartres!F134+Bosc!F134+Cham!F134+Mans!F134+Saumur!F134+Chalette!F134</f>
        <v>-3723.1333333333332</v>
      </c>
      <c r="N134" s="113">
        <f t="shared" si="35"/>
        <v>0</v>
      </c>
      <c r="O134" s="161">
        <f t="shared" si="36"/>
        <v>0</v>
      </c>
      <c r="P134" s="149">
        <f t="shared" si="37"/>
        <v>-0.43328629915059408</v>
      </c>
      <c r="Q134" s="271">
        <f t="shared" si="38"/>
        <v>-1</v>
      </c>
      <c r="R134" s="117">
        <f>+Orléans!D134+Angers!D134+Thouars!D134+Château!D134+Chartres!D134+Bosc!D134+Cham!D134+Mans!D134+Saumur!D134+Chalette!D134</f>
        <v>784.09440000000006</v>
      </c>
      <c r="S134" s="395"/>
    </row>
    <row r="135" spans="1:19" s="2" customFormat="1" ht="11.25">
      <c r="A135" s="5" t="s">
        <v>114</v>
      </c>
      <c r="B135" s="160">
        <f>+Orléans!$G135</f>
        <v>0</v>
      </c>
      <c r="C135" s="113">
        <f>+Angers!$G135</f>
        <v>0</v>
      </c>
      <c r="D135" s="113">
        <f>+Thouars!$G135</f>
        <v>0</v>
      </c>
      <c r="E135" s="113">
        <f>+Château!$G135</f>
        <v>2500</v>
      </c>
      <c r="F135" s="113">
        <f>+Chartres!$G135</f>
        <v>0</v>
      </c>
      <c r="G135" s="113">
        <f>+Bosc!$G135</f>
        <v>0</v>
      </c>
      <c r="H135" s="113">
        <f>+Cham!$G135</f>
        <v>0</v>
      </c>
      <c r="I135" s="113">
        <f>+Mans!$G135</f>
        <v>0</v>
      </c>
      <c r="J135" s="113">
        <f>+Saumur!$G135</f>
        <v>0</v>
      </c>
      <c r="K135" s="113">
        <f>+Chalette!$G135</f>
        <v>0</v>
      </c>
      <c r="L135" s="160">
        <f>+Orléans!E135+Angers!E135+Thouars!E135+Château!E135+Chartres!E135+Bosc!E135+Cham!E135+Mans!E135+Saumur!E135</f>
        <v>9736.0499999999993</v>
      </c>
      <c r="M135" s="135">
        <f>+Orléans!F135+Angers!F135+Thouars!F135+Château!F135+Chartres!F135+Bosc!F135+Cham!F135+Mans!F135+Saumur!F135+Chalette!F135</f>
        <v>9128.48</v>
      </c>
      <c r="N135" s="113">
        <f t="shared" si="35"/>
        <v>2500</v>
      </c>
      <c r="O135" s="161">
        <f t="shared" si="36"/>
        <v>2500</v>
      </c>
      <c r="P135" s="149">
        <f t="shared" si="37"/>
        <v>-6.2404157743643447E-2</v>
      </c>
      <c r="Q135" s="271">
        <f t="shared" si="38"/>
        <v>-0.72613184232205141</v>
      </c>
      <c r="R135" s="117">
        <f>+Orléans!D135+Angers!D135+Thouars!D135+Château!D135+Chartres!D135+Bosc!D135+Cham!D135+Mans!D135+Saumur!D135+Chalette!D135</f>
        <v>3000</v>
      </c>
      <c r="S135" s="395"/>
    </row>
    <row r="136" spans="1:19" s="2" customFormat="1" ht="11.25">
      <c r="A136" s="5" t="s">
        <v>338</v>
      </c>
      <c r="B136" s="160">
        <f>+Orléans!$G136</f>
        <v>0</v>
      </c>
      <c r="C136" s="113">
        <f>+Angers!$G136</f>
        <v>0</v>
      </c>
      <c r="D136" s="113">
        <f>+Thouars!$G136</f>
        <v>0</v>
      </c>
      <c r="E136" s="113">
        <f>+Château!$G136</f>
        <v>0</v>
      </c>
      <c r="F136" s="113">
        <f>+Chartres!$G136</f>
        <v>0</v>
      </c>
      <c r="G136" s="113">
        <f>+Bosc!$G136</f>
        <v>0</v>
      </c>
      <c r="H136" s="113">
        <f>+Cham!$G136</f>
        <v>0</v>
      </c>
      <c r="I136" s="113">
        <f>+Mans!$G136</f>
        <v>0</v>
      </c>
      <c r="J136" s="113">
        <f>+Saumur!$G136</f>
        <v>0</v>
      </c>
      <c r="K136" s="113">
        <f>+Chalette!$G136</f>
        <v>0</v>
      </c>
      <c r="L136" s="160">
        <f>+Orléans!E136+Angers!E136+Thouars!E136+Château!E136+Chartres!E136+Bosc!E136+Cham!E136+Mans!E136+Saumur!E136</f>
        <v>0</v>
      </c>
      <c r="M136" s="135">
        <f>+Orléans!F136+Angers!F136+Thouars!F136+Château!F136+Chartres!F136+Bosc!F136+Cham!F136+Mans!F136+Saumur!F136+Chalette!F136</f>
        <v>0</v>
      </c>
      <c r="N136" s="113">
        <f t="shared" si="35"/>
        <v>0</v>
      </c>
      <c r="O136" s="161">
        <f t="shared" si="36"/>
        <v>0</v>
      </c>
      <c r="P136" s="149">
        <f t="shared" si="37"/>
        <v>0</v>
      </c>
      <c r="Q136" s="271">
        <f t="shared" si="38"/>
        <v>0</v>
      </c>
      <c r="R136" s="117">
        <f>+Orléans!D136+Angers!D136+Thouars!D136+Château!D136+Chartres!D136+Bosc!D136+Cham!D136+Mans!D136+Saumur!D136+Chalette!D136</f>
        <v>0</v>
      </c>
      <c r="S136" s="395"/>
    </row>
    <row r="137" spans="1:19" s="2" customFormat="1" ht="11.25">
      <c r="A137" s="5" t="s">
        <v>87</v>
      </c>
      <c r="B137" s="160">
        <f>+Orléans!$G137</f>
        <v>0</v>
      </c>
      <c r="C137" s="113">
        <f>+Angers!$G137</f>
        <v>0</v>
      </c>
      <c r="D137" s="113">
        <f>+Thouars!$G137</f>
        <v>-11888.150133333334</v>
      </c>
      <c r="E137" s="113">
        <f>+Château!$G137</f>
        <v>0</v>
      </c>
      <c r="F137" s="113">
        <f>+Chartres!$G137</f>
        <v>0</v>
      </c>
      <c r="G137" s="113">
        <f>+Bosc!$G137</f>
        <v>0</v>
      </c>
      <c r="H137" s="113">
        <f>+Cham!$G137</f>
        <v>0</v>
      </c>
      <c r="I137" s="113">
        <f>+Mans!$G137</f>
        <v>0</v>
      </c>
      <c r="J137" s="113">
        <f>+Saumur!$G137</f>
        <v>0</v>
      </c>
      <c r="K137" s="113">
        <f>+Chalette!$G137</f>
        <v>0</v>
      </c>
      <c r="L137" s="160">
        <f>+Orléans!E137+Angers!E137+Thouars!E137+Château!E137+Chartres!E137+Bosc!E137+Cham!E137+Mans!E137+Saumur!E137</f>
        <v>-12657.67</v>
      </c>
      <c r="M137" s="135">
        <f>+Orléans!F137+Angers!F137+Thouars!F137+Château!F137+Chartres!F137+Bosc!F137+Cham!F137+Mans!F137+Saumur!F137+Chalette!F137</f>
        <v>-11541.893333333333</v>
      </c>
      <c r="N137" s="113">
        <f t="shared" si="35"/>
        <v>-11888.150133333334</v>
      </c>
      <c r="O137" s="161">
        <f t="shared" si="36"/>
        <v>-11888.150133333334</v>
      </c>
      <c r="P137" s="149">
        <f t="shared" si="37"/>
        <v>-8.8150241447807268E-2</v>
      </c>
      <c r="Q137" s="271">
        <f t="shared" si="38"/>
        <v>3.0000000000000089E-2</v>
      </c>
      <c r="R137" s="117">
        <f>+Orléans!D137+Angers!D137+Thouars!D137+Château!D137+Chartres!D137+Bosc!D137+Cham!D137+Mans!D137+Saumur!D137+Chalette!D137</f>
        <v>0</v>
      </c>
      <c r="S137" s="395"/>
    </row>
    <row r="138" spans="1:19" s="2" customFormat="1" ht="11.25">
      <c r="A138" s="5" t="s">
        <v>152</v>
      </c>
      <c r="B138" s="160">
        <f>+Orléans!$G138</f>
        <v>0</v>
      </c>
      <c r="C138" s="113">
        <f>+Angers!$G138</f>
        <v>0</v>
      </c>
      <c r="D138" s="113">
        <f>+Thouars!$G138</f>
        <v>0</v>
      </c>
      <c r="E138" s="113">
        <f>+Château!$G138</f>
        <v>0</v>
      </c>
      <c r="F138" s="113">
        <f>+Chartres!$G138</f>
        <v>0</v>
      </c>
      <c r="G138" s="113">
        <f>+Bosc!$G138</f>
        <v>0</v>
      </c>
      <c r="H138" s="113">
        <f>+Cham!$G138</f>
        <v>0</v>
      </c>
      <c r="I138" s="113">
        <f>+Mans!$G138</f>
        <v>0</v>
      </c>
      <c r="J138" s="113">
        <f>+Saumur!$G138</f>
        <v>0</v>
      </c>
      <c r="K138" s="113">
        <f>+Chalette!$G138</f>
        <v>0</v>
      </c>
      <c r="L138" s="160">
        <f>+Orléans!E138+Angers!E138+Thouars!E138+Château!E138+Chartres!E138+Bosc!E138+Cham!E138+Mans!E138+Saumur!E138</f>
        <v>-2082.9999999999995</v>
      </c>
      <c r="M138" s="135">
        <f>+Orléans!F138+Angers!F138+Thouars!F138+Château!F138+Chartres!F138+Bosc!F138+Cham!F138+Mans!F138+Saumur!F138+Chalette!F138</f>
        <v>-1312.7866666666666</v>
      </c>
      <c r="N138" s="113">
        <f t="shared" si="35"/>
        <v>0</v>
      </c>
      <c r="O138" s="161">
        <f t="shared" si="36"/>
        <v>0</v>
      </c>
      <c r="P138" s="149">
        <f t="shared" si="37"/>
        <v>-0.36976156184989584</v>
      </c>
      <c r="Q138" s="271">
        <f t="shared" si="38"/>
        <v>-1</v>
      </c>
      <c r="R138" s="117">
        <f>+Orléans!D138+Angers!D138+Thouars!D138+Château!D138+Chartres!D138+Bosc!D138+Cham!D138+Mans!D138+Saumur!D138+Chalette!D138</f>
        <v>326.19600000000003</v>
      </c>
      <c r="S138" s="395"/>
    </row>
    <row r="139" spans="1:19" s="2" customFormat="1" ht="11.25">
      <c r="A139" s="5" t="s">
        <v>153</v>
      </c>
      <c r="B139" s="160">
        <f>+Orléans!$G139</f>
        <v>0</v>
      </c>
      <c r="C139" s="113">
        <f>+Angers!$G139</f>
        <v>0</v>
      </c>
      <c r="D139" s="113">
        <f>+Thouars!$G139</f>
        <v>0</v>
      </c>
      <c r="E139" s="113">
        <f>+Château!$G139</f>
        <v>0</v>
      </c>
      <c r="F139" s="113">
        <f>+Chartres!$G139</f>
        <v>0</v>
      </c>
      <c r="G139" s="113">
        <f>+Bosc!$G139</f>
        <v>0</v>
      </c>
      <c r="H139" s="113">
        <f>+Cham!$G139</f>
        <v>0</v>
      </c>
      <c r="I139" s="113">
        <f>+Mans!$G139</f>
        <v>0</v>
      </c>
      <c r="J139" s="113">
        <f>+Saumur!$G139</f>
        <v>0</v>
      </c>
      <c r="K139" s="113">
        <f>+Chalette!$G139</f>
        <v>0</v>
      </c>
      <c r="L139" s="160">
        <f>+Orléans!E139+Angers!E139+Thouars!E139+Château!E139+Chartres!E139+Bosc!E139+Cham!E139+Mans!E139+Saumur!E139</f>
        <v>0</v>
      </c>
      <c r="M139" s="135">
        <f>+Orléans!F139+Angers!F139+Thouars!F139+Château!F139+Chartres!F139+Bosc!F139+Cham!F139+Mans!F139+Saumur!F139+Chalette!F139</f>
        <v>0</v>
      </c>
      <c r="N139" s="113">
        <f t="shared" si="35"/>
        <v>0</v>
      </c>
      <c r="O139" s="161">
        <f t="shared" si="36"/>
        <v>0</v>
      </c>
      <c r="P139" s="149">
        <f t="shared" si="37"/>
        <v>0</v>
      </c>
      <c r="Q139" s="271">
        <f t="shared" si="38"/>
        <v>0</v>
      </c>
      <c r="R139" s="117">
        <f>+Orléans!D139+Angers!D139+Thouars!D139+Château!D139+Chartres!D139+Bosc!D139+Cham!D139+Mans!D139+Saumur!D139+Chalette!D139</f>
        <v>0</v>
      </c>
      <c r="S139" s="395"/>
    </row>
    <row r="140" spans="1:19" s="2" customFormat="1" ht="11.25">
      <c r="A140" s="5" t="s">
        <v>154</v>
      </c>
      <c r="B140" s="160">
        <f>+Orléans!$G140</f>
        <v>0</v>
      </c>
      <c r="C140" s="113">
        <f>+Angers!$G140</f>
        <v>0</v>
      </c>
      <c r="D140" s="113">
        <f>+Thouars!$G140</f>
        <v>0</v>
      </c>
      <c r="E140" s="113">
        <f>+Château!$G140</f>
        <v>0</v>
      </c>
      <c r="F140" s="113">
        <f>+Chartres!$G140</f>
        <v>0</v>
      </c>
      <c r="G140" s="113">
        <f>+Bosc!$G140</f>
        <v>0</v>
      </c>
      <c r="H140" s="113">
        <f>+Cham!$G140</f>
        <v>0</v>
      </c>
      <c r="I140" s="113">
        <f>+Mans!$G140</f>
        <v>0</v>
      </c>
      <c r="J140" s="113">
        <f>+Saumur!$G140</f>
        <v>0</v>
      </c>
      <c r="K140" s="113">
        <f>+Chalette!$G140</f>
        <v>0</v>
      </c>
      <c r="L140" s="160">
        <f>+Orléans!E140+Angers!E140+Thouars!E140+Château!E140+Chartres!E140+Bosc!E140+Cham!E140+Mans!E140+Saumur!E140</f>
        <v>8517.5</v>
      </c>
      <c r="M140" s="135">
        <f>+Orléans!F140+Angers!F140+Thouars!F140+Château!F140+Chartres!F140+Bosc!F140+Cham!F140+Mans!F140+Saumur!F140+Chalette!F140</f>
        <v>4832.666666666667</v>
      </c>
      <c r="N140" s="113">
        <f t="shared" si="35"/>
        <v>0</v>
      </c>
      <c r="O140" s="161">
        <f t="shared" si="36"/>
        <v>0</v>
      </c>
      <c r="P140" s="149">
        <f t="shared" si="37"/>
        <v>-0.43261911750317972</v>
      </c>
      <c r="Q140" s="271">
        <f t="shared" si="38"/>
        <v>-1</v>
      </c>
      <c r="R140" s="117">
        <f>+Orléans!D140+Angers!D140+Thouars!D140+Château!D140+Chartres!D140+Bosc!D140+Cham!D140+Mans!D140+Saumur!D140+Chalette!D140</f>
        <v>0</v>
      </c>
      <c r="S140" s="395"/>
    </row>
    <row r="141" spans="1:19" s="2" customFormat="1" ht="11.25">
      <c r="A141" s="5" t="s">
        <v>155</v>
      </c>
      <c r="B141" s="160">
        <f>+Orléans!$G141</f>
        <v>25577.945351312992</v>
      </c>
      <c r="C141" s="113">
        <f>+Angers!$G141</f>
        <v>34240.626478165534</v>
      </c>
      <c r="D141" s="113">
        <f>+Thouars!$G141</f>
        <v>24937.200259114124</v>
      </c>
      <c r="E141" s="113">
        <f>+Château!$G141</f>
        <v>13821.92555326802</v>
      </c>
      <c r="F141" s="113">
        <f>+Chartres!$G141</f>
        <v>31894.143700123877</v>
      </c>
      <c r="G141" s="113">
        <f>+Bosc!$G141</f>
        <v>34310.388569850584</v>
      </c>
      <c r="H141" s="113">
        <f>+Cham!$G141</f>
        <v>27625.143811434871</v>
      </c>
      <c r="I141" s="113">
        <f>+Mans!$G141</f>
        <v>29008.434626710299</v>
      </c>
      <c r="J141" s="113">
        <f>+Saumur!$G141</f>
        <v>8245.2994403215071</v>
      </c>
      <c r="K141" s="113">
        <f>+Chalette!$G141</f>
        <v>15790.571388584014</v>
      </c>
      <c r="L141" s="160">
        <f>+Orléans!E141+Angers!E141+Thouars!E141+Château!E141+Chartres!E141+Bosc!E141+Cham!E141+Mans!E141+Saumur!E141</f>
        <v>211585.50000000003</v>
      </c>
      <c r="M141" s="135">
        <f>+Orléans!F141+Angers!F141+Thouars!F141+Château!F141+Chartres!F141+Bosc!F141+Cham!F141+Mans!F141+Saumur!F141+Chalette!F141</f>
        <v>220145.81333333332</v>
      </c>
      <c r="N141" s="113">
        <f t="shared" si="35"/>
        <v>245451.67917888585</v>
      </c>
      <c r="O141" s="161">
        <f t="shared" si="36"/>
        <v>245451.67917888585</v>
      </c>
      <c r="P141" s="149">
        <f t="shared" si="37"/>
        <v>4.0457939383054579E-2</v>
      </c>
      <c r="Q141" s="271">
        <f t="shared" si="38"/>
        <v>0.11495047515273754</v>
      </c>
      <c r="R141" s="117">
        <f>+Orléans!D141+Angers!D141+Thouars!D141+Château!D141+Chartres!D141+Bosc!D141+Cham!D141+Mans!D141+Saumur!D141+Chalette!D141</f>
        <v>234813.61553353447</v>
      </c>
      <c r="S141" s="396"/>
    </row>
    <row r="142" spans="1:19" s="2" customFormat="1" ht="11.25">
      <c r="A142" s="5" t="s">
        <v>156</v>
      </c>
      <c r="B142" s="160">
        <f>+Orléans!$G142</f>
        <v>3709.7718968022282</v>
      </c>
      <c r="C142" s="113">
        <f>+Angers!$G142</f>
        <v>4022.0712243443468</v>
      </c>
      <c r="D142" s="113">
        <f>+Thouars!$G142</f>
        <v>4093.6221735018007</v>
      </c>
      <c r="E142" s="113">
        <f>+Château!$G142</f>
        <v>1591.5408490014306</v>
      </c>
      <c r="F142" s="113">
        <f>+Chartres!$G142</f>
        <v>3330.6543136691589</v>
      </c>
      <c r="G142" s="113">
        <f>+Bosc!$G142</f>
        <v>4952.278941462685</v>
      </c>
      <c r="H142" s="113">
        <f>+Cham!$G142</f>
        <v>1671.6032038250105</v>
      </c>
      <c r="I142" s="113">
        <f>+Mans!$G142</f>
        <v>2560.9387160048768</v>
      </c>
      <c r="J142" s="113">
        <f>+Saumur!$G142</f>
        <v>1144.4820900640818</v>
      </c>
      <c r="K142" s="113">
        <f>+Chalette!$G142</f>
        <v>0</v>
      </c>
      <c r="L142" s="160">
        <f>+Orléans!E142+Angers!E142+Thouars!E142+Château!E142+Chartres!E142+Bosc!E142+Cham!E142+Mans!E142+Saumur!E142</f>
        <v>25758.06</v>
      </c>
      <c r="M142" s="135">
        <f>+Orléans!F142+Angers!F142+Thouars!F142+Château!F142+Chartres!F142+Bosc!F142+Cham!F142+Mans!F142+Saumur!F142+Chalette!F142</f>
        <v>24712.42666666667</v>
      </c>
      <c r="N142" s="113">
        <f t="shared" si="35"/>
        <v>27076.96340867562</v>
      </c>
      <c r="O142" s="161">
        <f t="shared" si="36"/>
        <v>27076.96340867562</v>
      </c>
      <c r="P142" s="149">
        <f t="shared" si="37"/>
        <v>-4.0594413295618199E-2</v>
      </c>
      <c r="Q142" s="271">
        <f t="shared" si="38"/>
        <v>9.5682094433823958E-2</v>
      </c>
      <c r="R142" s="117">
        <f>+Orléans!D142+Angers!D142+Thouars!D142+Château!D142+Chartres!D142+Bosc!D142+Cham!D142+Mans!D142+Saumur!D142+Chalette!D142</f>
        <v>26193.342320860818</v>
      </c>
      <c r="S142" s="396"/>
    </row>
    <row r="143" spans="1:19" s="2" customFormat="1" ht="11.25">
      <c r="A143" s="5" t="s">
        <v>157</v>
      </c>
      <c r="B143" s="160">
        <f>+Orléans!$G143</f>
        <v>6698.4207403216533</v>
      </c>
      <c r="C143" s="113">
        <f>+Angers!$G143</f>
        <v>9217.1450290072553</v>
      </c>
      <c r="D143" s="113">
        <f>+Thouars!$G143</f>
        <v>11594.146078012238</v>
      </c>
      <c r="E143" s="113">
        <f>+Château!$G143</f>
        <v>3500.0002895244279</v>
      </c>
      <c r="F143" s="113">
        <f>+Chartres!$G143</f>
        <v>7879.2290869027775</v>
      </c>
      <c r="G143" s="113">
        <f>+Bosc!$G143</f>
        <v>8256.209222140762</v>
      </c>
      <c r="H143" s="113">
        <f>+Cham!$G143</f>
        <v>5057.8621002402124</v>
      </c>
      <c r="I143" s="113">
        <f>+Mans!$G143</f>
        <v>6161.0163065741972</v>
      </c>
      <c r="J143" s="113">
        <f>+Saumur!$G143</f>
        <v>1826.0315724119071</v>
      </c>
      <c r="K143" s="113">
        <f>+Chalette!$G143</f>
        <v>3683.3091479629043</v>
      </c>
      <c r="L143" s="160">
        <f>+Orléans!E143+Angers!E143+Thouars!E143+Château!E143+Chartres!E143+Bosc!E143+Cham!E143+Mans!E143+Saumur!E143</f>
        <v>54016.169999999991</v>
      </c>
      <c r="M143" s="135">
        <f>+Orléans!F143+Angers!F143+Thouars!F143+Château!F143+Chartres!F143+Bosc!F143+Cham!F143+Mans!F143+Saumur!F143+Chalette!F143</f>
        <v>57836.94666666667</v>
      </c>
      <c r="N143" s="113">
        <f t="shared" si="35"/>
        <v>63873.369573098331</v>
      </c>
      <c r="O143" s="161">
        <f t="shared" si="36"/>
        <v>63873.369573098331</v>
      </c>
      <c r="P143" s="149">
        <f t="shared" si="37"/>
        <v>7.0733942570653935E-2</v>
      </c>
      <c r="Q143" s="271">
        <f t="shared" si="38"/>
        <v>0.10436966773542783</v>
      </c>
      <c r="R143" s="117">
        <f>+Orléans!D143+Angers!D143+Thouars!D143+Château!D143+Chartres!D143+Bosc!D143+Cham!D143+Mans!D143+Saumur!D143+Chalette!D143</f>
        <v>60928.703056050152</v>
      </c>
      <c r="S143" s="396"/>
    </row>
    <row r="144" spans="1:19" s="2" customFormat="1" ht="11.25">
      <c r="A144" s="5" t="s">
        <v>326</v>
      </c>
      <c r="B144" s="160">
        <f>+Orléans!$G144</f>
        <v>0</v>
      </c>
      <c r="C144" s="113">
        <f>+Angers!$G144</f>
        <v>0</v>
      </c>
      <c r="D144" s="113">
        <f>+Thouars!$G144</f>
        <v>344.91442837618121</v>
      </c>
      <c r="E144" s="113">
        <f>+Château!$G144</f>
        <v>0</v>
      </c>
      <c r="F144" s="113">
        <f>+Chartres!$G144</f>
        <v>0</v>
      </c>
      <c r="G144" s="113">
        <f>+Bosc!$G144</f>
        <v>0</v>
      </c>
      <c r="H144" s="113">
        <f>+Cham!$G144</f>
        <v>0</v>
      </c>
      <c r="I144" s="113">
        <f>+Mans!$G144</f>
        <v>0</v>
      </c>
      <c r="J144" s="113">
        <f>+Saumur!$G144</f>
        <v>0</v>
      </c>
      <c r="K144" s="113">
        <f>+Chalette!$G144</f>
        <v>0</v>
      </c>
      <c r="L144" s="160">
        <f>+Orléans!E144+Angers!E144+Thouars!E144+Château!E144+Chartres!E144+Bosc!E144+Cham!E144+Mans!E144+Saumur!E144</f>
        <v>1600.76</v>
      </c>
      <c r="M144" s="135">
        <f>+Orléans!F144+Angers!F144+Thouars!F144+Château!F144+Chartres!F144+Bosc!F144+Cham!F144+Mans!F144+Saumur!F144+Chalette!F144</f>
        <v>346.2</v>
      </c>
      <c r="N144" s="113">
        <f t="shared" si="35"/>
        <v>344.91442837618121</v>
      </c>
      <c r="O144" s="161">
        <f t="shared" si="36"/>
        <v>344.91442837618121</v>
      </c>
      <c r="P144" s="149">
        <f t="shared" si="37"/>
        <v>-0.78372772932856893</v>
      </c>
      <c r="Q144" s="271">
        <f t="shared" si="38"/>
        <v>-3.713378462792555E-3</v>
      </c>
      <c r="R144" s="117">
        <f>+Orléans!D144+Angers!D144+Thouars!D144+Château!D144+Chartres!D144+Bosc!D144+Cham!D144+Mans!D144+Saumur!D144+Chalette!D144</f>
        <v>343.24392546236407</v>
      </c>
      <c r="S144" s="396"/>
    </row>
    <row r="145" spans="1:19" s="2" customFormat="1" ht="11.25">
      <c r="A145" s="5" t="s">
        <v>158</v>
      </c>
      <c r="B145" s="160">
        <f>+Orléans!$G145</f>
        <v>4266.0579478956042</v>
      </c>
      <c r="C145" s="113">
        <f>+Angers!$G145</f>
        <v>6489.7570934529249</v>
      </c>
      <c r="D145" s="113">
        <f>+Thouars!$G145</f>
        <v>6246.9960772923214</v>
      </c>
      <c r="E145" s="113">
        <f>+Château!$G145</f>
        <v>2259.6437691448027</v>
      </c>
      <c r="F145" s="113">
        <f>+Chartres!$G145</f>
        <v>5493.7149771674203</v>
      </c>
      <c r="G145" s="113">
        <f>+Bosc!$G145</f>
        <v>5466.4966677621796</v>
      </c>
      <c r="H145" s="113">
        <f>+Cham!$G145</f>
        <v>3469.4762954945113</v>
      </c>
      <c r="I145" s="113">
        <f>+Mans!$G145</f>
        <v>4469.0670986491104</v>
      </c>
      <c r="J145" s="113">
        <f>+Saumur!$G145</f>
        <v>1409.4981721353181</v>
      </c>
      <c r="K145" s="113">
        <f>+Chalette!$G145</f>
        <v>1316.2382050281017</v>
      </c>
      <c r="L145" s="160">
        <f>+Orléans!E145+Angers!E145+Thouars!E145+Château!E145+Chartres!E145+Bosc!E145+Cham!E145+Mans!E145+Saumur!E145</f>
        <v>34322.67</v>
      </c>
      <c r="M145" s="135">
        <f>+Orléans!F145+Angers!F145+Thouars!F145+Château!F145+Chartres!F145+Bosc!F145+Cham!F145+Mans!F145+Saumur!F145+Chalette!F145</f>
        <v>37062.386666666665</v>
      </c>
      <c r="N145" s="113">
        <f t="shared" si="35"/>
        <v>40886.946304022291</v>
      </c>
      <c r="O145" s="161">
        <f t="shared" si="36"/>
        <v>40886.946304022291</v>
      </c>
      <c r="P145" s="149">
        <f t="shared" si="37"/>
        <v>7.9822364246915148E-2</v>
      </c>
      <c r="Q145" s="271">
        <f t="shared" si="38"/>
        <v>0.10319248114680576</v>
      </c>
      <c r="R145" s="117">
        <f>+Orléans!D145+Angers!D145+Thouars!D145+Château!D145+Chartres!D145+Bosc!D145+Cham!D145+Mans!D145+Saumur!D145+Chalette!D145</f>
        <v>36645.779456776501</v>
      </c>
      <c r="S145" s="396"/>
    </row>
    <row r="146" spans="1:19" s="2" customFormat="1" ht="11.25">
      <c r="A146" s="5" t="s">
        <v>159</v>
      </c>
      <c r="B146" s="160">
        <f>+Orléans!$G146</f>
        <v>0</v>
      </c>
      <c r="C146" s="113">
        <f>+Angers!$G146</f>
        <v>0</v>
      </c>
      <c r="D146" s="113">
        <f>+Thouars!$G146</f>
        <v>0</v>
      </c>
      <c r="E146" s="113">
        <f>+Château!$G146</f>
        <v>0</v>
      </c>
      <c r="F146" s="113">
        <f>+Chartres!$G146</f>
        <v>0</v>
      </c>
      <c r="G146" s="113">
        <f>+Bosc!$G146</f>
        <v>0</v>
      </c>
      <c r="H146" s="113">
        <f>+Cham!$G146</f>
        <v>0</v>
      </c>
      <c r="I146" s="113">
        <f>+Mans!$G146</f>
        <v>607.95970948417539</v>
      </c>
      <c r="J146" s="113">
        <f>+Saumur!$G146</f>
        <v>0</v>
      </c>
      <c r="K146" s="113">
        <f>+Chalette!$G146</f>
        <v>0</v>
      </c>
      <c r="L146" s="160">
        <f>+Orléans!E146+Angers!E146+Thouars!E146+Château!E146+Chartres!E146+Bosc!E146+Cham!E146+Mans!E146+Saumur!E146</f>
        <v>874.55</v>
      </c>
      <c r="M146" s="135">
        <f>+Orléans!F146+Angers!F146+Thouars!F146+Château!F146+Chartres!F146+Bosc!F146+Cham!F146+Mans!F146+Saumur!F146+Chalette!F146</f>
        <v>584.32000000000005</v>
      </c>
      <c r="N146" s="113">
        <f t="shared" si="35"/>
        <v>607.95970948417539</v>
      </c>
      <c r="O146" s="161">
        <f t="shared" si="36"/>
        <v>607.95970948417539</v>
      </c>
      <c r="P146" s="149">
        <f t="shared" si="37"/>
        <v>-0.33186210050883302</v>
      </c>
      <c r="Q146" s="271">
        <f t="shared" si="38"/>
        <v>4.0456786494002153E-2</v>
      </c>
      <c r="R146" s="117">
        <f>+Orléans!D146+Angers!D146+Thouars!D146+Château!D146+Chartres!D146+Bosc!D146+Cham!D146+Mans!D146+Saumur!D146+Chalette!D146</f>
        <v>1107.759903000268</v>
      </c>
      <c r="S146" s="395"/>
    </row>
    <row r="147" spans="1:19" s="2" customFormat="1" ht="11.25">
      <c r="A147" s="5" t="s">
        <v>160</v>
      </c>
      <c r="B147" s="160">
        <f>+Orléans!$G147</f>
        <v>177.29733333333334</v>
      </c>
      <c r="C147" s="113">
        <f>+Angers!$G147</f>
        <v>-155.69480000000004</v>
      </c>
      <c r="D147" s="113">
        <f>+Thouars!$G147</f>
        <v>-3309.9530666666669</v>
      </c>
      <c r="E147" s="113">
        <f>+Château!$G147</f>
        <v>482.7541333333333</v>
      </c>
      <c r="F147" s="113">
        <f>+Chartres!$G147</f>
        <v>2946.2944000000002</v>
      </c>
      <c r="G147" s="113">
        <f>+Bosc!$G147</f>
        <v>1889.0337333333334</v>
      </c>
      <c r="H147" s="113">
        <f>+Cham!$G147</f>
        <v>228.24799999999996</v>
      </c>
      <c r="I147" s="113">
        <f>+Mans!$G147</f>
        <v>-164.03093333333334</v>
      </c>
      <c r="J147" s="113">
        <f>+Saumur!$G147</f>
        <v>0</v>
      </c>
      <c r="K147" s="113">
        <f>+Chalette!$G147</f>
        <v>0</v>
      </c>
      <c r="L147" s="160">
        <f>+Orléans!E147+Angers!E147+Thouars!E147+Château!E147+Chartres!E147+Bosc!E147+Cham!E147+Mans!E147+Saumur!E147</f>
        <v>385.45000000000005</v>
      </c>
      <c r="M147" s="135">
        <f>+Orléans!F147+Angers!F147+Thouars!F147+Château!F147+Chartres!F147+Bosc!F147+Cham!F147+Mans!F147+Saumur!F147+Chalette!F147</f>
        <v>2032.9599999999998</v>
      </c>
      <c r="N147" s="113">
        <f t="shared" si="35"/>
        <v>2093.9487999999997</v>
      </c>
      <c r="O147" s="161">
        <f t="shared" si="36"/>
        <v>2093.9487999999997</v>
      </c>
      <c r="P147" s="149">
        <f t="shared" si="37"/>
        <v>4.2742508755999467</v>
      </c>
      <c r="Q147" s="271">
        <f t="shared" si="38"/>
        <v>2.9999999999999933E-2</v>
      </c>
      <c r="R147" s="117">
        <f>+Orléans!D147+Angers!D147+Thouars!D147+Château!D147+Chartres!D147+Bosc!D147+Cham!D147+Mans!D147+Saumur!D147+Chalette!D147</f>
        <v>4053.0576642300002</v>
      </c>
      <c r="S147" s="395"/>
    </row>
    <row r="148" spans="1:19" s="2" customFormat="1" ht="11.25">
      <c r="A148" s="5" t="s">
        <v>161</v>
      </c>
      <c r="B148" s="160">
        <f>+Orléans!$G148</f>
        <v>0</v>
      </c>
      <c r="C148" s="113">
        <f>+Angers!$G148</f>
        <v>39.565733333333334</v>
      </c>
      <c r="D148" s="113">
        <f>+Thouars!$G148</f>
        <v>0</v>
      </c>
      <c r="E148" s="113">
        <f>+Château!$G148</f>
        <v>0</v>
      </c>
      <c r="F148" s="113">
        <f>+Chartres!$G148</f>
        <v>10.272533333333334</v>
      </c>
      <c r="G148" s="113">
        <f>+Bosc!$G148</f>
        <v>0</v>
      </c>
      <c r="H148" s="113">
        <f>+Cham!$G148</f>
        <v>0</v>
      </c>
      <c r="I148" s="113">
        <f>+Mans!$G148</f>
        <v>0</v>
      </c>
      <c r="J148" s="113">
        <f>+Saumur!$G148</f>
        <v>0</v>
      </c>
      <c r="K148" s="113">
        <f>+Chalette!$G148</f>
        <v>0</v>
      </c>
      <c r="L148" s="160">
        <f>+Orléans!E148+Angers!E148+Thouars!E148+Château!E148+Chartres!E148+Bosc!E148+Cham!E148+Mans!E148+Saumur!E148</f>
        <v>405.3900000000001</v>
      </c>
      <c r="M148" s="135">
        <f>+Orléans!F148+Angers!F148+Thouars!F148+Château!F148+Chartres!F148+Bosc!F148+Cham!F148+Mans!F148+Saumur!F148+Chalette!F148</f>
        <v>48.38666666666667</v>
      </c>
      <c r="N148" s="113">
        <f t="shared" si="35"/>
        <v>49.838266666666669</v>
      </c>
      <c r="O148" s="161">
        <f t="shared" si="36"/>
        <v>49.838266666666669</v>
      </c>
      <c r="P148" s="149">
        <f t="shared" si="37"/>
        <v>-0.88064168660631337</v>
      </c>
      <c r="Q148" s="271">
        <f t="shared" si="38"/>
        <v>2.9999999999999978E-2</v>
      </c>
      <c r="R148" s="117">
        <f>+Orléans!D148+Angers!D148+Thouars!D148+Château!D148+Chartres!D148+Bosc!D148+Cham!D148+Mans!D148+Saumur!D148+Chalette!D148</f>
        <v>283.72305852875002</v>
      </c>
      <c r="S148" s="395"/>
    </row>
    <row r="149" spans="1:19" s="2" customFormat="1" ht="11.25">
      <c r="A149" s="5" t="s">
        <v>162</v>
      </c>
      <c r="B149" s="160">
        <f>+Orléans!$G149</f>
        <v>0</v>
      </c>
      <c r="C149" s="113">
        <f>+Angers!$G149</f>
        <v>0</v>
      </c>
      <c r="D149" s="113">
        <f>+Thouars!$G149</f>
        <v>0</v>
      </c>
      <c r="E149" s="113">
        <f>+Château!$G149</f>
        <v>0</v>
      </c>
      <c r="F149" s="113">
        <f>+Chartres!$G149</f>
        <v>0</v>
      </c>
      <c r="G149" s="113">
        <f>+Bosc!$G149</f>
        <v>0</v>
      </c>
      <c r="H149" s="113">
        <f>+Cham!$G149</f>
        <v>0</v>
      </c>
      <c r="I149" s="113">
        <f>+Mans!$G149</f>
        <v>0</v>
      </c>
      <c r="J149" s="113">
        <f>+Saumur!$G149</f>
        <v>0</v>
      </c>
      <c r="K149" s="113">
        <f>+Chalette!$G149</f>
        <v>0</v>
      </c>
      <c r="L149" s="160">
        <f>+Orléans!E149+Angers!E149+Thouars!E149+Château!E149+Chartres!E149+Bosc!E149+Cham!E149+Mans!E149+Saumur!E149</f>
        <v>514.24</v>
      </c>
      <c r="M149" s="135">
        <f>+Orléans!F149+Angers!F149+Thouars!F149+Château!F149+Chartres!F149+Bosc!F149+Cham!F149+Mans!F149+Saumur!F149+Chalette!F149</f>
        <v>0</v>
      </c>
      <c r="N149" s="113">
        <f t="shared" si="35"/>
        <v>0</v>
      </c>
      <c r="O149" s="161">
        <f t="shared" si="36"/>
        <v>0</v>
      </c>
      <c r="P149" s="149">
        <f t="shared" si="37"/>
        <v>-1</v>
      </c>
      <c r="Q149" s="271">
        <f t="shared" si="38"/>
        <v>0</v>
      </c>
      <c r="R149" s="117">
        <f>+Orléans!D149+Angers!D149+Thouars!D149+Château!D149+Chartres!D149+Bosc!D149+Cham!D149+Mans!D149+Saumur!D149+Chalette!D149</f>
        <v>466.71758474812498</v>
      </c>
      <c r="S149" s="395"/>
    </row>
    <row r="150" spans="1:19" s="2" customFormat="1" ht="11.25">
      <c r="A150" s="5" t="s">
        <v>163</v>
      </c>
      <c r="B150" s="160">
        <f>+Orléans!$G150</f>
        <v>137.33333333333331</v>
      </c>
      <c r="C150" s="113">
        <f>+Angers!$G150</f>
        <v>354.38866666666672</v>
      </c>
      <c r="D150" s="113">
        <f>+Thouars!$G150</f>
        <v>406.50666666666666</v>
      </c>
      <c r="E150" s="113">
        <f>+Château!$G150</f>
        <v>160.74866666666668</v>
      </c>
      <c r="F150" s="113">
        <f>+Chartres!$G150</f>
        <v>230.52773333333337</v>
      </c>
      <c r="G150" s="113">
        <f>+Bosc!$G150</f>
        <v>699.02666666666676</v>
      </c>
      <c r="H150" s="113">
        <f>+Cham!$G150</f>
        <v>346.08</v>
      </c>
      <c r="I150" s="113">
        <f>+Mans!$G150</f>
        <v>472.42666666666662</v>
      </c>
      <c r="J150" s="113">
        <f>+Saumur!$G150</f>
        <v>159.3066666666667</v>
      </c>
      <c r="K150" s="113">
        <f>+Chalette!$G150</f>
        <v>136.38115555555558</v>
      </c>
      <c r="L150" s="160">
        <f>+Orléans!E150+Angers!E150+Thouars!E150+Château!E150+Chartres!E150+Bosc!E150+Cham!E150+Mans!E150+Saumur!E150</f>
        <v>2735.71</v>
      </c>
      <c r="M150" s="135">
        <f>+Orléans!F150+Angers!F150+Thouars!F150+Château!F150+Chartres!F150+Bosc!F150+Cham!F150+Mans!F150+Saumur!F150+Chalette!F150</f>
        <v>2979.2533333333331</v>
      </c>
      <c r="N150" s="113">
        <f t="shared" si="35"/>
        <v>3102.7262222222225</v>
      </c>
      <c r="O150" s="161">
        <f t="shared" si="36"/>
        <v>3102.7262222222225</v>
      </c>
      <c r="P150" s="149">
        <f t="shared" si="37"/>
        <v>8.902381222181191E-2</v>
      </c>
      <c r="Q150" s="271">
        <f t="shared" si="38"/>
        <v>4.144423957083971E-2</v>
      </c>
      <c r="R150" s="117">
        <f>+Orléans!D150+Angers!D150+Thouars!D150+Château!D150+Chartres!D150+Bosc!D150+Cham!D150+Mans!D150+Saumur!D150+Chalette!D150</f>
        <v>3095.475953551369</v>
      </c>
      <c r="S150" s="395"/>
    </row>
    <row r="151" spans="1:19" s="2" customFormat="1" ht="11.25">
      <c r="A151" s="5" t="s">
        <v>570</v>
      </c>
      <c r="B151" s="160">
        <f>+Orléans!$G151</f>
        <v>0</v>
      </c>
      <c r="C151" s="113">
        <f>+Angers!$G151</f>
        <v>0</v>
      </c>
      <c r="D151" s="113">
        <f>+Thouars!$G151</f>
        <v>0</v>
      </c>
      <c r="E151" s="113">
        <f>+Château!$G151</f>
        <v>0</v>
      </c>
      <c r="F151" s="113">
        <f>+Chartres!$G151</f>
        <v>0</v>
      </c>
      <c r="G151" s="113">
        <f>+Bosc!$G151</f>
        <v>0</v>
      </c>
      <c r="H151" s="113">
        <f>+Cham!$G151</f>
        <v>0</v>
      </c>
      <c r="I151" s="113">
        <f>+Mans!$G151</f>
        <v>0</v>
      </c>
      <c r="J151" s="113">
        <f>+Saumur!$G151</f>
        <v>0</v>
      </c>
      <c r="K151" s="113">
        <f>+Chalette!$G151</f>
        <v>0</v>
      </c>
      <c r="L151" s="160">
        <f>+Orléans!E151+Angers!E151+Thouars!E151+Château!E151+Chartres!E151+Bosc!E151+Cham!E151+Mans!E151+Saumur!E151</f>
        <v>0</v>
      </c>
      <c r="M151" s="135">
        <f>+Orléans!F151+Angers!F151+Thouars!F151+Château!F151+Chartres!F151+Bosc!F151+Cham!F151+Mans!F151+Saumur!F151+Chalette!F151</f>
        <v>0</v>
      </c>
      <c r="N151" s="113">
        <f>+O151</f>
        <v>0</v>
      </c>
      <c r="O151" s="161">
        <f>SUM(B151:K151)</f>
        <v>0</v>
      </c>
      <c r="P151" s="149">
        <f>+IF((L151)=0,,(M151-L151)/L151)</f>
        <v>0</v>
      </c>
      <c r="Q151" s="271">
        <f>+IF((M151)=0,,(O151-M151)/M151)</f>
        <v>0</v>
      </c>
      <c r="R151" s="117"/>
      <c r="S151" s="395"/>
    </row>
    <row r="152" spans="1:19" s="2" customFormat="1" ht="11.25">
      <c r="A152" s="5" t="s">
        <v>58</v>
      </c>
      <c r="B152" s="160">
        <f>+Orléans!$G152</f>
        <v>0</v>
      </c>
      <c r="C152" s="113">
        <f>+Angers!$G152</f>
        <v>0</v>
      </c>
      <c r="D152" s="113">
        <f>+Thouars!$G152</f>
        <v>0</v>
      </c>
      <c r="E152" s="113">
        <f>+Château!$G152</f>
        <v>0</v>
      </c>
      <c r="F152" s="113">
        <f>+Chartres!$G152</f>
        <v>0</v>
      </c>
      <c r="G152" s="113">
        <f>+Bosc!$G152</f>
        <v>0</v>
      </c>
      <c r="H152" s="113">
        <f>+Cham!$G152</f>
        <v>0</v>
      </c>
      <c r="I152" s="113">
        <f>+Mans!$G152</f>
        <v>0</v>
      </c>
      <c r="J152" s="113">
        <f>+Saumur!$G152</f>
        <v>0</v>
      </c>
      <c r="K152" s="113">
        <f>+Chalette!$G152</f>
        <v>0</v>
      </c>
      <c r="L152" s="160">
        <f>+Orléans!E152+Angers!E152+Thouars!E152+Château!E152+Chartres!E152+Bosc!E152+Cham!E152+Mans!E152+Saumur!E152</f>
        <v>35687.716800000002</v>
      </c>
      <c r="M152" s="135">
        <f>+Orléans!F152+Angers!F152+Thouars!F152+Château!F152+Chartres!F152+Bosc!F152+Cham!F152+Mans!F152+Saumur!F152+Chalette!F152</f>
        <v>0</v>
      </c>
      <c r="N152" s="113">
        <f t="shared" si="35"/>
        <v>0</v>
      </c>
      <c r="O152" s="161">
        <f t="shared" si="36"/>
        <v>0</v>
      </c>
      <c r="P152" s="149">
        <f t="shared" si="37"/>
        <v>-1</v>
      </c>
      <c r="Q152" s="271">
        <f t="shared" si="38"/>
        <v>0</v>
      </c>
      <c r="R152" s="117">
        <f>+Orléans!D152+Angers!D152+Thouars!D152+Château!D152+Chartres!D152+Bosc!D152+Cham!D152+Mans!D152+Saumur!D152+Chalette!D152</f>
        <v>7772.6248309999992</v>
      </c>
      <c r="S152" s="395"/>
    </row>
    <row r="153" spans="1:19" s="2" customFormat="1" ht="11.25">
      <c r="A153" s="5"/>
      <c r="B153" s="160"/>
      <c r="C153" s="113"/>
      <c r="D153" s="113"/>
      <c r="E153" s="113"/>
      <c r="F153" s="113"/>
      <c r="G153" s="113"/>
      <c r="H153" s="113"/>
      <c r="I153" s="113"/>
      <c r="J153" s="113"/>
      <c r="K153" s="113"/>
      <c r="L153" s="160"/>
      <c r="M153" s="143"/>
      <c r="N153" s="149"/>
      <c r="O153" s="186"/>
      <c r="P153" s="149"/>
      <c r="Q153" s="254"/>
      <c r="R153" s="254"/>
      <c r="S153" s="143"/>
    </row>
    <row r="154" spans="1:19" s="2" customFormat="1" ht="11.25">
      <c r="A154" s="13" t="s">
        <v>164</v>
      </c>
      <c r="B154" s="163">
        <f t="shared" ref="B154:N154" si="39">SUM(B130:B153)</f>
        <v>145566.82660299915</v>
      </c>
      <c r="C154" s="204">
        <f t="shared" si="39"/>
        <v>189207.85942497005</v>
      </c>
      <c r="D154" s="204">
        <f t="shared" si="39"/>
        <v>127425.28248296335</v>
      </c>
      <c r="E154" s="204">
        <f t="shared" si="39"/>
        <v>78316.613260938699</v>
      </c>
      <c r="F154" s="204">
        <f t="shared" si="39"/>
        <v>181784.83674452992</v>
      </c>
      <c r="G154" s="204">
        <f t="shared" si="39"/>
        <v>190573.43380121622</v>
      </c>
      <c r="H154" s="204">
        <f t="shared" si="39"/>
        <v>123398.41341099462</v>
      </c>
      <c r="I154" s="204">
        <f t="shared" si="39"/>
        <v>157115.812190756</v>
      </c>
      <c r="J154" s="204">
        <f t="shared" si="39"/>
        <v>54784.617941599477</v>
      </c>
      <c r="K154" s="204">
        <f>SUM(K130:K153)</f>
        <v>79126.499897130576</v>
      </c>
      <c r="L154" s="163">
        <f t="shared" si="39"/>
        <v>1156232.1067999997</v>
      </c>
      <c r="M154" s="204">
        <f t="shared" si="39"/>
        <v>1198574.6133333337</v>
      </c>
      <c r="N154" s="204">
        <f t="shared" si="39"/>
        <v>1327300.1957580978</v>
      </c>
      <c r="O154" s="168">
        <f>SUM(O130:O153)</f>
        <v>1327300.1957580978</v>
      </c>
      <c r="P154" s="272">
        <f>+IF((L154)=0,,(M154-L154)/L154)</f>
        <v>3.6621112910038112E-2</v>
      </c>
      <c r="Q154" s="188">
        <f>+IF((M154)=0,,(O154-M154)/M154)</f>
        <v>0.10739888947486358</v>
      </c>
      <c r="R154" s="168">
        <f>SUM(R130:R153)</f>
        <v>1259563.8348877432</v>
      </c>
      <c r="S154" s="136"/>
    </row>
    <row r="155" spans="1:19" s="2" customFormat="1" ht="11.25">
      <c r="A155" s="5"/>
      <c r="B155" s="160"/>
      <c r="C155" s="113"/>
      <c r="D155" s="113"/>
      <c r="E155" s="113"/>
      <c r="F155" s="113"/>
      <c r="G155" s="113"/>
      <c r="H155" s="113"/>
      <c r="I155" s="113"/>
      <c r="J155" s="113"/>
      <c r="K155" s="113"/>
      <c r="L155" s="160"/>
      <c r="M155" s="143"/>
      <c r="N155" s="149"/>
      <c r="O155" s="186"/>
      <c r="P155" s="149"/>
      <c r="Q155" s="254"/>
      <c r="R155" s="254"/>
      <c r="S155" s="143"/>
    </row>
    <row r="156" spans="1:19" s="2" customFormat="1" ht="11.25">
      <c r="A156" s="5" t="s">
        <v>227</v>
      </c>
      <c r="B156" s="160">
        <f>+Orléans!$G156</f>
        <v>15411.436488000003</v>
      </c>
      <c r="C156" s="113">
        <f>+Angers!$G156</f>
        <v>16765.091899200004</v>
      </c>
      <c r="D156" s="113">
        <f>+Thouars!$G156</f>
        <v>9740.2386600000027</v>
      </c>
      <c r="E156" s="113">
        <f>+Château!$G156</f>
        <v>7180.2409500000012</v>
      </c>
      <c r="F156" s="113">
        <f>+Chartres!$G156</f>
        <v>15227.216730000002</v>
      </c>
      <c r="G156" s="113">
        <f>+Bosc!$G156</f>
        <v>21087.578556</v>
      </c>
      <c r="H156" s="113">
        <f>+Cham!$G156</f>
        <v>12257.966001600002</v>
      </c>
      <c r="I156" s="113">
        <f>+Mans!$G156</f>
        <v>13676.095404000002</v>
      </c>
      <c r="J156" s="113">
        <f>+Saumur!$G156</f>
        <v>2680.0170818400006</v>
      </c>
      <c r="K156" s="113">
        <f>+Chalette!$G156</f>
        <v>5849.8974360000011</v>
      </c>
      <c r="L156" s="160">
        <f>+Orléans!E156+Angers!E156+Thouars!E156+Château!E156+Chartres!E156+Bosc!E156+Cham!E156+Mans!E156+Saumur!E156</f>
        <v>52186.51</v>
      </c>
      <c r="M156" s="135">
        <f>+Orléans!F156+Angers!F156+Thouars!F156+Château!F156+Chartres!F156+Bosc!F156+Cham!F156+Mans!F156+Saumur!F156+Chalette!F156</f>
        <v>46790.94666666667</v>
      </c>
      <c r="N156" s="113">
        <f t="shared" ref="N156:N166" si="40">+O156</f>
        <v>119875.77920664003</v>
      </c>
      <c r="O156" s="161">
        <f t="shared" ref="O156:O166" si="41">SUM(B156:K156)</f>
        <v>119875.77920664003</v>
      </c>
      <c r="P156" s="149">
        <f>+IF((L156)=0,,(M156-L156)/L156)</f>
        <v>-0.10339000123467408</v>
      </c>
      <c r="Q156" s="271">
        <f>+IF((M156)=0,,(O156-M156)/M156)</f>
        <v>1.5619438747546894</v>
      </c>
      <c r="R156" s="117">
        <f>+Orléans!D156+Angers!D156+Thouars!D156+Château!D156+Chartres!D156+Bosc!D156+Cham!D156+Mans!D156+Saumur!D156+Chalette!D156</f>
        <v>130120.53978799999</v>
      </c>
      <c r="S156" s="570"/>
    </row>
    <row r="157" spans="1:19" s="2" customFormat="1" ht="11.25">
      <c r="A157" s="5" t="s">
        <v>165</v>
      </c>
      <c r="B157" s="160">
        <f>+Orléans!$G157</f>
        <v>0</v>
      </c>
      <c r="C157" s="113">
        <f>+Angers!$G157</f>
        <v>0</v>
      </c>
      <c r="D157" s="113">
        <f>+Thouars!$G157</f>
        <v>0</v>
      </c>
      <c r="E157" s="113">
        <f>+Château!$G157</f>
        <v>0</v>
      </c>
      <c r="F157" s="113">
        <f>+Chartres!$G157</f>
        <v>0</v>
      </c>
      <c r="G157" s="113">
        <f>+Bosc!$G157</f>
        <v>0</v>
      </c>
      <c r="H157" s="113">
        <f>+Cham!$G157</f>
        <v>0</v>
      </c>
      <c r="I157" s="113">
        <f>+Mans!$G157</f>
        <v>0</v>
      </c>
      <c r="J157" s="113">
        <f>+Saumur!$G157</f>
        <v>0</v>
      </c>
      <c r="K157" s="113">
        <f>+Chalette!$G157</f>
        <v>0</v>
      </c>
      <c r="L157" s="160">
        <f>+Orléans!E157+Angers!E157+Thouars!E157+Château!E157+Chartres!E157+Bosc!E157+Cham!E157+Mans!E157+Saumur!E157</f>
        <v>-8256.19</v>
      </c>
      <c r="M157" s="135">
        <f>+Orléans!F157+Angers!F157+Thouars!F157+Château!F157+Chartres!F157+Bosc!F157+Cham!F157+Mans!F157+Saumur!F157+Chalette!F157</f>
        <v>-60799.88</v>
      </c>
      <c r="N157" s="113">
        <f t="shared" si="40"/>
        <v>0</v>
      </c>
      <c r="O157" s="161">
        <f t="shared" si="41"/>
        <v>0</v>
      </c>
      <c r="P157" s="149">
        <f t="shared" ref="P157:P166" si="42">+IF((L157)=0,,(M157-L157)/L157)</f>
        <v>6.3641570748735186</v>
      </c>
      <c r="Q157" s="271">
        <f t="shared" ref="Q157:Q166" si="43">+IF((M157)=0,,(O157-M157)/M157)</f>
        <v>-1</v>
      </c>
      <c r="R157" s="117">
        <f>+Orléans!D157+Angers!D157+Thouars!D157+Château!D157+Chartres!D157+Bosc!D157+Cham!D157+Mans!D157+Saumur!D157+Chalette!D157</f>
        <v>0</v>
      </c>
      <c r="S157" s="395"/>
    </row>
    <row r="158" spans="1:19" s="2" customFormat="1" ht="11.25">
      <c r="A158" s="5" t="s">
        <v>166</v>
      </c>
      <c r="B158" s="160">
        <f>+Orléans!$G158</f>
        <v>0</v>
      </c>
      <c r="C158" s="113">
        <f>+Angers!$G158</f>
        <v>0</v>
      </c>
      <c r="D158" s="113">
        <f>+Thouars!$G158</f>
        <v>0</v>
      </c>
      <c r="E158" s="113">
        <f>+Château!$G158</f>
        <v>0</v>
      </c>
      <c r="F158" s="113">
        <f>+Chartres!$G158</f>
        <v>0</v>
      </c>
      <c r="G158" s="113">
        <f>+Bosc!$G158</f>
        <v>0</v>
      </c>
      <c r="H158" s="113">
        <f>+Cham!$G158</f>
        <v>0</v>
      </c>
      <c r="I158" s="113">
        <f>+Mans!$G158</f>
        <v>0</v>
      </c>
      <c r="J158" s="113">
        <f>+Saumur!$G158</f>
        <v>0</v>
      </c>
      <c r="K158" s="113">
        <f>+Chalette!$G158</f>
        <v>0</v>
      </c>
      <c r="L158" s="160">
        <f>+Orléans!E158+Angers!E158+Thouars!E158+Château!E158+Chartres!E158+Bosc!E158+Cham!E158+Mans!E158+Saumur!E158</f>
        <v>4576.9000000000005</v>
      </c>
      <c r="M158" s="135">
        <f>+Orléans!F158+Angers!F158+Thouars!F158+Château!F158+Chartres!F158+Bosc!F158+Cham!F158+Mans!F158+Saumur!F158+Chalette!F158</f>
        <v>69264.2</v>
      </c>
      <c r="N158" s="113">
        <f t="shared" si="40"/>
        <v>0</v>
      </c>
      <c r="O158" s="161">
        <f t="shared" si="41"/>
        <v>0</v>
      </c>
      <c r="P158" s="149">
        <f t="shared" si="42"/>
        <v>14.133430924861804</v>
      </c>
      <c r="Q158" s="271">
        <f t="shared" si="43"/>
        <v>-1</v>
      </c>
      <c r="R158" s="117">
        <f>+Orléans!D158+Angers!D158+Thouars!D158+Château!D158+Chartres!D158+Bosc!D158+Cham!D158+Mans!D158+Saumur!D158+Chalette!D158</f>
        <v>0</v>
      </c>
      <c r="S158" s="395"/>
    </row>
    <row r="159" spans="1:19" s="2" customFormat="1" ht="11.25">
      <c r="A159" s="5" t="s">
        <v>60</v>
      </c>
      <c r="B159" s="160">
        <f>+Orléans!$G159</f>
        <v>0</v>
      </c>
      <c r="C159" s="113">
        <f>+Angers!$G159</f>
        <v>0</v>
      </c>
      <c r="D159" s="113">
        <f>+Thouars!$G159</f>
        <v>0</v>
      </c>
      <c r="E159" s="113">
        <f>+Château!$G159</f>
        <v>0</v>
      </c>
      <c r="F159" s="113">
        <f>+Chartres!$G159</f>
        <v>0</v>
      </c>
      <c r="G159" s="113">
        <f>+Bosc!$G159</f>
        <v>0</v>
      </c>
      <c r="H159" s="113">
        <f>+Cham!$G159</f>
        <v>0</v>
      </c>
      <c r="I159" s="113">
        <f>+Mans!$G159</f>
        <v>0</v>
      </c>
      <c r="J159" s="113">
        <f>+Saumur!$G159</f>
        <v>0</v>
      </c>
      <c r="K159" s="113">
        <f>+Chalette!$G159</f>
        <v>0</v>
      </c>
      <c r="L159" s="160">
        <f>+Orléans!E159+Angers!E159+Thouars!E159+Château!E159+Chartres!E159+Bosc!E159+Cham!E159+Mans!E159+Saumur!E159</f>
        <v>-14794.429999999998</v>
      </c>
      <c r="M159" s="135">
        <f>+Orléans!F159+Angers!F159+Thouars!F159+Château!F159+Chartres!F159+Bosc!F159+Cham!F159+Mans!F159+Saumur!F159+Chalette!F159</f>
        <v>6687.5066666666662</v>
      </c>
      <c r="N159" s="113">
        <f t="shared" si="40"/>
        <v>0</v>
      </c>
      <c r="O159" s="161">
        <f t="shared" si="41"/>
        <v>0</v>
      </c>
      <c r="P159" s="149">
        <f t="shared" si="42"/>
        <v>-1.4520286801631876</v>
      </c>
      <c r="Q159" s="271">
        <f t="shared" si="43"/>
        <v>-1</v>
      </c>
      <c r="R159" s="117">
        <f>+Orléans!D159+Angers!D159+Thouars!D159+Château!D159+Chartres!D159+Bosc!D159+Cham!D159+Mans!D159+Saumur!D159+Chalette!D159</f>
        <v>0</v>
      </c>
      <c r="S159" s="395"/>
    </row>
    <row r="160" spans="1:19" s="2" customFormat="1" ht="11.25">
      <c r="A160" s="5" t="s">
        <v>199</v>
      </c>
      <c r="B160" s="160">
        <f>+Orléans!$G160</f>
        <v>0</v>
      </c>
      <c r="C160" s="113">
        <f>+Angers!$G160</f>
        <v>0</v>
      </c>
      <c r="D160" s="113">
        <f>+Thouars!$G160</f>
        <v>0</v>
      </c>
      <c r="E160" s="113">
        <f>+Château!$G160</f>
        <v>0</v>
      </c>
      <c r="F160" s="113">
        <f>+Chartres!$G160</f>
        <v>0</v>
      </c>
      <c r="G160" s="113">
        <f>+Bosc!$G160</f>
        <v>0</v>
      </c>
      <c r="H160" s="113">
        <f>+Cham!$G160</f>
        <v>0</v>
      </c>
      <c r="I160" s="113">
        <f>+Mans!$G160</f>
        <v>0</v>
      </c>
      <c r="J160" s="113">
        <f>+Saumur!$G160</f>
        <v>0</v>
      </c>
      <c r="K160" s="113">
        <f>+Chalette!$G160</f>
        <v>0</v>
      </c>
      <c r="L160" s="160">
        <f>+Orléans!E160+Angers!E160+Thouars!E160+Château!E160+Chartres!E160+Bosc!E160+Cham!E160+Mans!E160+Saumur!E160</f>
        <v>4.87</v>
      </c>
      <c r="M160" s="135">
        <f>+Orléans!F160+Angers!F160+Thouars!F160+Château!F160+Chartres!F160+Bosc!F160+Cham!F160+Mans!F160+Saumur!F160+Chalette!F160</f>
        <v>25.733333333333334</v>
      </c>
      <c r="N160" s="113">
        <f t="shared" si="40"/>
        <v>0</v>
      </c>
      <c r="O160" s="161">
        <f t="shared" si="41"/>
        <v>0</v>
      </c>
      <c r="P160" s="149">
        <f t="shared" si="42"/>
        <v>4.2840520191649558</v>
      </c>
      <c r="Q160" s="271">
        <f t="shared" si="43"/>
        <v>-1</v>
      </c>
      <c r="R160" s="117">
        <f>+Orléans!D160+Angers!D160+Thouars!D160+Château!D160+Chartres!D160+Bosc!D160+Cham!D160+Mans!D160+Saumur!D160+Chalette!D160</f>
        <v>0</v>
      </c>
      <c r="S160" s="395"/>
    </row>
    <row r="161" spans="1:19" s="2" customFormat="1" ht="11.25">
      <c r="A161" s="5" t="s">
        <v>41</v>
      </c>
      <c r="B161" s="160">
        <f>+Orléans!$G161</f>
        <v>115.26386666666669</v>
      </c>
      <c r="C161" s="113">
        <f>+Angers!$G161</f>
        <v>101.66786666666667</v>
      </c>
      <c r="D161" s="113">
        <f>+Thouars!$G161</f>
        <v>408.27826666666664</v>
      </c>
      <c r="E161" s="113">
        <f>+Château!$G161</f>
        <v>0</v>
      </c>
      <c r="F161" s="113">
        <f>+Chartres!$G161</f>
        <v>878.23293333333334</v>
      </c>
      <c r="G161" s="113">
        <f>+Bosc!$G161</f>
        <v>155.36520000000002</v>
      </c>
      <c r="H161" s="113">
        <f>+Cham!$G161</f>
        <v>139.90146666666666</v>
      </c>
      <c r="I161" s="113">
        <f>+Mans!$G161</f>
        <v>-36.283466666666669</v>
      </c>
      <c r="J161" s="113">
        <f>+Saumur!$G161</f>
        <v>0</v>
      </c>
      <c r="K161" s="113">
        <f>+Chalette!$G161</f>
        <v>0</v>
      </c>
      <c r="L161" s="160">
        <f>+Orléans!E161+Angers!E161+Thouars!E161+Château!E161+Chartres!E161+Bosc!E161+Cham!E161+Mans!E161+Saumur!E161</f>
        <v>1795.7600000000002</v>
      </c>
      <c r="M161" s="135">
        <f>+Orléans!F161+Angers!F161+Thouars!F161+Château!F161+Chartres!F161+Bosc!F161+Cham!F161+Mans!F161+Saumur!F161+Chalette!F161</f>
        <v>1711.093333333333</v>
      </c>
      <c r="N161" s="113">
        <f t="shared" si="40"/>
        <v>1762.4261333333332</v>
      </c>
      <c r="O161" s="161">
        <f t="shared" si="41"/>
        <v>1762.4261333333332</v>
      </c>
      <c r="P161" s="149">
        <f t="shared" si="42"/>
        <v>-4.7148096998856859E-2</v>
      </c>
      <c r="Q161" s="271">
        <f t="shared" si="43"/>
        <v>3.0000000000000082E-2</v>
      </c>
      <c r="R161" s="117">
        <f>+Orléans!D161+Angers!D161+Thouars!D161+Château!D161+Chartres!D161+Bosc!D161+Cham!D161+Mans!D161+Saumur!D161+Chalette!D161</f>
        <v>1765.2601362254313</v>
      </c>
      <c r="S161" s="395"/>
    </row>
    <row r="162" spans="1:19" s="2" customFormat="1" ht="11.25">
      <c r="A162" s="5" t="s">
        <v>355</v>
      </c>
      <c r="B162" s="160">
        <f>+Orléans!$G162</f>
        <v>4.9302666666666664</v>
      </c>
      <c r="C162" s="113">
        <f>+Angers!$G162</f>
        <v>0</v>
      </c>
      <c r="D162" s="113">
        <f>+Thouars!$G162</f>
        <v>29.595333333333336</v>
      </c>
      <c r="E162" s="113">
        <f>+Château!$G162</f>
        <v>0</v>
      </c>
      <c r="F162" s="113">
        <f>+Chartres!$G162</f>
        <v>9.0502666666666673</v>
      </c>
      <c r="G162" s="113">
        <f>+Bosc!$G162</f>
        <v>19.707333333333334</v>
      </c>
      <c r="H162" s="113">
        <f>+Cham!$G162</f>
        <v>13.980533333333334</v>
      </c>
      <c r="I162" s="113">
        <f>+Mans!$G162</f>
        <v>0</v>
      </c>
      <c r="J162" s="113">
        <f>+Saumur!$G162</f>
        <v>0</v>
      </c>
      <c r="K162" s="113">
        <f>+Chalette!$G162</f>
        <v>0</v>
      </c>
      <c r="L162" s="160">
        <f>+Orléans!E162+Angers!E162+Thouars!E162+Château!E162+Chartres!E162+Bosc!E162+Cham!E162+Mans!E162+Saumur!E162</f>
        <v>79.010000000000005</v>
      </c>
      <c r="M162" s="135">
        <f>+Orléans!F162+Angers!F162+Thouars!F162+Château!F162+Chartres!F162+Bosc!F162+Cham!F162+Mans!F162+Saumur!F162+Chalette!F162</f>
        <v>113.33333333333333</v>
      </c>
      <c r="N162" s="113">
        <f t="shared" si="40"/>
        <v>77.263733333333334</v>
      </c>
      <c r="O162" s="161">
        <f t="shared" si="41"/>
        <v>77.263733333333334</v>
      </c>
      <c r="P162" s="149">
        <f t="shared" si="42"/>
        <v>0.43441758427203292</v>
      </c>
      <c r="Q162" s="271">
        <f t="shared" si="43"/>
        <v>-0.31826117647058821</v>
      </c>
      <c r="R162" s="117">
        <f>+Orléans!D162+Angers!D162+Thouars!D162+Château!D162+Chartres!D162+Bosc!D162+Cham!D162+Mans!D162+Saumur!D162+Chalette!D162</f>
        <v>83.680024456272221</v>
      </c>
      <c r="S162" s="395"/>
    </row>
    <row r="163" spans="1:19" s="2" customFormat="1" ht="11.25">
      <c r="A163" s="5" t="s">
        <v>200</v>
      </c>
      <c r="B163" s="160">
        <f>+Orléans!$G163</f>
        <v>861.10746666666671</v>
      </c>
      <c r="C163" s="113">
        <f>+Angers!$G163</f>
        <v>1820.4769333333331</v>
      </c>
      <c r="D163" s="113">
        <f>+Thouars!$G163</f>
        <v>25.804933333333334</v>
      </c>
      <c r="E163" s="113">
        <f>+Château!$G163</f>
        <v>18.814666666666668</v>
      </c>
      <c r="F163" s="113">
        <f>+Chartres!$G163</f>
        <v>345.00880000000006</v>
      </c>
      <c r="G163" s="113">
        <f>+Bosc!$G163</f>
        <v>0</v>
      </c>
      <c r="H163" s="113">
        <f>+Cham!$G163</f>
        <v>0</v>
      </c>
      <c r="I163" s="113">
        <f>+Mans!$G163</f>
        <v>0</v>
      </c>
      <c r="J163" s="113">
        <f>+Saumur!$G163</f>
        <v>0</v>
      </c>
      <c r="K163" s="113">
        <f>+Chalette!$G163</f>
        <v>0</v>
      </c>
      <c r="L163" s="160">
        <f>+Orléans!E163+Angers!E163+Thouars!E163+Château!E163+Chartres!E163+Bosc!E163+Cham!E163+Mans!E163+Saumur!E163</f>
        <v>4487.01</v>
      </c>
      <c r="M163" s="135">
        <f>+Orléans!F163+Angers!F163+Thouars!F163+Château!F163+Chartres!F163+Bosc!F163+Cham!F163+Mans!F163+Saumur!F163+Chalette!F163</f>
        <v>2981.7599999999998</v>
      </c>
      <c r="N163" s="113">
        <f t="shared" si="40"/>
        <v>3071.2127999999998</v>
      </c>
      <c r="O163" s="161">
        <f t="shared" si="41"/>
        <v>3071.2127999999998</v>
      </c>
      <c r="P163" s="149">
        <f t="shared" si="42"/>
        <v>-0.33546838540587171</v>
      </c>
      <c r="Q163" s="271">
        <f t="shared" si="43"/>
        <v>3.0000000000000009E-2</v>
      </c>
      <c r="R163" s="117">
        <f>+Orléans!D163+Angers!D163+Thouars!D163+Château!D163+Chartres!D163+Bosc!D163+Cham!D163+Mans!D163+Saumur!D163+Chalette!D163</f>
        <v>4548.4394406061765</v>
      </c>
      <c r="S163" s="395"/>
    </row>
    <row r="164" spans="1:19" s="2" customFormat="1" ht="11.25">
      <c r="A164" s="5" t="s">
        <v>271</v>
      </c>
      <c r="B164" s="160">
        <f>+Orléans!$G164</f>
        <v>-12.36</v>
      </c>
      <c r="C164" s="113">
        <f>+Angers!$G164</f>
        <v>0</v>
      </c>
      <c r="D164" s="113">
        <f>+Thouars!$G164</f>
        <v>-24.72</v>
      </c>
      <c r="E164" s="113">
        <f>+Château!$G164</f>
        <v>-47.38</v>
      </c>
      <c r="F164" s="113">
        <f>+Chartres!$G164</f>
        <v>-12.36</v>
      </c>
      <c r="G164" s="113">
        <f>+Bosc!$G164</f>
        <v>0</v>
      </c>
      <c r="H164" s="113">
        <f>+Cham!$G164</f>
        <v>-12.36</v>
      </c>
      <c r="I164" s="113">
        <f>+Mans!$G164</f>
        <v>0</v>
      </c>
      <c r="J164" s="113">
        <f>+Saumur!$G164</f>
        <v>0</v>
      </c>
      <c r="K164" s="113">
        <f>+Chalette!$G164</f>
        <v>0</v>
      </c>
      <c r="L164" s="160">
        <f>+Orléans!E164+Angers!E164+Thouars!E164+Château!E164+Chartres!E164+Bosc!E164+Cham!E164+Mans!E164+Saumur!E164</f>
        <v>-152.5</v>
      </c>
      <c r="M164" s="135">
        <f>+Orléans!F164+Angers!F164+Thouars!F164+Château!F164+Chartres!F164+Bosc!F164+Cham!F164+Mans!F164+Saumur!F164+Chalette!F164</f>
        <v>-130</v>
      </c>
      <c r="N164" s="113">
        <f t="shared" si="40"/>
        <v>-109.18</v>
      </c>
      <c r="O164" s="161">
        <f t="shared" si="41"/>
        <v>-109.18</v>
      </c>
      <c r="P164" s="149">
        <f t="shared" si="42"/>
        <v>-0.14754098360655737</v>
      </c>
      <c r="Q164" s="271">
        <f t="shared" si="43"/>
        <v>-0.16015384615384609</v>
      </c>
      <c r="R164" s="117">
        <f>+Orléans!D164+Angers!D164+Thouars!D164+Château!D164+Chartres!D164+Bosc!D164+Cham!D164+Mans!D164+Saumur!D164+Chalette!D164</f>
        <v>-167.88698605466354</v>
      </c>
      <c r="S164" s="395"/>
    </row>
    <row r="165" spans="1:19" s="2" customFormat="1" ht="11.25">
      <c r="A165" s="5" t="s">
        <v>242</v>
      </c>
      <c r="B165" s="160">
        <f>+Orléans!$G165</f>
        <v>401.7</v>
      </c>
      <c r="C165" s="113">
        <f>+Angers!$G165</f>
        <v>197.76</v>
      </c>
      <c r="D165" s="113">
        <f>+Thouars!$G165</f>
        <v>157.93333333333334</v>
      </c>
      <c r="E165" s="113">
        <f>+Château!$G165</f>
        <v>146.26</v>
      </c>
      <c r="F165" s="113">
        <f>+Chartres!$G165</f>
        <v>269.86</v>
      </c>
      <c r="G165" s="113">
        <f>+Bosc!$G165</f>
        <v>401.5626666666667</v>
      </c>
      <c r="H165" s="113">
        <f>+Cham!$G165</f>
        <v>61.800000000000004</v>
      </c>
      <c r="I165" s="113">
        <f>+Mans!$G165</f>
        <v>166.58533333333335</v>
      </c>
      <c r="J165" s="113">
        <f>+Saumur!$G165</f>
        <v>72.100000000000009</v>
      </c>
      <c r="K165" s="113">
        <f>+Chalette!$G165</f>
        <v>0</v>
      </c>
      <c r="L165" s="160">
        <f>+Orléans!E165+Angers!E165+Thouars!E165+Château!E165+Chartres!E165+Bosc!E165+Cham!E165+Mans!E165+Saumur!E165</f>
        <v>1649.5</v>
      </c>
      <c r="M165" s="135">
        <f>+Orléans!F165+Angers!F165+Thouars!F165+Château!F165+Chartres!F165+Bosc!F165+Cham!F165+Mans!F165+Saumur!F165+Chalette!F165</f>
        <v>1820.9333333333336</v>
      </c>
      <c r="N165" s="113">
        <f t="shared" si="40"/>
        <v>1875.5613333333333</v>
      </c>
      <c r="O165" s="161">
        <f t="shared" si="41"/>
        <v>1875.5613333333333</v>
      </c>
      <c r="P165" s="149">
        <f t="shared" si="42"/>
        <v>0.10393048398504615</v>
      </c>
      <c r="Q165" s="271">
        <f t="shared" si="43"/>
        <v>2.9999999999999832E-2</v>
      </c>
      <c r="R165" s="117">
        <f>+Orléans!D165+Angers!D165+Thouars!D165+Château!D165+Chartres!D165+Bosc!D165+Cham!D165+Mans!D165+Saumur!D165+Chalette!D165</f>
        <v>1576.5314542644894</v>
      </c>
      <c r="S165" s="395"/>
    </row>
    <row r="166" spans="1:19" s="2" customFormat="1" ht="11.25">
      <c r="A166" s="5" t="s">
        <v>201</v>
      </c>
      <c r="B166" s="160">
        <f>+Orléans!$G166</f>
        <v>0</v>
      </c>
      <c r="C166" s="113">
        <f>+Angers!$G166</f>
        <v>0</v>
      </c>
      <c r="D166" s="113">
        <f>+Thouars!$G166</f>
        <v>0</v>
      </c>
      <c r="E166" s="113">
        <f>+Château!$G166</f>
        <v>0</v>
      </c>
      <c r="F166" s="113">
        <f>+Chartres!$G166</f>
        <v>0</v>
      </c>
      <c r="G166" s="113">
        <f>+Bosc!$G166</f>
        <v>0</v>
      </c>
      <c r="H166" s="113">
        <f>+Cham!$G166</f>
        <v>0</v>
      </c>
      <c r="I166" s="113">
        <f>+Mans!$G166</f>
        <v>0</v>
      </c>
      <c r="J166" s="113">
        <f>+Saumur!$G166</f>
        <v>0</v>
      </c>
      <c r="K166" s="113">
        <f>+Chalette!$G166</f>
        <v>0</v>
      </c>
      <c r="L166" s="160">
        <f>+Orléans!E166+Angers!E166+Thouars!E166+Château!E166+Chartres!E166+Bosc!E166+Cham!E166+Mans!E166+Saumur!E166</f>
        <v>0</v>
      </c>
      <c r="M166" s="135">
        <f>+Orléans!F166+Angers!F166+Thouars!F166+Château!F166+Chartres!F166+Bosc!F166+Cham!F166+Mans!F166+Saumur!F166+Chalette!F166</f>
        <v>0</v>
      </c>
      <c r="N166" s="113">
        <f t="shared" si="40"/>
        <v>0</v>
      </c>
      <c r="O166" s="161">
        <f t="shared" si="41"/>
        <v>0</v>
      </c>
      <c r="P166" s="149">
        <f t="shared" si="42"/>
        <v>0</v>
      </c>
      <c r="Q166" s="271">
        <f t="shared" si="43"/>
        <v>0</v>
      </c>
      <c r="R166" s="117">
        <f>+Orléans!D166+Angers!D166+Thouars!D166+Château!D166+Chartres!D166+Bosc!D166+Cham!D166+Mans!D166+Saumur!D166+Chalette!D166</f>
        <v>0</v>
      </c>
      <c r="S166" s="395"/>
    </row>
    <row r="167" spans="1:19" s="2" customFormat="1" ht="11.25">
      <c r="A167" s="5"/>
      <c r="B167" s="160"/>
      <c r="C167" s="113"/>
      <c r="D167" s="113"/>
      <c r="E167" s="113"/>
      <c r="F167" s="113"/>
      <c r="G167" s="113"/>
      <c r="H167" s="113"/>
      <c r="I167" s="113"/>
      <c r="J167" s="113"/>
      <c r="K167" s="113"/>
      <c r="L167" s="160"/>
      <c r="M167" s="143"/>
      <c r="N167" s="149"/>
      <c r="O167" s="186"/>
      <c r="P167" s="149"/>
      <c r="Q167" s="254"/>
      <c r="R167" s="254"/>
      <c r="S167" s="143"/>
    </row>
    <row r="168" spans="1:19" s="2" customFormat="1" ht="11.25">
      <c r="A168" s="13" t="s">
        <v>74</v>
      </c>
      <c r="B168" s="163">
        <f t="shared" ref="B168:N168" si="44">SUM(B155:B167)</f>
        <v>16782.078088000002</v>
      </c>
      <c r="C168" s="204">
        <f t="shared" si="44"/>
        <v>18884.996699200001</v>
      </c>
      <c r="D168" s="204">
        <f t="shared" si="44"/>
        <v>10337.130526666668</v>
      </c>
      <c r="E168" s="204">
        <f t="shared" si="44"/>
        <v>7297.9356166666685</v>
      </c>
      <c r="F168" s="204">
        <f t="shared" si="44"/>
        <v>16717.008730000001</v>
      </c>
      <c r="G168" s="204">
        <f t="shared" si="44"/>
        <v>21664.213755999997</v>
      </c>
      <c r="H168" s="204">
        <f t="shared" si="44"/>
        <v>12461.2880016</v>
      </c>
      <c r="I168" s="204">
        <f t="shared" si="44"/>
        <v>13806.397270666668</v>
      </c>
      <c r="J168" s="204">
        <f t="shared" si="44"/>
        <v>2752.1170818400005</v>
      </c>
      <c r="K168" s="204">
        <f>SUM(K155:K167)</f>
        <v>5849.8974360000011</v>
      </c>
      <c r="L168" s="163">
        <f t="shared" si="44"/>
        <v>41576.44000000001</v>
      </c>
      <c r="M168" s="204">
        <f t="shared" si="44"/>
        <v>68465.626666666663</v>
      </c>
      <c r="N168" s="204">
        <f t="shared" si="44"/>
        <v>126553.06320664003</v>
      </c>
      <c r="O168" s="168">
        <f>SUM(O155:O167)</f>
        <v>126553.06320664003</v>
      </c>
      <c r="P168" s="272">
        <f>+IF((L168)=0,,(M168-L168)/L168)</f>
        <v>0.64674095874169713</v>
      </c>
      <c r="Q168" s="188">
        <f>+IF((M168)=0,,(O168-M168)/M168)</f>
        <v>0.8484175106258679</v>
      </c>
      <c r="R168" s="168">
        <f>SUM(R155:R167)</f>
        <v>137926.56385749771</v>
      </c>
      <c r="S168" s="136"/>
    </row>
    <row r="169" spans="1:19" s="2" customFormat="1" ht="11.25">
      <c r="A169" s="5"/>
      <c r="B169" s="160"/>
      <c r="C169" s="113"/>
      <c r="D169" s="113"/>
      <c r="E169" s="113"/>
      <c r="F169" s="113"/>
      <c r="G169" s="113"/>
      <c r="H169" s="113"/>
      <c r="I169" s="113"/>
      <c r="J169" s="113"/>
      <c r="K169" s="113"/>
      <c r="L169" s="160"/>
      <c r="M169" s="143"/>
      <c r="N169" s="149"/>
      <c r="O169" s="186"/>
      <c r="P169" s="149"/>
      <c r="Q169" s="271"/>
      <c r="R169" s="254"/>
      <c r="S169" s="143"/>
    </row>
    <row r="170" spans="1:19" s="2" customFormat="1" ht="11.25">
      <c r="A170" s="5" t="s">
        <v>167</v>
      </c>
      <c r="B170" s="160">
        <f>+Orléans!$G170</f>
        <v>0</v>
      </c>
      <c r="C170" s="113">
        <f>+Angers!$G170</f>
        <v>0</v>
      </c>
      <c r="D170" s="113">
        <f>+Thouars!$G170</f>
        <v>0</v>
      </c>
      <c r="E170" s="113">
        <f>+Château!$G170</f>
        <v>0</v>
      </c>
      <c r="F170" s="113">
        <f>+Chartres!$G170</f>
        <v>0</v>
      </c>
      <c r="G170" s="113">
        <f>+Bosc!$G170</f>
        <v>0</v>
      </c>
      <c r="H170" s="113">
        <f>+Cham!$G170</f>
        <v>0</v>
      </c>
      <c r="I170" s="113">
        <f>+Mans!$G170</f>
        <v>0</v>
      </c>
      <c r="J170" s="113">
        <f>+Saumur!$G170</f>
        <v>0</v>
      </c>
      <c r="K170" s="113">
        <f>+Chalette!$G170</f>
        <v>0</v>
      </c>
      <c r="L170" s="160">
        <f>+Orléans!E170+Angers!E170+Thouars!E170+Château!E170+Chartres!E170+Bosc!E170+Cham!E170+Mans!E170+Saumur!E170</f>
        <v>0</v>
      </c>
      <c r="M170" s="135">
        <f>+Orléans!F170+Angers!F170+Thouars!F170+Château!F170+Chartres!F170+Bosc!F170+Cham!F170+Mans!F170+Saumur!F170+Chalette!F170</f>
        <v>1667</v>
      </c>
      <c r="N170" s="113">
        <f t="shared" ref="N170:N183" si="45">+O170</f>
        <v>0</v>
      </c>
      <c r="O170" s="161">
        <f t="shared" ref="O170:O183" si="46">SUM(B170:K170)</f>
        <v>0</v>
      </c>
      <c r="P170" s="149">
        <f>+IF((L170)=0,,(M170-L170)/L170)</f>
        <v>0</v>
      </c>
      <c r="Q170" s="271">
        <f>+IF((M170)=0,,(O170-M170)/M170)</f>
        <v>-1</v>
      </c>
      <c r="R170" s="117">
        <f>+Orléans!D170+Angers!D170+Thouars!D170+Château!D170+Chartres!D170+Bosc!D170+Cham!D170+Mans!D170+Saumur!D170+Chalette!D170</f>
        <v>0</v>
      </c>
      <c r="S170" s="395"/>
    </row>
    <row r="171" spans="1:19" s="2" customFormat="1" ht="11.25">
      <c r="A171" s="5" t="s">
        <v>168</v>
      </c>
      <c r="B171" s="160">
        <f>+Orléans!$G171</f>
        <v>0</v>
      </c>
      <c r="C171" s="113">
        <f>+Angers!$G171</f>
        <v>258.74973333333332</v>
      </c>
      <c r="D171" s="113">
        <f>+Thouars!$G171</f>
        <v>0</v>
      </c>
      <c r="E171" s="113">
        <f>+Château!$G171</f>
        <v>0</v>
      </c>
      <c r="F171" s="113">
        <f>+Chartres!$G171</f>
        <v>0</v>
      </c>
      <c r="G171" s="113">
        <f>+Bosc!$G171</f>
        <v>0</v>
      </c>
      <c r="H171" s="113">
        <f>+Cham!$G171</f>
        <v>0</v>
      </c>
      <c r="I171" s="113">
        <f>+Mans!$G171</f>
        <v>0</v>
      </c>
      <c r="J171" s="113">
        <f>+Saumur!$G171</f>
        <v>0</v>
      </c>
      <c r="K171" s="113">
        <f>+Chalette!$G171</f>
        <v>0</v>
      </c>
      <c r="L171" s="160">
        <f>+Orléans!E171+Angers!E171+Thouars!E171+Château!E171+Chartres!E171+Bosc!E171+Cham!E171+Mans!E171+Saumur!E171</f>
        <v>155.85</v>
      </c>
      <c r="M171" s="135">
        <f>+Orléans!F171+Angers!F171+Thouars!F171+Château!F171+Chartres!F171+Bosc!F171+Cham!F171+Mans!F171+Saumur!F171+Chalette!F171</f>
        <v>251.21333333333334</v>
      </c>
      <c r="N171" s="113">
        <f t="shared" si="45"/>
        <v>258.74973333333332</v>
      </c>
      <c r="O171" s="161">
        <f t="shared" si="46"/>
        <v>258.74973333333332</v>
      </c>
      <c r="P171" s="149">
        <f t="shared" ref="P171:P183" si="47">+IF((L171)=0,,(M171-L171)/L171)</f>
        <v>0.61189177628061175</v>
      </c>
      <c r="Q171" s="271">
        <f t="shared" ref="Q171:Q183" si="48">+IF((M171)=0,,(O171-M171)/M171)</f>
        <v>2.9999999999999943E-2</v>
      </c>
      <c r="R171" s="117">
        <f>+Orléans!D171+Angers!D171+Thouars!D171+Château!D171+Chartres!D171+Bosc!D171+Cham!D171+Mans!D171+Saumur!D171+Chalette!D171</f>
        <v>224.49998421986146</v>
      </c>
      <c r="S171" s="395"/>
    </row>
    <row r="172" spans="1:19" s="2" customFormat="1" ht="11.25">
      <c r="A172" s="5" t="s">
        <v>169</v>
      </c>
      <c r="B172" s="160">
        <f>+Orléans!$G172</f>
        <v>0</v>
      </c>
      <c r="C172" s="113">
        <f>+Angers!$G172</f>
        <v>0</v>
      </c>
      <c r="D172" s="113">
        <f>+Thouars!$G172</f>
        <v>0</v>
      </c>
      <c r="E172" s="113">
        <f>+Château!$G172</f>
        <v>0</v>
      </c>
      <c r="F172" s="113">
        <f>+Chartres!$G172</f>
        <v>0</v>
      </c>
      <c r="G172" s="113">
        <f>+Bosc!$G172</f>
        <v>0</v>
      </c>
      <c r="H172" s="113">
        <f>+Cham!$G172</f>
        <v>0</v>
      </c>
      <c r="I172" s="113">
        <f>+Mans!$G172</f>
        <v>0</v>
      </c>
      <c r="J172" s="113">
        <f>+Saumur!$G172</f>
        <v>0</v>
      </c>
      <c r="K172" s="113">
        <f>+Chalette!$G172</f>
        <v>0</v>
      </c>
      <c r="L172" s="160">
        <f>+Orléans!E172+Angers!E172+Thouars!E172+Château!E172+Chartres!E172+Bosc!E172+Cham!E172+Mans!E172+Saumur!E172</f>
        <v>0</v>
      </c>
      <c r="M172" s="135">
        <f>+Orléans!F172+Angers!F172+Thouars!F172+Château!F172+Chartres!F172+Bosc!F172+Cham!F172+Mans!F172+Saumur!F172+Chalette!F172</f>
        <v>173</v>
      </c>
      <c r="N172" s="113">
        <f t="shared" si="45"/>
        <v>0</v>
      </c>
      <c r="O172" s="161">
        <f t="shared" si="46"/>
        <v>0</v>
      </c>
      <c r="P172" s="149">
        <f t="shared" si="47"/>
        <v>0</v>
      </c>
      <c r="Q172" s="271">
        <f t="shared" si="48"/>
        <v>-1</v>
      </c>
      <c r="R172" s="117">
        <f>+Orléans!D172+Angers!D172+Thouars!D172+Château!D172+Chartres!D172+Bosc!D172+Cham!D172+Mans!D172+Saumur!D172+Chalette!D172</f>
        <v>25.450991000000002</v>
      </c>
      <c r="S172" s="395"/>
    </row>
    <row r="173" spans="1:19" s="2" customFormat="1" ht="11.25">
      <c r="A173" s="5" t="s">
        <v>170</v>
      </c>
      <c r="B173" s="160">
        <f>+Orléans!$G173</f>
        <v>4699.079733333333</v>
      </c>
      <c r="C173" s="113">
        <f>+Angers!$G173</f>
        <v>0</v>
      </c>
      <c r="D173" s="113">
        <f>+Thouars!$G173</f>
        <v>0</v>
      </c>
      <c r="E173" s="113">
        <f>+Château!$G173</f>
        <v>46.528533333333343</v>
      </c>
      <c r="F173" s="113">
        <f>+Chartres!$G173</f>
        <v>0</v>
      </c>
      <c r="G173" s="113">
        <f>+Bosc!$G173</f>
        <v>0.30213333333333336</v>
      </c>
      <c r="H173" s="113">
        <f>+Cham!$G173</f>
        <v>20.613733333333336</v>
      </c>
      <c r="I173" s="113">
        <f>+Mans!$G173</f>
        <v>0</v>
      </c>
      <c r="J173" s="113">
        <f>+Saumur!$G173</f>
        <v>0</v>
      </c>
      <c r="K173" s="113">
        <f>+Chalette!$G173</f>
        <v>0</v>
      </c>
      <c r="L173" s="160">
        <f>+Orléans!E173+Angers!E173+Thouars!E173+Château!E173+Chartres!E173+Bosc!E173+Cham!E173+Mans!E173+Saumur!E173</f>
        <v>9992.5300000000007</v>
      </c>
      <c r="M173" s="135">
        <f>+Orléans!F173+Angers!F173+Thouars!F173+Château!F173+Chartres!F173+Bosc!F173+Cham!F173+Mans!F173+Saumur!F173+Chalette!F173</f>
        <v>4651.8533333333326</v>
      </c>
      <c r="N173" s="113">
        <f t="shared" si="45"/>
        <v>4766.5241333333333</v>
      </c>
      <c r="O173" s="161">
        <f t="shared" si="46"/>
        <v>4766.5241333333333</v>
      </c>
      <c r="P173" s="149">
        <f t="shared" si="47"/>
        <v>-0.53446691345101471</v>
      </c>
      <c r="Q173" s="271">
        <f t="shared" si="48"/>
        <v>2.4650562213196919E-2</v>
      </c>
      <c r="R173" s="117">
        <f>+Orléans!D173+Angers!D173+Thouars!D173+Château!D173+Chartres!D173+Bosc!D173+Cham!D173+Mans!D173+Saumur!D173+Chalette!D173</f>
        <v>1406.5370999999998</v>
      </c>
      <c r="S173" s="395"/>
    </row>
    <row r="174" spans="1:19" s="2" customFormat="1" ht="11.25">
      <c r="A174" s="5" t="s">
        <v>171</v>
      </c>
      <c r="B174" s="160">
        <f>+Orléans!$G174</f>
        <v>0</v>
      </c>
      <c r="C174" s="113">
        <f>+Angers!$G174</f>
        <v>0</v>
      </c>
      <c r="D174" s="113">
        <f>+Thouars!$G174</f>
        <v>0</v>
      </c>
      <c r="E174" s="113">
        <f>+Château!$G174</f>
        <v>0</v>
      </c>
      <c r="F174" s="113">
        <f>+Chartres!$G174</f>
        <v>0</v>
      </c>
      <c r="G174" s="113">
        <f>+Bosc!$G174</f>
        <v>0</v>
      </c>
      <c r="H174" s="113">
        <f>+Cham!$G174</f>
        <v>0</v>
      </c>
      <c r="I174" s="113">
        <f>+Mans!$G174</f>
        <v>0</v>
      </c>
      <c r="J174" s="113">
        <f>+Saumur!$G174</f>
        <v>0</v>
      </c>
      <c r="K174" s="113">
        <f>+Chalette!$G174</f>
        <v>0</v>
      </c>
      <c r="L174" s="160">
        <f>+Orléans!E174+Angers!E174+Thouars!E174+Château!E174+Chartres!E174+Bosc!E174+Cham!E174+Mans!E174+Saumur!E174</f>
        <v>0</v>
      </c>
      <c r="M174" s="135">
        <f>+Orléans!F174+Angers!F174+Thouars!F174+Château!F174+Chartres!F174+Bosc!F174+Cham!F174+Mans!F174+Saumur!F174+Chalette!F174</f>
        <v>0</v>
      </c>
      <c r="N174" s="113">
        <f t="shared" si="45"/>
        <v>0</v>
      </c>
      <c r="O174" s="161">
        <f t="shared" si="46"/>
        <v>0</v>
      </c>
      <c r="P174" s="149">
        <f t="shared" si="47"/>
        <v>0</v>
      </c>
      <c r="Q174" s="271">
        <f t="shared" si="48"/>
        <v>0</v>
      </c>
      <c r="R174" s="117">
        <f>+Orléans!D174+Angers!D174+Thouars!D174+Château!D174+Chartres!D174+Bosc!D174+Cham!D174+Mans!D174+Saumur!D174+Chalette!D174</f>
        <v>0</v>
      </c>
      <c r="S174" s="395"/>
    </row>
    <row r="175" spans="1:19" s="2" customFormat="1" ht="11.25">
      <c r="A175" s="5" t="s">
        <v>308</v>
      </c>
      <c r="B175" s="160">
        <f>+Orléans!$G175</f>
        <v>0</v>
      </c>
      <c r="C175" s="113">
        <f>+Angers!$G175</f>
        <v>0</v>
      </c>
      <c r="D175" s="113">
        <f>+Thouars!$G175</f>
        <v>0</v>
      </c>
      <c r="E175" s="113">
        <f>+Château!$G175</f>
        <v>0</v>
      </c>
      <c r="F175" s="113">
        <f>+Chartres!$G175</f>
        <v>0</v>
      </c>
      <c r="G175" s="113">
        <f>+Bosc!$G175</f>
        <v>0</v>
      </c>
      <c r="H175" s="113">
        <f>+Cham!$G175</f>
        <v>0</v>
      </c>
      <c r="I175" s="113">
        <f>+Mans!$G175</f>
        <v>0</v>
      </c>
      <c r="J175" s="113">
        <f>+Saumur!$G175</f>
        <v>0</v>
      </c>
      <c r="K175" s="113">
        <f>+Chalette!$G175</f>
        <v>0</v>
      </c>
      <c r="L175" s="160">
        <f>+Orléans!E175+Angers!E175+Thouars!E175+Château!E175+Chartres!E175+Bosc!E175+Cham!E175+Mans!E175+Saumur!E175</f>
        <v>0</v>
      </c>
      <c r="M175" s="135">
        <f>+Orléans!F175+Angers!F175+Thouars!F175+Château!F175+Chartres!F175+Bosc!F175+Cham!F175+Mans!F175+Saumur!F175+Chalette!F175</f>
        <v>0</v>
      </c>
      <c r="N175" s="113">
        <f t="shared" si="45"/>
        <v>0</v>
      </c>
      <c r="O175" s="161">
        <f t="shared" si="46"/>
        <v>0</v>
      </c>
      <c r="P175" s="149">
        <f t="shared" si="47"/>
        <v>0</v>
      </c>
      <c r="Q175" s="271">
        <f t="shared" si="48"/>
        <v>0</v>
      </c>
      <c r="R175" s="117">
        <f>+Orléans!D175+Angers!D175+Thouars!D175+Château!D175+Chartres!D175+Bosc!D175+Cham!D175+Mans!D175+Saumur!D175+Chalette!D175</f>
        <v>0</v>
      </c>
      <c r="S175" s="395"/>
    </row>
    <row r="176" spans="1:19" s="2" customFormat="1" ht="11.25">
      <c r="A176" s="5" t="s">
        <v>172</v>
      </c>
      <c r="B176" s="160">
        <f>+Orléans!$G176</f>
        <v>0</v>
      </c>
      <c r="C176" s="113">
        <f>+Angers!$G176</f>
        <v>0</v>
      </c>
      <c r="D176" s="113">
        <f>+Thouars!$G176</f>
        <v>0</v>
      </c>
      <c r="E176" s="113">
        <f>+Château!$G176</f>
        <v>0</v>
      </c>
      <c r="F176" s="113">
        <f>+Chartres!$G176</f>
        <v>0</v>
      </c>
      <c r="G176" s="113">
        <f>+Bosc!$G176</f>
        <v>0</v>
      </c>
      <c r="H176" s="113">
        <f>+Cham!$G176</f>
        <v>0</v>
      </c>
      <c r="I176" s="113">
        <f>+Mans!$G176</f>
        <v>0</v>
      </c>
      <c r="J176" s="113">
        <f>+Saumur!$G176</f>
        <v>0</v>
      </c>
      <c r="K176" s="113">
        <f>+Chalette!$G176</f>
        <v>0</v>
      </c>
      <c r="L176" s="160">
        <f>+Orléans!E176+Angers!E176+Thouars!E176+Château!E176+Chartres!E176+Bosc!E176+Cham!E176+Mans!E176+Saumur!E176</f>
        <v>0</v>
      </c>
      <c r="M176" s="135">
        <f>+Orléans!F176+Angers!F176+Thouars!F176+Château!F176+Chartres!F176+Bosc!F176+Cham!F176+Mans!F176+Saumur!F176+Chalette!F176</f>
        <v>0</v>
      </c>
      <c r="N176" s="113">
        <f t="shared" si="45"/>
        <v>0</v>
      </c>
      <c r="O176" s="161">
        <f t="shared" si="46"/>
        <v>0</v>
      </c>
      <c r="P176" s="149">
        <f t="shared" si="47"/>
        <v>0</v>
      </c>
      <c r="Q176" s="271">
        <f t="shared" si="48"/>
        <v>0</v>
      </c>
      <c r="R176" s="117">
        <f>+Orléans!D176+Angers!D176+Thouars!D176+Château!D176+Chartres!D176+Bosc!D176+Cham!D176+Mans!D176+Saumur!D176+Chalette!D176</f>
        <v>0</v>
      </c>
      <c r="S176" s="395"/>
    </row>
    <row r="177" spans="1:19" s="2" customFormat="1" ht="11.25">
      <c r="A177" s="5" t="s">
        <v>173</v>
      </c>
      <c r="B177" s="160">
        <f>+Orléans!$G177</f>
        <v>0</v>
      </c>
      <c r="C177" s="113">
        <f>+Angers!$G177</f>
        <v>0</v>
      </c>
      <c r="D177" s="113">
        <f>+Thouars!$G177</f>
        <v>0</v>
      </c>
      <c r="E177" s="113">
        <f>+Château!$G177</f>
        <v>0</v>
      </c>
      <c r="F177" s="113">
        <f>+Chartres!$G177</f>
        <v>0</v>
      </c>
      <c r="G177" s="113">
        <f>+Bosc!$G177</f>
        <v>0</v>
      </c>
      <c r="H177" s="113">
        <f>+Cham!$G177</f>
        <v>0</v>
      </c>
      <c r="I177" s="113">
        <f>+Mans!$G177</f>
        <v>0</v>
      </c>
      <c r="J177" s="113">
        <f>+Saumur!$G177</f>
        <v>0</v>
      </c>
      <c r="K177" s="113">
        <f>+Chalette!$G177</f>
        <v>0</v>
      </c>
      <c r="L177" s="160">
        <f>+Orléans!E177+Angers!E177+Thouars!E177+Château!E177+Chartres!E177+Bosc!E177+Cham!E177+Mans!E177+Saumur!E177</f>
        <v>15758.289999999999</v>
      </c>
      <c r="M177" s="135">
        <f>+Orléans!F177+Angers!F177+Thouars!F177+Château!F177+Chartres!F177+Bosc!F177+Cham!F177+Mans!F177+Saumur!F177+Chalette!F177</f>
        <v>0</v>
      </c>
      <c r="N177" s="113">
        <f t="shared" si="45"/>
        <v>0</v>
      </c>
      <c r="O177" s="161">
        <f t="shared" si="46"/>
        <v>0</v>
      </c>
      <c r="P177" s="149">
        <f t="shared" si="47"/>
        <v>-1</v>
      </c>
      <c r="Q177" s="271">
        <f t="shared" si="48"/>
        <v>0</v>
      </c>
      <c r="R177" s="117">
        <f>+Orléans!D177+Angers!D177+Thouars!D177+Château!D177+Chartres!D177+Bosc!D177+Cham!D177+Mans!D177+Saumur!D177+Chalette!D177</f>
        <v>0</v>
      </c>
      <c r="S177" s="395"/>
    </row>
    <row r="178" spans="1:19" s="2" customFormat="1" ht="11.25">
      <c r="A178" s="5" t="s">
        <v>174</v>
      </c>
      <c r="B178" s="160">
        <f>+Orléans!$G178</f>
        <v>0</v>
      </c>
      <c r="C178" s="113">
        <f>+Angers!$G178</f>
        <v>0</v>
      </c>
      <c r="D178" s="113">
        <f>+Thouars!$G178</f>
        <v>0</v>
      </c>
      <c r="E178" s="113">
        <f>+Château!$G178</f>
        <v>0</v>
      </c>
      <c r="F178" s="113">
        <f>+Chartres!$G178</f>
        <v>0</v>
      </c>
      <c r="G178" s="113">
        <f>+Bosc!$G178</f>
        <v>0</v>
      </c>
      <c r="H178" s="113">
        <f>+Cham!$G178</f>
        <v>0</v>
      </c>
      <c r="I178" s="113">
        <f>+Mans!$G178</f>
        <v>0</v>
      </c>
      <c r="J178" s="113">
        <f>+Saumur!$G178</f>
        <v>0</v>
      </c>
      <c r="K178" s="113">
        <f>+Chalette!$G178</f>
        <v>0</v>
      </c>
      <c r="L178" s="160">
        <f>+Orléans!E178+Angers!E178+Thouars!E178+Château!E178+Chartres!E178+Bosc!E178+Cham!E178+Mans!E178+Saumur!E178</f>
        <v>538.33000000000004</v>
      </c>
      <c r="M178" s="135">
        <f>+Orléans!F178+Angers!F178+Thouars!F178+Château!F178+Chartres!F178+Bosc!F178+Cham!F178+Mans!F178+Saumur!F178+Chalette!F178</f>
        <v>0</v>
      </c>
      <c r="N178" s="113">
        <f t="shared" si="45"/>
        <v>0</v>
      </c>
      <c r="O178" s="161">
        <f t="shared" si="46"/>
        <v>0</v>
      </c>
      <c r="P178" s="149">
        <f t="shared" si="47"/>
        <v>-1</v>
      </c>
      <c r="Q178" s="271">
        <f t="shared" si="48"/>
        <v>0</v>
      </c>
      <c r="R178" s="117">
        <f>+Orléans!D178+Angers!D178+Thouars!D178+Château!D178+Chartres!D178+Bosc!D178+Cham!D178+Mans!D178+Saumur!D178+Chalette!D178</f>
        <v>0</v>
      </c>
      <c r="S178" s="395"/>
    </row>
    <row r="179" spans="1:19" s="2" customFormat="1" ht="11.25">
      <c r="A179" s="5" t="s">
        <v>175</v>
      </c>
      <c r="B179" s="160">
        <f>+Orléans!$G179</f>
        <v>18281.55</v>
      </c>
      <c r="C179" s="113">
        <f>+Angers!$G179</f>
        <v>11229.81</v>
      </c>
      <c r="D179" s="113">
        <f>+Thouars!$G179</f>
        <v>4243.93</v>
      </c>
      <c r="E179" s="113">
        <f>+Château!$G179</f>
        <v>1123.19</v>
      </c>
      <c r="F179" s="113">
        <f>+Chartres!$G179</f>
        <v>2721.73</v>
      </c>
      <c r="G179" s="113">
        <f>+Bosc!$G179</f>
        <v>9781.2200000000012</v>
      </c>
      <c r="H179" s="113">
        <f>+Cham!$G179</f>
        <v>7543.04</v>
      </c>
      <c r="I179" s="113">
        <f>+Mans!$G179</f>
        <v>12891.38</v>
      </c>
      <c r="J179" s="113">
        <f>+Saumur!$G179</f>
        <v>829.3</v>
      </c>
      <c r="K179" s="113">
        <f>+Chalette!$G179</f>
        <v>4250</v>
      </c>
      <c r="L179" s="160">
        <f>+Orléans!E179+Angers!E179+Thouars!E179+Château!E179+Chartres!E179+Bosc!E179+Cham!E179+Mans!E179+Saumur!E179</f>
        <v>69136.73000000001</v>
      </c>
      <c r="M179" s="135">
        <f>+Orléans!F179+Angers!F179+Thouars!F179+Château!F179+Chartres!F179+Bosc!F179+Cham!F179+Mans!F179+Saumur!F179+Chalette!F179</f>
        <v>70482.01999999999</v>
      </c>
      <c r="N179" s="113">
        <f t="shared" si="45"/>
        <v>72895.150000000009</v>
      </c>
      <c r="O179" s="161">
        <f t="shared" si="46"/>
        <v>72895.150000000009</v>
      </c>
      <c r="P179" s="149">
        <f t="shared" si="47"/>
        <v>1.945839787331537E-2</v>
      </c>
      <c r="Q179" s="271">
        <f t="shared" si="48"/>
        <v>3.4237526109496007E-2</v>
      </c>
      <c r="R179" s="117">
        <f>+Orléans!D179+Angers!D179+Thouars!D179+Château!D179+Chartres!D179+Bosc!D179+Cham!D179+Mans!D179+Saumur!D179+Chalette!D179</f>
        <v>79100</v>
      </c>
      <c r="S179" s="395"/>
    </row>
    <row r="180" spans="1:19" s="2" customFormat="1" ht="11.25">
      <c r="A180" s="5" t="s">
        <v>78</v>
      </c>
      <c r="B180" s="160">
        <f>+Orléans!$G180</f>
        <v>0</v>
      </c>
      <c r="C180" s="113">
        <f>+Angers!$G180</f>
        <v>0</v>
      </c>
      <c r="D180" s="113">
        <f>+Thouars!$G180</f>
        <v>0</v>
      </c>
      <c r="E180" s="113">
        <f>+Château!$G180</f>
        <v>0</v>
      </c>
      <c r="F180" s="113">
        <f>+Chartres!$G180</f>
        <v>0</v>
      </c>
      <c r="G180" s="113">
        <f>+Bosc!$G180</f>
        <v>0</v>
      </c>
      <c r="H180" s="113">
        <f>+Cham!$G180</f>
        <v>0</v>
      </c>
      <c r="I180" s="113">
        <f>+Mans!$G180</f>
        <v>0</v>
      </c>
      <c r="J180" s="113">
        <f>+Saumur!$G180</f>
        <v>0</v>
      </c>
      <c r="K180" s="113">
        <f>+Chalette!$G180</f>
        <v>0</v>
      </c>
      <c r="L180" s="160">
        <f>+Orléans!E180+Angers!E180+Thouars!E180+Château!E180+Chartres!E180+Bosc!E180+Cham!E180+Mans!E180+Saumur!E180</f>
        <v>7471.5</v>
      </c>
      <c r="M180" s="135">
        <f>+Orléans!F180+Angers!F180+Thouars!F180+Château!F180+Chartres!F180+Bosc!F180+Cham!F180+Mans!F180+Saumur!F180+Chalette!F180</f>
        <v>0</v>
      </c>
      <c r="N180" s="113">
        <f t="shared" si="45"/>
        <v>0</v>
      </c>
      <c r="O180" s="161">
        <f t="shared" si="46"/>
        <v>0</v>
      </c>
      <c r="P180" s="149">
        <f t="shared" si="47"/>
        <v>-1</v>
      </c>
      <c r="Q180" s="271">
        <f t="shared" si="48"/>
        <v>0</v>
      </c>
      <c r="R180" s="117">
        <f>+Orléans!D180+Angers!D180+Thouars!D180+Château!D180+Chartres!D180+Bosc!D180+Cham!D180+Mans!D180+Saumur!D180+Chalette!D180</f>
        <v>0</v>
      </c>
      <c r="S180" s="395"/>
    </row>
    <row r="181" spans="1:19" s="2" customFormat="1" ht="11.25">
      <c r="A181" s="5" t="s">
        <v>327</v>
      </c>
      <c r="B181" s="160">
        <f>+Orléans!$G181</f>
        <v>0</v>
      </c>
      <c r="C181" s="113">
        <f>+Angers!$G181</f>
        <v>0</v>
      </c>
      <c r="D181" s="113">
        <f>+Thouars!$G181</f>
        <v>0</v>
      </c>
      <c r="E181" s="113">
        <f>+Château!$G181</f>
        <v>0</v>
      </c>
      <c r="F181" s="113">
        <f>+Chartres!$G181</f>
        <v>0</v>
      </c>
      <c r="G181" s="113">
        <f>+Bosc!$G181</f>
        <v>0</v>
      </c>
      <c r="H181" s="113">
        <f>+Cham!$G181</f>
        <v>0</v>
      </c>
      <c r="I181" s="113">
        <f>+Mans!$G181</f>
        <v>0</v>
      </c>
      <c r="J181" s="113">
        <f>+Saumur!$G181</f>
        <v>0</v>
      </c>
      <c r="K181" s="113">
        <f>+Chalette!$G181</f>
        <v>0</v>
      </c>
      <c r="L181" s="160">
        <f>+Orléans!E181+Angers!E181+Thouars!E181+Château!E181+Chartres!E181+Bosc!E181+Cham!E181+Mans!E181+Saumur!E181</f>
        <v>0</v>
      </c>
      <c r="M181" s="135">
        <f>+Orléans!F181+Angers!F181+Thouars!F181+Château!F181+Chartres!F181+Bosc!F181+Cham!F181+Mans!F181+Saumur!F181+Chalette!F181</f>
        <v>0</v>
      </c>
      <c r="N181" s="113">
        <f t="shared" si="45"/>
        <v>0</v>
      </c>
      <c r="O181" s="161">
        <f t="shared" si="46"/>
        <v>0</v>
      </c>
      <c r="P181" s="149">
        <f t="shared" si="47"/>
        <v>0</v>
      </c>
      <c r="Q181" s="271">
        <f t="shared" si="48"/>
        <v>0</v>
      </c>
      <c r="R181" s="117">
        <f>+Orléans!D181+Angers!D181+Thouars!D181+Château!D181+Chartres!D181+Bosc!D181+Cham!D181+Mans!D181+Saumur!D181+Chalette!D181</f>
        <v>0</v>
      </c>
      <c r="S181" s="395"/>
    </row>
    <row r="182" spans="1:19" s="2" customFormat="1" ht="11.25">
      <c r="A182" s="5" t="s">
        <v>82</v>
      </c>
      <c r="B182" s="160">
        <f>+Orléans!$G182</f>
        <v>0</v>
      </c>
      <c r="C182" s="113">
        <f>+Angers!$G182</f>
        <v>0</v>
      </c>
      <c r="D182" s="113">
        <f>+Thouars!$G182</f>
        <v>0</v>
      </c>
      <c r="E182" s="113">
        <f>+Château!$G182</f>
        <v>0</v>
      </c>
      <c r="F182" s="113">
        <f>+Chartres!$G182</f>
        <v>0</v>
      </c>
      <c r="G182" s="113">
        <f>+Bosc!$G182</f>
        <v>0</v>
      </c>
      <c r="H182" s="113">
        <f>+Cham!$G182</f>
        <v>0</v>
      </c>
      <c r="I182" s="113">
        <f>+Mans!$G182</f>
        <v>0</v>
      </c>
      <c r="J182" s="113">
        <f>+Saumur!$G182</f>
        <v>0</v>
      </c>
      <c r="K182" s="113">
        <f>+Chalette!$G182</f>
        <v>0</v>
      </c>
      <c r="L182" s="160">
        <f>+Orléans!E182+Angers!E182+Thouars!E182+Château!E182+Chartres!E182+Bosc!E182+Cham!E182+Mans!E182+Saumur!E182</f>
        <v>1999.01</v>
      </c>
      <c r="M182" s="135">
        <f>+Orléans!F182+Angers!F182+Thouars!F182+Château!F182+Chartres!F182+Bosc!F182+Cham!F182+Mans!F182+Saumur!F182+Chalette!F182</f>
        <v>0</v>
      </c>
      <c r="N182" s="113">
        <f t="shared" si="45"/>
        <v>0</v>
      </c>
      <c r="O182" s="161">
        <f t="shared" si="46"/>
        <v>0</v>
      </c>
      <c r="P182" s="149">
        <f t="shared" si="47"/>
        <v>-1</v>
      </c>
      <c r="Q182" s="271">
        <f t="shared" si="48"/>
        <v>0</v>
      </c>
      <c r="R182" s="117">
        <f>+Orléans!D182+Angers!D182+Thouars!D182+Château!D182+Chartres!D182+Bosc!D182+Cham!D182+Mans!D182+Saumur!D182+Chalette!D182</f>
        <v>2041.5968807556251</v>
      </c>
      <c r="S182" s="395"/>
    </row>
    <row r="183" spans="1:19" s="2" customFormat="1" ht="11.25">
      <c r="A183" s="5" t="s">
        <v>331</v>
      </c>
      <c r="B183" s="160">
        <f>+Orléans!$G183</f>
        <v>0</v>
      </c>
      <c r="C183" s="113">
        <f>+Angers!$G183</f>
        <v>0</v>
      </c>
      <c r="D183" s="113">
        <f>+Thouars!$G183</f>
        <v>0</v>
      </c>
      <c r="E183" s="113">
        <f>+Château!$G183</f>
        <v>0</v>
      </c>
      <c r="F183" s="113">
        <f>+Chartres!$G183</f>
        <v>0</v>
      </c>
      <c r="G183" s="113">
        <f>+Bosc!$G183</f>
        <v>0</v>
      </c>
      <c r="H183" s="113">
        <f>+Cham!$G183</f>
        <v>0</v>
      </c>
      <c r="I183" s="113">
        <f>+Mans!$G183</f>
        <v>0</v>
      </c>
      <c r="J183" s="113">
        <f>+Saumur!$G183</f>
        <v>0</v>
      </c>
      <c r="K183" s="113">
        <f>+Chalette!$G183</f>
        <v>0</v>
      </c>
      <c r="L183" s="160">
        <f>+Orléans!E183+Angers!E183+Thouars!E183+Château!E183+Chartres!E183+Bosc!E183+Cham!E183+Mans!E183+Saumur!E183</f>
        <v>15821</v>
      </c>
      <c r="M183" s="135">
        <f>+Orléans!F183+Angers!F183+Thouars!F183+Château!F183+Chartres!F183+Bosc!F183+Cham!F183+Mans!F183+Saumur!F183+Chalette!F183</f>
        <v>0</v>
      </c>
      <c r="N183" s="113">
        <f t="shared" si="45"/>
        <v>0</v>
      </c>
      <c r="O183" s="161">
        <f t="shared" si="46"/>
        <v>0</v>
      </c>
      <c r="P183" s="149">
        <f t="shared" si="47"/>
        <v>-1</v>
      </c>
      <c r="Q183" s="271">
        <f t="shared" si="48"/>
        <v>0</v>
      </c>
      <c r="R183" s="117">
        <f>+Orléans!D183+Angers!D183+Thouars!D183+Château!D183+Chartres!D183+Bosc!D183+Cham!D183+Mans!D183+Saumur!D183+Chalette!D183</f>
        <v>0</v>
      </c>
      <c r="S183" s="395"/>
    </row>
    <row r="184" spans="1:19" s="2" customFormat="1" ht="11.25">
      <c r="A184" s="5"/>
      <c r="B184" s="160"/>
      <c r="C184" s="113"/>
      <c r="D184" s="113"/>
      <c r="E184" s="113"/>
      <c r="F184" s="113"/>
      <c r="G184" s="113"/>
      <c r="H184" s="113"/>
      <c r="I184" s="113"/>
      <c r="J184" s="113"/>
      <c r="K184" s="113"/>
      <c r="L184" s="160"/>
      <c r="M184" s="143"/>
      <c r="N184" s="149"/>
      <c r="O184" s="186"/>
      <c r="P184" s="149"/>
      <c r="Q184" s="254"/>
      <c r="R184" s="254"/>
      <c r="S184" s="143"/>
    </row>
    <row r="185" spans="1:19" s="2" customFormat="1" ht="11.25">
      <c r="A185" s="13" t="s">
        <v>178</v>
      </c>
      <c r="B185" s="163">
        <f t="shared" ref="B185:N185" si="49">SUM(B169:B184)</f>
        <v>22980.629733333331</v>
      </c>
      <c r="C185" s="204">
        <f t="shared" si="49"/>
        <v>11488.559733333333</v>
      </c>
      <c r="D185" s="204">
        <f t="shared" si="49"/>
        <v>4243.93</v>
      </c>
      <c r="E185" s="204">
        <f t="shared" si="49"/>
        <v>1169.7185333333334</v>
      </c>
      <c r="F185" s="204">
        <f t="shared" si="49"/>
        <v>2721.73</v>
      </c>
      <c r="G185" s="204">
        <f t="shared" si="49"/>
        <v>9781.5221333333338</v>
      </c>
      <c r="H185" s="204">
        <f t="shared" si="49"/>
        <v>7563.6537333333335</v>
      </c>
      <c r="I185" s="204">
        <f t="shared" si="49"/>
        <v>12891.38</v>
      </c>
      <c r="J185" s="204">
        <f t="shared" si="49"/>
        <v>829.3</v>
      </c>
      <c r="K185" s="204">
        <f>SUM(K169:K184)</f>
        <v>4250</v>
      </c>
      <c r="L185" s="163">
        <f t="shared" si="49"/>
        <v>120873.24</v>
      </c>
      <c r="M185" s="204">
        <f t="shared" si="49"/>
        <v>77225.086666666655</v>
      </c>
      <c r="N185" s="204">
        <f t="shared" si="49"/>
        <v>77920.423866666679</v>
      </c>
      <c r="O185" s="118">
        <f>SUM(O169:O184)</f>
        <v>77920.423866666679</v>
      </c>
      <c r="P185" s="272">
        <f>+IF((L185)=0,,(M185-L185)/L185)</f>
        <v>-0.36110683666073107</v>
      </c>
      <c r="Q185" s="188">
        <f>+IF((M185)=0,,(O185-M185)/M185)</f>
        <v>9.004032627394359E-3</v>
      </c>
      <c r="R185" s="168">
        <f>SUM(R169:R184)</f>
        <v>82798.084955975486</v>
      </c>
      <c r="S185" s="136"/>
    </row>
    <row r="186" spans="1:19" s="2" customFormat="1" ht="11.25">
      <c r="A186" s="5"/>
      <c r="B186" s="160"/>
      <c r="C186" s="113"/>
      <c r="D186" s="113"/>
      <c r="E186" s="113"/>
      <c r="F186" s="113"/>
      <c r="G186" s="113"/>
      <c r="H186" s="113"/>
      <c r="I186" s="113"/>
      <c r="J186" s="113"/>
      <c r="K186" s="113"/>
      <c r="L186" s="160"/>
      <c r="M186" s="143"/>
      <c r="N186" s="149"/>
      <c r="O186" s="186"/>
      <c r="P186" s="149"/>
      <c r="Q186" s="271"/>
      <c r="R186" s="254"/>
      <c r="S186" s="143"/>
    </row>
    <row r="187" spans="1:19" s="2" customFormat="1" ht="11.25">
      <c r="A187" s="5" t="s">
        <v>179</v>
      </c>
      <c r="B187" s="160">
        <f>+Orléans!$G187</f>
        <v>0</v>
      </c>
      <c r="C187" s="113">
        <f>+Angers!$G187</f>
        <v>0</v>
      </c>
      <c r="D187" s="113">
        <f>+Thouars!$G187</f>
        <v>0</v>
      </c>
      <c r="E187" s="113">
        <f>+Château!$G187</f>
        <v>0</v>
      </c>
      <c r="F187" s="113">
        <f>+Chartres!$G187</f>
        <v>0</v>
      </c>
      <c r="G187" s="113">
        <f>+Bosc!$G187</f>
        <v>0</v>
      </c>
      <c r="H187" s="113">
        <f>+Cham!$G187</f>
        <v>0</v>
      </c>
      <c r="I187" s="113">
        <f>+Mans!$G187</f>
        <v>0</v>
      </c>
      <c r="J187" s="113">
        <f>+Saumur!$G187</f>
        <v>0</v>
      </c>
      <c r="K187" s="113">
        <f>+Chalette!$G187</f>
        <v>0</v>
      </c>
      <c r="L187" s="160">
        <f>+Orléans!E187+Angers!E187+Thouars!E187+Château!E187+Chartres!E187+Bosc!E187+Cham!E187+Mans!E187+Saumur!E187</f>
        <v>5400</v>
      </c>
      <c r="M187" s="135">
        <f>+Orléans!F187+Angers!F187+Thouars!F187+Château!F187+Chartres!F187+Bosc!F187+Cham!F187+Mans!F187+Saumur!F187+Chalette!F187</f>
        <v>6060</v>
      </c>
      <c r="N187" s="113">
        <f t="shared" ref="N187:N199" si="50">+O187</f>
        <v>0</v>
      </c>
      <c r="O187" s="161">
        <f t="shared" ref="O187:O199" si="51">SUM(B187:K187)</f>
        <v>0</v>
      </c>
      <c r="P187" s="149">
        <f>+IF((L187)=0,,(M187-L187)/L187)</f>
        <v>0.12222222222222222</v>
      </c>
      <c r="Q187" s="271">
        <f>+IF((M187)=0,,(O187-M187)/M187)</f>
        <v>-1</v>
      </c>
      <c r="R187" s="117">
        <f>+Orléans!D187+Angers!D187+Thouars!D187+Château!D187+Chartres!D187+Bosc!D187+Cham!D187+Mans!D187+Saumur!D187+Chalette!D187</f>
        <v>0</v>
      </c>
      <c r="S187" s="395"/>
    </row>
    <row r="188" spans="1:19" s="2" customFormat="1" ht="11.25">
      <c r="A188" s="5" t="s">
        <v>167</v>
      </c>
      <c r="B188" s="160">
        <f>+Orléans!$G188</f>
        <v>0</v>
      </c>
      <c r="C188" s="113">
        <f>+Angers!$G188</f>
        <v>0</v>
      </c>
      <c r="D188" s="113">
        <f>+Thouars!$G188</f>
        <v>0</v>
      </c>
      <c r="E188" s="113">
        <f>+Château!$G188</f>
        <v>0</v>
      </c>
      <c r="F188" s="113">
        <f>+Chartres!$G188</f>
        <v>0</v>
      </c>
      <c r="G188" s="113">
        <f>+Bosc!$G188</f>
        <v>0</v>
      </c>
      <c r="H188" s="113">
        <f>+Cham!$G188</f>
        <v>0</v>
      </c>
      <c r="I188" s="113">
        <f>+Mans!$G188</f>
        <v>0</v>
      </c>
      <c r="J188" s="113">
        <f>+Saumur!$G188</f>
        <v>0</v>
      </c>
      <c r="K188" s="113">
        <f>+Chalette!$G188</f>
        <v>0</v>
      </c>
      <c r="L188" s="160">
        <f>+Orléans!E188+Angers!E188+Thouars!E188+Château!E188+Chartres!E188+Bosc!E188+Cham!E188+Mans!E188+Saumur!E188</f>
        <v>0</v>
      </c>
      <c r="M188" s="135">
        <f>+Orléans!F188+Angers!F188+Thouars!F188+Château!F188+Chartres!F188+Bosc!F188+Cham!F188+Mans!F188+Saumur!F188+Chalette!F188</f>
        <v>0</v>
      </c>
      <c r="N188" s="113">
        <f t="shared" si="50"/>
        <v>0</v>
      </c>
      <c r="O188" s="161">
        <f t="shared" si="51"/>
        <v>0</v>
      </c>
      <c r="P188" s="149">
        <f t="shared" ref="P188:P199" si="52">+IF((L188)=0,,(M188-L188)/L188)</f>
        <v>0</v>
      </c>
      <c r="Q188" s="271">
        <f t="shared" ref="Q188:Q199" si="53">+IF((M188)=0,,(O188-M188)/M188)</f>
        <v>0</v>
      </c>
      <c r="R188" s="117">
        <f>+Orléans!D188+Angers!D188+Thouars!D188+Château!D188+Chartres!D188+Bosc!D188+Cham!D188+Mans!D188+Saumur!D188+Chalette!D188</f>
        <v>0</v>
      </c>
      <c r="S188" s="395"/>
    </row>
    <row r="189" spans="1:19" s="2" customFormat="1" ht="11.25">
      <c r="A189" s="5" t="s">
        <v>180</v>
      </c>
      <c r="B189" s="160">
        <f>+Orléans!$G189</f>
        <v>0</v>
      </c>
      <c r="C189" s="113">
        <f>+Angers!$G189</f>
        <v>0</v>
      </c>
      <c r="D189" s="113">
        <f>+Thouars!$G189</f>
        <v>0</v>
      </c>
      <c r="E189" s="113">
        <f>+Château!$G189</f>
        <v>0</v>
      </c>
      <c r="F189" s="113">
        <f>+Chartres!$G189</f>
        <v>0</v>
      </c>
      <c r="G189" s="113">
        <f>+Bosc!$G189</f>
        <v>0</v>
      </c>
      <c r="H189" s="113">
        <f>+Cham!$G189</f>
        <v>0</v>
      </c>
      <c r="I189" s="113">
        <f>+Mans!$G189</f>
        <v>0</v>
      </c>
      <c r="J189" s="113">
        <f>+Saumur!$G189</f>
        <v>0</v>
      </c>
      <c r="K189" s="113">
        <f>+Chalette!$G189</f>
        <v>0</v>
      </c>
      <c r="L189" s="160">
        <f>+Orléans!E189+Angers!E189+Thouars!E189+Château!E189+Chartres!E189+Bosc!E189+Cham!E189+Mans!E189+Saumur!E189</f>
        <v>2319.86</v>
      </c>
      <c r="M189" s="135">
        <f>+Orléans!F189+Angers!F189+Thouars!F189+Château!F189+Chartres!F189+Bosc!F189+Cham!F189+Mans!F189+Saumur!F189+Chalette!F189</f>
        <v>13094.586666666668</v>
      </c>
      <c r="N189" s="113">
        <f t="shared" si="50"/>
        <v>0</v>
      </c>
      <c r="O189" s="161">
        <f t="shared" si="51"/>
        <v>0</v>
      </c>
      <c r="P189" s="149">
        <f t="shared" si="52"/>
        <v>4.6445590107449011</v>
      </c>
      <c r="Q189" s="271">
        <f t="shared" si="53"/>
        <v>-1</v>
      </c>
      <c r="R189" s="117">
        <f>+Orléans!D189+Angers!D189+Thouars!D189+Château!D189+Chartres!D189+Bosc!D189+Cham!D189+Mans!D189+Saumur!D189+Chalette!D189</f>
        <v>0</v>
      </c>
      <c r="S189" s="395"/>
    </row>
    <row r="190" spans="1:19" s="2" customFormat="1" ht="11.25">
      <c r="A190" s="5" t="s">
        <v>181</v>
      </c>
      <c r="B190" s="160">
        <f>+Orléans!$G190</f>
        <v>0</v>
      </c>
      <c r="C190" s="113">
        <f>+Angers!$G190</f>
        <v>0</v>
      </c>
      <c r="D190" s="113">
        <f>+Thouars!$G190</f>
        <v>0</v>
      </c>
      <c r="E190" s="113">
        <f>+Château!$G190</f>
        <v>0</v>
      </c>
      <c r="F190" s="113">
        <f>+Chartres!$G190</f>
        <v>0</v>
      </c>
      <c r="G190" s="113">
        <f>+Bosc!$G190</f>
        <v>0</v>
      </c>
      <c r="H190" s="113">
        <f>+Cham!$G190</f>
        <v>0</v>
      </c>
      <c r="I190" s="113">
        <f>+Mans!$G190</f>
        <v>0</v>
      </c>
      <c r="J190" s="113">
        <f>+Saumur!$G190</f>
        <v>0</v>
      </c>
      <c r="K190" s="113">
        <f>+Chalette!$G190</f>
        <v>0</v>
      </c>
      <c r="L190" s="160">
        <f>+Orléans!E190+Angers!E190+Thouars!E190+Château!E190+Chartres!E190+Bosc!E190+Cham!E190+Mans!E190+Saumur!E190</f>
        <v>0</v>
      </c>
      <c r="M190" s="135">
        <f>+Orléans!F190+Angers!F190+Thouars!F190+Château!F190+Chartres!F190+Bosc!F190+Cham!F190+Mans!F190+Saumur!F190+Chalette!F190</f>
        <v>0</v>
      </c>
      <c r="N190" s="113">
        <f t="shared" si="50"/>
        <v>0</v>
      </c>
      <c r="O190" s="161">
        <f t="shared" si="51"/>
        <v>0</v>
      </c>
      <c r="P190" s="149">
        <f t="shared" si="52"/>
        <v>0</v>
      </c>
      <c r="Q190" s="271">
        <f t="shared" si="53"/>
        <v>0</v>
      </c>
      <c r="R190" s="117">
        <f>+Orléans!D190+Angers!D190+Thouars!D190+Château!D190+Chartres!D190+Bosc!D190+Cham!D190+Mans!D190+Saumur!D190+Chalette!D190</f>
        <v>0</v>
      </c>
      <c r="S190" s="395"/>
    </row>
    <row r="191" spans="1:19" s="2" customFormat="1" ht="11.25">
      <c r="A191" s="5" t="s">
        <v>182</v>
      </c>
      <c r="B191" s="160">
        <f>+Orléans!$G191</f>
        <v>0</v>
      </c>
      <c r="C191" s="113">
        <f>+Angers!$G191</f>
        <v>0</v>
      </c>
      <c r="D191" s="113">
        <f>+Thouars!$G191</f>
        <v>0</v>
      </c>
      <c r="E191" s="113">
        <f>+Château!$G191</f>
        <v>0</v>
      </c>
      <c r="F191" s="113">
        <f>+Chartres!$G191</f>
        <v>0</v>
      </c>
      <c r="G191" s="113">
        <f>+Bosc!$G191</f>
        <v>0</v>
      </c>
      <c r="H191" s="113">
        <f>+Cham!$G191</f>
        <v>0</v>
      </c>
      <c r="I191" s="113">
        <f>+Mans!$G191</f>
        <v>0</v>
      </c>
      <c r="J191" s="113">
        <f>+Saumur!$G191</f>
        <v>0</v>
      </c>
      <c r="K191" s="113">
        <f>+Chalette!$G191</f>
        <v>0</v>
      </c>
      <c r="L191" s="160">
        <f>+Orléans!E191+Angers!E191+Thouars!E191+Château!E191+Chartres!E191+Bosc!E191+Cham!E191+Mans!E191+Saumur!E191</f>
        <v>0</v>
      </c>
      <c r="M191" s="135">
        <f>+Orléans!F191+Angers!F191+Thouars!F191+Château!F191+Chartres!F191+Bosc!F191+Cham!F191+Mans!F191+Saumur!F191+Chalette!F191</f>
        <v>0</v>
      </c>
      <c r="N191" s="113">
        <f t="shared" si="50"/>
        <v>0</v>
      </c>
      <c r="O191" s="161">
        <f t="shared" si="51"/>
        <v>0</v>
      </c>
      <c r="P191" s="149">
        <f t="shared" si="52"/>
        <v>0</v>
      </c>
      <c r="Q191" s="271">
        <f t="shared" si="53"/>
        <v>0</v>
      </c>
      <c r="R191" s="117">
        <f>+Orléans!D191+Angers!D191+Thouars!D191+Château!D191+Chartres!D191+Bosc!D191+Cham!D191+Mans!D191+Saumur!D191+Chalette!D191</f>
        <v>0</v>
      </c>
      <c r="S191" s="395"/>
    </row>
    <row r="192" spans="1:19" s="2" customFormat="1" ht="11.25">
      <c r="A192" s="5" t="s">
        <v>183</v>
      </c>
      <c r="B192" s="160">
        <f>+Orléans!$G192</f>
        <v>0</v>
      </c>
      <c r="C192" s="113">
        <f>+Angers!$G192</f>
        <v>0</v>
      </c>
      <c r="D192" s="113">
        <f>+Thouars!$G192</f>
        <v>0</v>
      </c>
      <c r="E192" s="113">
        <f>+Château!$G192</f>
        <v>0</v>
      </c>
      <c r="F192" s="113">
        <f>+Chartres!$G192</f>
        <v>0</v>
      </c>
      <c r="G192" s="113">
        <f>+Bosc!$G192</f>
        <v>0</v>
      </c>
      <c r="H192" s="113">
        <f>+Cham!$G192</f>
        <v>0</v>
      </c>
      <c r="I192" s="113">
        <f>+Mans!$G192</f>
        <v>0</v>
      </c>
      <c r="J192" s="113">
        <f>+Saumur!$G192</f>
        <v>0</v>
      </c>
      <c r="K192" s="113">
        <f>+Chalette!$G192</f>
        <v>0</v>
      </c>
      <c r="L192" s="160">
        <f>+Orléans!E192+Angers!E192+Thouars!E192+Château!E192+Chartres!E192+Bosc!E192+Cham!E192+Mans!E192+Saumur!E192</f>
        <v>0</v>
      </c>
      <c r="M192" s="135">
        <f>+Orléans!F192+Angers!F192+Thouars!F192+Château!F192+Chartres!F192+Bosc!F192+Cham!F192+Mans!F192+Saumur!F192+Chalette!F192</f>
        <v>0</v>
      </c>
      <c r="N192" s="113">
        <f t="shared" si="50"/>
        <v>0</v>
      </c>
      <c r="O192" s="161">
        <f t="shared" si="51"/>
        <v>0</v>
      </c>
      <c r="P192" s="149">
        <f t="shared" si="52"/>
        <v>0</v>
      </c>
      <c r="Q192" s="271">
        <f t="shared" si="53"/>
        <v>0</v>
      </c>
      <c r="R192" s="117">
        <f>+Orléans!D192+Angers!D192+Thouars!D192+Château!D192+Chartres!D192+Bosc!D192+Cham!D192+Mans!D192+Saumur!D192+Chalette!D192</f>
        <v>0</v>
      </c>
      <c r="S192" s="395"/>
    </row>
    <row r="193" spans="1:19" s="2" customFormat="1" ht="11.25">
      <c r="A193" s="5" t="s">
        <v>184</v>
      </c>
      <c r="B193" s="160">
        <f>+Orléans!$G193</f>
        <v>0</v>
      </c>
      <c r="C193" s="113">
        <f>+Angers!$G193</f>
        <v>0</v>
      </c>
      <c r="D193" s="113">
        <f>+Thouars!$G193</f>
        <v>0</v>
      </c>
      <c r="E193" s="113">
        <f>+Château!$G193</f>
        <v>0</v>
      </c>
      <c r="F193" s="113">
        <f>+Chartres!$G193</f>
        <v>0</v>
      </c>
      <c r="G193" s="113">
        <f>+Bosc!$G193</f>
        <v>0</v>
      </c>
      <c r="H193" s="113">
        <f>+Cham!$G193</f>
        <v>0</v>
      </c>
      <c r="I193" s="113">
        <f>+Mans!$G193</f>
        <v>0</v>
      </c>
      <c r="J193" s="113">
        <f>+Saumur!$G193</f>
        <v>0</v>
      </c>
      <c r="K193" s="113">
        <f>+Chalette!$G193</f>
        <v>0</v>
      </c>
      <c r="L193" s="160">
        <f>+Orléans!E193+Angers!E193+Thouars!E193+Château!E193+Chartres!E193+Bosc!E193+Cham!E193+Mans!E193+Saumur!E193</f>
        <v>8249.11</v>
      </c>
      <c r="M193" s="135">
        <f>+Orléans!F193+Angers!F193+Thouars!F193+Château!F193+Chartres!F193+Bosc!F193+Cham!F193+Mans!F193+Saumur!F193+Chalette!F193</f>
        <v>1027.2266666666667</v>
      </c>
      <c r="N193" s="113">
        <f t="shared" si="50"/>
        <v>0</v>
      </c>
      <c r="O193" s="161">
        <f t="shared" si="51"/>
        <v>0</v>
      </c>
      <c r="P193" s="149">
        <f t="shared" si="52"/>
        <v>-0.87547424307996058</v>
      </c>
      <c r="Q193" s="271">
        <f t="shared" si="53"/>
        <v>-1</v>
      </c>
      <c r="R193" s="117">
        <f>+Orléans!D193+Angers!D193+Thouars!D193+Château!D193+Chartres!D193+Bosc!D193+Cham!D193+Mans!D193+Saumur!D193+Chalette!D193</f>
        <v>0</v>
      </c>
      <c r="S193" s="395"/>
    </row>
    <row r="194" spans="1:19" s="2" customFormat="1" ht="11.25">
      <c r="A194" s="5" t="s">
        <v>342</v>
      </c>
      <c r="B194" s="160">
        <f>+Orléans!$G194</f>
        <v>0</v>
      </c>
      <c r="C194" s="113">
        <f>+Angers!$G194</f>
        <v>0</v>
      </c>
      <c r="D194" s="113">
        <f>+Thouars!$G194</f>
        <v>0</v>
      </c>
      <c r="E194" s="113">
        <f>+Château!$G194</f>
        <v>0</v>
      </c>
      <c r="F194" s="113">
        <f>+Chartres!$G194</f>
        <v>0</v>
      </c>
      <c r="G194" s="113">
        <f>+Bosc!$G194</f>
        <v>0</v>
      </c>
      <c r="H194" s="113">
        <f>+Cham!$G194</f>
        <v>0</v>
      </c>
      <c r="I194" s="113">
        <f>+Mans!$G194</f>
        <v>0</v>
      </c>
      <c r="J194" s="113">
        <f>+Saumur!$G194</f>
        <v>0</v>
      </c>
      <c r="K194" s="113">
        <f>+Chalette!$G194</f>
        <v>0</v>
      </c>
      <c r="L194" s="160">
        <f>+Orléans!E194+Angers!E194+Thouars!E194+Château!E194+Chartres!E194+Bosc!E194+Cham!E194+Mans!E194+Saumur!E194</f>
        <v>2704.2</v>
      </c>
      <c r="M194" s="135">
        <f>+Orléans!F194+Angers!F194+Thouars!F194+Château!F194+Chartres!F194+Bosc!F194+Cham!F194+Mans!F194+Saumur!F194+Chalette!F194</f>
        <v>0</v>
      </c>
      <c r="N194" s="113">
        <f t="shared" si="50"/>
        <v>0</v>
      </c>
      <c r="O194" s="161">
        <f t="shared" si="51"/>
        <v>0</v>
      </c>
      <c r="P194" s="149">
        <f t="shared" si="52"/>
        <v>-1</v>
      </c>
      <c r="Q194" s="271">
        <f t="shared" si="53"/>
        <v>0</v>
      </c>
      <c r="R194" s="117">
        <f>+Orléans!D194+Angers!D194+Thouars!D194+Château!D194+Chartres!D194+Bosc!D194+Cham!D194+Mans!D194+Saumur!D194+Chalette!D194</f>
        <v>0</v>
      </c>
      <c r="S194" s="395"/>
    </row>
    <row r="195" spans="1:19" s="2" customFormat="1" ht="11.25">
      <c r="A195" s="5" t="s">
        <v>186</v>
      </c>
      <c r="B195" s="160">
        <f>+Orléans!$G195</f>
        <v>0</v>
      </c>
      <c r="C195" s="113">
        <f>+Angers!$G195</f>
        <v>0</v>
      </c>
      <c r="D195" s="113">
        <f>+Thouars!$G195</f>
        <v>0</v>
      </c>
      <c r="E195" s="113">
        <f>+Château!$G195</f>
        <v>0</v>
      </c>
      <c r="F195" s="113">
        <f>+Chartres!$G195</f>
        <v>0</v>
      </c>
      <c r="G195" s="113">
        <f>+Bosc!$G195</f>
        <v>0</v>
      </c>
      <c r="H195" s="113">
        <f>+Cham!$G195</f>
        <v>0</v>
      </c>
      <c r="I195" s="113">
        <f>+Mans!$G195</f>
        <v>0</v>
      </c>
      <c r="J195" s="113">
        <f>+Saumur!$G195</f>
        <v>0</v>
      </c>
      <c r="K195" s="113">
        <f>+Chalette!$G195</f>
        <v>0</v>
      </c>
      <c r="L195" s="160">
        <f>+Orléans!E195+Angers!E195+Thouars!E195+Château!E195+Chartres!E195+Bosc!E195+Cham!E195+Mans!E195+Saumur!E195</f>
        <v>0</v>
      </c>
      <c r="M195" s="135">
        <f>+Orléans!F195+Angers!F195+Thouars!F195+Château!F195+Chartres!F195+Bosc!F195+Cham!F195+Mans!F195+Saumur!F195+Chalette!F195</f>
        <v>0</v>
      </c>
      <c r="N195" s="113">
        <f t="shared" si="50"/>
        <v>0</v>
      </c>
      <c r="O195" s="161">
        <f t="shared" si="51"/>
        <v>0</v>
      </c>
      <c r="P195" s="149">
        <f t="shared" si="52"/>
        <v>0</v>
      </c>
      <c r="Q195" s="271">
        <f t="shared" si="53"/>
        <v>0</v>
      </c>
      <c r="R195" s="117">
        <f>+Orléans!D195+Angers!D195+Thouars!D195+Château!D195+Chartres!D195+Bosc!D195+Cham!D195+Mans!D195+Saumur!D195+Chalette!D195</f>
        <v>0</v>
      </c>
      <c r="S195" s="395"/>
    </row>
    <row r="196" spans="1:19" s="2" customFormat="1" ht="11.25">
      <c r="A196" s="5" t="s">
        <v>187</v>
      </c>
      <c r="B196" s="160">
        <f>+Orléans!$G196</f>
        <v>0</v>
      </c>
      <c r="C196" s="113">
        <f>+Angers!$G196</f>
        <v>0</v>
      </c>
      <c r="D196" s="113">
        <f>+Thouars!$G196</f>
        <v>0</v>
      </c>
      <c r="E196" s="113">
        <f>+Château!$G196</f>
        <v>0</v>
      </c>
      <c r="F196" s="113">
        <f>+Chartres!$G196</f>
        <v>0</v>
      </c>
      <c r="G196" s="113">
        <f>+Bosc!$G196</f>
        <v>0</v>
      </c>
      <c r="H196" s="113">
        <f>+Cham!$G196</f>
        <v>0</v>
      </c>
      <c r="I196" s="113">
        <f>+Mans!$G196</f>
        <v>0</v>
      </c>
      <c r="J196" s="113">
        <f>+Saumur!$G196</f>
        <v>0</v>
      </c>
      <c r="K196" s="113">
        <f>+Chalette!$G196</f>
        <v>0</v>
      </c>
      <c r="L196" s="160">
        <f>+Orléans!E196+Angers!E196+Thouars!E196+Château!E196+Chartres!E196+Bosc!E196+Cham!E196+Mans!E196+Saumur!E196</f>
        <v>0</v>
      </c>
      <c r="M196" s="135">
        <f>+Orléans!F196+Angers!F196+Thouars!F196+Château!F196+Chartres!F196+Bosc!F196+Cham!F196+Mans!F196+Saumur!F196+Chalette!F196</f>
        <v>933.33333333333326</v>
      </c>
      <c r="N196" s="113">
        <f t="shared" si="50"/>
        <v>0</v>
      </c>
      <c r="O196" s="161">
        <f t="shared" si="51"/>
        <v>0</v>
      </c>
      <c r="P196" s="149">
        <f t="shared" si="52"/>
        <v>0</v>
      </c>
      <c r="Q196" s="271">
        <f t="shared" si="53"/>
        <v>-1</v>
      </c>
      <c r="R196" s="117">
        <f>+Orléans!D196+Angers!D196+Thouars!D196+Château!D196+Chartres!D196+Bosc!D196+Cham!D196+Mans!D196+Saumur!D196+Chalette!D196</f>
        <v>0</v>
      </c>
      <c r="S196" s="395"/>
    </row>
    <row r="197" spans="1:19" s="2" customFormat="1" ht="11.25">
      <c r="A197" s="5" t="s">
        <v>328</v>
      </c>
      <c r="B197" s="160">
        <f>+Orléans!$G197</f>
        <v>0</v>
      </c>
      <c r="C197" s="113">
        <f>+Angers!$G197</f>
        <v>0</v>
      </c>
      <c r="D197" s="113">
        <f>+Thouars!$G197</f>
        <v>0</v>
      </c>
      <c r="E197" s="113">
        <f>+Château!$G197</f>
        <v>0</v>
      </c>
      <c r="F197" s="113">
        <f>+Chartres!$G197</f>
        <v>0</v>
      </c>
      <c r="G197" s="113">
        <f>+Bosc!$G197</f>
        <v>0</v>
      </c>
      <c r="H197" s="113">
        <f>+Cham!$G197</f>
        <v>0</v>
      </c>
      <c r="I197" s="113">
        <f>+Mans!$G197</f>
        <v>0</v>
      </c>
      <c r="J197" s="113">
        <f>+Saumur!$G197</f>
        <v>0</v>
      </c>
      <c r="K197" s="113">
        <f>+Chalette!$G197</f>
        <v>0</v>
      </c>
      <c r="L197" s="160">
        <f>+Orléans!E197+Angers!E197+Thouars!E197+Château!E197+Chartres!E197+Bosc!E197+Cham!E197+Mans!E197+Saumur!E197</f>
        <v>-3590</v>
      </c>
      <c r="M197" s="135">
        <f>+Orléans!F197+Angers!F197+Thouars!F197+Château!F197+Chartres!F197+Bosc!F197+Cham!F197+Mans!F197+Saumur!F197+Chalette!F197</f>
        <v>0</v>
      </c>
      <c r="N197" s="113">
        <f t="shared" si="50"/>
        <v>0</v>
      </c>
      <c r="O197" s="161">
        <f t="shared" si="51"/>
        <v>0</v>
      </c>
      <c r="P197" s="149">
        <f t="shared" si="52"/>
        <v>-1</v>
      </c>
      <c r="Q197" s="271">
        <f t="shared" si="53"/>
        <v>0</v>
      </c>
      <c r="R197" s="117">
        <f>+Orléans!D197+Angers!D197+Thouars!D197+Château!D197+Chartres!D197+Bosc!D197+Cham!D197+Mans!D197+Saumur!D197+Chalette!D197</f>
        <v>0</v>
      </c>
      <c r="S197" s="395"/>
    </row>
    <row r="198" spans="1:19" s="2" customFormat="1" ht="11.25">
      <c r="A198" s="5" t="s">
        <v>344</v>
      </c>
      <c r="B198" s="160">
        <f>+Orléans!$G198</f>
        <v>0</v>
      </c>
      <c r="C198" s="113">
        <f>+Angers!$G198</f>
        <v>0</v>
      </c>
      <c r="D198" s="113">
        <f>+Thouars!$G198</f>
        <v>0</v>
      </c>
      <c r="E198" s="113">
        <f>+Château!$G198</f>
        <v>0</v>
      </c>
      <c r="F198" s="113">
        <f>+Chartres!$G198</f>
        <v>0</v>
      </c>
      <c r="G198" s="113">
        <f>+Bosc!$G198</f>
        <v>0</v>
      </c>
      <c r="H198" s="113">
        <f>+Cham!$G198</f>
        <v>0</v>
      </c>
      <c r="I198" s="113">
        <f>+Mans!$G198</f>
        <v>0</v>
      </c>
      <c r="J198" s="113">
        <f>+Saumur!$G198</f>
        <v>0</v>
      </c>
      <c r="K198" s="113">
        <f>+Chalette!$G198</f>
        <v>0</v>
      </c>
      <c r="L198" s="160">
        <f>+Orléans!E198+Angers!E198+Thouars!E198+Château!E198+Chartres!E198+Bosc!E198+Cham!E198+Mans!E198+Saumur!E198</f>
        <v>1082</v>
      </c>
      <c r="M198" s="135">
        <f>+Orléans!F198+Angers!F198+Thouars!F198+Château!F198+Chartres!F198+Bosc!F198+Cham!F198+Mans!F198+Saumur!F198+Chalette!F198</f>
        <v>0</v>
      </c>
      <c r="N198" s="113">
        <f t="shared" si="50"/>
        <v>0</v>
      </c>
      <c r="O198" s="161">
        <f t="shared" si="51"/>
        <v>0</v>
      </c>
      <c r="P198" s="149">
        <f t="shared" si="52"/>
        <v>-1</v>
      </c>
      <c r="Q198" s="271">
        <f t="shared" si="53"/>
        <v>0</v>
      </c>
      <c r="R198" s="117">
        <f>+Orléans!D198+Angers!D198+Thouars!D198+Château!D198+Chartres!D198+Bosc!D198+Cham!D198+Mans!D198+Saumur!D198+Chalette!D198</f>
        <v>0</v>
      </c>
      <c r="S198" s="395"/>
    </row>
    <row r="199" spans="1:19" s="2" customFormat="1" ht="11.25">
      <c r="A199" s="5" t="s">
        <v>77</v>
      </c>
      <c r="B199" s="160">
        <f>+Orléans!$G199</f>
        <v>0</v>
      </c>
      <c r="C199" s="113">
        <f>+Angers!$G199</f>
        <v>0</v>
      </c>
      <c r="D199" s="113">
        <f>+Thouars!$G199</f>
        <v>0</v>
      </c>
      <c r="E199" s="113">
        <f>+Château!$G199</f>
        <v>0</v>
      </c>
      <c r="F199" s="113">
        <f>+Chartres!$G199</f>
        <v>0</v>
      </c>
      <c r="G199" s="113">
        <f>+Bosc!$G199</f>
        <v>0</v>
      </c>
      <c r="H199" s="113">
        <f>+Cham!$G199</f>
        <v>0</v>
      </c>
      <c r="I199" s="113">
        <f>+Mans!$G199</f>
        <v>0</v>
      </c>
      <c r="J199" s="113">
        <f>+Saumur!$G199</f>
        <v>0</v>
      </c>
      <c r="K199" s="113">
        <f>+Chalette!$G199</f>
        <v>0</v>
      </c>
      <c r="L199" s="160">
        <f>+Orléans!E199+Angers!E199+Thouars!E199+Château!E199+Chartres!E199+Bosc!E199+Cham!E199+Mans!E199+Saumur!E199</f>
        <v>5855.93</v>
      </c>
      <c r="M199" s="135">
        <f>+Orléans!F199+Angers!F199+Thouars!F199+Château!F199+Chartres!F199+Bosc!F199+Cham!F199+Mans!F199+Saumur!F199+Chalette!F199</f>
        <v>0</v>
      </c>
      <c r="N199" s="113">
        <f t="shared" si="50"/>
        <v>0</v>
      </c>
      <c r="O199" s="161">
        <f t="shared" si="51"/>
        <v>0</v>
      </c>
      <c r="P199" s="149">
        <f t="shared" si="52"/>
        <v>-1</v>
      </c>
      <c r="Q199" s="271">
        <f t="shared" si="53"/>
        <v>0</v>
      </c>
      <c r="R199" s="117">
        <f>+Orléans!D199+Angers!D199+Thouars!D199+Château!D199+Chartres!D199+Bosc!D199+Cham!D199+Mans!D199+Saumur!D199+Chalette!D199</f>
        <v>0</v>
      </c>
      <c r="S199" s="395"/>
    </row>
    <row r="200" spans="1:19" s="2" customFormat="1" ht="11.25">
      <c r="A200" s="5"/>
      <c r="B200" s="160"/>
      <c r="C200" s="113"/>
      <c r="D200" s="113"/>
      <c r="E200" s="113"/>
      <c r="F200" s="113"/>
      <c r="G200" s="113"/>
      <c r="H200" s="113"/>
      <c r="I200" s="113"/>
      <c r="J200" s="113"/>
      <c r="K200" s="113"/>
      <c r="L200" s="160"/>
      <c r="M200" s="134"/>
      <c r="N200" s="25"/>
      <c r="O200" s="154"/>
      <c r="P200" s="149"/>
      <c r="Q200" s="254"/>
      <c r="R200" s="115"/>
      <c r="S200" s="134"/>
    </row>
    <row r="201" spans="1:19" s="2" customFormat="1" ht="11.25">
      <c r="A201" s="13" t="s">
        <v>188</v>
      </c>
      <c r="B201" s="163">
        <f t="shared" ref="B201:N201" si="54">SUM(B186:B200)</f>
        <v>0</v>
      </c>
      <c r="C201" s="204">
        <f t="shared" si="54"/>
        <v>0</v>
      </c>
      <c r="D201" s="204">
        <f t="shared" si="54"/>
        <v>0</v>
      </c>
      <c r="E201" s="204">
        <f t="shared" si="54"/>
        <v>0</v>
      </c>
      <c r="F201" s="204">
        <f t="shared" si="54"/>
        <v>0</v>
      </c>
      <c r="G201" s="204">
        <f t="shared" si="54"/>
        <v>0</v>
      </c>
      <c r="H201" s="204">
        <f t="shared" si="54"/>
        <v>0</v>
      </c>
      <c r="I201" s="204">
        <f t="shared" si="54"/>
        <v>0</v>
      </c>
      <c r="J201" s="204">
        <f t="shared" si="54"/>
        <v>0</v>
      </c>
      <c r="K201" s="204">
        <f>SUM(K186:K200)</f>
        <v>0</v>
      </c>
      <c r="L201" s="163">
        <f t="shared" si="54"/>
        <v>22021.100000000002</v>
      </c>
      <c r="M201" s="204">
        <f t="shared" si="54"/>
        <v>21115.146666666667</v>
      </c>
      <c r="N201" s="204">
        <f t="shared" si="54"/>
        <v>0</v>
      </c>
      <c r="O201" s="168">
        <f>SUM(O186:O200)</f>
        <v>0</v>
      </c>
      <c r="P201" s="272">
        <f>+IF((L201)=0,,(M201-L201)/L201)</f>
        <v>-4.11402397397648E-2</v>
      </c>
      <c r="Q201" s="188">
        <f>+IF((M201)=0,,(O201-M201)/M201)</f>
        <v>-1</v>
      </c>
      <c r="R201" s="168">
        <f>SUM(R186:R200)</f>
        <v>0</v>
      </c>
      <c r="S201" s="136"/>
    </row>
    <row r="202" spans="1:19" s="2" customFormat="1" ht="11.25">
      <c r="A202" s="5"/>
      <c r="B202" s="160"/>
      <c r="C202" s="113"/>
      <c r="D202" s="113"/>
      <c r="E202" s="113"/>
      <c r="F202" s="113"/>
      <c r="G202" s="113"/>
      <c r="H202" s="113"/>
      <c r="I202" s="113"/>
      <c r="J202" s="113"/>
      <c r="K202" s="113"/>
      <c r="L202" s="160"/>
      <c r="M202" s="134"/>
      <c r="N202" s="25"/>
      <c r="O202" s="154"/>
      <c r="P202" s="149"/>
      <c r="Q202" s="254"/>
      <c r="R202" s="115"/>
      <c r="S202" s="134"/>
    </row>
    <row r="203" spans="1:19" s="2" customFormat="1" ht="11.25">
      <c r="A203" s="14" t="s">
        <v>189</v>
      </c>
      <c r="B203" s="175">
        <f t="shared" ref="B203:I203" si="55">+B103+B116+B129+B154+B168+B185-B201</f>
        <v>332211.46282433247</v>
      </c>
      <c r="C203" s="206">
        <f t="shared" si="55"/>
        <v>344045.43962846469</v>
      </c>
      <c r="D203" s="206">
        <f t="shared" si="55"/>
        <v>256549.41139296335</v>
      </c>
      <c r="E203" s="206">
        <f t="shared" si="55"/>
        <v>160382.84314427202</v>
      </c>
      <c r="F203" s="206">
        <f t="shared" si="55"/>
        <v>323252.97406215791</v>
      </c>
      <c r="G203" s="206">
        <f t="shared" si="55"/>
        <v>412437.41089054954</v>
      </c>
      <c r="H203" s="206">
        <f t="shared" si="55"/>
        <v>268955.86497823772</v>
      </c>
      <c r="I203" s="206">
        <f t="shared" si="55"/>
        <v>300761.32729159622</v>
      </c>
      <c r="J203" s="206">
        <f t="shared" ref="J203:O203" si="56">+J103+J116+J129+J154+J168+J185-J201</f>
        <v>120473.12345677281</v>
      </c>
      <c r="K203" s="206">
        <f t="shared" si="56"/>
        <v>146007.1749687494</v>
      </c>
      <c r="L203" s="175">
        <f t="shared" si="56"/>
        <v>2387300.6667999998</v>
      </c>
      <c r="M203" s="206">
        <f t="shared" si="56"/>
        <v>2446902.7163013313</v>
      </c>
      <c r="N203" s="206">
        <f t="shared" si="56"/>
        <v>2665077.0326380963</v>
      </c>
      <c r="O203" s="176">
        <f t="shared" si="56"/>
        <v>2665077.0326380963</v>
      </c>
      <c r="P203" s="281">
        <f>+IF((L203)=0,,(M203-L203)/L203)</f>
        <v>2.4966293659702141E-2</v>
      </c>
      <c r="Q203" s="282">
        <f>+IF((M203)=0,,(O203-M203)/M203)</f>
        <v>8.9163461580749337E-2</v>
      </c>
      <c r="R203" s="176">
        <f>+R103+R116+R129+R154+R168+R185-R201</f>
        <v>2667214.977165415</v>
      </c>
      <c r="S203" s="145"/>
    </row>
    <row r="204" spans="1:19" s="2" customFormat="1" ht="11.25">
      <c r="A204" s="5"/>
      <c r="B204" s="160"/>
      <c r="C204" s="113"/>
      <c r="D204" s="113"/>
      <c r="E204" s="113"/>
      <c r="F204" s="113"/>
      <c r="G204" s="113"/>
      <c r="H204" s="113"/>
      <c r="I204" s="113"/>
      <c r="J204" s="113"/>
      <c r="K204" s="113"/>
      <c r="L204" s="160"/>
      <c r="M204" s="134"/>
      <c r="N204" s="25"/>
      <c r="O204" s="154"/>
      <c r="P204" s="149"/>
      <c r="Q204" s="254"/>
      <c r="R204" s="115"/>
      <c r="S204" s="134"/>
    </row>
    <row r="205" spans="1:19" s="2" customFormat="1" ht="11.25">
      <c r="A205" s="12" t="s">
        <v>228</v>
      </c>
      <c r="B205" s="177">
        <f>+B62-B203</f>
        <v>112659.03717566753</v>
      </c>
      <c r="C205" s="177">
        <f t="shared" ref="C205:N205" si="57">+C62-C203</f>
        <v>127652.06037153531</v>
      </c>
      <c r="D205" s="177">
        <f t="shared" si="57"/>
        <v>60754.588607036654</v>
      </c>
      <c r="E205" s="177">
        <f t="shared" si="57"/>
        <v>8842.1568557279825</v>
      </c>
      <c r="F205" s="177">
        <f t="shared" si="57"/>
        <v>88742.275937842089</v>
      </c>
      <c r="G205" s="177">
        <f t="shared" si="57"/>
        <v>133164.58910945046</v>
      </c>
      <c r="H205" s="177">
        <f t="shared" si="57"/>
        <v>24511.43502176227</v>
      </c>
      <c r="I205" s="177">
        <f t="shared" si="57"/>
        <v>77784.672708403785</v>
      </c>
      <c r="J205" s="177">
        <f t="shared" si="57"/>
        <v>527.1565432271891</v>
      </c>
      <c r="K205" s="177">
        <f>+K62-K203</f>
        <v>28484.825031250599</v>
      </c>
      <c r="L205" s="177">
        <f>+L53-L203</f>
        <v>455459.91909999959</v>
      </c>
      <c r="M205" s="228">
        <f t="shared" si="57"/>
        <v>569014.28039866872</v>
      </c>
      <c r="N205" s="228">
        <f t="shared" si="57"/>
        <v>663122.79736190336</v>
      </c>
      <c r="O205" s="228">
        <f>+O62-O203</f>
        <v>663122.79736190336</v>
      </c>
      <c r="P205" s="226">
        <f>+IF((L205)=0,,(M205-L205)/L205)</f>
        <v>0.24931801139177173</v>
      </c>
      <c r="Q205" s="283">
        <f>+IF((M205)=0,,(O205-M205)/M205)</f>
        <v>0.16538867336914523</v>
      </c>
      <c r="R205" s="178">
        <f>+R62-R203</f>
        <v>625279.00535458513</v>
      </c>
      <c r="S205" s="146"/>
    </row>
    <row r="206" spans="1:19" s="2" customFormat="1" ht="11.25">
      <c r="A206" s="5"/>
      <c r="B206" s="160"/>
      <c r="C206" s="113"/>
      <c r="D206" s="113"/>
      <c r="E206" s="113"/>
      <c r="F206" s="113"/>
      <c r="G206" s="113"/>
      <c r="H206" s="113"/>
      <c r="I206" s="113"/>
      <c r="J206" s="113"/>
      <c r="K206" s="113"/>
      <c r="L206" s="160"/>
      <c r="M206" s="134"/>
      <c r="N206" s="25"/>
      <c r="O206" s="154"/>
      <c r="P206" s="149"/>
      <c r="Q206" s="254"/>
      <c r="R206" s="115"/>
      <c r="S206" s="134"/>
    </row>
    <row r="207" spans="1:19" s="2" customFormat="1" ht="11.25">
      <c r="A207" s="63" t="s">
        <v>251</v>
      </c>
      <c r="B207" s="232">
        <f>+Orléans!$G207</f>
        <v>4163.9122145986539</v>
      </c>
      <c r="C207" s="233">
        <f>+Angers!$G207</f>
        <v>4802.892280001498</v>
      </c>
      <c r="D207" s="233">
        <f>+Thouars!$G207</f>
        <v>3374.1296741904825</v>
      </c>
      <c r="E207" s="233">
        <f>+Château!$G207</f>
        <v>1875.5679308519004</v>
      </c>
      <c r="F207" s="233">
        <f>+Chartres!$G207</f>
        <v>4430.7690039529607</v>
      </c>
      <c r="G207" s="233">
        <f>+Bosc!$G207</f>
        <v>5687.6455557983163</v>
      </c>
      <c r="H207" s="233">
        <f>+Cham!$G207</f>
        <v>3085.0158930432208</v>
      </c>
      <c r="I207" s="233">
        <f>+Mans!$G207</f>
        <v>3443.7774036106134</v>
      </c>
      <c r="J207" s="233">
        <f>+Saumur!$G207</f>
        <v>1076.4965030525875</v>
      </c>
      <c r="K207" s="233">
        <f>+Chalette!$G207</f>
        <v>1853.6137552738155</v>
      </c>
      <c r="L207" s="179">
        <f>+Orléans!E207+Angers!E207+Thouars!E207+Château!E207+Chartres!E207+Bosc!E207+Cham!E207+Mans!E207+Saumur!E207</f>
        <v>28575.371077222979</v>
      </c>
      <c r="M207" s="229">
        <f>+Orléans!F207+Angers!F207+Thouars!F207+Château!F207+Chartres!F207+Bosc!F207+Cham!F207+Mans!F207+Saumur!F207+Chalette!F207</f>
        <v>30853.091079870555</v>
      </c>
      <c r="N207" s="229">
        <f>+Repart!Q20</f>
        <v>33793.820214374049</v>
      </c>
      <c r="O207" s="128">
        <f>SUM(B207:K207)</f>
        <v>33793.820214374056</v>
      </c>
      <c r="P207" s="285">
        <f>+IF((L207)=0,,(M207-L207)/L207)</f>
        <v>7.9709201203098809E-2</v>
      </c>
      <c r="Q207" s="194">
        <f>+IF((M207)=0,,(O207-M207)/M207)</f>
        <v>9.5313922578801752E-2</v>
      </c>
      <c r="R207" s="210">
        <f>+Orléans!D207+Angers!D207+Thouars!D207+Château!D207+Chartres!D207+Bosc!D207+Cham!D207+Mans!D207+Saumur!D207+Chalette!D207</f>
        <v>57868.738692272891</v>
      </c>
      <c r="S207" s="150"/>
    </row>
    <row r="208" spans="1:19" s="2" customFormat="1" ht="11.25">
      <c r="A208" s="5"/>
      <c r="B208" s="160"/>
      <c r="C208" s="113"/>
      <c r="D208" s="113"/>
      <c r="E208" s="113"/>
      <c r="F208" s="113"/>
      <c r="G208" s="113"/>
      <c r="H208" s="113"/>
      <c r="I208" s="113"/>
      <c r="J208" s="113"/>
      <c r="K208" s="113"/>
      <c r="L208" s="160"/>
      <c r="M208" s="134"/>
      <c r="N208" s="25"/>
      <c r="O208" s="154"/>
      <c r="P208" s="149"/>
      <c r="Q208" s="254"/>
      <c r="R208" s="115"/>
      <c r="S208" s="134"/>
    </row>
    <row r="209" spans="1:19" s="2" customFormat="1" ht="11.25">
      <c r="A209" s="12" t="s">
        <v>190</v>
      </c>
      <c r="B209" s="177">
        <f t="shared" ref="B209:N209" si="58">+B205-B207</f>
        <v>108495.12496106888</v>
      </c>
      <c r="C209" s="228">
        <f t="shared" si="58"/>
        <v>122849.16809153381</v>
      </c>
      <c r="D209" s="228">
        <f t="shared" si="58"/>
        <v>57380.458932846173</v>
      </c>
      <c r="E209" s="228">
        <f t="shared" si="58"/>
        <v>6966.5889248760823</v>
      </c>
      <c r="F209" s="228">
        <f t="shared" si="58"/>
        <v>84311.506933889134</v>
      </c>
      <c r="G209" s="228">
        <f t="shared" si="58"/>
        <v>127476.94355365215</v>
      </c>
      <c r="H209" s="228">
        <f t="shared" si="58"/>
        <v>21426.419128719048</v>
      </c>
      <c r="I209" s="228">
        <f t="shared" si="58"/>
        <v>74340.895304793172</v>
      </c>
      <c r="J209" s="228">
        <f t="shared" si="58"/>
        <v>-549.33995982539841</v>
      </c>
      <c r="K209" s="228">
        <f>+K205-K207</f>
        <v>26631.211275976784</v>
      </c>
      <c r="L209" s="177">
        <f t="shared" si="58"/>
        <v>426884.54802277661</v>
      </c>
      <c r="M209" s="228">
        <f t="shared" si="58"/>
        <v>538161.18931879813</v>
      </c>
      <c r="N209" s="228">
        <f t="shared" si="58"/>
        <v>629328.97714752937</v>
      </c>
      <c r="O209" s="178">
        <f>+O205-O207</f>
        <v>629328.97714752925</v>
      </c>
      <c r="P209" s="226">
        <f>+IF((L209)=0,,(M209-L209)/L209)</f>
        <v>0.26067151367138336</v>
      </c>
      <c r="Q209" s="283">
        <f>+IF((M209)=0,,(O209-M209)/M209)</f>
        <v>0.16940609921003569</v>
      </c>
      <c r="R209" s="178">
        <f>+R205-R207</f>
        <v>567410.26666231221</v>
      </c>
      <c r="S209" s="146"/>
    </row>
    <row r="210" spans="1:19" s="2" customFormat="1" ht="11.25">
      <c r="A210" s="5"/>
      <c r="B210" s="160"/>
      <c r="C210" s="113"/>
      <c r="D210" s="113"/>
      <c r="E210" s="113"/>
      <c r="F210" s="113"/>
      <c r="G210" s="113"/>
      <c r="H210" s="113"/>
      <c r="I210" s="113"/>
      <c r="J210" s="113"/>
      <c r="K210" s="113"/>
      <c r="L210" s="160"/>
      <c r="M210" s="134"/>
      <c r="N210" s="25"/>
      <c r="O210" s="154"/>
      <c r="P210" s="149"/>
      <c r="Q210" s="254"/>
      <c r="R210" s="115"/>
      <c r="S210" s="134"/>
    </row>
    <row r="211" spans="1:19" s="2" customFormat="1" ht="11.25">
      <c r="A211" s="5" t="s">
        <v>191</v>
      </c>
      <c r="B211" s="160">
        <f>+Orléans!$G211</f>
        <v>9644.6846793104778</v>
      </c>
      <c r="C211" s="113">
        <f>+Angers!$G211</f>
        <v>9644.6846793104778</v>
      </c>
      <c r="D211" s="113">
        <f>+Thouars!$G211</f>
        <v>9644.6846793104778</v>
      </c>
      <c r="E211" s="113">
        <f>+Château!$G211</f>
        <v>9644.6846793104778</v>
      </c>
      <c r="F211" s="113">
        <f>+Chartres!$G211</f>
        <v>9644.6846793104778</v>
      </c>
      <c r="G211" s="113">
        <f>+Bosc!$G211</f>
        <v>9644.6846793104778</v>
      </c>
      <c r="H211" s="113">
        <f>+Cham!$G211</f>
        <v>9644.6846793104778</v>
      </c>
      <c r="I211" s="113">
        <f>+Mans!$G211</f>
        <v>9644.6846793104778</v>
      </c>
      <c r="J211" s="113">
        <f>+Saumur!$G211</f>
        <v>9644.6846793104778</v>
      </c>
      <c r="K211" s="113">
        <f>+Chalette!$G211</f>
        <v>9644.6846793104778</v>
      </c>
      <c r="L211" s="160">
        <f>+Orléans!E211+Angers!E211+Thouars!E211+Château!E211+Chartres!E211+Bosc!E211+Cham!E211+Mans!E211+Saumur!E211</f>
        <v>72855.774647999991</v>
      </c>
      <c r="M211" s="135">
        <f>+Orléans!F211+Angers!F211+Thouars!F211+Château!F211+Chartres!F211+Bosc!F211+Cham!F211+Mans!F211+Saumur!F211+Chalette!F211</f>
        <v>83444.545215053746</v>
      </c>
      <c r="N211" s="113">
        <f>+O211</f>
        <v>96446.846793104778</v>
      </c>
      <c r="O211" s="161">
        <f>SUM(B211:K211)</f>
        <v>96446.846793104778</v>
      </c>
      <c r="P211" s="149">
        <f>+IF((L211)=0,,(M211-L211)/L211)</f>
        <v>0.14533879597345595</v>
      </c>
      <c r="Q211" s="271">
        <f>+IF((M211)=0,,(O211-M211)/M211)</f>
        <v>0.15581967095082641</v>
      </c>
      <c r="R211" s="117">
        <f>+Orléans!D211+Angers!D211+Thouars!D211+Château!D211+Chartres!D211+Bosc!D211+Cham!D211+Mans!D211+Saumur!D211+Chalette!D211</f>
        <v>81234.334993864584</v>
      </c>
      <c r="S211" s="368"/>
    </row>
    <row r="212" spans="1:19">
      <c r="A212" s="5" t="s">
        <v>192</v>
      </c>
      <c r="B212" s="160">
        <f>+Orléans!$G212</f>
        <v>44862.999301121999</v>
      </c>
      <c r="C212" s="113">
        <f>+Angers!$G212</f>
        <v>51747.525379047911</v>
      </c>
      <c r="D212" s="113">
        <f>+Thouars!$G212</f>
        <v>36353.690811345077</v>
      </c>
      <c r="E212" s="113">
        <f>+Château!$G212</f>
        <v>20207.823420486297</v>
      </c>
      <c r="F212" s="113">
        <f>+Chartres!$G212</f>
        <v>47738.179020888463</v>
      </c>
      <c r="G212" s="113">
        <f>+Bosc!$G212</f>
        <v>61280.071587533217</v>
      </c>
      <c r="H212" s="113">
        <f>+Cham!$G212</f>
        <v>33238.708868142763</v>
      </c>
      <c r="I212" s="113">
        <f>+Mans!$G212</f>
        <v>37104.09232685859</v>
      </c>
      <c r="J212" s="113">
        <f>+Saumur!$G212</f>
        <v>11598.434206846863</v>
      </c>
      <c r="K212" s="113">
        <f>+Chalette!$G212</f>
        <v>19971.283812335296</v>
      </c>
      <c r="L212" s="160">
        <f>+Orléans!E212+Angers!E212+Thouars!E212+Château!E212+Chartres!E212+Bosc!E212+Cham!E212+Mans!E212+Saumur!E212</f>
        <v>275109.76146749291</v>
      </c>
      <c r="M212" s="135">
        <f>+Orléans!F212+Angers!F212+Thouars!F212+Château!F212+Chartres!F212+Bosc!F212+Cham!F212+Mans!F212+Saumur!F212+Chalette!F212</f>
        <v>326701.27602006996</v>
      </c>
      <c r="N212" s="113">
        <f>+O212</f>
        <v>364102.80873460649</v>
      </c>
      <c r="O212" s="161">
        <f>SUM(B212:K212)</f>
        <v>364102.80873460649</v>
      </c>
      <c r="P212" s="149">
        <f>+IF((L212)=0,,(M212-L212)/L212)</f>
        <v>0.18753065786316392</v>
      </c>
      <c r="Q212" s="271">
        <f>+IF((M212)=0,,(O212-M212)/M212)</f>
        <v>0.114482358839146</v>
      </c>
      <c r="R212" s="117">
        <f>+Orléans!D212+Angers!D212+Thouars!D212+Château!D212+Chartres!D212+Bosc!D212+Cham!D212+Mans!D212+Saumur!D212+Chalette!D212</f>
        <v>315297.46059901745</v>
      </c>
      <c r="S212" s="368"/>
    </row>
    <row r="213" spans="1:19">
      <c r="A213" s="5" t="s">
        <v>193</v>
      </c>
      <c r="B213" s="160">
        <f>+Orléans!$G213</f>
        <v>-10000</v>
      </c>
      <c r="C213" s="113">
        <f>+Angers!$G213</f>
        <v>-10000</v>
      </c>
      <c r="D213" s="113">
        <f>+Thouars!$G213</f>
        <v>-8400</v>
      </c>
      <c r="E213" s="113">
        <f>+Château!$G213</f>
        <v>-4200</v>
      </c>
      <c r="F213" s="113">
        <f>+Chartres!$G213</f>
        <v>-8000</v>
      </c>
      <c r="G213" s="113">
        <f>+Bosc!$G213</f>
        <v>-13200</v>
      </c>
      <c r="H213" s="113">
        <f>+Cham!$G213</f>
        <v>-7200</v>
      </c>
      <c r="I213" s="113">
        <f>+Mans!$G213</f>
        <v>-5600</v>
      </c>
      <c r="J213" s="113">
        <f>+Saumur!$G213</f>
        <v>-3200</v>
      </c>
      <c r="K213" s="113">
        <f>+Chalette!$G213</f>
        <v>-5600</v>
      </c>
      <c r="L213" s="160">
        <f>+Orléans!E213+Angers!E213+Thouars!E213+Château!E213+Chartres!E213+Bosc!E213+Cham!E213+Mans!E213+Saumur!E213</f>
        <v>-68371.989999999991</v>
      </c>
      <c r="M213" s="135">
        <f>+Orléans!F213+Angers!F213+Thouars!F213+Château!F213+Chartres!F213+Bosc!F213+Cham!F213+Mans!F213+Saumur!F213+Chalette!F213</f>
        <v>-81092.586666666655</v>
      </c>
      <c r="N213" s="113">
        <f>+O213</f>
        <v>-75400</v>
      </c>
      <c r="O213" s="161">
        <f>SUM(B213:K213)</f>
        <v>-75400</v>
      </c>
      <c r="P213" s="149">
        <f>+IF((L213)=0,,(M213-L213)/L213)</f>
        <v>0.18604982342428042</v>
      </c>
      <c r="Q213" s="271">
        <f>+IF((M213)=0,,(O213-M213)/M213)</f>
        <v>-7.0198607550480435E-2</v>
      </c>
      <c r="R213" s="117">
        <f>+Orléans!D213+Angers!D213+Thouars!D213+Château!D213+Chartres!D213+Bosc!D213+Cham!D213+Mans!D213+Saumur!D213+Chalette!D213</f>
        <v>-69400</v>
      </c>
      <c r="S213" s="368"/>
    </row>
    <row r="214" spans="1:19">
      <c r="A214" s="5"/>
      <c r="B214" s="160"/>
      <c r="C214" s="113"/>
      <c r="D214" s="113"/>
      <c r="E214" s="113"/>
      <c r="F214" s="113"/>
      <c r="G214" s="113"/>
      <c r="H214" s="113"/>
      <c r="I214" s="113"/>
      <c r="J214" s="113"/>
      <c r="K214" s="113"/>
      <c r="L214" s="160"/>
      <c r="M214" s="134"/>
      <c r="N214" s="25"/>
      <c r="O214" s="154"/>
      <c r="P214" s="149"/>
      <c r="Q214" s="254"/>
      <c r="R214" s="115"/>
      <c r="S214" s="134"/>
    </row>
    <row r="215" spans="1:19">
      <c r="A215" s="20" t="s">
        <v>194</v>
      </c>
      <c r="B215" s="180">
        <f t="shared" ref="B215:G215" si="59">SUM(B210:B213)</f>
        <v>44507.683980432477</v>
      </c>
      <c r="C215" s="230">
        <f t="shared" si="59"/>
        <v>51392.210058358389</v>
      </c>
      <c r="D215" s="230">
        <f t="shared" si="59"/>
        <v>37598.375490655555</v>
      </c>
      <c r="E215" s="230">
        <f t="shared" si="59"/>
        <v>25652.508099796774</v>
      </c>
      <c r="F215" s="230">
        <f t="shared" si="59"/>
        <v>49382.863700198941</v>
      </c>
      <c r="G215" s="230">
        <f t="shared" si="59"/>
        <v>57724.756266843702</v>
      </c>
      <c r="H215" s="230">
        <f t="shared" ref="H215:N215" si="60">SUM(H210:H213)</f>
        <v>35683.393547453241</v>
      </c>
      <c r="I215" s="230">
        <f t="shared" si="60"/>
        <v>41148.777006169068</v>
      </c>
      <c r="J215" s="230">
        <f t="shared" si="60"/>
        <v>18043.118886157339</v>
      </c>
      <c r="K215" s="230">
        <f>SUM(K210:K213)</f>
        <v>24015.968491645774</v>
      </c>
      <c r="L215" s="180">
        <f t="shared" si="60"/>
        <v>279593.54611549294</v>
      </c>
      <c r="M215" s="230">
        <f t="shared" si="60"/>
        <v>329053.234568457</v>
      </c>
      <c r="N215" s="230">
        <f t="shared" si="60"/>
        <v>385149.65552771126</v>
      </c>
      <c r="O215" s="181">
        <f>SUM(O211:O213)</f>
        <v>385149.65552771126</v>
      </c>
      <c r="P215" s="285">
        <f>+IF((L215)=0,,(M215-L215)/L215)</f>
        <v>0.17689853410469472</v>
      </c>
      <c r="Q215" s="194">
        <f>+IF((M215)=0,,(O215-M215)/M215)</f>
        <v>0.17047825417313694</v>
      </c>
      <c r="R215" s="181">
        <f>SUM(R210:R213)</f>
        <v>327131.79559288203</v>
      </c>
      <c r="S215" s="148"/>
    </row>
    <row r="216" spans="1:19">
      <c r="A216" s="5"/>
      <c r="B216" s="160"/>
      <c r="C216" s="113"/>
      <c r="D216" s="113"/>
      <c r="E216" s="113"/>
      <c r="F216" s="113"/>
      <c r="G216" s="113"/>
      <c r="H216" s="113"/>
      <c r="I216" s="113"/>
      <c r="J216" s="113"/>
      <c r="K216" s="113"/>
      <c r="L216" s="160"/>
      <c r="M216" s="134"/>
      <c r="N216" s="25"/>
      <c r="O216" s="154"/>
      <c r="P216" s="149"/>
      <c r="Q216" s="254"/>
      <c r="R216" s="115"/>
      <c r="S216" s="134"/>
    </row>
    <row r="217" spans="1:19">
      <c r="A217" s="12" t="s">
        <v>332</v>
      </c>
      <c r="B217" s="177">
        <f t="shared" ref="B217:M217" si="61">+B209-B215</f>
        <v>63987.440980636406</v>
      </c>
      <c r="C217" s="228">
        <f t="shared" si="61"/>
        <v>71456.958033175411</v>
      </c>
      <c r="D217" s="228">
        <f t="shared" si="61"/>
        <v>19782.083442190618</v>
      </c>
      <c r="E217" s="228">
        <f t="shared" si="61"/>
        <v>-18685.919174920691</v>
      </c>
      <c r="F217" s="228">
        <f t="shared" si="61"/>
        <v>34928.643233690193</v>
      </c>
      <c r="G217" s="228">
        <f t="shared" si="61"/>
        <v>69752.187286808447</v>
      </c>
      <c r="H217" s="228">
        <f>+H209-H215</f>
        <v>-14256.974418734193</v>
      </c>
      <c r="I217" s="228">
        <f>+I209-I215</f>
        <v>33192.118298624104</v>
      </c>
      <c r="J217" s="228">
        <f>+J209-J215</f>
        <v>-18592.458845982739</v>
      </c>
      <c r="K217" s="228">
        <f>+K209-K215</f>
        <v>2615.2427843310106</v>
      </c>
      <c r="L217" s="177">
        <f>+L209-L215</f>
        <v>147291.00190728367</v>
      </c>
      <c r="M217" s="228">
        <f t="shared" si="61"/>
        <v>209107.95475034113</v>
      </c>
      <c r="N217" s="228">
        <f>+N209-N215</f>
        <v>244179.3216198181</v>
      </c>
      <c r="O217" s="178">
        <f>+O209-O215</f>
        <v>244179.32161981799</v>
      </c>
      <c r="P217" s="226">
        <f>+IF((L217)=0,,(M217-L217)/L217)</f>
        <v>0.41969266311305164</v>
      </c>
      <c r="Q217" s="283">
        <f>+IF((M217)=0,,(O217-M217)/M217)</f>
        <v>0.16771895125342975</v>
      </c>
      <c r="R217" s="178">
        <f>+R209-R215</f>
        <v>240278.47106943018</v>
      </c>
      <c r="S217" s="146"/>
    </row>
    <row r="218" spans="1:19">
      <c r="A218" s="88" t="s">
        <v>43</v>
      </c>
      <c r="B218" s="17">
        <f>Orléans!G217</f>
        <v>63987.440980636406</v>
      </c>
      <c r="C218" s="17">
        <f>Angers!G217</f>
        <v>71456.958033175411</v>
      </c>
      <c r="D218" s="17">
        <f>Thouars!G217</f>
        <v>19782.083442190618</v>
      </c>
      <c r="E218" s="17">
        <f>Château!G217</f>
        <v>-18685.919174920691</v>
      </c>
      <c r="F218" s="17">
        <f>Chartres!G217</f>
        <v>34928.643233690193</v>
      </c>
      <c r="G218" s="17">
        <f>Bosc!$G217</f>
        <v>69752.187286808447</v>
      </c>
      <c r="H218" s="17">
        <f>Cham!$G217</f>
        <v>-14256.974418734193</v>
      </c>
      <c r="I218" s="113">
        <f>Mans!$G217</f>
        <v>33192.118298624104</v>
      </c>
      <c r="J218" s="113">
        <f>Saumur!$G217</f>
        <v>-18592.458845982739</v>
      </c>
      <c r="K218" s="113">
        <f>Chalette!$G217</f>
        <v>2615.2427843310106</v>
      </c>
      <c r="L218" s="135">
        <f>+Orléans!E217+Angers!E217+Thouars!E217+Château!E217+Chartres!E217+Bosc!E217+Cham!E217+Mans!E217+Saumur!E217</f>
        <v>147291.00190728443</v>
      </c>
      <c r="M218" s="135">
        <f>+Orléans!F217+Angers!F217+Thouars!F217+Château!F217+Chartres!F217+Bosc!F217+Cham!F217+Mans!F217+Saumur!F217+Chalette!F217</f>
        <v>209107.95475034119</v>
      </c>
      <c r="N218" s="135">
        <f>+Orléans!G217+Angers!G217+Thouars!G217+Château!G217+Chartres!G217+Bosc!G217+Cham!G217+Mans!G217+Saumur!G217</f>
        <v>241564.0788354876</v>
      </c>
      <c r="O218" s="161">
        <f>SUM(B217:K217)</f>
        <v>244179.3216198186</v>
      </c>
      <c r="R218" s="429"/>
    </row>
    <row r="219" spans="1:19" ht="13.5" customHeight="1">
      <c r="A219" s="87"/>
      <c r="B219" s="110"/>
      <c r="C219" s="110"/>
      <c r="D219" s="110"/>
      <c r="E219" s="110"/>
      <c r="F219" s="110"/>
      <c r="G219" s="110"/>
      <c r="H219" s="110"/>
      <c r="I219" s="328"/>
      <c r="J219" s="328"/>
      <c r="K219" s="328"/>
      <c r="L219" s="110"/>
      <c r="N219" s="348"/>
      <c r="O219" s="17">
        <f>+'Pays de la Loire'!I217+'Région Centre 2'!J217+Mans!G217</f>
        <v>244179.32161981845</v>
      </c>
      <c r="R219" s="429"/>
    </row>
    <row r="220" spans="1:19" s="2" customFormat="1" ht="11.25">
      <c r="B220" s="17"/>
      <c r="C220" s="17"/>
      <c r="D220" s="17"/>
      <c r="E220" s="17"/>
      <c r="F220" s="17"/>
      <c r="G220" s="17"/>
      <c r="H220" s="17"/>
      <c r="I220" s="113"/>
      <c r="J220" s="113"/>
      <c r="K220" s="113"/>
      <c r="L220" s="17"/>
      <c r="O220" s="17"/>
      <c r="P220" s="66"/>
      <c r="Q220" s="66"/>
      <c r="R220" s="186"/>
    </row>
    <row r="221" spans="1:19" s="2" customFormat="1" ht="11.25">
      <c r="B221" s="17"/>
      <c r="C221" s="17"/>
      <c r="D221" s="17"/>
      <c r="E221" s="17"/>
      <c r="F221" s="17"/>
      <c r="G221" s="17"/>
      <c r="H221" s="17"/>
      <c r="I221" s="113"/>
      <c r="J221" s="113"/>
      <c r="K221" s="113"/>
      <c r="L221" s="17"/>
      <c r="P221" s="66"/>
      <c r="Q221" s="24"/>
      <c r="R221" s="186"/>
    </row>
    <row r="222" spans="1:19" s="2" customFormat="1" ht="11.25">
      <c r="B222" s="17"/>
      <c r="C222" s="17"/>
      <c r="D222" s="17"/>
      <c r="E222" s="17"/>
      <c r="F222" s="17"/>
      <c r="G222" s="17"/>
      <c r="H222" s="17"/>
      <c r="I222" s="113"/>
      <c r="J222" s="113"/>
      <c r="K222" s="113"/>
      <c r="L222" s="27"/>
      <c r="P222" s="66"/>
      <c r="Q222" s="24"/>
      <c r="R222" s="186"/>
    </row>
    <row r="223" spans="1:19" s="2" customFormat="1" ht="11.25">
      <c r="A223" s="264" t="s">
        <v>67</v>
      </c>
      <c r="B223" s="265">
        <f>+(B215+B207+B203)/B60</f>
        <v>928983.07077893568</v>
      </c>
      <c r="C223" s="265">
        <f t="shared" ref="C223:R223" si="62">+(C215+C207+C203)/C60</f>
        <v>1067308.1119115322</v>
      </c>
      <c r="D223" s="265">
        <f t="shared" si="62"/>
        <v>826449.76821613719</v>
      </c>
      <c r="E223" s="265">
        <f t="shared" si="62"/>
        <v>536888.34049977339</v>
      </c>
      <c r="F223" s="265">
        <f t="shared" si="62"/>
        <v>1062159.4556797461</v>
      </c>
      <c r="G223" s="265">
        <f t="shared" si="62"/>
        <v>1286080.5749005177</v>
      </c>
      <c r="H223" s="265">
        <f t="shared" si="62"/>
        <v>843080.20388694305</v>
      </c>
      <c r="I223" s="265">
        <f t="shared" si="62"/>
        <v>822271.14690803783</v>
      </c>
      <c r="J223" s="265">
        <f t="shared" si="62"/>
        <v>324634.27638600639</v>
      </c>
      <c r="K223" s="265">
        <f>+(K215+K207+K203)/K60</f>
        <v>477435.43671019166</v>
      </c>
      <c r="L223" s="265">
        <f>+(L215+L207+L203)/L54</f>
        <v>7189117.3655567914</v>
      </c>
      <c r="M223" s="265">
        <f t="shared" si="62"/>
        <v>7537741.4526058929</v>
      </c>
      <c r="N223" s="265">
        <f t="shared" si="62"/>
        <v>8167693.5704230461</v>
      </c>
      <c r="O223" s="265">
        <f t="shared" si="62"/>
        <v>8167693.5704230461</v>
      </c>
      <c r="P223" s="265"/>
      <c r="Q223" s="265"/>
      <c r="R223" s="430">
        <f t="shared" si="62"/>
        <v>8095938.9030327387</v>
      </c>
    </row>
    <row r="224" spans="1:19" s="2" customFormat="1" ht="11.25">
      <c r="A224" s="264" t="s">
        <v>66</v>
      </c>
      <c r="B224" s="265">
        <f>+B223/12</f>
        <v>77415.255898244635</v>
      </c>
      <c r="C224" s="265">
        <f t="shared" ref="C224:R224" si="63">+C223/12</f>
        <v>88942.342659294358</v>
      </c>
      <c r="D224" s="265">
        <f t="shared" si="63"/>
        <v>68870.814018011428</v>
      </c>
      <c r="E224" s="265">
        <f t="shared" si="63"/>
        <v>44740.695041647785</v>
      </c>
      <c r="F224" s="265">
        <f t="shared" si="63"/>
        <v>88513.287973312181</v>
      </c>
      <c r="G224" s="265">
        <f t="shared" si="63"/>
        <v>107173.38124170981</v>
      </c>
      <c r="H224" s="265">
        <f t="shared" si="63"/>
        <v>70256.683657245259</v>
      </c>
      <c r="I224" s="329">
        <f t="shared" si="63"/>
        <v>68522.595575669824</v>
      </c>
      <c r="J224" s="329">
        <f t="shared" si="63"/>
        <v>27052.856365500531</v>
      </c>
      <c r="K224" s="329">
        <f>+K223/12</f>
        <v>39786.286392515969</v>
      </c>
      <c r="L224" s="265">
        <f t="shared" si="63"/>
        <v>599093.11379639932</v>
      </c>
      <c r="M224" s="265">
        <f t="shared" si="63"/>
        <v>628145.12105049111</v>
      </c>
      <c r="N224" s="265">
        <f>+N223/12</f>
        <v>680641.13086858718</v>
      </c>
      <c r="O224" s="265">
        <f t="shared" si="63"/>
        <v>680641.13086858718</v>
      </c>
      <c r="P224" s="265"/>
      <c r="Q224" s="265"/>
      <c r="R224" s="430">
        <f t="shared" si="63"/>
        <v>674661.57525272819</v>
      </c>
    </row>
    <row r="225" spans="1:18">
      <c r="Q225" s="24"/>
      <c r="R225" s="429"/>
    </row>
    <row r="226" spans="1:18">
      <c r="P226" s="24"/>
      <c r="Q226" s="24"/>
      <c r="R226" s="429"/>
    </row>
    <row r="227" spans="1:18">
      <c r="P227" s="24"/>
      <c r="Q227" s="24"/>
      <c r="R227" s="429"/>
    </row>
    <row r="228" spans="1:18" s="2" customFormat="1" ht="12.75" customHeight="1">
      <c r="A228" s="6"/>
      <c r="B228" s="155"/>
      <c r="C228" s="211"/>
      <c r="D228" s="211"/>
      <c r="E228" s="211"/>
      <c r="F228" s="211"/>
      <c r="G228" s="211"/>
      <c r="H228" s="211"/>
      <c r="I228" s="211"/>
      <c r="J228" s="211"/>
      <c r="K228" s="211"/>
      <c r="L228" s="267" t="s">
        <v>195</v>
      </c>
      <c r="M228" s="130" t="s">
        <v>196</v>
      </c>
      <c r="N228" s="130" t="str">
        <f>+N4</f>
        <v>PERIMETRE</v>
      </c>
      <c r="O228" s="104" t="s">
        <v>196</v>
      </c>
      <c r="P228" s="151" t="s">
        <v>225</v>
      </c>
      <c r="Q228" s="183" t="s">
        <v>225</v>
      </c>
      <c r="R228" s="8" t="s">
        <v>196</v>
      </c>
    </row>
    <row r="229" spans="1:18" s="2" customFormat="1" ht="20.25" customHeight="1">
      <c r="A229" s="7" t="s">
        <v>218</v>
      </c>
      <c r="B229" s="212" t="s">
        <v>204</v>
      </c>
      <c r="C229" s="213" t="s">
        <v>205</v>
      </c>
      <c r="D229" s="213" t="s">
        <v>206</v>
      </c>
      <c r="E229" s="213" t="s">
        <v>232</v>
      </c>
      <c r="F229" s="213" t="s">
        <v>322</v>
      </c>
      <c r="G229" s="213" t="s">
        <v>68</v>
      </c>
      <c r="H229" s="213" t="s">
        <v>51</v>
      </c>
      <c r="I229" s="213" t="s">
        <v>373</v>
      </c>
      <c r="J229" s="213" t="str">
        <f>+J4</f>
        <v>SAUMUR</v>
      </c>
      <c r="K229" s="213" t="str">
        <f>+K4</f>
        <v>CHALETTE</v>
      </c>
      <c r="L229" s="260" t="s">
        <v>366</v>
      </c>
      <c r="M229" s="131" t="s">
        <v>197</v>
      </c>
      <c r="N229" s="131">
        <f>+N5</f>
        <v>244179.3216198181</v>
      </c>
      <c r="O229" s="105" t="s">
        <v>197</v>
      </c>
      <c r="P229" s="152"/>
      <c r="Q229" s="131" t="str">
        <f>+Q5</f>
        <v>IDENTIQUE</v>
      </c>
      <c r="R229" s="9" t="s">
        <v>197</v>
      </c>
    </row>
    <row r="230" spans="1:18" s="2" customFormat="1" ht="20.25" customHeight="1">
      <c r="A230" s="7" t="s">
        <v>231</v>
      </c>
      <c r="B230" s="157"/>
      <c r="C230" s="215"/>
      <c r="D230" s="215"/>
      <c r="E230" s="215"/>
      <c r="F230" s="215"/>
      <c r="G230" s="215"/>
      <c r="H230" s="215"/>
      <c r="I230" s="215"/>
      <c r="J230" s="215"/>
      <c r="K230" s="213" t="s">
        <v>551</v>
      </c>
      <c r="L230" s="268"/>
      <c r="M230" s="132"/>
      <c r="N230" s="132">
        <f>+N6</f>
        <v>2009</v>
      </c>
      <c r="O230" s="106"/>
      <c r="P230" s="152"/>
      <c r="Q230" s="132" t="str">
        <f>+Q6</f>
        <v>N/N+1</v>
      </c>
      <c r="R230" s="10"/>
    </row>
    <row r="231" spans="1:18" s="2" customFormat="1" ht="18">
      <c r="A231" s="68"/>
      <c r="B231" s="158"/>
      <c r="C231" s="231"/>
      <c r="D231" s="231"/>
      <c r="E231" s="231"/>
      <c r="F231" s="231"/>
      <c r="G231" s="231"/>
      <c r="H231" s="231"/>
      <c r="I231" s="231"/>
      <c r="J231" s="231"/>
      <c r="K231" s="231"/>
      <c r="L231" s="269">
        <f>+L6</f>
        <v>2009</v>
      </c>
      <c r="M231" s="133">
        <f>+M6</f>
        <v>2010</v>
      </c>
      <c r="N231" s="133">
        <f>+N6</f>
        <v>2009</v>
      </c>
      <c r="O231" s="159">
        <f>+O6</f>
        <v>2011</v>
      </c>
      <c r="P231" s="153" t="s">
        <v>367</v>
      </c>
      <c r="Q231" s="185" t="s">
        <v>368</v>
      </c>
      <c r="R231" s="4">
        <v>2007</v>
      </c>
    </row>
    <row r="232" spans="1:18" s="2" customFormat="1" ht="11.25">
      <c r="B232" s="288"/>
      <c r="C232" s="249"/>
      <c r="D232" s="286"/>
      <c r="E232" s="248"/>
      <c r="F232" s="287"/>
      <c r="G232" s="250"/>
      <c r="H232" s="288"/>
      <c r="I232" s="384"/>
      <c r="J232" s="253"/>
      <c r="K232" s="149"/>
      <c r="M232" s="25"/>
      <c r="N232" s="25"/>
      <c r="R232" s="154"/>
    </row>
    <row r="233" spans="1:18" s="2" customFormat="1" ht="11.25">
      <c r="A233" s="245" t="s">
        <v>223</v>
      </c>
      <c r="B233" s="175">
        <f>+B51</f>
        <v>1085050</v>
      </c>
      <c r="C233" s="206">
        <f>+C51</f>
        <v>1257860</v>
      </c>
      <c r="D233" s="206">
        <f t="shared" ref="D233:I233" si="64">+D51</f>
        <v>881400</v>
      </c>
      <c r="E233" s="206">
        <f t="shared" si="64"/>
        <v>483500</v>
      </c>
      <c r="F233" s="206">
        <f t="shared" si="64"/>
        <v>1160550</v>
      </c>
      <c r="G233" s="206">
        <f t="shared" si="64"/>
        <v>1474600</v>
      </c>
      <c r="H233" s="206">
        <f t="shared" si="64"/>
        <v>804020</v>
      </c>
      <c r="I233" s="206">
        <f t="shared" si="64"/>
        <v>901300</v>
      </c>
      <c r="J233" s="206">
        <f>+J51</f>
        <v>281396</v>
      </c>
      <c r="K233" s="206">
        <f>+K51</f>
        <v>484700</v>
      </c>
      <c r="L233" s="175">
        <f t="shared" ref="L233:R233" si="65">+L51</f>
        <v>7581958.8599999994</v>
      </c>
      <c r="M233" s="206">
        <f>+M51</f>
        <v>8099305.0199999996</v>
      </c>
      <c r="N233" s="206">
        <f>+N51</f>
        <v>7908087.4542999994</v>
      </c>
      <c r="O233" s="176">
        <f t="shared" si="65"/>
        <v>8814376</v>
      </c>
      <c r="P233" s="208">
        <f t="shared" si="65"/>
        <v>0</v>
      </c>
      <c r="Q233" s="192">
        <f t="shared" si="65"/>
        <v>0</v>
      </c>
      <c r="R233" s="176">
        <f t="shared" si="65"/>
        <v>8733272.6084000003</v>
      </c>
    </row>
    <row r="234" spans="1:18" s="2" customFormat="1" ht="11.25">
      <c r="B234" s="160"/>
      <c r="C234" s="113"/>
      <c r="D234" s="113"/>
      <c r="E234" s="113"/>
      <c r="F234" s="113"/>
      <c r="G234" s="113"/>
      <c r="H234" s="113"/>
      <c r="I234" s="113"/>
      <c r="J234" s="113"/>
      <c r="K234" s="113"/>
      <c r="L234" s="160"/>
      <c r="M234" s="113"/>
      <c r="N234" s="113"/>
      <c r="O234" s="162"/>
      <c r="P234" s="92"/>
      <c r="Q234" s="186"/>
      <c r="R234" s="162"/>
    </row>
    <row r="235" spans="1:18">
      <c r="A235" s="246" t="s">
        <v>295</v>
      </c>
      <c r="B235" s="197">
        <f>+B60</f>
        <v>0.41</v>
      </c>
      <c r="C235" s="224">
        <f>+C60</f>
        <v>0.375</v>
      </c>
      <c r="D235" s="224">
        <f t="shared" ref="D235:I235" si="66">+D60</f>
        <v>0.36</v>
      </c>
      <c r="E235" s="224">
        <f t="shared" si="66"/>
        <v>0.35</v>
      </c>
      <c r="F235" s="224">
        <f t="shared" si="66"/>
        <v>0.35499999999999998</v>
      </c>
      <c r="G235" s="224">
        <f t="shared" si="66"/>
        <v>0.37</v>
      </c>
      <c r="H235" s="224">
        <f t="shared" si="66"/>
        <v>0.36499999999999999</v>
      </c>
      <c r="I235" s="224">
        <f t="shared" si="66"/>
        <v>0.42</v>
      </c>
      <c r="J235" s="224">
        <f>+J60</f>
        <v>0.43</v>
      </c>
      <c r="K235" s="224">
        <f>+K60</f>
        <v>0.36</v>
      </c>
      <c r="L235" s="197">
        <f>+L54</f>
        <v>0.37493748494172119</v>
      </c>
      <c r="M235" s="224">
        <f t="shared" ref="M235:R235" si="67">+M60</f>
        <v>0.37236738081263177</v>
      </c>
      <c r="N235" s="224">
        <f t="shared" si="67"/>
        <v>0.37758768516341934</v>
      </c>
      <c r="O235" s="191">
        <f t="shared" si="67"/>
        <v>0.37758768516341934</v>
      </c>
      <c r="P235" s="197">
        <f t="shared" si="67"/>
        <v>0</v>
      </c>
      <c r="Q235" s="191">
        <f t="shared" si="67"/>
        <v>0</v>
      </c>
      <c r="R235" s="191">
        <f t="shared" si="67"/>
        <v>0.37700574917965479</v>
      </c>
    </row>
    <row r="236" spans="1:18" s="2" customFormat="1" ht="11.25">
      <c r="A236" s="246" t="s">
        <v>296</v>
      </c>
      <c r="B236" s="169">
        <f>+B62</f>
        <v>444870.5</v>
      </c>
      <c r="C236" s="223">
        <f>+C62</f>
        <v>471697.5</v>
      </c>
      <c r="D236" s="223">
        <f t="shared" ref="D236:I236" si="68">+D62</f>
        <v>317304</v>
      </c>
      <c r="E236" s="223">
        <f t="shared" si="68"/>
        <v>169225</v>
      </c>
      <c r="F236" s="223">
        <f t="shared" si="68"/>
        <v>411995.25</v>
      </c>
      <c r="G236" s="223">
        <f t="shared" si="68"/>
        <v>545602</v>
      </c>
      <c r="H236" s="223">
        <f t="shared" si="68"/>
        <v>293467.3</v>
      </c>
      <c r="I236" s="223">
        <f t="shared" si="68"/>
        <v>378546</v>
      </c>
      <c r="J236" s="223">
        <f>+J62</f>
        <v>121000.28</v>
      </c>
      <c r="K236" s="223">
        <f>+K62</f>
        <v>174492</v>
      </c>
      <c r="L236" s="169">
        <f>+L53</f>
        <v>2842760.5858999994</v>
      </c>
      <c r="M236" s="223">
        <f t="shared" ref="M236:R236" si="69">+M62</f>
        <v>3015916.9967</v>
      </c>
      <c r="N236" s="223">
        <f t="shared" si="69"/>
        <v>3328199.8299999996</v>
      </c>
      <c r="O236" s="170">
        <f t="shared" si="69"/>
        <v>3328199.8299999996</v>
      </c>
      <c r="P236" s="197">
        <f t="shared" si="69"/>
        <v>7.7532272161604826E-2</v>
      </c>
      <c r="Q236" s="191">
        <f t="shared" si="69"/>
        <v>0.10354490313947558</v>
      </c>
      <c r="R236" s="170">
        <f t="shared" si="69"/>
        <v>3292493.9825200001</v>
      </c>
    </row>
    <row r="237" spans="1:18">
      <c r="A237" s="25"/>
      <c r="B237" s="160"/>
      <c r="C237" s="113"/>
      <c r="D237" s="113"/>
      <c r="E237" s="113"/>
      <c r="F237" s="113"/>
      <c r="G237" s="113"/>
      <c r="H237" s="113"/>
      <c r="I237" s="113"/>
      <c r="J237" s="113"/>
      <c r="K237" s="113"/>
      <c r="L237" s="160"/>
      <c r="M237" s="113"/>
      <c r="N237" s="113"/>
      <c r="O237" s="162"/>
      <c r="P237" s="92"/>
      <c r="Q237" s="186"/>
      <c r="R237" s="162"/>
    </row>
    <row r="238" spans="1:18">
      <c r="A238" s="292" t="s">
        <v>122</v>
      </c>
      <c r="B238" s="293">
        <f>+B103</f>
        <v>95430.598400000017</v>
      </c>
      <c r="C238" s="295">
        <f>+C103</f>
        <v>88796.679770961287</v>
      </c>
      <c r="D238" s="295">
        <f t="shared" ref="D238:I238" si="70">+D103</f>
        <v>87919.259283333347</v>
      </c>
      <c r="E238" s="295">
        <f t="shared" si="70"/>
        <v>47990.275733333336</v>
      </c>
      <c r="F238" s="295">
        <f t="shared" si="70"/>
        <v>85957.506587627984</v>
      </c>
      <c r="G238" s="295">
        <f t="shared" si="70"/>
        <v>110030.0312</v>
      </c>
      <c r="H238" s="295">
        <f t="shared" si="70"/>
        <v>90257.37783230975</v>
      </c>
      <c r="I238" s="295">
        <f t="shared" si="70"/>
        <v>91457.683830173555</v>
      </c>
      <c r="J238" s="295">
        <f>+J103</f>
        <v>46339.351333333339</v>
      </c>
      <c r="K238" s="295">
        <f>+K103</f>
        <v>41712.264302285497</v>
      </c>
      <c r="L238" s="293">
        <f t="shared" ref="L238:R238" si="71">+L103</f>
        <v>749119.27</v>
      </c>
      <c r="M238" s="295">
        <f>+M103</f>
        <v>769453.81630133092</v>
      </c>
      <c r="N238" s="295">
        <f>+N103</f>
        <v>785891.02827335801</v>
      </c>
      <c r="O238" s="294">
        <f t="shared" si="71"/>
        <v>785891.02827335801</v>
      </c>
      <c r="P238" s="296">
        <f t="shared" si="71"/>
        <v>2.7144604491793282E-2</v>
      </c>
      <c r="Q238" s="297">
        <f t="shared" si="71"/>
        <v>2.1362181360070089E-2</v>
      </c>
      <c r="R238" s="294">
        <f t="shared" si="71"/>
        <v>823898.25620450859</v>
      </c>
    </row>
    <row r="239" spans="1:18" s="2" customFormat="1" ht="15" customHeight="1">
      <c r="A239" s="292" t="s">
        <v>133</v>
      </c>
      <c r="B239" s="293">
        <f>+B116</f>
        <v>39850</v>
      </c>
      <c r="C239" s="295">
        <f>+C116</f>
        <v>27100</v>
      </c>
      <c r="D239" s="295">
        <f t="shared" ref="D239:I239" si="72">+D116</f>
        <v>22119.975599999998</v>
      </c>
      <c r="E239" s="295">
        <f t="shared" si="72"/>
        <v>21170</v>
      </c>
      <c r="F239" s="295">
        <f t="shared" si="72"/>
        <v>29100</v>
      </c>
      <c r="G239" s="295">
        <f t="shared" si="72"/>
        <v>71100</v>
      </c>
      <c r="H239" s="295">
        <f t="shared" si="72"/>
        <v>27850</v>
      </c>
      <c r="I239" s="295">
        <f t="shared" si="72"/>
        <v>16600</v>
      </c>
      <c r="J239" s="295">
        <f>+J116</f>
        <v>8950</v>
      </c>
      <c r="K239" s="295">
        <f>+K116</f>
        <v>9100</v>
      </c>
      <c r="L239" s="293">
        <f t="shared" ref="L239:R239" si="73">+L116</f>
        <v>263840.12</v>
      </c>
      <c r="M239" s="295">
        <f>+M116</f>
        <v>284884.02333333337</v>
      </c>
      <c r="N239" s="295">
        <f>+N116</f>
        <v>272939.97560000001</v>
      </c>
      <c r="O239" s="294">
        <f t="shared" si="73"/>
        <v>272939.97560000001</v>
      </c>
      <c r="P239" s="296">
        <f t="shared" si="73"/>
        <v>7.9760058225160677E-2</v>
      </c>
      <c r="Q239" s="297">
        <f t="shared" si="73"/>
        <v>-4.1926000600454996E-2</v>
      </c>
      <c r="R239" s="294">
        <f t="shared" si="73"/>
        <v>268484.97330000001</v>
      </c>
    </row>
    <row r="240" spans="1:18" s="2" customFormat="1" ht="15" customHeight="1">
      <c r="A240" s="292" t="s">
        <v>147</v>
      </c>
      <c r="B240" s="293">
        <f>+B129</f>
        <v>11601.33</v>
      </c>
      <c r="C240" s="295">
        <f>+C129</f>
        <v>8567.344000000001</v>
      </c>
      <c r="D240" s="295">
        <f t="shared" ref="D240:I240" si="74">+D129</f>
        <v>4503.8334999999997</v>
      </c>
      <c r="E240" s="295">
        <f t="shared" si="74"/>
        <v>4438.3</v>
      </c>
      <c r="F240" s="295">
        <f t="shared" si="74"/>
        <v>6971.8920000000007</v>
      </c>
      <c r="G240" s="295">
        <f t="shared" si="74"/>
        <v>9288.2100000000009</v>
      </c>
      <c r="H240" s="295">
        <f t="shared" si="74"/>
        <v>7425.1319999999996</v>
      </c>
      <c r="I240" s="295">
        <f t="shared" si="74"/>
        <v>8890.0540000000001</v>
      </c>
      <c r="J240" s="295">
        <f>+J129</f>
        <v>6817.7371000000003</v>
      </c>
      <c r="K240" s="295">
        <f>+K129</f>
        <v>5968.5133333333342</v>
      </c>
      <c r="L240" s="293">
        <f t="shared" ref="L240:R240" si="75">+L129</f>
        <v>77680.59</v>
      </c>
      <c r="M240" s="295">
        <f>+M129</f>
        <v>69414.696666666656</v>
      </c>
      <c r="N240" s="295">
        <f>+N129</f>
        <v>74472.34593333333</v>
      </c>
      <c r="O240" s="294">
        <f t="shared" si="75"/>
        <v>74472.34593333333</v>
      </c>
      <c r="P240" s="296">
        <f t="shared" si="75"/>
        <v>-0.10640873522373273</v>
      </c>
      <c r="Q240" s="297">
        <f t="shared" si="75"/>
        <v>7.2861360915452755E-2</v>
      </c>
      <c r="R240" s="294">
        <f t="shared" si="75"/>
        <v>94543.263959689997</v>
      </c>
    </row>
    <row r="241" spans="1:18" s="2" customFormat="1" ht="11.25">
      <c r="A241" s="292" t="s">
        <v>164</v>
      </c>
      <c r="B241" s="293">
        <f>+B154</f>
        <v>145566.82660299915</v>
      </c>
      <c r="C241" s="295">
        <f>+C154</f>
        <v>189207.85942497005</v>
      </c>
      <c r="D241" s="295">
        <f t="shared" ref="D241:I241" si="76">+D154</f>
        <v>127425.28248296335</v>
      </c>
      <c r="E241" s="295">
        <f t="shared" si="76"/>
        <v>78316.613260938699</v>
      </c>
      <c r="F241" s="295">
        <f t="shared" si="76"/>
        <v>181784.83674452992</v>
      </c>
      <c r="G241" s="295">
        <f t="shared" si="76"/>
        <v>190573.43380121622</v>
      </c>
      <c r="H241" s="295">
        <f t="shared" si="76"/>
        <v>123398.41341099462</v>
      </c>
      <c r="I241" s="295">
        <f t="shared" si="76"/>
        <v>157115.812190756</v>
      </c>
      <c r="J241" s="295">
        <f>+J154</f>
        <v>54784.617941599477</v>
      </c>
      <c r="K241" s="295">
        <f>+K154</f>
        <v>79126.499897130576</v>
      </c>
      <c r="L241" s="293">
        <f t="shared" ref="L241:R241" si="77">+L154</f>
        <v>1156232.1067999997</v>
      </c>
      <c r="M241" s="295">
        <f>+M154</f>
        <v>1198574.6133333337</v>
      </c>
      <c r="N241" s="295">
        <f>+N154</f>
        <v>1327300.1957580978</v>
      </c>
      <c r="O241" s="294">
        <f t="shared" si="77"/>
        <v>1327300.1957580978</v>
      </c>
      <c r="P241" s="296">
        <f t="shared" si="77"/>
        <v>3.6621112910038112E-2</v>
      </c>
      <c r="Q241" s="297">
        <f t="shared" si="77"/>
        <v>0.10739888947486358</v>
      </c>
      <c r="R241" s="294">
        <f t="shared" si="77"/>
        <v>1259563.8348877432</v>
      </c>
    </row>
    <row r="242" spans="1:18" s="2" customFormat="1" ht="11.25">
      <c r="A242" s="292" t="s">
        <v>74</v>
      </c>
      <c r="B242" s="293">
        <f>+B168</f>
        <v>16782.078088000002</v>
      </c>
      <c r="C242" s="295">
        <f>+C168</f>
        <v>18884.996699200001</v>
      </c>
      <c r="D242" s="295">
        <f t="shared" ref="D242:I242" si="78">+D168</f>
        <v>10337.130526666668</v>
      </c>
      <c r="E242" s="295">
        <f t="shared" si="78"/>
        <v>7297.9356166666685</v>
      </c>
      <c r="F242" s="295">
        <f t="shared" si="78"/>
        <v>16717.008730000001</v>
      </c>
      <c r="G242" s="295">
        <f t="shared" si="78"/>
        <v>21664.213755999997</v>
      </c>
      <c r="H242" s="295">
        <f t="shared" si="78"/>
        <v>12461.2880016</v>
      </c>
      <c r="I242" s="295">
        <f t="shared" si="78"/>
        <v>13806.397270666668</v>
      </c>
      <c r="J242" s="295">
        <f>+J168</f>
        <v>2752.1170818400005</v>
      </c>
      <c r="K242" s="295">
        <f>+K168</f>
        <v>5849.8974360000011</v>
      </c>
      <c r="L242" s="293">
        <f t="shared" ref="L242:R242" si="79">+L168</f>
        <v>41576.44000000001</v>
      </c>
      <c r="M242" s="295">
        <f>+M168</f>
        <v>68465.626666666663</v>
      </c>
      <c r="N242" s="295">
        <f>+N168</f>
        <v>126553.06320664003</v>
      </c>
      <c r="O242" s="294">
        <f t="shared" si="79"/>
        <v>126553.06320664003</v>
      </c>
      <c r="P242" s="296">
        <f t="shared" si="79"/>
        <v>0.64674095874169713</v>
      </c>
      <c r="Q242" s="297">
        <f t="shared" si="79"/>
        <v>0.8484175106258679</v>
      </c>
      <c r="R242" s="294">
        <f t="shared" si="79"/>
        <v>137926.56385749771</v>
      </c>
    </row>
    <row r="243" spans="1:18" s="2" customFormat="1" ht="11.25">
      <c r="A243" s="292" t="s">
        <v>369</v>
      </c>
      <c r="B243" s="293">
        <f>+B185-B201</f>
        <v>22980.629733333331</v>
      </c>
      <c r="C243" s="295">
        <f>+C185-C201</f>
        <v>11488.559733333333</v>
      </c>
      <c r="D243" s="295">
        <f t="shared" ref="D243:I243" si="80">+D185-D201</f>
        <v>4243.93</v>
      </c>
      <c r="E243" s="295">
        <f t="shared" si="80"/>
        <v>1169.7185333333334</v>
      </c>
      <c r="F243" s="295">
        <f t="shared" si="80"/>
        <v>2721.73</v>
      </c>
      <c r="G243" s="295">
        <f t="shared" si="80"/>
        <v>9781.5221333333338</v>
      </c>
      <c r="H243" s="295">
        <f t="shared" si="80"/>
        <v>7563.6537333333335</v>
      </c>
      <c r="I243" s="295">
        <f t="shared" si="80"/>
        <v>12891.38</v>
      </c>
      <c r="J243" s="295">
        <f>+J185-J201</f>
        <v>829.3</v>
      </c>
      <c r="K243" s="295">
        <f>+K185-K201</f>
        <v>4250</v>
      </c>
      <c r="L243" s="293">
        <f t="shared" ref="L243:R243" si="81">+L185-L201</f>
        <v>98852.14</v>
      </c>
      <c r="M243" s="295">
        <f>+M185-M201</f>
        <v>56109.939999999988</v>
      </c>
      <c r="N243" s="295">
        <f>+N185-N201</f>
        <v>77920.423866666679</v>
      </c>
      <c r="O243" s="294">
        <f t="shared" si="81"/>
        <v>77920.423866666679</v>
      </c>
      <c r="P243" s="296">
        <f t="shared" si="81"/>
        <v>-0.3199665969209663</v>
      </c>
      <c r="Q243" s="297">
        <f t="shared" si="81"/>
        <v>1.0090040326273944</v>
      </c>
      <c r="R243" s="294">
        <f t="shared" si="81"/>
        <v>82798.084955975486</v>
      </c>
    </row>
    <row r="244" spans="1:18" s="2" customFormat="1" ht="11.25">
      <c r="A244" s="25"/>
      <c r="B244" s="160"/>
      <c r="C244" s="113"/>
      <c r="D244" s="113"/>
      <c r="E244" s="113"/>
      <c r="F244" s="113"/>
      <c r="G244" s="113"/>
      <c r="H244" s="113"/>
      <c r="I244" s="113"/>
      <c r="J244" s="113"/>
      <c r="K244" s="113"/>
      <c r="L244" s="160"/>
      <c r="M244" s="113"/>
      <c r="N244" s="113"/>
      <c r="O244" s="162"/>
      <c r="P244" s="92"/>
      <c r="Q244" s="186"/>
      <c r="R244" s="162"/>
    </row>
    <row r="245" spans="1:18" s="2" customFormat="1" ht="11.25">
      <c r="A245" s="245" t="s">
        <v>189</v>
      </c>
      <c r="B245" s="299">
        <f>+B203</f>
        <v>332211.46282433247</v>
      </c>
      <c r="C245" s="301">
        <f>+C203</f>
        <v>344045.43962846469</v>
      </c>
      <c r="D245" s="301">
        <f t="shared" ref="D245:I245" si="82">+D203</f>
        <v>256549.41139296335</v>
      </c>
      <c r="E245" s="301">
        <f t="shared" si="82"/>
        <v>160382.84314427202</v>
      </c>
      <c r="F245" s="301">
        <f t="shared" si="82"/>
        <v>323252.97406215791</v>
      </c>
      <c r="G245" s="301">
        <f t="shared" si="82"/>
        <v>412437.41089054954</v>
      </c>
      <c r="H245" s="301">
        <f t="shared" si="82"/>
        <v>268955.86497823772</v>
      </c>
      <c r="I245" s="301">
        <f t="shared" si="82"/>
        <v>300761.32729159622</v>
      </c>
      <c r="J245" s="301">
        <f>+J203</f>
        <v>120473.12345677281</v>
      </c>
      <c r="K245" s="301">
        <f>+K203</f>
        <v>146007.1749687494</v>
      </c>
      <c r="L245" s="299">
        <f t="shared" ref="L245:R245" si="83">+L203</f>
        <v>2387300.6667999998</v>
      </c>
      <c r="M245" s="301">
        <f>+M203</f>
        <v>2446902.7163013313</v>
      </c>
      <c r="N245" s="301">
        <f>+N203</f>
        <v>2665077.0326380963</v>
      </c>
      <c r="O245" s="300">
        <f t="shared" si="83"/>
        <v>2665077.0326380963</v>
      </c>
      <c r="P245" s="302">
        <f t="shared" si="83"/>
        <v>2.4966293659702141E-2</v>
      </c>
      <c r="Q245" s="303">
        <f t="shared" si="83"/>
        <v>8.9163461580749337E-2</v>
      </c>
      <c r="R245" s="300">
        <f t="shared" si="83"/>
        <v>2667214.977165415</v>
      </c>
    </row>
    <row r="246" spans="1:18" s="2" customFormat="1" ht="11.25">
      <c r="B246" s="160"/>
      <c r="C246" s="113"/>
      <c r="D246" s="113"/>
      <c r="E246" s="113"/>
      <c r="F246" s="113"/>
      <c r="G246" s="113"/>
      <c r="H246" s="113"/>
      <c r="I246" s="113"/>
      <c r="J246" s="113"/>
      <c r="K246" s="113"/>
      <c r="L246" s="160"/>
      <c r="M246" s="113"/>
      <c r="N246" s="113"/>
      <c r="O246" s="162"/>
      <c r="P246" s="92"/>
      <c r="Q246" s="186"/>
      <c r="R246" s="162"/>
    </row>
    <row r="247" spans="1:18" s="2" customFormat="1" ht="11.25">
      <c r="A247" s="246" t="s">
        <v>228</v>
      </c>
      <c r="B247" s="177">
        <f>+B205</f>
        <v>112659.03717566753</v>
      </c>
      <c r="C247" s="228">
        <f>+C205</f>
        <v>127652.06037153531</v>
      </c>
      <c r="D247" s="228">
        <f t="shared" ref="D247:I247" si="84">+D205</f>
        <v>60754.588607036654</v>
      </c>
      <c r="E247" s="228">
        <f t="shared" si="84"/>
        <v>8842.1568557279825</v>
      </c>
      <c r="F247" s="228">
        <f t="shared" si="84"/>
        <v>88742.275937842089</v>
      </c>
      <c r="G247" s="228">
        <f t="shared" si="84"/>
        <v>133164.58910945046</v>
      </c>
      <c r="H247" s="228">
        <f t="shared" si="84"/>
        <v>24511.43502176227</v>
      </c>
      <c r="I247" s="228">
        <f t="shared" si="84"/>
        <v>77784.672708403785</v>
      </c>
      <c r="J247" s="228">
        <f>+J205</f>
        <v>527.1565432271891</v>
      </c>
      <c r="K247" s="228">
        <f>+K205</f>
        <v>28484.825031250599</v>
      </c>
      <c r="L247" s="177">
        <f t="shared" ref="L247:R247" si="85">+L205</f>
        <v>455459.91909999959</v>
      </c>
      <c r="M247" s="228">
        <f>+M205</f>
        <v>569014.28039866872</v>
      </c>
      <c r="N247" s="228">
        <f>+N205</f>
        <v>663122.79736190336</v>
      </c>
      <c r="O247" s="178">
        <f t="shared" si="85"/>
        <v>663122.79736190336</v>
      </c>
      <c r="P247" s="225">
        <f t="shared" si="85"/>
        <v>0.24931801139177173</v>
      </c>
      <c r="Q247" s="193">
        <f t="shared" si="85"/>
        <v>0.16538867336914523</v>
      </c>
      <c r="R247" s="178">
        <f t="shared" si="85"/>
        <v>625279.00535458513</v>
      </c>
    </row>
    <row r="248" spans="1:18" s="2" customFormat="1" ht="11.25">
      <c r="B248" s="160"/>
      <c r="C248" s="113"/>
      <c r="D248" s="113"/>
      <c r="E248" s="113"/>
      <c r="F248" s="113"/>
      <c r="G248" s="113"/>
      <c r="H248" s="113"/>
      <c r="I248" s="113"/>
      <c r="J248" s="113"/>
      <c r="K248" s="113"/>
      <c r="L248" s="160"/>
      <c r="M248" s="113"/>
      <c r="N248" s="113"/>
      <c r="O248" s="162"/>
      <c r="P248" s="92"/>
      <c r="Q248" s="186"/>
      <c r="R248" s="162"/>
    </row>
    <row r="249" spans="1:18" s="2" customFormat="1" ht="11.25">
      <c r="A249" s="247" t="s">
        <v>370</v>
      </c>
      <c r="B249" s="180">
        <f>+B207+B215</f>
        <v>48671.596195031132</v>
      </c>
      <c r="C249" s="230">
        <f>+C207+C215</f>
        <v>56195.102338359888</v>
      </c>
      <c r="D249" s="230">
        <f t="shared" ref="D249:I249" si="86">+D207+D215</f>
        <v>40972.505164846036</v>
      </c>
      <c r="E249" s="230">
        <f t="shared" si="86"/>
        <v>27528.076030648674</v>
      </c>
      <c r="F249" s="230">
        <f t="shared" si="86"/>
        <v>53813.632704151903</v>
      </c>
      <c r="G249" s="230">
        <f t="shared" si="86"/>
        <v>63412.401822642016</v>
      </c>
      <c r="H249" s="230">
        <f t="shared" si="86"/>
        <v>38768.409440496464</v>
      </c>
      <c r="I249" s="230">
        <f t="shared" si="86"/>
        <v>44592.554409779681</v>
      </c>
      <c r="J249" s="230">
        <f>+J207+J215</f>
        <v>19119.615389209928</v>
      </c>
      <c r="K249" s="230">
        <f>+K207+K215</f>
        <v>25869.582246919588</v>
      </c>
      <c r="L249" s="180">
        <f t="shared" ref="L249:R249" si="87">+L207+L215</f>
        <v>308168.91719271592</v>
      </c>
      <c r="M249" s="230">
        <f>+M207+M215</f>
        <v>359906.32564832753</v>
      </c>
      <c r="N249" s="230">
        <f>+N207+N215</f>
        <v>418943.47574208531</v>
      </c>
      <c r="O249" s="181">
        <f t="shared" si="87"/>
        <v>418943.47574208531</v>
      </c>
      <c r="P249" s="304">
        <f t="shared" si="87"/>
        <v>0.25660773530779352</v>
      </c>
      <c r="Q249" s="195">
        <f t="shared" si="87"/>
        <v>0.26579217675193867</v>
      </c>
      <c r="R249" s="181">
        <f t="shared" si="87"/>
        <v>385000.53428515489</v>
      </c>
    </row>
    <row r="250" spans="1:18" s="2" customFormat="1" ht="11.25">
      <c r="B250" s="160"/>
      <c r="C250" s="113"/>
      <c r="D250" s="113"/>
      <c r="E250" s="113"/>
      <c r="F250" s="113"/>
      <c r="G250" s="113"/>
      <c r="H250" s="113"/>
      <c r="I250" s="113"/>
      <c r="J250" s="113"/>
      <c r="K250" s="113"/>
      <c r="L250" s="160"/>
      <c r="M250" s="113"/>
      <c r="N250" s="113"/>
      <c r="O250" s="162"/>
      <c r="P250" s="92"/>
      <c r="Q250" s="186"/>
      <c r="R250" s="162"/>
    </row>
    <row r="251" spans="1:18" s="2" customFormat="1" ht="11.25">
      <c r="A251" s="246" t="s">
        <v>86</v>
      </c>
      <c r="B251" s="177">
        <f>+B217</f>
        <v>63987.440980636406</v>
      </c>
      <c r="C251" s="228">
        <f>+C217</f>
        <v>71456.958033175411</v>
      </c>
      <c r="D251" s="228">
        <f t="shared" ref="D251:I251" si="88">+D217</f>
        <v>19782.083442190618</v>
      </c>
      <c r="E251" s="228">
        <f t="shared" si="88"/>
        <v>-18685.919174920691</v>
      </c>
      <c r="F251" s="228">
        <f t="shared" si="88"/>
        <v>34928.643233690193</v>
      </c>
      <c r="G251" s="228">
        <f t="shared" si="88"/>
        <v>69752.187286808447</v>
      </c>
      <c r="H251" s="228">
        <f t="shared" si="88"/>
        <v>-14256.974418734193</v>
      </c>
      <c r="I251" s="228">
        <f t="shared" si="88"/>
        <v>33192.118298624104</v>
      </c>
      <c r="J251" s="228">
        <f>+J217</f>
        <v>-18592.458845982739</v>
      </c>
      <c r="K251" s="228">
        <f>+K217</f>
        <v>2615.2427843310106</v>
      </c>
      <c r="L251" s="177">
        <f t="shared" ref="L251:R251" si="89">+L217</f>
        <v>147291.00190728367</v>
      </c>
      <c r="M251" s="228">
        <f>+M217</f>
        <v>209107.95475034113</v>
      </c>
      <c r="N251" s="228">
        <f>+N217</f>
        <v>244179.3216198181</v>
      </c>
      <c r="O251" s="178">
        <f t="shared" si="89"/>
        <v>244179.32161981799</v>
      </c>
      <c r="P251" s="225">
        <f t="shared" si="89"/>
        <v>0.41969266311305164</v>
      </c>
      <c r="Q251" s="193">
        <f t="shared" si="89"/>
        <v>0.16771895125342975</v>
      </c>
      <c r="R251" s="178">
        <f t="shared" si="89"/>
        <v>240278.47106943018</v>
      </c>
    </row>
    <row r="252" spans="1:18">
      <c r="A252" s="2"/>
      <c r="B252" s="17"/>
      <c r="C252" s="113"/>
      <c r="D252" s="113"/>
      <c r="E252" s="113"/>
      <c r="F252" s="113"/>
      <c r="G252" s="113"/>
      <c r="H252" s="113"/>
      <c r="I252" s="113"/>
      <c r="J252" s="113"/>
      <c r="K252" s="113"/>
      <c r="L252" s="160"/>
      <c r="M252" s="113"/>
      <c r="N252" s="113"/>
      <c r="O252" s="162"/>
      <c r="P252" s="92"/>
      <c r="Q252" s="186"/>
      <c r="R252" s="162"/>
    </row>
    <row r="253" spans="1:18">
      <c r="A253" s="292" t="s">
        <v>95</v>
      </c>
      <c r="B253" s="293">
        <f>Orléans!$G253</f>
        <v>250000</v>
      </c>
      <c r="C253" s="295">
        <f>Angers!$G253</f>
        <v>250000</v>
      </c>
      <c r="D253" s="295">
        <f>Thouars!$G253</f>
        <v>210000</v>
      </c>
      <c r="E253" s="295">
        <f>Château!$G253</f>
        <v>105000</v>
      </c>
      <c r="F253" s="295">
        <f>+Chartres!$G253</f>
        <v>200000</v>
      </c>
      <c r="G253" s="295">
        <f>+Bosc!$G253</f>
        <v>330000</v>
      </c>
      <c r="H253" s="295">
        <f>+Cham!$G253</f>
        <v>180000</v>
      </c>
      <c r="I253" s="295">
        <f>+Mans!$G253</f>
        <v>140000</v>
      </c>
      <c r="J253" s="295">
        <f>+Saumur!$G253</f>
        <v>80000</v>
      </c>
      <c r="K253" s="295">
        <f>+Chalette!$G253</f>
        <v>0</v>
      </c>
      <c r="L253" s="293">
        <f>+L28</f>
        <v>1692138.43</v>
      </c>
      <c r="M253" s="295"/>
      <c r="N253" s="295">
        <f>SUM(B253:I253)</f>
        <v>1665000</v>
      </c>
      <c r="O253" s="294">
        <f>SUM(B253:I253)</f>
        <v>1665000</v>
      </c>
      <c r="P253" s="378">
        <f>+IF((L253)=0,,(M253-L253)/L253)</f>
        <v>-1</v>
      </c>
      <c r="Q253" s="379">
        <f>+IF((M253)=0,,(N253-M253)/M253)</f>
        <v>0</v>
      </c>
      <c r="R253" s="294"/>
    </row>
    <row r="254" spans="1:18" s="2" customFormat="1" ht="11.25">
      <c r="A254" s="292" t="s">
        <v>371</v>
      </c>
      <c r="B254" s="293">
        <f>Orléans!$G254</f>
        <v>928983.07077893568</v>
      </c>
      <c r="C254" s="295">
        <f>Angers!$G254</f>
        <v>1067308.1119115322</v>
      </c>
      <c r="D254" s="295">
        <f>Thouars!$G254</f>
        <v>826449.76821613719</v>
      </c>
      <c r="E254" s="295">
        <f>Château!$G254</f>
        <v>536888.34049977339</v>
      </c>
      <c r="F254" s="295">
        <f>+Chartres!$G254</f>
        <v>1062159.4556797461</v>
      </c>
      <c r="G254" s="295">
        <f>+Bosc!$G254</f>
        <v>1286080.5749005177</v>
      </c>
      <c r="H254" s="295">
        <f>+Cham!$G254</f>
        <v>843080.20388694305</v>
      </c>
      <c r="I254" s="295">
        <f>+Mans!$G254</f>
        <v>822271.14690803783</v>
      </c>
      <c r="J254" s="295">
        <f>+Saumur!$G254</f>
        <v>324634.27638600639</v>
      </c>
      <c r="K254" s="295">
        <f>+Chalette!$G254</f>
        <v>477435.43671019166</v>
      </c>
      <c r="L254" s="293">
        <f>+L223</f>
        <v>7189117.3655567914</v>
      </c>
      <c r="M254" s="295">
        <f>+M223</f>
        <v>7537741.4526058929</v>
      </c>
      <c r="N254" s="295">
        <f>+N223</f>
        <v>8167693.5704230461</v>
      </c>
      <c r="O254" s="294">
        <f>+O223</f>
        <v>8167693.5704230461</v>
      </c>
      <c r="P254" s="378">
        <f>+IF((L254)=0,,(M254-L254)/L254)</f>
        <v>4.8493308611063525E-2</v>
      </c>
      <c r="Q254" s="379">
        <f>+IF((M254)=0,,(N254-M254)/M254)</f>
        <v>8.3573059885115958E-2</v>
      </c>
      <c r="R254" s="294">
        <f>+R223</f>
        <v>8095938.9030327387</v>
      </c>
    </row>
    <row r="255" spans="1:18">
      <c r="A255" s="292" t="s">
        <v>372</v>
      </c>
      <c r="B255" s="293">
        <f>Orléans!$G255</f>
        <v>0</v>
      </c>
      <c r="C255" s="295">
        <f>Angers!$G255</f>
        <v>0</v>
      </c>
      <c r="D255" s="295">
        <f>Thouars!$G255</f>
        <v>15000</v>
      </c>
      <c r="E255" s="295">
        <f>Château!$G255</f>
        <v>0</v>
      </c>
      <c r="F255" s="295">
        <f>+Chartres!$G255</f>
        <v>0</v>
      </c>
      <c r="G255" s="295">
        <f>+Bosc!$G255</f>
        <v>7000</v>
      </c>
      <c r="H255" s="295">
        <f>+Cham!$G255</f>
        <v>3000</v>
      </c>
      <c r="I255" s="295">
        <f>+Mans!$G255</f>
        <v>0</v>
      </c>
      <c r="J255" s="295">
        <f>+Saumur!$G255</f>
        <v>0</v>
      </c>
      <c r="K255" s="295">
        <f>+Chalette!$G255</f>
        <v>0</v>
      </c>
      <c r="L255" s="160"/>
      <c r="M255" s="333">
        <v>0</v>
      </c>
      <c r="N255" s="333">
        <v>0</v>
      </c>
      <c r="O255" s="294">
        <f>SUM(B255:J255)</f>
        <v>25000</v>
      </c>
      <c r="P255" s="293"/>
      <c r="Q255" s="294"/>
      <c r="R255" s="334">
        <v>0</v>
      </c>
    </row>
  </sheetData>
  <phoneticPr fontId="0" type="noConversion"/>
  <printOptions horizontalCentered="1" verticalCentered="1"/>
  <pageMargins left="0" right="0" top="0" bottom="0" header="0.51181102362204722" footer="0.51181102362204722"/>
  <pageSetup paperSize="9" scale="58" fitToHeight="3" orientation="landscape" horizontalDpi="4294967293" verticalDpi="360" r:id="rId1"/>
  <headerFooter alignWithMargins="0"/>
  <rowBreaks count="1" manualBreakCount="1">
    <brk id="22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 enableFormatConditionsCalculation="0">
    <tabColor indexed="52"/>
    <pageSetUpPr fitToPage="1"/>
  </sheetPr>
  <dimension ref="A1:V258"/>
  <sheetViews>
    <sheetView workbookViewId="0">
      <pane xSplit="1" ySplit="6" topLeftCell="B192" activePane="bottomRight" state="frozen"/>
      <selection sqref="A1:IV65536"/>
      <selection pane="topRight" sqref="A1:IV65536"/>
      <selection pane="bottomLeft" sqref="A1:IV65536"/>
      <selection pane="bottomRight" activeCell="U3" sqref="A3:U219"/>
    </sheetView>
  </sheetViews>
  <sheetFormatPr baseColWidth="10" defaultRowHeight="12.75"/>
  <cols>
    <col min="1" max="1" width="59.7109375" bestFit="1" customWidth="1"/>
    <col min="2" max="2" width="11.5703125" style="800" bestFit="1" customWidth="1"/>
    <col min="3" max="3" width="12.28515625" style="800" bestFit="1" customWidth="1"/>
    <col min="4" max="4" width="9.5703125" style="800" customWidth="1"/>
    <col min="5" max="5" width="9.7109375" style="800" bestFit="1" customWidth="1"/>
    <col min="6" max="6" width="8.85546875" style="800" bestFit="1" customWidth="1"/>
    <col min="7" max="7" width="10.28515625" style="1132" customWidth="1"/>
    <col min="8" max="8" width="8.85546875" style="1132" customWidth="1"/>
    <col min="9" max="9" width="11.5703125" style="322" hidden="1" customWidth="1"/>
    <col min="10" max="10" width="12.5703125" style="1132" customWidth="1"/>
    <col min="11" max="11" width="8.85546875" style="1132" bestFit="1" customWidth="1"/>
    <col min="12" max="12" width="9.28515625" style="1132" bestFit="1" customWidth="1"/>
    <col min="13" max="14" width="9.7109375" style="1132" bestFit="1" customWidth="1"/>
    <col min="15" max="15" width="9.5703125" style="1321" customWidth="1"/>
    <col min="16" max="16" width="10.140625" style="1165" bestFit="1" customWidth="1"/>
    <col min="17" max="17" width="13.140625" style="1361" hidden="1" customWidth="1"/>
    <col min="18" max="18" width="9.5703125" style="1165" customWidth="1"/>
    <col min="19" max="19" width="9.5703125" style="1322" customWidth="1"/>
    <col min="20" max="20" width="12.7109375" style="1322" bestFit="1" customWidth="1"/>
    <col min="21" max="21" width="13.28515625" style="1133" bestFit="1" customWidth="1"/>
    <col min="22" max="22" width="14.7109375" bestFit="1" customWidth="1"/>
  </cols>
  <sheetData>
    <row r="1" spans="1:22">
      <c r="A1" s="1" t="s">
        <v>515</v>
      </c>
      <c r="O1" s="1284" t="s">
        <v>299</v>
      </c>
    </row>
    <row r="2" spans="1:22">
      <c r="B2" s="26"/>
      <c r="C2" s="26"/>
      <c r="D2" s="26"/>
      <c r="E2" s="26"/>
      <c r="F2" s="26"/>
      <c r="G2" s="322"/>
      <c r="H2" s="322"/>
      <c r="J2" s="322"/>
      <c r="K2" s="322"/>
      <c r="L2" s="322"/>
      <c r="M2" s="322"/>
      <c r="N2" s="322"/>
    </row>
    <row r="3" spans="1:22" s="2" customFormat="1" ht="12.75" customHeight="1">
      <c r="A3" s="6"/>
      <c r="B3" s="155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00"/>
      <c r="O3" s="267" t="s">
        <v>55</v>
      </c>
      <c r="P3" s="130" t="s">
        <v>364</v>
      </c>
      <c r="Q3" s="130" t="s">
        <v>543</v>
      </c>
      <c r="R3" s="104" t="s">
        <v>196</v>
      </c>
      <c r="S3" s="151" t="s">
        <v>225</v>
      </c>
      <c r="T3" s="183" t="s">
        <v>225</v>
      </c>
      <c r="U3" s="8" t="s">
        <v>196</v>
      </c>
      <c r="V3" s="2">
        <v>1</v>
      </c>
    </row>
    <row r="4" spans="1:22" s="2" customFormat="1" ht="20.25" customHeight="1">
      <c r="A4" s="7" t="s">
        <v>218</v>
      </c>
      <c r="B4" s="212" t="s">
        <v>208</v>
      </c>
      <c r="C4" s="213" t="s">
        <v>209</v>
      </c>
      <c r="D4" s="213" t="s">
        <v>210</v>
      </c>
      <c r="E4" s="213" t="s">
        <v>211</v>
      </c>
      <c r="F4" s="213" t="s">
        <v>324</v>
      </c>
      <c r="G4" s="213" t="s">
        <v>334</v>
      </c>
      <c r="H4" s="213" t="s">
        <v>6</v>
      </c>
      <c r="I4" s="213"/>
      <c r="J4" s="327" t="s">
        <v>435</v>
      </c>
      <c r="K4" s="213" t="s">
        <v>17</v>
      </c>
      <c r="L4" s="213" t="s">
        <v>24</v>
      </c>
      <c r="M4" s="213" t="s">
        <v>22</v>
      </c>
      <c r="N4" s="214" t="s">
        <v>424</v>
      </c>
      <c r="O4" s="260" t="s">
        <v>366</v>
      </c>
      <c r="P4" s="131" t="s">
        <v>366</v>
      </c>
      <c r="Q4" s="131" t="s">
        <v>432</v>
      </c>
      <c r="R4" s="105" t="s">
        <v>197</v>
      </c>
      <c r="S4" s="152" t="s">
        <v>55</v>
      </c>
      <c r="T4" s="131" t="s">
        <v>432</v>
      </c>
      <c r="U4" s="9" t="s">
        <v>197</v>
      </c>
      <c r="V4" s="2">
        <v>1</v>
      </c>
    </row>
    <row r="5" spans="1:22" s="2" customFormat="1" ht="20.25" customHeight="1">
      <c r="A5" s="7" t="s">
        <v>233</v>
      </c>
      <c r="B5" s="157"/>
      <c r="C5" s="215"/>
      <c r="D5" s="215"/>
      <c r="E5" s="215"/>
      <c r="F5" s="215"/>
      <c r="G5" s="215"/>
      <c r="H5" s="215"/>
      <c r="I5" s="215"/>
      <c r="J5" s="327" t="s">
        <v>436</v>
      </c>
      <c r="K5" s="215"/>
      <c r="L5" s="213" t="s">
        <v>25</v>
      </c>
      <c r="M5" s="213"/>
      <c r="N5" s="214"/>
      <c r="O5" s="157">
        <f>O217</f>
        <v>101800.79215292301</v>
      </c>
      <c r="P5" s="215">
        <f>P217</f>
        <v>291.33900311967591</v>
      </c>
      <c r="Q5" s="215">
        <f>Q217</f>
        <v>372776.68248461577</v>
      </c>
      <c r="R5" s="215">
        <f>R217</f>
        <v>372776.68248461565</v>
      </c>
      <c r="S5" s="152"/>
      <c r="T5" s="132" t="s">
        <v>433</v>
      </c>
      <c r="U5" s="10"/>
      <c r="V5" s="2">
        <v>1</v>
      </c>
    </row>
    <row r="6" spans="1:22" s="2" customFormat="1" ht="20.25" customHeight="1">
      <c r="A6" s="68"/>
      <c r="B6" s="158"/>
      <c r="C6" s="216"/>
      <c r="D6" s="216"/>
      <c r="E6" s="216"/>
      <c r="F6" s="216"/>
      <c r="G6" s="216"/>
      <c r="H6" s="216"/>
      <c r="I6" s="216"/>
      <c r="J6" s="216"/>
      <c r="K6" s="216"/>
      <c r="L6" s="234"/>
      <c r="M6" s="234"/>
      <c r="N6" s="235"/>
      <c r="O6" s="269">
        <v>2009</v>
      </c>
      <c r="P6" s="133">
        <v>2010</v>
      </c>
      <c r="Q6" s="133">
        <v>2009</v>
      </c>
      <c r="R6" s="159">
        <v>2011</v>
      </c>
      <c r="S6" s="153" t="s">
        <v>544</v>
      </c>
      <c r="T6" s="185" t="s">
        <v>368</v>
      </c>
      <c r="U6" s="4">
        <v>2010</v>
      </c>
      <c r="V6" s="2">
        <v>1</v>
      </c>
    </row>
    <row r="7" spans="1:22" s="2" customFormat="1" ht="18">
      <c r="A7" s="67"/>
      <c r="B7" s="1223"/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1224"/>
      <c r="O7" s="1223"/>
      <c r="P7" s="1289"/>
      <c r="Q7" s="1360"/>
      <c r="R7" s="1362"/>
      <c r="S7" s="1347"/>
      <c r="T7" s="1348"/>
      <c r="U7" s="1375"/>
      <c r="V7" s="2">
        <f>IF(SUM(K7:U7)&gt;0,1,0)</f>
        <v>0</v>
      </c>
    </row>
    <row r="8" spans="1:22" s="113" customFormat="1" ht="11.25">
      <c r="A8" s="18" t="s">
        <v>221</v>
      </c>
      <c r="B8" s="1223">
        <f>+Boulogne!$G8</f>
        <v>2256694</v>
      </c>
      <c r="C8" s="438">
        <f>+Compiègne!$G8</f>
        <v>810810</v>
      </c>
      <c r="D8" s="438">
        <f>+Amiens!$G8</f>
        <v>516851</v>
      </c>
      <c r="E8" s="438">
        <f>+Cambrai!$G8</f>
        <v>670405</v>
      </c>
      <c r="F8" s="438">
        <f>+Caudry!$G8</f>
        <v>740739</v>
      </c>
      <c r="G8" s="438">
        <f>+Eu!$G8</f>
        <v>1272071</v>
      </c>
      <c r="H8" s="438">
        <f>+Calais!$G8</f>
        <v>1054403</v>
      </c>
      <c r="I8" s="438"/>
      <c r="J8" s="438">
        <f>+Madeleine!$G8</f>
        <v>1019084</v>
      </c>
      <c r="K8" s="438">
        <f>+Lens!$G8</f>
        <v>581262</v>
      </c>
      <c r="L8" s="438">
        <f>+Bois!$G8</f>
        <v>256061</v>
      </c>
      <c r="M8" s="438">
        <f>+Béthune!$G8</f>
        <v>400349</v>
      </c>
      <c r="N8" s="1224">
        <f>+StOmer!$G8</f>
        <v>812475</v>
      </c>
      <c r="O8" s="1223">
        <f>+Béthune!E8+Bois!E8+Lens!E8+Madeleine!E8+Tourcoing!E8+Calais!E8+Eu!E8+Caudry!E8+Cambrai!E8+Amiens!E8+Compiègne!E8+Boulogne!E8+StOmer!E8</f>
        <v>6912547.4000000013</v>
      </c>
      <c r="P8" s="1285">
        <f>+Béthune!F8+Bois!F8+Lens!F8+Madeleine!F8+Tourcoing!F8+Calais!F8+Eu!F8+Caudry!F8+Cambrai!F8+Amiens!F8+Compiègne!F8+Boulogne!F8+StOmer!F8</f>
        <v>9686661.1623590738</v>
      </c>
      <c r="Q8" s="438">
        <f>+R8</f>
        <v>10391204</v>
      </c>
      <c r="R8" s="1286">
        <f t="shared" ref="R8:R19" si="0">SUM(B8:N8)</f>
        <v>10391204</v>
      </c>
      <c r="S8" s="1323">
        <f>+IF((O8)=0,,(P8-O8)/O8)</f>
        <v>0.40131569475517404</v>
      </c>
      <c r="T8" s="1324">
        <f>+IF((P8)=0,,(R8-P8)/P8)</f>
        <v>7.2733300549282662E-2</v>
      </c>
      <c r="U8" s="1209">
        <f>+Béthune!D8+Bois!D8+Lens!D8+Madeleine!D8+Tourcoing!D8+Calais!D8+Eu!D8+Caudry!D8+Cambrai!D8+Amiens!D8+Compiègne!D8+Boulogne!D8+StOmer!D8</f>
        <v>10656675</v>
      </c>
      <c r="V8" s="25">
        <f t="shared" ref="V8:V71" si="1">IF(SUM(K8:U8)&gt;0,1,0)</f>
        <v>1</v>
      </c>
    </row>
    <row r="9" spans="1:22" s="113" customFormat="1" ht="11.25">
      <c r="A9" s="18" t="s">
        <v>422</v>
      </c>
      <c r="B9" s="1223">
        <f>+Boulogne!$G9</f>
        <v>0</v>
      </c>
      <c r="C9" s="438">
        <f>+Compiègne!$G9</f>
        <v>0</v>
      </c>
      <c r="D9" s="438">
        <f>+Amiens!$G9</f>
        <v>0</v>
      </c>
      <c r="E9" s="438">
        <f>+Cambrai!$G9</f>
        <v>0</v>
      </c>
      <c r="F9" s="438">
        <f>+Caudry!$G9</f>
        <v>0</v>
      </c>
      <c r="G9" s="438">
        <f>+Eu!$G9</f>
        <v>0</v>
      </c>
      <c r="H9" s="438">
        <f>+Calais!$G9</f>
        <v>0</v>
      </c>
      <c r="I9" s="438"/>
      <c r="J9" s="438">
        <f>+Madeleine!$G9</f>
        <v>0</v>
      </c>
      <c r="K9" s="438">
        <f>+Lens!$G9</f>
        <v>0</v>
      </c>
      <c r="L9" s="438">
        <f>+Bois!$G9</f>
        <v>0</v>
      </c>
      <c r="M9" s="438">
        <f>+Béthune!$G9</f>
        <v>0</v>
      </c>
      <c r="N9" s="1224">
        <f>+StOmer!$G9</f>
        <v>0</v>
      </c>
      <c r="O9" s="1223">
        <f>+Béthune!E9+Bois!E9+Lens!E9+Madeleine!E9+Tourcoing!E9+Calais!E9+Eu!E9+Caudry!E9+Cambrai!E9+Amiens!E9+Compiègne!E9+Boulogne!E9+StOmer!E9</f>
        <v>2845384.35</v>
      </c>
      <c r="P9" s="1285">
        <f>+Béthune!F9+Bois!F9+Lens!F9+Madeleine!F9+Tourcoing!F9+Calais!F9+Eu!F9+Caudry!F9+Cambrai!F9+Amiens!F9+Compiègne!F9+Boulogne!F9+StOmer!F9</f>
        <v>0</v>
      </c>
      <c r="Q9" s="438">
        <f t="shared" ref="Q9:Q19" si="2">+R9</f>
        <v>0</v>
      </c>
      <c r="R9" s="1286">
        <f t="shared" si="0"/>
        <v>0</v>
      </c>
      <c r="S9" s="1323">
        <f t="shared" ref="S9:S19" si="3">+IF((O9)=0,,(P9-O9)/O9)</f>
        <v>-1</v>
      </c>
      <c r="T9" s="1324">
        <f t="shared" ref="T9:T19" si="4">+IF((P9)=0,,(R9-P9)/P9)</f>
        <v>0</v>
      </c>
      <c r="U9" s="1209">
        <f>+Béthune!D9+Bois!D9+Lens!D9+Madeleine!D9+Tourcoing!D9+Calais!D9+Eu!D9+Caudry!D9+Cambrai!D9+Amiens!D9+Compiègne!D9+Boulogne!D9+StOmer!D9</f>
        <v>0</v>
      </c>
      <c r="V9" s="25">
        <v>0</v>
      </c>
    </row>
    <row r="10" spans="1:22" s="113" customFormat="1" ht="11.25">
      <c r="A10" s="18" t="s">
        <v>84</v>
      </c>
      <c r="B10" s="1223">
        <f>+Boulogne!$G10</f>
        <v>0</v>
      </c>
      <c r="C10" s="438">
        <f>+Compiègne!$G10</f>
        <v>0</v>
      </c>
      <c r="D10" s="438">
        <f>+Amiens!$G10</f>
        <v>0</v>
      </c>
      <c r="E10" s="438">
        <f>+Cambrai!$G10</f>
        <v>0</v>
      </c>
      <c r="F10" s="438">
        <f>+Caudry!$G10</f>
        <v>0</v>
      </c>
      <c r="G10" s="438">
        <f>+Eu!$G10</f>
        <v>0</v>
      </c>
      <c r="H10" s="438">
        <f>+Calais!$G10</f>
        <v>0</v>
      </c>
      <c r="I10" s="438"/>
      <c r="J10" s="438">
        <f>+Madeleine!$G10</f>
        <v>0</v>
      </c>
      <c r="K10" s="438">
        <f>+Lens!$G10</f>
        <v>0</v>
      </c>
      <c r="L10" s="438">
        <f>+Bois!$G10</f>
        <v>0</v>
      </c>
      <c r="M10" s="438">
        <f>+Béthune!$G10</f>
        <v>0</v>
      </c>
      <c r="N10" s="1224">
        <f>+StOmer!$G10</f>
        <v>0</v>
      </c>
      <c r="O10" s="1223">
        <f>+Béthune!E10+Bois!E10+Lens!E10+Madeleine!E10+Tourcoing!E10+Calais!E10+Eu!E10+Caudry!E10+Cambrai!E10+Amiens!E10+Compiègne!E10+Boulogne!E10+StOmer!E10</f>
        <v>0</v>
      </c>
      <c r="P10" s="1285">
        <f>+Béthune!F10+Bois!F10+Lens!F10+Madeleine!F10+Tourcoing!F10+Calais!F10+Eu!F10+Caudry!F10+Cambrai!F10+Amiens!F10+Compiègne!F10+Boulogne!F10+StOmer!F10</f>
        <v>0</v>
      </c>
      <c r="Q10" s="438">
        <f t="shared" si="2"/>
        <v>0</v>
      </c>
      <c r="R10" s="1286">
        <f t="shared" si="0"/>
        <v>0</v>
      </c>
      <c r="S10" s="1347">
        <f t="shared" si="3"/>
        <v>0</v>
      </c>
      <c r="T10" s="1324">
        <f t="shared" si="4"/>
        <v>0</v>
      </c>
      <c r="U10" s="1376">
        <f>+Béthune!D10+Bois!D10+Lens!D10+Madeleine!D10+Tourcoing!D10+Calais!D10+Eu!D10+Caudry!D10+Cambrai!D10+Amiens!D10+Compiègne!D10+Boulogne!D10+StOmer!D10</f>
        <v>0</v>
      </c>
      <c r="V10" s="25">
        <f t="shared" si="1"/>
        <v>0</v>
      </c>
    </row>
    <row r="11" spans="1:22" s="113" customFormat="1" ht="11.25">
      <c r="A11" s="18" t="s">
        <v>267</v>
      </c>
      <c r="B11" s="1223">
        <f>+Boulogne!$G11</f>
        <v>0</v>
      </c>
      <c r="C11" s="438">
        <f>+Compiègne!$G11</f>
        <v>0</v>
      </c>
      <c r="D11" s="438">
        <f>+Amiens!$G11</f>
        <v>292.93199999999996</v>
      </c>
      <c r="E11" s="438">
        <f>+Cambrai!$G11</f>
        <v>0</v>
      </c>
      <c r="F11" s="438">
        <f>+Caudry!$G11</f>
        <v>0</v>
      </c>
      <c r="G11" s="438">
        <f>+Eu!$G11</f>
        <v>0</v>
      </c>
      <c r="H11" s="438">
        <f>+Calais!$G11</f>
        <v>0</v>
      </c>
      <c r="I11" s="438"/>
      <c r="J11" s="438">
        <f>+Madeleine!$G11</f>
        <v>0</v>
      </c>
      <c r="K11" s="438">
        <f>+Lens!$G11</f>
        <v>0</v>
      </c>
      <c r="L11" s="438">
        <f>+Bois!$G11</f>
        <v>0</v>
      </c>
      <c r="M11" s="438">
        <f>+Béthune!$G11</f>
        <v>0</v>
      </c>
      <c r="N11" s="1224">
        <f>+StOmer!$G11</f>
        <v>0</v>
      </c>
      <c r="O11" s="1223">
        <f>+Béthune!E11+Bois!E11+Lens!E11+Madeleine!E11+Tourcoing!E11+Calais!E11+Eu!E11+Caudry!E11+Cambrai!E11+Amiens!E11+Compiègne!E11+Boulogne!E11+StOmer!E11</f>
        <v>2858.58</v>
      </c>
      <c r="P11" s="1285">
        <f>+Béthune!F11+Bois!F11+Lens!F11+Madeleine!F11+Tourcoing!F11+Calais!F11+Eu!F11+Caudry!F11+Cambrai!F11+Amiens!F11+Compiègne!F11+Boulogne!F11+StOmer!F11</f>
        <v>2659.2000000000003</v>
      </c>
      <c r="Q11" s="438">
        <f t="shared" si="2"/>
        <v>292.93199999999996</v>
      </c>
      <c r="R11" s="1286">
        <f t="shared" si="0"/>
        <v>292.93199999999996</v>
      </c>
      <c r="S11" s="1323">
        <f t="shared" si="3"/>
        <v>-6.9747916797850557E-2</v>
      </c>
      <c r="T11" s="1324">
        <f t="shared" si="4"/>
        <v>-0.88984205776173297</v>
      </c>
      <c r="U11" s="1209">
        <f>+Béthune!D11+Bois!D11+Lens!D11+Madeleine!D11+Tourcoing!D11+Calais!D11+Eu!D11+Caudry!D11+Cambrai!D11+Amiens!D11+Compiègne!D11+Boulogne!D11+StOmer!D11</f>
        <v>0</v>
      </c>
      <c r="V11" s="25">
        <v>0</v>
      </c>
    </row>
    <row r="12" spans="1:22" s="113" customFormat="1" ht="11.25">
      <c r="A12" s="18" t="s">
        <v>46</v>
      </c>
      <c r="B12" s="1223">
        <f>+Boulogne!$G12</f>
        <v>0</v>
      </c>
      <c r="C12" s="438">
        <f>+Compiègne!$G12</f>
        <v>0</v>
      </c>
      <c r="D12" s="438">
        <f>+Amiens!$G12</f>
        <v>0</v>
      </c>
      <c r="E12" s="438">
        <f>+Cambrai!$G12</f>
        <v>0</v>
      </c>
      <c r="F12" s="438">
        <f>+Caudry!$G12</f>
        <v>0</v>
      </c>
      <c r="G12" s="438">
        <f>+Eu!$G12</f>
        <v>0</v>
      </c>
      <c r="H12" s="438">
        <f>+Calais!$G12</f>
        <v>0</v>
      </c>
      <c r="I12" s="438"/>
      <c r="J12" s="438">
        <f>+Madeleine!$G12</f>
        <v>0</v>
      </c>
      <c r="K12" s="438">
        <f>+Lens!$G12</f>
        <v>0</v>
      </c>
      <c r="L12" s="438">
        <f>+Bois!$G12</f>
        <v>0</v>
      </c>
      <c r="M12" s="438">
        <f>+Béthune!$G12</f>
        <v>0</v>
      </c>
      <c r="N12" s="1224">
        <f>+StOmer!$G12</f>
        <v>0</v>
      </c>
      <c r="O12" s="1223">
        <f>+Béthune!E12+Bois!E12+Lens!E12+Madeleine!E12+Tourcoing!E12+Calais!E12+Eu!E12+Caudry!E12+Cambrai!E12+Amiens!E12+Compiègne!E12+Boulogne!E12+StOmer!E12</f>
        <v>0</v>
      </c>
      <c r="P12" s="1285">
        <f>+Béthune!F12+Bois!F12+Lens!F12+Madeleine!F12+Tourcoing!F12+Calais!F12+Eu!F12+Caudry!F12+Cambrai!F12+Amiens!F12+Compiègne!F12+Boulogne!F12+StOmer!F12</f>
        <v>0</v>
      </c>
      <c r="Q12" s="438">
        <f t="shared" si="2"/>
        <v>0</v>
      </c>
      <c r="R12" s="1286">
        <f t="shared" si="0"/>
        <v>0</v>
      </c>
      <c r="S12" s="1347">
        <f t="shared" si="3"/>
        <v>0</v>
      </c>
      <c r="T12" s="1324">
        <f t="shared" si="4"/>
        <v>0</v>
      </c>
      <c r="U12" s="1376">
        <f>+Béthune!D12+Bois!D12+Lens!D12+Madeleine!D12+Tourcoing!D12+Calais!D12+Eu!D12+Caudry!D12+Cambrai!D12+Amiens!D12+Compiègne!D12+Boulogne!D12+StOmer!D12</f>
        <v>0</v>
      </c>
      <c r="V12" s="25">
        <f t="shared" si="1"/>
        <v>0</v>
      </c>
    </row>
    <row r="13" spans="1:22" s="113" customFormat="1" ht="11.25">
      <c r="A13" s="18" t="s">
        <v>268</v>
      </c>
      <c r="B13" s="1223">
        <f>+Boulogne!$G13</f>
        <v>0</v>
      </c>
      <c r="C13" s="438">
        <f>+Compiègne!$G13</f>
        <v>0</v>
      </c>
      <c r="D13" s="438">
        <f>+Amiens!$G13</f>
        <v>0</v>
      </c>
      <c r="E13" s="438">
        <f>+Cambrai!$G13</f>
        <v>0</v>
      </c>
      <c r="F13" s="438">
        <f>+Caudry!$G13</f>
        <v>0</v>
      </c>
      <c r="G13" s="438">
        <f>+Eu!$G13</f>
        <v>0</v>
      </c>
      <c r="H13" s="438">
        <f>+Calais!$G13</f>
        <v>0</v>
      </c>
      <c r="I13" s="438"/>
      <c r="J13" s="438">
        <f>+Madeleine!$G13</f>
        <v>0</v>
      </c>
      <c r="K13" s="438">
        <f>+Lens!$G13</f>
        <v>0</v>
      </c>
      <c r="L13" s="438">
        <f>+Bois!$G13</f>
        <v>0</v>
      </c>
      <c r="M13" s="438">
        <f>+Béthune!$G13</f>
        <v>0</v>
      </c>
      <c r="N13" s="1224">
        <f>+StOmer!$G13</f>
        <v>0</v>
      </c>
      <c r="O13" s="1223">
        <f>+Béthune!E13+Bois!E13+Lens!E13+Madeleine!E13+Tourcoing!E13+Calais!E13+Eu!E13+Caudry!E13+Cambrai!E13+Amiens!E13+Compiègne!E13+Boulogne!E13+StOmer!E13</f>
        <v>154749.86000000002</v>
      </c>
      <c r="P13" s="1285">
        <f>+Béthune!F13+Bois!F13+Lens!F13+Madeleine!F13+Tourcoing!F13+Calais!F13+Eu!F13+Caudry!F13+Cambrai!F13+Amiens!F13+Compiègne!F13+Boulogne!F13+StOmer!F13</f>
        <v>74132.69</v>
      </c>
      <c r="Q13" s="438">
        <f t="shared" si="2"/>
        <v>0</v>
      </c>
      <c r="R13" s="1286">
        <f t="shared" si="0"/>
        <v>0</v>
      </c>
      <c r="S13" s="1323">
        <f t="shared" si="3"/>
        <v>-0.52095148906758304</v>
      </c>
      <c r="T13" s="1324">
        <f t="shared" si="4"/>
        <v>-1</v>
      </c>
      <c r="U13" s="1209">
        <f>+Béthune!D13+Bois!D13+Lens!D13+Madeleine!D13+Tourcoing!D13+Calais!D13+Eu!D13+Caudry!D13+Cambrai!D13+Amiens!D13+Compiègne!D13+Boulogne!D13+StOmer!D13</f>
        <v>0</v>
      </c>
      <c r="V13" s="25">
        <v>0</v>
      </c>
    </row>
    <row r="14" spans="1:22" s="113" customFormat="1" ht="11.25">
      <c r="A14" s="18" t="s">
        <v>269</v>
      </c>
      <c r="B14" s="1223">
        <f>+Boulogne!$G14</f>
        <v>0</v>
      </c>
      <c r="C14" s="438">
        <f>+Compiègne!$G14</f>
        <v>542.81000000000006</v>
      </c>
      <c r="D14" s="438">
        <f>+Amiens!$G14</f>
        <v>0</v>
      </c>
      <c r="E14" s="438">
        <f>+Cambrai!$G14</f>
        <v>13.905000000000001</v>
      </c>
      <c r="F14" s="438">
        <f>+Caudry!$G14</f>
        <v>0</v>
      </c>
      <c r="G14" s="438">
        <f>+Eu!$G14</f>
        <v>0</v>
      </c>
      <c r="H14" s="438">
        <f>+Calais!$G14</f>
        <v>0</v>
      </c>
      <c r="I14" s="438"/>
      <c r="J14" s="438">
        <f>+Madeleine!$G14</f>
        <v>0</v>
      </c>
      <c r="K14" s="438">
        <f>+Lens!$G14</f>
        <v>0</v>
      </c>
      <c r="L14" s="438">
        <f>+Bois!$G14</f>
        <v>0</v>
      </c>
      <c r="M14" s="438">
        <f>+Béthune!$G14</f>
        <v>0</v>
      </c>
      <c r="N14" s="1224">
        <f>+StOmer!$G14</f>
        <v>0</v>
      </c>
      <c r="O14" s="1223">
        <f>+Béthune!E14+Bois!E14+Lens!E14+Madeleine!E14+Tourcoing!E14+Calais!E14+Eu!E14+Caudry!E14+Cambrai!E14+Amiens!E14+Compiègne!E14+Boulogne!E14+StOmer!E14</f>
        <v>755.09999999999991</v>
      </c>
      <c r="P14" s="1285">
        <f>+Béthune!F14+Bois!F14+Lens!F14+Madeleine!F14+Tourcoing!F14+Calais!F14+Eu!F14+Caudry!F14+Cambrai!F14+Amiens!F14+Compiègne!F14+Boulogne!F14+StOmer!F14</f>
        <v>970.2</v>
      </c>
      <c r="Q14" s="438">
        <f t="shared" si="2"/>
        <v>556.71500000000003</v>
      </c>
      <c r="R14" s="1286">
        <f t="shared" si="0"/>
        <v>556.71500000000003</v>
      </c>
      <c r="S14" s="1323">
        <f t="shared" si="3"/>
        <v>0.28486293206197877</v>
      </c>
      <c r="T14" s="1324">
        <f t="shared" si="4"/>
        <v>-0.42618532261389402</v>
      </c>
      <c r="U14" s="1209">
        <f>+Béthune!D14+Bois!D14+Lens!D14+Madeleine!D14+Tourcoing!D14+Calais!D14+Eu!D14+Caudry!D14+Cambrai!D14+Amiens!D14+Compiègne!D14+Boulogne!D14+StOmer!D14</f>
        <v>0</v>
      </c>
      <c r="V14" s="25">
        <v>0</v>
      </c>
    </row>
    <row r="15" spans="1:22" s="113" customFormat="1" ht="11.25">
      <c r="A15" s="18" t="s">
        <v>270</v>
      </c>
      <c r="B15" s="1223">
        <f>+Boulogne!$G15</f>
        <v>0</v>
      </c>
      <c r="C15" s="438">
        <f>+Compiègne!$G15</f>
        <v>0</v>
      </c>
      <c r="D15" s="438">
        <f>+Amiens!$G15</f>
        <v>0</v>
      </c>
      <c r="E15" s="438">
        <f>+Cambrai!$G15</f>
        <v>0</v>
      </c>
      <c r="F15" s="438">
        <f>+Caudry!$G15</f>
        <v>0</v>
      </c>
      <c r="G15" s="438">
        <f>+Eu!$G15</f>
        <v>0</v>
      </c>
      <c r="H15" s="438">
        <f>+Calais!$G15</f>
        <v>0</v>
      </c>
      <c r="I15" s="438"/>
      <c r="J15" s="438">
        <f>+Madeleine!$G15</f>
        <v>0</v>
      </c>
      <c r="K15" s="438">
        <f>+Lens!$G15</f>
        <v>0</v>
      </c>
      <c r="L15" s="438">
        <f>+Bois!$G15</f>
        <v>0</v>
      </c>
      <c r="M15" s="438">
        <f>+Béthune!$G15</f>
        <v>0</v>
      </c>
      <c r="N15" s="1224">
        <f>+StOmer!$G15</f>
        <v>0</v>
      </c>
      <c r="O15" s="1223">
        <f>+Béthune!E15+Bois!E15+Lens!E15+Madeleine!E15+Tourcoing!E15+Calais!E15+Eu!E15+Caudry!E15+Cambrai!E15+Amiens!E15+Compiègne!E15+Boulogne!E15+StOmer!E15</f>
        <v>18228</v>
      </c>
      <c r="P15" s="1285">
        <f>+Béthune!F15+Bois!F15+Lens!F15+Madeleine!F15+Tourcoing!F15+Calais!F15+Eu!F15+Caudry!F15+Cambrai!F15+Amiens!F15+Compiègne!F15+Boulogne!F15+StOmer!F15</f>
        <v>12600</v>
      </c>
      <c r="Q15" s="438">
        <f t="shared" si="2"/>
        <v>0</v>
      </c>
      <c r="R15" s="1286">
        <f t="shared" si="0"/>
        <v>0</v>
      </c>
      <c r="S15" s="1323">
        <f t="shared" si="3"/>
        <v>-0.30875576036866359</v>
      </c>
      <c r="T15" s="1324">
        <f t="shared" si="4"/>
        <v>-1</v>
      </c>
      <c r="U15" s="1209">
        <f>+Béthune!D15+Bois!D15+Lens!D15+Madeleine!D15+Tourcoing!D15+Calais!D15+Eu!D15+Caudry!D15+Cambrai!D15+Amiens!D15+Compiègne!D15+Boulogne!D15+StOmer!D15</f>
        <v>0</v>
      </c>
      <c r="V15" s="25">
        <v>0</v>
      </c>
    </row>
    <row r="16" spans="1:22" s="113" customFormat="1" ht="11.25">
      <c r="A16" s="18" t="s">
        <v>85</v>
      </c>
      <c r="B16" s="1223">
        <f>+Boulogne!$G16</f>
        <v>0</v>
      </c>
      <c r="C16" s="438">
        <f>+Compiègne!$G16</f>
        <v>0</v>
      </c>
      <c r="D16" s="438">
        <f>+Amiens!$G16</f>
        <v>0</v>
      </c>
      <c r="E16" s="438">
        <f>+Cambrai!$G16</f>
        <v>0</v>
      </c>
      <c r="F16" s="438">
        <f>+Caudry!$G16</f>
        <v>0</v>
      </c>
      <c r="G16" s="438">
        <f>+Eu!$G16</f>
        <v>0</v>
      </c>
      <c r="H16" s="438">
        <f>+Calais!$G16</f>
        <v>0</v>
      </c>
      <c r="I16" s="438"/>
      <c r="J16" s="438">
        <f>+Madeleine!$G16</f>
        <v>0</v>
      </c>
      <c r="K16" s="438">
        <f>+Lens!$G16</f>
        <v>0</v>
      </c>
      <c r="L16" s="438">
        <f>+Bois!$G16</f>
        <v>0</v>
      </c>
      <c r="M16" s="438">
        <f>+Béthune!$G16</f>
        <v>0</v>
      </c>
      <c r="N16" s="1224">
        <f>+StOmer!$G16</f>
        <v>0</v>
      </c>
      <c r="O16" s="1223">
        <f>+Béthune!E16+Bois!E16+Lens!E16+Madeleine!E16+Tourcoing!E16+Calais!E16+Eu!E16+Caudry!E16+Cambrai!E16+Amiens!E16+Compiègne!E16+Boulogne!E16+StOmer!E16</f>
        <v>62.639999999999986</v>
      </c>
      <c r="P16" s="1285">
        <f>+Béthune!F16+Bois!F16+Lens!F16+Madeleine!F16+Tourcoing!F16+Calais!F16+Eu!F16+Caudry!F16+Cambrai!F16+Amiens!F16+Compiègne!F16+Boulogne!F16+StOmer!F16</f>
        <v>0</v>
      </c>
      <c r="Q16" s="438">
        <f t="shared" si="2"/>
        <v>0</v>
      </c>
      <c r="R16" s="1286">
        <f t="shared" si="0"/>
        <v>0</v>
      </c>
      <c r="S16" s="1323">
        <f t="shared" si="3"/>
        <v>-1</v>
      </c>
      <c r="T16" s="1324">
        <f t="shared" si="4"/>
        <v>0</v>
      </c>
      <c r="U16" s="1209">
        <f>+Béthune!D16+Bois!D16+Lens!D16+Madeleine!D16+Tourcoing!D16+Calais!D16+Eu!D16+Caudry!D16+Cambrai!D16+Amiens!D16+Compiègne!D16+Boulogne!D16+StOmer!D16</f>
        <v>0</v>
      </c>
      <c r="V16" s="25">
        <v>0</v>
      </c>
    </row>
    <row r="17" spans="1:22" s="113" customFormat="1" ht="11.25">
      <c r="A17" s="18" t="s">
        <v>88</v>
      </c>
      <c r="B17" s="1223">
        <f>+Boulogne!$G17</f>
        <v>0</v>
      </c>
      <c r="C17" s="438">
        <f>+Compiègne!$G17</f>
        <v>0</v>
      </c>
      <c r="D17" s="438">
        <f>+Amiens!$G17</f>
        <v>0</v>
      </c>
      <c r="E17" s="438">
        <f>+Cambrai!$G17</f>
        <v>0</v>
      </c>
      <c r="F17" s="438">
        <f>+Caudry!$G17</f>
        <v>0</v>
      </c>
      <c r="G17" s="438">
        <f>+Eu!$G17</f>
        <v>0</v>
      </c>
      <c r="H17" s="438">
        <f>+Calais!$G17</f>
        <v>0</v>
      </c>
      <c r="I17" s="438"/>
      <c r="J17" s="438">
        <f>+Madeleine!$G17</f>
        <v>0</v>
      </c>
      <c r="K17" s="438">
        <f>+Lens!$G17</f>
        <v>0</v>
      </c>
      <c r="L17" s="438">
        <f>+Bois!$G17</f>
        <v>0</v>
      </c>
      <c r="M17" s="438">
        <f>+Béthune!$G17</f>
        <v>0</v>
      </c>
      <c r="N17" s="1224">
        <f>+StOmer!$G17</f>
        <v>0</v>
      </c>
      <c r="O17" s="1223">
        <f>+Béthune!E17+Bois!E17+Lens!E17+Madeleine!E17+Tourcoing!E17+Calais!E17+Eu!E17+Caudry!E17+Cambrai!E17+Amiens!E17+Compiègne!E17+Boulogne!E17+StOmer!E17</f>
        <v>0</v>
      </c>
      <c r="P17" s="1285">
        <f>+Béthune!F17+Bois!F17+Lens!F17+Madeleine!F17+Tourcoing!F17+Calais!F17+Eu!F17+Caudry!F17+Cambrai!F17+Amiens!F17+Compiègne!F17+Boulogne!F17+StOmer!F17</f>
        <v>0</v>
      </c>
      <c r="Q17" s="438">
        <f t="shared" si="2"/>
        <v>0</v>
      </c>
      <c r="R17" s="1286">
        <f t="shared" si="0"/>
        <v>0</v>
      </c>
      <c r="S17" s="1347">
        <f t="shared" si="3"/>
        <v>0</v>
      </c>
      <c r="T17" s="1324">
        <f t="shared" si="4"/>
        <v>0</v>
      </c>
      <c r="U17" s="1376">
        <f>+Béthune!D17+Bois!D17+Lens!D17+Madeleine!D17+Tourcoing!D17+Calais!D17+Eu!D17+Caudry!D17+Cambrai!D17+Amiens!D17+Compiègne!D17+Boulogne!D17+StOmer!D17</f>
        <v>0</v>
      </c>
      <c r="V17" s="25">
        <f t="shared" si="1"/>
        <v>0</v>
      </c>
    </row>
    <row r="18" spans="1:22" s="17" customFormat="1" ht="11.25">
      <c r="A18" s="18" t="s">
        <v>89</v>
      </c>
      <c r="B18" s="1223">
        <f>+Boulogne!$G18</f>
        <v>0</v>
      </c>
      <c r="C18" s="438">
        <f>+Compiègne!$G18</f>
        <v>0</v>
      </c>
      <c r="D18" s="438">
        <f>+Amiens!$G18</f>
        <v>0</v>
      </c>
      <c r="E18" s="438">
        <f>+Cambrai!$G18</f>
        <v>0</v>
      </c>
      <c r="F18" s="438">
        <f>+Caudry!$G18</f>
        <v>0</v>
      </c>
      <c r="G18" s="438">
        <f>+Eu!$G18</f>
        <v>0</v>
      </c>
      <c r="H18" s="438">
        <f>+Calais!$G18</f>
        <v>0</v>
      </c>
      <c r="I18" s="438"/>
      <c r="J18" s="438">
        <f>+Madeleine!$G18</f>
        <v>0</v>
      </c>
      <c r="K18" s="438">
        <f>+Lens!$G18</f>
        <v>0</v>
      </c>
      <c r="L18" s="438">
        <f>+Bois!$G18</f>
        <v>0</v>
      </c>
      <c r="M18" s="438">
        <f>+Béthune!$G18</f>
        <v>0</v>
      </c>
      <c r="N18" s="1224">
        <f>+StOmer!$G18</f>
        <v>0</v>
      </c>
      <c r="O18" s="1223">
        <f>+Béthune!E18+Bois!E18+Lens!E18+Madeleine!E18+Tourcoing!E18+Calais!E18+Eu!E18+Caudry!E18+Cambrai!E18+Amiens!E18+Compiègne!E18+Boulogne!E18+StOmer!E18</f>
        <v>0</v>
      </c>
      <c r="P18" s="1285">
        <f>+Béthune!F18+Bois!F18+Lens!F18+Madeleine!F18+Tourcoing!F18+Calais!F18+Eu!F18+Caudry!F18+Cambrai!F18+Amiens!F18+Compiègne!F18+Boulogne!F18+StOmer!F18</f>
        <v>0</v>
      </c>
      <c r="Q18" s="438">
        <f t="shared" si="2"/>
        <v>0</v>
      </c>
      <c r="R18" s="1286">
        <f t="shared" si="0"/>
        <v>0</v>
      </c>
      <c r="S18" s="1347">
        <f t="shared" si="3"/>
        <v>0</v>
      </c>
      <c r="T18" s="1324">
        <f t="shared" si="4"/>
        <v>0</v>
      </c>
      <c r="U18" s="1376">
        <f>+Béthune!D18+Bois!D18+Lens!D18+Madeleine!D18+Tourcoing!D18+Calais!D18+Eu!D18+Caudry!D18+Cambrai!D18+Amiens!D18+Compiègne!D18+Boulogne!D18+StOmer!D18</f>
        <v>0</v>
      </c>
      <c r="V18" s="2">
        <f t="shared" si="1"/>
        <v>0</v>
      </c>
    </row>
    <row r="19" spans="1:22" s="17" customFormat="1" ht="11.25">
      <c r="A19" s="18" t="s">
        <v>90</v>
      </c>
      <c r="B19" s="1223">
        <f>+Boulogne!$G19</f>
        <v>0</v>
      </c>
      <c r="C19" s="438">
        <f>+Compiègne!$G19</f>
        <v>0</v>
      </c>
      <c r="D19" s="438">
        <f>+Amiens!$G19</f>
        <v>0</v>
      </c>
      <c r="E19" s="438">
        <f>+Cambrai!$G19</f>
        <v>0</v>
      </c>
      <c r="F19" s="438">
        <f>+Caudry!$G19</f>
        <v>0</v>
      </c>
      <c r="G19" s="438">
        <f>+Eu!$G19</f>
        <v>0</v>
      </c>
      <c r="H19" s="438">
        <f>+Calais!$G19</f>
        <v>0</v>
      </c>
      <c r="I19" s="438"/>
      <c r="J19" s="438">
        <f>+Madeleine!$G19</f>
        <v>0</v>
      </c>
      <c r="K19" s="438">
        <f>+Lens!$G19</f>
        <v>0</v>
      </c>
      <c r="L19" s="438">
        <f>+Bois!$G19</f>
        <v>0</v>
      </c>
      <c r="M19" s="438">
        <f>+Béthune!$G19</f>
        <v>0</v>
      </c>
      <c r="N19" s="1224">
        <f>+StOmer!$G19</f>
        <v>0</v>
      </c>
      <c r="O19" s="1223">
        <f>+Béthune!E19+Bois!E19+Lens!E19+Madeleine!E19+Tourcoing!E19+Calais!E19+Eu!E19+Caudry!E19+Cambrai!E19+Amiens!E19+Compiègne!E19+Boulogne!E19+StOmer!E19</f>
        <v>0</v>
      </c>
      <c r="P19" s="1285">
        <f>+Béthune!F19+Bois!F19+Lens!F19+Madeleine!F19+Tourcoing!F19+Calais!F19+Eu!F19+Caudry!F19+Cambrai!F19+Amiens!F19+Compiègne!F19+Boulogne!F19+StOmer!F19</f>
        <v>0</v>
      </c>
      <c r="Q19" s="438">
        <f t="shared" si="2"/>
        <v>0</v>
      </c>
      <c r="R19" s="1286">
        <f t="shared" si="0"/>
        <v>0</v>
      </c>
      <c r="S19" s="1347">
        <f t="shared" si="3"/>
        <v>0</v>
      </c>
      <c r="T19" s="1324">
        <f t="shared" si="4"/>
        <v>0</v>
      </c>
      <c r="U19" s="1376">
        <f>+Béthune!D19+Bois!D19+Lens!D19+Madeleine!D19+Tourcoing!D19+Calais!D19+Eu!D19+Caudry!D19+Cambrai!D19+Amiens!D19+Compiègne!D19+Boulogne!D19+StOmer!D19</f>
        <v>0</v>
      </c>
      <c r="V19" s="2">
        <f t="shared" si="1"/>
        <v>0</v>
      </c>
    </row>
    <row r="20" spans="1:22" s="17" customFormat="1" ht="11.25">
      <c r="A20" s="18"/>
      <c r="B20" s="1223"/>
      <c r="C20" s="438"/>
      <c r="D20" s="438"/>
      <c r="E20" s="438"/>
      <c r="F20" s="438"/>
      <c r="G20" s="438"/>
      <c r="H20" s="438"/>
      <c r="I20" s="438"/>
      <c r="J20" s="438"/>
      <c r="K20" s="438"/>
      <c r="L20" s="438"/>
      <c r="M20" s="438"/>
      <c r="N20" s="1224"/>
      <c r="O20" s="1223"/>
      <c r="P20" s="1289"/>
      <c r="Q20" s="1360"/>
      <c r="R20" s="1362"/>
      <c r="S20" s="1347"/>
      <c r="T20" s="1342"/>
      <c r="U20" s="1375"/>
      <c r="V20" s="2">
        <f t="shared" si="1"/>
        <v>0</v>
      </c>
    </row>
    <row r="21" spans="1:22" s="2" customFormat="1" ht="11.25">
      <c r="A21" s="13" t="s">
        <v>222</v>
      </c>
      <c r="B21" s="1225">
        <f>SUM(B7:B20)</f>
        <v>2256694</v>
      </c>
      <c r="C21" s="1226">
        <f t="shared" ref="C21:N21" si="5">SUM(C7:C20)</f>
        <v>811352.81</v>
      </c>
      <c r="D21" s="1226">
        <f t="shared" si="5"/>
        <v>517143.93199999997</v>
      </c>
      <c r="E21" s="1226">
        <f t="shared" si="5"/>
        <v>670418.90500000003</v>
      </c>
      <c r="F21" s="1226">
        <f t="shared" si="5"/>
        <v>740739</v>
      </c>
      <c r="G21" s="1226">
        <f t="shared" si="5"/>
        <v>1272071</v>
      </c>
      <c r="H21" s="1226">
        <f t="shared" si="5"/>
        <v>1054403</v>
      </c>
      <c r="I21" s="1226"/>
      <c r="J21" s="1226">
        <f t="shared" si="5"/>
        <v>1019084</v>
      </c>
      <c r="K21" s="1226">
        <f t="shared" si="5"/>
        <v>581262</v>
      </c>
      <c r="L21" s="1226">
        <f t="shared" si="5"/>
        <v>256061</v>
      </c>
      <c r="M21" s="1226">
        <f t="shared" si="5"/>
        <v>400349</v>
      </c>
      <c r="N21" s="1227">
        <f t="shared" si="5"/>
        <v>812475</v>
      </c>
      <c r="O21" s="1225">
        <f>SUM(O8:O19)</f>
        <v>9934585.9300000016</v>
      </c>
      <c r="P21" s="1287">
        <f>SUM(P7:P20)</f>
        <v>9777023.2523590717</v>
      </c>
      <c r="Q21" s="1287">
        <f>SUM(Q7:Q20)</f>
        <v>10392053.647</v>
      </c>
      <c r="R21" s="1288">
        <f>SUM(R8:R19)</f>
        <v>10392053.647</v>
      </c>
      <c r="S21" s="93">
        <f>+IF((O21)=0,,(P21-O21)/O21)</f>
        <v>-1.5860014574450392E-2</v>
      </c>
      <c r="T21" s="1325">
        <f>+IF((P21)=0,,(R21-P21)/P21)</f>
        <v>6.2905690082360105E-2</v>
      </c>
      <c r="U21" s="597">
        <f>+Béthune!D21+Bois!D21+Lens!D21+Madeleine!D21+Tourcoing!D21+Calais!D21+Eu!D21+Caudry!D21+Cambrai!D21+Amiens!D21+Compiègne!D21+Boulogne!D21+StOmer!D21</f>
        <v>10656675</v>
      </c>
      <c r="V21" s="2">
        <f t="shared" si="1"/>
        <v>1</v>
      </c>
    </row>
    <row r="22" spans="1:22" s="57" customFormat="1" ht="15" customHeight="1">
      <c r="A22" s="5"/>
      <c r="B22" s="1323"/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8"/>
      <c r="O22" s="1223"/>
      <c r="P22" s="1289"/>
      <c r="Q22" s="1360"/>
      <c r="R22" s="1362"/>
      <c r="S22" s="1347"/>
      <c r="T22" s="1324"/>
      <c r="U22" s="1375"/>
      <c r="V22" s="2">
        <f t="shared" si="1"/>
        <v>0</v>
      </c>
    </row>
    <row r="23" spans="1:22" s="1210" customFormat="1" ht="15" customHeight="1">
      <c r="A23" s="18" t="s">
        <v>92</v>
      </c>
      <c r="B23" s="1223">
        <f>+Boulogne!$G23</f>
        <v>0</v>
      </c>
      <c r="C23" s="438">
        <f>+Compiègne!$G23</f>
        <v>0</v>
      </c>
      <c r="D23" s="438">
        <f>+Amiens!$G23</f>
        <v>0</v>
      </c>
      <c r="E23" s="438">
        <f>+Cambrai!$G23</f>
        <v>0</v>
      </c>
      <c r="F23" s="438">
        <f>+Caudry!$G23</f>
        <v>0</v>
      </c>
      <c r="G23" s="438">
        <f>+Eu!$G23</f>
        <v>0</v>
      </c>
      <c r="H23" s="438">
        <f>+Calais!$G23</f>
        <v>0</v>
      </c>
      <c r="I23" s="438"/>
      <c r="J23" s="438">
        <f>+Madeleine!$G23</f>
        <v>0</v>
      </c>
      <c r="K23" s="438">
        <f>+Lens!$G23</f>
        <v>0</v>
      </c>
      <c r="L23" s="438">
        <f>+Bois!$G23</f>
        <v>0</v>
      </c>
      <c r="M23" s="438">
        <f>+Béthune!$G23</f>
        <v>0</v>
      </c>
      <c r="N23" s="1224">
        <f>+StOmer!$G23</f>
        <v>0</v>
      </c>
      <c r="O23" s="1223">
        <f>+Béthune!E23+Bois!E23+Lens!E23+Madeleine!E23+Tourcoing!E23+Calais!E23+Eu!E23+Caudry!E23+Cambrai!E23+Amiens!E23+Compiègne!E23+Boulogne!E23+StOmer!E23</f>
        <v>533.91</v>
      </c>
      <c r="P23" s="1289"/>
      <c r="Q23" s="438">
        <f t="shared" ref="Q23:Q29" si="6">+R23</f>
        <v>0</v>
      </c>
      <c r="R23" s="1286">
        <f t="shared" ref="R23:R29" si="7">SUM(B23:N23)</f>
        <v>0</v>
      </c>
      <c r="S23" s="1323"/>
      <c r="T23" s="1324"/>
      <c r="U23" s="1211">
        <f>+Béthune!D23+Bois!D23+Lens!D23+Madeleine!D23+Tourcoing!D23+Calais!D23+Eu!D23+Caudry!D23+Cambrai!D23+Amiens!D23+Compiègne!D23+Boulogne!D23+StOmer!D23</f>
        <v>0</v>
      </c>
      <c r="V23" s="25">
        <v>0</v>
      </c>
    </row>
    <row r="24" spans="1:22" s="113" customFormat="1" ht="11.25">
      <c r="A24" s="18" t="s">
        <v>93</v>
      </c>
      <c r="B24" s="1223">
        <f>+Boulogne!$G24</f>
        <v>981503.92142000003</v>
      </c>
      <c r="C24" s="438">
        <f>+Compiègne!$G24</f>
        <v>342796.56222500006</v>
      </c>
      <c r="D24" s="438">
        <f>+Amiens!$G24</f>
        <v>171795.21421040001</v>
      </c>
      <c r="E24" s="438">
        <f>+Cambrai!$G24</f>
        <v>274972.31388575002</v>
      </c>
      <c r="F24" s="438">
        <f>+Caudry!$G24</f>
        <v>255110.51160000003</v>
      </c>
      <c r="G24" s="438">
        <f>+Eu!$G24</f>
        <v>386518.77335000009</v>
      </c>
      <c r="H24" s="438">
        <f>+Calais!$G24</f>
        <v>393766.80035000009</v>
      </c>
      <c r="I24" s="438"/>
      <c r="J24" s="438">
        <f>+Madeleine!$G24</f>
        <v>369927.49200000003</v>
      </c>
      <c r="K24" s="438">
        <f>+Lens!$G24</f>
        <v>218670.76439999999</v>
      </c>
      <c r="L24" s="438">
        <f>+Bois!$G24</f>
        <v>85204.297750000012</v>
      </c>
      <c r="M24" s="438">
        <f>+Béthune!$G24</f>
        <v>111697.37099999998</v>
      </c>
      <c r="N24" s="1224">
        <f>+StOmer!$G24</f>
        <v>232013.6109</v>
      </c>
      <c r="O24" s="1223">
        <f>+Béthune!E24+Bois!E24+Lens!E24+Madeleine!E24+Tourcoing!E24+Calais!E24+Eu!E24+Caudry!E24+Cambrai!E24+Amiens!E24+Compiègne!E24+Boulogne!E24+StOmer!E24</f>
        <v>3133924.39</v>
      </c>
      <c r="P24" s="1289"/>
      <c r="Q24" s="438">
        <f t="shared" si="6"/>
        <v>3823977.6330911499</v>
      </c>
      <c r="R24" s="1286">
        <f t="shared" si="7"/>
        <v>3823977.6330911499</v>
      </c>
      <c r="S24" s="1323"/>
      <c r="T24" s="1324"/>
      <c r="U24" s="1211">
        <f>+Béthune!D24+Bois!D24+Lens!D24+Madeleine!D24+Tourcoing!D24+Calais!D24+Eu!D24+Caudry!D24+Cambrai!D24+Amiens!D24+Compiègne!D24+Boulogne!D24+StOmer!D24</f>
        <v>0</v>
      </c>
      <c r="V24" s="25">
        <f t="shared" si="1"/>
        <v>1</v>
      </c>
    </row>
    <row r="25" spans="1:22" s="113" customFormat="1" ht="11.25">
      <c r="A25" s="18" t="s">
        <v>94</v>
      </c>
      <c r="B25" s="1223">
        <f>+Boulogne!$G25</f>
        <v>0</v>
      </c>
      <c r="C25" s="438">
        <f>+Compiègne!$G25</f>
        <v>0</v>
      </c>
      <c r="D25" s="438">
        <f>+Amiens!$G25</f>
        <v>0</v>
      </c>
      <c r="E25" s="438">
        <f>+Cambrai!$G25</f>
        <v>0</v>
      </c>
      <c r="F25" s="438">
        <f>+Caudry!$G25</f>
        <v>0</v>
      </c>
      <c r="G25" s="438">
        <f>+Eu!$G25</f>
        <v>0</v>
      </c>
      <c r="H25" s="438">
        <f>+Calais!$G25</f>
        <v>0</v>
      </c>
      <c r="I25" s="438"/>
      <c r="J25" s="438">
        <f>+Madeleine!$G25</f>
        <v>0</v>
      </c>
      <c r="K25" s="438">
        <f>+Lens!$G25</f>
        <v>0</v>
      </c>
      <c r="L25" s="438">
        <f>+Bois!$G25</f>
        <v>0</v>
      </c>
      <c r="M25" s="438">
        <f>+Béthune!$G25</f>
        <v>0</v>
      </c>
      <c r="N25" s="1224">
        <f>+StOmer!$G25</f>
        <v>0</v>
      </c>
      <c r="O25" s="1223">
        <f>+Béthune!E25+Bois!E25+Lens!E25+Madeleine!E25+Tourcoing!E25+Calais!E25+Eu!E25+Caudry!E25+Cambrai!E25+Amiens!E25+Compiègne!E25+Boulogne!E25+StOmer!E25</f>
        <v>342140.88</v>
      </c>
      <c r="P25" s="1289"/>
      <c r="Q25" s="438">
        <f t="shared" si="6"/>
        <v>0</v>
      </c>
      <c r="R25" s="1286">
        <f t="shared" si="7"/>
        <v>0</v>
      </c>
      <c r="S25" s="1323"/>
      <c r="T25" s="1324"/>
      <c r="U25" s="1211">
        <f>+Béthune!D25+Bois!D25+Lens!D25+Madeleine!D25+Tourcoing!D25+Calais!D25+Eu!D25+Caudry!D25+Cambrai!D25+Amiens!D25+Compiègne!D25+Boulogne!D25+StOmer!D25</f>
        <v>0</v>
      </c>
      <c r="V25" s="25">
        <v>0</v>
      </c>
    </row>
    <row r="26" spans="1:22" s="113" customFormat="1" ht="11.25">
      <c r="A26" s="18" t="s">
        <v>288</v>
      </c>
      <c r="B26" s="1223">
        <f>+Boulogne!$G26</f>
        <v>0</v>
      </c>
      <c r="C26" s="438">
        <f>+Compiègne!$G26</f>
        <v>0</v>
      </c>
      <c r="D26" s="438">
        <f>+Amiens!$G26</f>
        <v>0</v>
      </c>
      <c r="E26" s="438">
        <f>+Cambrai!$G26</f>
        <v>0</v>
      </c>
      <c r="F26" s="438">
        <f>+Caudry!$G26</f>
        <v>0</v>
      </c>
      <c r="G26" s="438">
        <f>+Eu!$G26</f>
        <v>0</v>
      </c>
      <c r="H26" s="438">
        <f>+Calais!$G26</f>
        <v>0</v>
      </c>
      <c r="I26" s="438"/>
      <c r="J26" s="438">
        <f>+Madeleine!$G26</f>
        <v>0</v>
      </c>
      <c r="K26" s="438">
        <f>+Lens!$G26</f>
        <v>0</v>
      </c>
      <c r="L26" s="438">
        <f>+Bois!$G26</f>
        <v>0</v>
      </c>
      <c r="M26" s="438">
        <f>+Béthune!$G26</f>
        <v>0</v>
      </c>
      <c r="N26" s="1224">
        <f>+StOmer!$G26</f>
        <v>0</v>
      </c>
      <c r="O26" s="1223">
        <f>+Béthune!E26+Bois!E26+Lens!E26+Madeleine!E26+Tourcoing!E26+Calais!E26+Eu!E26+Caudry!E26+Cambrai!E26+Amiens!E26+Compiègne!E26+Boulogne!E26+StOmer!E26</f>
        <v>1033361</v>
      </c>
      <c r="P26" s="1289"/>
      <c r="Q26" s="438">
        <f t="shared" si="6"/>
        <v>0</v>
      </c>
      <c r="R26" s="1286">
        <f t="shared" si="7"/>
        <v>0</v>
      </c>
      <c r="S26" s="1323"/>
      <c r="T26" s="1324"/>
      <c r="U26" s="1211">
        <f>+Béthune!D26+Bois!D26+Lens!D26+Madeleine!D26+Tourcoing!D26+Calais!D26+Eu!D26+Caudry!D26+Cambrai!D26+Amiens!D26+Compiègne!D26+Boulogne!D26+StOmer!D26</f>
        <v>0</v>
      </c>
      <c r="V26" s="25">
        <v>0</v>
      </c>
    </row>
    <row r="27" spans="1:22" s="1210" customFormat="1" ht="15" customHeight="1">
      <c r="A27" s="18" t="s">
        <v>289</v>
      </c>
      <c r="B27" s="1223">
        <f>+Boulogne!$G27</f>
        <v>0</v>
      </c>
      <c r="C27" s="438">
        <f>+Compiègne!$G27</f>
        <v>0</v>
      </c>
      <c r="D27" s="438">
        <f>+Amiens!$G27</f>
        <v>0</v>
      </c>
      <c r="E27" s="438">
        <f>+Cambrai!$G27</f>
        <v>0</v>
      </c>
      <c r="F27" s="438">
        <f>+Caudry!$G27</f>
        <v>0</v>
      </c>
      <c r="G27" s="438">
        <f>+Eu!$G27</f>
        <v>0</v>
      </c>
      <c r="H27" s="438">
        <f>+Calais!$G27</f>
        <v>0</v>
      </c>
      <c r="I27" s="438"/>
      <c r="J27" s="438">
        <f>+Madeleine!$G27</f>
        <v>0</v>
      </c>
      <c r="K27" s="438">
        <f>+Lens!$G27</f>
        <v>0</v>
      </c>
      <c r="L27" s="438">
        <f>+Bois!$G27</f>
        <v>0</v>
      </c>
      <c r="M27" s="438">
        <f>+Béthune!$G27</f>
        <v>0</v>
      </c>
      <c r="N27" s="1224">
        <f>+StOmer!$G27</f>
        <v>0</v>
      </c>
      <c r="O27" s="1223">
        <f>+Béthune!E27+Bois!E27+Lens!E27+Madeleine!E27+Tourcoing!E27+Calais!E27+Eu!E27+Caudry!E27+Cambrai!E27+Amiens!E27+Compiègne!E27+Boulogne!E27+StOmer!E27</f>
        <v>-1115292</v>
      </c>
      <c r="P27" s="1289"/>
      <c r="Q27" s="438">
        <f t="shared" si="6"/>
        <v>0</v>
      </c>
      <c r="R27" s="1286">
        <f t="shared" si="7"/>
        <v>0</v>
      </c>
      <c r="S27" s="1347"/>
      <c r="T27" s="1324"/>
      <c r="U27" s="1375">
        <f>+Béthune!D27+Bois!D27+Lens!D27+Madeleine!D27+Tourcoing!D27+Calais!D27+Eu!D27+Caudry!D27+Cambrai!D27+Amiens!D27+Compiègne!D27+Boulogne!D27+StOmer!D27</f>
        <v>0</v>
      </c>
      <c r="V27" s="25">
        <f t="shared" si="1"/>
        <v>0</v>
      </c>
    </row>
    <row r="28" spans="1:22" s="1210" customFormat="1" ht="15" customHeight="1">
      <c r="A28" s="18" t="s">
        <v>95</v>
      </c>
      <c r="B28" s="1223">
        <f>+Boulogne!$G28</f>
        <v>627518.90058000013</v>
      </c>
      <c r="C28" s="438">
        <f>+Compiègne!$G28</f>
        <v>184582.76427500002</v>
      </c>
      <c r="D28" s="438">
        <f>+Amiens!$G28</f>
        <v>140559.72071759999</v>
      </c>
      <c r="E28" s="438">
        <f>+Cambrai!$G28</f>
        <v>148062.01516924999</v>
      </c>
      <c r="F28" s="438">
        <f>+Caudry!$G28</f>
        <v>200443.97339999999</v>
      </c>
      <c r="G28" s="438">
        <f>+Eu!$G28</f>
        <v>268597.79165000003</v>
      </c>
      <c r="H28" s="438">
        <f>+Calais!$G28</f>
        <v>322172.83665000007</v>
      </c>
      <c r="I28" s="438"/>
      <c r="J28" s="438">
        <f>+Madeleine!$G28</f>
        <v>302667.94799999997</v>
      </c>
      <c r="K28" s="438">
        <f>+Lens!$G28</f>
        <v>164962.15559999997</v>
      </c>
      <c r="L28" s="438">
        <f>+Bois!$G28</f>
        <v>69712.607250000001</v>
      </c>
      <c r="M28" s="438">
        <f>+Béthune!$G28</f>
        <v>136519.00900000002</v>
      </c>
      <c r="N28" s="1224">
        <f>+StOmer!$G28</f>
        <v>205747.91909999997</v>
      </c>
      <c r="O28" s="1223">
        <f>+Béthune!E28+Bois!E28+Lens!E28+Madeleine!E28+Tourcoing!E28+Calais!E28+Eu!E28+Caudry!E28+Cambrai!E28+Amiens!E28+Compiègne!E28+Boulogne!E28+StOmer!E28</f>
        <v>2862115.3999999994</v>
      </c>
      <c r="P28" s="1289"/>
      <c r="Q28" s="438">
        <f t="shared" si="6"/>
        <v>2771547.6413918501</v>
      </c>
      <c r="R28" s="1286">
        <f t="shared" si="7"/>
        <v>2771547.6413918501</v>
      </c>
      <c r="S28" s="1323"/>
      <c r="T28" s="1324"/>
      <c r="U28" s="1212">
        <f>+Béthune!D28+Bois!D28+Lens!D28+Madeleine!D28+Tourcoing!D28+Calais!D28+Eu!D28+Caudry!D28+Cambrai!D28+Amiens!D28+Compiègne!D28+Boulogne!D28+StOmer!D28</f>
        <v>4.5735526210489024</v>
      </c>
      <c r="V28" s="25">
        <f t="shared" si="1"/>
        <v>1</v>
      </c>
    </row>
    <row r="29" spans="1:22" s="113" customFormat="1" ht="11.25">
      <c r="A29" s="1073" t="s">
        <v>293</v>
      </c>
      <c r="B29" s="1349">
        <f>+Boulogne!$G29</f>
        <v>0</v>
      </c>
      <c r="C29" s="1350">
        <f>+Compiègne!$G29</f>
        <v>0</v>
      </c>
      <c r="D29" s="1350">
        <f>+Amiens!$G29</f>
        <v>0</v>
      </c>
      <c r="E29" s="1350">
        <f>+Cambrai!$G29</f>
        <v>0</v>
      </c>
      <c r="F29" s="1350">
        <f>+Caudry!$G29</f>
        <v>0</v>
      </c>
      <c r="G29" s="1350">
        <f>+Eu!$G29</f>
        <v>0</v>
      </c>
      <c r="H29" s="1350">
        <f>+Calais!$G29</f>
        <v>0</v>
      </c>
      <c r="I29" s="438"/>
      <c r="J29" s="1350">
        <f>+Madeleine!$G29</f>
        <v>0</v>
      </c>
      <c r="K29" s="1350">
        <f>+Lens!$G29</f>
        <v>0</v>
      </c>
      <c r="L29" s="1350">
        <f>+Bois!$G29</f>
        <v>0</v>
      </c>
      <c r="M29" s="1350">
        <f>+Béthune!$G29</f>
        <v>0</v>
      </c>
      <c r="N29" s="1252">
        <f>+StOmer!$G29</f>
        <v>0</v>
      </c>
      <c r="O29" s="1349">
        <f>+Béthune!E29+Bois!E29+Lens!E29+Madeleine!E29+Tourcoing!E29+Calais!E29+Eu!E29+Caudry!E29+Cambrai!E29+Amiens!E29+Compiègne!E29+Boulogne!E29+StOmer!E29</f>
        <v>133374.78</v>
      </c>
      <c r="P29" s="1363"/>
      <c r="Q29" s="438">
        <f t="shared" si="6"/>
        <v>0</v>
      </c>
      <c r="R29" s="1302">
        <f t="shared" si="7"/>
        <v>0</v>
      </c>
      <c r="S29" s="1331"/>
      <c r="T29" s="1332"/>
      <c r="U29" s="1377">
        <f>+Béthune!D29+Bois!D29+Lens!D29+Madeleine!D29+Tourcoing!D29+Calais!D29+Eu!D29+Caudry!D29+Cambrai!D29+Amiens!D29+Compiègne!D29+Boulogne!D29+StOmer!D29</f>
        <v>0</v>
      </c>
      <c r="V29" s="25">
        <v>0</v>
      </c>
    </row>
    <row r="30" spans="1:22" s="2" customFormat="1" ht="11.25">
      <c r="A30" s="42" t="s">
        <v>292</v>
      </c>
      <c r="B30" s="1228">
        <f>SUM(B23:B29)</f>
        <v>1609022.8220000002</v>
      </c>
      <c r="C30" s="1229">
        <f t="shared" ref="C30:O30" si="8">SUM(C23:C29)</f>
        <v>527379.32650000008</v>
      </c>
      <c r="D30" s="1229">
        <f t="shared" si="8"/>
        <v>312354.93492799997</v>
      </c>
      <c r="E30" s="1229">
        <f t="shared" si="8"/>
        <v>423034.32905499998</v>
      </c>
      <c r="F30" s="1229">
        <f t="shared" si="8"/>
        <v>455554.48499999999</v>
      </c>
      <c r="G30" s="1229">
        <f t="shared" si="8"/>
        <v>655116.56500000018</v>
      </c>
      <c r="H30" s="1229">
        <f t="shared" si="8"/>
        <v>715939.6370000001</v>
      </c>
      <c r="I30" s="1229"/>
      <c r="J30" s="1229">
        <f t="shared" si="8"/>
        <v>672595.44</v>
      </c>
      <c r="K30" s="1229">
        <f t="shared" si="8"/>
        <v>383632.91999999993</v>
      </c>
      <c r="L30" s="1229">
        <f t="shared" si="8"/>
        <v>154916.90500000003</v>
      </c>
      <c r="M30" s="1229">
        <f t="shared" si="8"/>
        <v>248216.38</v>
      </c>
      <c r="N30" s="1230">
        <f t="shared" si="8"/>
        <v>437761.52999999997</v>
      </c>
      <c r="O30" s="1228">
        <f t="shared" si="8"/>
        <v>6390158.3599999994</v>
      </c>
      <c r="P30" s="1229"/>
      <c r="Q30" s="1229">
        <v>0</v>
      </c>
      <c r="R30" s="1230">
        <f>SUM(R23:R29)</f>
        <v>6595525.2744829999</v>
      </c>
      <c r="S30" s="94"/>
      <c r="T30" s="1326"/>
      <c r="U30" s="1020">
        <f>+Béthune!D30+Bois!D30+Lens!D30+Madeleine!D30+Tourcoing!D30+Calais!D30+Eu!D30+Caudry!D30+Cambrai!D30+Amiens!D30+Compiègne!D30+Boulogne!D30+StOmer!D30</f>
        <v>0</v>
      </c>
      <c r="V30" s="2">
        <f t="shared" si="1"/>
        <v>1</v>
      </c>
    </row>
    <row r="31" spans="1:22" s="2" customFormat="1" ht="11.25">
      <c r="A31" s="5"/>
      <c r="B31" s="1323"/>
      <c r="C31" s="1347"/>
      <c r="D31" s="1347"/>
      <c r="E31" s="1347"/>
      <c r="F31" s="1347"/>
      <c r="G31" s="1347"/>
      <c r="H31" s="1347"/>
      <c r="I31" s="1347"/>
      <c r="J31" s="1347"/>
      <c r="K31" s="1347"/>
      <c r="L31" s="1347"/>
      <c r="M31" s="1347"/>
      <c r="N31" s="1348"/>
      <c r="O31" s="1223"/>
      <c r="P31" s="1289"/>
      <c r="Q31" s="1360"/>
      <c r="R31" s="1224"/>
      <c r="S31" s="1347"/>
      <c r="T31" s="1342"/>
      <c r="U31" s="1375"/>
      <c r="V31" s="2">
        <f t="shared" si="1"/>
        <v>0</v>
      </c>
    </row>
    <row r="32" spans="1:22" s="2" customFormat="1" ht="15" customHeight="1">
      <c r="A32" s="56" t="s">
        <v>336</v>
      </c>
      <c r="B32" s="1231">
        <f>+B21-B30-B38</f>
        <v>647671.17799999984</v>
      </c>
      <c r="C32" s="1232">
        <f t="shared" ref="C32:O32" si="9">+C21-C30-C38</f>
        <v>283973.48349999997</v>
      </c>
      <c r="D32" s="1232">
        <f t="shared" si="9"/>
        <v>204788.997072</v>
      </c>
      <c r="E32" s="1232">
        <f t="shared" si="9"/>
        <v>247384.57594500005</v>
      </c>
      <c r="F32" s="1232">
        <f t="shared" si="9"/>
        <v>285184.51500000001</v>
      </c>
      <c r="G32" s="1232">
        <f t="shared" si="9"/>
        <v>616954.43499999982</v>
      </c>
      <c r="H32" s="1232">
        <f t="shared" si="9"/>
        <v>338463.3629999999</v>
      </c>
      <c r="I32" s="1232"/>
      <c r="J32" s="1232">
        <f t="shared" si="9"/>
        <v>346488.56000000006</v>
      </c>
      <c r="K32" s="1232">
        <f t="shared" si="9"/>
        <v>197629.08000000007</v>
      </c>
      <c r="L32" s="1232">
        <f t="shared" si="9"/>
        <v>101144.09499999997</v>
      </c>
      <c r="M32" s="1232">
        <f>+M21-M30-M38</f>
        <v>152132.62</v>
      </c>
      <c r="N32" s="1233">
        <f t="shared" si="9"/>
        <v>374713.47000000003</v>
      </c>
      <c r="O32" s="1231">
        <f t="shared" si="9"/>
        <v>3615259.1687000021</v>
      </c>
      <c r="P32" s="1290"/>
      <c r="Q32" s="1364">
        <v>10712890.476199999</v>
      </c>
      <c r="R32" s="1233">
        <f>+R21-R30-R38</f>
        <v>3796528.372517</v>
      </c>
      <c r="S32" s="94"/>
      <c r="T32" s="1327"/>
      <c r="U32" s="611">
        <f>+Béthune!D32+Bois!D32+Lens!D32+Madeleine!D32+Tourcoing!D32+Calais!D32+Eu!D32+Caudry!D32+Cambrai!D32+Amiens!D32+Compiègne!D32+Boulogne!D32+StOmer!D32</f>
        <v>0</v>
      </c>
      <c r="V32" s="2">
        <f t="shared" si="1"/>
        <v>1</v>
      </c>
    </row>
    <row r="33" spans="1:22" s="2" customFormat="1" ht="15" customHeight="1">
      <c r="A33" s="56" t="s">
        <v>337</v>
      </c>
      <c r="B33" s="1234">
        <f>+B32/B21</f>
        <v>0.28699999999999992</v>
      </c>
      <c r="C33" s="1235">
        <f t="shared" ref="C33:O33" si="10">+C32/C21</f>
        <v>0.34999999999999992</v>
      </c>
      <c r="D33" s="1235">
        <f t="shared" si="10"/>
        <v>0.39600000000000002</v>
      </c>
      <c r="E33" s="1235">
        <f t="shared" si="10"/>
        <v>0.36900000000000005</v>
      </c>
      <c r="F33" s="1235">
        <f t="shared" si="10"/>
        <v>0.38500000000000001</v>
      </c>
      <c r="G33" s="1235">
        <f t="shared" si="10"/>
        <v>0.48499999999999988</v>
      </c>
      <c r="H33" s="1235">
        <f t="shared" si="10"/>
        <v>0.3209999999999999</v>
      </c>
      <c r="I33" s="1235"/>
      <c r="J33" s="1235">
        <f t="shared" si="10"/>
        <v>0.34000000000000008</v>
      </c>
      <c r="K33" s="1235">
        <f t="shared" si="10"/>
        <v>0.34000000000000014</v>
      </c>
      <c r="L33" s="1235">
        <f t="shared" si="10"/>
        <v>0.39499999999999991</v>
      </c>
      <c r="M33" s="1235">
        <f t="shared" si="10"/>
        <v>0.38</v>
      </c>
      <c r="N33" s="1236">
        <f t="shared" si="10"/>
        <v>0.46120000000000005</v>
      </c>
      <c r="O33" s="1234">
        <f t="shared" si="10"/>
        <v>0.36390637658916514</v>
      </c>
      <c r="P33" s="1290"/>
      <c r="Q33" s="1235">
        <v>1</v>
      </c>
      <c r="R33" s="1236">
        <f>+R32/R21</f>
        <v>0.36532994357789811</v>
      </c>
      <c r="S33" s="94"/>
      <c r="T33" s="1327"/>
      <c r="U33" s="611">
        <f>+Béthune!D33+Bois!D33+Lens!D33+Madeleine!D33+Tourcoing!D33+Calais!D33+Eu!D33+Caudry!D33+Cambrai!D33+Amiens!D33+Compiègne!D33+Boulogne!D33+StOmer!D33</f>
        <v>0</v>
      </c>
      <c r="V33" s="2">
        <f t="shared" si="1"/>
        <v>1</v>
      </c>
    </row>
    <row r="34" spans="1:22" s="2" customFormat="1" ht="11.25">
      <c r="A34" s="5"/>
      <c r="B34" s="1323"/>
      <c r="C34" s="1347"/>
      <c r="D34" s="1347"/>
      <c r="E34" s="1347"/>
      <c r="F34" s="1347"/>
      <c r="G34" s="1347"/>
      <c r="H34" s="1347"/>
      <c r="I34" s="1347"/>
      <c r="J34" s="1347"/>
      <c r="K34" s="1347"/>
      <c r="L34" s="1347"/>
      <c r="M34" s="1347"/>
      <c r="N34" s="1348"/>
      <c r="O34" s="1223"/>
      <c r="P34" s="1289"/>
      <c r="Q34" s="1360"/>
      <c r="R34" s="1362"/>
      <c r="S34" s="1347"/>
      <c r="T34" s="1324"/>
      <c r="U34" s="1375"/>
      <c r="V34" s="2">
        <f t="shared" si="1"/>
        <v>0</v>
      </c>
    </row>
    <row r="35" spans="1:22" s="113" customFormat="1" ht="11.25">
      <c r="A35" s="18" t="s">
        <v>96</v>
      </c>
      <c r="B35" s="1223">
        <f>+Boulogne!$G35</f>
        <v>18766.093234900778</v>
      </c>
      <c r="C35" s="438">
        <f>+Compiègne!$G35</f>
        <v>7235.7118462177868</v>
      </c>
      <c r="D35" s="438">
        <f>+Amiens!$G35</f>
        <v>6958.4452431795826</v>
      </c>
      <c r="E35" s="438">
        <f>+Cambrai!$G35</f>
        <v>6324.3013568595015</v>
      </c>
      <c r="F35" s="438">
        <f>+Caudry!$G35</f>
        <v>8304.1741201919576</v>
      </c>
      <c r="G35" s="438">
        <f>+Eu!$G35</f>
        <v>3079.3433767610368</v>
      </c>
      <c r="H35" s="438">
        <f>+Calais!$G35</f>
        <v>9529.8382398923877</v>
      </c>
      <c r="I35" s="438"/>
      <c r="J35" s="438">
        <f>+Madeleine!$G35</f>
        <v>3188.3946324387125</v>
      </c>
      <c r="K35" s="438">
        <f>+Lens!$G35</f>
        <v>2776.0203560708119</v>
      </c>
      <c r="L35" s="438">
        <f>+Bois!$G35</f>
        <v>1578.0199122390923</v>
      </c>
      <c r="M35" s="438">
        <f>+Béthune!$G35</f>
        <v>3530.9226802179392</v>
      </c>
      <c r="N35" s="1224">
        <f>+StOmer!$G35</f>
        <v>2515.4050093863766</v>
      </c>
      <c r="O35" s="1223">
        <f>+Béthune!E35+Bois!E35+Lens!E35+Madeleine!E35+Tourcoing!E35+Calais!E35+Eu!E35+Caudry!E35+Cambrai!E35+Amiens!E35+Compiègne!E35+Boulogne!E35+StOmer!E35</f>
        <v>69852.06</v>
      </c>
      <c r="P35" s="1289"/>
      <c r="Q35" s="438">
        <f t="shared" ref="Q35:Q42" si="11">+R35</f>
        <v>73786.670008355955</v>
      </c>
      <c r="R35" s="1286">
        <f t="shared" ref="R35:R42" si="12">SUM(B35:N35)</f>
        <v>73786.670008355955</v>
      </c>
      <c r="S35" s="1323"/>
      <c r="T35" s="1324"/>
      <c r="U35" s="1211">
        <f>+Béthune!D35+Bois!D35+Lens!D35+Madeleine!D35+Tourcoing!D35+Calais!D35+Eu!D35+Caudry!D35+Cambrai!D35+Amiens!D35+Compiègne!D35+Boulogne!D35+StOmer!D35</f>
        <v>0</v>
      </c>
      <c r="V35" s="25">
        <f t="shared" si="1"/>
        <v>1</v>
      </c>
    </row>
    <row r="36" spans="1:22" s="433" customFormat="1" ht="15" customHeight="1">
      <c r="A36" s="18" t="s">
        <v>97</v>
      </c>
      <c r="B36" s="1223">
        <f>+Boulogne!$G36</f>
        <v>3884.9834205255934</v>
      </c>
      <c r="C36" s="438">
        <f>+Compiègne!$G36</f>
        <v>1735.1266287794824</v>
      </c>
      <c r="D36" s="438">
        <f>+Amiens!$G36</f>
        <v>2506.4824495495664</v>
      </c>
      <c r="E36" s="438">
        <f>+Cambrai!$G36</f>
        <v>1780.9791631397939</v>
      </c>
      <c r="F36" s="438">
        <f>+Caudry!$G36</f>
        <v>1634.4425962726812</v>
      </c>
      <c r="G36" s="438">
        <f>+Eu!$G36</f>
        <v>646.93726532858966</v>
      </c>
      <c r="H36" s="438">
        <f>+Calais!$G36</f>
        <v>1659.8789222519501</v>
      </c>
      <c r="I36" s="438"/>
      <c r="J36" s="438">
        <f>+Madeleine!$G36</f>
        <v>962.83204246911623</v>
      </c>
      <c r="K36" s="438">
        <f>+Lens!$G36</f>
        <v>1020.5927369076688</v>
      </c>
      <c r="L36" s="438">
        <f>+Bois!$G36</f>
        <v>642.94494126367374</v>
      </c>
      <c r="M36" s="438">
        <f>+Béthune!$G36</f>
        <v>1250.9091510884678</v>
      </c>
      <c r="N36" s="1224">
        <f>+StOmer!$G36</f>
        <v>356.39990749067005</v>
      </c>
      <c r="O36" s="1223">
        <f>+Béthune!E36+Bois!E36+Lens!E36+Madeleine!E36+Tourcoing!E36+Calais!E36+Eu!E36+Caudry!E36+Cambrai!E36+Amiens!E36+Compiègne!E36+Boulogne!E36+StOmer!E36</f>
        <v>17151.240000000002</v>
      </c>
      <c r="P36" s="1289"/>
      <c r="Q36" s="438">
        <f t="shared" si="11"/>
        <v>18082.509225067257</v>
      </c>
      <c r="R36" s="1286">
        <f t="shared" si="12"/>
        <v>18082.509225067257</v>
      </c>
      <c r="S36" s="1323"/>
      <c r="T36" s="1324"/>
      <c r="U36" s="1211">
        <f>+Béthune!D36+Bois!D36+Lens!D36+Madeleine!D36+Tourcoing!D36+Calais!D36+Eu!D36+Caudry!D36+Cambrai!D36+Amiens!D36+Compiègne!D36+Boulogne!D36+StOmer!D36</f>
        <v>0</v>
      </c>
      <c r="V36" s="25">
        <f t="shared" si="1"/>
        <v>1</v>
      </c>
    </row>
    <row r="37" spans="1:22" s="113" customFormat="1" ht="11.25">
      <c r="A37" s="18" t="s">
        <v>98</v>
      </c>
      <c r="B37" s="1223">
        <f>+Boulogne!$G37</f>
        <v>0</v>
      </c>
      <c r="C37" s="438">
        <f>+Compiègne!$G37</f>
        <v>0</v>
      </c>
      <c r="D37" s="438">
        <f>+Amiens!$G37</f>
        <v>0</v>
      </c>
      <c r="E37" s="438">
        <f>+Cambrai!$G37</f>
        <v>0</v>
      </c>
      <c r="F37" s="438">
        <f>+Caudry!$G37</f>
        <v>0</v>
      </c>
      <c r="G37" s="438">
        <f>+Eu!$G37</f>
        <v>0</v>
      </c>
      <c r="H37" s="438">
        <f>+Calais!$G37</f>
        <v>0</v>
      </c>
      <c r="I37" s="438"/>
      <c r="J37" s="438">
        <f>+Madeleine!$G37</f>
        <v>0</v>
      </c>
      <c r="K37" s="438">
        <f>+Lens!$G37</f>
        <v>0</v>
      </c>
      <c r="L37" s="438">
        <f>+Bois!$G37</f>
        <v>0</v>
      </c>
      <c r="M37" s="438">
        <f>+Béthune!$G37</f>
        <v>0</v>
      </c>
      <c r="N37" s="1224">
        <f>+StOmer!$G37</f>
        <v>0</v>
      </c>
      <c r="O37" s="1223">
        <f>+Béthune!E37+Bois!E37+Lens!E37+Madeleine!E37+Tourcoing!E37+Calais!E37+Eu!E37+Caudry!E37+Cambrai!E37+Amiens!E37+Compiègne!E37+Boulogne!E37+StOmer!E37</f>
        <v>0</v>
      </c>
      <c r="P37" s="1289"/>
      <c r="Q37" s="438">
        <f t="shared" si="11"/>
        <v>0</v>
      </c>
      <c r="R37" s="1286">
        <f t="shared" si="12"/>
        <v>0</v>
      </c>
      <c r="S37" s="1347"/>
      <c r="T37" s="1324"/>
      <c r="U37" s="1375">
        <f>+Béthune!D37+Bois!D37+Lens!D37+Madeleine!D37+Tourcoing!D37+Calais!D37+Eu!D37+Caudry!D37+Cambrai!D37+Amiens!D37+Compiègne!D37+Boulogne!D37+StOmer!D37</f>
        <v>0</v>
      </c>
      <c r="V37" s="25">
        <f t="shared" si="1"/>
        <v>0</v>
      </c>
    </row>
    <row r="38" spans="1:22" s="433" customFormat="1" ht="15.75" customHeight="1">
      <c r="A38" s="18" t="s">
        <v>99</v>
      </c>
      <c r="B38" s="1223">
        <f>+Boulogne!$G38</f>
        <v>0</v>
      </c>
      <c r="C38" s="438">
        <f>+Compiègne!$G38</f>
        <v>0</v>
      </c>
      <c r="D38" s="438">
        <f>+Amiens!$G38</f>
        <v>0</v>
      </c>
      <c r="E38" s="438">
        <f>+Cambrai!$G38</f>
        <v>0</v>
      </c>
      <c r="F38" s="438">
        <f>+Caudry!$G38</f>
        <v>0</v>
      </c>
      <c r="G38" s="438">
        <f>+Eu!$G38</f>
        <v>0</v>
      </c>
      <c r="H38" s="438">
        <f>+Calais!$G38</f>
        <v>0</v>
      </c>
      <c r="I38" s="438"/>
      <c r="J38" s="438">
        <f>+Madeleine!$G38</f>
        <v>0</v>
      </c>
      <c r="K38" s="438">
        <f>+Lens!$G38</f>
        <v>0</v>
      </c>
      <c r="L38" s="438">
        <f>+Bois!$G38</f>
        <v>0</v>
      </c>
      <c r="M38" s="438">
        <f>+Béthune!$G38</f>
        <v>0</v>
      </c>
      <c r="N38" s="1224">
        <f>+StOmer!$G38</f>
        <v>0</v>
      </c>
      <c r="O38" s="1223">
        <f>+Béthune!E38+Bois!E38+Lens!E38+Madeleine!E38+Tourcoing!E38+Calais!E38+Eu!E38+Caudry!E38+Cambrai!E38+Amiens!E38+Compiègne!E38+Boulogne!E38+StOmer!E38</f>
        <v>-70831.598700000031</v>
      </c>
      <c r="P38" s="1289"/>
      <c r="Q38" s="438">
        <f t="shared" si="11"/>
        <v>0</v>
      </c>
      <c r="R38" s="1286">
        <f t="shared" si="12"/>
        <v>0</v>
      </c>
      <c r="S38" s="1347"/>
      <c r="T38" s="1324"/>
      <c r="U38" s="1375">
        <f>+Béthune!D38+Bois!D38+Lens!D38+Madeleine!D38+Tourcoing!D38+Calais!D38+Eu!D38+Caudry!D38+Cambrai!D38+Amiens!D38+Compiègne!D38+Boulogne!D38+StOmer!D38</f>
        <v>0</v>
      </c>
      <c r="V38" s="25">
        <f t="shared" si="1"/>
        <v>0</v>
      </c>
    </row>
    <row r="39" spans="1:22" s="113" customFormat="1" ht="11.25">
      <c r="A39" s="18" t="s">
        <v>177</v>
      </c>
      <c r="B39" s="1223">
        <f>+Boulogne!$G39</f>
        <v>0</v>
      </c>
      <c r="C39" s="438">
        <f>+Compiègne!$G39</f>
        <v>0</v>
      </c>
      <c r="D39" s="438">
        <f>+Amiens!$G39</f>
        <v>0</v>
      </c>
      <c r="E39" s="438">
        <f>+Cambrai!$G39</f>
        <v>0</v>
      </c>
      <c r="F39" s="438">
        <f>+Caudry!$G39</f>
        <v>0</v>
      </c>
      <c r="G39" s="438">
        <f>+Eu!$G39</f>
        <v>0</v>
      </c>
      <c r="H39" s="438">
        <f>+Calais!$G39</f>
        <v>0</v>
      </c>
      <c r="I39" s="438"/>
      <c r="J39" s="438">
        <f>+Madeleine!$G39</f>
        <v>0</v>
      </c>
      <c r="K39" s="438">
        <f>+Lens!$G39</f>
        <v>0</v>
      </c>
      <c r="L39" s="438">
        <f>+Bois!$G39</f>
        <v>0</v>
      </c>
      <c r="M39" s="438">
        <f>+Béthune!$G39</f>
        <v>0</v>
      </c>
      <c r="N39" s="1224">
        <f>+StOmer!$G39</f>
        <v>0</v>
      </c>
      <c r="O39" s="1223">
        <f>+Béthune!E39+Bois!E39+Lens!E39+Madeleine!E39+Tourcoing!E39+Calais!E39+Eu!E39+Caudry!E39+Cambrai!E39+Amiens!E39+Compiègne!E39+Boulogne!E39+StOmer!E39</f>
        <v>70175.399999999994</v>
      </c>
      <c r="P39" s="1289"/>
      <c r="Q39" s="438">
        <f t="shared" si="11"/>
        <v>0</v>
      </c>
      <c r="R39" s="1286">
        <f t="shared" si="12"/>
        <v>0</v>
      </c>
      <c r="S39" s="1323"/>
      <c r="T39" s="1324"/>
      <c r="U39" s="1211">
        <f>+Béthune!D39+Bois!D39+Lens!D39+Madeleine!D39+Tourcoing!D39+Calais!D39+Eu!D39+Caudry!D39+Cambrai!D39+Amiens!D39+Compiègne!D39+Boulogne!D39+StOmer!D39</f>
        <v>0</v>
      </c>
      <c r="V39" s="25">
        <v>0</v>
      </c>
    </row>
    <row r="40" spans="1:22" s="113" customFormat="1" ht="11.25">
      <c r="A40" s="18" t="s">
        <v>176</v>
      </c>
      <c r="B40" s="1223">
        <f>+Boulogne!$G40</f>
        <v>0</v>
      </c>
      <c r="C40" s="438">
        <f>+Compiègne!$G40</f>
        <v>0</v>
      </c>
      <c r="D40" s="438">
        <f>+Amiens!$G40</f>
        <v>0</v>
      </c>
      <c r="E40" s="438">
        <f>+Cambrai!$G40</f>
        <v>0</v>
      </c>
      <c r="F40" s="438">
        <f>+Caudry!$G40</f>
        <v>0</v>
      </c>
      <c r="G40" s="438">
        <f>+Eu!$G40</f>
        <v>0</v>
      </c>
      <c r="H40" s="438">
        <f>+Calais!$G40</f>
        <v>0</v>
      </c>
      <c r="I40" s="438"/>
      <c r="J40" s="438">
        <f>+Madeleine!$G40</f>
        <v>0</v>
      </c>
      <c r="K40" s="438">
        <f>+Lens!$G40</f>
        <v>0</v>
      </c>
      <c r="L40" s="438">
        <f>+Bois!$G40</f>
        <v>0</v>
      </c>
      <c r="M40" s="438">
        <f>+Béthune!$G40</f>
        <v>0</v>
      </c>
      <c r="N40" s="1224">
        <f>+StOmer!$G40</f>
        <v>0</v>
      </c>
      <c r="O40" s="1223">
        <f>+Béthune!E40+Bois!E40+Lens!E40+Madeleine!E40+Tourcoing!E40+Calais!E40+Eu!E40+Caudry!E40+Cambrai!E40+Amiens!E40+Compiègne!E40+Boulogne!E40+StOmer!E40</f>
        <v>-61470.020000000004</v>
      </c>
      <c r="P40" s="1289"/>
      <c r="Q40" s="438">
        <f t="shared" si="11"/>
        <v>0</v>
      </c>
      <c r="R40" s="1286">
        <f t="shared" si="12"/>
        <v>0</v>
      </c>
      <c r="S40" s="1347"/>
      <c r="T40" s="1324"/>
      <c r="U40" s="1375">
        <f>+Béthune!D40+Bois!D40+Lens!D40+Madeleine!D40+Tourcoing!D40+Calais!D40+Eu!D40+Caudry!D40+Cambrai!D40+Amiens!D40+Compiègne!D40+Boulogne!D40+StOmer!D40</f>
        <v>0</v>
      </c>
      <c r="V40" s="25">
        <f t="shared" si="1"/>
        <v>0</v>
      </c>
    </row>
    <row r="41" spans="1:22" s="17" customFormat="1" ht="11.25">
      <c r="A41" s="18" t="s">
        <v>317</v>
      </c>
      <c r="B41" s="1223">
        <f>+Boulogne!$G41</f>
        <v>-19630.0784284</v>
      </c>
      <c r="C41" s="438">
        <f>+Compiègne!$G41</f>
        <v>-6855.9312445000014</v>
      </c>
      <c r="D41" s="438">
        <f>+Amiens!$G41</f>
        <v>-3435.9042842080003</v>
      </c>
      <c r="E41" s="438">
        <f>+Cambrai!$G41</f>
        <v>-5499.4462777150002</v>
      </c>
      <c r="F41" s="438">
        <f>+Caudry!$G41</f>
        <v>-5102.2102320000004</v>
      </c>
      <c r="G41" s="438">
        <f>+Eu!$G41</f>
        <v>-7730.3754670000017</v>
      </c>
      <c r="H41" s="438">
        <f>+Calais!$G41</f>
        <v>-7875.3360070000017</v>
      </c>
      <c r="I41" s="438"/>
      <c r="J41" s="438">
        <f>+Madeleine!$G41</f>
        <v>-7398.5498400000006</v>
      </c>
      <c r="K41" s="438">
        <f>+Lens!$G41</f>
        <v>-4373.4152880000001</v>
      </c>
      <c r="L41" s="438">
        <f>+Bois!$G41</f>
        <v>-1704.0859550000002</v>
      </c>
      <c r="M41" s="438">
        <f>+Béthune!$G41</f>
        <v>-2233.94742</v>
      </c>
      <c r="N41" s="1224">
        <f>+StOmer!$G41</f>
        <v>-4640.2722180000001</v>
      </c>
      <c r="O41" s="1223">
        <f>+Béthune!E41+Bois!E41+Lens!E41+Madeleine!E41+Tourcoing!E41+Calais!E41+Eu!E41+Caudry!E41+Cambrai!E41+Amiens!E41+Compiègne!E41+Boulogne!E41+StOmer!E41</f>
        <v>-99267.51999999999</v>
      </c>
      <c r="P41" s="1289"/>
      <c r="Q41" s="438">
        <f t="shared" si="11"/>
        <v>-76479.552661823007</v>
      </c>
      <c r="R41" s="1286">
        <f t="shared" si="12"/>
        <v>-76479.552661823007</v>
      </c>
      <c r="S41" s="1347"/>
      <c r="T41" s="1324"/>
      <c r="U41" s="1375">
        <f>+Béthune!D41+Bois!D41+Lens!D41+Madeleine!D41+Tourcoing!D41+Calais!D41+Eu!D41+Caudry!D41+Cambrai!D41+Amiens!D41+Compiègne!D41+Boulogne!D41+StOmer!D41</f>
        <v>0</v>
      </c>
      <c r="V41" s="2">
        <f t="shared" si="1"/>
        <v>0</v>
      </c>
    </row>
    <row r="42" spans="1:22" s="17" customFormat="1" ht="11.25">
      <c r="A42" s="18" t="s">
        <v>318</v>
      </c>
      <c r="B42" s="1223">
        <f>+Boulogne!$G42</f>
        <v>-43926.323040600015</v>
      </c>
      <c r="C42" s="438">
        <f>+Compiègne!$G42</f>
        <v>-12920.793499250003</v>
      </c>
      <c r="D42" s="438">
        <f>+Amiens!$G42</f>
        <v>-9839.180450232001</v>
      </c>
      <c r="E42" s="438">
        <f>+Cambrai!$G42</f>
        <v>-10364.341061847501</v>
      </c>
      <c r="F42" s="438">
        <f>+Caudry!$G42</f>
        <v>-14031.078138000001</v>
      </c>
      <c r="G42" s="438">
        <f>+Eu!$G42</f>
        <v>-18801.845415500004</v>
      </c>
      <c r="H42" s="438">
        <f>+Calais!$G42</f>
        <v>-22552.098565500008</v>
      </c>
      <c r="I42" s="438"/>
      <c r="J42" s="438">
        <f>+Madeleine!$G42</f>
        <v>-21186.756359999999</v>
      </c>
      <c r="K42" s="438">
        <f>+Lens!$G42</f>
        <v>-11547.350891999999</v>
      </c>
      <c r="L42" s="438">
        <f>+Bois!$G42</f>
        <v>-4879.8825075000004</v>
      </c>
      <c r="M42" s="438">
        <f>+Béthune!$G42</f>
        <v>-9556.3306300000022</v>
      </c>
      <c r="N42" s="1224">
        <f>+StOmer!$G42</f>
        <v>-14402.354336999999</v>
      </c>
      <c r="O42" s="1223">
        <f>+Béthune!E42+Bois!E42+Lens!E42+Madeleine!E42+Tourcoing!E42+Calais!E42+Eu!E42+Caudry!E42+Cambrai!E42+Amiens!E42+Compiègne!E42+Boulogne!E42+StOmer!E42</f>
        <v>-200053.98</v>
      </c>
      <c r="P42" s="1289"/>
      <c r="Q42" s="438">
        <f t="shared" si="11"/>
        <v>-194008.33489742954</v>
      </c>
      <c r="R42" s="1286">
        <f t="shared" si="12"/>
        <v>-194008.33489742954</v>
      </c>
      <c r="S42" s="1347"/>
      <c r="T42" s="1324"/>
      <c r="U42" s="1375">
        <f>+Béthune!D42+Bois!D42+Lens!D42+Madeleine!D42+Tourcoing!D42+Calais!D42+Eu!D42+Caudry!D42+Cambrai!D42+Amiens!D42+Compiègne!D42+Boulogne!D42+StOmer!D42</f>
        <v>0</v>
      </c>
      <c r="V42" s="2">
        <f t="shared" si="1"/>
        <v>0</v>
      </c>
    </row>
    <row r="43" spans="1:22" s="2" customFormat="1" ht="11.25">
      <c r="A43" s="5"/>
      <c r="B43" s="1323"/>
      <c r="C43" s="1347"/>
      <c r="D43" s="1347"/>
      <c r="E43" s="1347"/>
      <c r="F43" s="1347"/>
      <c r="G43" s="1347"/>
      <c r="H43" s="1347"/>
      <c r="I43" s="1347"/>
      <c r="J43" s="1347"/>
      <c r="K43" s="1347"/>
      <c r="L43" s="1347"/>
      <c r="M43" s="1347"/>
      <c r="N43" s="1348"/>
      <c r="O43" s="1223"/>
      <c r="P43" s="1289"/>
      <c r="Q43" s="1360"/>
      <c r="R43" s="1362"/>
      <c r="S43" s="1347"/>
      <c r="T43" s="1342"/>
      <c r="U43" s="1375"/>
      <c r="V43" s="2">
        <f t="shared" si="1"/>
        <v>0</v>
      </c>
    </row>
    <row r="44" spans="1:22" s="2" customFormat="1" ht="11.25">
      <c r="A44" s="13" t="s">
        <v>291</v>
      </c>
      <c r="B44" s="1225">
        <f>+B30+SUM(B34:B43)</f>
        <v>1568117.4971864265</v>
      </c>
      <c r="C44" s="1226">
        <f t="shared" ref="C44:N44" si="13">+C30+SUM(C34:C43)</f>
        <v>516573.44023124734</v>
      </c>
      <c r="D44" s="1226">
        <f t="shared" si="13"/>
        <v>308544.77788628911</v>
      </c>
      <c r="E44" s="1226">
        <f t="shared" si="13"/>
        <v>415275.82223543676</v>
      </c>
      <c r="F44" s="1226">
        <f t="shared" si="13"/>
        <v>446359.81334646465</v>
      </c>
      <c r="G44" s="1226">
        <f t="shared" si="13"/>
        <v>632310.62475958979</v>
      </c>
      <c r="H44" s="1226">
        <f t="shared" si="13"/>
        <v>696701.91958964441</v>
      </c>
      <c r="I44" s="1226"/>
      <c r="J44" s="1226">
        <f t="shared" si="13"/>
        <v>648161.36047490779</v>
      </c>
      <c r="K44" s="1226">
        <f t="shared" si="13"/>
        <v>371508.76691297843</v>
      </c>
      <c r="L44" s="1226">
        <f t="shared" si="13"/>
        <v>150553.90139100279</v>
      </c>
      <c r="M44" s="1226">
        <f t="shared" si="13"/>
        <v>241207.9337813064</v>
      </c>
      <c r="N44" s="1227">
        <f t="shared" si="13"/>
        <v>421590.70836187701</v>
      </c>
      <c r="O44" s="1225">
        <f>+O30+SUM(O34:O43)</f>
        <v>6115713.9412999991</v>
      </c>
      <c r="P44" s="1226">
        <f>+P30+SUM(P34:P43)</f>
        <v>0</v>
      </c>
      <c r="Q44" s="1226">
        <v>0</v>
      </c>
      <c r="R44" s="1227">
        <f>+R30+SUM(R34:R43)</f>
        <v>6416906.5661571706</v>
      </c>
      <c r="S44" s="93"/>
      <c r="T44" s="1325"/>
      <c r="U44" s="617">
        <f>+Béthune!D44+Bois!D44+Lens!D44+Madeleine!D44+Tourcoing!D44+Calais!D44+Eu!D44+Caudry!D44+Cambrai!D44+Amiens!D44+Compiègne!D44+Boulogne!D44+StOmer!D44</f>
        <v>0</v>
      </c>
      <c r="V44" s="2">
        <f t="shared" si="1"/>
        <v>1</v>
      </c>
    </row>
    <row r="45" spans="1:22" s="2" customFormat="1" ht="11.25">
      <c r="A45" s="5"/>
      <c r="B45" s="1323"/>
      <c r="C45" s="1347"/>
      <c r="D45" s="1347"/>
      <c r="E45" s="1347"/>
      <c r="F45" s="1347"/>
      <c r="G45" s="1347"/>
      <c r="H45" s="1347"/>
      <c r="I45" s="1347"/>
      <c r="J45" s="1347"/>
      <c r="K45" s="1347"/>
      <c r="L45" s="1347"/>
      <c r="M45" s="1347"/>
      <c r="N45" s="1348"/>
      <c r="O45" s="1223"/>
      <c r="P45" s="1289"/>
      <c r="Q45" s="1360"/>
      <c r="R45" s="1224"/>
      <c r="S45" s="1347"/>
      <c r="T45" s="1342"/>
      <c r="U45" s="1375"/>
      <c r="V45" s="2">
        <f t="shared" si="1"/>
        <v>0</v>
      </c>
    </row>
    <row r="46" spans="1:22" s="2" customFormat="1" ht="11.25">
      <c r="A46" s="56" t="s">
        <v>339</v>
      </c>
      <c r="B46" s="1231">
        <f>+B21-B44</f>
        <v>688576.50281357346</v>
      </c>
      <c r="C46" s="1232">
        <f t="shared" ref="C46:O46" si="14">+C21-C44</f>
        <v>294779.36976875272</v>
      </c>
      <c r="D46" s="1232">
        <f t="shared" si="14"/>
        <v>208599.15411371086</v>
      </c>
      <c r="E46" s="1232">
        <f t="shared" si="14"/>
        <v>255143.08276456327</v>
      </c>
      <c r="F46" s="1232">
        <f t="shared" si="14"/>
        <v>294379.18665353535</v>
      </c>
      <c r="G46" s="1232">
        <f t="shared" si="14"/>
        <v>639760.37524041021</v>
      </c>
      <c r="H46" s="1232">
        <f t="shared" si="14"/>
        <v>357701.08041035559</v>
      </c>
      <c r="I46" s="1232"/>
      <c r="J46" s="1232">
        <f t="shared" si="14"/>
        <v>370922.63952509221</v>
      </c>
      <c r="K46" s="1232">
        <f t="shared" si="14"/>
        <v>209753.23308702157</v>
      </c>
      <c r="L46" s="1232">
        <f t="shared" si="14"/>
        <v>105507.09860899721</v>
      </c>
      <c r="M46" s="1232">
        <f>+M21-M44</f>
        <v>159141.0662186936</v>
      </c>
      <c r="N46" s="1233">
        <f t="shared" si="14"/>
        <v>390884.29163812299</v>
      </c>
      <c r="O46" s="1231">
        <f t="shared" si="14"/>
        <v>3818871.9887000024</v>
      </c>
      <c r="P46" s="1290"/>
      <c r="Q46" s="1364">
        <v>10712890.476199999</v>
      </c>
      <c r="R46" s="1233">
        <f>+R21-R44</f>
        <v>3975147.0808428293</v>
      </c>
      <c r="S46" s="94"/>
      <c r="T46" s="1327"/>
      <c r="U46" s="611">
        <f>+Béthune!D46+Bois!D46+Lens!D46+Madeleine!D46+Tourcoing!D46+Calais!D46+Eu!D46+Caudry!D46+Cambrai!D46+Amiens!D46+Compiègne!D46+Boulogne!D46+StOmer!D46</f>
        <v>0</v>
      </c>
      <c r="V46" s="2">
        <f t="shared" si="1"/>
        <v>1</v>
      </c>
    </row>
    <row r="47" spans="1:22" s="2" customFormat="1" ht="11.25">
      <c r="A47" s="56" t="s">
        <v>340</v>
      </c>
      <c r="B47" s="1234">
        <f>+B46/B21</f>
        <v>0.30512621685242813</v>
      </c>
      <c r="C47" s="1235">
        <f t="shared" ref="C47:O47" si="15">+C46/C21</f>
        <v>0.36331835686715958</v>
      </c>
      <c r="D47" s="1235">
        <f t="shared" si="15"/>
        <v>0.40336769167333258</v>
      </c>
      <c r="E47" s="1235">
        <f t="shared" si="15"/>
        <v>0.38057262535662423</v>
      </c>
      <c r="F47" s="1235">
        <f t="shared" si="15"/>
        <v>0.39741283590243709</v>
      </c>
      <c r="G47" s="1235">
        <f t="shared" si="15"/>
        <v>0.50292819759306695</v>
      </c>
      <c r="H47" s="1235">
        <f t="shared" si="15"/>
        <v>0.339245127726643</v>
      </c>
      <c r="I47" s="1235"/>
      <c r="J47" s="1235">
        <f t="shared" si="15"/>
        <v>0.36397651177438978</v>
      </c>
      <c r="K47" s="1235">
        <f t="shared" si="15"/>
        <v>0.36085832737564399</v>
      </c>
      <c r="L47" s="1235">
        <f t="shared" si="15"/>
        <v>0.41203892279182386</v>
      </c>
      <c r="M47" s="1235">
        <f t="shared" si="15"/>
        <v>0.39750584169985087</v>
      </c>
      <c r="N47" s="1236">
        <f t="shared" si="15"/>
        <v>0.48110316211344717</v>
      </c>
      <c r="O47" s="1234">
        <f t="shared" si="15"/>
        <v>0.38440172701792735</v>
      </c>
      <c r="P47" s="1290"/>
      <c r="Q47" s="1235">
        <v>1</v>
      </c>
      <c r="R47" s="1236">
        <f>+R46/R21</f>
        <v>0.38251795226157087</v>
      </c>
      <c r="S47" s="94"/>
      <c r="T47" s="1327"/>
      <c r="U47" s="611">
        <f>+Béthune!D47+Bois!D47+Lens!D47+Madeleine!D47+Tourcoing!D47+Calais!D47+Eu!D47+Caudry!D47+Cambrai!D47+Amiens!D47+Compiègne!D47+Boulogne!D47+StOmer!D47</f>
        <v>0</v>
      </c>
      <c r="V47" s="2">
        <f t="shared" si="1"/>
        <v>1</v>
      </c>
    </row>
    <row r="48" spans="1:22" s="2" customFormat="1" ht="11.25">
      <c r="A48" s="5"/>
      <c r="B48" s="1323"/>
      <c r="C48" s="1347"/>
      <c r="D48" s="1347"/>
      <c r="E48" s="1347"/>
      <c r="F48" s="1347"/>
      <c r="G48" s="1347"/>
      <c r="H48" s="1347"/>
      <c r="I48" s="1347"/>
      <c r="J48" s="1347"/>
      <c r="K48" s="1347"/>
      <c r="L48" s="1347"/>
      <c r="M48" s="1347"/>
      <c r="N48" s="1348"/>
      <c r="O48" s="1223"/>
      <c r="P48" s="1289"/>
      <c r="Q48" s="1360"/>
      <c r="R48" s="1362"/>
      <c r="S48" s="1347"/>
      <c r="T48" s="1324"/>
      <c r="U48" s="1375"/>
      <c r="V48" s="2">
        <f t="shared" si="1"/>
        <v>0</v>
      </c>
    </row>
    <row r="49" spans="1:22" s="113" customFormat="1" ht="15" customHeight="1">
      <c r="A49" s="18" t="s">
        <v>91</v>
      </c>
      <c r="B49" s="1223">
        <f>+Boulogne!$G49</f>
        <v>34720</v>
      </c>
      <c r="C49" s="438">
        <f>+Compiègne!$G49</f>
        <v>10670</v>
      </c>
      <c r="D49" s="438">
        <f>+Amiens!$G49</f>
        <v>13158</v>
      </c>
      <c r="E49" s="438">
        <f>+Cambrai!$G49</f>
        <v>7077</v>
      </c>
      <c r="F49" s="438">
        <f>+Caudry!$G49</f>
        <v>5412</v>
      </c>
      <c r="G49" s="438">
        <f>+Eu!$G49</f>
        <v>2706</v>
      </c>
      <c r="H49" s="438">
        <f>+Calais!$G49</f>
        <v>10387</v>
      </c>
      <c r="I49" s="438"/>
      <c r="J49" s="438">
        <f>+Madeleine!$G49</f>
        <v>18121</v>
      </c>
      <c r="K49" s="438">
        <f>+Lens!$G49</f>
        <v>5889</v>
      </c>
      <c r="L49" s="438">
        <f>+Bois!$G49</f>
        <v>0</v>
      </c>
      <c r="M49" s="438">
        <f>+Béthune!$G49</f>
        <v>1803</v>
      </c>
      <c r="N49" s="1224">
        <f>+StOmer!$G49</f>
        <v>1912</v>
      </c>
      <c r="O49" s="1223">
        <f>+Béthune!E49+Bois!E49+Lens!E49+Madeleine!E49+Tourcoing!E49+Calais!E49+Eu!E49+Caudry!E49+Cambrai!E49+Amiens!E49+Compiègne!E49+Boulogne!E49+StOmer!E49</f>
        <v>70306.8</v>
      </c>
      <c r="P49" s="1285">
        <f>+Béthune!F49+Bois!F49+Lens!F49+Madeleine!F49+Tourcoing!F49+Calais!F49+Eu!F49+Caudry!F49+Cambrai!F49+Amiens!F49+Compiègne!F49+Boulogne!F49+StOmer!F49</f>
        <v>114276.77666666667</v>
      </c>
      <c r="Q49" s="438">
        <f>+R49</f>
        <v>111855</v>
      </c>
      <c r="R49" s="1286">
        <f>SUM(B49:N49)</f>
        <v>111855</v>
      </c>
      <c r="S49" s="1323">
        <f>+IF((O49)=0,,(P49-O49)/O49)</f>
        <v>0.62540147847244743</v>
      </c>
      <c r="T49" s="1324">
        <f>+IF((P49)=0,,(R49-P49)/P49)</f>
        <v>-2.1192203151920705E-2</v>
      </c>
      <c r="U49" s="1209">
        <f>+Béthune!D49+Bois!D49+Lens!D49+Madeleine!D49+Tourcoing!D49+Calais!D49+Eu!D49+Caudry!D49+Cambrai!D49+Amiens!D49+Compiègne!D49+Boulogne!D49+StOmer!D49</f>
        <v>124951</v>
      </c>
      <c r="V49" s="25">
        <f t="shared" si="1"/>
        <v>1</v>
      </c>
    </row>
    <row r="50" spans="1:22" s="2" customFormat="1" ht="11.25">
      <c r="A50" s="5"/>
      <c r="B50" s="1323"/>
      <c r="C50" s="1347"/>
      <c r="D50" s="1347"/>
      <c r="E50" s="1347"/>
      <c r="F50" s="1347"/>
      <c r="G50" s="1347"/>
      <c r="H50" s="1347"/>
      <c r="I50" s="1347"/>
      <c r="J50" s="1347"/>
      <c r="K50" s="1347"/>
      <c r="L50" s="1347"/>
      <c r="M50" s="1347"/>
      <c r="N50" s="1348"/>
      <c r="O50" s="1223"/>
      <c r="P50" s="1289"/>
      <c r="Q50" s="1360"/>
      <c r="R50" s="1362"/>
      <c r="S50" s="1347"/>
      <c r="T50" s="1324"/>
      <c r="U50" s="1375"/>
      <c r="V50" s="2">
        <f t="shared" si="1"/>
        <v>0</v>
      </c>
    </row>
    <row r="51" spans="1:22" s="2" customFormat="1" ht="15" customHeight="1">
      <c r="A51" s="13" t="s">
        <v>223</v>
      </c>
      <c r="B51" s="1225">
        <f>+B21-B49</f>
        <v>2221974</v>
      </c>
      <c r="C51" s="1226">
        <f t="shared" ref="C51:O51" si="16">+C21-C49</f>
        <v>800682.81</v>
      </c>
      <c r="D51" s="1226">
        <f t="shared" si="16"/>
        <v>503985.93199999997</v>
      </c>
      <c r="E51" s="1226">
        <f t="shared" si="16"/>
        <v>663341.90500000003</v>
      </c>
      <c r="F51" s="1226">
        <f t="shared" si="16"/>
        <v>735327</v>
      </c>
      <c r="G51" s="1226">
        <f t="shared" si="16"/>
        <v>1269365</v>
      </c>
      <c r="H51" s="1226">
        <f t="shared" si="16"/>
        <v>1044016</v>
      </c>
      <c r="I51" s="1226"/>
      <c r="J51" s="1226">
        <f t="shared" si="16"/>
        <v>1000963</v>
      </c>
      <c r="K51" s="1226">
        <f t="shared" si="16"/>
        <v>575373</v>
      </c>
      <c r="L51" s="1226">
        <f t="shared" si="16"/>
        <v>256061</v>
      </c>
      <c r="M51" s="1226">
        <f>+M21-M49</f>
        <v>398546</v>
      </c>
      <c r="N51" s="1227">
        <f>+N21-N49</f>
        <v>810563</v>
      </c>
      <c r="O51" s="1225">
        <f t="shared" si="16"/>
        <v>9864279.1300000008</v>
      </c>
      <c r="P51" s="1287">
        <f>+P21-P49</f>
        <v>9662746.4756924044</v>
      </c>
      <c r="Q51" s="1287">
        <f>+Q21-Q49</f>
        <v>10280198.647</v>
      </c>
      <c r="R51" s="1227">
        <f>+R21-R49</f>
        <v>10280198.647</v>
      </c>
      <c r="S51" s="93"/>
      <c r="T51" s="1325"/>
      <c r="U51" s="597">
        <f>+Béthune!D51+Bois!D51+Lens!D51+Madeleine!D51+Tourcoing!D51+Calais!D51+Eu!D51+Caudry!D51+Cambrai!D51+Amiens!D51+Compiègne!D51+Boulogne!D51+StOmer!D51</f>
        <v>10531724</v>
      </c>
      <c r="V51" s="2">
        <f t="shared" si="1"/>
        <v>1</v>
      </c>
    </row>
    <row r="52" spans="1:22" s="2" customFormat="1" ht="11.25">
      <c r="A52" s="5"/>
      <c r="B52" s="1323"/>
      <c r="C52" s="1347"/>
      <c r="D52" s="1347"/>
      <c r="E52" s="1347"/>
      <c r="F52" s="1347"/>
      <c r="G52" s="1347"/>
      <c r="H52" s="1347"/>
      <c r="I52" s="1347"/>
      <c r="J52" s="1347"/>
      <c r="K52" s="1347"/>
      <c r="L52" s="1347"/>
      <c r="M52" s="1347"/>
      <c r="N52" s="1348"/>
      <c r="O52" s="1223"/>
      <c r="P52" s="1289"/>
      <c r="Q52" s="1360"/>
      <c r="R52" s="1362"/>
      <c r="S52" s="1347"/>
      <c r="T52" s="1342"/>
      <c r="U52" s="1375"/>
      <c r="V52" s="2">
        <f t="shared" si="1"/>
        <v>0</v>
      </c>
    </row>
    <row r="53" spans="1:22" s="2" customFormat="1" ht="15" customHeight="1">
      <c r="A53" s="16" t="s">
        <v>3</v>
      </c>
      <c r="B53" s="1242">
        <f>+B51-B44</f>
        <v>653856.50281357346</v>
      </c>
      <c r="C53" s="1243">
        <f t="shared" ref="C53:O53" si="17">+C51-C44</f>
        <v>284109.36976875272</v>
      </c>
      <c r="D53" s="1243">
        <f t="shared" si="17"/>
        <v>195441.15411371086</v>
      </c>
      <c r="E53" s="1243">
        <f t="shared" si="17"/>
        <v>248066.08276456327</v>
      </c>
      <c r="F53" s="1243">
        <f t="shared" si="17"/>
        <v>288967.18665353535</v>
      </c>
      <c r="G53" s="1243">
        <f t="shared" si="17"/>
        <v>637054.37524041021</v>
      </c>
      <c r="H53" s="1243">
        <f t="shared" si="17"/>
        <v>347314.08041035559</v>
      </c>
      <c r="I53" s="1243"/>
      <c r="J53" s="1243">
        <f t="shared" si="17"/>
        <v>352801.63952509221</v>
      </c>
      <c r="K53" s="1243">
        <f t="shared" si="17"/>
        <v>203864.23308702157</v>
      </c>
      <c r="L53" s="1243">
        <f t="shared" si="17"/>
        <v>105507.09860899721</v>
      </c>
      <c r="M53" s="1243">
        <f>+M51-M44</f>
        <v>157338.0662186936</v>
      </c>
      <c r="N53" s="1244">
        <f t="shared" si="17"/>
        <v>388972.29163812299</v>
      </c>
      <c r="O53" s="1242">
        <f t="shared" si="17"/>
        <v>3748565.1887000017</v>
      </c>
      <c r="P53" s="1294"/>
      <c r="Q53" s="1243">
        <v>10580328.219599999</v>
      </c>
      <c r="R53" s="1244">
        <f>+R51-R44</f>
        <v>3863292.0808428293</v>
      </c>
      <c r="S53" s="1276"/>
      <c r="T53" s="1328"/>
      <c r="U53" s="624"/>
      <c r="V53" s="2">
        <v>0</v>
      </c>
    </row>
    <row r="54" spans="1:22" s="2" customFormat="1" ht="11.25">
      <c r="A54" s="16" t="s">
        <v>4</v>
      </c>
      <c r="B54" s="1276">
        <f>+B53/B51</f>
        <v>0.29426829603477517</v>
      </c>
      <c r="C54" s="1277">
        <f t="shared" ref="C54:O54" si="18">+C53/C51</f>
        <v>0.35483385707850118</v>
      </c>
      <c r="D54" s="1277">
        <f t="shared" si="18"/>
        <v>0.38779089197614919</v>
      </c>
      <c r="E54" s="1277">
        <f t="shared" si="18"/>
        <v>0.37396413658588817</v>
      </c>
      <c r="F54" s="1277">
        <f t="shared" si="18"/>
        <v>0.39297779988159737</v>
      </c>
      <c r="G54" s="1277">
        <f t="shared" si="18"/>
        <v>0.50186855257582352</v>
      </c>
      <c r="H54" s="1277">
        <f t="shared" si="18"/>
        <v>0.33267122382258085</v>
      </c>
      <c r="I54" s="1277"/>
      <c r="J54" s="1277">
        <f t="shared" si="18"/>
        <v>0.35246221840876457</v>
      </c>
      <c r="K54" s="1277">
        <f t="shared" si="18"/>
        <v>0.35431664865577905</v>
      </c>
      <c r="L54" s="1277">
        <f t="shared" si="18"/>
        <v>0.41203892279182386</v>
      </c>
      <c r="M54" s="1277">
        <f t="shared" si="18"/>
        <v>0.39478019154299276</v>
      </c>
      <c r="N54" s="1278">
        <f t="shared" si="18"/>
        <v>0.47987916008764647</v>
      </c>
      <c r="O54" s="1276">
        <f t="shared" si="18"/>
        <v>0.38001410334178182</v>
      </c>
      <c r="P54" s="1365"/>
      <c r="Q54" s="1277">
        <v>1</v>
      </c>
      <c r="R54" s="1278">
        <f>+R53/R51</f>
        <v>0.3757993608392215</v>
      </c>
      <c r="S54" s="1276"/>
      <c r="T54" s="1328"/>
      <c r="U54" s="622"/>
      <c r="V54" s="2">
        <v>0</v>
      </c>
    </row>
    <row r="55" spans="1:22" s="2" customFormat="1" ht="15" customHeight="1">
      <c r="A55" s="5"/>
      <c r="B55" s="1323"/>
      <c r="C55" s="1347"/>
      <c r="D55" s="1347"/>
      <c r="E55" s="1347"/>
      <c r="F55" s="1347"/>
      <c r="G55" s="1347"/>
      <c r="H55" s="1347"/>
      <c r="I55" s="1347"/>
      <c r="J55" s="1347"/>
      <c r="K55" s="1347"/>
      <c r="L55" s="1347"/>
      <c r="M55" s="1347"/>
      <c r="N55" s="1348"/>
      <c r="O55" s="1223"/>
      <c r="P55" s="1289"/>
      <c r="Q55" s="1360"/>
      <c r="R55" s="1362"/>
      <c r="S55" s="1347"/>
      <c r="T55" s="1324"/>
      <c r="U55" s="1375"/>
      <c r="V55" s="2">
        <f t="shared" si="1"/>
        <v>0</v>
      </c>
    </row>
    <row r="56" spans="1:22" s="113" customFormat="1" ht="11.25">
      <c r="A56" s="18" t="s">
        <v>290</v>
      </c>
      <c r="B56" s="1223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1224"/>
      <c r="O56" s="1223">
        <f>+Béthune!E56+Bois!E56+Lens!E56+Madeleine!E56+Tourcoing!E56+Calais!E56+Eu!E56+Caudry!E56+Cambrai!E56+Amiens!E56+Compiègne!E56+Boulogne!E56+StOmer!E56</f>
        <v>1263530.5828</v>
      </c>
      <c r="P56" s="1289"/>
      <c r="Q56" s="438"/>
      <c r="R56" s="1286"/>
      <c r="S56" s="1323"/>
      <c r="T56" s="1324"/>
      <c r="U56" s="1211">
        <f>+Béthune!D56+Bois!D56+Lens!D56+Madeleine!D56+Tourcoing!D56+Calais!D56+Eu!D56+Caudry!D56+Cambrai!D56+Amiens!D56+Compiègne!D56+Boulogne!D56+StOmer!D56</f>
        <v>0</v>
      </c>
      <c r="V56" s="25">
        <v>0</v>
      </c>
    </row>
    <row r="57" spans="1:22" s="113" customFormat="1" ht="11.25">
      <c r="A57" s="18" t="s">
        <v>100</v>
      </c>
      <c r="B57" s="1223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1224"/>
      <c r="O57" s="1223">
        <f>+Béthune!E57+Bois!E57+Lens!E57+Madeleine!E57+Tourcoing!E57+Calais!E57+Eu!E57+Caudry!E57+Cambrai!E57+Amiens!E57+Compiègne!E57+Boulogne!E57+StOmer!E57</f>
        <v>1334362.1814999999</v>
      </c>
      <c r="P57" s="1289"/>
      <c r="Q57" s="438"/>
      <c r="R57" s="1286"/>
      <c r="S57" s="1323"/>
      <c r="T57" s="1324"/>
      <c r="U57" s="1211">
        <f>+Béthune!D57+Bois!D57+Lens!D57+Madeleine!D57+Tourcoing!D57+Calais!D57+Eu!D57+Caudry!D57+Cambrai!D57+Amiens!D57+Compiègne!D57+Boulogne!D57+StOmer!D57</f>
        <v>0</v>
      </c>
      <c r="V57" s="25">
        <v>0</v>
      </c>
    </row>
    <row r="58" spans="1:22" s="2" customFormat="1" ht="12" thickBot="1">
      <c r="A58" s="21"/>
      <c r="B58" s="1351"/>
      <c r="C58" s="1352"/>
      <c r="D58" s="1352"/>
      <c r="E58" s="1352"/>
      <c r="F58" s="1352"/>
      <c r="G58" s="1352"/>
      <c r="H58" s="1352"/>
      <c r="I58" s="1352"/>
      <c r="J58" s="1352"/>
      <c r="K58" s="1352"/>
      <c r="L58" s="1352"/>
      <c r="M58" s="1352"/>
      <c r="N58" s="1353"/>
      <c r="O58" s="1366"/>
      <c r="P58" s="1367"/>
      <c r="Q58" s="1368"/>
      <c r="R58" s="1369"/>
      <c r="S58" s="1352"/>
      <c r="T58" s="1378"/>
      <c r="U58" s="1379"/>
      <c r="V58" s="2">
        <f t="shared" si="1"/>
        <v>0</v>
      </c>
    </row>
    <row r="59" spans="1:22" s="2" customFormat="1" ht="12" thickTop="1">
      <c r="A59" s="5"/>
      <c r="B59" s="1323"/>
      <c r="C59" s="1347"/>
      <c r="D59" s="1347"/>
      <c r="E59" s="1347"/>
      <c r="F59" s="1347"/>
      <c r="G59" s="1347"/>
      <c r="H59" s="1347"/>
      <c r="I59" s="1347"/>
      <c r="J59" s="1347"/>
      <c r="K59" s="1347"/>
      <c r="L59" s="1347"/>
      <c r="M59" s="1347"/>
      <c r="N59" s="1348"/>
      <c r="O59" s="1223"/>
      <c r="P59" s="1289"/>
      <c r="Q59" s="1360"/>
      <c r="R59" s="1362"/>
      <c r="S59" s="1347"/>
      <c r="T59" s="1342"/>
      <c r="U59" s="1375"/>
      <c r="V59" s="2">
        <f t="shared" si="1"/>
        <v>0</v>
      </c>
    </row>
    <row r="60" spans="1:22" s="2" customFormat="1" ht="11.25">
      <c r="A60" s="16" t="s">
        <v>295</v>
      </c>
      <c r="B60" s="100">
        <f>+Boulogne!G60</f>
        <v>0.29426829603477517</v>
      </c>
      <c r="C60" s="1237">
        <f>+Compiègne!$G60</f>
        <v>0.35483385707850118</v>
      </c>
      <c r="D60" s="1237">
        <f>+Amiens!$G60</f>
        <v>0.38779089197614919</v>
      </c>
      <c r="E60" s="1237">
        <f>+Cambrai!$G60</f>
        <v>0.37396413658588806</v>
      </c>
      <c r="F60" s="1237">
        <f>+Caudry!$G60</f>
        <v>0.39297779988159737</v>
      </c>
      <c r="G60" s="1237">
        <f>+Eu!$G60</f>
        <v>0.50186855257582363</v>
      </c>
      <c r="H60" s="1237">
        <f>+Calais!$G60</f>
        <v>0.33267122382258085</v>
      </c>
      <c r="I60" s="1237"/>
      <c r="J60" s="1237">
        <f>+Madeleine!$G60</f>
        <v>0.35246221840876457</v>
      </c>
      <c r="K60" s="1237">
        <f>+Lens!$G60</f>
        <v>0.35431664865577905</v>
      </c>
      <c r="L60" s="1237">
        <f>+Bois!$G60</f>
        <v>0.41203892279182397</v>
      </c>
      <c r="M60" s="1237">
        <f>+Béthune!$G60</f>
        <v>0.39478019154299276</v>
      </c>
      <c r="N60" s="1238">
        <f>+StOmer!$G60</f>
        <v>0.47987916008764647</v>
      </c>
      <c r="O60" s="1276">
        <f>+O62/O51</f>
        <v>0.39164464325563225</v>
      </c>
      <c r="P60" s="1277">
        <f>+P62/P51</f>
        <v>0.36873649323547303</v>
      </c>
      <c r="Q60" s="1277">
        <f>+Q62/Q51</f>
        <v>0.37579936083922144</v>
      </c>
      <c r="R60" s="1278">
        <f>+R62/R51</f>
        <v>0.37579936083922144</v>
      </c>
      <c r="S60" s="1276"/>
      <c r="T60" s="1328"/>
      <c r="U60" s="622">
        <f>+U62/U51</f>
        <v>0.38836652004932903</v>
      </c>
      <c r="V60" s="2">
        <f t="shared" si="1"/>
        <v>1</v>
      </c>
    </row>
    <row r="61" spans="1:22" s="2" customFormat="1" ht="15" customHeight="1">
      <c r="A61" s="590" t="s">
        <v>75</v>
      </c>
      <c r="B61" s="1239">
        <v>0.32400000000000001</v>
      </c>
      <c r="C61" s="1240">
        <v>0.31900000000000001</v>
      </c>
      <c r="D61" s="1240">
        <v>0.36599999999999999</v>
      </c>
      <c r="E61" s="1240">
        <v>0.40300000000000002</v>
      </c>
      <c r="F61" s="1240">
        <v>0.377</v>
      </c>
      <c r="G61" s="1240">
        <v>0.49099999999999999</v>
      </c>
      <c r="H61" s="1240">
        <v>0.29899999999999999</v>
      </c>
      <c r="I61" s="1347"/>
      <c r="J61" s="1240">
        <v>0.34</v>
      </c>
      <c r="K61" s="1240">
        <v>0.34499999999999997</v>
      </c>
      <c r="L61" s="1240">
        <v>0.443</v>
      </c>
      <c r="M61" s="1240">
        <v>0.38600000000000001</v>
      </c>
      <c r="N61" s="1241">
        <v>0.51600000000000001</v>
      </c>
      <c r="O61" s="1291">
        <f>+(B61*B21+C21*C61+D61*D21+E21*E61+F61*F21+G21*G61+H61*H21+I21*I61+J61*J21+K21*K61+L61*L21+N21*N61)/O21</f>
        <v>0.37729322194478215</v>
      </c>
      <c r="P61" s="1292"/>
      <c r="Q61" s="438"/>
      <c r="R61" s="1293"/>
      <c r="S61" s="1239"/>
      <c r="T61" s="1329"/>
      <c r="U61" s="619"/>
      <c r="V61" s="2">
        <f t="shared" si="1"/>
        <v>1</v>
      </c>
    </row>
    <row r="62" spans="1:22" s="2" customFormat="1" ht="11.25">
      <c r="A62" s="16" t="s">
        <v>296</v>
      </c>
      <c r="B62" s="1242">
        <f>+B51*B60</f>
        <v>653856.50281357346</v>
      </c>
      <c r="C62" s="1243">
        <f t="shared" ref="C62:N62" si="19">+C51*C60</f>
        <v>284109.36976875272</v>
      </c>
      <c r="D62" s="1243">
        <f t="shared" si="19"/>
        <v>195441.15411371086</v>
      </c>
      <c r="E62" s="1243">
        <f t="shared" si="19"/>
        <v>248066.08276456318</v>
      </c>
      <c r="F62" s="1243">
        <f t="shared" si="19"/>
        <v>288967.18665353535</v>
      </c>
      <c r="G62" s="1243">
        <f t="shared" si="19"/>
        <v>637054.37524041033</v>
      </c>
      <c r="H62" s="1243">
        <f t="shared" si="19"/>
        <v>347314.08041035559</v>
      </c>
      <c r="I62" s="1243"/>
      <c r="J62" s="1243">
        <f t="shared" si="19"/>
        <v>352801.63952509221</v>
      </c>
      <c r="K62" s="1243">
        <f t="shared" si="19"/>
        <v>203864.23308702157</v>
      </c>
      <c r="L62" s="1243">
        <f t="shared" si="19"/>
        <v>105507.09860899724</v>
      </c>
      <c r="M62" s="1243">
        <f>+M51*M60</f>
        <v>157338.0662186936</v>
      </c>
      <c r="N62" s="1244">
        <f t="shared" si="19"/>
        <v>388972.29163812299</v>
      </c>
      <c r="O62" s="1242">
        <f>SUM(B62:N62)</f>
        <v>3863292.0808428288</v>
      </c>
      <c r="P62" s="1294">
        <f>+Béthune!F62+Bois!F62+Lens!F62+Madeleine!F62+Tourcoing!F62+Calais!F62+Eu!F62+Caudry!F62+Cambrai!F62+Amiens!F62+Compiègne!F62+Boulogne!F62+StOmer!F62</f>
        <v>3563007.2504702434</v>
      </c>
      <c r="Q62" s="1243">
        <f>+R62</f>
        <v>3863292.0808428288</v>
      </c>
      <c r="R62" s="1295">
        <f>SUM(B62:N62)</f>
        <v>3863292.0808428288</v>
      </c>
      <c r="S62" s="1276">
        <f>+IF((O62)=0,,(P62-O62)/O62)</f>
        <v>-7.772770582416702E-2</v>
      </c>
      <c r="T62" s="1328">
        <f>+IF((P62)=0,,(R62-P62)/P62)</f>
        <v>8.4278478617452732E-2</v>
      </c>
      <c r="U62" s="624">
        <f>+Béthune!D62+Bois!D62+Lens!D62+Madeleine!D62+Tourcoing!D62+Calais!D62+Eu!D62+Caudry!D62+Cambrai!D62+Amiens!D62+Compiègne!D62+Boulogne!D62+StOmer!D62</f>
        <v>4090169</v>
      </c>
      <c r="V62" s="2">
        <f t="shared" si="1"/>
        <v>1</v>
      </c>
    </row>
    <row r="63" spans="1:22" s="2" customFormat="1" ht="15" customHeight="1">
      <c r="A63" s="5"/>
      <c r="B63" s="1323"/>
      <c r="C63" s="1347"/>
      <c r="D63" s="1347"/>
      <c r="E63" s="1347"/>
      <c r="F63" s="1347"/>
      <c r="G63" s="1347"/>
      <c r="H63" s="1347"/>
      <c r="I63" s="1347"/>
      <c r="J63" s="1347"/>
      <c r="K63" s="1347"/>
      <c r="L63" s="1347"/>
      <c r="M63" s="1347"/>
      <c r="N63" s="1348"/>
      <c r="O63" s="1223"/>
      <c r="P63" s="1289"/>
      <c r="Q63" s="1360"/>
      <c r="R63" s="1362"/>
      <c r="S63" s="1347"/>
      <c r="T63" s="1324"/>
      <c r="U63" s="1375"/>
      <c r="V63" s="2">
        <f t="shared" si="1"/>
        <v>0</v>
      </c>
    </row>
    <row r="64" spans="1:22" s="113" customFormat="1" ht="11.25">
      <c r="A64" s="18" t="s">
        <v>104</v>
      </c>
      <c r="B64" s="1223">
        <f>+Boulogne!$G64</f>
        <v>8794.6893333333337</v>
      </c>
      <c r="C64" s="438">
        <f>+Compiègne!$G64</f>
        <v>4971.3979999999992</v>
      </c>
      <c r="D64" s="438">
        <f>+Amiens!$G64</f>
        <v>0</v>
      </c>
      <c r="E64" s="438">
        <f>+Cambrai!$G64</f>
        <v>4225.5406666666668</v>
      </c>
      <c r="F64" s="438">
        <f>+Caudry!$G64</f>
        <v>2922.3159999999998</v>
      </c>
      <c r="G64" s="438">
        <f>+Eu!$G64</f>
        <v>0</v>
      </c>
      <c r="H64" s="438">
        <f>+Calais!$G64</f>
        <v>2938.4938666666667</v>
      </c>
      <c r="I64" s="438"/>
      <c r="J64" s="438">
        <f>+Madeleine!$G64</f>
        <v>696.25253333333342</v>
      </c>
      <c r="K64" s="438">
        <f>+Lens!$G64</f>
        <v>3772.7801333333337</v>
      </c>
      <c r="L64" s="438">
        <f>+Bois!$G64</f>
        <v>0</v>
      </c>
      <c r="M64" s="438">
        <f>+Béthune!$G64</f>
        <v>0</v>
      </c>
      <c r="N64" s="1224">
        <f>+StOmer!$G64</f>
        <v>3860.5223999999998</v>
      </c>
      <c r="O64" s="1296">
        <f>+Béthune!E64+Bois!E64+Lens!E64+Madeleine!E64+Tourcoing!E64+Calais!E64+Eu!E64+Caudry!E64+Cambrai!E64+Amiens!E64+Compiègne!E64+Boulogne!E64+StOmer!E64</f>
        <v>32533.949999999997</v>
      </c>
      <c r="P64" s="1285">
        <f>+Béthune!F64+Bois!F64+Lens!F64+Madeleine!F64+Tourcoing!F64+Calais!F64+Eu!F64+Caudry!F64+Cambrai!F64+Amiens!F64+Compiègne!F64+Boulogne!F64+StOmer!F64</f>
        <v>32765.393333333333</v>
      </c>
      <c r="Q64" s="438">
        <f>+R64</f>
        <v>32181.992933333335</v>
      </c>
      <c r="R64" s="1286">
        <f>SUM(B64:N64)</f>
        <v>32181.992933333335</v>
      </c>
      <c r="S64" s="1323">
        <f>+IF((O64)=0,,(P64-O64)/O64)</f>
        <v>7.1139020418158989E-3</v>
      </c>
      <c r="T64" s="1324">
        <f>+IF((P64)=0,,(R64-P64)/P64)</f>
        <v>-1.7805383688358958E-2</v>
      </c>
      <c r="U64" s="1209">
        <f>+Béthune!D64+Bois!D64+Lens!D64+Madeleine!D64+Tourcoing!D64+Calais!D64+Eu!D64+Caudry!D64+Cambrai!D64+Amiens!D64+Compiègne!D64+Boulogne!D64+StOmer!D64</f>
        <v>35642.534871284377</v>
      </c>
      <c r="V64" s="25">
        <f t="shared" si="1"/>
        <v>1</v>
      </c>
    </row>
    <row r="65" spans="1:22" s="113" customFormat="1" ht="11.25">
      <c r="A65" s="18" t="s">
        <v>314</v>
      </c>
      <c r="B65" s="1223">
        <f>+Boulogne!$G65</f>
        <v>0</v>
      </c>
      <c r="C65" s="438">
        <f>+Compiègne!$G65</f>
        <v>0</v>
      </c>
      <c r="D65" s="438">
        <f>+Amiens!$G65</f>
        <v>0</v>
      </c>
      <c r="E65" s="438">
        <f>+Cambrai!$G65</f>
        <v>0</v>
      </c>
      <c r="F65" s="438">
        <f>+Caudry!$G65</f>
        <v>0</v>
      </c>
      <c r="G65" s="438">
        <f>+Eu!$G65</f>
        <v>0</v>
      </c>
      <c r="H65" s="438">
        <f>+Calais!$G65</f>
        <v>0</v>
      </c>
      <c r="I65" s="438"/>
      <c r="J65" s="438">
        <f>+Madeleine!$G65</f>
        <v>0</v>
      </c>
      <c r="K65" s="438">
        <f>+Lens!$G65</f>
        <v>0</v>
      </c>
      <c r="L65" s="438">
        <f>+Bois!$G65</f>
        <v>0</v>
      </c>
      <c r="M65" s="438">
        <f>+Béthune!$G65</f>
        <v>0</v>
      </c>
      <c r="N65" s="1224">
        <f>+StOmer!$G65</f>
        <v>0</v>
      </c>
      <c r="O65" s="1285">
        <f>+Béthune!E65+Bois!E65+Lens!E65+Madeleine!E65+Tourcoing!E65+Calais!E65+Eu!E65+Caudry!E65+Cambrai!E65+Amiens!E65+Compiègne!E65+Boulogne!E65+StOmer!E65</f>
        <v>0</v>
      </c>
      <c r="P65" s="1285">
        <f>+Béthune!F65+Bois!F65+Lens!F65+Madeleine!F65+Tourcoing!F65+Calais!F65+Eu!F65+Caudry!F65+Cambrai!F65+Amiens!F65+Compiègne!F65+Boulogne!F65+StOmer!F65</f>
        <v>0</v>
      </c>
      <c r="Q65" s="438">
        <f>+R65</f>
        <v>0</v>
      </c>
      <c r="R65" s="1286">
        <f>SUM(B65:N65)</f>
        <v>0</v>
      </c>
      <c r="S65" s="1347">
        <f>+IF((O65)=0,,(P65-O65)/O65)</f>
        <v>0</v>
      </c>
      <c r="T65" s="1324">
        <f>+IF((P65)=0,,(R65-P65)/P65)</f>
        <v>0</v>
      </c>
      <c r="U65" s="1376">
        <f>+Béthune!D65+Bois!D65+Lens!D65+Madeleine!D65+Tourcoing!D65+Calais!D65+Eu!D65+Caudry!D65+Cambrai!D65+Amiens!D65+Compiègne!D65+Boulogne!D65+StOmer!D65</f>
        <v>0</v>
      </c>
      <c r="V65" s="25">
        <f t="shared" si="1"/>
        <v>0</v>
      </c>
    </row>
    <row r="66" spans="1:22" s="113" customFormat="1" ht="11.25">
      <c r="A66" s="18" t="s">
        <v>110</v>
      </c>
      <c r="B66" s="1223">
        <f>+Boulogne!$G66</f>
        <v>2578.8453333333337</v>
      </c>
      <c r="C66" s="438">
        <f>+Compiègne!$G66</f>
        <v>646.92240000000004</v>
      </c>
      <c r="D66" s="438">
        <f>+Amiens!$G66</f>
        <v>47.320199999999993</v>
      </c>
      <c r="E66" s="438">
        <f>+Cambrai!$G66</f>
        <v>1637.892266666667</v>
      </c>
      <c r="F66" s="438">
        <f>+Caudry!$G66</f>
        <v>751.00733333333335</v>
      </c>
      <c r="G66" s="438">
        <f>+Eu!$G66</f>
        <v>1056.6563999999998</v>
      </c>
      <c r="H66" s="438">
        <f>+Calais!$G66</f>
        <v>1262.3405333333333</v>
      </c>
      <c r="I66" s="438"/>
      <c r="J66" s="438">
        <f>+Madeleine!$G66</f>
        <v>692.68186666666668</v>
      </c>
      <c r="K66" s="438">
        <f>+Lens!$G66</f>
        <v>669.51373333333333</v>
      </c>
      <c r="L66" s="438">
        <f>+Bois!$G66</f>
        <v>661.3836</v>
      </c>
      <c r="M66" s="438">
        <f>+Béthune!$G66</f>
        <v>884.35800000000017</v>
      </c>
      <c r="N66" s="1224">
        <f>+StOmer!$G66</f>
        <v>1911.3091999999999</v>
      </c>
      <c r="O66" s="1296">
        <f>+Béthune!E66+Bois!E66+Lens!E66+Madeleine!E66+Tourcoing!E66+Calais!E66+Eu!E66+Caudry!E66+Cambrai!E66+Amiens!E66+Compiègne!E66+Boulogne!E66+StOmer!E66</f>
        <v>12569.89</v>
      </c>
      <c r="P66" s="1285">
        <f>+Béthune!F66+Bois!F66+Lens!F66+Madeleine!F66+Tourcoing!F66+Calais!F66+Eu!F66+Caudry!F66+Cambrai!F66+Amiens!F66+Compiègne!F66+Boulogne!F66+StOmer!F66</f>
        <v>12809.746666666668</v>
      </c>
      <c r="Q66" s="438">
        <f>+R66</f>
        <v>12800.230866666665</v>
      </c>
      <c r="R66" s="1286">
        <f>SUM(B66:N66)</f>
        <v>12800.230866666665</v>
      </c>
      <c r="S66" s="1323">
        <f>+IF((O66)=0,,(P66-O66)/O66)</f>
        <v>1.908184293312578E-2</v>
      </c>
      <c r="T66" s="1324">
        <f>+IF((P66)=0,,(R66-P66)/P66)</f>
        <v>-7.428562209403195E-4</v>
      </c>
      <c r="U66" s="1209">
        <f>+Béthune!D66+Bois!D66+Lens!D66+Madeleine!D66+Tourcoing!D66+Calais!D66+Eu!D66+Caudry!D66+Cambrai!D66+Amiens!D66+Compiègne!D66+Boulogne!D66+StOmer!D66</f>
        <v>10250.266003794335</v>
      </c>
      <c r="V66" s="25">
        <f t="shared" si="1"/>
        <v>1</v>
      </c>
    </row>
    <row r="67" spans="1:22" s="113" customFormat="1" ht="15" customHeight="1">
      <c r="A67" s="18" t="s">
        <v>107</v>
      </c>
      <c r="B67" s="1223">
        <f>+Boulogne!$G67</f>
        <v>3430.8888000000002</v>
      </c>
      <c r="C67" s="438">
        <f>+Compiègne!$G67</f>
        <v>908.46</v>
      </c>
      <c r="D67" s="438">
        <f>+Amiens!$G67</f>
        <v>0</v>
      </c>
      <c r="E67" s="438">
        <f>+Cambrai!$G67</f>
        <v>1638.2081333333331</v>
      </c>
      <c r="F67" s="438">
        <f>+Caudry!$G67</f>
        <v>819.93493333333333</v>
      </c>
      <c r="G67" s="438">
        <f>+Eu!$G67</f>
        <v>565.15413333333345</v>
      </c>
      <c r="H67" s="438">
        <f>+Calais!$G67</f>
        <v>3574.5531999999998</v>
      </c>
      <c r="I67" s="438"/>
      <c r="J67" s="438">
        <f>+Madeleine!$G67</f>
        <v>608.77120000000002</v>
      </c>
      <c r="K67" s="438">
        <f>+Lens!$G67</f>
        <v>1369.6665333333333</v>
      </c>
      <c r="L67" s="438">
        <f>+Bois!$G67</f>
        <v>367.84733333333332</v>
      </c>
      <c r="M67" s="438">
        <f>+Béthune!$G67</f>
        <v>1039.8193333333334</v>
      </c>
      <c r="N67" s="1224">
        <f>+StOmer!$G67</f>
        <v>2226.1458666666663</v>
      </c>
      <c r="O67" s="1296">
        <f>+Béthune!E67+Bois!E67+Lens!E67+Madeleine!E67+Tourcoing!E67+Calais!E67+Eu!E67+Caudry!E67+Cambrai!E67+Amiens!E67+Compiègne!E67+Boulogne!E67+StOmer!E67</f>
        <v>34391.369999999995</v>
      </c>
      <c r="P67" s="1285">
        <f>+Béthune!F67+Bois!F67+Lens!F67+Madeleine!F67+Tourcoing!F67+Calais!F67+Eu!F67+Caudry!F67+Cambrai!F67+Amiens!F67+Compiègne!F67+Boulogne!F67+StOmer!F67</f>
        <v>16509.236666666668</v>
      </c>
      <c r="Q67" s="438">
        <f>+R67</f>
        <v>16549.449466666665</v>
      </c>
      <c r="R67" s="1286">
        <f>SUM(B67:N67)</f>
        <v>16549.449466666665</v>
      </c>
      <c r="S67" s="1323">
        <f>+IF((O67)=0,,(P67-O67)/O67)</f>
        <v>-0.51995990079294108</v>
      </c>
      <c r="T67" s="1324">
        <f>+IF((P67)=0,,(R67-P67)/P67)</f>
        <v>2.4357758515383115E-3</v>
      </c>
      <c r="U67" s="1209">
        <f>+Béthune!D67+Bois!D67+Lens!D67+Madeleine!D67+Tourcoing!D67+Calais!D67+Eu!D67+Caudry!D67+Cambrai!D67+Amiens!D67+Compiègne!D67+Boulogne!D67+StOmer!D67</f>
        <v>26422.155478074379</v>
      </c>
      <c r="V67" s="25">
        <f t="shared" si="1"/>
        <v>1</v>
      </c>
    </row>
    <row r="68" spans="1:22" s="113" customFormat="1" ht="11.25">
      <c r="A68" s="18" t="s">
        <v>125</v>
      </c>
      <c r="B68" s="1223">
        <f>+Boulogne!$G68</f>
        <v>6674.6059999999998</v>
      </c>
      <c r="C68" s="438">
        <f>+Compiègne!$G68</f>
        <v>2873.7412000000004</v>
      </c>
      <c r="D68" s="438">
        <f>+Amiens!$G68</f>
        <v>0</v>
      </c>
      <c r="E68" s="438">
        <f>+Cambrai!$G68</f>
        <v>3807.237066666667</v>
      </c>
      <c r="F68" s="438">
        <f>+Caudry!$G68</f>
        <v>2732.4938666666667</v>
      </c>
      <c r="G68" s="438">
        <f>+Eu!$G68</f>
        <v>1710.3493333333336</v>
      </c>
      <c r="H68" s="438">
        <f>+Calais!$G68</f>
        <v>4267.29</v>
      </c>
      <c r="I68" s="438"/>
      <c r="J68" s="438">
        <f>+Madeleine!$G68</f>
        <v>1504.9947999999999</v>
      </c>
      <c r="K68" s="438">
        <f>+Lens!$G68</f>
        <v>1349.5884000000001</v>
      </c>
      <c r="L68" s="438">
        <f>+Bois!$G68</f>
        <v>643.9559999999999</v>
      </c>
      <c r="M68" s="438">
        <f>+Béthune!$G68</f>
        <v>981.60373333333337</v>
      </c>
      <c r="N68" s="1224">
        <f>+StOmer!$G68</f>
        <v>1700.9557333333335</v>
      </c>
      <c r="O68" s="1296">
        <f>+Béthune!E68+Bois!E68+Lens!E68+Madeleine!E68+Tourcoing!E68+Calais!E68+Eu!E68+Caudry!E68+Cambrai!E68+Amiens!E68+Compiègne!E68+Boulogne!E68+StOmer!E68</f>
        <v>28544.559999999998</v>
      </c>
      <c r="P68" s="1285">
        <f>+Béthune!F68+Bois!F68+Lens!F68+Madeleine!F68+Tourcoing!F68+Calais!F68+Eu!F68+Caudry!F68+Cambrai!F68+Amiens!F68+Compiègne!F68+Boulogne!F68+StOmer!F68</f>
        <v>27921.083333333336</v>
      </c>
      <c r="Q68" s="438">
        <f>+R68</f>
        <v>28246.816133333334</v>
      </c>
      <c r="R68" s="1286">
        <f>SUM(B68:N68)</f>
        <v>28246.816133333334</v>
      </c>
      <c r="S68" s="1323">
        <f>+IF((O68)=0,,(P68-O68)/O68)</f>
        <v>-2.1842223760557597E-2</v>
      </c>
      <c r="T68" s="1324">
        <f>+IF((P68)=0,,(R68-P68)/P68)</f>
        <v>1.1666194900508204E-2</v>
      </c>
      <c r="U68" s="1209">
        <f>+Béthune!D68+Bois!D68+Lens!D68+Madeleine!D68+Tourcoing!D68+Calais!D68+Eu!D68+Caudry!D68+Cambrai!D68+Amiens!D68+Compiègne!D68+Boulogne!D68+StOmer!D68</f>
        <v>32632.597327820309</v>
      </c>
      <c r="V68" s="25">
        <f t="shared" si="1"/>
        <v>1</v>
      </c>
    </row>
    <row r="69" spans="1:22" s="2" customFormat="1" ht="18.75" customHeight="1">
      <c r="A69" s="5"/>
      <c r="B69" s="1323"/>
      <c r="C69" s="1347"/>
      <c r="D69" s="1347"/>
      <c r="E69" s="1347"/>
      <c r="F69" s="1347"/>
      <c r="G69" s="1347"/>
      <c r="H69" s="1347"/>
      <c r="I69" s="1347"/>
      <c r="J69" s="1347"/>
      <c r="K69" s="1347"/>
      <c r="L69" s="1347"/>
      <c r="M69" s="1347"/>
      <c r="N69" s="1348"/>
      <c r="O69" s="1322"/>
      <c r="P69" s="1322"/>
      <c r="Q69" s="1347"/>
      <c r="R69" s="1370"/>
      <c r="S69" s="1347"/>
      <c r="T69" s="1324"/>
      <c r="U69" s="1375"/>
      <c r="V69" s="2">
        <f t="shared" si="1"/>
        <v>0</v>
      </c>
    </row>
    <row r="70" spans="1:22" s="2" customFormat="1" ht="11.25">
      <c r="A70" s="11" t="s">
        <v>128</v>
      </c>
      <c r="B70" s="1245">
        <f>SUM(B64:B69)</f>
        <v>21479.029466666667</v>
      </c>
      <c r="C70" s="1246">
        <f t="shared" ref="C70:N70" si="20">SUM(C64:C69)</f>
        <v>9400.5216</v>
      </c>
      <c r="D70" s="1246">
        <f t="shared" si="20"/>
        <v>47.320199999999993</v>
      </c>
      <c r="E70" s="1246">
        <f t="shared" si="20"/>
        <v>11308.878133333334</v>
      </c>
      <c r="F70" s="1246">
        <f t="shared" si="20"/>
        <v>7225.7521333333334</v>
      </c>
      <c r="G70" s="1246">
        <f t="shared" si="20"/>
        <v>3332.1598666666669</v>
      </c>
      <c r="H70" s="1246">
        <f t="shared" si="20"/>
        <v>12042.677599999999</v>
      </c>
      <c r="I70" s="1246"/>
      <c r="J70" s="1246">
        <f t="shared" si="20"/>
        <v>3502.7004000000002</v>
      </c>
      <c r="K70" s="1246">
        <f t="shared" si="20"/>
        <v>7161.5488000000005</v>
      </c>
      <c r="L70" s="1246">
        <f t="shared" si="20"/>
        <v>1673.1869333333332</v>
      </c>
      <c r="M70" s="1246">
        <f t="shared" si="20"/>
        <v>2905.7810666666669</v>
      </c>
      <c r="N70" s="1247">
        <f t="shared" si="20"/>
        <v>9698.9331999999995</v>
      </c>
      <c r="O70" s="1297">
        <f>SUM(O64:O69)</f>
        <v>108039.76999999999</v>
      </c>
      <c r="P70" s="1298">
        <f>SUM(P64:P69)</f>
        <v>90005.459999999992</v>
      </c>
      <c r="Q70" s="1298">
        <f>SUM(Q64:Q69)</f>
        <v>89778.489399999991</v>
      </c>
      <c r="R70" s="1299">
        <f>SUM(R64:R69)</f>
        <v>89778.489399999991</v>
      </c>
      <c r="S70" s="98">
        <f>+IF((O70)=0,,(P70-O70)/O70)</f>
        <v>-0.16692288404538438</v>
      </c>
      <c r="T70" s="1330">
        <f>+IF((P70)=0,,(R70-P70)/P70)</f>
        <v>-2.5217425698396585E-3</v>
      </c>
      <c r="U70" s="1029">
        <f>+Béthune!D70+Bois!D70+Lens!D70+Madeleine!D70+Tourcoing!D70+Calais!D70+Eu!D70+Caudry!D70+Cambrai!D70+Amiens!D70+Compiègne!D70+Boulogne!D70+StOmer!D70</f>
        <v>104947.5536809734</v>
      </c>
      <c r="V70" s="2">
        <f t="shared" si="1"/>
        <v>1</v>
      </c>
    </row>
    <row r="71" spans="1:22" s="2" customFormat="1" ht="11.25">
      <c r="A71" s="5"/>
      <c r="B71" s="1323"/>
      <c r="C71" s="1347"/>
      <c r="D71" s="1347"/>
      <c r="E71" s="1347"/>
      <c r="F71" s="1347"/>
      <c r="G71" s="1347"/>
      <c r="H71" s="1347"/>
      <c r="I71" s="1347"/>
      <c r="J71" s="1347"/>
      <c r="K71" s="1347"/>
      <c r="L71" s="1347"/>
      <c r="M71" s="1347"/>
      <c r="N71" s="1348"/>
      <c r="O71" s="1322"/>
      <c r="P71" s="1322"/>
      <c r="Q71" s="1347"/>
      <c r="R71" s="1370"/>
      <c r="S71" s="1347"/>
      <c r="T71" s="1324"/>
      <c r="U71" s="1375"/>
      <c r="V71" s="2">
        <f t="shared" si="1"/>
        <v>0</v>
      </c>
    </row>
    <row r="72" spans="1:22" s="113" customFormat="1" ht="11.25">
      <c r="A72" s="18" t="s">
        <v>1</v>
      </c>
      <c r="B72" s="1223">
        <f>+Boulogne!$G72</f>
        <v>0</v>
      </c>
      <c r="C72" s="438">
        <f>+Compiègne!$G72</f>
        <v>11.137733333333333</v>
      </c>
      <c r="D72" s="438">
        <f>+Amiens!$G72</f>
        <v>0</v>
      </c>
      <c r="E72" s="438">
        <f>+Cambrai!$G72</f>
        <v>19.748533333333334</v>
      </c>
      <c r="F72" s="438">
        <f>+Caudry!$G72</f>
        <v>0</v>
      </c>
      <c r="G72" s="438">
        <f>+Eu!$G72</f>
        <v>39.14</v>
      </c>
      <c r="H72" s="438">
        <f>+Calais!$G72</f>
        <v>0</v>
      </c>
      <c r="I72" s="438"/>
      <c r="J72" s="438">
        <f>+Madeleine!$G72</f>
        <v>1.3458666666666668</v>
      </c>
      <c r="K72" s="438">
        <f>+Lens!$G72</f>
        <v>0</v>
      </c>
      <c r="L72" s="438">
        <f>+Bois!$G72</f>
        <v>0</v>
      </c>
      <c r="M72" s="438">
        <f>+Béthune!$G72</f>
        <v>24.898533333333333</v>
      </c>
      <c r="N72" s="1224">
        <f>+StOmer!$G72</f>
        <v>61.566533333333325</v>
      </c>
      <c r="O72" s="1296">
        <f>+Béthune!E72+Bois!E72+Lens!E72+Madeleine!E72+Tourcoing!E72+Calais!E72+Eu!E72+Caudry!E72+Cambrai!E72+Amiens!E72+Compiègne!E72+Boulogne!E72+StOmer!E72</f>
        <v>447.99000000000007</v>
      </c>
      <c r="P72" s="1285">
        <f>+Béthune!F72+Bois!F72+Lens!F72+Madeleine!F72+Tourcoing!F72+Calais!F72+Eu!F72+Caudry!F72+Cambrai!F72+Amiens!F72+Compiègne!F72+Boulogne!F72+StOmer!F72</f>
        <v>153.24</v>
      </c>
      <c r="Q72" s="438">
        <f>+R72</f>
        <v>157.8372</v>
      </c>
      <c r="R72" s="1286">
        <f t="shared" ref="R72:R101" si="21">SUM(B72:N72)</f>
        <v>157.8372</v>
      </c>
      <c r="S72" s="1323">
        <f>+IF((O72)=0,,(P72-O72)/O72)</f>
        <v>-0.65793879327663563</v>
      </c>
      <c r="T72" s="1324">
        <f>+IF((P72)=0,,(R72-P72)/P72)</f>
        <v>2.9999999999999912E-2</v>
      </c>
      <c r="U72" s="1209">
        <f>+Béthune!D72+Bois!D72+Lens!D72+Madeleine!D72+Tourcoing!D72+Calais!D72+Eu!D72+Caudry!D72+Cambrai!D72+Amiens!D72+Compiègne!D72+Boulogne!D72+StOmer!D72</f>
        <v>545.36238024789373</v>
      </c>
      <c r="V72" s="25">
        <f t="shared" ref="V72:V134" si="22">IF(SUM(K72:U72)&gt;0,1,0)</f>
        <v>1</v>
      </c>
    </row>
    <row r="73" spans="1:22" s="113" customFormat="1" ht="11.25">
      <c r="A73" s="18" t="s">
        <v>123</v>
      </c>
      <c r="B73" s="1223">
        <f>+Boulogne!$G73</f>
        <v>8339.855066666667</v>
      </c>
      <c r="C73" s="438">
        <f>+Compiègne!$G73</f>
        <v>5153.5432000000001</v>
      </c>
      <c r="D73" s="438">
        <f>+Amiens!$G73</f>
        <v>9497.3690666666662</v>
      </c>
      <c r="E73" s="438">
        <f>+Cambrai!$G73</f>
        <v>2702.6925333333334</v>
      </c>
      <c r="F73" s="438">
        <f>+Caudry!$G73</f>
        <v>2809.7988</v>
      </c>
      <c r="G73" s="438">
        <f>+Eu!$G73</f>
        <v>6778.2789333333349</v>
      </c>
      <c r="H73" s="438">
        <f>+Calais!$G73</f>
        <v>1940.5337333333334</v>
      </c>
      <c r="I73" s="438"/>
      <c r="J73" s="438">
        <f>+Madeleine!$G73</f>
        <v>2676.4206666666669</v>
      </c>
      <c r="K73" s="438">
        <f>+Lens!$G73</f>
        <v>872.94560000000001</v>
      </c>
      <c r="L73" s="438">
        <f>+Bois!$G73</f>
        <v>0</v>
      </c>
      <c r="M73" s="438">
        <f>+Béthune!$G73</f>
        <v>962.84400000000005</v>
      </c>
      <c r="N73" s="1224">
        <f>+StOmer!$G73</f>
        <v>5064.098</v>
      </c>
      <c r="O73" s="1296">
        <f>+Béthune!E73+Bois!E73+Lens!E73+Madeleine!E73+Tourcoing!E73+Calais!E73+Eu!E73+Caudry!E73+Cambrai!E73+Amiens!E73+Compiègne!E73+Boulogne!E73+StOmer!E73</f>
        <v>43676.630000000005</v>
      </c>
      <c r="P73" s="1285">
        <f>+Béthune!F73+Bois!F73+Lens!F73+Madeleine!F73+Tourcoing!F73+Calais!F73+Eu!F73+Caudry!F73+Cambrai!F73+Amiens!F73+Compiègne!F73+Boulogne!F73+StOmer!F73</f>
        <v>47230.52</v>
      </c>
      <c r="Q73" s="438">
        <f t="shared" ref="Q73:Q101" si="23">+R73</f>
        <v>46798.379599999993</v>
      </c>
      <c r="R73" s="1286">
        <f t="shared" si="21"/>
        <v>46798.379599999993</v>
      </c>
      <c r="S73" s="1323">
        <f t="shared" ref="S73:S101" si="24">+IF((O73)=0,,(P73-O73)/O73)</f>
        <v>8.1368228272190229E-2</v>
      </c>
      <c r="T73" s="1324">
        <f t="shared" ref="T73:T101" si="25">+IF((P73)=0,,(R73-P73)/P73)</f>
        <v>-9.1496007242775207E-3</v>
      </c>
      <c r="U73" s="1209">
        <f>+Béthune!D73+Bois!D73+Lens!D73+Madeleine!D73+Tourcoing!D73+Calais!D73+Eu!D73+Caudry!D73+Cambrai!D73+Amiens!D73+Compiègne!D73+Boulogne!D73+StOmer!D73</f>
        <v>39862.411388755361</v>
      </c>
      <c r="V73" s="25">
        <f t="shared" si="22"/>
        <v>1</v>
      </c>
    </row>
    <row r="74" spans="1:22" s="113" customFormat="1" ht="11.25">
      <c r="A74" s="18" t="s">
        <v>124</v>
      </c>
      <c r="B74" s="1223">
        <f>+Boulogne!$G74</f>
        <v>0</v>
      </c>
      <c r="C74" s="438">
        <f>+Compiègne!$G74</f>
        <v>1595.0580000000002</v>
      </c>
      <c r="D74" s="438">
        <f>+Amiens!$G74</f>
        <v>0</v>
      </c>
      <c r="E74" s="438">
        <f>+Cambrai!$G74</f>
        <v>4168.3688000000002</v>
      </c>
      <c r="F74" s="438">
        <f>+Caudry!$G74</f>
        <v>5447.7524000000003</v>
      </c>
      <c r="G74" s="438">
        <f>+Eu!$G74</f>
        <v>16641.874800000001</v>
      </c>
      <c r="H74" s="438">
        <f>+Calais!$G74</f>
        <v>3215.151866666667</v>
      </c>
      <c r="I74" s="438"/>
      <c r="J74" s="438">
        <f>+Madeleine!$G74</f>
        <v>-518.28226666666671</v>
      </c>
      <c r="K74" s="438">
        <f>+Lens!$G74</f>
        <v>5415.0121333333336</v>
      </c>
      <c r="L74" s="438">
        <f>+Bois!$G74</f>
        <v>0</v>
      </c>
      <c r="M74" s="438">
        <f>+Béthune!$G74</f>
        <v>449.16240000000005</v>
      </c>
      <c r="N74" s="1224">
        <f>+StOmer!$G74</f>
        <v>4930.3902666666672</v>
      </c>
      <c r="O74" s="1296">
        <f>+Béthune!E74+Bois!E74+Lens!E74+Madeleine!E74+Tourcoing!E74+Calais!E74+Eu!E74+Caudry!E74+Cambrai!E74+Amiens!E74+Compiègne!E74+Boulogne!E74+StOmer!E74</f>
        <v>48644.54</v>
      </c>
      <c r="P74" s="1285">
        <f>+Béthune!F74+Bois!F74+Lens!F74+Madeleine!F74+Tourcoing!F74+Calais!F74+Eu!F74+Caudry!F74+Cambrai!F74+Amiens!F74+Compiègne!F74+Boulogne!F74+StOmer!F74</f>
        <v>45540.509999999995</v>
      </c>
      <c r="Q74" s="438">
        <f t="shared" si="23"/>
        <v>41344.488400000009</v>
      </c>
      <c r="R74" s="1286">
        <f t="shared" si="21"/>
        <v>41344.488400000009</v>
      </c>
      <c r="S74" s="1323">
        <f t="shared" si="24"/>
        <v>-6.3810450258138043E-2</v>
      </c>
      <c r="T74" s="1324">
        <f t="shared" si="25"/>
        <v>-9.2138221552634916E-2</v>
      </c>
      <c r="U74" s="1209">
        <f>+Béthune!D74+Bois!D74+Lens!D74+Madeleine!D74+Tourcoing!D74+Calais!D74+Eu!D74+Caudry!D74+Cambrai!D74+Amiens!D74+Compiègne!D74+Boulogne!D74+StOmer!D74</f>
        <v>40964.346324226673</v>
      </c>
      <c r="V74" s="25">
        <f t="shared" si="22"/>
        <v>1</v>
      </c>
    </row>
    <row r="75" spans="1:22" s="113" customFormat="1" ht="11.25">
      <c r="A75" s="18" t="s">
        <v>360</v>
      </c>
      <c r="B75" s="1223">
        <f>+Boulogne!$G75</f>
        <v>0</v>
      </c>
      <c r="C75" s="438">
        <f>+Compiègne!$G75</f>
        <v>0</v>
      </c>
      <c r="D75" s="438">
        <f>+Amiens!$G75</f>
        <v>0</v>
      </c>
      <c r="E75" s="438">
        <f>+Cambrai!$G75</f>
        <v>0</v>
      </c>
      <c r="F75" s="438">
        <f>+Caudry!$G75</f>
        <v>0</v>
      </c>
      <c r="G75" s="438">
        <f>+Eu!$G75</f>
        <v>0</v>
      </c>
      <c r="H75" s="438">
        <f>+Calais!$G75</f>
        <v>0</v>
      </c>
      <c r="I75" s="438"/>
      <c r="J75" s="438">
        <f>+Madeleine!$G75</f>
        <v>0</v>
      </c>
      <c r="K75" s="438">
        <f>+Lens!$G75</f>
        <v>0</v>
      </c>
      <c r="L75" s="438">
        <f>+Bois!$G75</f>
        <v>0</v>
      </c>
      <c r="M75" s="438">
        <f>+Béthune!$G75</f>
        <v>0</v>
      </c>
      <c r="N75" s="1224">
        <f>+StOmer!$G75</f>
        <v>0</v>
      </c>
      <c r="O75" s="1285">
        <f>+Béthune!E75+Bois!E75+Lens!E75+Madeleine!E75+Tourcoing!E75+Calais!E75+Eu!E75+Caudry!E75+Cambrai!E75+Amiens!E75+Compiègne!E75+Boulogne!E75+StOmer!E75</f>
        <v>0</v>
      </c>
      <c r="P75" s="1285">
        <f>+Béthune!F75+Bois!F75+Lens!F75+Madeleine!F75+Tourcoing!F75+Calais!F75+Eu!F75+Caudry!F75+Cambrai!F75+Amiens!F75+Compiègne!F75+Boulogne!F75+StOmer!F75</f>
        <v>0</v>
      </c>
      <c r="Q75" s="438">
        <f t="shared" si="23"/>
        <v>0</v>
      </c>
      <c r="R75" s="1286">
        <f t="shared" si="21"/>
        <v>0</v>
      </c>
      <c r="S75" s="1347">
        <f t="shared" si="24"/>
        <v>0</v>
      </c>
      <c r="T75" s="1324">
        <f t="shared" si="25"/>
        <v>0</v>
      </c>
      <c r="U75" s="1376">
        <f>+Béthune!D75+Bois!D75+Lens!D75+Madeleine!D75+Tourcoing!D75+Calais!D75+Eu!D75+Caudry!D75+Cambrai!D75+Amiens!D75+Compiègne!D75+Boulogne!D75+StOmer!D75</f>
        <v>0</v>
      </c>
      <c r="V75" s="25">
        <f t="shared" si="22"/>
        <v>0</v>
      </c>
    </row>
    <row r="76" spans="1:22" s="113" customFormat="1" ht="11.25">
      <c r="A76" s="18" t="s">
        <v>126</v>
      </c>
      <c r="B76" s="1223">
        <f>+Boulogne!$G76</f>
        <v>152.33013333333335</v>
      </c>
      <c r="C76" s="438">
        <f>+Compiègne!$G76</f>
        <v>0</v>
      </c>
      <c r="D76" s="438">
        <f>+Amiens!$G76</f>
        <v>14.145333333333335</v>
      </c>
      <c r="E76" s="438">
        <f>+Cambrai!$G76</f>
        <v>58.298000000000002</v>
      </c>
      <c r="F76" s="438">
        <f>+Caudry!$G76</f>
        <v>5.053866666666667</v>
      </c>
      <c r="G76" s="438">
        <f>+Eu!$G76</f>
        <v>0</v>
      </c>
      <c r="H76" s="438">
        <f>+Calais!$G76</f>
        <v>126.11320000000001</v>
      </c>
      <c r="I76" s="438"/>
      <c r="J76" s="438">
        <f>+Madeleine!$G76</f>
        <v>0</v>
      </c>
      <c r="K76" s="438">
        <f>+Lens!$G76</f>
        <v>137.55306666666667</v>
      </c>
      <c r="L76" s="438">
        <f>+Bois!$G76</f>
        <v>10.272533333333334</v>
      </c>
      <c r="M76" s="438">
        <f>+Béthune!$G76</f>
        <v>144.69440000000003</v>
      </c>
      <c r="N76" s="1224">
        <f>+StOmer!$G76</f>
        <v>159.21053333333336</v>
      </c>
      <c r="O76" s="1296">
        <f>+Béthune!E76+Bois!E76+Lens!E76+Madeleine!E76+Tourcoing!E76+Calais!E76+Eu!E76+Caudry!E76+Cambrai!E76+Amiens!E76+Compiègne!E76+Boulogne!E76+StOmer!E76</f>
        <v>1022.9000000000001</v>
      </c>
      <c r="P76" s="1285">
        <f>+Béthune!F76+Bois!F76+Lens!F76+Madeleine!F76+Tourcoing!F76+Calais!F76+Eu!F76+Caudry!F76+Cambrai!F76+Amiens!F76+Compiègne!F76+Boulogne!F76+StOmer!F76</f>
        <v>784.14666666666676</v>
      </c>
      <c r="Q76" s="438">
        <f t="shared" si="23"/>
        <v>807.67106666666677</v>
      </c>
      <c r="R76" s="1286">
        <f t="shared" si="21"/>
        <v>807.67106666666677</v>
      </c>
      <c r="S76" s="1323">
        <f t="shared" si="24"/>
        <v>-0.2334082836380226</v>
      </c>
      <c r="T76" s="1324">
        <f t="shared" si="25"/>
        <v>3.0000000000000013E-2</v>
      </c>
      <c r="U76" s="1209">
        <f>+Béthune!D76+Bois!D76+Lens!D76+Madeleine!D76+Tourcoing!D76+Calais!D76+Eu!D76+Caudry!D76+Cambrai!D76+Amiens!D76+Compiègne!D76+Boulogne!D76+StOmer!D76</f>
        <v>2196.882239473578</v>
      </c>
      <c r="V76" s="25">
        <f t="shared" si="22"/>
        <v>1</v>
      </c>
    </row>
    <row r="77" spans="1:22" s="113" customFormat="1" ht="11.25">
      <c r="A77" s="18" t="s">
        <v>127</v>
      </c>
      <c r="B77" s="1223">
        <f>+Boulogne!$G77</f>
        <v>3313.2628000000004</v>
      </c>
      <c r="C77" s="438">
        <f>+Compiègne!$G77</f>
        <v>2413.29</v>
      </c>
      <c r="D77" s="438">
        <f>+Amiens!$G77</f>
        <v>774.57373333333339</v>
      </c>
      <c r="E77" s="438">
        <f>+Cambrai!$G77</f>
        <v>1396.7074666666667</v>
      </c>
      <c r="F77" s="438">
        <f>+Caudry!$G77</f>
        <v>1062.8089333333335</v>
      </c>
      <c r="G77" s="438">
        <f>+Eu!$G77</f>
        <v>1905.9257333333335</v>
      </c>
      <c r="H77" s="438">
        <f>+Calais!$G77</f>
        <v>1296.5640000000003</v>
      </c>
      <c r="I77" s="438"/>
      <c r="J77" s="438">
        <f>+Madeleine!$G77</f>
        <v>1591.9680000000001</v>
      </c>
      <c r="K77" s="438">
        <f>+Lens!$G77</f>
        <v>779.07826666666654</v>
      </c>
      <c r="L77" s="438">
        <f>+Bois!$G77</f>
        <v>373.76640000000003</v>
      </c>
      <c r="M77" s="438">
        <f>+Béthune!$G77</f>
        <v>787.42813333333334</v>
      </c>
      <c r="N77" s="1224">
        <f>+StOmer!$G77</f>
        <v>1835.5698666666667</v>
      </c>
      <c r="O77" s="1296">
        <f>+Béthune!E77+Bois!E77+Lens!E77+Madeleine!E77+Tourcoing!E77+Calais!E77+Eu!E77+Caudry!E77+Cambrai!E77+Amiens!E77+Compiègne!E77+Boulogne!E77+StOmer!E77</f>
        <v>33684.19</v>
      </c>
      <c r="P77" s="1285">
        <f>+Béthune!F77+Bois!F77+Lens!F77+Madeleine!F77+Tourcoing!F77+Calais!F77+Eu!F77+Caudry!F77+Cambrai!F77+Amiens!F77+Compiègne!F77+Boulogne!F77+StOmer!F77</f>
        <v>17667.883333333331</v>
      </c>
      <c r="Q77" s="438">
        <f t="shared" si="23"/>
        <v>17530.943333333336</v>
      </c>
      <c r="R77" s="1286">
        <f t="shared" si="21"/>
        <v>17530.943333333336</v>
      </c>
      <c r="S77" s="1323">
        <f t="shared" si="24"/>
        <v>-0.47548439391496933</v>
      </c>
      <c r="T77" s="1324">
        <f t="shared" si="25"/>
        <v>-7.7507869741043345E-3</v>
      </c>
      <c r="U77" s="1209">
        <f>+Béthune!D77+Bois!D77+Lens!D77+Madeleine!D77+Tourcoing!D77+Calais!D77+Eu!D77+Caudry!D77+Cambrai!D77+Amiens!D77+Compiègne!D77+Boulogne!D77+StOmer!D77</f>
        <v>26731.535557303119</v>
      </c>
      <c r="V77" s="25">
        <f t="shared" si="22"/>
        <v>1</v>
      </c>
    </row>
    <row r="78" spans="1:22" s="113" customFormat="1" ht="11.25">
      <c r="A78" s="18" t="s">
        <v>101</v>
      </c>
      <c r="B78" s="1223">
        <f>+Boulogne!$G78</f>
        <v>0</v>
      </c>
      <c r="C78" s="438">
        <f>+Compiègne!$G78</f>
        <v>1435.5453333333335</v>
      </c>
      <c r="D78" s="438">
        <f>+Amiens!$G78</f>
        <v>0</v>
      </c>
      <c r="E78" s="438">
        <f>+Cambrai!$G78</f>
        <v>0</v>
      </c>
      <c r="F78" s="438">
        <f>+Caudry!$G78</f>
        <v>0</v>
      </c>
      <c r="G78" s="438">
        <f>+Eu!$G78</f>
        <v>130.46666666666667</v>
      </c>
      <c r="H78" s="438">
        <f>+Calais!$G78</f>
        <v>0</v>
      </c>
      <c r="I78" s="438"/>
      <c r="J78" s="438">
        <f>+Madeleine!$G78</f>
        <v>0</v>
      </c>
      <c r="K78" s="438">
        <f>+Lens!$G78</f>
        <v>32.135999999999996</v>
      </c>
      <c r="L78" s="438">
        <f>+Bois!$G78</f>
        <v>0</v>
      </c>
      <c r="M78" s="438">
        <f>+Béthune!$G78</f>
        <v>0</v>
      </c>
      <c r="N78" s="1224">
        <f>+StOmer!$G78</f>
        <v>0</v>
      </c>
      <c r="O78" s="1296">
        <f>+Béthune!E78+Bois!E78+Lens!E78+Madeleine!E78+Tourcoing!E78+Calais!E78+Eu!E78+Caudry!E78+Cambrai!E78+Amiens!E78+Compiègne!E78+Boulogne!E78+StOmer!E78</f>
        <v>7776.52</v>
      </c>
      <c r="P78" s="1285">
        <f>+Béthune!F78+Bois!F78+Lens!F78+Madeleine!F78+Tourcoing!F78+Calais!F78+Eu!F78+Caudry!F78+Cambrai!F78+Amiens!F78+Compiègne!F78+Boulogne!F78+StOmer!F78</f>
        <v>1683.9</v>
      </c>
      <c r="Q78" s="438">
        <f t="shared" si="23"/>
        <v>1598.1480000000001</v>
      </c>
      <c r="R78" s="1286">
        <f t="shared" si="21"/>
        <v>1598.1480000000001</v>
      </c>
      <c r="S78" s="1323">
        <f t="shared" si="24"/>
        <v>-0.78346355439193882</v>
      </c>
      <c r="T78" s="1324">
        <f t="shared" si="25"/>
        <v>-5.0924639230358067E-2</v>
      </c>
      <c r="U78" s="1209">
        <f>+Béthune!D78+Bois!D78+Lens!D78+Madeleine!D78+Tourcoing!D78+Calais!D78+Eu!D78+Caudry!D78+Cambrai!D78+Amiens!D78+Compiègne!D78+Boulogne!D78+StOmer!D78</f>
        <v>8557.7784816085405</v>
      </c>
      <c r="V78" s="25">
        <f t="shared" si="22"/>
        <v>1</v>
      </c>
    </row>
    <row r="79" spans="1:22" s="113" customFormat="1" ht="11.25">
      <c r="A79" s="18" t="s">
        <v>102</v>
      </c>
      <c r="B79" s="1223">
        <f>+Boulogne!$G79</f>
        <v>25000</v>
      </c>
      <c r="C79" s="438">
        <f>+Compiègne!$G79</f>
        <v>18750</v>
      </c>
      <c r="D79" s="438">
        <f>+Amiens!$G79</f>
        <v>25591.186462630292</v>
      </c>
      <c r="E79" s="438">
        <f>+Cambrai!$G79</f>
        <v>14761.824000000001</v>
      </c>
      <c r="F79" s="438">
        <f>+Caudry!$G79</f>
        <v>32315.600000000013</v>
      </c>
      <c r="G79" s="438">
        <f>+Eu!$G79</f>
        <v>42072</v>
      </c>
      <c r="H79" s="438">
        <f>+Calais!$G79</f>
        <v>11280.746448598129</v>
      </c>
      <c r="I79" s="438"/>
      <c r="J79" s="438">
        <f>+Madeleine!$G79</f>
        <v>35219.435736677115</v>
      </c>
      <c r="K79" s="438">
        <f>+Lens!$G79</f>
        <v>19992.933333333334</v>
      </c>
      <c r="L79" s="438">
        <f>+Bois!$G79</f>
        <v>7686</v>
      </c>
      <c r="M79" s="438">
        <f>+Béthune!$G79</f>
        <v>22791.830106809077</v>
      </c>
      <c r="N79" s="1224">
        <f>+StOmer!$G79</f>
        <v>50470.208593658055</v>
      </c>
      <c r="O79" s="1296">
        <f>+Béthune!E79+Bois!E79+Lens!E79+Madeleine!E79+Tourcoing!E79+Calais!E79+Eu!E79+Caudry!E79+Cambrai!E79+Amiens!E79+Compiègne!E79+Boulogne!E79+StOmer!E79</f>
        <v>327609.87</v>
      </c>
      <c r="P79" s="1285">
        <f>+Béthune!F79+Bois!F79+Lens!F79+Madeleine!F79+Tourcoing!F79+Calais!F79+Eu!F79+Caudry!F79+Cambrai!F79+Amiens!F79+Compiègne!F79+Boulogne!F79+StOmer!F79</f>
        <v>319379.56</v>
      </c>
      <c r="Q79" s="438">
        <f t="shared" si="23"/>
        <v>305931.76468170597</v>
      </c>
      <c r="R79" s="1286">
        <f t="shared" si="21"/>
        <v>305931.76468170597</v>
      </c>
      <c r="S79" s="1323">
        <f t="shared" si="24"/>
        <v>-2.5122289508554788E-2</v>
      </c>
      <c r="T79" s="1324">
        <f t="shared" si="25"/>
        <v>-4.2105998637777649E-2</v>
      </c>
      <c r="U79" s="1209">
        <f>+Béthune!D79+Bois!D79+Lens!D79+Madeleine!D79+Tourcoing!D79+Calais!D79+Eu!D79+Caudry!D79+Cambrai!D79+Amiens!D79+Compiègne!D79+Boulogne!D79+StOmer!D79</f>
        <v>334120.9062335327</v>
      </c>
      <c r="V79" s="25">
        <f t="shared" si="22"/>
        <v>1</v>
      </c>
    </row>
    <row r="80" spans="1:22" s="113" customFormat="1" ht="11.25">
      <c r="A80" s="18" t="s">
        <v>325</v>
      </c>
      <c r="B80" s="1223">
        <f>+Boulogne!$G80</f>
        <v>141.13746666666668</v>
      </c>
      <c r="C80" s="438">
        <f>+Compiègne!$G80</f>
        <v>0</v>
      </c>
      <c r="D80" s="438">
        <f>+Amiens!$G80</f>
        <v>0</v>
      </c>
      <c r="E80" s="438">
        <f>+Cambrai!$G80</f>
        <v>0</v>
      </c>
      <c r="F80" s="438">
        <f>+Caudry!$G80</f>
        <v>0</v>
      </c>
      <c r="G80" s="438">
        <f>+Eu!$G80</f>
        <v>0</v>
      </c>
      <c r="H80" s="438">
        <f>+Calais!$G80</f>
        <v>0</v>
      </c>
      <c r="I80" s="438"/>
      <c r="J80" s="438">
        <f>+Madeleine!$G80</f>
        <v>7560.7768000000005</v>
      </c>
      <c r="K80" s="438">
        <f>+Lens!$G80</f>
        <v>0</v>
      </c>
      <c r="L80" s="438">
        <f>+Bois!$G80</f>
        <v>2659.9853000000003</v>
      </c>
      <c r="M80" s="438">
        <f>+Béthune!$G80</f>
        <v>0</v>
      </c>
      <c r="N80" s="1224">
        <f>+StOmer!$G80</f>
        <v>0</v>
      </c>
      <c r="O80" s="1296">
        <f>+Béthune!E80+Bois!E80+Lens!E80+Madeleine!E80+Tourcoing!E80+Calais!E80+Eu!E80+Caudry!E80+Cambrai!E80+Amiens!E80+Compiègne!E80+Boulogne!E80+StOmer!E80</f>
        <v>7246.42</v>
      </c>
      <c r="P80" s="1285">
        <f>+Béthune!F80+Bois!F80+Lens!F80+Madeleine!F80+Tourcoing!F80+Calais!F80+Eu!F80+Caudry!F80+Cambrai!F80+Amiens!F80+Compiègne!F80+Boulogne!F80+StOmer!F80</f>
        <v>10060.096666666666</v>
      </c>
      <c r="Q80" s="438">
        <f t="shared" si="23"/>
        <v>10361.899566666667</v>
      </c>
      <c r="R80" s="1286">
        <f t="shared" si="21"/>
        <v>10361.899566666667</v>
      </c>
      <c r="S80" s="1323">
        <f t="shared" si="24"/>
        <v>0.38828506582100764</v>
      </c>
      <c r="T80" s="1324">
        <f t="shared" si="25"/>
        <v>3.0000000000000061E-2</v>
      </c>
      <c r="U80" s="1209">
        <f>+Béthune!D80+Bois!D80+Lens!D80+Madeleine!D80+Tourcoing!D80+Calais!D80+Eu!D80+Caudry!D80+Cambrai!D80+Amiens!D80+Compiègne!D80+Boulogne!D80+StOmer!D80</f>
        <v>6758.4098163840754</v>
      </c>
      <c r="V80" s="25">
        <f t="shared" si="22"/>
        <v>1</v>
      </c>
    </row>
    <row r="81" spans="1:22" s="113" customFormat="1" ht="11.25">
      <c r="A81" s="18" t="s">
        <v>103</v>
      </c>
      <c r="B81" s="1223">
        <f>+Boulogne!$G81</f>
        <v>0</v>
      </c>
      <c r="C81" s="438">
        <f>+Compiègne!$G81</f>
        <v>0</v>
      </c>
      <c r="D81" s="438">
        <f>+Amiens!$G81</f>
        <v>0</v>
      </c>
      <c r="E81" s="438">
        <f>+Cambrai!$G81</f>
        <v>0</v>
      </c>
      <c r="F81" s="438">
        <f>+Caudry!$G81</f>
        <v>0</v>
      </c>
      <c r="G81" s="438">
        <f>+Eu!$G81</f>
        <v>0</v>
      </c>
      <c r="H81" s="438">
        <f>+Calais!$G81</f>
        <v>0</v>
      </c>
      <c r="I81" s="438"/>
      <c r="J81" s="438">
        <f>+Madeleine!$G81</f>
        <v>0</v>
      </c>
      <c r="K81" s="438">
        <f>+Lens!$G81</f>
        <v>0</v>
      </c>
      <c r="L81" s="438">
        <f>+Bois!$G81</f>
        <v>0</v>
      </c>
      <c r="M81" s="438">
        <f>+Béthune!$G81</f>
        <v>0</v>
      </c>
      <c r="N81" s="1224">
        <f>+StOmer!$G81</f>
        <v>0</v>
      </c>
      <c r="O81" s="1296">
        <f>+Béthune!E81+Bois!E81+Lens!E81+Madeleine!E81+Tourcoing!E81+Calais!E81+Eu!E81+Caudry!E81+Cambrai!E81+Amiens!E81+Compiègne!E81+Boulogne!E81+StOmer!E81</f>
        <v>0</v>
      </c>
      <c r="P81" s="1285">
        <f>+Béthune!F81+Bois!F81+Lens!F81+Madeleine!F81+Tourcoing!F81+Calais!F81+Eu!F81+Caudry!F81+Cambrai!F81+Amiens!F81+Compiègne!F81+Boulogne!F81+StOmer!F81</f>
        <v>0</v>
      </c>
      <c r="Q81" s="438">
        <f t="shared" si="23"/>
        <v>0</v>
      </c>
      <c r="R81" s="1286">
        <f t="shared" si="21"/>
        <v>0</v>
      </c>
      <c r="S81" s="1323">
        <f t="shared" si="24"/>
        <v>0</v>
      </c>
      <c r="T81" s="1324">
        <f t="shared" si="25"/>
        <v>0</v>
      </c>
      <c r="U81" s="1209">
        <f>+Béthune!D81+Bois!D81+Lens!D81+Madeleine!D81+Tourcoing!D81+Calais!D81+Eu!D81+Caudry!D81+Cambrai!D81+Amiens!D81+Compiègne!D81+Boulogne!D81+StOmer!D81</f>
        <v>1.270105427951389</v>
      </c>
      <c r="V81" s="25">
        <f t="shared" si="22"/>
        <v>1</v>
      </c>
    </row>
    <row r="82" spans="1:22" s="113" customFormat="1" ht="11.25">
      <c r="A82" s="18" t="s">
        <v>105</v>
      </c>
      <c r="B82" s="1223">
        <f>+Boulogne!$G82</f>
        <v>242.874</v>
      </c>
      <c r="C82" s="438">
        <f>+Compiègne!$G82</f>
        <v>61.800000000000004</v>
      </c>
      <c r="D82" s="438">
        <f>+Amiens!$G82</f>
        <v>185.4</v>
      </c>
      <c r="E82" s="438">
        <f>+Cambrai!$G82</f>
        <v>185.4</v>
      </c>
      <c r="F82" s="438">
        <f>+Caudry!$G82</f>
        <v>185.4</v>
      </c>
      <c r="G82" s="438">
        <f>+Eu!$G82</f>
        <v>185.4</v>
      </c>
      <c r="H82" s="438">
        <f>+Calais!$G82</f>
        <v>185.4</v>
      </c>
      <c r="I82" s="438"/>
      <c r="J82" s="438">
        <f>+Madeleine!$G82</f>
        <v>332.34666666666669</v>
      </c>
      <c r="K82" s="438">
        <f>+Lens!$G82</f>
        <v>185.4</v>
      </c>
      <c r="L82" s="438">
        <f>+Bois!$G82</f>
        <v>185.4</v>
      </c>
      <c r="M82" s="438">
        <f>+Béthune!$G82</f>
        <v>185.4</v>
      </c>
      <c r="N82" s="1224">
        <f>+StOmer!$G82</f>
        <v>210.12</v>
      </c>
      <c r="O82" s="1296">
        <f>+Béthune!E82+Bois!E82+Lens!E82+Madeleine!E82+Tourcoing!E82+Calais!E82+Eu!E82+Caudry!E82+Cambrai!E82+Amiens!E82+Compiègne!E82+Boulogne!E82+StOmer!E82</f>
        <v>2892.9500000000003</v>
      </c>
      <c r="P82" s="1285">
        <f>+Béthune!F82+Bois!F82+Lens!F82+Madeleine!F82+Tourcoing!F82+Calais!F82+Eu!F82+Caudry!F82+Cambrai!F82+Amiens!F82+Compiègne!F82+Boulogne!F82+StOmer!F82</f>
        <v>2352.4666666666667</v>
      </c>
      <c r="Q82" s="438">
        <f t="shared" si="23"/>
        <v>2330.3406666666669</v>
      </c>
      <c r="R82" s="1286">
        <f t="shared" si="21"/>
        <v>2330.3406666666669</v>
      </c>
      <c r="S82" s="1323">
        <f t="shared" si="24"/>
        <v>-0.18682774791591059</v>
      </c>
      <c r="T82" s="1324">
        <f t="shared" si="25"/>
        <v>-9.4054467650975214E-3</v>
      </c>
      <c r="U82" s="1209">
        <f>+Béthune!D82+Bois!D82+Lens!D82+Madeleine!D82+Tourcoing!D82+Calais!D82+Eu!D82+Caudry!D82+Cambrai!D82+Amiens!D82+Compiègne!D82+Boulogne!D82+StOmer!D82</f>
        <v>2529.2283101925095</v>
      </c>
      <c r="V82" s="25">
        <f t="shared" si="22"/>
        <v>1</v>
      </c>
    </row>
    <row r="83" spans="1:22" s="113" customFormat="1" ht="11.25">
      <c r="A83" s="18" t="s">
        <v>287</v>
      </c>
      <c r="B83" s="1223">
        <f>+Boulogne!$G83</f>
        <v>958.91626666666673</v>
      </c>
      <c r="C83" s="438">
        <f>+Compiègne!$G83</f>
        <v>209.63933333333335</v>
      </c>
      <c r="D83" s="438">
        <f>+Amiens!$G83</f>
        <v>0</v>
      </c>
      <c r="E83" s="438">
        <f>+Cambrai!$G83</f>
        <v>0</v>
      </c>
      <c r="F83" s="438">
        <f>+Caudry!$G83</f>
        <v>0</v>
      </c>
      <c r="G83" s="438">
        <f>+Eu!$G83</f>
        <v>1190.1856</v>
      </c>
      <c r="H83" s="438">
        <f>+Calais!$G83</f>
        <v>294.56626666666671</v>
      </c>
      <c r="I83" s="438"/>
      <c r="J83" s="438">
        <f>+Madeleine!$G83</f>
        <v>354.33373333333333</v>
      </c>
      <c r="K83" s="438">
        <f>+Lens!$G83</f>
        <v>0</v>
      </c>
      <c r="L83" s="438">
        <f>+Bois!$G83</f>
        <v>921.34186666666665</v>
      </c>
      <c r="M83" s="438">
        <f>+Béthune!$G83</f>
        <v>0</v>
      </c>
      <c r="N83" s="1224">
        <f>+StOmer!$G83</f>
        <v>250.20759999999999</v>
      </c>
      <c r="O83" s="1296">
        <f>+Béthune!E83+Bois!E83+Lens!E83+Madeleine!E83+Tourcoing!E83+Calais!E83+Eu!E83+Caudry!E83+Cambrai!E83+Amiens!E83+Compiègne!E83+Boulogne!E83+StOmer!E83</f>
        <v>2992.15</v>
      </c>
      <c r="P83" s="1285">
        <f>+Béthune!F83+Bois!F83+Lens!F83+Madeleine!F83+Tourcoing!F83+Calais!F83+Eu!F83+Caudry!F83+Cambrai!F83+Amiens!F83+Compiègne!F83+Boulogne!F83+StOmer!F83</f>
        <v>4057.4666666666667</v>
      </c>
      <c r="Q83" s="438">
        <f t="shared" si="23"/>
        <v>4179.1906666666673</v>
      </c>
      <c r="R83" s="1286">
        <f t="shared" si="21"/>
        <v>4179.1906666666673</v>
      </c>
      <c r="S83" s="1323">
        <f t="shared" si="24"/>
        <v>0.35603718619275992</v>
      </c>
      <c r="T83" s="1324">
        <f t="shared" si="25"/>
        <v>3.0000000000000152E-2</v>
      </c>
      <c r="U83" s="1209">
        <f>+Béthune!D83+Bois!D83+Lens!D83+Madeleine!D83+Tourcoing!D83+Calais!D83+Eu!D83+Caudry!D83+Cambrai!D83+Amiens!D83+Compiègne!D83+Boulogne!D83+StOmer!D83</f>
        <v>2551.7384471043033</v>
      </c>
      <c r="V83" s="25">
        <f t="shared" si="22"/>
        <v>1</v>
      </c>
    </row>
    <row r="84" spans="1:22" s="113" customFormat="1" ht="11.25">
      <c r="A84" s="18" t="s">
        <v>108</v>
      </c>
      <c r="B84" s="1223">
        <f>+Boulogne!$G84</f>
        <v>5732.5679999999993</v>
      </c>
      <c r="C84" s="438">
        <f>+Compiègne!$G84</f>
        <v>8287.0229333333336</v>
      </c>
      <c r="D84" s="438">
        <f>+Amiens!$G84</f>
        <v>3679.0226666666667</v>
      </c>
      <c r="E84" s="438">
        <f>+Cambrai!$G84</f>
        <v>5111.3955999999998</v>
      </c>
      <c r="F84" s="438">
        <f>+Caudry!$G84</f>
        <v>203.25333333333333</v>
      </c>
      <c r="G84" s="438">
        <f>+Eu!$G84</f>
        <v>1332.7513333333334</v>
      </c>
      <c r="H84" s="438">
        <f>+Calais!$G84</f>
        <v>564.71466666666663</v>
      </c>
      <c r="I84" s="438"/>
      <c r="J84" s="438">
        <f>+Madeleine!$G84</f>
        <v>1761.7257333333332</v>
      </c>
      <c r="K84" s="438">
        <f>+Lens!$G84</f>
        <v>2318.6810666666665</v>
      </c>
      <c r="L84" s="438">
        <f>+Bois!$G84</f>
        <v>1060.3644000000002</v>
      </c>
      <c r="M84" s="438">
        <f>+Béthune!$G84</f>
        <v>371.91239999999999</v>
      </c>
      <c r="N84" s="1224">
        <f>+StOmer!$G84</f>
        <v>905.47986666666668</v>
      </c>
      <c r="O84" s="1296">
        <f>+Béthune!E84+Bois!E84+Lens!E84+Madeleine!E84+Tourcoing!E84+Calais!E84+Eu!E84+Caudry!E84+Cambrai!E84+Amiens!E84+Compiègne!E84+Boulogne!E84+StOmer!E84</f>
        <v>26802.850000000002</v>
      </c>
      <c r="P84" s="1285">
        <f>+Béthune!F84+Bois!F84+Lens!F84+Madeleine!F84+Tourcoing!F84+Calais!F84+Eu!F84+Caudry!F84+Cambrai!F84+Amiens!F84+Compiègne!F84+Boulogne!F84+StOmer!F84</f>
        <v>36643.910000000003</v>
      </c>
      <c r="Q84" s="438">
        <f t="shared" si="23"/>
        <v>31328.892000000003</v>
      </c>
      <c r="R84" s="1286">
        <f t="shared" si="21"/>
        <v>31328.892000000003</v>
      </c>
      <c r="S84" s="1323">
        <f t="shared" si="24"/>
        <v>0.36716468584497547</v>
      </c>
      <c r="T84" s="1324">
        <f t="shared" si="25"/>
        <v>-0.14504505660012809</v>
      </c>
      <c r="U84" s="1209">
        <f>+Béthune!D84+Bois!D84+Lens!D84+Madeleine!D84+Tourcoing!D84+Calais!D84+Eu!D84+Caudry!D84+Cambrai!D84+Amiens!D84+Compiègne!D84+Boulogne!D84+StOmer!D84</f>
        <v>22930.799407955328</v>
      </c>
      <c r="V84" s="25">
        <f t="shared" si="22"/>
        <v>1</v>
      </c>
    </row>
    <row r="85" spans="1:22" s="113" customFormat="1" ht="11.25">
      <c r="A85" s="18" t="s">
        <v>109</v>
      </c>
      <c r="B85" s="1223">
        <f>+Boulogne!$G85</f>
        <v>0</v>
      </c>
      <c r="C85" s="438">
        <f>+Compiègne!$G85</f>
        <v>0</v>
      </c>
      <c r="D85" s="438">
        <f>+Amiens!$G85</f>
        <v>1282.6933333333334</v>
      </c>
      <c r="E85" s="438">
        <f>+Cambrai!$G85</f>
        <v>294.4426666666667</v>
      </c>
      <c r="F85" s="438">
        <f>+Caudry!$G85</f>
        <v>1282.6933333333334</v>
      </c>
      <c r="G85" s="438">
        <f>+Eu!$G85</f>
        <v>1965.24</v>
      </c>
      <c r="H85" s="438">
        <f>+Calais!$G85</f>
        <v>1282.6933333333334</v>
      </c>
      <c r="I85" s="438"/>
      <c r="J85" s="438">
        <f>+Madeleine!$G85</f>
        <v>1011.8719999999998</v>
      </c>
      <c r="K85" s="438">
        <f>+Lens!$G85</f>
        <v>1011.8719999999998</v>
      </c>
      <c r="L85" s="438">
        <f>+Bois!$G85</f>
        <v>1271.4319999999998</v>
      </c>
      <c r="M85" s="438">
        <f>+Béthune!$G85</f>
        <v>1011.8719999999998</v>
      </c>
      <c r="N85" s="1224">
        <f>+StOmer!$G85</f>
        <v>1282.6933333333334</v>
      </c>
      <c r="O85" s="1296">
        <f>+Béthune!E85+Bois!E85+Lens!E85+Madeleine!E85+Tourcoing!E85+Calais!E85+Eu!E85+Caudry!E85+Cambrai!E85+Amiens!E85+Compiègne!E85+Boulogne!E85+StOmer!E85</f>
        <v>10525.65</v>
      </c>
      <c r="P85" s="1285">
        <f>+Béthune!F85+Bois!F85+Lens!F85+Madeleine!F85+Tourcoing!F85+Calais!F85+Eu!F85+Caudry!F85+Cambrai!F85+Amiens!F85+Compiègne!F85+Boulogne!F85+StOmer!F85</f>
        <v>12093.6</v>
      </c>
      <c r="Q85" s="438">
        <f t="shared" si="23"/>
        <v>11697.503999999997</v>
      </c>
      <c r="R85" s="1286">
        <f t="shared" si="21"/>
        <v>11697.503999999997</v>
      </c>
      <c r="S85" s="1323">
        <f t="shared" si="24"/>
        <v>0.14896467201550506</v>
      </c>
      <c r="T85" s="1324">
        <f t="shared" si="25"/>
        <v>-3.2752530263941523E-2</v>
      </c>
      <c r="U85" s="1209">
        <f>+Béthune!D85+Bois!D85+Lens!D85+Madeleine!D85+Tourcoing!D85+Calais!D85+Eu!D85+Caudry!D85+Cambrai!D85+Amiens!D85+Compiègne!D85+Boulogne!D85+StOmer!D85</f>
        <v>14144.819963573653</v>
      </c>
      <c r="V85" s="25">
        <f t="shared" si="22"/>
        <v>1</v>
      </c>
    </row>
    <row r="86" spans="1:22" s="113" customFormat="1" ht="11.25">
      <c r="A86" s="18" t="s">
        <v>106</v>
      </c>
      <c r="B86" s="1223">
        <f>+Boulogne!$G86</f>
        <v>1206.5008</v>
      </c>
      <c r="C86" s="438">
        <f>+Compiègne!$G86</f>
        <v>109.35853333333333</v>
      </c>
      <c r="D86" s="438">
        <f>+Amiens!$G86</f>
        <v>662.09773333333328</v>
      </c>
      <c r="E86" s="438">
        <f>+Cambrai!$G86</f>
        <v>584.60053333333337</v>
      </c>
      <c r="F86" s="438">
        <f>+Caudry!$G86</f>
        <v>1882.0572000000002</v>
      </c>
      <c r="G86" s="438">
        <f>+Eu!$G86</f>
        <v>5392.5306666666675</v>
      </c>
      <c r="H86" s="438">
        <f>+Calais!$G86</f>
        <v>1061.5866666666666</v>
      </c>
      <c r="I86" s="438"/>
      <c r="J86" s="438">
        <f>+Madeleine!$G86</f>
        <v>478.56546666666668</v>
      </c>
      <c r="K86" s="438">
        <f>+Lens!$G86</f>
        <v>132.62279999999998</v>
      </c>
      <c r="L86" s="438">
        <f>+Bois!$G86</f>
        <v>0</v>
      </c>
      <c r="M86" s="438">
        <f>+Béthune!$G86</f>
        <v>293.33026666666672</v>
      </c>
      <c r="N86" s="1224">
        <f>+StOmer!$G86</f>
        <v>1835.7072000000003</v>
      </c>
      <c r="O86" s="1296">
        <f>+Béthune!E86+Bois!E86+Lens!E86+Madeleine!E86+Tourcoing!E86+Calais!E86+Eu!E86+Caudry!E86+Cambrai!E86+Amiens!E86+Compiègne!E86+Boulogne!E86+StOmer!E86</f>
        <v>12075.7</v>
      </c>
      <c r="P86" s="1285">
        <f>+Béthune!F86+Bois!F86+Lens!F86+Madeleine!F86+Tourcoing!F86+Calais!F86+Eu!F86+Caudry!F86+Cambrai!F86+Amiens!F86+Compiègne!F86+Boulogne!F86+StOmer!F86</f>
        <v>13603.016666666668</v>
      </c>
      <c r="Q86" s="438">
        <f t="shared" si="23"/>
        <v>13638.957866666668</v>
      </c>
      <c r="R86" s="1286">
        <f t="shared" si="21"/>
        <v>13638.957866666668</v>
      </c>
      <c r="S86" s="1323">
        <f t="shared" si="24"/>
        <v>0.12647852022381043</v>
      </c>
      <c r="T86" s="1324">
        <f t="shared" si="25"/>
        <v>2.6421492291537757E-3</v>
      </c>
      <c r="U86" s="1209">
        <f>+Béthune!D86+Bois!D86+Lens!D86+Madeleine!D86+Tourcoing!D86+Calais!D86+Eu!D86+Caudry!D86+Cambrai!D86+Amiens!D86+Compiègne!D86+Boulogne!D86+StOmer!D86</f>
        <v>14710.317751458946</v>
      </c>
      <c r="V86" s="25">
        <f t="shared" si="22"/>
        <v>1</v>
      </c>
    </row>
    <row r="87" spans="1:22" s="113" customFormat="1" ht="11.25">
      <c r="A87" s="18" t="s">
        <v>363</v>
      </c>
      <c r="B87" s="1223">
        <f>+Boulogne!$G87</f>
        <v>0</v>
      </c>
      <c r="C87" s="438">
        <f>+Compiègne!$G87</f>
        <v>0</v>
      </c>
      <c r="D87" s="438">
        <f>+Amiens!$G87</f>
        <v>0</v>
      </c>
      <c r="E87" s="438">
        <f>+Cambrai!$G87</f>
        <v>0</v>
      </c>
      <c r="F87" s="438">
        <f>+Caudry!$G87</f>
        <v>0</v>
      </c>
      <c r="G87" s="438">
        <f>+Eu!$G87</f>
        <v>0</v>
      </c>
      <c r="H87" s="438">
        <f>+Calais!$G87</f>
        <v>0</v>
      </c>
      <c r="I87" s="438"/>
      <c r="J87" s="438">
        <f>+Madeleine!$G87</f>
        <v>0</v>
      </c>
      <c r="K87" s="438">
        <f>+Lens!$G87</f>
        <v>0</v>
      </c>
      <c r="L87" s="438">
        <f>+Bois!$G87</f>
        <v>0</v>
      </c>
      <c r="M87" s="438">
        <f>+Béthune!$G87</f>
        <v>0</v>
      </c>
      <c r="N87" s="1224">
        <f>+StOmer!$G87</f>
        <v>0</v>
      </c>
      <c r="O87" s="1296">
        <f>+Béthune!E87+Bois!E87+Lens!E87+Madeleine!E87+Tourcoing!E87+Calais!E87+Eu!E87+Caudry!E87+Cambrai!E87+Amiens!E87+Compiègne!E87+Boulogne!E87+StOmer!E87</f>
        <v>0</v>
      </c>
      <c r="P87" s="1285">
        <f>+Béthune!F87+Bois!F87+Lens!F87+Madeleine!F87+Tourcoing!F87+Calais!F87+Eu!F87+Caudry!F87+Cambrai!F87+Amiens!F87+Compiègne!F87+Boulogne!F87+StOmer!F87</f>
        <v>0</v>
      </c>
      <c r="Q87" s="438">
        <f t="shared" si="23"/>
        <v>0</v>
      </c>
      <c r="R87" s="1286">
        <f t="shared" si="21"/>
        <v>0</v>
      </c>
      <c r="S87" s="1323">
        <f t="shared" si="24"/>
        <v>0</v>
      </c>
      <c r="T87" s="1324">
        <f t="shared" si="25"/>
        <v>0</v>
      </c>
      <c r="U87" s="1209">
        <f>+Béthune!D87+Bois!D87+Lens!D87+Madeleine!D87+Tourcoing!D87+Calais!D87+Eu!D87+Caudry!D87+Cambrai!D87+Amiens!D87+Compiègne!D87+Boulogne!D87+StOmer!D87</f>
        <v>86.262500000000003</v>
      </c>
      <c r="V87" s="25">
        <f t="shared" si="22"/>
        <v>1</v>
      </c>
    </row>
    <row r="88" spans="1:22" s="25" customFormat="1" ht="11.25">
      <c r="A88" s="18" t="s">
        <v>111</v>
      </c>
      <c r="B88" s="1248">
        <f>+Boulogne!$G88</f>
        <v>3582.1217250000004</v>
      </c>
      <c r="C88" s="1249">
        <f>+Compiègne!$G88</f>
        <v>2792.9191500000002</v>
      </c>
      <c r="D88" s="1249">
        <f>+Amiens!$G88</f>
        <v>2693.7603000000004</v>
      </c>
      <c r="E88" s="1249">
        <f>+Cambrai!$G88</f>
        <v>2532.4314750000003</v>
      </c>
      <c r="F88" s="1249">
        <f>+Caudry!$G88</f>
        <v>2811.6285750000002</v>
      </c>
      <c r="G88" s="1249">
        <f>+Eu!$G88</f>
        <v>5028.524550000001</v>
      </c>
      <c r="H88" s="1249">
        <f>+Calais!$G88</f>
        <v>2677.2779250000003</v>
      </c>
      <c r="I88" s="1249"/>
      <c r="J88" s="1249">
        <f>+Madeleine!$G88</f>
        <v>2810.8347750000003</v>
      </c>
      <c r="K88" s="1249">
        <f>+Lens!$G88</f>
        <v>2221.0744500000005</v>
      </c>
      <c r="L88" s="1249">
        <f>+Bois!$G88</f>
        <v>1863.8313750000002</v>
      </c>
      <c r="M88" s="1249">
        <f>+Béthune!$G88</f>
        <v>2531.3730750000004</v>
      </c>
      <c r="N88" s="1224">
        <f>+StOmer!$G88</f>
        <v>3000</v>
      </c>
      <c r="O88" s="1296">
        <f>+Béthune!E88+Bois!E88+Lens!E88+Madeleine!E88+Tourcoing!E88+Calais!E88+Eu!E88+Caudry!E88+Cambrai!E88+Amiens!E88+Compiègne!E88+Boulogne!E88+StOmer!E88</f>
        <v>34918.030000000006</v>
      </c>
      <c r="P88" s="1285">
        <f>+Béthune!F88+Bois!F88+Lens!F88+Madeleine!F88+Tourcoing!F88+Calais!F88+Eu!F88+Caudry!F88+Cambrai!F88+Amiens!F88+Compiègne!F88+Boulogne!F88+StOmer!F88</f>
        <v>37237.64</v>
      </c>
      <c r="Q88" s="438">
        <f t="shared" si="23"/>
        <v>34545.777375000005</v>
      </c>
      <c r="R88" s="1286">
        <f t="shared" si="21"/>
        <v>34545.777375000005</v>
      </c>
      <c r="S88" s="1323">
        <f t="shared" si="24"/>
        <v>6.6430150841842825E-2</v>
      </c>
      <c r="T88" s="1324">
        <f t="shared" si="25"/>
        <v>-7.2288754738484881E-2</v>
      </c>
      <c r="U88" s="1209">
        <f>+Béthune!D88+Bois!D88+Lens!D88+Madeleine!D88+Tourcoing!D88+Calais!D88+Eu!D88+Caudry!D88+Cambrai!D88+Amiens!D88+Compiègne!D88+Boulogne!D88+StOmer!D88</f>
        <v>38512.803899999999</v>
      </c>
      <c r="V88" s="25">
        <f t="shared" si="22"/>
        <v>1</v>
      </c>
    </row>
    <row r="89" spans="1:22" s="25" customFormat="1" ht="11.25">
      <c r="A89" s="18" t="s">
        <v>315</v>
      </c>
      <c r="B89" s="1248">
        <f>+Boulogne!$G89</f>
        <v>0</v>
      </c>
      <c r="C89" s="1249">
        <f>+Compiègne!$G89</f>
        <v>0</v>
      </c>
      <c r="D89" s="1249">
        <f>+Amiens!$G89</f>
        <v>0</v>
      </c>
      <c r="E89" s="1249">
        <f>+Cambrai!$G89</f>
        <v>0</v>
      </c>
      <c r="F89" s="1249">
        <f>+Caudry!$G89</f>
        <v>0</v>
      </c>
      <c r="G89" s="1249">
        <f>+Eu!$G89</f>
        <v>0</v>
      </c>
      <c r="H89" s="1249">
        <f>+Calais!$G89</f>
        <v>0</v>
      </c>
      <c r="I89" s="1249"/>
      <c r="J89" s="1249">
        <f>+Madeleine!$G89</f>
        <v>0</v>
      </c>
      <c r="K89" s="1249">
        <f>+Lens!$G89</f>
        <v>0</v>
      </c>
      <c r="L89" s="1249">
        <f>+Bois!$G89</f>
        <v>0</v>
      </c>
      <c r="M89" s="1249">
        <f>+Béthune!$G89</f>
        <v>0</v>
      </c>
      <c r="N89" s="1224">
        <f>+StOmer!$G89</f>
        <v>0</v>
      </c>
      <c r="O89" s="1285">
        <f>+Béthune!E89+Bois!E89+Lens!E89+Madeleine!E89+Tourcoing!E89+Calais!E89+Eu!E89+Caudry!E89+Cambrai!E89+Amiens!E89+Compiègne!E89+Boulogne!E89+StOmer!E89</f>
        <v>0</v>
      </c>
      <c r="P89" s="1285">
        <f>+Béthune!F89+Bois!F89+Lens!F89+Madeleine!F89+Tourcoing!F89+Calais!F89+Eu!F89+Caudry!F89+Cambrai!F89+Amiens!F89+Compiègne!F89+Boulogne!F89+StOmer!F89</f>
        <v>0</v>
      </c>
      <c r="Q89" s="438">
        <f t="shared" si="23"/>
        <v>0</v>
      </c>
      <c r="R89" s="1286">
        <f t="shared" si="21"/>
        <v>0</v>
      </c>
      <c r="S89" s="1347">
        <f t="shared" si="24"/>
        <v>0</v>
      </c>
      <c r="T89" s="1324">
        <f t="shared" si="25"/>
        <v>0</v>
      </c>
      <c r="U89" s="1376">
        <f>+Béthune!D89+Bois!D89+Lens!D89+Madeleine!D89+Tourcoing!D89+Calais!D89+Eu!D89+Caudry!D89+Cambrai!D89+Amiens!D89+Compiègne!D89+Boulogne!D89+StOmer!D89</f>
        <v>0</v>
      </c>
      <c r="V89" s="25">
        <f t="shared" si="22"/>
        <v>0</v>
      </c>
    </row>
    <row r="90" spans="1:22" s="25" customFormat="1" ht="11.25">
      <c r="A90" s="18" t="s">
        <v>112</v>
      </c>
      <c r="B90" s="1248">
        <f>+Boulogne!$G90</f>
        <v>369.92106666666672</v>
      </c>
      <c r="C90" s="1249">
        <f>+Compiègne!$G90</f>
        <v>0</v>
      </c>
      <c r="D90" s="1249">
        <f>+Amiens!$G90</f>
        <v>182.11773333333335</v>
      </c>
      <c r="E90" s="1249">
        <f>+Cambrai!$G90</f>
        <v>341.82266666666669</v>
      </c>
      <c r="F90" s="1249">
        <f>+Caudry!$G90</f>
        <v>477.0136</v>
      </c>
      <c r="G90" s="1249">
        <f>+Eu!$G90</f>
        <v>0</v>
      </c>
      <c r="H90" s="1249">
        <f>+Calais!$G90</f>
        <v>0</v>
      </c>
      <c r="I90" s="1249"/>
      <c r="J90" s="1249">
        <f>+Madeleine!$G90</f>
        <v>282.90666666666669</v>
      </c>
      <c r="K90" s="1249">
        <f>+Lens!$G90</f>
        <v>83.842000000000013</v>
      </c>
      <c r="L90" s="1249">
        <f>+Bois!$G90</f>
        <v>0</v>
      </c>
      <c r="M90" s="1249">
        <f>+Béthune!$G90</f>
        <v>157.45266666666669</v>
      </c>
      <c r="N90" s="1224">
        <f>+StOmer!$G90</f>
        <v>0</v>
      </c>
      <c r="O90" s="1296">
        <f>+Béthune!E90+Bois!E90+Lens!E90+Madeleine!E90+Tourcoing!E90+Calais!E90+Eu!E90+Caudry!E90+Cambrai!E90+Amiens!E90+Compiègne!E90+Boulogne!E90+StOmer!E90</f>
        <v>3343.4</v>
      </c>
      <c r="P90" s="1285">
        <f>+Béthune!F90+Bois!F90+Lens!F90+Madeleine!F90+Tourcoing!F90+Calais!F90+Eu!F90+Caudry!F90+Cambrai!F90+Amiens!F90+Compiègne!F90+Boulogne!F90+StOmer!F90</f>
        <v>2010.2800000000002</v>
      </c>
      <c r="Q90" s="438">
        <f t="shared" si="23"/>
        <v>1895.0764000000004</v>
      </c>
      <c r="R90" s="1286">
        <f t="shared" si="21"/>
        <v>1895.0764000000004</v>
      </c>
      <c r="S90" s="1323">
        <f t="shared" si="24"/>
        <v>-0.39873182987378114</v>
      </c>
      <c r="T90" s="1324">
        <f t="shared" si="25"/>
        <v>-5.7307240782378484E-2</v>
      </c>
      <c r="U90" s="1209">
        <f>+Béthune!D90+Bois!D90+Lens!D90+Madeleine!D90+Tourcoing!D90+Calais!D90+Eu!D90+Caudry!D90+Cambrai!D90+Amiens!D90+Compiègne!D90+Boulogne!D90+StOmer!D90</f>
        <v>3756.3899751140907</v>
      </c>
      <c r="V90" s="25">
        <f t="shared" si="22"/>
        <v>1</v>
      </c>
    </row>
    <row r="91" spans="1:22" s="25" customFormat="1" ht="11.25">
      <c r="A91" s="18" t="s">
        <v>113</v>
      </c>
      <c r="B91" s="1248">
        <f>+Boulogne!$G91</f>
        <v>2147.3714666666669</v>
      </c>
      <c r="C91" s="1249">
        <f>+Compiègne!$G91</f>
        <v>164.29186666666666</v>
      </c>
      <c r="D91" s="1249">
        <f>+Amiens!$G91</f>
        <v>2716.9752000000003</v>
      </c>
      <c r="E91" s="1249">
        <f>+Cambrai!$G91</f>
        <v>1183.3876</v>
      </c>
      <c r="F91" s="1249">
        <f>+Caudry!$G91</f>
        <v>1095.9474666666667</v>
      </c>
      <c r="G91" s="1249">
        <f>+Eu!$G91</f>
        <v>63.708933333333341</v>
      </c>
      <c r="H91" s="1249">
        <f>+Calais!$G91</f>
        <v>423.65960000000007</v>
      </c>
      <c r="I91" s="1249"/>
      <c r="J91" s="1249">
        <f>+Madeleine!$G91</f>
        <v>1646.2696000000001</v>
      </c>
      <c r="K91" s="1249">
        <f>+Lens!$G91</f>
        <v>105.32093333333333</v>
      </c>
      <c r="L91" s="1249">
        <f>+Bois!$G91</f>
        <v>0</v>
      </c>
      <c r="M91" s="1249">
        <f>+Béthune!$G91</f>
        <v>68.460666666666668</v>
      </c>
      <c r="N91" s="1224">
        <f>+StOmer!$G91</f>
        <v>185.20773333333335</v>
      </c>
      <c r="O91" s="1296">
        <f>+Béthune!E91+Bois!E91+Lens!E91+Madeleine!E91+Tourcoing!E91+Calais!E91+Eu!E91+Caudry!E91+Cambrai!E91+Amiens!E91+Compiègne!E91+Boulogne!E91+StOmer!E91</f>
        <v>5690.2699999999995</v>
      </c>
      <c r="P91" s="1285">
        <f>+Béthune!F91+Bois!F91+Lens!F91+Madeleine!F91+Tourcoing!F91+Calais!F91+Eu!F91+Caudry!F91+Cambrai!F91+Amiens!F91+Compiègne!F91+Boulogne!F91+StOmer!F91</f>
        <v>10113.206666666667</v>
      </c>
      <c r="Q91" s="438">
        <f t="shared" si="23"/>
        <v>9800.6010666666643</v>
      </c>
      <c r="R91" s="1286">
        <f t="shared" si="21"/>
        <v>9800.6010666666643</v>
      </c>
      <c r="S91" s="1323">
        <f t="shared" si="24"/>
        <v>0.77728063284636195</v>
      </c>
      <c r="T91" s="1324">
        <f t="shared" si="25"/>
        <v>-3.0910631049433309E-2</v>
      </c>
      <c r="U91" s="1209">
        <f>+Béthune!D91+Bois!D91+Lens!D91+Madeleine!D91+Tourcoing!D91+Calais!D91+Eu!D91+Caudry!D91+Cambrai!D91+Amiens!D91+Compiègne!D91+Boulogne!D91+StOmer!D91</f>
        <v>7681.6427314596413</v>
      </c>
      <c r="V91" s="25">
        <f t="shared" si="22"/>
        <v>1</v>
      </c>
    </row>
    <row r="92" spans="1:22" s="25" customFormat="1" ht="11.25">
      <c r="A92" s="18" t="s">
        <v>309</v>
      </c>
      <c r="B92" s="1248">
        <f>+Boulogne!$G92</f>
        <v>0</v>
      </c>
      <c r="C92" s="1249">
        <f>+Compiègne!$G92</f>
        <v>0</v>
      </c>
      <c r="D92" s="1249">
        <f>+Amiens!$G92</f>
        <v>0</v>
      </c>
      <c r="E92" s="1249">
        <f>+Cambrai!$G92</f>
        <v>0</v>
      </c>
      <c r="F92" s="1249">
        <f>+Caudry!$G92</f>
        <v>0</v>
      </c>
      <c r="G92" s="1249">
        <f>+Eu!$G92</f>
        <v>0</v>
      </c>
      <c r="H92" s="1249">
        <f>+Calais!$G92</f>
        <v>0</v>
      </c>
      <c r="I92" s="1249"/>
      <c r="J92" s="1249">
        <f>+Madeleine!$G92</f>
        <v>0</v>
      </c>
      <c r="K92" s="1249">
        <f>+Lens!$G92</f>
        <v>0</v>
      </c>
      <c r="L92" s="1249">
        <f>+Bois!$G92</f>
        <v>0</v>
      </c>
      <c r="M92" s="1249">
        <f>+Béthune!$G92</f>
        <v>0</v>
      </c>
      <c r="N92" s="1224">
        <f>+StOmer!$G92</f>
        <v>0</v>
      </c>
      <c r="O92" s="1285">
        <f>+Béthune!E92+Bois!E92+Lens!E92+Madeleine!E92+Tourcoing!E92+Calais!E92+Eu!E92+Caudry!E92+Cambrai!E92+Amiens!E92+Compiègne!E92+Boulogne!E92+StOmer!E92</f>
        <v>0</v>
      </c>
      <c r="P92" s="1285">
        <f>+Béthune!F92+Bois!F92+Lens!F92+Madeleine!F92+Tourcoing!F92+Calais!F92+Eu!F92+Caudry!F92+Cambrai!F92+Amiens!F92+Compiègne!F92+Boulogne!F92+StOmer!F92</f>
        <v>0</v>
      </c>
      <c r="Q92" s="438">
        <f t="shared" si="23"/>
        <v>0</v>
      </c>
      <c r="R92" s="1286">
        <f t="shared" si="21"/>
        <v>0</v>
      </c>
      <c r="S92" s="1347">
        <f t="shared" si="24"/>
        <v>0</v>
      </c>
      <c r="T92" s="1324">
        <f t="shared" si="25"/>
        <v>0</v>
      </c>
      <c r="U92" s="1376">
        <f>+Béthune!D92+Bois!D92+Lens!D92+Madeleine!D92+Tourcoing!D92+Calais!D92+Eu!D92+Caudry!D92+Cambrai!D92+Amiens!D92+Compiègne!D92+Boulogne!D92+StOmer!D92</f>
        <v>0</v>
      </c>
      <c r="V92" s="25">
        <f t="shared" si="22"/>
        <v>0</v>
      </c>
    </row>
    <row r="93" spans="1:22" s="25" customFormat="1" ht="11.25">
      <c r="A93" s="18" t="s">
        <v>115</v>
      </c>
      <c r="B93" s="1248">
        <f>+Boulogne!$G93</f>
        <v>0</v>
      </c>
      <c r="C93" s="1249">
        <f>+Compiègne!$G93</f>
        <v>4394.6666666666661</v>
      </c>
      <c r="D93" s="1249">
        <f>+Amiens!$G93</f>
        <v>0</v>
      </c>
      <c r="E93" s="1249">
        <f>+Cambrai!$G93</f>
        <v>0</v>
      </c>
      <c r="F93" s="1249">
        <f>+Caudry!$G93</f>
        <v>0</v>
      </c>
      <c r="G93" s="1249">
        <f>+Eu!$G93</f>
        <v>0</v>
      </c>
      <c r="H93" s="1249">
        <f>+Calais!$G93</f>
        <v>0</v>
      </c>
      <c r="I93" s="1249"/>
      <c r="J93" s="1249">
        <f>+Madeleine!$G93</f>
        <v>0</v>
      </c>
      <c r="K93" s="1249">
        <f>+Lens!$G93</f>
        <v>0</v>
      </c>
      <c r="L93" s="1249">
        <f>+Bois!$G93</f>
        <v>0</v>
      </c>
      <c r="M93" s="1249">
        <f>+Béthune!$G93</f>
        <v>0</v>
      </c>
      <c r="N93" s="1224">
        <f>+StOmer!$G93</f>
        <v>0</v>
      </c>
      <c r="O93" s="1296">
        <f>+Béthune!E93+Bois!E93+Lens!E93+Madeleine!E93+Tourcoing!E93+Calais!E93+Eu!E93+Caudry!E93+Cambrai!E93+Amiens!E93+Compiègne!E93+Boulogne!E93+StOmer!E93</f>
        <v>758.84</v>
      </c>
      <c r="P93" s="1285">
        <f>+Béthune!F93+Bois!F93+Lens!F93+Madeleine!F93+Tourcoing!F93+Calais!F93+Eu!F93+Caudry!F93+Cambrai!F93+Amiens!F93+Compiègne!F93+Boulogne!F93+StOmer!F93</f>
        <v>4266.6666666666661</v>
      </c>
      <c r="Q93" s="438">
        <f t="shared" si="23"/>
        <v>4394.6666666666661</v>
      </c>
      <c r="R93" s="1286">
        <f t="shared" si="21"/>
        <v>4394.6666666666661</v>
      </c>
      <c r="S93" s="1323">
        <f t="shared" si="24"/>
        <v>4.622616976789133</v>
      </c>
      <c r="T93" s="1324">
        <f t="shared" si="25"/>
        <v>3.0000000000000006E-2</v>
      </c>
      <c r="U93" s="1209">
        <f>+Béthune!D93+Bois!D93+Lens!D93+Madeleine!D93+Tourcoing!D93+Calais!D93+Eu!D93+Caudry!D93+Cambrai!D93+Amiens!D93+Compiègne!D93+Boulogne!D93+StOmer!D93</f>
        <v>1616.6334672222224</v>
      </c>
      <c r="V93" s="25">
        <f t="shared" si="22"/>
        <v>1</v>
      </c>
    </row>
    <row r="94" spans="1:22" s="25" customFormat="1" ht="11.25">
      <c r="A94" s="18" t="s">
        <v>42</v>
      </c>
      <c r="B94" s="1248">
        <f>+Boulogne!$G94</f>
        <v>0</v>
      </c>
      <c r="C94" s="1249">
        <f>+Compiègne!$G94</f>
        <v>0</v>
      </c>
      <c r="D94" s="1249">
        <f>+Amiens!$G94</f>
        <v>0</v>
      </c>
      <c r="E94" s="1249">
        <f>+Cambrai!$G94</f>
        <v>0</v>
      </c>
      <c r="F94" s="1249">
        <f>+Caudry!$G94</f>
        <v>0</v>
      </c>
      <c r="G94" s="1249">
        <f>+Eu!$G94</f>
        <v>0</v>
      </c>
      <c r="H94" s="1249">
        <f>+Calais!$G94</f>
        <v>0</v>
      </c>
      <c r="I94" s="1249"/>
      <c r="J94" s="1249">
        <f>+Madeleine!$G94</f>
        <v>0</v>
      </c>
      <c r="K94" s="1249">
        <f>+Lens!$G94</f>
        <v>0</v>
      </c>
      <c r="L94" s="1249">
        <f>+Bois!$G94</f>
        <v>0</v>
      </c>
      <c r="M94" s="1249">
        <f>+Béthune!$G94</f>
        <v>0</v>
      </c>
      <c r="N94" s="1224">
        <f>+StOmer!$G94</f>
        <v>0</v>
      </c>
      <c r="O94" s="1296">
        <f>+Béthune!E94+Bois!E94+Lens!E94+Madeleine!E94+Tourcoing!E94+Calais!E94+Eu!E94+Caudry!E94+Cambrai!E94+Amiens!E94+Compiègne!E94+Boulogne!E94+StOmer!E94</f>
        <v>1.1199999999999761</v>
      </c>
      <c r="P94" s="1285">
        <f>+Béthune!F94+Bois!F94+Lens!F94+Madeleine!F94+Tourcoing!F94+Calais!F94+Eu!F94+Caudry!F94+Cambrai!F94+Amiens!F94+Compiègne!F94+Boulogne!F94+StOmer!F94</f>
        <v>0</v>
      </c>
      <c r="Q94" s="438">
        <f t="shared" si="23"/>
        <v>0</v>
      </c>
      <c r="R94" s="1286">
        <f t="shared" si="21"/>
        <v>0</v>
      </c>
      <c r="S94" s="1323">
        <f t="shared" si="24"/>
        <v>-1</v>
      </c>
      <c r="T94" s="1324">
        <f t="shared" si="25"/>
        <v>0</v>
      </c>
      <c r="U94" s="1209">
        <f>+Béthune!D94+Bois!D94+Lens!D94+Madeleine!D94+Tourcoing!D94+Calais!D94+Eu!D94+Caudry!D94+Cambrai!D94+Amiens!D94+Compiègne!D94+Boulogne!D94+StOmer!D94</f>
        <v>26.14290171950725</v>
      </c>
      <c r="V94" s="25">
        <f t="shared" si="22"/>
        <v>1</v>
      </c>
    </row>
    <row r="95" spans="1:22" s="25" customFormat="1" ht="11.25">
      <c r="A95" s="18" t="s">
        <v>117</v>
      </c>
      <c r="B95" s="1248">
        <f>+Boulogne!$G95</f>
        <v>29698.773210064017</v>
      </c>
      <c r="C95" s="1249">
        <f>+Compiègne!$G95</f>
        <v>9246.1143390594843</v>
      </c>
      <c r="D95" s="1249">
        <f>+Amiens!$G95</f>
        <v>9060.4867599643003</v>
      </c>
      <c r="E95" s="1249">
        <f>+Cambrai!$G95</f>
        <v>1386.7813612207642</v>
      </c>
      <c r="F95" s="1249">
        <f>+Caudry!$G95</f>
        <v>11095.20475352297</v>
      </c>
      <c r="G95" s="1249">
        <f>+Eu!$G95</f>
        <v>3031.1172034557521</v>
      </c>
      <c r="H95" s="1249">
        <f>+Calais!$G95</f>
        <v>26027.091967819164</v>
      </c>
      <c r="I95" s="1249"/>
      <c r="J95" s="1249">
        <f>+Madeleine!$G95</f>
        <v>7056.0580622923862</v>
      </c>
      <c r="K95" s="1249">
        <f>+Lens!$G95</f>
        <v>3983.0745906714374</v>
      </c>
      <c r="L95" s="1249">
        <f>+Bois!$G95</f>
        <v>186.12468289025793</v>
      </c>
      <c r="M95" s="1249">
        <f>+Béthune!$G95</f>
        <v>1767.0054109080613</v>
      </c>
      <c r="N95" s="1224">
        <f>+StOmer!$G95</f>
        <v>2733.6578025606882</v>
      </c>
      <c r="O95" s="1296">
        <f>+Béthune!E95+Bois!E95+Lens!E95+Madeleine!E95+Tourcoing!E95+Calais!E95+Eu!E95+Caudry!E95+Cambrai!E95+Amiens!E95+Compiègne!E95+Boulogne!E95+StOmer!E95</f>
        <v>112704.84999999998</v>
      </c>
      <c r="P95" s="1285">
        <f>+Béthune!F95+Bois!F95+Lens!F95+Madeleine!F95+Tourcoing!F95+Calais!F95+Eu!F95+Caudry!F95+Cambrai!F95+Amiens!F95+Compiègne!F95+Boulogne!F95+StOmer!F95</f>
        <v>103664.73999999999</v>
      </c>
      <c r="Q95" s="438">
        <f t="shared" si="23"/>
        <v>105271.49014442928</v>
      </c>
      <c r="R95" s="1286">
        <f t="shared" si="21"/>
        <v>105271.49014442928</v>
      </c>
      <c r="S95" s="1323">
        <f t="shared" si="24"/>
        <v>-8.0210478963416279E-2</v>
      </c>
      <c r="T95" s="1324">
        <f t="shared" si="25"/>
        <v>1.5499485595866894E-2</v>
      </c>
      <c r="U95" s="1209">
        <f>+Béthune!D95+Bois!D95+Lens!D95+Madeleine!D95+Tourcoing!D95+Calais!D95+Eu!D95+Caudry!D95+Cambrai!D95+Amiens!D95+Compiègne!D95+Boulogne!D95+StOmer!D95</f>
        <v>109088.80873005214</v>
      </c>
      <c r="V95" s="25">
        <f t="shared" si="22"/>
        <v>1</v>
      </c>
    </row>
    <row r="96" spans="1:22" s="25" customFormat="1" ht="11.25">
      <c r="A96" s="18" t="s">
        <v>118</v>
      </c>
      <c r="B96" s="1248">
        <f>+Boulogne!$G96</f>
        <v>6223.7544000000016</v>
      </c>
      <c r="C96" s="1249">
        <f>+Compiègne!$G96</f>
        <v>9233.8538666666682</v>
      </c>
      <c r="D96" s="1249">
        <f>+Amiens!$G96</f>
        <v>10605.388133333332</v>
      </c>
      <c r="E96" s="1249">
        <f>+Cambrai!$G96</f>
        <v>3624.6936000000001</v>
      </c>
      <c r="F96" s="1249">
        <f>+Caudry!$G96</f>
        <v>5410.974533333334</v>
      </c>
      <c r="G96" s="1249">
        <f>+Eu!$G96</f>
        <v>3668.1183999999998</v>
      </c>
      <c r="H96" s="1249">
        <f>+Calais!$G96</f>
        <v>3677.0588000000002</v>
      </c>
      <c r="I96" s="1249"/>
      <c r="J96" s="1249">
        <f>+Madeleine!$G96</f>
        <v>16764.829333333335</v>
      </c>
      <c r="K96" s="1249">
        <f>+Lens!$G96</f>
        <v>4484.9084000000012</v>
      </c>
      <c r="L96" s="1249">
        <f>+Bois!$G96</f>
        <v>3000</v>
      </c>
      <c r="M96" s="1249">
        <f>+Béthune!$G96</f>
        <v>5987.0466666666671</v>
      </c>
      <c r="N96" s="1224">
        <f>+StOmer!$G96</f>
        <v>2931.1190666666666</v>
      </c>
      <c r="O96" s="1296">
        <f>+Béthune!E96+Bois!E96+Lens!E96+Madeleine!E96+Tourcoing!E96+Calais!E96+Eu!E96+Caudry!E96+Cambrai!E96+Amiens!E96+Compiègne!E96+Boulogne!E96+StOmer!E96</f>
        <v>91450.12000000001</v>
      </c>
      <c r="P96" s="1285">
        <f>+Béthune!F96+Bois!F96+Lens!F96+Madeleine!F96+Tourcoing!F96+Calais!F96+Eu!F96+Caudry!F96+Cambrai!F96+Amiens!F96+Compiègne!F96+Boulogne!F96+StOmer!F96</f>
        <v>77483.17333333334</v>
      </c>
      <c r="Q96" s="438">
        <f t="shared" si="23"/>
        <v>75611.745200000005</v>
      </c>
      <c r="R96" s="1286">
        <f t="shared" si="21"/>
        <v>75611.745200000005</v>
      </c>
      <c r="S96" s="1323">
        <f t="shared" si="24"/>
        <v>-0.15272748320796811</v>
      </c>
      <c r="T96" s="1324">
        <f t="shared" si="25"/>
        <v>-2.4152703778437586E-2</v>
      </c>
      <c r="U96" s="1209">
        <f>+Béthune!D96+Bois!D96+Lens!D96+Madeleine!D96+Tourcoing!D96+Calais!D96+Eu!D96+Caudry!D96+Cambrai!D96+Amiens!D96+Compiègne!D96+Boulogne!D96+StOmer!D96</f>
        <v>97019.141219026613</v>
      </c>
      <c r="V96" s="25">
        <f t="shared" si="22"/>
        <v>1</v>
      </c>
    </row>
    <row r="97" spans="1:22" s="25" customFormat="1" ht="11.25">
      <c r="A97" s="18" t="s">
        <v>7</v>
      </c>
      <c r="B97" s="1248">
        <f>+Boulogne!$G97</f>
        <v>0</v>
      </c>
      <c r="C97" s="1249">
        <f>+Compiègne!$G97</f>
        <v>1686.6318666666668</v>
      </c>
      <c r="D97" s="1249">
        <f>+Amiens!$G97</f>
        <v>0</v>
      </c>
      <c r="E97" s="1249">
        <f>+Cambrai!$G97</f>
        <v>0</v>
      </c>
      <c r="F97" s="1249">
        <f>+Caudry!$G97</f>
        <v>65.109733333333324</v>
      </c>
      <c r="G97" s="1249">
        <f>+Eu!$G97</f>
        <v>80.147733333333335</v>
      </c>
      <c r="H97" s="1249">
        <f>+Calais!$G97</f>
        <v>0</v>
      </c>
      <c r="I97" s="1249"/>
      <c r="J97" s="1249">
        <f>+Madeleine!$G97</f>
        <v>246.81546666666668</v>
      </c>
      <c r="K97" s="1249">
        <f>+Lens!$G97</f>
        <v>0</v>
      </c>
      <c r="L97" s="1249">
        <f>+Bois!$G97</f>
        <v>0</v>
      </c>
      <c r="M97" s="1249">
        <f>+Béthune!$G97</f>
        <v>0</v>
      </c>
      <c r="N97" s="1224">
        <f>+StOmer!$G97</f>
        <v>0</v>
      </c>
      <c r="O97" s="1296">
        <f>+Béthune!E97+Bois!E97+Lens!E97+Madeleine!E97+Tourcoing!E97+Calais!E97+Eu!E97+Caudry!E97+Cambrai!E97+Amiens!E97+Compiègne!E97+Boulogne!E97+StOmer!E97</f>
        <v>2659.1799999999994</v>
      </c>
      <c r="P97" s="1285">
        <f>+Béthune!F97+Bois!F97+Lens!F97+Madeleine!F97+Tourcoing!F97+Calais!F97+Eu!F97+Caudry!F97+Cambrai!F97+Amiens!F97+Compiègne!F97+Boulogne!F97+StOmer!F97</f>
        <v>2030.6900000000003</v>
      </c>
      <c r="Q97" s="438">
        <f t="shared" si="23"/>
        <v>2078.7048</v>
      </c>
      <c r="R97" s="1286">
        <f t="shared" si="21"/>
        <v>2078.7048</v>
      </c>
      <c r="S97" s="1323">
        <f t="shared" si="24"/>
        <v>-0.23634729503079868</v>
      </c>
      <c r="T97" s="1324">
        <f t="shared" si="25"/>
        <v>2.3644574011788943E-2</v>
      </c>
      <c r="U97" s="1209">
        <f>+Béthune!D97+Bois!D97+Lens!D97+Madeleine!D97+Tourcoing!D97+Calais!D97+Eu!D97+Caudry!D97+Cambrai!D97+Amiens!D97+Compiègne!D97+Boulogne!D97+StOmer!D97</f>
        <v>3145.694721740756</v>
      </c>
      <c r="V97" s="25">
        <f t="shared" si="22"/>
        <v>1</v>
      </c>
    </row>
    <row r="98" spans="1:22" s="25" customFormat="1" ht="11.25">
      <c r="A98" s="18" t="s">
        <v>307</v>
      </c>
      <c r="B98" s="1248">
        <f>+Boulogne!$G98</f>
        <v>0</v>
      </c>
      <c r="C98" s="1249">
        <f>+Compiègne!$G98</f>
        <v>1000</v>
      </c>
      <c r="D98" s="1249">
        <f>+Amiens!$G98</f>
        <v>0</v>
      </c>
      <c r="E98" s="1249">
        <f>+Cambrai!$G98</f>
        <v>0</v>
      </c>
      <c r="F98" s="1249">
        <f>+Caudry!$G98</f>
        <v>0</v>
      </c>
      <c r="G98" s="1249">
        <f>+Eu!$G98</f>
        <v>0</v>
      </c>
      <c r="H98" s="1249">
        <f>+Calais!$G98</f>
        <v>0</v>
      </c>
      <c r="I98" s="1249"/>
      <c r="J98" s="1249">
        <f>+Madeleine!$G98</f>
        <v>0</v>
      </c>
      <c r="K98" s="1249">
        <f>+Lens!$G98</f>
        <v>0</v>
      </c>
      <c r="L98" s="1249">
        <f>+Bois!$G98</f>
        <v>0</v>
      </c>
      <c r="M98" s="1249">
        <f>+Béthune!$G98</f>
        <v>0</v>
      </c>
      <c r="N98" s="1224">
        <f>+StOmer!$G98</f>
        <v>0</v>
      </c>
      <c r="O98" s="1296">
        <f>+Béthune!E98+Bois!E98+Lens!E98+Madeleine!E98+Tourcoing!E98+Calais!E98+Eu!E98+Caudry!E98+Cambrai!E98+Amiens!E98+Compiègne!E98+Boulogne!E98+StOmer!E98</f>
        <v>0</v>
      </c>
      <c r="P98" s="1285">
        <f>+Béthune!F98+Bois!F98+Lens!F98+Madeleine!F98+Tourcoing!F98+Calais!F98+Eu!F98+Caudry!F98+Cambrai!F98+Amiens!F98+Compiègne!F98+Boulogne!F98+StOmer!F98</f>
        <v>383.4666666666667</v>
      </c>
      <c r="Q98" s="438">
        <f t="shared" si="23"/>
        <v>1000</v>
      </c>
      <c r="R98" s="1286">
        <f t="shared" si="21"/>
        <v>1000</v>
      </c>
      <c r="S98" s="1323">
        <f t="shared" si="24"/>
        <v>0</v>
      </c>
      <c r="T98" s="1324">
        <f t="shared" si="25"/>
        <v>1.6077885952712099</v>
      </c>
      <c r="U98" s="1209">
        <f>+Béthune!D98+Bois!D98+Lens!D98+Madeleine!D98+Tourcoing!D98+Calais!D98+Eu!D98+Caudry!D98+Cambrai!D98+Amiens!D98+Compiègne!D98+Boulogne!D98+StOmer!D98</f>
        <v>1800</v>
      </c>
      <c r="V98" s="25">
        <f t="shared" si="22"/>
        <v>1</v>
      </c>
    </row>
    <row r="99" spans="1:22" s="25" customFormat="1" ht="11.25">
      <c r="A99" s="18" t="s">
        <v>119</v>
      </c>
      <c r="B99" s="1248">
        <f>+Boulogne!$G99</f>
        <v>5975.7466666666678</v>
      </c>
      <c r="C99" s="1249">
        <f>+Compiègne!$G99</f>
        <v>3300.6800000000003</v>
      </c>
      <c r="D99" s="1249">
        <f>+Amiens!$G99</f>
        <v>6190.6933333333345</v>
      </c>
      <c r="E99" s="1249">
        <f>+Cambrai!$G99</f>
        <v>3866.2666666666664</v>
      </c>
      <c r="F99" s="1249">
        <f>+Caudry!$G99</f>
        <v>4549.4666666666662</v>
      </c>
      <c r="G99" s="1249">
        <f>+Eu!$G99</f>
        <v>3259.92</v>
      </c>
      <c r="H99" s="1249">
        <f>+Calais!$G99</f>
        <v>3701.4800000000005</v>
      </c>
      <c r="I99" s="1249"/>
      <c r="J99" s="1249">
        <f>+Madeleine!$G99</f>
        <v>5470.0666666666666</v>
      </c>
      <c r="K99" s="1249">
        <f>+Lens!$G99</f>
        <v>2629.2000000000003</v>
      </c>
      <c r="L99" s="1249">
        <f>+Bois!$G99</f>
        <v>2412.4933333333329</v>
      </c>
      <c r="M99" s="1249">
        <f>+Béthune!$G99</f>
        <v>4882.5200000000004</v>
      </c>
      <c r="N99" s="1224">
        <f>+StOmer!$G99</f>
        <v>3865.3866666666663</v>
      </c>
      <c r="O99" s="1296">
        <f>+Béthune!E99+Bois!E99+Lens!E99+Madeleine!E99+Tourcoing!E99+Calais!E99+Eu!E99+Caudry!E99+Cambrai!E99+Amiens!E99+Compiègne!E99+Boulogne!E99+StOmer!E99</f>
        <v>55919.519999999997</v>
      </c>
      <c r="P99" s="1285">
        <f>+Béthune!F99+Bois!F99+Lens!F99+Madeleine!F99+Tourcoing!F99+Calais!F99+Eu!F99+Caudry!F99+Cambrai!F99+Amiens!F99+Compiègne!F99+Boulogne!F99+StOmer!F99</f>
        <v>52446.95</v>
      </c>
      <c r="Q99" s="438">
        <f t="shared" si="23"/>
        <v>50103.920000000006</v>
      </c>
      <c r="R99" s="1286">
        <f t="shared" si="21"/>
        <v>50103.920000000006</v>
      </c>
      <c r="S99" s="1323">
        <f t="shared" si="24"/>
        <v>-6.2099424315516301E-2</v>
      </c>
      <c r="T99" s="1324">
        <f t="shared" si="25"/>
        <v>-4.4674285158622033E-2</v>
      </c>
      <c r="U99" s="1209">
        <f>+Béthune!D99+Bois!D99+Lens!D99+Madeleine!D99+Tourcoing!D99+Calais!D99+Eu!D99+Caudry!D99+Cambrai!D99+Amiens!D99+Compiègne!D99+Boulogne!D99+StOmer!D99</f>
        <v>60951.340989620221</v>
      </c>
      <c r="V99" s="25">
        <f t="shared" si="22"/>
        <v>1</v>
      </c>
    </row>
    <row r="100" spans="1:22" s="25" customFormat="1" ht="11.25">
      <c r="A100" s="18" t="s">
        <v>120</v>
      </c>
      <c r="B100" s="1248">
        <f>+Boulogne!$G100</f>
        <v>1982.7912000000001</v>
      </c>
      <c r="C100" s="1249">
        <f>+Compiègne!$G100</f>
        <v>404.76253333333335</v>
      </c>
      <c r="D100" s="1249">
        <f>+Amiens!$G100</f>
        <v>731.69826666666665</v>
      </c>
      <c r="E100" s="1249">
        <f>+Cambrai!$G100</f>
        <v>1765.1728000000001</v>
      </c>
      <c r="F100" s="1249">
        <f>+Caudry!$G100</f>
        <v>1529.2478666666668</v>
      </c>
      <c r="G100" s="1249">
        <f>+Eu!$G100</f>
        <v>4828.0769333333337</v>
      </c>
      <c r="H100" s="1249">
        <f>+Calais!$G100</f>
        <v>1049.6112000000001</v>
      </c>
      <c r="I100" s="1249"/>
      <c r="J100" s="1249">
        <f>+Madeleine!$G100</f>
        <v>326.41386666666665</v>
      </c>
      <c r="K100" s="1249">
        <f>+Lens!$G100</f>
        <v>396.67360000000002</v>
      </c>
      <c r="L100" s="1249">
        <f>+Bois!$G100</f>
        <v>175.30599999999998</v>
      </c>
      <c r="M100" s="1249">
        <f>+Béthune!$G100</f>
        <v>477.21960000000001</v>
      </c>
      <c r="N100" s="1224">
        <f>+StOmer!$G100</f>
        <v>4620.0032000000001</v>
      </c>
      <c r="O100" s="1296">
        <f>+Béthune!E100+Bois!E100+Lens!E100+Madeleine!E100+Tourcoing!E100+Calais!E100+Eu!E100+Caudry!E100+Cambrai!E100+Amiens!E100+Compiègne!E100+Boulogne!E100+StOmer!E100</f>
        <v>9431.9900000000016</v>
      </c>
      <c r="P100" s="1285">
        <f>+Béthune!F100+Bois!F100+Lens!F100+Madeleine!F100+Tourcoing!F100+Calais!F100+Eu!F100+Caudry!F100+Cambrai!F100+Amiens!F100+Compiègne!F100+Boulogne!F100+StOmer!F100</f>
        <v>18827.746666666666</v>
      </c>
      <c r="Q100" s="438">
        <f t="shared" si="23"/>
        <v>18286.977066666666</v>
      </c>
      <c r="R100" s="1286">
        <f t="shared" si="21"/>
        <v>18286.977066666666</v>
      </c>
      <c r="S100" s="1323">
        <f t="shared" si="24"/>
        <v>0.99615846355505711</v>
      </c>
      <c r="T100" s="1324">
        <f t="shared" si="25"/>
        <v>-2.8721950086432701E-2</v>
      </c>
      <c r="U100" s="1209">
        <f>+Béthune!D100+Bois!D100+Lens!D100+Madeleine!D100+Tourcoing!D100+Calais!D100+Eu!D100+Caudry!D100+Cambrai!D100+Amiens!D100+Compiègne!D100+Boulogne!D100+StOmer!D100</f>
        <v>10456.828283439336</v>
      </c>
      <c r="V100" s="25">
        <f t="shared" si="22"/>
        <v>1</v>
      </c>
    </row>
    <row r="101" spans="1:22" s="25" customFormat="1" ht="11.25">
      <c r="A101" s="18" t="s">
        <v>121</v>
      </c>
      <c r="B101" s="1248">
        <f>+Boulogne!$G101</f>
        <v>0</v>
      </c>
      <c r="C101" s="1249">
        <f>+Compiègne!$G101</f>
        <v>0</v>
      </c>
      <c r="D101" s="1249">
        <f>+Amiens!$G101</f>
        <v>0</v>
      </c>
      <c r="E101" s="1249">
        <f>+Cambrai!$G101</f>
        <v>0</v>
      </c>
      <c r="F101" s="1249">
        <f>+Caudry!$G101</f>
        <v>0</v>
      </c>
      <c r="G101" s="1249">
        <f>+Eu!$G101</f>
        <v>0</v>
      </c>
      <c r="H101" s="1249">
        <f>+Calais!$G101</f>
        <v>0</v>
      </c>
      <c r="I101" s="1249"/>
      <c r="J101" s="1249">
        <f>+Madeleine!$G101</f>
        <v>0</v>
      </c>
      <c r="K101" s="1249">
        <f>+Lens!$G101</f>
        <v>0</v>
      </c>
      <c r="L101" s="1249">
        <f>+Bois!$G101</f>
        <v>0</v>
      </c>
      <c r="M101" s="1249">
        <f>+Béthune!$G101</f>
        <v>0</v>
      </c>
      <c r="N101" s="1224">
        <f>+StOmer!$G101</f>
        <v>0</v>
      </c>
      <c r="O101" s="1296">
        <f>+Béthune!E101+Bois!E101+Lens!E101+Madeleine!E101+Tourcoing!E101+Calais!E101+Eu!E101+Caudry!E101+Cambrai!E101+Amiens!E101+Compiègne!E101+Boulogne!E101+StOmer!E101</f>
        <v>0</v>
      </c>
      <c r="P101" s="1285">
        <f>+Béthune!F101+Bois!F101+Lens!F101+Madeleine!F101+Tourcoing!F101+Calais!F101+Eu!F101+Caudry!F101+Cambrai!F101+Amiens!F101+Compiègne!F101+Boulogne!F101+StOmer!F101</f>
        <v>0</v>
      </c>
      <c r="Q101" s="438">
        <f t="shared" si="23"/>
        <v>0</v>
      </c>
      <c r="R101" s="1286">
        <f t="shared" si="21"/>
        <v>0</v>
      </c>
      <c r="S101" s="1323">
        <f t="shared" si="24"/>
        <v>0</v>
      </c>
      <c r="T101" s="1324">
        <f t="shared" si="25"/>
        <v>0</v>
      </c>
      <c r="U101" s="1209">
        <f>+Béthune!D101+Bois!D101+Lens!D101+Madeleine!D101+Tourcoing!D101+Calais!D101+Eu!D101+Caudry!D101+Cambrai!D101+Amiens!D101+Compiègne!D101+Boulogne!D101+StOmer!D101</f>
        <v>67.959708141666667</v>
      </c>
      <c r="V101" s="25">
        <f t="shared" si="22"/>
        <v>1</v>
      </c>
    </row>
    <row r="102" spans="1:22" s="2" customFormat="1" ht="11.25">
      <c r="A102" s="1073"/>
      <c r="B102" s="1250"/>
      <c r="C102" s="1251"/>
      <c r="D102" s="1251"/>
      <c r="E102" s="1251"/>
      <c r="F102" s="1251"/>
      <c r="G102" s="1251"/>
      <c r="H102" s="1251"/>
      <c r="I102" s="1249"/>
      <c r="J102" s="1251"/>
      <c r="K102" s="1251"/>
      <c r="L102" s="1251"/>
      <c r="M102" s="1251"/>
      <c r="N102" s="1252"/>
      <c r="O102" s="1300"/>
      <c r="P102" s="1301"/>
      <c r="Q102" s="438"/>
      <c r="R102" s="1302"/>
      <c r="S102" s="1331"/>
      <c r="T102" s="1332"/>
      <c r="U102" s="1213"/>
    </row>
    <row r="103" spans="1:22" s="2" customFormat="1" ht="11.25">
      <c r="A103" s="13" t="s">
        <v>122</v>
      </c>
      <c r="B103" s="1225">
        <f t="shared" ref="B103:H103" si="26">SUM(B70:B101)</f>
        <v>116546.95373506403</v>
      </c>
      <c r="C103" s="1226">
        <f t="shared" si="26"/>
        <v>79650.836955726147</v>
      </c>
      <c r="D103" s="1226">
        <f t="shared" si="26"/>
        <v>73914.928255927924</v>
      </c>
      <c r="E103" s="1226">
        <f t="shared" si="26"/>
        <v>55292.912436220766</v>
      </c>
      <c r="F103" s="1226">
        <f t="shared" si="26"/>
        <v>79454.763195189647</v>
      </c>
      <c r="G103" s="1226">
        <f t="shared" si="26"/>
        <v>100925.56735345576</v>
      </c>
      <c r="H103" s="1226">
        <f t="shared" si="26"/>
        <v>70846.927274750618</v>
      </c>
      <c r="I103" s="1226"/>
      <c r="J103" s="1226">
        <f t="shared" ref="J103:R103" si="27">SUM(J70:J101)</f>
        <v>88577.403240636166</v>
      </c>
      <c r="K103" s="1226">
        <f t="shared" si="27"/>
        <v>51943.877040671439</v>
      </c>
      <c r="L103" s="1226">
        <f t="shared" si="27"/>
        <v>23479.504824556927</v>
      </c>
      <c r="M103" s="1226">
        <f t="shared" si="27"/>
        <v>45800.231392717134</v>
      </c>
      <c r="N103" s="1227">
        <f t="shared" si="27"/>
        <v>94039.559462885401</v>
      </c>
      <c r="O103" s="1303">
        <f t="shared" si="27"/>
        <v>950315.45000000007</v>
      </c>
      <c r="P103" s="1287">
        <f t="shared" si="27"/>
        <v>909720.33666666667</v>
      </c>
      <c r="Q103" s="1287">
        <f t="shared" si="27"/>
        <v>880473.46516780183</v>
      </c>
      <c r="R103" s="1227">
        <f t="shared" si="27"/>
        <v>880473.46516780183</v>
      </c>
      <c r="S103" s="93">
        <f>+IF((O103)=0,,(P103-O103)/O103)</f>
        <v>-4.2717513782748032E-2</v>
      </c>
      <c r="T103" s="1325">
        <f>+IF((P103)=0,,(R103-P103)/P103)</f>
        <v>-3.2149299427590212E-2</v>
      </c>
      <c r="U103" s="597">
        <f>+Béthune!D103+Bois!D103+Lens!D103+Madeleine!D103+Tourcoing!D103+Calais!D103+Eu!D103+Caudry!D103+Cambrai!D103+Amiens!D103+Compiègne!D103+Boulogne!D103+StOmer!D103</f>
        <v>955763.00921575422</v>
      </c>
      <c r="V103" s="2">
        <f t="shared" si="22"/>
        <v>1</v>
      </c>
    </row>
    <row r="104" spans="1:22" s="2" customFormat="1" ht="11.25">
      <c r="A104" s="5"/>
      <c r="B104" s="1323"/>
      <c r="C104" s="1347"/>
      <c r="D104" s="1347"/>
      <c r="E104" s="1347"/>
      <c r="F104" s="1347"/>
      <c r="G104" s="1347"/>
      <c r="H104" s="1347"/>
      <c r="I104" s="1347"/>
      <c r="J104" s="1347"/>
      <c r="K104" s="1347"/>
      <c r="L104" s="1347"/>
      <c r="M104" s="1347"/>
      <c r="N104" s="1348"/>
      <c r="O104" s="1322"/>
      <c r="P104" s="1322"/>
      <c r="Q104" s="1347"/>
      <c r="R104" s="1348"/>
      <c r="S104" s="1347"/>
      <c r="T104" s="1342"/>
      <c r="U104" s="1375"/>
      <c r="V104" s="2">
        <f t="shared" si="22"/>
        <v>0</v>
      </c>
    </row>
    <row r="105" spans="1:22" s="25" customFormat="1" ht="11.25">
      <c r="A105" s="18" t="s">
        <v>129</v>
      </c>
      <c r="B105" s="1223">
        <f>+Boulogne!$G105</f>
        <v>0</v>
      </c>
      <c r="C105" s="438">
        <f>+Compiègne!$G105</f>
        <v>0</v>
      </c>
      <c r="D105" s="438">
        <f>+Amiens!$G105</f>
        <v>0</v>
      </c>
      <c r="E105" s="438">
        <f>+Cambrai!$G105</f>
        <v>0</v>
      </c>
      <c r="F105" s="438">
        <f>+Caudry!$G105</f>
        <v>0</v>
      </c>
      <c r="G105" s="438">
        <f>+Eu!$G105</f>
        <v>0</v>
      </c>
      <c r="H105" s="438">
        <f>+Calais!$G105</f>
        <v>0</v>
      </c>
      <c r="I105" s="438"/>
      <c r="J105" s="438">
        <f>+Madeleine!$G105</f>
        <v>0</v>
      </c>
      <c r="K105" s="438">
        <f>+Lens!$G105</f>
        <v>0</v>
      </c>
      <c r="L105" s="438">
        <f>+Bois!$G105</f>
        <v>0</v>
      </c>
      <c r="M105" s="438">
        <f>+Béthune!$G105</f>
        <v>0</v>
      </c>
      <c r="N105" s="1224">
        <f>+StOmer!$G105</f>
        <v>820.40186666666671</v>
      </c>
      <c r="O105" s="1296">
        <f>+Béthune!E105+Bois!E105+Lens!E105+Madeleine!E105+Tourcoing!E105+Calais!E105+Eu!E105+Caudry!E105+Cambrai!E105+Amiens!E105+Compiègne!E105+Boulogne!E105+StOmer!E105</f>
        <v>10061.099999999999</v>
      </c>
      <c r="P105" s="1285">
        <f>+Béthune!F105+Bois!F105+Lens!F105+Madeleine!F105+Tourcoing!F105+Calais!F105+Eu!F105+Caudry!F105+Cambrai!F105+Amiens!F105+Compiègne!F105+Boulogne!F105+StOmer!F105</f>
        <v>796.50666666666666</v>
      </c>
      <c r="Q105" s="438">
        <f t="shared" ref="Q105:Q114" si="28">+R105</f>
        <v>820.40186666666671</v>
      </c>
      <c r="R105" s="1286">
        <f t="shared" ref="R105:R114" si="29">SUM(B105:N105)</f>
        <v>820.40186666666671</v>
      </c>
      <c r="S105" s="1323">
        <f>+IF((O105)=0,,(P105-O105)/O105)</f>
        <v>-0.9208330434379276</v>
      </c>
      <c r="T105" s="1324">
        <f>+IF((P105)=0,,(R105-P105)/P105)</f>
        <v>3.0000000000000058E-2</v>
      </c>
      <c r="U105" s="1209">
        <f>+Béthune!D105+Bois!D105+Lens!D105+Madeleine!D105+Tourcoing!D105+Calais!D105+Eu!D105+Caudry!D105+Cambrai!D105+Amiens!D105+Compiègne!D105+Boulogne!D105+StOmer!D105</f>
        <v>12294.698000000002</v>
      </c>
      <c r="V105" s="25">
        <f t="shared" si="22"/>
        <v>1</v>
      </c>
    </row>
    <row r="106" spans="1:22" s="113" customFormat="1" ht="11.25">
      <c r="A106" s="18" t="s">
        <v>130</v>
      </c>
      <c r="B106" s="1223">
        <f>+Boulogne!$G106</f>
        <v>19062.800533333335</v>
      </c>
      <c r="C106" s="438">
        <f>+Compiègne!$G106</f>
        <v>2450.7820000000002</v>
      </c>
      <c r="D106" s="438">
        <f>+Amiens!$G106</f>
        <v>2283.5649333333336</v>
      </c>
      <c r="E106" s="438">
        <f>+Cambrai!$G106</f>
        <v>4500</v>
      </c>
      <c r="F106" s="438">
        <f>+Caudry!$G106</f>
        <v>4715.2164000000002</v>
      </c>
      <c r="G106" s="438">
        <f>+Eu!$G106</f>
        <v>2032.9727999999998</v>
      </c>
      <c r="H106" s="438">
        <f>+Calais!$G106</f>
        <v>5426.7129333333332</v>
      </c>
      <c r="I106" s="438"/>
      <c r="J106" s="438">
        <f>+Madeleine!$G106</f>
        <v>6000</v>
      </c>
      <c r="K106" s="438">
        <f>+Lens!$G106</f>
        <v>2000</v>
      </c>
      <c r="L106" s="438">
        <f>+Bois!$G106</f>
        <v>1500</v>
      </c>
      <c r="M106" s="438">
        <f>+Béthune!$G106</f>
        <v>2885.0849333333335</v>
      </c>
      <c r="N106" s="1224">
        <f>+StOmer!$G106</f>
        <v>6000</v>
      </c>
      <c r="O106" s="1296">
        <f>+Béthune!E106+Bois!E106+Lens!E106+Madeleine!E106+Tourcoing!E106+Calais!E106+Eu!E106+Caudry!E106+Cambrai!E106+Amiens!E106+Compiègne!E106+Boulogne!E106+StOmer!E106</f>
        <v>75599.929999999993</v>
      </c>
      <c r="P106" s="1285">
        <f>+Béthune!F106+Bois!F106+Lens!F106+Madeleine!F106+Tourcoing!F106+Calais!F106+Eu!F106+Caudry!F106+Cambrai!F106+Amiens!F106+Compiègne!F106+Boulogne!F106+StOmer!F106</f>
        <v>79115.326666666675</v>
      </c>
      <c r="Q106" s="438">
        <f t="shared" si="28"/>
        <v>58857.134533333337</v>
      </c>
      <c r="R106" s="1286">
        <f t="shared" si="29"/>
        <v>58857.134533333337</v>
      </c>
      <c r="S106" s="1323">
        <f t="shared" ref="S106:S114" si="30">+IF((O106)=0,,(P106-O106)/O106)</f>
        <v>4.6499998963844047E-2</v>
      </c>
      <c r="T106" s="1324">
        <f t="shared" ref="T106:T114" si="31">+IF((P106)=0,,(R106-P106)/P106)</f>
        <v>-0.25605900887809435</v>
      </c>
      <c r="U106" s="1209">
        <f>+Béthune!D106+Bois!D106+Lens!D106+Madeleine!D106+Tourcoing!D106+Calais!D106+Eu!D106+Caudry!D106+Cambrai!D106+Amiens!D106+Compiègne!D106+Boulogne!D106+StOmer!D106</f>
        <v>60005.0069</v>
      </c>
      <c r="V106" s="25">
        <f t="shared" si="22"/>
        <v>1</v>
      </c>
    </row>
    <row r="107" spans="1:22" s="113" customFormat="1" ht="11.25">
      <c r="A107" s="18" t="s">
        <v>131</v>
      </c>
      <c r="B107" s="1223">
        <f>+Boulogne!$G107</f>
        <v>0</v>
      </c>
      <c r="C107" s="438">
        <f>+Compiègne!$G107</f>
        <v>0</v>
      </c>
      <c r="D107" s="438">
        <f>+Amiens!$G107</f>
        <v>0</v>
      </c>
      <c r="E107" s="438">
        <f>+Cambrai!$G107</f>
        <v>0</v>
      </c>
      <c r="F107" s="438">
        <f>+Caudry!$G107</f>
        <v>0</v>
      </c>
      <c r="G107" s="438">
        <f>+Eu!$G107</f>
        <v>0</v>
      </c>
      <c r="H107" s="438">
        <f>+Calais!$G107</f>
        <v>0</v>
      </c>
      <c r="I107" s="438"/>
      <c r="J107" s="438">
        <f>+Madeleine!$G107</f>
        <v>0</v>
      </c>
      <c r="K107" s="438">
        <f>+Lens!$G107</f>
        <v>0</v>
      </c>
      <c r="L107" s="438">
        <f>+Bois!$G107</f>
        <v>0</v>
      </c>
      <c r="M107" s="438">
        <f>+Béthune!$G107</f>
        <v>0</v>
      </c>
      <c r="N107" s="1224">
        <f>+StOmer!$G107</f>
        <v>0</v>
      </c>
      <c r="O107" s="1285">
        <f>+Béthune!E107+Bois!E107+Lens!E107+Madeleine!E107+Tourcoing!E107+Calais!E107+Eu!E107+Caudry!E107+Cambrai!E107+Amiens!E107+Compiègne!E107+Boulogne!E107+StOmer!E107</f>
        <v>0</v>
      </c>
      <c r="P107" s="1285">
        <f>+Béthune!F107+Bois!F107+Lens!F107+Madeleine!F107+Tourcoing!F107+Calais!F107+Eu!F107+Caudry!F107+Cambrai!F107+Amiens!F107+Compiègne!F107+Boulogne!F107+StOmer!F107</f>
        <v>-3544</v>
      </c>
      <c r="Q107" s="438">
        <f t="shared" si="28"/>
        <v>0</v>
      </c>
      <c r="R107" s="1286">
        <f t="shared" si="29"/>
        <v>0</v>
      </c>
      <c r="S107" s="1347">
        <f t="shared" si="30"/>
        <v>0</v>
      </c>
      <c r="T107" s="1324">
        <f t="shared" si="31"/>
        <v>-1</v>
      </c>
      <c r="U107" s="1376">
        <f>+Béthune!D107+Bois!D107+Lens!D107+Madeleine!D107+Tourcoing!D107+Calais!D107+Eu!D107+Caudry!D107+Cambrai!D107+Amiens!D107+Compiègne!D107+Boulogne!D107+StOmer!D107</f>
        <v>0</v>
      </c>
      <c r="V107" s="25">
        <f t="shared" si="22"/>
        <v>0</v>
      </c>
    </row>
    <row r="108" spans="1:22" s="113" customFormat="1" ht="11.25">
      <c r="A108" s="18" t="s">
        <v>132</v>
      </c>
      <c r="B108" s="1223">
        <f>+Boulogne!$G108</f>
        <v>450</v>
      </c>
      <c r="C108" s="438">
        <f>+Compiègne!$G108</f>
        <v>450</v>
      </c>
      <c r="D108" s="438">
        <f>+Amiens!$G108</f>
        <v>450</v>
      </c>
      <c r="E108" s="438">
        <f>+Cambrai!$G108</f>
        <v>450</v>
      </c>
      <c r="F108" s="438">
        <f>+Caudry!$G108</f>
        <v>450</v>
      </c>
      <c r="G108" s="438">
        <f>+Eu!$G108</f>
        <v>450</v>
      </c>
      <c r="H108" s="438">
        <f>+Calais!$G108</f>
        <v>450</v>
      </c>
      <c r="I108" s="438"/>
      <c r="J108" s="438">
        <f>+Madeleine!$G108</f>
        <v>450</v>
      </c>
      <c r="K108" s="438">
        <f>+Lens!$G108</f>
        <v>450</v>
      </c>
      <c r="L108" s="438">
        <f>+Bois!$G108</f>
        <v>450</v>
      </c>
      <c r="M108" s="438">
        <f>+Béthune!$G108</f>
        <v>450</v>
      </c>
      <c r="N108" s="1224">
        <f>+StOmer!$G108</f>
        <v>450</v>
      </c>
      <c r="O108" s="1296">
        <f>+Béthune!E108+Bois!E108+Lens!E108+Madeleine!E108+Tourcoing!E108+Calais!E108+Eu!E108+Caudry!E108+Cambrai!E108+Amiens!E108+Compiègne!E108+Boulogne!E108+StOmer!E108</f>
        <v>1571</v>
      </c>
      <c r="P108" s="1285">
        <f>+Béthune!F108+Bois!F108+Lens!F108+Madeleine!F108+Tourcoing!F108+Calais!F108+Eu!F108+Caudry!F108+Cambrai!F108+Amiens!F108+Compiègne!F108+Boulogne!F108+StOmer!F108</f>
        <v>24337.06</v>
      </c>
      <c r="Q108" s="438">
        <f t="shared" si="28"/>
        <v>5400</v>
      </c>
      <c r="R108" s="1286">
        <f t="shared" si="29"/>
        <v>5400</v>
      </c>
      <c r="S108" s="1323">
        <f t="shared" si="30"/>
        <v>14.491444939528963</v>
      </c>
      <c r="T108" s="1324">
        <f t="shared" si="31"/>
        <v>-0.77811617344083472</v>
      </c>
      <c r="U108" s="1209">
        <f>+Béthune!D108+Bois!D108+Lens!D108+Madeleine!D108+Tourcoing!D108+Calais!D108+Eu!D108+Caudry!D108+Cambrai!D108+Amiens!D108+Compiègne!D108+Boulogne!D108+StOmer!D108</f>
        <v>5850</v>
      </c>
      <c r="V108" s="25">
        <f t="shared" si="22"/>
        <v>1</v>
      </c>
    </row>
    <row r="109" spans="1:22" s="113" customFormat="1" ht="11.25">
      <c r="A109" s="18" t="s">
        <v>133</v>
      </c>
      <c r="B109" s="1223">
        <f>+Boulogne!$G109</f>
        <v>3959.5122666666666</v>
      </c>
      <c r="C109" s="438">
        <f>+Compiègne!$G109</f>
        <v>2987.2471999999998</v>
      </c>
      <c r="D109" s="438">
        <f>+Amiens!$G109</f>
        <v>2298.1771999999996</v>
      </c>
      <c r="E109" s="438">
        <f>+Cambrai!$G109</f>
        <v>2879.0147999999999</v>
      </c>
      <c r="F109" s="438">
        <f>+Caudry!$G109</f>
        <v>2006.288933333333</v>
      </c>
      <c r="G109" s="438">
        <f>+Eu!$G109</f>
        <v>13419.5404</v>
      </c>
      <c r="H109" s="438">
        <f>+Calais!$G109</f>
        <v>4518.6786666666667</v>
      </c>
      <c r="I109" s="438"/>
      <c r="J109" s="438">
        <f>+Madeleine!$G109</f>
        <v>6148.8527999999997</v>
      </c>
      <c r="K109" s="438">
        <f>+Lens!$G109</f>
        <v>1639.8012000000001</v>
      </c>
      <c r="L109" s="438">
        <f>+Bois!$G109</f>
        <v>1500</v>
      </c>
      <c r="M109" s="438">
        <f>+Béthune!$G109</f>
        <v>1832.4386666666667</v>
      </c>
      <c r="N109" s="1224">
        <f>+StOmer!$G109</f>
        <v>3952.3022666666666</v>
      </c>
      <c r="O109" s="1296">
        <f>+Béthune!E109+Bois!E109+Lens!E109+Madeleine!E109+Tourcoing!E109+Calais!E109+Eu!E109+Caudry!E109+Cambrai!E109+Amiens!E109+Compiègne!E109+Boulogne!E109+StOmer!E109</f>
        <v>32964.86</v>
      </c>
      <c r="P109" s="1285">
        <f>+Béthune!F109+Bois!F109+Lens!F109+Madeleine!F109+Tourcoing!F109+Calais!F109+Eu!F109+Caudry!F109+Cambrai!F109+Amiens!F109+Compiègne!F109+Boulogne!F109+StOmer!F109</f>
        <v>48878.119999999995</v>
      </c>
      <c r="Q109" s="438">
        <f t="shared" si="28"/>
        <v>47141.854400000004</v>
      </c>
      <c r="R109" s="1286">
        <f t="shared" si="29"/>
        <v>47141.854400000004</v>
      </c>
      <c r="S109" s="1323">
        <f t="shared" si="30"/>
        <v>0.48273403860959807</v>
      </c>
      <c r="T109" s="1324">
        <f t="shared" si="31"/>
        <v>-3.5522348240889616E-2</v>
      </c>
      <c r="U109" s="1209">
        <f>+Béthune!D109+Bois!D109+Lens!D109+Madeleine!D109+Tourcoing!D109+Calais!D109+Eu!D109+Caudry!D109+Cambrai!D109+Amiens!D109+Compiègne!D109+Boulogne!D109+StOmer!D109</f>
        <v>75086.078299999994</v>
      </c>
      <c r="V109" s="25">
        <f t="shared" si="22"/>
        <v>1</v>
      </c>
    </row>
    <row r="110" spans="1:22" s="113" customFormat="1" ht="11.25">
      <c r="A110" s="18" t="s">
        <v>134</v>
      </c>
      <c r="B110" s="1223">
        <f>+Boulogne!$G110</f>
        <v>10000</v>
      </c>
      <c r="C110" s="438">
        <f>+Compiègne!$G110</f>
        <v>16000</v>
      </c>
      <c r="D110" s="438">
        <f>+Amiens!$G110</f>
        <v>5076.8974666666663</v>
      </c>
      <c r="E110" s="438">
        <f>+Cambrai!$G110</f>
        <v>3172.4549333333334</v>
      </c>
      <c r="F110" s="438">
        <f>+Caudry!$G110</f>
        <v>7253.6719999999987</v>
      </c>
      <c r="G110" s="438">
        <f>+Eu!$G110</f>
        <v>3358.2120000000004</v>
      </c>
      <c r="H110" s="438">
        <f>+Calais!$G110</f>
        <v>15000</v>
      </c>
      <c r="I110" s="438"/>
      <c r="J110" s="438">
        <f>+Madeleine!$G110</f>
        <v>12000</v>
      </c>
      <c r="K110" s="438">
        <f>+Lens!$G110</f>
        <v>5152.3072000000002</v>
      </c>
      <c r="L110" s="438">
        <f>+Bois!$G110</f>
        <v>1057.81</v>
      </c>
      <c r="M110" s="438">
        <f>+Béthune!$G110</f>
        <v>3727.913333333333</v>
      </c>
      <c r="N110" s="1224">
        <f>+StOmer!$G110</f>
        <v>3286.73</v>
      </c>
      <c r="O110" s="1296">
        <f>+Béthune!E110+Bois!E110+Lens!E110+Madeleine!E110+Tourcoing!E110+Calais!E110+Eu!E110+Caudry!E110+Cambrai!E110+Amiens!E110+Compiègne!E110+Boulogne!E110+StOmer!E110</f>
        <v>154033.03</v>
      </c>
      <c r="P110" s="1285">
        <f>+Béthune!F110+Bois!F110+Lens!F110+Madeleine!F110+Tourcoing!F110+Calais!F110+Eu!F110+Caudry!F110+Cambrai!F110+Amiens!F110+Compiègne!F110+Boulogne!F110+StOmer!F110</f>
        <v>129737.06</v>
      </c>
      <c r="Q110" s="438">
        <f t="shared" si="28"/>
        <v>85085.996933333314</v>
      </c>
      <c r="R110" s="1286">
        <f t="shared" si="29"/>
        <v>85085.996933333314</v>
      </c>
      <c r="S110" s="1323">
        <f t="shared" si="30"/>
        <v>-0.15773220847502645</v>
      </c>
      <c r="T110" s="1324">
        <f t="shared" si="31"/>
        <v>-0.34416583100207976</v>
      </c>
      <c r="U110" s="1209">
        <f>+Béthune!D110+Bois!D110+Lens!D110+Madeleine!D110+Tourcoing!D110+Calais!D110+Eu!D110+Caudry!D110+Cambrai!D110+Amiens!D110+Compiègne!D110+Boulogne!D110+StOmer!D110</f>
        <v>120871.02990000002</v>
      </c>
      <c r="V110" s="25">
        <f t="shared" si="22"/>
        <v>1</v>
      </c>
    </row>
    <row r="111" spans="1:22" s="113" customFormat="1" ht="11.25">
      <c r="A111" s="18" t="s">
        <v>135</v>
      </c>
      <c r="B111" s="1223">
        <f>+Boulogne!$G111</f>
        <v>0</v>
      </c>
      <c r="C111" s="438">
        <f>+Compiègne!$G111</f>
        <v>5.4933333333333332</v>
      </c>
      <c r="D111" s="438">
        <f>+Amiens!$G111</f>
        <v>0</v>
      </c>
      <c r="E111" s="438">
        <f>+Cambrai!$G111</f>
        <v>166.17333333333335</v>
      </c>
      <c r="F111" s="438">
        <f>+Caudry!$G111</f>
        <v>212.86666666666667</v>
      </c>
      <c r="G111" s="438">
        <f>+Eu!$G111</f>
        <v>27.466666666666669</v>
      </c>
      <c r="H111" s="438">
        <f>+Calais!$G111</f>
        <v>0</v>
      </c>
      <c r="I111" s="438"/>
      <c r="J111" s="438">
        <f>+Madeleine!$G111</f>
        <v>0</v>
      </c>
      <c r="K111" s="438">
        <f>+Lens!$G111</f>
        <v>137.33333333333331</v>
      </c>
      <c r="L111" s="438">
        <f>+Bois!$G111</f>
        <v>0</v>
      </c>
      <c r="M111" s="438">
        <f>+Béthune!$G111</f>
        <v>0</v>
      </c>
      <c r="N111" s="1224">
        <f>+StOmer!$G111</f>
        <v>41.2</v>
      </c>
      <c r="O111" s="1296">
        <f>+Béthune!E111+Bois!E111+Lens!E111+Madeleine!E111+Tourcoing!E111+Calais!E111+Eu!E111+Caudry!E111+Cambrai!E111+Amiens!E111+Compiègne!E111+Boulogne!E111+StOmer!E111</f>
        <v>852</v>
      </c>
      <c r="P111" s="1285">
        <f>+Béthune!F111+Bois!F111+Lens!F111+Madeleine!F111+Tourcoing!F111+Calais!F111+Eu!F111+Caudry!F111+Cambrai!F111+Amiens!F111+Compiègne!F111+Boulogne!F111+StOmer!F111</f>
        <v>573.33333333333337</v>
      </c>
      <c r="Q111" s="438">
        <f t="shared" si="28"/>
        <v>590.5333333333333</v>
      </c>
      <c r="R111" s="1286">
        <f t="shared" si="29"/>
        <v>590.5333333333333</v>
      </c>
      <c r="S111" s="1323">
        <f t="shared" si="30"/>
        <v>-0.32707355242566505</v>
      </c>
      <c r="T111" s="1324">
        <f t="shared" si="31"/>
        <v>2.9999999999999877E-2</v>
      </c>
      <c r="U111" s="1209">
        <f>+Béthune!D111+Bois!D111+Lens!D111+Madeleine!D111+Tourcoing!D111+Calais!D111+Eu!D111+Caudry!D111+Cambrai!D111+Amiens!D111+Compiègne!D111+Boulogne!D111+StOmer!D111</f>
        <v>795.16000000000008</v>
      </c>
      <c r="V111" s="25">
        <f t="shared" si="22"/>
        <v>1</v>
      </c>
    </row>
    <row r="112" spans="1:22" s="113" customFormat="1" ht="11.25">
      <c r="A112" s="18" t="s">
        <v>136</v>
      </c>
      <c r="B112" s="1223">
        <f>+Boulogne!$G112</f>
        <v>0</v>
      </c>
      <c r="C112" s="438">
        <f>+Compiègne!$G112</f>
        <v>1060.9000000000001</v>
      </c>
      <c r="D112" s="438">
        <f>+Amiens!$G112</f>
        <v>8172.7890666666681</v>
      </c>
      <c r="E112" s="438">
        <f>+Cambrai!$G112</f>
        <v>26.78</v>
      </c>
      <c r="F112" s="438">
        <f>+Caudry!$G112</f>
        <v>26.78</v>
      </c>
      <c r="G112" s="438">
        <f>+Eu!$G112</f>
        <v>26.78</v>
      </c>
      <c r="H112" s="438">
        <f>+Calais!$G112</f>
        <v>26.78</v>
      </c>
      <c r="I112" s="438"/>
      <c r="J112" s="438">
        <f>+Madeleine!$G112</f>
        <v>26.78</v>
      </c>
      <c r="K112" s="438">
        <f>+Lens!$G112</f>
        <v>26.78</v>
      </c>
      <c r="L112" s="438">
        <f>+Bois!$G112</f>
        <v>26.78</v>
      </c>
      <c r="M112" s="438">
        <f>+Béthune!$G112</f>
        <v>26.78</v>
      </c>
      <c r="N112" s="1224">
        <f>+StOmer!$G112</f>
        <v>26.78</v>
      </c>
      <c r="O112" s="1296">
        <f>+Béthune!E112+Bois!E112+Lens!E112+Madeleine!E112+Tourcoing!E112+Calais!E112+Eu!E112+Caudry!E112+Cambrai!E112+Amiens!E112+Compiègne!E112+Boulogne!E112+StOmer!E112</f>
        <v>328.03000000000003</v>
      </c>
      <c r="P112" s="1285">
        <f>+Béthune!F112+Bois!F112+Lens!F112+Madeleine!F112+Tourcoing!F112+Calais!F112+Eu!F112+Caudry!F112+Cambrai!F112+Amiens!F112+Compiègne!F112+Boulogne!F112+StOmer!F112</f>
        <v>9224.7466666666678</v>
      </c>
      <c r="Q112" s="438">
        <f t="shared" si="28"/>
        <v>9474.7090666666736</v>
      </c>
      <c r="R112" s="1286">
        <f t="shared" si="29"/>
        <v>9474.7090666666736</v>
      </c>
      <c r="S112" s="1323">
        <f t="shared" si="30"/>
        <v>27.121655539635601</v>
      </c>
      <c r="T112" s="1324">
        <f t="shared" si="31"/>
        <v>2.7096939247474087E-2</v>
      </c>
      <c r="U112" s="1209">
        <f>+Béthune!D112+Bois!D112+Lens!D112+Madeleine!D112+Tourcoing!D112+Calais!D112+Eu!D112+Caudry!D112+Cambrai!D112+Amiens!D112+Compiègne!D112+Boulogne!D112+StOmer!D112</f>
        <v>1315.8971000000001</v>
      </c>
      <c r="V112" s="25">
        <f t="shared" si="22"/>
        <v>1</v>
      </c>
    </row>
    <row r="113" spans="1:22" s="113" customFormat="1" ht="11.25">
      <c r="A113" s="18" t="s">
        <v>137</v>
      </c>
      <c r="B113" s="1223">
        <f>+Boulogne!$G113</f>
        <v>14000</v>
      </c>
      <c r="C113" s="438">
        <f>+Compiègne!$G113</f>
        <v>2000</v>
      </c>
      <c r="D113" s="438">
        <f>+Amiens!$G113</f>
        <v>2000</v>
      </c>
      <c r="E113" s="438">
        <f>+Cambrai!$G113</f>
        <v>2000</v>
      </c>
      <c r="F113" s="438">
        <f>+Caudry!$G113</f>
        <v>2000</v>
      </c>
      <c r="G113" s="438">
        <f>+Eu!$G113</f>
        <v>2000</v>
      </c>
      <c r="H113" s="438">
        <f>+Calais!$G113</f>
        <v>2000</v>
      </c>
      <c r="I113" s="438"/>
      <c r="J113" s="438">
        <f>+Madeleine!$G113</f>
        <v>2000</v>
      </c>
      <c r="K113" s="438">
        <f>+Lens!$G113</f>
        <v>2000</v>
      </c>
      <c r="L113" s="438">
        <f>+Bois!$G113</f>
        <v>1000</v>
      </c>
      <c r="M113" s="438">
        <f>+Béthune!$G113</f>
        <v>2000</v>
      </c>
      <c r="N113" s="1224">
        <f>+StOmer!$G113</f>
        <v>2000</v>
      </c>
      <c r="O113" s="1296">
        <f>+Béthune!E113+Bois!E113+Lens!E113+Madeleine!E113+Tourcoing!E113+Calais!E113+Eu!E113+Caudry!E113+Cambrai!E113+Amiens!E113+Compiègne!E113+Boulogne!E113+StOmer!E113</f>
        <v>50055.37</v>
      </c>
      <c r="P113" s="1285">
        <f>+Béthune!F113+Bois!F113+Lens!F113+Madeleine!F113+Tourcoing!F113+Calais!F113+Eu!F113+Caudry!F113+Cambrai!F113+Amiens!F113+Compiègne!F113+Boulogne!F113+StOmer!F113</f>
        <v>51744.479999999996</v>
      </c>
      <c r="Q113" s="438">
        <f t="shared" si="28"/>
        <v>35000</v>
      </c>
      <c r="R113" s="1286">
        <f t="shared" si="29"/>
        <v>35000</v>
      </c>
      <c r="S113" s="1323">
        <f t="shared" si="30"/>
        <v>3.374483097417906E-2</v>
      </c>
      <c r="T113" s="1324">
        <f t="shared" si="31"/>
        <v>-0.3235993481816804</v>
      </c>
      <c r="U113" s="1209">
        <f>+Béthune!D113+Bois!D113+Lens!D113+Madeleine!D113+Tourcoing!D113+Calais!D113+Eu!D113+Caudry!D113+Cambrai!D113+Amiens!D113+Compiègne!D113+Boulogne!D113+StOmer!D113</f>
        <v>79180.301999999996</v>
      </c>
      <c r="V113" s="25">
        <f t="shared" si="22"/>
        <v>1</v>
      </c>
    </row>
    <row r="114" spans="1:22" s="113" customFormat="1" ht="11.25">
      <c r="A114" s="18" t="s">
        <v>138</v>
      </c>
      <c r="B114" s="1223">
        <f>+Boulogne!$G114</f>
        <v>0</v>
      </c>
      <c r="C114" s="438">
        <f>+Compiègne!$G114</f>
        <v>0</v>
      </c>
      <c r="D114" s="438">
        <f>+Amiens!$G114</f>
        <v>0</v>
      </c>
      <c r="E114" s="438">
        <f>+Cambrai!$G114</f>
        <v>0</v>
      </c>
      <c r="F114" s="438">
        <f>+Caudry!$G114</f>
        <v>0</v>
      </c>
      <c r="G114" s="438">
        <f>+Eu!$G114</f>
        <v>0</v>
      </c>
      <c r="H114" s="438">
        <f>+Calais!$G114</f>
        <v>0</v>
      </c>
      <c r="I114" s="438"/>
      <c r="J114" s="438">
        <f>+Madeleine!$G114</f>
        <v>0</v>
      </c>
      <c r="K114" s="438">
        <f>+Lens!$G114</f>
        <v>0</v>
      </c>
      <c r="L114" s="438">
        <f>+Bois!$G114</f>
        <v>0</v>
      </c>
      <c r="M114" s="438">
        <f>+Béthune!$G114</f>
        <v>0</v>
      </c>
      <c r="N114" s="1224">
        <f>+StOmer!$G114</f>
        <v>-3182.7000000000003</v>
      </c>
      <c r="O114" s="1285">
        <f>+Béthune!E114+Bois!E114+Lens!E114+Madeleine!E114+Tourcoing!E114+Calais!E114+Eu!E114+Caudry!E114+Cambrai!E114+Amiens!E114+Compiègne!E114+Boulogne!E114+StOmer!E114</f>
        <v>-18625.330000000002</v>
      </c>
      <c r="P114" s="1285">
        <f>+Béthune!F114+Bois!F114+Lens!F114+Madeleine!F114+Tourcoing!F114+Calais!F114+Eu!F114+Caudry!F114+Cambrai!F114+Amiens!F114+Compiègne!F114+Boulogne!F114+StOmer!F114</f>
        <v>-3090</v>
      </c>
      <c r="Q114" s="438">
        <f t="shared" si="28"/>
        <v>-3182.7000000000003</v>
      </c>
      <c r="R114" s="1286">
        <f t="shared" si="29"/>
        <v>-3182.7000000000003</v>
      </c>
      <c r="S114" s="1347">
        <f t="shared" si="30"/>
        <v>-0.83409689922272523</v>
      </c>
      <c r="T114" s="1324">
        <f t="shared" si="31"/>
        <v>3.0000000000000089E-2</v>
      </c>
      <c r="U114" s="1376">
        <f>+Béthune!D114+Bois!D114+Lens!D114+Madeleine!D114+Tourcoing!D114+Calais!D114+Eu!D114+Caudry!D114+Cambrai!D114+Amiens!D114+Compiègne!D114+Boulogne!D114+StOmer!D114</f>
        <v>-3090</v>
      </c>
      <c r="V114" s="25">
        <f t="shared" si="22"/>
        <v>0</v>
      </c>
    </row>
    <row r="115" spans="1:22" s="17" customFormat="1" ht="11.25">
      <c r="A115" s="5"/>
      <c r="B115" s="1323"/>
      <c r="C115" s="1347"/>
      <c r="D115" s="1347"/>
      <c r="E115" s="1347"/>
      <c r="F115" s="1347"/>
      <c r="G115" s="1347"/>
      <c r="H115" s="1347"/>
      <c r="I115" s="1347"/>
      <c r="J115" s="1347"/>
      <c r="K115" s="1347"/>
      <c r="L115" s="1347"/>
      <c r="M115" s="1347"/>
      <c r="N115" s="1348"/>
      <c r="O115" s="1322"/>
      <c r="P115" s="1322"/>
      <c r="Q115" s="1347"/>
      <c r="R115" s="1348"/>
      <c r="S115" s="1347"/>
      <c r="T115" s="1342"/>
      <c r="U115" s="1375"/>
      <c r="V115" s="2">
        <f t="shared" si="22"/>
        <v>0</v>
      </c>
    </row>
    <row r="116" spans="1:22" s="2" customFormat="1" ht="11.25">
      <c r="A116" s="13" t="s">
        <v>133</v>
      </c>
      <c r="B116" s="1225">
        <f>SUM(B104:B115)</f>
        <v>47472.3128</v>
      </c>
      <c r="C116" s="1226">
        <f t="shared" ref="C116:Q116" si="32">SUM(C104:C115)</f>
        <v>24954.422533333334</v>
      </c>
      <c r="D116" s="1226">
        <f t="shared" si="32"/>
        <v>20281.428666666667</v>
      </c>
      <c r="E116" s="1226">
        <f t="shared" si="32"/>
        <v>13194.423066666668</v>
      </c>
      <c r="F116" s="1226">
        <f t="shared" si="32"/>
        <v>16664.824000000001</v>
      </c>
      <c r="G116" s="1226">
        <f t="shared" si="32"/>
        <v>21314.971866666667</v>
      </c>
      <c r="H116" s="1226">
        <f t="shared" si="32"/>
        <v>27422.171599999998</v>
      </c>
      <c r="I116" s="1226"/>
      <c r="J116" s="1226">
        <f t="shared" si="32"/>
        <v>26625.632799999999</v>
      </c>
      <c r="K116" s="1226">
        <f t="shared" si="32"/>
        <v>11406.221733333336</v>
      </c>
      <c r="L116" s="1226">
        <f t="shared" si="32"/>
        <v>5534.5899999999992</v>
      </c>
      <c r="M116" s="1226">
        <f t="shared" si="32"/>
        <v>10922.216933333335</v>
      </c>
      <c r="N116" s="1227">
        <f t="shared" si="32"/>
        <v>13394.714133333331</v>
      </c>
      <c r="O116" s="1303">
        <f>SUM(O104:O115)</f>
        <v>306839.99</v>
      </c>
      <c r="P116" s="1287">
        <f t="shared" si="32"/>
        <v>337772.6333333333</v>
      </c>
      <c r="Q116" s="1287">
        <f t="shared" si="32"/>
        <v>239187.93013333331</v>
      </c>
      <c r="R116" s="1227">
        <f>SUM(R104:R115)</f>
        <v>239187.93013333331</v>
      </c>
      <c r="S116" s="93">
        <f>+IF((O116)=0,,(P116-O116)/O116)</f>
        <v>0.10081033874800124</v>
      </c>
      <c r="T116" s="1325">
        <f>+IF((P116)=0,,(R116-P116)/P116)</f>
        <v>-0.29186705336992469</v>
      </c>
      <c r="U116" s="597">
        <f>+Béthune!D116+Bois!D116+Lens!D116+Madeleine!D116+Tourcoing!D116+Calais!D116+Eu!D116+Caudry!D116+Cambrai!D116+Amiens!D116+Compiègne!D116+Boulogne!D116+StOmer!D116</f>
        <v>352308.17220000003</v>
      </c>
      <c r="V116" s="2">
        <f t="shared" si="22"/>
        <v>1</v>
      </c>
    </row>
    <row r="117" spans="1:22" s="2" customFormat="1" ht="11.25">
      <c r="A117" s="5"/>
      <c r="B117" s="1323"/>
      <c r="C117" s="1347"/>
      <c r="D117" s="1347"/>
      <c r="E117" s="1347"/>
      <c r="F117" s="1347"/>
      <c r="G117" s="1347"/>
      <c r="H117" s="1347"/>
      <c r="I117" s="1347"/>
      <c r="J117" s="1347"/>
      <c r="K117" s="1347"/>
      <c r="L117" s="1347"/>
      <c r="M117" s="1347"/>
      <c r="N117" s="1348"/>
      <c r="O117" s="1322"/>
      <c r="P117" s="1322"/>
      <c r="Q117" s="1347"/>
      <c r="R117" s="1348"/>
      <c r="S117" s="1347"/>
      <c r="T117" s="1342"/>
      <c r="U117" s="1375"/>
      <c r="V117" s="2">
        <f t="shared" si="22"/>
        <v>0</v>
      </c>
    </row>
    <row r="118" spans="1:22" s="25" customFormat="1" ht="11.25">
      <c r="A118" s="18" t="s">
        <v>139</v>
      </c>
      <c r="B118" s="1223">
        <f>+Boulogne!$G118</f>
        <v>979.52399999999989</v>
      </c>
      <c r="C118" s="438">
        <f>+Compiègne!$G118</f>
        <v>617.92499999999995</v>
      </c>
      <c r="D118" s="438">
        <f>+Amiens!$G118</f>
        <v>393.38599999999997</v>
      </c>
      <c r="E118" s="438">
        <f>+Cambrai!$G118</f>
        <v>575.46999999999991</v>
      </c>
      <c r="F118" s="438">
        <f>+Caudry!$G118</f>
        <v>630.64399999999989</v>
      </c>
      <c r="G118" s="438">
        <f>+Eu!$G118</f>
        <v>1284.2339999999999</v>
      </c>
      <c r="H118" s="438">
        <f>+Calais!$G118</f>
        <v>639.16999999999996</v>
      </c>
      <c r="I118" s="438"/>
      <c r="J118" s="438">
        <f>+Madeleine!$G118</f>
        <v>754.47399999999993</v>
      </c>
      <c r="K118" s="438">
        <f>+Lens!$G118</f>
        <v>348.55099999999999</v>
      </c>
      <c r="L118" s="438">
        <f>+Bois!$G118</f>
        <v>239.02199999999996</v>
      </c>
      <c r="M118" s="438">
        <f>+Béthune!$G118</f>
        <v>381.54899999999998</v>
      </c>
      <c r="N118" s="1224">
        <f>+StOmer!$G118</f>
        <v>1002.3719999999998</v>
      </c>
      <c r="O118" s="1296">
        <f>+Béthune!E118+Bois!E118+Lens!E118+Madeleine!E118+Tourcoing!E118+Calais!E118+Eu!E118+Caudry!E118+Cambrai!E118+Amiens!E118+Compiègne!E118+Boulogne!E118+StOmer!E118</f>
        <v>10198.64</v>
      </c>
      <c r="P118" s="1285">
        <f>+Béthune!F118+Bois!F118+Lens!F118+Madeleine!F118+Tourcoing!F118+Calais!F118+Eu!F118+Caudry!F118+Cambrai!F118+Amiens!F118+Compiègne!F118+Boulogne!F118+StOmer!F118</f>
        <v>22613.35</v>
      </c>
      <c r="Q118" s="438">
        <f t="shared" ref="Q118:Q127" si="33">+R118</f>
        <v>7846.3209999999999</v>
      </c>
      <c r="R118" s="1286">
        <f t="shared" ref="R118:R127" si="34">SUM(B118:N118)</f>
        <v>7846.3209999999999</v>
      </c>
      <c r="S118" s="1323">
        <f>+IF((O118)=0,,(P118-O118)/O118)</f>
        <v>1.2172907368041228</v>
      </c>
      <c r="T118" s="1324">
        <f>+IF((P118)=0,,(R118-P118)/P118)</f>
        <v>-0.65302261717083043</v>
      </c>
      <c r="U118" s="1209">
        <f>+Béthune!D118+Bois!D118+Lens!D118+Madeleine!D118+Tourcoing!D118+Calais!D118+Eu!D118+Caudry!D118+Cambrai!D118+Amiens!D118+Compiègne!D118+Boulogne!D118+StOmer!D118</f>
        <v>8259.6079999999984</v>
      </c>
      <c r="V118" s="25">
        <f t="shared" si="22"/>
        <v>1</v>
      </c>
    </row>
    <row r="119" spans="1:22" s="113" customFormat="1" ht="11.25">
      <c r="A119" s="18" t="s">
        <v>140</v>
      </c>
      <c r="B119" s="1223">
        <f>+Boulogne!$G119</f>
        <v>629.69400000000007</v>
      </c>
      <c r="C119" s="438">
        <f>+Compiègne!$G119</f>
        <v>397.23750000000007</v>
      </c>
      <c r="D119" s="438">
        <f>+Amiens!$G119</f>
        <v>252.89100000000002</v>
      </c>
      <c r="E119" s="438">
        <f>+Cambrai!$G119</f>
        <v>369.94500000000005</v>
      </c>
      <c r="F119" s="438">
        <f>+Caudry!$G119</f>
        <v>405.41400000000004</v>
      </c>
      <c r="G119" s="438">
        <f>+Eu!$G119</f>
        <v>825.57900000000006</v>
      </c>
      <c r="H119" s="438">
        <f>+Calais!$G119</f>
        <v>410.89500000000004</v>
      </c>
      <c r="I119" s="438"/>
      <c r="J119" s="438">
        <f>+Madeleine!$G119</f>
        <v>485.01900000000006</v>
      </c>
      <c r="K119" s="438">
        <f>+Lens!$G119</f>
        <v>224.06850000000003</v>
      </c>
      <c r="L119" s="438">
        <f>+Bois!$G119</f>
        <v>153.65700000000001</v>
      </c>
      <c r="M119" s="438">
        <f>+Béthune!$G119</f>
        <v>245.28150000000002</v>
      </c>
      <c r="N119" s="1224">
        <f>+StOmer!$G119</f>
        <v>644.38200000000006</v>
      </c>
      <c r="O119" s="1296">
        <f>+Béthune!E119+Bois!E119+Lens!E119+Madeleine!E119+Tourcoing!E119+Calais!E119+Eu!E119+Caudry!E119+Cambrai!E119+Amiens!E119+Compiègne!E119+Boulogne!E119+StOmer!E119</f>
        <v>5538</v>
      </c>
      <c r="P119" s="1285">
        <f>+Béthune!F119+Bois!F119+Lens!F119+Madeleine!F119+Tourcoing!F119+Calais!F119+Eu!F119+Caudry!F119+Cambrai!F119+Amiens!F119+Compiègne!F119+Boulogne!F119+StOmer!F119</f>
        <v>0</v>
      </c>
      <c r="Q119" s="438">
        <f t="shared" si="33"/>
        <v>5044.0635000000002</v>
      </c>
      <c r="R119" s="1286">
        <f t="shared" si="34"/>
        <v>5044.0635000000002</v>
      </c>
      <c r="S119" s="1323">
        <f t="shared" ref="S119:S127" si="35">+IF((O119)=0,,(P119-O119)/O119)</f>
        <v>-1</v>
      </c>
      <c r="T119" s="1324">
        <f t="shared" ref="T119:T127" si="36">+IF((P119)=0,,(R119-P119)/P119)</f>
        <v>0</v>
      </c>
      <c r="U119" s="1209">
        <f>+Béthune!D119+Bois!D119+Lens!D119+Madeleine!D119+Tourcoing!D119+Calais!D119+Eu!D119+Caudry!D119+Cambrai!D119+Amiens!D119+Compiègne!D119+Boulogne!D119+StOmer!D119</f>
        <v>5309.7480000000005</v>
      </c>
      <c r="V119" s="25">
        <f t="shared" si="22"/>
        <v>1</v>
      </c>
    </row>
    <row r="120" spans="1:22" s="113" customFormat="1" ht="11.25">
      <c r="A120" s="18" t="s">
        <v>141</v>
      </c>
      <c r="B120" s="1223">
        <f>+Boulogne!$G120</f>
        <v>1091.4696000000001</v>
      </c>
      <c r="C120" s="438">
        <f>+Compiègne!$G120</f>
        <v>688.54500000000007</v>
      </c>
      <c r="D120" s="438">
        <f>+Amiens!$G120</f>
        <v>438.34440000000001</v>
      </c>
      <c r="E120" s="438">
        <f>+Cambrai!$G120</f>
        <v>641.23800000000006</v>
      </c>
      <c r="F120" s="438">
        <f>+Caudry!$G120</f>
        <v>702.71760000000006</v>
      </c>
      <c r="G120" s="438">
        <f>+Eu!$G120</f>
        <v>1431.0036</v>
      </c>
      <c r="H120" s="438">
        <f>+Calais!$G120</f>
        <v>712.21800000000007</v>
      </c>
      <c r="I120" s="438"/>
      <c r="J120" s="438">
        <f>+Madeleine!$G120</f>
        <v>840.69960000000003</v>
      </c>
      <c r="K120" s="438">
        <f>+Lens!$G120</f>
        <v>388.3854</v>
      </c>
      <c r="L120" s="438">
        <f>+Bois!$G120</f>
        <v>266.33879999999999</v>
      </c>
      <c r="M120" s="438">
        <f>+Béthune!$G120</f>
        <v>425.15460000000002</v>
      </c>
      <c r="N120" s="1224">
        <f>+StOmer!$G120</f>
        <v>1116.9288000000001</v>
      </c>
      <c r="O120" s="1296">
        <f>+Béthune!E120+Bois!E120+Lens!E120+Madeleine!E120+Tourcoing!E120+Calais!E120+Eu!E120+Caudry!E120+Cambrai!E120+Amiens!E120+Compiègne!E120+Boulogne!E120+StOmer!E120</f>
        <v>8370</v>
      </c>
      <c r="P120" s="1285">
        <f>+Béthune!F120+Bois!F120+Lens!F120+Madeleine!F120+Tourcoing!F120+Calais!F120+Eu!F120+Caudry!F120+Cambrai!F120+Amiens!F120+Compiègne!F120+Boulogne!F120+StOmer!F120</f>
        <v>0</v>
      </c>
      <c r="Q120" s="438">
        <f t="shared" si="33"/>
        <v>8743.0434000000005</v>
      </c>
      <c r="R120" s="1286">
        <f t="shared" si="34"/>
        <v>8743.0434000000005</v>
      </c>
      <c r="S120" s="1323">
        <f t="shared" si="35"/>
        <v>-1</v>
      </c>
      <c r="T120" s="1324">
        <f t="shared" si="36"/>
        <v>0</v>
      </c>
      <c r="U120" s="1209">
        <f>+Béthune!D120+Bois!D120+Lens!D120+Madeleine!D120+Tourcoing!D120+Calais!D120+Eu!D120+Caudry!D120+Cambrai!D120+Amiens!D120+Compiègne!D120+Boulogne!D120+StOmer!D120</f>
        <v>9203.5632000000005</v>
      </c>
      <c r="V120" s="25">
        <f t="shared" si="22"/>
        <v>1</v>
      </c>
    </row>
    <row r="121" spans="1:22" s="113" customFormat="1" ht="11.25">
      <c r="A121" s="18" t="s">
        <v>142</v>
      </c>
      <c r="B121" s="1223">
        <f>+Boulogne!$G121</f>
        <v>1402.8</v>
      </c>
      <c r="C121" s="438">
        <f>+Compiègne!$G121</f>
        <v>2216.5500000000002</v>
      </c>
      <c r="D121" s="438">
        <f>+Amiens!$G121</f>
        <v>2285.85</v>
      </c>
      <c r="E121" s="438">
        <f>+Cambrai!$G121</f>
        <v>495.6</v>
      </c>
      <c r="F121" s="438">
        <f>+Caudry!$G121</f>
        <v>653.1</v>
      </c>
      <c r="G121" s="438">
        <f>+Eu!$G121</f>
        <v>4248.3</v>
      </c>
      <c r="H121" s="438">
        <f>+Calais!$G121</f>
        <v>1614.9</v>
      </c>
      <c r="I121" s="438"/>
      <c r="J121" s="438">
        <f>+Madeleine!$G121</f>
        <v>2854.9500000000003</v>
      </c>
      <c r="K121" s="438">
        <f>+Lens!$G121</f>
        <v>1463.7</v>
      </c>
      <c r="L121" s="438">
        <f>+Bois!$G121</f>
        <v>541.80000000000007</v>
      </c>
      <c r="M121" s="438">
        <f>+Béthune!$G121</f>
        <v>1614.9</v>
      </c>
      <c r="N121" s="1224">
        <f>+StOmer!$G121</f>
        <v>5160.75</v>
      </c>
      <c r="O121" s="1296">
        <f>+Béthune!E121+Bois!E121+Lens!E121+Madeleine!E121+Tourcoing!E121+Calais!E121+Eu!E121+Caudry!E121+Cambrai!E121+Amiens!E121+Compiègne!E121+Boulogne!E121+StOmer!E121</f>
        <v>59518</v>
      </c>
      <c r="P121" s="1285">
        <f>+Béthune!F121+Bois!F121+Lens!F121+Madeleine!F121+Tourcoing!F121+Calais!F121+Eu!F121+Caudry!F121+Cambrai!F121+Amiens!F121+Compiègne!F121+Boulogne!F121+StOmer!F121</f>
        <v>29147.510000000002</v>
      </c>
      <c r="Q121" s="438">
        <f t="shared" si="33"/>
        <v>24553.200000000001</v>
      </c>
      <c r="R121" s="1286">
        <f t="shared" si="34"/>
        <v>24553.200000000001</v>
      </c>
      <c r="S121" s="1323">
        <f t="shared" si="35"/>
        <v>-0.51027403474579114</v>
      </c>
      <c r="T121" s="1324">
        <f t="shared" si="36"/>
        <v>-0.15762272660683541</v>
      </c>
      <c r="U121" s="1209">
        <f>+Béthune!D121+Bois!D121+Lens!D121+Madeleine!D121+Tourcoing!D121+Calais!D121+Eu!D121+Caudry!D121+Cambrai!D121+Amiens!D121+Compiègne!D121+Boulogne!D121+StOmer!D121</f>
        <v>70312.462500000009</v>
      </c>
      <c r="V121" s="25">
        <f t="shared" si="22"/>
        <v>1</v>
      </c>
    </row>
    <row r="122" spans="1:22" s="113" customFormat="1" ht="11.25">
      <c r="A122" s="18" t="s">
        <v>143</v>
      </c>
      <c r="B122" s="1223">
        <f>+Boulogne!$G122</f>
        <v>3634.05</v>
      </c>
      <c r="C122" s="438">
        <f>+Compiègne!$G122</f>
        <v>3443.9580000000014</v>
      </c>
      <c r="D122" s="438">
        <f>+Amiens!$G122</f>
        <v>4767</v>
      </c>
      <c r="E122" s="438">
        <f>+Cambrai!$G122</f>
        <v>1705.5360000000003</v>
      </c>
      <c r="F122" s="438">
        <f>+Caudry!$G122</f>
        <v>3903.9</v>
      </c>
      <c r="G122" s="438">
        <f>+Eu!$G122</f>
        <v>10662.75</v>
      </c>
      <c r="H122" s="438">
        <f>+Calais!$G122</f>
        <v>1334.8440000000001</v>
      </c>
      <c r="I122" s="438"/>
      <c r="J122" s="438">
        <f>+Madeleine!$G122</f>
        <v>6347.25</v>
      </c>
      <c r="K122" s="438">
        <f>+Lens!$G122</f>
        <v>2581.9500000000003</v>
      </c>
      <c r="L122" s="438">
        <f>+Bois!$G122</f>
        <v>857.85</v>
      </c>
      <c r="M122" s="438">
        <f>+Béthune!$G122</f>
        <v>1593.8790000000001</v>
      </c>
      <c r="N122" s="1224">
        <f>+StOmer!$G122</f>
        <v>5339.25</v>
      </c>
      <c r="O122" s="1296">
        <f>+Béthune!E122+Bois!E122+Lens!E122+Madeleine!E122+Tourcoing!E122+Calais!E122+Eu!E122+Caudry!E122+Cambrai!E122+Amiens!E122+Compiègne!E122+Boulogne!E122+StOmer!E122</f>
        <v>42193.119999999995</v>
      </c>
      <c r="P122" s="1285">
        <f>+Béthune!F122+Bois!F122+Lens!F122+Madeleine!F122+Tourcoing!F122+Calais!F122+Eu!F122+Caudry!F122+Cambrai!F122+Amiens!F122+Compiègne!F122+Boulogne!F122+StOmer!F122</f>
        <v>47027.850000000006</v>
      </c>
      <c r="Q122" s="438">
        <f t="shared" si="33"/>
        <v>46172.216999999997</v>
      </c>
      <c r="R122" s="1286">
        <f t="shared" si="34"/>
        <v>46172.216999999997</v>
      </c>
      <c r="S122" s="1323">
        <f t="shared" si="35"/>
        <v>0.1145857428888883</v>
      </c>
      <c r="T122" s="1324">
        <f t="shared" si="36"/>
        <v>-1.8194176429498877E-2</v>
      </c>
      <c r="U122" s="1209">
        <f>+Béthune!D122+Bois!D122+Lens!D122+Madeleine!D122+Tourcoing!D122+Calais!D122+Eu!D122+Caudry!D122+Cambrai!D122+Amiens!D122+Compiègne!D122+Boulogne!D122+StOmer!D122</f>
        <v>48293.348233655044</v>
      </c>
      <c r="V122" s="25">
        <f t="shared" si="22"/>
        <v>1</v>
      </c>
    </row>
    <row r="123" spans="1:22" s="113" customFormat="1" ht="11.25">
      <c r="A123" s="18" t="s">
        <v>144</v>
      </c>
      <c r="B123" s="1223">
        <f>+Boulogne!$G123</f>
        <v>253.02375000000004</v>
      </c>
      <c r="C123" s="438">
        <f>+Compiègne!$G123</f>
        <v>50</v>
      </c>
      <c r="D123" s="438">
        <f>+Amiens!$G123</f>
        <v>446.04</v>
      </c>
      <c r="E123" s="438">
        <f>+Cambrai!$G123</f>
        <v>50</v>
      </c>
      <c r="F123" s="438">
        <f>+Caudry!$G123</f>
        <v>50</v>
      </c>
      <c r="G123" s="438">
        <f>+Eu!$G123</f>
        <v>567</v>
      </c>
      <c r="H123" s="438">
        <f>+Calais!$G123</f>
        <v>50</v>
      </c>
      <c r="I123" s="438"/>
      <c r="J123" s="438">
        <f>+Madeleine!$G123</f>
        <v>50</v>
      </c>
      <c r="K123" s="438">
        <f>+Lens!$G123</f>
        <v>50</v>
      </c>
      <c r="L123" s="438">
        <f>+Bois!$G123</f>
        <v>50</v>
      </c>
      <c r="M123" s="438">
        <f>+Béthune!$G123</f>
        <v>50</v>
      </c>
      <c r="N123" s="1224">
        <f>+StOmer!$G123</f>
        <v>63.415800000000011</v>
      </c>
      <c r="O123" s="1296">
        <f>+Béthune!E123+Bois!E123+Lens!E123+Madeleine!E123+Tourcoing!E123+Calais!E123+Eu!E123+Caudry!E123+Cambrai!E123+Amiens!E123+Compiègne!E123+Boulogne!E123+StOmer!E123</f>
        <v>287.02</v>
      </c>
      <c r="P123" s="1285">
        <f>+Béthune!F123+Bois!F123+Lens!F123+Madeleine!F123+Tourcoing!F123+Calais!F123+Eu!F123+Caudry!F123+Cambrai!F123+Amiens!F123+Compiègne!F123+Boulogne!F123+StOmer!F123</f>
        <v>1266.171</v>
      </c>
      <c r="Q123" s="438">
        <f t="shared" si="33"/>
        <v>1729.47955</v>
      </c>
      <c r="R123" s="1286">
        <f t="shared" si="34"/>
        <v>1729.47955</v>
      </c>
      <c r="S123" s="1323">
        <f t="shared" si="35"/>
        <v>3.4114382273012338</v>
      </c>
      <c r="T123" s="1324">
        <f t="shared" si="36"/>
        <v>0.36591309546656808</v>
      </c>
      <c r="U123" s="1209">
        <f>+Béthune!D123+Bois!D123+Lens!D123+Madeleine!D123+Tourcoing!D123+Calais!D123+Eu!D123+Caudry!D123+Cambrai!D123+Amiens!D123+Compiègne!D123+Boulogne!D123+StOmer!D123</f>
        <v>845.63059999999996</v>
      </c>
      <c r="V123" s="25">
        <f t="shared" si="22"/>
        <v>1</v>
      </c>
    </row>
    <row r="124" spans="1:22" s="113" customFormat="1" ht="11.25">
      <c r="A124" s="18" t="s">
        <v>145</v>
      </c>
      <c r="B124" s="1223">
        <f>+Boulogne!$G124</f>
        <v>0</v>
      </c>
      <c r="C124" s="438">
        <f>+Compiègne!$G124</f>
        <v>0</v>
      </c>
      <c r="D124" s="438">
        <f>+Amiens!$G124</f>
        <v>0</v>
      </c>
      <c r="E124" s="438">
        <f>+Cambrai!$G124</f>
        <v>0</v>
      </c>
      <c r="F124" s="438">
        <f>+Caudry!$G124</f>
        <v>0</v>
      </c>
      <c r="G124" s="438">
        <f>+Eu!$G124</f>
        <v>0</v>
      </c>
      <c r="H124" s="438">
        <f>+Calais!$G124</f>
        <v>0</v>
      </c>
      <c r="I124" s="438"/>
      <c r="J124" s="438">
        <f>+Madeleine!$G124</f>
        <v>0</v>
      </c>
      <c r="K124" s="438">
        <f>+Lens!$G124</f>
        <v>0</v>
      </c>
      <c r="L124" s="438">
        <f>+Bois!$G124</f>
        <v>0</v>
      </c>
      <c r="M124" s="438">
        <f>+Béthune!$G124</f>
        <v>0</v>
      </c>
      <c r="N124" s="1224">
        <f>+StOmer!$G124</f>
        <v>0</v>
      </c>
      <c r="O124" s="1296">
        <f>+Béthune!E124+Bois!E124+Lens!E124+Madeleine!E124+Tourcoing!E124+Calais!E124+Eu!E124+Caudry!E124+Cambrai!E124+Amiens!E124+Compiègne!E124+Boulogne!E124+StOmer!E124</f>
        <v>631</v>
      </c>
      <c r="P124" s="1285">
        <f>+Béthune!F124+Bois!F124+Lens!F124+Madeleine!F124+Tourcoing!F124+Calais!F124+Eu!F124+Caudry!F124+Cambrai!F124+Amiens!F124+Compiègne!F124+Boulogne!F124+StOmer!F124</f>
        <v>278</v>
      </c>
      <c r="Q124" s="438">
        <f t="shared" si="33"/>
        <v>0</v>
      </c>
      <c r="R124" s="1286">
        <f t="shared" si="34"/>
        <v>0</v>
      </c>
      <c r="S124" s="1323">
        <f t="shared" si="35"/>
        <v>-0.55942947702060219</v>
      </c>
      <c r="T124" s="1324">
        <f t="shared" si="36"/>
        <v>-1</v>
      </c>
      <c r="U124" s="1209">
        <f>+Béthune!D124+Bois!D124+Lens!D124+Madeleine!D124+Tourcoing!D124+Calais!D124+Eu!D124+Caudry!D124+Cambrai!D124+Amiens!D124+Compiègne!D124+Boulogne!D124+StOmer!D124</f>
        <v>0.6624088308854168</v>
      </c>
      <c r="V124" s="25">
        <f t="shared" si="22"/>
        <v>1</v>
      </c>
    </row>
    <row r="125" spans="1:22" s="113" customFormat="1" ht="11.25">
      <c r="A125" s="18" t="s">
        <v>286</v>
      </c>
      <c r="B125" s="1223">
        <f>+Boulogne!$G125</f>
        <v>0</v>
      </c>
      <c r="C125" s="438">
        <f>+Compiègne!$G125</f>
        <v>0</v>
      </c>
      <c r="D125" s="438">
        <f>+Amiens!$G125</f>
        <v>0</v>
      </c>
      <c r="E125" s="438">
        <f>+Cambrai!$G125</f>
        <v>0</v>
      </c>
      <c r="F125" s="438">
        <f>+Caudry!$G125</f>
        <v>0</v>
      </c>
      <c r="G125" s="438">
        <f>+Eu!$G125</f>
        <v>0</v>
      </c>
      <c r="H125" s="438">
        <f>+Calais!$G125</f>
        <v>0</v>
      </c>
      <c r="I125" s="438"/>
      <c r="J125" s="438">
        <f>+Madeleine!$G125</f>
        <v>0</v>
      </c>
      <c r="K125" s="438">
        <f>+Lens!$G125</f>
        <v>0</v>
      </c>
      <c r="L125" s="438">
        <f>+Bois!$G125</f>
        <v>0</v>
      </c>
      <c r="M125" s="438">
        <f>+Béthune!$G125</f>
        <v>0</v>
      </c>
      <c r="N125" s="1224">
        <f>+StOmer!$G125</f>
        <v>0</v>
      </c>
      <c r="O125" s="1296">
        <f>+Béthune!E125+Bois!E125+Lens!E125+Madeleine!E125+Tourcoing!E125+Calais!E125+Eu!E125+Caudry!E125+Cambrai!E125+Amiens!E125+Compiègne!E125+Boulogne!E125+StOmer!E125</f>
        <v>0</v>
      </c>
      <c r="P125" s="1285">
        <f>+Béthune!F125+Bois!F125+Lens!F125+Madeleine!F125+Tourcoing!F125+Calais!F125+Eu!F125+Caudry!F125+Cambrai!F125+Amiens!F125+Compiègne!F125+Boulogne!F125+StOmer!F125</f>
        <v>0</v>
      </c>
      <c r="Q125" s="438">
        <f t="shared" si="33"/>
        <v>0</v>
      </c>
      <c r="R125" s="1286">
        <f t="shared" si="34"/>
        <v>0</v>
      </c>
      <c r="S125" s="1323">
        <f t="shared" si="35"/>
        <v>0</v>
      </c>
      <c r="T125" s="1324">
        <f t="shared" si="36"/>
        <v>0</v>
      </c>
      <c r="U125" s="1209">
        <f>+Béthune!D125+Bois!D125+Lens!D125+Madeleine!D125+Tourcoing!D125+Calais!D125+Eu!D125+Caudry!D125+Cambrai!D125+Amiens!D125+Compiègne!D125+Boulogne!D125+StOmer!D125</f>
        <v>0.39080167013888889</v>
      </c>
      <c r="V125" s="25">
        <f t="shared" si="22"/>
        <v>1</v>
      </c>
    </row>
    <row r="126" spans="1:22" s="113" customFormat="1" ht="11.25">
      <c r="A126" s="18" t="s">
        <v>361</v>
      </c>
      <c r="B126" s="1223">
        <f>+Boulogne!$G126</f>
        <v>0</v>
      </c>
      <c r="C126" s="438">
        <f>+Compiègne!$G126</f>
        <v>0</v>
      </c>
      <c r="D126" s="438">
        <f>+Amiens!$G126</f>
        <v>0</v>
      </c>
      <c r="E126" s="438">
        <f>+Cambrai!$G126</f>
        <v>0</v>
      </c>
      <c r="F126" s="438">
        <f>+Caudry!$G126</f>
        <v>0</v>
      </c>
      <c r="G126" s="438">
        <f>+Eu!$G126</f>
        <v>0</v>
      </c>
      <c r="H126" s="438">
        <f>+Calais!$G126</f>
        <v>0</v>
      </c>
      <c r="I126" s="438"/>
      <c r="J126" s="438">
        <f>+Madeleine!$G126</f>
        <v>0</v>
      </c>
      <c r="K126" s="438">
        <f>+Lens!$G126</f>
        <v>0</v>
      </c>
      <c r="L126" s="438">
        <f>+Bois!$G126</f>
        <v>0</v>
      </c>
      <c r="M126" s="438">
        <f>+Béthune!$G126</f>
        <v>0</v>
      </c>
      <c r="N126" s="1224">
        <f>+StOmer!$G126</f>
        <v>0</v>
      </c>
      <c r="O126" s="1285">
        <f>+Béthune!E126+Bois!E126+Lens!E126+Madeleine!E126+Tourcoing!E126+Calais!E126+Eu!E126+Caudry!E126+Cambrai!E126+Amiens!E126+Compiègne!E126+Boulogne!E126+StOmer!E126</f>
        <v>0</v>
      </c>
      <c r="P126" s="1285">
        <f>+Béthune!F126+Bois!F126+Lens!F126+Madeleine!F126+Tourcoing!F126+Calais!F126+Eu!F126+Caudry!F126+Cambrai!F126+Amiens!F126+Compiègne!F126+Boulogne!F126+StOmer!F126</f>
        <v>0</v>
      </c>
      <c r="Q126" s="438">
        <f t="shared" si="33"/>
        <v>0</v>
      </c>
      <c r="R126" s="1286">
        <f t="shared" si="34"/>
        <v>0</v>
      </c>
      <c r="S126" s="1347">
        <f t="shared" si="35"/>
        <v>0</v>
      </c>
      <c r="T126" s="1324">
        <f t="shared" si="36"/>
        <v>0</v>
      </c>
      <c r="U126" s="1376">
        <f>+Béthune!D126+Bois!D126+Lens!D126+Madeleine!D126+Tourcoing!D126+Calais!D126+Eu!D126+Caudry!D126+Cambrai!D126+Amiens!D126+Compiègne!D126+Boulogne!D126+StOmer!D126</f>
        <v>0</v>
      </c>
      <c r="V126" s="25">
        <f t="shared" si="22"/>
        <v>0</v>
      </c>
    </row>
    <row r="127" spans="1:22" s="113" customFormat="1" ht="11.25">
      <c r="A127" s="18" t="s">
        <v>146</v>
      </c>
      <c r="B127" s="1223">
        <f>+Boulogne!$G127</f>
        <v>3555.1584000000003</v>
      </c>
      <c r="C127" s="438">
        <f>+Compiègne!$G127</f>
        <v>1281.0924960000002</v>
      </c>
      <c r="D127" s="438">
        <f>+Amiens!$G127</f>
        <v>806.37749120000001</v>
      </c>
      <c r="E127" s="438">
        <f>+Cambrai!$G127</f>
        <v>1061.3470480000001</v>
      </c>
      <c r="F127" s="438">
        <f>+Caudry!$G127</f>
        <v>1176.5232000000001</v>
      </c>
      <c r="G127" s="438">
        <f>+Eu!$G127</f>
        <v>6997.6440000000002</v>
      </c>
      <c r="H127" s="438">
        <f>+Calais!$G127</f>
        <v>1670.4256</v>
      </c>
      <c r="I127" s="438"/>
      <c r="J127" s="438">
        <f>+Madeleine!$G127</f>
        <v>1601.5408</v>
      </c>
      <c r="K127" s="438">
        <f>+Lens!$G127</f>
        <v>920.59680000000003</v>
      </c>
      <c r="L127" s="438">
        <f>+Bois!$G127</f>
        <v>409.69760000000002</v>
      </c>
      <c r="M127" s="438">
        <f>+Béthune!$G127</f>
        <v>637.67360000000008</v>
      </c>
      <c r="N127" s="1224">
        <f>+StOmer!$G127</f>
        <v>1296.9008000000001</v>
      </c>
      <c r="O127" s="1296">
        <f>+Béthune!E127+Bois!E127+Lens!E127+Madeleine!E127+Tourcoing!E127+Calais!E127+Eu!E127+Caudry!E127+Cambrai!E127+Amiens!E127+Compiègne!E127+Boulogne!E127+StOmer!E127</f>
        <v>23527.5</v>
      </c>
      <c r="P127" s="1285">
        <f>+Béthune!F127+Bois!F127+Lens!F127+Madeleine!F127+Tourcoing!F127+Calais!F127+Eu!F127+Caudry!F127+Cambrai!F127+Amiens!F127+Compiègne!F127+Boulogne!F127+StOmer!F127</f>
        <v>25506.823333333334</v>
      </c>
      <c r="Q127" s="438">
        <f t="shared" si="33"/>
        <v>21414.977835199996</v>
      </c>
      <c r="R127" s="1286">
        <f t="shared" si="34"/>
        <v>21414.977835199996</v>
      </c>
      <c r="S127" s="1323">
        <f t="shared" si="35"/>
        <v>8.4128077072928853E-2</v>
      </c>
      <c r="T127" s="1324">
        <f t="shared" si="36"/>
        <v>-0.16042160345329837</v>
      </c>
      <c r="U127" s="1209">
        <f>+Béthune!D127+Bois!D127+Lens!D127+Madeleine!D127+Tourcoing!D127+Calais!D127+Eu!D127+Caudry!D127+Cambrai!D127+Amiens!D127+Compiègne!D127+Boulogne!D127+StOmer!D127</f>
        <v>21817.418399999995</v>
      </c>
      <c r="V127" s="25">
        <f t="shared" si="22"/>
        <v>1</v>
      </c>
    </row>
    <row r="128" spans="1:22" s="17" customFormat="1" ht="11.25">
      <c r="A128" s="18"/>
      <c r="B128" s="1223"/>
      <c r="C128" s="438"/>
      <c r="D128" s="438"/>
      <c r="E128" s="438"/>
      <c r="F128" s="438"/>
      <c r="G128" s="438"/>
      <c r="H128" s="438"/>
      <c r="I128" s="438"/>
      <c r="J128" s="438"/>
      <c r="K128" s="438"/>
      <c r="L128" s="438"/>
      <c r="M128" s="438"/>
      <c r="N128" s="1224"/>
      <c r="O128" s="1322"/>
      <c r="P128" s="1322"/>
      <c r="Q128" s="1347"/>
      <c r="R128" s="1348"/>
      <c r="S128" s="1347"/>
      <c r="T128" s="1342"/>
      <c r="U128" s="1375"/>
      <c r="V128" s="2">
        <f t="shared" si="22"/>
        <v>0</v>
      </c>
    </row>
    <row r="129" spans="1:22" s="17" customFormat="1" ht="11.25">
      <c r="A129" s="13" t="s">
        <v>147</v>
      </c>
      <c r="B129" s="1225">
        <f>SUM(B117:B128)</f>
        <v>11545.71975</v>
      </c>
      <c r="C129" s="1226">
        <f t="shared" ref="C129:N129" si="37">SUM(C117:C128)</f>
        <v>8695.3079960000032</v>
      </c>
      <c r="D129" s="1226">
        <f t="shared" si="37"/>
        <v>9389.888891200002</v>
      </c>
      <c r="E129" s="1226">
        <f t="shared" si="37"/>
        <v>4899.1360480000003</v>
      </c>
      <c r="F129" s="1226">
        <f t="shared" si="37"/>
        <v>7522.2988000000005</v>
      </c>
      <c r="G129" s="1226">
        <f t="shared" si="37"/>
        <v>26016.510600000001</v>
      </c>
      <c r="H129" s="1226">
        <f t="shared" si="37"/>
        <v>6432.4526000000005</v>
      </c>
      <c r="I129" s="1226"/>
      <c r="J129" s="1226">
        <f t="shared" si="37"/>
        <v>12933.9334</v>
      </c>
      <c r="K129" s="1226">
        <f t="shared" si="37"/>
        <v>5977.2517000000007</v>
      </c>
      <c r="L129" s="1226">
        <f t="shared" si="37"/>
        <v>2518.3654000000001</v>
      </c>
      <c r="M129" s="1226">
        <f t="shared" si="37"/>
        <v>4948.4377000000004</v>
      </c>
      <c r="N129" s="1227">
        <f t="shared" si="37"/>
        <v>14623.999400000001</v>
      </c>
      <c r="O129" s="1303">
        <f>SUM(O117:O128)</f>
        <v>150263.28</v>
      </c>
      <c r="P129" s="1287">
        <f>SUM(P117:P128)</f>
        <v>125839.70433333334</v>
      </c>
      <c r="Q129" s="1287">
        <f>SUM(Q117:Q128)</f>
        <v>115503.3022852</v>
      </c>
      <c r="R129" s="1227">
        <f>SUM(R117:R128)</f>
        <v>115503.3022852</v>
      </c>
      <c r="S129" s="93">
        <f>+IF((O129)=0,,(P129-O129)/O129)</f>
        <v>-0.16253855011461654</v>
      </c>
      <c r="T129" s="1325">
        <f>+IF((P129)=0,,(R129-P129)/P129)</f>
        <v>-8.2139433677891768E-2</v>
      </c>
      <c r="U129" s="597">
        <f>+Béthune!D129+Bois!D129+Lens!D129+Madeleine!D129+Tourcoing!D129+Calais!D129+Eu!D129+Caudry!D129+Cambrai!D129+Amiens!D129+Compiègne!D129+Boulogne!D129+StOmer!D129</f>
        <v>164042.83214415607</v>
      </c>
      <c r="V129" s="2">
        <f t="shared" si="22"/>
        <v>1</v>
      </c>
    </row>
    <row r="130" spans="1:22" s="2" customFormat="1" ht="11.25">
      <c r="A130" s="5"/>
      <c r="B130" s="1323"/>
      <c r="C130" s="1347"/>
      <c r="D130" s="1347"/>
      <c r="E130" s="1347"/>
      <c r="F130" s="1347"/>
      <c r="G130" s="1347"/>
      <c r="H130" s="1347"/>
      <c r="I130" s="1347"/>
      <c r="J130" s="1347"/>
      <c r="K130" s="1347"/>
      <c r="L130" s="1347"/>
      <c r="M130" s="1347"/>
      <c r="N130" s="1348"/>
      <c r="O130" s="1322"/>
      <c r="P130" s="1322"/>
      <c r="Q130" s="1347"/>
      <c r="R130" s="1348"/>
      <c r="S130" s="1347"/>
      <c r="T130" s="1342"/>
      <c r="U130" s="1375"/>
      <c r="V130" s="2">
        <f t="shared" si="22"/>
        <v>0</v>
      </c>
    </row>
    <row r="131" spans="1:22" s="25" customFormat="1" ht="11.25">
      <c r="A131" s="18" t="s">
        <v>148</v>
      </c>
      <c r="B131" s="1223">
        <f>+Boulogne!$G131</f>
        <v>139932</v>
      </c>
      <c r="C131" s="438">
        <f>+Compiègne!$G131</f>
        <v>88275</v>
      </c>
      <c r="D131" s="438">
        <f>+Amiens!$G131</f>
        <v>56198</v>
      </c>
      <c r="E131" s="438">
        <f>+Cambrai!$G131</f>
        <v>82210</v>
      </c>
      <c r="F131" s="438">
        <f>+Caudry!$G131</f>
        <v>90092</v>
      </c>
      <c r="G131" s="438">
        <f>+Eu!$G131</f>
        <v>183462</v>
      </c>
      <c r="H131" s="438">
        <f>+Calais!$G131</f>
        <v>91310</v>
      </c>
      <c r="I131" s="438"/>
      <c r="J131" s="438">
        <f>+Madeleine!$G131</f>
        <v>107782</v>
      </c>
      <c r="K131" s="438">
        <f>+Lens!$G131</f>
        <v>49793</v>
      </c>
      <c r="L131" s="438">
        <f>+Bois!$G131</f>
        <v>34146</v>
      </c>
      <c r="M131" s="438">
        <f>+Béthune!$G131</f>
        <v>54507</v>
      </c>
      <c r="N131" s="1224">
        <f>+StOmer!$G131</f>
        <v>143196</v>
      </c>
      <c r="O131" s="1296">
        <f>+Béthune!E131+Bois!E131+Lens!E131+Madeleine!E131+Tourcoing!E131+Calais!E131+Eu!E131+Caudry!E131+Cambrai!E131+Amiens!E131+Compiègne!E131+Boulogne!E131+StOmer!E131</f>
        <v>1198866.5900000001</v>
      </c>
      <c r="P131" s="1285">
        <f>+Béthune!F131+Bois!F131+Lens!F131+Madeleine!F131+Tourcoing!F131+Calais!F131+Eu!F131+Caudry!F131+Cambrai!F131+Amiens!F131+Compiègne!F131+Boulogne!F131+StOmer!F131</f>
        <v>1132833.8799999999</v>
      </c>
      <c r="Q131" s="438">
        <f t="shared" ref="Q131:Q152" si="38">+R131</f>
        <v>1120903</v>
      </c>
      <c r="R131" s="1286">
        <f t="shared" ref="R131:R152" si="39">SUM(B131:N131)</f>
        <v>1120903</v>
      </c>
      <c r="S131" s="1323">
        <f>+IF((O131)=0,,(P131-O131)/O131)</f>
        <v>-5.5079281173395778E-2</v>
      </c>
      <c r="T131" s="1324">
        <f>+IF((P131)=0,,(R131-P131)/P131)</f>
        <v>-1.0531888400089066E-2</v>
      </c>
      <c r="U131" s="1209">
        <f>+Béthune!D131+Bois!D131+Lens!D131+Madeleine!D131+Tourcoing!D131+Calais!D131+Eu!D131+Caudry!D131+Cambrai!D131+Amiens!D131+Compiègne!D131+Boulogne!D131+StOmer!D131</f>
        <v>1179944</v>
      </c>
      <c r="V131" s="25">
        <f t="shared" si="22"/>
        <v>1</v>
      </c>
    </row>
    <row r="132" spans="1:22" s="113" customFormat="1" ht="11.25">
      <c r="A132" s="18" t="s">
        <v>149</v>
      </c>
      <c r="B132" s="1223">
        <f>+Boulogne!$G132</f>
        <v>0</v>
      </c>
      <c r="C132" s="438">
        <f>+Compiègne!$G132</f>
        <v>0</v>
      </c>
      <c r="D132" s="438">
        <f>+Amiens!$G132</f>
        <v>0</v>
      </c>
      <c r="E132" s="438">
        <f>+Cambrai!$G132</f>
        <v>0</v>
      </c>
      <c r="F132" s="438">
        <f>+Caudry!$G132</f>
        <v>0</v>
      </c>
      <c r="G132" s="438">
        <f>+Eu!$G132</f>
        <v>0</v>
      </c>
      <c r="H132" s="438">
        <f>+Calais!$G132</f>
        <v>0</v>
      </c>
      <c r="I132" s="438"/>
      <c r="J132" s="438">
        <f>+Madeleine!$G132</f>
        <v>0</v>
      </c>
      <c r="K132" s="438">
        <f>+Lens!$G132</f>
        <v>0</v>
      </c>
      <c r="L132" s="438">
        <f>+Bois!$G132</f>
        <v>0</v>
      </c>
      <c r="M132" s="438">
        <f>+Béthune!$G132</f>
        <v>0</v>
      </c>
      <c r="N132" s="1224">
        <f>+StOmer!$G132</f>
        <v>0</v>
      </c>
      <c r="O132" s="1285">
        <f>+Béthune!E132+Bois!E132+Lens!E132+Madeleine!E132+Tourcoing!E132+Calais!E132+Eu!E132+Caudry!E132+Cambrai!E132+Amiens!E132+Compiègne!E132+Boulogne!E132+StOmer!E132</f>
        <v>2057.85</v>
      </c>
      <c r="P132" s="1285">
        <f>+Béthune!F132+Bois!F132+Lens!F132+Madeleine!F132+Tourcoing!F132+Calais!F132+Eu!F132+Caudry!F132+Cambrai!F132+Amiens!F132+Compiègne!F132+Boulogne!F132+StOmer!F132</f>
        <v>-11395.826666666668</v>
      </c>
      <c r="Q132" s="438">
        <f t="shared" si="38"/>
        <v>0</v>
      </c>
      <c r="R132" s="1286">
        <f t="shared" si="39"/>
        <v>0</v>
      </c>
      <c r="S132" s="1347">
        <f t="shared" ref="S132:S152" si="40">+IF((O132)=0,,(P132-O132)/O132)</f>
        <v>-6.5377343667743855</v>
      </c>
      <c r="T132" s="1324">
        <f t="shared" ref="T132:T152" si="41">+IF((P132)=0,,(R132-P132)/P132)</f>
        <v>-1</v>
      </c>
      <c r="U132" s="1376">
        <f>+Béthune!D132+Bois!D132+Lens!D132+Madeleine!D132+Tourcoing!D132+Calais!D132+Eu!D132+Caudry!D132+Cambrai!D132+Amiens!D132+Compiègne!D132+Boulogne!D132+StOmer!D132</f>
        <v>0</v>
      </c>
      <c r="V132" s="25">
        <f t="shared" si="22"/>
        <v>0</v>
      </c>
    </row>
    <row r="133" spans="1:22" s="113" customFormat="1" ht="11.25">
      <c r="A133" s="18" t="s">
        <v>150</v>
      </c>
      <c r="B133" s="1223">
        <f>+Boulogne!$G133</f>
        <v>0</v>
      </c>
      <c r="C133" s="438">
        <f>+Compiègne!$G133</f>
        <v>0</v>
      </c>
      <c r="D133" s="438">
        <f>+Amiens!$G133</f>
        <v>0</v>
      </c>
      <c r="E133" s="438">
        <f>+Cambrai!$G133</f>
        <v>0</v>
      </c>
      <c r="F133" s="438">
        <f>+Caudry!$G133</f>
        <v>0</v>
      </c>
      <c r="G133" s="438">
        <f>+Eu!$G133</f>
        <v>0</v>
      </c>
      <c r="H133" s="438">
        <f>+Calais!$G133</f>
        <v>0</v>
      </c>
      <c r="I133" s="438"/>
      <c r="J133" s="438">
        <f>+Madeleine!$G133</f>
        <v>0</v>
      </c>
      <c r="K133" s="438">
        <f>+Lens!$G133</f>
        <v>0</v>
      </c>
      <c r="L133" s="438">
        <f>+Bois!$G133</f>
        <v>0</v>
      </c>
      <c r="M133" s="438">
        <f>+Béthune!$G133</f>
        <v>0</v>
      </c>
      <c r="N133" s="1224">
        <f>+StOmer!$G133</f>
        <v>0</v>
      </c>
      <c r="O133" s="1296">
        <f>+Béthune!E133+Bois!E133+Lens!E133+Madeleine!E133+Tourcoing!E133+Calais!E133+Eu!E133+Caudry!E133+Cambrai!E133+Amiens!E133+Compiègne!E133+Boulogne!E133+StOmer!E133</f>
        <v>0</v>
      </c>
      <c r="P133" s="1285">
        <f>+Béthune!F133+Bois!F133+Lens!F133+Madeleine!F133+Tourcoing!F133+Calais!F133+Eu!F133+Caudry!F133+Cambrai!F133+Amiens!F133+Compiègne!F133+Boulogne!F133+StOmer!F133</f>
        <v>14503.973333333332</v>
      </c>
      <c r="Q133" s="438">
        <f t="shared" si="38"/>
        <v>0</v>
      </c>
      <c r="R133" s="1286">
        <f t="shared" si="39"/>
        <v>0</v>
      </c>
      <c r="S133" s="1323">
        <f t="shared" si="40"/>
        <v>0</v>
      </c>
      <c r="T133" s="1324">
        <f t="shared" si="41"/>
        <v>-1</v>
      </c>
      <c r="U133" s="1209">
        <f>+Béthune!D133+Bois!D133+Lens!D133+Madeleine!D133+Tourcoing!D133+Calais!D133+Eu!D133+Caudry!D133+Cambrai!D133+Amiens!D133+Compiègne!D133+Boulogne!D133+StOmer!D133</f>
        <v>0</v>
      </c>
      <c r="V133" s="25">
        <f t="shared" si="22"/>
        <v>1</v>
      </c>
    </row>
    <row r="134" spans="1:22" s="113" customFormat="1" ht="11.25">
      <c r="A134" s="18" t="s">
        <v>151</v>
      </c>
      <c r="B134" s="1223">
        <f>+Boulogne!$G134</f>
        <v>0</v>
      </c>
      <c r="C134" s="438">
        <f>+Compiègne!$G134</f>
        <v>0</v>
      </c>
      <c r="D134" s="438">
        <f>+Amiens!$G134</f>
        <v>0</v>
      </c>
      <c r="E134" s="438">
        <f>+Cambrai!$G134</f>
        <v>0</v>
      </c>
      <c r="F134" s="438">
        <f>+Caudry!$G134</f>
        <v>0</v>
      </c>
      <c r="G134" s="438">
        <f>+Eu!$G134</f>
        <v>0</v>
      </c>
      <c r="H134" s="438">
        <f>+Calais!$G134</f>
        <v>0</v>
      </c>
      <c r="I134" s="438"/>
      <c r="J134" s="438">
        <f>+Madeleine!$G134</f>
        <v>0</v>
      </c>
      <c r="K134" s="438">
        <f>+Lens!$G134</f>
        <v>0</v>
      </c>
      <c r="L134" s="438">
        <f>+Bois!$G134</f>
        <v>0</v>
      </c>
      <c r="M134" s="438">
        <f>+Béthune!$G134</f>
        <v>0</v>
      </c>
      <c r="N134" s="1224">
        <f>+StOmer!$G134</f>
        <v>0</v>
      </c>
      <c r="O134" s="1296">
        <f>+Béthune!E134+Bois!E134+Lens!E134+Madeleine!E134+Tourcoing!E134+Calais!E134+Eu!E134+Caudry!E134+Cambrai!E134+Amiens!E134+Compiègne!E134+Boulogne!E134+StOmer!E134</f>
        <v>1190.6400000000012</v>
      </c>
      <c r="P134" s="1285">
        <f>+Béthune!F134+Bois!F134+Lens!F134+Madeleine!F134+Tourcoing!F134+Calais!F134+Eu!F134+Caudry!F134+Cambrai!F134+Amiens!F134+Compiègne!F134+Boulogne!F134+StOmer!F134</f>
        <v>0</v>
      </c>
      <c r="Q134" s="438">
        <f t="shared" si="38"/>
        <v>0</v>
      </c>
      <c r="R134" s="1286">
        <f t="shared" si="39"/>
        <v>0</v>
      </c>
      <c r="S134" s="1323">
        <f t="shared" si="40"/>
        <v>-1</v>
      </c>
      <c r="T134" s="1324">
        <f t="shared" si="41"/>
        <v>0</v>
      </c>
      <c r="U134" s="1209">
        <f>+Béthune!D134+Bois!D134+Lens!D134+Madeleine!D134+Tourcoing!D134+Calais!D134+Eu!D134+Caudry!D134+Cambrai!D134+Amiens!D134+Compiègne!D134+Boulogne!D134+StOmer!D134</f>
        <v>0</v>
      </c>
      <c r="V134" s="25">
        <f t="shared" si="22"/>
        <v>1</v>
      </c>
    </row>
    <row r="135" spans="1:22" s="113" customFormat="1" ht="11.25">
      <c r="A135" s="18" t="s">
        <v>114</v>
      </c>
      <c r="B135" s="1223">
        <f>+Boulogne!$G135</f>
        <v>0</v>
      </c>
      <c r="C135" s="438">
        <f>+Compiègne!$G135</f>
        <v>0</v>
      </c>
      <c r="D135" s="438">
        <f>+Amiens!$G135</f>
        <v>0</v>
      </c>
      <c r="E135" s="438">
        <f>+Cambrai!$G135</f>
        <v>0</v>
      </c>
      <c r="F135" s="438">
        <f>+Caudry!$G135</f>
        <v>0</v>
      </c>
      <c r="G135" s="438">
        <f>+Eu!$G135</f>
        <v>0</v>
      </c>
      <c r="H135" s="438">
        <f>+Calais!$G135</f>
        <v>0</v>
      </c>
      <c r="I135" s="438"/>
      <c r="J135" s="438">
        <f>+Madeleine!$G135</f>
        <v>0</v>
      </c>
      <c r="K135" s="438">
        <f>+Lens!$G135</f>
        <v>0</v>
      </c>
      <c r="L135" s="438">
        <f>+Bois!$G135</f>
        <v>0</v>
      </c>
      <c r="M135" s="438">
        <f>+Béthune!$G135</f>
        <v>0</v>
      </c>
      <c r="N135" s="1224">
        <f>+StOmer!$G135</f>
        <v>0</v>
      </c>
      <c r="O135" s="1296">
        <f>+Béthune!E135+Bois!E135+Lens!E135+Madeleine!E135+Tourcoing!E135+Calais!E135+Eu!E135+Caudry!E135+Cambrai!E135+Amiens!E135+Compiègne!E135+Boulogne!E135+StOmer!E135</f>
        <v>4425.4299999999994</v>
      </c>
      <c r="P135" s="1285">
        <f>+Béthune!F135+Bois!F135+Lens!F135+Madeleine!F135+Tourcoing!F135+Calais!F135+Eu!F135+Caudry!F135+Cambrai!F135+Amiens!F135+Compiègne!F135+Boulogne!F135+StOmer!F135</f>
        <v>33791.226666666669</v>
      </c>
      <c r="Q135" s="438">
        <f t="shared" si="38"/>
        <v>0</v>
      </c>
      <c r="R135" s="1286">
        <f t="shared" si="39"/>
        <v>0</v>
      </c>
      <c r="S135" s="1323">
        <f t="shared" si="40"/>
        <v>6.6356934053112742</v>
      </c>
      <c r="T135" s="1324">
        <f t="shared" si="41"/>
        <v>-1</v>
      </c>
      <c r="U135" s="1209">
        <f>+Béthune!D135+Bois!D135+Lens!D135+Madeleine!D135+Tourcoing!D135+Calais!D135+Eu!D135+Caudry!D135+Cambrai!D135+Amiens!D135+Compiègne!D135+Boulogne!D135+StOmer!D135</f>
        <v>8077.741871315</v>
      </c>
      <c r="V135" s="25">
        <f t="shared" ref="V135:V196" si="42">IF(SUM(K135:U135)&gt;0,1,0)</f>
        <v>1</v>
      </c>
    </row>
    <row r="136" spans="1:22" s="113" customFormat="1" ht="11.25">
      <c r="A136" s="18" t="s">
        <v>338</v>
      </c>
      <c r="B136" s="1223">
        <f>+Boulogne!$G136</f>
        <v>0</v>
      </c>
      <c r="C136" s="438">
        <f>+Compiègne!$G136</f>
        <v>0</v>
      </c>
      <c r="D136" s="438">
        <f>+Amiens!$G136</f>
        <v>0</v>
      </c>
      <c r="E136" s="438">
        <f>+Cambrai!$G136</f>
        <v>0</v>
      </c>
      <c r="F136" s="438">
        <f>+Caudry!$G136</f>
        <v>0</v>
      </c>
      <c r="G136" s="438">
        <f>+Eu!$G136</f>
        <v>0</v>
      </c>
      <c r="H136" s="438">
        <f>+Calais!$G136</f>
        <v>0</v>
      </c>
      <c r="I136" s="438"/>
      <c r="J136" s="438">
        <f>+Madeleine!$G136</f>
        <v>0</v>
      </c>
      <c r="K136" s="438">
        <f>+Lens!$G136</f>
        <v>0</v>
      </c>
      <c r="L136" s="438">
        <f>+Bois!$G136</f>
        <v>0</v>
      </c>
      <c r="M136" s="438">
        <f>+Béthune!$G136</f>
        <v>0</v>
      </c>
      <c r="N136" s="1224">
        <f>+StOmer!$G136</f>
        <v>0</v>
      </c>
      <c r="O136" s="1296">
        <f>+Béthune!E136+Bois!E136+Lens!E136+Madeleine!E136+Tourcoing!E136+Calais!E136+Eu!E136+Caudry!E136+Cambrai!E136+Amiens!E136+Compiègne!E136+Boulogne!E136+StOmer!E136</f>
        <v>2358.6200000000003</v>
      </c>
      <c r="P136" s="1285">
        <f>+Béthune!F136+Bois!F136+Lens!F136+Madeleine!F136+Tourcoing!F136+Calais!F136+Eu!F136+Caudry!F136+Cambrai!F136+Amiens!F136+Compiègne!F136+Boulogne!F136+StOmer!F136</f>
        <v>9200</v>
      </c>
      <c r="Q136" s="438">
        <f t="shared" si="38"/>
        <v>0</v>
      </c>
      <c r="R136" s="1286">
        <f t="shared" si="39"/>
        <v>0</v>
      </c>
      <c r="S136" s="1323">
        <f t="shared" si="40"/>
        <v>2.9005859358438402</v>
      </c>
      <c r="T136" s="1324">
        <f t="shared" si="41"/>
        <v>-1</v>
      </c>
      <c r="U136" s="1209">
        <f>+Béthune!D136+Bois!D136+Lens!D136+Madeleine!D136+Tourcoing!D136+Calais!D136+Eu!D136+Caudry!D136+Cambrai!D136+Amiens!D136+Compiègne!D136+Boulogne!D136+StOmer!D136</f>
        <v>2955.1518498512505</v>
      </c>
      <c r="V136" s="25">
        <f t="shared" si="42"/>
        <v>1</v>
      </c>
    </row>
    <row r="137" spans="1:22" s="113" customFormat="1" ht="11.25">
      <c r="A137" s="18" t="s">
        <v>87</v>
      </c>
      <c r="B137" s="1223">
        <f>+Boulogne!$G137</f>
        <v>0</v>
      </c>
      <c r="C137" s="438">
        <f>+Compiègne!$G137</f>
        <v>0</v>
      </c>
      <c r="D137" s="438">
        <f>+Amiens!$G137</f>
        <v>0</v>
      </c>
      <c r="E137" s="438">
        <f>+Cambrai!$G137</f>
        <v>0</v>
      </c>
      <c r="F137" s="438">
        <f>+Caudry!$G137</f>
        <v>0</v>
      </c>
      <c r="G137" s="438">
        <f>+Eu!$G137</f>
        <v>0</v>
      </c>
      <c r="H137" s="438">
        <f>+Calais!$G137</f>
        <v>0</v>
      </c>
      <c r="I137" s="438"/>
      <c r="J137" s="438">
        <f>+Madeleine!$G137</f>
        <v>0</v>
      </c>
      <c r="K137" s="438">
        <f>+Lens!$G137</f>
        <v>0</v>
      </c>
      <c r="L137" s="438">
        <f>+Bois!$G137</f>
        <v>0</v>
      </c>
      <c r="M137" s="438">
        <f>+Béthune!$G137</f>
        <v>0</v>
      </c>
      <c r="N137" s="1224">
        <f>+StOmer!$G137</f>
        <v>0</v>
      </c>
      <c r="O137" s="1285">
        <f>+Béthune!E137+Bois!E137+Lens!E137+Madeleine!E137+Tourcoing!E137+Calais!E137+Eu!E137+Caudry!E137+Cambrai!E137+Amiens!E137+Compiègne!E137+Boulogne!E137+StOmer!E137</f>
        <v>-32217.06</v>
      </c>
      <c r="P137" s="1285">
        <f>+Béthune!F137+Bois!F137+Lens!F137+Madeleine!F137+Tourcoing!F137+Calais!F137+Eu!F137+Caudry!F137+Cambrai!F137+Amiens!F137+Compiègne!F137+Boulogne!F137+StOmer!F137</f>
        <v>-35560.866666666661</v>
      </c>
      <c r="Q137" s="438">
        <f t="shared" si="38"/>
        <v>0</v>
      </c>
      <c r="R137" s="1286">
        <f t="shared" si="39"/>
        <v>0</v>
      </c>
      <c r="S137" s="1347">
        <f t="shared" si="40"/>
        <v>0.10378993820872109</v>
      </c>
      <c r="T137" s="1324">
        <f t="shared" si="41"/>
        <v>-1</v>
      </c>
      <c r="U137" s="1376">
        <f>+Béthune!D137+Bois!D137+Lens!D137+Madeleine!D137+Tourcoing!D137+Calais!D137+Eu!D137+Caudry!D137+Cambrai!D137+Amiens!D137+Compiègne!D137+Boulogne!D137+StOmer!D137</f>
        <v>-31654.269515</v>
      </c>
      <c r="V137" s="25">
        <f t="shared" si="42"/>
        <v>0</v>
      </c>
    </row>
    <row r="138" spans="1:22" s="113" customFormat="1" ht="11.25">
      <c r="A138" s="18" t="s">
        <v>152</v>
      </c>
      <c r="B138" s="1223">
        <f>+Boulogne!$G138</f>
        <v>0</v>
      </c>
      <c r="C138" s="438">
        <f>+Compiègne!$G138</f>
        <v>0</v>
      </c>
      <c r="D138" s="438">
        <f>+Amiens!$G138</f>
        <v>0</v>
      </c>
      <c r="E138" s="438">
        <f>+Cambrai!$G138</f>
        <v>0</v>
      </c>
      <c r="F138" s="438">
        <f>+Caudry!$G138</f>
        <v>0</v>
      </c>
      <c r="G138" s="438">
        <f>+Eu!$G138</f>
        <v>0</v>
      </c>
      <c r="H138" s="438">
        <f>+Calais!$G138</f>
        <v>0</v>
      </c>
      <c r="I138" s="438"/>
      <c r="J138" s="438">
        <f>+Madeleine!$G138</f>
        <v>0</v>
      </c>
      <c r="K138" s="438">
        <f>+Lens!$G138</f>
        <v>0</v>
      </c>
      <c r="L138" s="438">
        <f>+Bois!$G138</f>
        <v>0</v>
      </c>
      <c r="M138" s="438">
        <f>+Béthune!$G138</f>
        <v>0</v>
      </c>
      <c r="N138" s="1224">
        <f>+StOmer!$G138</f>
        <v>0</v>
      </c>
      <c r="O138" s="1285">
        <f>+Béthune!E138+Bois!E138+Lens!E138+Madeleine!E138+Tourcoing!E138+Calais!E138+Eu!E138+Caudry!E138+Cambrai!E138+Amiens!E138+Compiègne!E138+Boulogne!E138+StOmer!E138</f>
        <v>-507.28000000000065</v>
      </c>
      <c r="P138" s="1285">
        <f>+Béthune!F138+Bois!F138+Lens!F138+Madeleine!F138+Tourcoing!F138+Calais!F138+Eu!F138+Caudry!F138+Cambrai!F138+Amiens!F138+Compiègne!F138+Boulogne!F138+StOmer!F138</f>
        <v>0</v>
      </c>
      <c r="Q138" s="438">
        <f t="shared" si="38"/>
        <v>0</v>
      </c>
      <c r="R138" s="1286">
        <f t="shared" si="39"/>
        <v>0</v>
      </c>
      <c r="S138" s="1347">
        <f t="shared" si="40"/>
        <v>-1</v>
      </c>
      <c r="T138" s="1324">
        <f t="shared" si="41"/>
        <v>0</v>
      </c>
      <c r="U138" s="1376">
        <f>+Béthune!D138+Bois!D138+Lens!D138+Madeleine!D138+Tourcoing!D138+Calais!D138+Eu!D138+Caudry!D138+Cambrai!D138+Amiens!D138+Compiègne!D138+Boulogne!D138+StOmer!D138</f>
        <v>0</v>
      </c>
      <c r="V138" s="25">
        <f t="shared" si="42"/>
        <v>0</v>
      </c>
    </row>
    <row r="139" spans="1:22" s="113" customFormat="1" ht="11.25">
      <c r="A139" s="18" t="s">
        <v>153</v>
      </c>
      <c r="B139" s="1223">
        <f>+Boulogne!$G139</f>
        <v>0</v>
      </c>
      <c r="C139" s="438">
        <f>+Compiègne!$G139</f>
        <v>0</v>
      </c>
      <c r="D139" s="438">
        <f>+Amiens!$G139</f>
        <v>0</v>
      </c>
      <c r="E139" s="438">
        <f>+Cambrai!$G139</f>
        <v>0</v>
      </c>
      <c r="F139" s="438">
        <f>+Caudry!$G139</f>
        <v>0</v>
      </c>
      <c r="G139" s="438">
        <f>+Eu!$G139</f>
        <v>0</v>
      </c>
      <c r="H139" s="438">
        <f>+Calais!$G139</f>
        <v>0</v>
      </c>
      <c r="I139" s="438"/>
      <c r="J139" s="438">
        <f>+Madeleine!$G139</f>
        <v>0</v>
      </c>
      <c r="K139" s="438">
        <f>+Lens!$G139</f>
        <v>0</v>
      </c>
      <c r="L139" s="438">
        <f>+Bois!$G139</f>
        <v>0</v>
      </c>
      <c r="M139" s="438">
        <f>+Béthune!$G139</f>
        <v>0</v>
      </c>
      <c r="N139" s="1224">
        <f>+StOmer!$G139</f>
        <v>0</v>
      </c>
      <c r="O139" s="1285">
        <f>+Béthune!E139+Bois!E139+Lens!E139+Madeleine!E139+Tourcoing!E139+Calais!E139+Eu!E139+Caudry!E139+Cambrai!E139+Amiens!E139+Compiègne!E139+Boulogne!E139+StOmer!E139</f>
        <v>0</v>
      </c>
      <c r="P139" s="1285">
        <f>+Béthune!F139+Bois!F139+Lens!F139+Madeleine!F139+Tourcoing!F139+Calais!F139+Eu!F139+Caudry!F139+Cambrai!F139+Amiens!F139+Compiègne!F139+Boulogne!F139+StOmer!F139</f>
        <v>0</v>
      </c>
      <c r="Q139" s="438">
        <f t="shared" si="38"/>
        <v>0</v>
      </c>
      <c r="R139" s="1286">
        <f t="shared" si="39"/>
        <v>0</v>
      </c>
      <c r="S139" s="1347">
        <f t="shared" si="40"/>
        <v>0</v>
      </c>
      <c r="T139" s="1324">
        <f t="shared" si="41"/>
        <v>0</v>
      </c>
      <c r="U139" s="1376">
        <f>+Béthune!D139+Bois!D139+Lens!D139+Madeleine!D139+Tourcoing!D139+Calais!D139+Eu!D139+Caudry!D139+Cambrai!D139+Amiens!D139+Compiègne!D139+Boulogne!D139+StOmer!D139</f>
        <v>0</v>
      </c>
      <c r="V139" s="25">
        <f t="shared" si="42"/>
        <v>0</v>
      </c>
    </row>
    <row r="140" spans="1:22" s="113" customFormat="1" ht="11.25">
      <c r="A140" s="18" t="s">
        <v>154</v>
      </c>
      <c r="B140" s="1223">
        <f>+Boulogne!$G140</f>
        <v>0</v>
      </c>
      <c r="C140" s="438">
        <f>+Compiègne!$G140</f>
        <v>0</v>
      </c>
      <c r="D140" s="438">
        <f>+Amiens!$G140</f>
        <v>0</v>
      </c>
      <c r="E140" s="438">
        <f>+Cambrai!$G140</f>
        <v>0</v>
      </c>
      <c r="F140" s="438">
        <f>+Caudry!$G140</f>
        <v>0</v>
      </c>
      <c r="G140" s="438">
        <f>+Eu!$G140</f>
        <v>0</v>
      </c>
      <c r="H140" s="438">
        <f>+Calais!$G140</f>
        <v>0</v>
      </c>
      <c r="I140" s="438"/>
      <c r="J140" s="438">
        <f>+Madeleine!$G140</f>
        <v>0</v>
      </c>
      <c r="K140" s="438">
        <f>+Lens!$G140</f>
        <v>0</v>
      </c>
      <c r="L140" s="438">
        <f>+Bois!$G140</f>
        <v>0</v>
      </c>
      <c r="M140" s="438">
        <f>+Béthune!$G140</f>
        <v>0</v>
      </c>
      <c r="N140" s="1224">
        <f>+StOmer!$G140</f>
        <v>0</v>
      </c>
      <c r="O140" s="1296">
        <f>+Béthune!E140+Bois!E140+Lens!E140+Madeleine!E140+Tourcoing!E140+Calais!E140+Eu!E140+Caudry!E140+Cambrai!E140+Amiens!E140+Compiègne!E140+Boulogne!E140+StOmer!E140</f>
        <v>25599.58</v>
      </c>
      <c r="P140" s="1285">
        <f>+Béthune!F140+Bois!F140+Lens!F140+Madeleine!F140+Tourcoing!F140+Calais!F140+Eu!F140+Caudry!F140+Cambrai!F140+Amiens!F140+Compiègne!F140+Boulogne!F140+StOmer!F140</f>
        <v>10678.043333333333</v>
      </c>
      <c r="Q140" s="438">
        <f t="shared" si="38"/>
        <v>0</v>
      </c>
      <c r="R140" s="1286">
        <f t="shared" si="39"/>
        <v>0</v>
      </c>
      <c r="S140" s="1323">
        <f t="shared" si="40"/>
        <v>-0.58288208895093852</v>
      </c>
      <c r="T140" s="1324">
        <f t="shared" si="41"/>
        <v>-1</v>
      </c>
      <c r="U140" s="1209">
        <f>+Béthune!D140+Bois!D140+Lens!D140+Madeleine!D140+Tourcoing!D140+Calais!D140+Eu!D140+Caudry!D140+Cambrai!D140+Amiens!D140+Compiègne!D140+Boulogne!D140+StOmer!D140</f>
        <v>0</v>
      </c>
      <c r="V140" s="25">
        <f t="shared" si="42"/>
        <v>1</v>
      </c>
    </row>
    <row r="141" spans="1:22" s="113" customFormat="1" ht="11.25">
      <c r="A141" s="18" t="s">
        <v>155</v>
      </c>
      <c r="B141" s="1223">
        <f>+Boulogne!$G141</f>
        <v>29982.397671931369</v>
      </c>
      <c r="C141" s="438">
        <f>+Compiègne!$G141</f>
        <v>25983.068193541596</v>
      </c>
      <c r="D141" s="438">
        <f>+Amiens!$G141</f>
        <v>-2471.3047662991198</v>
      </c>
      <c r="E141" s="438">
        <f>+Cambrai!$G141</f>
        <v>17409.758084536839</v>
      </c>
      <c r="F141" s="438">
        <f>+Caudry!$G141</f>
        <v>26162.206200786128</v>
      </c>
      <c r="G141" s="438">
        <f>+Eu!$G141</f>
        <v>38969.821086263939</v>
      </c>
      <c r="H141" s="438">
        <f>+Calais!$G141</f>
        <v>26799.320250935027</v>
      </c>
      <c r="I141" s="438"/>
      <c r="J141" s="438">
        <f>+Madeleine!$G141</f>
        <v>27290.700399754252</v>
      </c>
      <c r="K141" s="438">
        <f>+Lens!$G141</f>
        <v>15129.509013249472</v>
      </c>
      <c r="L141" s="438">
        <f>+Bois!$G141</f>
        <v>12177.063014578829</v>
      </c>
      <c r="M141" s="438">
        <f>+Béthune!$G141</f>
        <v>18368.830969250168</v>
      </c>
      <c r="N141" s="1224">
        <f>+StOmer!$G141</f>
        <v>33516.031263335259</v>
      </c>
      <c r="O141" s="1296">
        <f>+Béthune!E141+Bois!E141+Lens!E141+Madeleine!E141+Tourcoing!E141+Calais!E141+Eu!E141+Caudry!E141+Cambrai!E141+Amiens!E141+Compiègne!E141+Boulogne!E141+StOmer!E141</f>
        <v>292667.33999999997</v>
      </c>
      <c r="P141" s="1285">
        <f>+Béthune!F141+Bois!F141+Lens!F141+Madeleine!F141+Tourcoing!F141+Calais!F141+Eu!F141+Caudry!F141+Cambrai!F141+Amiens!F141+Compiègne!F141+Boulogne!F141+StOmer!F141</f>
        <v>271590.19666666666</v>
      </c>
      <c r="Q141" s="438">
        <f t="shared" si="38"/>
        <v>269317.40138186375</v>
      </c>
      <c r="R141" s="1286">
        <f t="shared" si="39"/>
        <v>269317.40138186375</v>
      </c>
      <c r="S141" s="1323">
        <f t="shared" si="40"/>
        <v>-7.2017408342636771E-2</v>
      </c>
      <c r="T141" s="1324">
        <f t="shared" si="41"/>
        <v>-8.3684732096291382E-3</v>
      </c>
      <c r="U141" s="1209">
        <f>+Béthune!D141+Bois!D141+Lens!D141+Madeleine!D141+Tourcoing!D141+Calais!D141+Eu!D141+Caudry!D141+Cambrai!D141+Amiens!D141+Compiègne!D141+Boulogne!D141+StOmer!D141</f>
        <v>277094.22874634335</v>
      </c>
      <c r="V141" s="25">
        <f t="shared" si="42"/>
        <v>1</v>
      </c>
    </row>
    <row r="142" spans="1:22" s="113" customFormat="1" ht="11.25">
      <c r="A142" s="18" t="s">
        <v>156</v>
      </c>
      <c r="B142" s="1223">
        <f>+Boulogne!$G142</f>
        <v>4744.5985960789631</v>
      </c>
      <c r="C142" s="438">
        <f>+Compiègne!$G142</f>
        <v>4386.3443644208519</v>
      </c>
      <c r="D142" s="438">
        <f>+Amiens!$G142</f>
        <v>3823.5171508535159</v>
      </c>
      <c r="E142" s="438">
        <f>+Cambrai!$G142</f>
        <v>2778.5374396887555</v>
      </c>
      <c r="F142" s="438">
        <f>+Caudry!$G142</f>
        <v>1925.8339910936591</v>
      </c>
      <c r="G142" s="438">
        <f>+Eu!$G142</f>
        <v>6553.1692420595009</v>
      </c>
      <c r="H142" s="438">
        <f>+Calais!$G142</f>
        <v>1870.2491132299181</v>
      </c>
      <c r="I142" s="438"/>
      <c r="J142" s="438">
        <f>+Madeleine!$G142</f>
        <v>3245.3431524974862</v>
      </c>
      <c r="K142" s="438">
        <f>+Lens!$G142</f>
        <v>1030.8366174606424</v>
      </c>
      <c r="L142" s="438">
        <f>+Bois!$G142</f>
        <v>709.68527133387909</v>
      </c>
      <c r="M142" s="438">
        <f>+Béthune!$G142</f>
        <v>1089.1547363854506</v>
      </c>
      <c r="N142" s="1224">
        <f>+StOmer!$G142</f>
        <v>5435.1249176078527</v>
      </c>
      <c r="O142" s="1296">
        <f>+Béthune!E142+Bois!E142+Lens!E142+Madeleine!E142+Tourcoing!E142+Calais!E142+Eu!E142+Caudry!E142+Cambrai!E142+Amiens!E142+Compiègne!E142+Boulogne!E142+StOmer!E142</f>
        <v>36987.72</v>
      </c>
      <c r="P142" s="1285">
        <f>+Béthune!F142+Bois!F142+Lens!F142+Madeleine!F142+Tourcoing!F142+Calais!F142+Eu!F142+Caudry!F142+Cambrai!F142+Amiens!F142+Compiègne!F142+Boulogne!F142+StOmer!F142</f>
        <v>37169.793333333335</v>
      </c>
      <c r="Q142" s="438">
        <f t="shared" si="38"/>
        <v>37592.39459271048</v>
      </c>
      <c r="R142" s="1286">
        <f t="shared" si="39"/>
        <v>37592.39459271048</v>
      </c>
      <c r="S142" s="1323">
        <f t="shared" si="40"/>
        <v>4.9225346502388828E-3</v>
      </c>
      <c r="T142" s="1324">
        <f t="shared" si="41"/>
        <v>1.1369481008067969E-2</v>
      </c>
      <c r="U142" s="1209">
        <f>+Béthune!D142+Bois!D142+Lens!D142+Madeleine!D142+Tourcoing!D142+Calais!D142+Eu!D142+Caudry!D142+Cambrai!D142+Amiens!D142+Compiègne!D142+Boulogne!D142+StOmer!D142</f>
        <v>37196.868797702147</v>
      </c>
      <c r="V142" s="25">
        <f t="shared" si="42"/>
        <v>1</v>
      </c>
    </row>
    <row r="143" spans="1:22" s="113" customFormat="1" ht="11.25">
      <c r="A143" s="18" t="s">
        <v>157</v>
      </c>
      <c r="B143" s="1223">
        <f>+Boulogne!$G143</f>
        <v>10168.804908300759</v>
      </c>
      <c r="C143" s="438">
        <f>+Compiègne!$G143</f>
        <v>5436.4703668088068</v>
      </c>
      <c r="D143" s="438">
        <f>+Amiens!$G143</f>
        <v>11921.306545632959</v>
      </c>
      <c r="E143" s="438">
        <f>+Cambrai!$G143</f>
        <v>5996.5723470608591</v>
      </c>
      <c r="F143" s="438">
        <f>+Caudry!$G143</f>
        <v>4936.3651187174619</v>
      </c>
      <c r="G143" s="438">
        <f>+Eu!$G143</f>
        <v>10455.460185729396</v>
      </c>
      <c r="H143" s="438">
        <f>+Calais!$G143</f>
        <v>4493.8677731298421</v>
      </c>
      <c r="I143" s="438"/>
      <c r="J143" s="438">
        <f>+Madeleine!$G143</f>
        <v>7802.9072689198256</v>
      </c>
      <c r="K143" s="438">
        <f>+Lens!$G143</f>
        <v>2244.7592385512648</v>
      </c>
      <c r="L143" s="438">
        <f>+Bois!$G143</f>
        <v>1269.6567534723238</v>
      </c>
      <c r="M143" s="438">
        <f>+Béthune!$G143</f>
        <v>2757.3278144001738</v>
      </c>
      <c r="N143" s="1224">
        <f>+StOmer!$G143</f>
        <v>10156.828776096347</v>
      </c>
      <c r="O143" s="1296">
        <f>+Béthune!E143+Bois!E143+Lens!E143+Madeleine!E143+Tourcoing!E143+Calais!E143+Eu!E143+Caudry!E143+Cambrai!E143+Amiens!E143+Compiègne!E143+Boulogne!E143+StOmer!E143</f>
        <v>81419.38</v>
      </c>
      <c r="P143" s="1285">
        <f>+Béthune!F143+Bois!F143+Lens!F143+Madeleine!F143+Tourcoing!F143+Calais!F143+Eu!F143+Caudry!F143+Cambrai!F143+Amiens!F143+Compiègne!F143+Boulogne!F143+StOmer!F143</f>
        <v>77603.03</v>
      </c>
      <c r="Q143" s="438">
        <f t="shared" si="38"/>
        <v>77640.327096820009</v>
      </c>
      <c r="R143" s="1286">
        <f t="shared" si="39"/>
        <v>77640.327096820009</v>
      </c>
      <c r="S143" s="1323">
        <f t="shared" si="40"/>
        <v>-4.6872747004460188E-2</v>
      </c>
      <c r="T143" s="1324">
        <f t="shared" si="41"/>
        <v>4.8061392473992002E-4</v>
      </c>
      <c r="U143" s="1209">
        <f>+Béthune!D143+Bois!D143+Lens!D143+Madeleine!D143+Tourcoing!D143+Calais!D143+Eu!D143+Caudry!D143+Cambrai!D143+Amiens!D143+Compiègne!D143+Boulogne!D143+StOmer!D143</f>
        <v>83297.883486687075</v>
      </c>
      <c r="V143" s="25">
        <f t="shared" si="42"/>
        <v>1</v>
      </c>
    </row>
    <row r="144" spans="1:22" s="113" customFormat="1" ht="11.25">
      <c r="A144" s="18" t="s">
        <v>326</v>
      </c>
      <c r="B144" s="1223">
        <f>+Boulogne!$G144</f>
        <v>0</v>
      </c>
      <c r="C144" s="438">
        <f>+Compiègne!$G144</f>
        <v>0</v>
      </c>
      <c r="D144" s="438">
        <f>+Amiens!$G144</f>
        <v>343.35248017206607</v>
      </c>
      <c r="E144" s="438">
        <f>+Cambrai!$G144</f>
        <v>0</v>
      </c>
      <c r="F144" s="438">
        <f>+Caudry!$G144</f>
        <v>0</v>
      </c>
      <c r="G144" s="438">
        <f>+Eu!$G144</f>
        <v>0</v>
      </c>
      <c r="H144" s="438">
        <f>+Calais!$G144</f>
        <v>0</v>
      </c>
      <c r="I144" s="438"/>
      <c r="J144" s="438">
        <f>+Madeleine!$G144</f>
        <v>0</v>
      </c>
      <c r="K144" s="438">
        <f>+Lens!$G144</f>
        <v>0</v>
      </c>
      <c r="L144" s="438">
        <f>+Bois!$G144</f>
        <v>0</v>
      </c>
      <c r="M144" s="438">
        <f>+Béthune!$G144</f>
        <v>0</v>
      </c>
      <c r="N144" s="1224">
        <f>+StOmer!$G144</f>
        <v>0</v>
      </c>
      <c r="O144" s="1296">
        <f>+Béthune!E144+Bois!E144+Lens!E144+Madeleine!E144+Tourcoing!E144+Calais!E144+Eu!E144+Caudry!E144+Cambrai!E144+Amiens!E144+Compiègne!E144+Boulogne!E144+StOmer!E144</f>
        <v>1900.76</v>
      </c>
      <c r="P144" s="1285">
        <f>+Béthune!F144+Bois!F144+Lens!F144+Madeleine!F144+Tourcoing!F144+Calais!F144+Eu!F144+Caudry!F144+Cambrai!F144+Amiens!F144+Compiègne!F144+Boulogne!F144+StOmer!F144</f>
        <v>346.2</v>
      </c>
      <c r="Q144" s="438">
        <f t="shared" si="38"/>
        <v>343.35248017206607</v>
      </c>
      <c r="R144" s="1286">
        <f t="shared" si="39"/>
        <v>343.35248017206607</v>
      </c>
      <c r="S144" s="1323">
        <f t="shared" si="40"/>
        <v>-0.81786232875270937</v>
      </c>
      <c r="T144" s="1324">
        <f t="shared" si="41"/>
        <v>-8.2250717155803663E-3</v>
      </c>
      <c r="U144" s="1209">
        <f>+Béthune!D144+Bois!D144+Lens!D144+Madeleine!D144+Tourcoing!D144+Calais!D144+Eu!D144+Caudry!D144+Cambrai!D144+Amiens!D144+Compiègne!D144+Boulogne!D144+StOmer!D144</f>
        <v>448.5359588287879</v>
      </c>
      <c r="V144" s="25">
        <f t="shared" si="42"/>
        <v>1</v>
      </c>
    </row>
    <row r="145" spans="1:22" s="113" customFormat="1" ht="11.25">
      <c r="A145" s="18" t="s">
        <v>158</v>
      </c>
      <c r="B145" s="1223">
        <f>+Boulogne!$G145</f>
        <v>7218.8656633978817</v>
      </c>
      <c r="C145" s="438">
        <f>+Compiègne!$G145</f>
        <v>3384.4578362643656</v>
      </c>
      <c r="D145" s="438">
        <f>+Amiens!$G145</f>
        <v>5835.5904543598153</v>
      </c>
      <c r="E145" s="438">
        <f>+Cambrai!$G145</f>
        <v>4235.9637292244061</v>
      </c>
      <c r="F145" s="438">
        <f>+Caudry!$G145</f>
        <v>3526.6864854798505</v>
      </c>
      <c r="G145" s="438">
        <f>+Eu!$G145</f>
        <v>7723.7065809645837</v>
      </c>
      <c r="H145" s="438">
        <f>+Calais!$G145</f>
        <v>3316.0912459872488</v>
      </c>
      <c r="I145" s="438"/>
      <c r="J145" s="438">
        <f>+Madeleine!$G145</f>
        <v>4840.6157086966386</v>
      </c>
      <c r="K145" s="438">
        <f>+Lens!$G145</f>
        <v>1900.911051544442</v>
      </c>
      <c r="L145" s="438">
        <f>+Bois!$G145</f>
        <v>980.08591496109193</v>
      </c>
      <c r="M145" s="438">
        <f>+Béthune!$G145</f>
        <v>1846.9258101270284</v>
      </c>
      <c r="N145" s="1224">
        <f>+StOmer!$G145</f>
        <v>5833.4589686830068</v>
      </c>
      <c r="O145" s="1296">
        <f>+Béthune!E145+Bois!E145+Lens!E145+Madeleine!E145+Tourcoing!E145+Calais!E145+Eu!E145+Caudry!E145+Cambrai!E145+Amiens!E145+Compiègne!E145+Boulogne!E145+StOmer!E145</f>
        <v>52317.009999999995</v>
      </c>
      <c r="P145" s="1285">
        <f>+Béthune!F145+Bois!F145+Lens!F145+Madeleine!F145+Tourcoing!F145+Calais!F145+Eu!F145+Caudry!F145+Cambrai!F145+Amiens!F145+Compiègne!F145+Boulogne!F145+StOmer!F145</f>
        <v>50667.456666666665</v>
      </c>
      <c r="Q145" s="438">
        <f t="shared" si="38"/>
        <v>50643.359449690368</v>
      </c>
      <c r="R145" s="1286">
        <f t="shared" si="39"/>
        <v>50643.359449690368</v>
      </c>
      <c r="S145" s="1323">
        <f t="shared" si="40"/>
        <v>-3.1529961925066623E-2</v>
      </c>
      <c r="T145" s="1324">
        <f t="shared" si="41"/>
        <v>-4.7559555110154937E-4</v>
      </c>
      <c r="U145" s="1209">
        <f>+Béthune!D145+Bois!D145+Lens!D145+Madeleine!D145+Tourcoing!D145+Calais!D145+Eu!D145+Caudry!D145+Cambrai!D145+Amiens!D145+Compiègne!D145+Boulogne!D145+StOmer!D145</f>
        <v>52671.420920630546</v>
      </c>
      <c r="V145" s="25">
        <f t="shared" si="42"/>
        <v>1</v>
      </c>
    </row>
    <row r="146" spans="1:22" s="113" customFormat="1" ht="11.25">
      <c r="A146" s="18" t="s">
        <v>159</v>
      </c>
      <c r="B146" s="1223">
        <f>+Boulogne!$G146</f>
        <v>0</v>
      </c>
      <c r="C146" s="438">
        <f>+Compiègne!$G146</f>
        <v>0</v>
      </c>
      <c r="D146" s="438">
        <f>+Amiens!$G146</f>
        <v>0</v>
      </c>
      <c r="E146" s="438">
        <f>+Cambrai!$G146</f>
        <v>0</v>
      </c>
      <c r="F146" s="438">
        <f>+Caudry!$G146</f>
        <v>0</v>
      </c>
      <c r="G146" s="438">
        <f>+Eu!$G146</f>
        <v>0</v>
      </c>
      <c r="H146" s="438">
        <f>+Calais!$G146</f>
        <v>0</v>
      </c>
      <c r="I146" s="438"/>
      <c r="J146" s="438">
        <f>+Madeleine!$G146</f>
        <v>0</v>
      </c>
      <c r="K146" s="438">
        <f>+Lens!$G146</f>
        <v>459.16039384292401</v>
      </c>
      <c r="L146" s="438">
        <f>+Bois!$G146</f>
        <v>0</v>
      </c>
      <c r="M146" s="438">
        <f>+Béthune!$G146</f>
        <v>0</v>
      </c>
      <c r="N146" s="1224">
        <f>+StOmer!$G146</f>
        <v>0</v>
      </c>
      <c r="O146" s="1296">
        <f>+Béthune!E146+Bois!E146+Lens!E146+Madeleine!E146+Tourcoing!E146+Calais!E146+Eu!E146+Caudry!E146+Cambrai!E146+Amiens!E146+Compiègne!E146+Boulogne!E146+StOmer!E146</f>
        <v>1738.97</v>
      </c>
      <c r="P146" s="1285">
        <f>+Béthune!F146+Bois!F146+Lens!F146+Madeleine!F146+Tourcoing!F146+Calais!F146+Eu!F146+Caudry!F146+Cambrai!F146+Amiens!F146+Compiègne!F146+Boulogne!F146+StOmer!F146</f>
        <v>518.86666666666667</v>
      </c>
      <c r="Q146" s="438">
        <f t="shared" si="38"/>
        <v>459.16039384292401</v>
      </c>
      <c r="R146" s="1286">
        <f t="shared" si="39"/>
        <v>459.16039384292401</v>
      </c>
      <c r="S146" s="1323">
        <f t="shared" si="40"/>
        <v>-0.70162414149371954</v>
      </c>
      <c r="T146" s="1324">
        <f t="shared" si="41"/>
        <v>-0.11507055021921367</v>
      </c>
      <c r="U146" s="1209">
        <f>+Béthune!D146+Bois!D146+Lens!D146+Madeleine!D146+Tourcoing!D146+Calais!D146+Eu!D146+Caudry!D146+Cambrai!D146+Amiens!D146+Compiègne!D146+Boulogne!D146+StOmer!D146</f>
        <v>1805.0880545720074</v>
      </c>
      <c r="V146" s="25">
        <f t="shared" si="42"/>
        <v>1</v>
      </c>
    </row>
    <row r="147" spans="1:22" s="113" customFormat="1" ht="11.25">
      <c r="A147" s="18" t="s">
        <v>160</v>
      </c>
      <c r="B147" s="1223">
        <f>+Boulogne!$G147</f>
        <v>662.13893333333328</v>
      </c>
      <c r="C147" s="438">
        <f>+Compiègne!$G147</f>
        <v>454.84799999999996</v>
      </c>
      <c r="D147" s="438">
        <f>+Amiens!$G147</f>
        <v>-3404.3422666666665</v>
      </c>
      <c r="E147" s="438">
        <f>+Cambrai!$G147</f>
        <v>678.02840000000003</v>
      </c>
      <c r="F147" s="438">
        <f>+Caudry!$G147</f>
        <v>948.69866666666667</v>
      </c>
      <c r="G147" s="438">
        <f>+Eu!$G147</f>
        <v>159.91093333333333</v>
      </c>
      <c r="H147" s="438">
        <f>+Calais!$G147</f>
        <v>677.19066666666674</v>
      </c>
      <c r="I147" s="438"/>
      <c r="J147" s="438">
        <f>+Madeleine!$G147</f>
        <v>-1671.4839999999997</v>
      </c>
      <c r="K147" s="438">
        <f>+Lens!$G147</f>
        <v>-13.087866666666665</v>
      </c>
      <c r="L147" s="438">
        <f>+Bois!$G147</f>
        <v>276.1498666666667</v>
      </c>
      <c r="M147" s="438">
        <f>+Béthune!$G147</f>
        <v>0</v>
      </c>
      <c r="N147" s="1224">
        <f>+StOmer!$G147</f>
        <v>823.25839999999994</v>
      </c>
      <c r="O147" s="1296">
        <f>+Béthune!E147+Bois!E147+Lens!E147+Madeleine!E147+Tourcoing!E147+Calais!E147+Eu!E147+Caudry!E147+Cambrai!E147+Amiens!E147+Compiègne!E147+Boulogne!E147+StOmer!E147</f>
        <v>808.43000000000006</v>
      </c>
      <c r="P147" s="1285">
        <f>+Béthune!F147+Bois!F147+Lens!F147+Madeleine!F147+Tourcoing!F147+Calais!F147+Eu!F147+Caudry!F147+Cambrai!F147+Amiens!F147+Compiègne!F147+Boulogne!F147+StOmer!F147</f>
        <v>-396.78666666666641</v>
      </c>
      <c r="Q147" s="438">
        <f t="shared" si="38"/>
        <v>-408.69026666666628</v>
      </c>
      <c r="R147" s="1286">
        <f t="shared" si="39"/>
        <v>-408.69026666666628</v>
      </c>
      <c r="S147" s="1323">
        <f t="shared" si="40"/>
        <v>-1.4908114081202657</v>
      </c>
      <c r="T147" s="1324">
        <f t="shared" si="41"/>
        <v>2.999999999999969E-2</v>
      </c>
      <c r="U147" s="1209">
        <f>+Béthune!D147+Bois!D147+Lens!D147+Madeleine!D147+Tourcoing!D147+Calais!D147+Eu!D147+Caudry!D147+Cambrai!D147+Amiens!D147+Compiègne!D147+Boulogne!D147+StOmer!D147</f>
        <v>2556.587637149375</v>
      </c>
      <c r="V147" s="25">
        <f t="shared" si="42"/>
        <v>1</v>
      </c>
    </row>
    <row r="148" spans="1:22" s="113" customFormat="1" ht="11.25">
      <c r="A148" s="18" t="s">
        <v>161</v>
      </c>
      <c r="B148" s="1223">
        <f>+Boulogne!$G148</f>
        <v>0</v>
      </c>
      <c r="C148" s="438">
        <f>+Compiègne!$G148</f>
        <v>0</v>
      </c>
      <c r="D148" s="438">
        <f>+Amiens!$G148</f>
        <v>0</v>
      </c>
      <c r="E148" s="438">
        <f>+Cambrai!$G148</f>
        <v>0</v>
      </c>
      <c r="F148" s="438">
        <f>+Caudry!$G148</f>
        <v>0</v>
      </c>
      <c r="G148" s="438">
        <f>+Eu!$G148</f>
        <v>0</v>
      </c>
      <c r="H148" s="438">
        <f>+Calais!$G148</f>
        <v>0</v>
      </c>
      <c r="I148" s="438"/>
      <c r="J148" s="438">
        <f>+Madeleine!$G148</f>
        <v>0</v>
      </c>
      <c r="K148" s="438">
        <f>+Lens!$G148</f>
        <v>0</v>
      </c>
      <c r="L148" s="438">
        <f>+Bois!$G148</f>
        <v>0</v>
      </c>
      <c r="M148" s="438">
        <f>+Béthune!$G148</f>
        <v>0</v>
      </c>
      <c r="N148" s="1224">
        <f>+StOmer!$G148</f>
        <v>0</v>
      </c>
      <c r="O148" s="1296">
        <f>+Béthune!E148+Bois!E148+Lens!E148+Madeleine!E148+Tourcoing!E148+Calais!E148+Eu!E148+Caudry!E148+Cambrai!E148+Amiens!E148+Compiègne!E148+Boulogne!E148+StOmer!E148</f>
        <v>601.79000000000008</v>
      </c>
      <c r="P148" s="1285">
        <f>+Béthune!F148+Bois!F148+Lens!F148+Madeleine!F148+Tourcoing!F148+Calais!F148+Eu!F148+Caudry!F148+Cambrai!F148+Amiens!F148+Compiègne!F148+Boulogne!F148+StOmer!F148</f>
        <v>0</v>
      </c>
      <c r="Q148" s="438">
        <f t="shared" si="38"/>
        <v>0</v>
      </c>
      <c r="R148" s="1286">
        <f t="shared" si="39"/>
        <v>0</v>
      </c>
      <c r="S148" s="1323">
        <f t="shared" si="40"/>
        <v>-1</v>
      </c>
      <c r="T148" s="1324">
        <f t="shared" si="41"/>
        <v>0</v>
      </c>
      <c r="U148" s="1209">
        <f>+Béthune!D148+Bois!D148+Lens!D148+Madeleine!D148+Tourcoing!D148+Calais!D148+Eu!D148+Caudry!D148+Cambrai!D148+Amiens!D148+Compiègne!D148+Boulogne!D148+StOmer!D148</f>
        <v>474.41478685062498</v>
      </c>
      <c r="V148" s="25">
        <f t="shared" si="42"/>
        <v>1</v>
      </c>
    </row>
    <row r="149" spans="1:22" s="113" customFormat="1" ht="11.25">
      <c r="A149" s="18" t="s">
        <v>162</v>
      </c>
      <c r="B149" s="1223">
        <f>+Boulogne!$G149</f>
        <v>130.32933333333332</v>
      </c>
      <c r="C149" s="438">
        <f>+Compiègne!$G149</f>
        <v>0</v>
      </c>
      <c r="D149" s="438">
        <f>+Amiens!$G149</f>
        <v>0</v>
      </c>
      <c r="E149" s="438">
        <f>+Cambrai!$G149</f>
        <v>0</v>
      </c>
      <c r="F149" s="438">
        <f>+Caudry!$G149</f>
        <v>0</v>
      </c>
      <c r="G149" s="438">
        <f>+Eu!$G149</f>
        <v>0</v>
      </c>
      <c r="H149" s="438">
        <f>+Calais!$G149</f>
        <v>0</v>
      </c>
      <c r="I149" s="438"/>
      <c r="J149" s="438">
        <f>+Madeleine!$G149</f>
        <v>220.28266666666667</v>
      </c>
      <c r="K149" s="438">
        <f>+Lens!$G149</f>
        <v>0</v>
      </c>
      <c r="L149" s="438">
        <f>+Bois!$G149</f>
        <v>0</v>
      </c>
      <c r="M149" s="438">
        <f>+Béthune!$G149</f>
        <v>0</v>
      </c>
      <c r="N149" s="1224">
        <f>+StOmer!$G149</f>
        <v>0</v>
      </c>
      <c r="O149" s="1296">
        <f>+Béthune!E149+Bois!E149+Lens!E149+Madeleine!E149+Tourcoing!E149+Calais!E149+Eu!E149+Caudry!E149+Cambrai!E149+Amiens!E149+Compiègne!E149+Boulogne!E149+StOmer!E149</f>
        <v>800.25</v>
      </c>
      <c r="P149" s="1285">
        <f>+Béthune!F149+Bois!F149+Lens!F149+Madeleine!F149+Tourcoing!F149+Calais!F149+Eu!F149+Caudry!F149+Cambrai!F149+Amiens!F149+Compiègne!F149+Boulogne!F149+StOmer!F149</f>
        <v>340.4</v>
      </c>
      <c r="Q149" s="438">
        <f t="shared" si="38"/>
        <v>350.61199999999997</v>
      </c>
      <c r="R149" s="1286">
        <f t="shared" si="39"/>
        <v>350.61199999999997</v>
      </c>
      <c r="S149" s="1323">
        <f t="shared" si="40"/>
        <v>-0.57463292721024684</v>
      </c>
      <c r="T149" s="1324">
        <f t="shared" si="41"/>
        <v>2.9999999999999971E-2</v>
      </c>
      <c r="U149" s="1209">
        <f>+Béthune!D149+Bois!D149+Lens!D149+Madeleine!D149+Tourcoing!D149+Calais!D149+Eu!D149+Caudry!D149+Cambrai!D149+Amiens!D149+Compiègne!D149+Boulogne!D149+StOmer!D149</f>
        <v>824.18548497500001</v>
      </c>
      <c r="V149" s="25">
        <f t="shared" si="42"/>
        <v>1</v>
      </c>
    </row>
    <row r="150" spans="1:22" s="113" customFormat="1" ht="11.25">
      <c r="A150" s="5" t="s">
        <v>163</v>
      </c>
      <c r="B150" s="1223">
        <f>+Boulogne!$G150</f>
        <v>732.09653333333347</v>
      </c>
      <c r="C150" s="438">
        <f>+Compiègne!$G150</f>
        <v>280.16000000000003</v>
      </c>
      <c r="D150" s="438">
        <f>+Amiens!$G150</f>
        <v>0</v>
      </c>
      <c r="E150" s="438">
        <f>+Cambrai!$G150</f>
        <v>603.15426666666667</v>
      </c>
      <c r="F150" s="438">
        <f>+Caudry!$G150</f>
        <v>331.70119999999997</v>
      </c>
      <c r="G150" s="438">
        <f>+Eu!$G150</f>
        <v>982.34533333333343</v>
      </c>
      <c r="H150" s="438">
        <f>+Calais!$G150</f>
        <v>366.04826666666673</v>
      </c>
      <c r="I150" s="438"/>
      <c r="J150" s="438">
        <f>+Madeleine!$G150</f>
        <v>220.72213333333332</v>
      </c>
      <c r="K150" s="438">
        <f>+Lens!$G150</f>
        <v>175.78666666666666</v>
      </c>
      <c r="L150" s="438">
        <f>+Bois!$G150</f>
        <v>102.93133333333334</v>
      </c>
      <c r="M150" s="438">
        <f>+Béthune!$G150</f>
        <v>175.78666666666666</v>
      </c>
      <c r="N150" s="1224">
        <f>+StOmer!$G150</f>
        <v>769.31386666666663</v>
      </c>
      <c r="O150" s="1296">
        <f>+Béthune!E150+Bois!E150+Lens!E150+Madeleine!E150+Tourcoing!E150+Calais!E150+Eu!E150+Caudry!E150+Cambrai!E150+Amiens!E150+Compiègne!E150+Boulogne!E150+StOmer!E150</f>
        <v>4305.33</v>
      </c>
      <c r="P150" s="1285">
        <f>+Béthune!F150+Bois!F150+Lens!F150+Madeleine!F150+Tourcoing!F150+Calais!F150+Eu!F150+Caudry!F150+Cambrai!F150+Amiens!F150+Compiègne!F150+Boulogne!F150+StOmer!F150</f>
        <v>4683.4966666666669</v>
      </c>
      <c r="Q150" s="438">
        <f t="shared" si="38"/>
        <v>4740.0462666666672</v>
      </c>
      <c r="R150" s="1286">
        <f t="shared" si="39"/>
        <v>4740.0462666666672</v>
      </c>
      <c r="S150" s="1323">
        <f t="shared" si="40"/>
        <v>8.7836859582579488E-2</v>
      </c>
      <c r="T150" s="1324">
        <f t="shared" si="41"/>
        <v>1.2074226592809278E-2</v>
      </c>
      <c r="U150" s="1209">
        <f>+Béthune!D150+Bois!D150+Lens!D150+Madeleine!D150+Tourcoing!D150+Calais!D150+Eu!D150+Caudry!D150+Cambrai!D150+Amiens!D150+Compiègne!D150+Boulogne!D150+StOmer!D150</f>
        <v>4969.3562958663242</v>
      </c>
      <c r="V150" s="25">
        <f t="shared" si="42"/>
        <v>1</v>
      </c>
    </row>
    <row r="151" spans="1:22" s="113" customFormat="1" ht="11.25">
      <c r="A151" s="5" t="s">
        <v>570</v>
      </c>
      <c r="B151" s="1223">
        <f>+Boulogne!$G151</f>
        <v>0</v>
      </c>
      <c r="C151" s="438">
        <f>+Compiègne!$G151</f>
        <v>0</v>
      </c>
      <c r="D151" s="438">
        <f>+Amiens!$G151</f>
        <v>0</v>
      </c>
      <c r="E151" s="438">
        <f>+Cambrai!$G151</f>
        <v>0</v>
      </c>
      <c r="F151" s="438">
        <f>+Caudry!$G151</f>
        <v>0</v>
      </c>
      <c r="G151" s="438">
        <f>+Eu!$G151</f>
        <v>0</v>
      </c>
      <c r="H151" s="438">
        <f>+Calais!$G151</f>
        <v>0</v>
      </c>
      <c r="I151" s="438"/>
      <c r="J151" s="438">
        <f>+Madeleine!$G151</f>
        <v>0</v>
      </c>
      <c r="K151" s="438">
        <f>+Lens!$G151</f>
        <v>0</v>
      </c>
      <c r="L151" s="438">
        <f>+Bois!$G151</f>
        <v>0</v>
      </c>
      <c r="M151" s="438">
        <f>+Béthune!$G151</f>
        <v>0</v>
      </c>
      <c r="N151" s="1224">
        <f>+StOmer!$G151</f>
        <v>0</v>
      </c>
      <c r="O151" s="1285">
        <f>+Béthune!E151+Bois!E151+Lens!E151+Madeleine!E151+Tourcoing!E151+Calais!E151+Eu!E151+Caudry!E151+Cambrai!E151+Amiens!E151+Compiègne!E151+Boulogne!E151+StOmer!E151</f>
        <v>0</v>
      </c>
      <c r="P151" s="1285">
        <f>+Béthune!F151+Bois!F151+Lens!F151+Madeleine!F151+Tourcoing!F151+Calais!F151+Eu!F151+Caudry!F151+Cambrai!F151+Amiens!F151+Compiègne!F151+Boulogne!F151+StOmer!F151</f>
        <v>0</v>
      </c>
      <c r="Q151" s="438">
        <f>+R151</f>
        <v>0</v>
      </c>
      <c r="R151" s="1286">
        <f>SUM(B151:N151)</f>
        <v>0</v>
      </c>
      <c r="S151" s="1347">
        <f>+IF((O151)=0,,(P151-O151)/O151)</f>
        <v>0</v>
      </c>
      <c r="T151" s="1324">
        <f>+IF((P151)=0,,(R151-P151)/P151)</f>
        <v>0</v>
      </c>
      <c r="U151" s="1376"/>
      <c r="V151" s="25">
        <f t="shared" si="42"/>
        <v>0</v>
      </c>
    </row>
    <row r="152" spans="1:22" s="113" customFormat="1" ht="11.25">
      <c r="A152" s="18" t="s">
        <v>58</v>
      </c>
      <c r="B152" s="1223">
        <f>+Boulogne!$G152</f>
        <v>0</v>
      </c>
      <c r="C152" s="438">
        <f>+Compiègne!$G152</f>
        <v>0</v>
      </c>
      <c r="D152" s="438">
        <f>+Amiens!$G152</f>
        <v>0</v>
      </c>
      <c r="E152" s="438">
        <f>+Cambrai!$G152</f>
        <v>0</v>
      </c>
      <c r="F152" s="438">
        <f>+Caudry!$G152</f>
        <v>0</v>
      </c>
      <c r="G152" s="438">
        <f>+Eu!$G152</f>
        <v>0</v>
      </c>
      <c r="H152" s="438">
        <f>+Calais!$G152</f>
        <v>0</v>
      </c>
      <c r="I152" s="438"/>
      <c r="J152" s="438">
        <f>+Madeleine!$G152</f>
        <v>0</v>
      </c>
      <c r="K152" s="438">
        <f>+Lens!$G152</f>
        <v>0</v>
      </c>
      <c r="L152" s="438">
        <f>+Bois!$G152</f>
        <v>0</v>
      </c>
      <c r="M152" s="438">
        <f>+Béthune!$G152</f>
        <v>0</v>
      </c>
      <c r="N152" s="1224">
        <f>+StOmer!$G152</f>
        <v>0</v>
      </c>
      <c r="O152" s="1296">
        <f>+Béthune!E152+Bois!E152+Lens!E152+Madeleine!E152+Tourcoing!E152+Calais!E152+Eu!E152+Caudry!E152+Cambrai!E152+Amiens!E152+Compiègne!E152+Boulogne!E152+StOmer!E152</f>
        <v>47881.128079999988</v>
      </c>
      <c r="P152" s="1285">
        <f>+Béthune!F152+Bois!F152+Lens!F152+Madeleine!F152+Tourcoing!F152+Calais!F152+Eu!F152+Caudry!F152+Cambrai!F152+Amiens!F152+Compiègne!F152+Boulogne!F152+StOmer!F152</f>
        <v>0</v>
      </c>
      <c r="Q152" s="438">
        <f t="shared" si="38"/>
        <v>0</v>
      </c>
      <c r="R152" s="1286">
        <f t="shared" si="39"/>
        <v>0</v>
      </c>
      <c r="S152" s="1323">
        <f t="shared" si="40"/>
        <v>-1</v>
      </c>
      <c r="T152" s="1324">
        <f t="shared" si="41"/>
        <v>0</v>
      </c>
      <c r="U152" s="1209">
        <f>+Béthune!D152+Bois!D152+Lens!D152+Madeleine!D152+Tourcoing!D152+Calais!D152+Eu!D152+Caudry!D152+Cambrai!D152+Amiens!D152+Compiègne!D152+Boulogne!D152+StOmer!D152</f>
        <v>6234.4519285000006</v>
      </c>
      <c r="V152" s="25">
        <f t="shared" si="42"/>
        <v>1</v>
      </c>
    </row>
    <row r="153" spans="1:22" s="17" customFormat="1" ht="11.25">
      <c r="A153" s="5"/>
      <c r="B153" s="1323"/>
      <c r="C153" s="1347"/>
      <c r="D153" s="1347"/>
      <c r="E153" s="1347"/>
      <c r="F153" s="1347"/>
      <c r="G153" s="1347"/>
      <c r="H153" s="1347"/>
      <c r="I153" s="1347"/>
      <c r="J153" s="1347"/>
      <c r="K153" s="1347"/>
      <c r="L153" s="1347"/>
      <c r="M153" s="1347"/>
      <c r="N153" s="1348"/>
      <c r="O153" s="1322"/>
      <c r="P153" s="1322"/>
      <c r="Q153" s="1347"/>
      <c r="R153" s="1348"/>
      <c r="S153" s="1347"/>
      <c r="T153" s="1342"/>
      <c r="U153" s="1376"/>
      <c r="V153" s="2">
        <f t="shared" si="42"/>
        <v>0</v>
      </c>
    </row>
    <row r="154" spans="1:22" s="2" customFormat="1" ht="11.25">
      <c r="A154" s="13" t="s">
        <v>164</v>
      </c>
      <c r="B154" s="1225">
        <f>SUM(B130:B153)</f>
        <v>193571.23163970895</v>
      </c>
      <c r="C154" s="1226">
        <f t="shared" ref="C154:N154" si="43">SUM(C130:C153)</f>
        <v>128200.34876103561</v>
      </c>
      <c r="D154" s="1226">
        <f t="shared" si="43"/>
        <v>72246.119598052552</v>
      </c>
      <c r="E154" s="1226">
        <f t="shared" si="43"/>
        <v>113912.01426717751</v>
      </c>
      <c r="F154" s="1226">
        <f t="shared" si="43"/>
        <v>127923.49166274375</v>
      </c>
      <c r="G154" s="1226">
        <f t="shared" si="43"/>
        <v>248306.41336168407</v>
      </c>
      <c r="H154" s="1226">
        <f t="shared" si="43"/>
        <v>128832.76731661535</v>
      </c>
      <c r="I154" s="1226"/>
      <c r="J154" s="1226">
        <f t="shared" si="43"/>
        <v>149731.0873298682</v>
      </c>
      <c r="K154" s="1226">
        <f t="shared" si="43"/>
        <v>70720.875114648748</v>
      </c>
      <c r="L154" s="1226">
        <f t="shared" si="43"/>
        <v>49661.572154346126</v>
      </c>
      <c r="M154" s="1226">
        <f t="shared" si="43"/>
        <v>78745.02599682947</v>
      </c>
      <c r="N154" s="1227">
        <f t="shared" si="43"/>
        <v>199730.0161923891</v>
      </c>
      <c r="O154" s="1303">
        <f>SUM(O130:O153)</f>
        <v>1723202.47808</v>
      </c>
      <c r="P154" s="1287">
        <f>SUM(P130:P153)</f>
        <v>1596573.083333333</v>
      </c>
      <c r="Q154" s="1287">
        <f>SUM(Q130:Q153)</f>
        <v>1561580.9633950999</v>
      </c>
      <c r="R154" s="1227">
        <f>SUM(R130:R153)</f>
        <v>1561580.9633950999</v>
      </c>
      <c r="S154" s="93">
        <f>+IF((O154)=0,,(P154-O154)/O154)</f>
        <v>-7.348491913019882E-2</v>
      </c>
      <c r="T154" s="1325">
        <f>+IF((P154)=0,,(R154-P154)/P154)</f>
        <v>-2.1917017331381069E-2</v>
      </c>
      <c r="U154" s="597">
        <f>+Béthune!D154+Bois!D154+Lens!D154+Madeleine!D154+Tourcoing!D154+Calais!D154+Eu!D154+Caudry!D154+Cambrai!D154+Amiens!D154+Compiègne!D154+Boulogne!D154+StOmer!D154</f>
        <v>1626895.6463042716</v>
      </c>
      <c r="V154" s="2">
        <f t="shared" si="42"/>
        <v>1</v>
      </c>
    </row>
    <row r="155" spans="1:22" s="2" customFormat="1" ht="11.25">
      <c r="A155" s="5"/>
      <c r="B155" s="1323"/>
      <c r="C155" s="1347"/>
      <c r="D155" s="1347"/>
      <c r="E155" s="1347"/>
      <c r="F155" s="1347"/>
      <c r="G155" s="1347"/>
      <c r="H155" s="1347"/>
      <c r="I155" s="1347"/>
      <c r="J155" s="1347"/>
      <c r="K155" s="1347"/>
      <c r="L155" s="1347"/>
      <c r="M155" s="1347"/>
      <c r="N155" s="1348"/>
      <c r="O155" s="1322"/>
      <c r="P155" s="1322"/>
      <c r="Q155" s="1347"/>
      <c r="R155" s="1348"/>
      <c r="S155" s="1347"/>
      <c r="T155" s="1342"/>
      <c r="U155" s="1375"/>
      <c r="V155" s="2">
        <f t="shared" si="42"/>
        <v>0</v>
      </c>
    </row>
    <row r="156" spans="1:22" s="25" customFormat="1" ht="11.25">
      <c r="A156" s="18" t="s">
        <v>227</v>
      </c>
      <c r="B156" s="1223">
        <f>+Boulogne!$G156</f>
        <v>30069.319203000003</v>
      </c>
      <c r="C156" s="438">
        <f>+Compiègne!$G156</f>
        <v>12148.921116984602</v>
      </c>
      <c r="D156" s="438">
        <f>+Amiens!$G156</f>
        <v>6677.0521636248013</v>
      </c>
      <c r="E156" s="438">
        <f>+Cambrai!$G156</f>
        <v>6372.0232993287009</v>
      </c>
      <c r="F156" s="438">
        <f>+Caudry!$G156</f>
        <v>9074.3786751600019</v>
      </c>
      <c r="G156" s="438">
        <f>+Eu!$G156</f>
        <v>7107.5440639800008</v>
      </c>
      <c r="H156" s="438">
        <f>+Calais!$G156</f>
        <v>15349.281879960001</v>
      </c>
      <c r="I156" s="438"/>
      <c r="J156" s="438">
        <f>+Madeleine!$G156</f>
        <v>15173.569691280003</v>
      </c>
      <c r="K156" s="438">
        <f>+Lens!$G156</f>
        <v>7857.0812073600018</v>
      </c>
      <c r="L156" s="438">
        <f>+Bois!$G156</f>
        <v>2330.0373119400001</v>
      </c>
      <c r="M156" s="438">
        <f>+Béthune!$G156</f>
        <v>4977.0907261200009</v>
      </c>
      <c r="N156" s="1224">
        <f>+StOmer!$G156</f>
        <v>3398.4529290000005</v>
      </c>
      <c r="O156" s="1296">
        <f>+Béthune!E156+Bois!E156+Lens!E156+Madeleine!E156+Tourcoing!E156+Calais!E156+Eu!E156+Caudry!E156+Cambrai!E156+Amiens!E156+Compiègne!E156+Boulogne!E156+StOmer!E156</f>
        <v>70041.02</v>
      </c>
      <c r="P156" s="1285">
        <f>+Béthune!F156+Bois!F156+Lens!F156+Madeleine!F156+Tourcoing!F156+Calais!F156+Eu!F156+Caudry!F156+Cambrai!F156+Amiens!F156+Compiègne!F156+Boulogne!F156+StOmer!F156</f>
        <v>69287.81</v>
      </c>
      <c r="Q156" s="438">
        <f t="shared" ref="Q156:Q166" si="44">+R156</f>
        <v>120534.75226773813</v>
      </c>
      <c r="R156" s="1286">
        <f t="shared" ref="R156:R166" si="45">SUM(B156:N156)</f>
        <v>120534.75226773813</v>
      </c>
      <c r="S156" s="1323">
        <f>+IF((O156)=0,,(P156-O156)/O156)</f>
        <v>-1.0753841106254682E-2</v>
      </c>
      <c r="T156" s="1324">
        <f>+IF((P156)=0,,(R156-P156)/P156)</f>
        <v>0.73962421770493447</v>
      </c>
      <c r="U156" s="1209">
        <f>+Béthune!D156+Bois!D156+Lens!D156+Madeleine!D156+Tourcoing!D156+Calais!D156+Eu!D156+Caudry!D156+Cambrai!D156+Amiens!D156+Compiègne!D156+Boulogne!D156+StOmer!D156</f>
        <v>123324.58269929001</v>
      </c>
      <c r="V156" s="25">
        <f t="shared" si="42"/>
        <v>1</v>
      </c>
    </row>
    <row r="157" spans="1:22" s="113" customFormat="1" ht="11.25">
      <c r="A157" s="18" t="s">
        <v>165</v>
      </c>
      <c r="B157" s="1223">
        <f>+Boulogne!$G157</f>
        <v>0</v>
      </c>
      <c r="C157" s="438">
        <f>+Compiègne!$G157</f>
        <v>0</v>
      </c>
      <c r="D157" s="438">
        <f>+Amiens!$G157</f>
        <v>0</v>
      </c>
      <c r="E157" s="438">
        <f>+Cambrai!$G157</f>
        <v>0</v>
      </c>
      <c r="F157" s="438">
        <f>+Caudry!$G157</f>
        <v>0</v>
      </c>
      <c r="G157" s="438">
        <f>+Eu!$G157</f>
        <v>0</v>
      </c>
      <c r="H157" s="438">
        <f>+Calais!$G157</f>
        <v>0</v>
      </c>
      <c r="I157" s="438"/>
      <c r="J157" s="438">
        <f>+Madeleine!$G157</f>
        <v>0</v>
      </c>
      <c r="K157" s="438">
        <f>+Lens!$G157</f>
        <v>0</v>
      </c>
      <c r="L157" s="438">
        <f>+Bois!$G157</f>
        <v>0</v>
      </c>
      <c r="M157" s="438">
        <f>+Béthune!$G157</f>
        <v>0</v>
      </c>
      <c r="N157" s="1224">
        <f>+StOmer!$G157</f>
        <v>0</v>
      </c>
      <c r="O157" s="1285">
        <f>+Béthune!E157+Bois!E157+Lens!E157+Madeleine!E157+Tourcoing!E157+Calais!E157+Eu!E157+Caudry!E157+Cambrai!E157+Amiens!E157+Compiègne!E157+Boulogne!E157+StOmer!E157</f>
        <v>-52121.840000000004</v>
      </c>
      <c r="P157" s="1285">
        <f>+Béthune!F157+Bois!F157+Lens!F157+Madeleine!F157+Tourcoing!F157+Calais!F157+Eu!F157+Caudry!F157+Cambrai!F157+Amiens!F157+Compiègne!F157+Boulogne!F157+StOmer!F157</f>
        <v>-98964.80333333333</v>
      </c>
      <c r="Q157" s="438">
        <f t="shared" si="44"/>
        <v>0</v>
      </c>
      <c r="R157" s="1286">
        <f t="shared" si="45"/>
        <v>0</v>
      </c>
      <c r="S157" s="1347">
        <f t="shared" ref="S157:S166" si="46">+IF((O157)=0,,(P157-O157)/O157)</f>
        <v>0.89872044680950103</v>
      </c>
      <c r="T157" s="1324">
        <f t="shared" ref="T157:T166" si="47">+IF((P157)=0,,(R157-P157)/P157)</f>
        <v>-1</v>
      </c>
      <c r="U157" s="1376">
        <f>+Béthune!D157+Bois!D157+Lens!D157+Madeleine!D157+Tourcoing!D157+Calais!D157+Eu!D157+Caudry!D157+Cambrai!D157+Amiens!D157+Compiègne!D157+Boulogne!D157+StOmer!D157</f>
        <v>0</v>
      </c>
      <c r="V157" s="25">
        <f t="shared" si="42"/>
        <v>0</v>
      </c>
    </row>
    <row r="158" spans="1:22" s="113" customFormat="1" ht="11.25">
      <c r="A158" s="18" t="s">
        <v>166</v>
      </c>
      <c r="B158" s="1223">
        <f>+Boulogne!$G158</f>
        <v>0</v>
      </c>
      <c r="C158" s="438">
        <f>+Compiègne!$G158</f>
        <v>0</v>
      </c>
      <c r="D158" s="438">
        <f>+Amiens!$G158</f>
        <v>0</v>
      </c>
      <c r="E158" s="438">
        <f>+Cambrai!$G158</f>
        <v>0</v>
      </c>
      <c r="F158" s="438">
        <f>+Caudry!$G158</f>
        <v>0</v>
      </c>
      <c r="G158" s="438">
        <f>+Eu!$G158</f>
        <v>0</v>
      </c>
      <c r="H158" s="438">
        <f>+Calais!$G158</f>
        <v>0</v>
      </c>
      <c r="I158" s="438"/>
      <c r="J158" s="438">
        <f>+Madeleine!$G158</f>
        <v>0</v>
      </c>
      <c r="K158" s="438">
        <f>+Lens!$G158</f>
        <v>0</v>
      </c>
      <c r="L158" s="438">
        <f>+Bois!$G158</f>
        <v>0</v>
      </c>
      <c r="M158" s="438">
        <f>+Béthune!$G158</f>
        <v>0</v>
      </c>
      <c r="N158" s="1224">
        <f>+StOmer!$G158</f>
        <v>0</v>
      </c>
      <c r="O158" s="1296">
        <f>+Béthune!E158+Bois!E158+Lens!E158+Madeleine!E158+Tourcoing!E158+Calais!E158+Eu!E158+Caudry!E158+Cambrai!E158+Amiens!E158+Compiègne!E158+Boulogne!E158+StOmer!E158</f>
        <v>53165.37</v>
      </c>
      <c r="P158" s="1285">
        <f>+Béthune!F158+Bois!F158+Lens!F158+Madeleine!F158+Tourcoing!F158+Calais!F158+Eu!F158+Caudry!F158+Cambrai!F158+Amiens!F158+Compiègne!F158+Boulogne!F158+StOmer!F158</f>
        <v>170586.52666666667</v>
      </c>
      <c r="Q158" s="438">
        <f t="shared" si="44"/>
        <v>0</v>
      </c>
      <c r="R158" s="1286">
        <f t="shared" si="45"/>
        <v>0</v>
      </c>
      <c r="S158" s="1323">
        <f t="shared" si="46"/>
        <v>2.2086022662245495</v>
      </c>
      <c r="T158" s="1324">
        <f t="shared" si="47"/>
        <v>-1</v>
      </c>
      <c r="U158" s="1209">
        <f>+Béthune!D158+Bois!D158+Lens!D158+Madeleine!D158+Tourcoing!D158+Calais!D158+Eu!D158+Caudry!D158+Cambrai!D158+Amiens!D158+Compiègne!D158+Boulogne!D158+StOmer!D158</f>
        <v>0</v>
      </c>
      <c r="V158" s="25">
        <f t="shared" si="42"/>
        <v>1</v>
      </c>
    </row>
    <row r="159" spans="1:22" s="113" customFormat="1" ht="11.25">
      <c r="A159" s="18" t="s">
        <v>60</v>
      </c>
      <c r="B159" s="1223">
        <f>+Boulogne!$G159</f>
        <v>0</v>
      </c>
      <c r="C159" s="438">
        <f>+Compiègne!$G159</f>
        <v>0</v>
      </c>
      <c r="D159" s="438">
        <f>+Amiens!$G159</f>
        <v>0</v>
      </c>
      <c r="E159" s="438">
        <f>+Cambrai!$G159</f>
        <v>0</v>
      </c>
      <c r="F159" s="438">
        <f>+Caudry!$G159</f>
        <v>0</v>
      </c>
      <c r="G159" s="438">
        <f>+Eu!$G159</f>
        <v>0</v>
      </c>
      <c r="H159" s="438">
        <f>+Calais!$G159</f>
        <v>0</v>
      </c>
      <c r="I159" s="438"/>
      <c r="J159" s="438">
        <f>+Madeleine!$G159</f>
        <v>0</v>
      </c>
      <c r="K159" s="438">
        <f>+Lens!$G159</f>
        <v>0</v>
      </c>
      <c r="L159" s="438">
        <f>+Bois!$G159</f>
        <v>0</v>
      </c>
      <c r="M159" s="438">
        <f>+Béthune!$G159</f>
        <v>0</v>
      </c>
      <c r="N159" s="1224">
        <f>+StOmer!$G159</f>
        <v>0</v>
      </c>
      <c r="O159" s="1285">
        <f>+Béthune!E159+Bois!E159+Lens!E159+Madeleine!E159+Tourcoing!E159+Calais!E159+Eu!E159+Caudry!E159+Cambrai!E159+Amiens!E159+Compiègne!E159+Boulogne!E159+StOmer!E159</f>
        <v>-19789.400000000001</v>
      </c>
      <c r="P159" s="1285">
        <f>+Béthune!F159+Bois!F159+Lens!F159+Madeleine!F159+Tourcoing!F159+Calais!F159+Eu!F159+Caudry!F159+Cambrai!F159+Amiens!F159+Compiègne!F159+Boulogne!F159+StOmer!F159</f>
        <v>-52398.389999999992</v>
      </c>
      <c r="Q159" s="438">
        <f t="shared" si="44"/>
        <v>0</v>
      </c>
      <c r="R159" s="1286">
        <f t="shared" si="45"/>
        <v>0</v>
      </c>
      <c r="S159" s="1347">
        <f t="shared" si="46"/>
        <v>1.6478008428754782</v>
      </c>
      <c r="T159" s="1324">
        <f t="shared" si="47"/>
        <v>-1</v>
      </c>
      <c r="U159" s="1376">
        <f>+Béthune!D159+Bois!D159+Lens!D159+Madeleine!D159+Tourcoing!D159+Calais!D159+Eu!D159+Caudry!D159+Cambrai!D159+Amiens!D159+Compiègne!D159+Boulogne!D159+StOmer!D159</f>
        <v>0</v>
      </c>
      <c r="V159" s="25">
        <f t="shared" si="42"/>
        <v>0</v>
      </c>
    </row>
    <row r="160" spans="1:22" s="113" customFormat="1" ht="11.25">
      <c r="A160" s="18" t="s">
        <v>199</v>
      </c>
      <c r="B160" s="1223">
        <f>+Boulogne!$G160</f>
        <v>0</v>
      </c>
      <c r="C160" s="438">
        <f>+Compiègne!$G160</f>
        <v>0</v>
      </c>
      <c r="D160" s="438">
        <f>+Amiens!$G160</f>
        <v>0</v>
      </c>
      <c r="E160" s="438">
        <f>+Cambrai!$G160</f>
        <v>0</v>
      </c>
      <c r="F160" s="438">
        <f>+Caudry!$G160</f>
        <v>0</v>
      </c>
      <c r="G160" s="438">
        <f>+Eu!$G160</f>
        <v>0</v>
      </c>
      <c r="H160" s="438">
        <f>+Calais!$G160</f>
        <v>0</v>
      </c>
      <c r="I160" s="438"/>
      <c r="J160" s="438">
        <f>+Madeleine!$G160</f>
        <v>0</v>
      </c>
      <c r="K160" s="438">
        <f>+Lens!$G160</f>
        <v>0</v>
      </c>
      <c r="L160" s="438">
        <f>+Bois!$G160</f>
        <v>0</v>
      </c>
      <c r="M160" s="438">
        <f>+Béthune!$G160</f>
        <v>0</v>
      </c>
      <c r="N160" s="1224">
        <f>+StOmer!$G160</f>
        <v>0</v>
      </c>
      <c r="O160" s="1296">
        <f>+Béthune!E160+Bois!E160+Lens!E160+Madeleine!E160+Tourcoing!E160+Calais!E160+Eu!E160+Caudry!E160+Cambrai!E160+Amiens!E160+Compiègne!E160+Boulogne!E160+StOmer!E160</f>
        <v>18.950000000000003</v>
      </c>
      <c r="P160" s="1285">
        <f>+Béthune!F160+Bois!F160+Lens!F160+Madeleine!F160+Tourcoing!F160+Calais!F160+Eu!F160+Caudry!F160+Cambrai!F160+Amiens!F160+Compiègne!F160+Boulogne!F160+StOmer!F160</f>
        <v>116.17999999999998</v>
      </c>
      <c r="Q160" s="438">
        <f t="shared" si="44"/>
        <v>0</v>
      </c>
      <c r="R160" s="1286">
        <f t="shared" si="45"/>
        <v>0</v>
      </c>
      <c r="S160" s="1323">
        <f t="shared" si="46"/>
        <v>5.1308707124010535</v>
      </c>
      <c r="T160" s="1324">
        <f t="shared" si="47"/>
        <v>-1</v>
      </c>
      <c r="U160" s="1209">
        <f>+Béthune!D160+Bois!D160+Lens!D160+Madeleine!D160+Tourcoing!D160+Calais!D160+Eu!D160+Caudry!D160+Cambrai!D160+Amiens!D160+Compiègne!D160+Boulogne!D160+StOmer!D160</f>
        <v>0</v>
      </c>
      <c r="V160" s="25">
        <f t="shared" si="42"/>
        <v>1</v>
      </c>
    </row>
    <row r="161" spans="1:22" s="113" customFormat="1" ht="11.25">
      <c r="A161" s="18" t="s">
        <v>41</v>
      </c>
      <c r="B161" s="1223">
        <f>+Boulogne!$G161</f>
        <v>917.42786666666677</v>
      </c>
      <c r="C161" s="438">
        <f>+Compiègne!$G161</f>
        <v>137.33333333333331</v>
      </c>
      <c r="D161" s="438">
        <f>+Amiens!$G161</f>
        <v>538.81360000000006</v>
      </c>
      <c r="E161" s="438">
        <f>+Cambrai!$G161</f>
        <v>256.92320000000001</v>
      </c>
      <c r="F161" s="438">
        <f>+Caudry!$G161</f>
        <v>58.751200000000011</v>
      </c>
      <c r="G161" s="438">
        <f>+Eu!$G161</f>
        <v>53.381466666666668</v>
      </c>
      <c r="H161" s="438">
        <f>+Calais!$G161</f>
        <v>325.79586666666665</v>
      </c>
      <c r="I161" s="438"/>
      <c r="J161" s="438">
        <f>+Madeleine!$G161</f>
        <v>106.51573333333334</v>
      </c>
      <c r="K161" s="438">
        <f>+Lens!$G161</f>
        <v>115.26386666666669</v>
      </c>
      <c r="L161" s="438">
        <f>+Bois!$G161</f>
        <v>0</v>
      </c>
      <c r="M161" s="438">
        <f>+Béthune!$G161</f>
        <v>0</v>
      </c>
      <c r="N161" s="1224">
        <f>+StOmer!$G161</f>
        <v>0</v>
      </c>
      <c r="O161" s="1296">
        <f>+Béthune!E161+Bois!E161+Lens!E161+Madeleine!E161+Tourcoing!E161+Calais!E161+Eu!E161+Caudry!E161+Cambrai!E161+Amiens!E161+Compiègne!E161+Boulogne!E161+StOmer!E161</f>
        <v>3212.01</v>
      </c>
      <c r="P161" s="1285">
        <f>+Béthune!F161+Bois!F161+Lens!F161+Madeleine!F161+Tourcoing!F161+Calais!F161+Eu!F161+Caudry!F161+Cambrai!F161+Amiens!F161+Compiègne!F161+Boulogne!F161+StOmer!F161</f>
        <v>2728.8233333333333</v>
      </c>
      <c r="Q161" s="438">
        <f t="shared" si="44"/>
        <v>2510.2061333333336</v>
      </c>
      <c r="R161" s="1286">
        <f t="shared" si="45"/>
        <v>2510.2061333333336</v>
      </c>
      <c r="S161" s="1323">
        <f t="shared" si="46"/>
        <v>-0.15043124606295338</v>
      </c>
      <c r="T161" s="1324">
        <f t="shared" si="47"/>
        <v>-8.0114090688660572E-2</v>
      </c>
      <c r="U161" s="1209">
        <f>+Béthune!D161+Bois!D161+Lens!D161+Madeleine!D161+Tourcoing!D161+Calais!D161+Eu!D161+Caudry!D161+Cambrai!D161+Amiens!D161+Compiègne!D161+Boulogne!D161+StOmer!D161</f>
        <v>1620.6224649568073</v>
      </c>
      <c r="V161" s="25">
        <f t="shared" si="42"/>
        <v>1</v>
      </c>
    </row>
    <row r="162" spans="1:22" s="113" customFormat="1" ht="11.25">
      <c r="A162" s="18" t="s">
        <v>355</v>
      </c>
      <c r="B162" s="1223">
        <f>+Boulogne!$G162</f>
        <v>34.51186666666667</v>
      </c>
      <c r="C162" s="438">
        <f>+Compiègne!$G162</f>
        <v>19.721066666666665</v>
      </c>
      <c r="D162" s="438">
        <f>+Amiens!$G162</f>
        <v>24.678800000000003</v>
      </c>
      <c r="E162" s="438">
        <f>+Cambrai!$G162</f>
        <v>4.9302666666666664</v>
      </c>
      <c r="F162" s="438">
        <f>+Caudry!$G162</f>
        <v>14.790799999999999</v>
      </c>
      <c r="G162" s="438">
        <f>+Eu!$G162</f>
        <v>29.581599999999998</v>
      </c>
      <c r="H162" s="438">
        <f>+Calais!$G162</f>
        <v>39.442133333333331</v>
      </c>
      <c r="I162" s="438"/>
      <c r="J162" s="438">
        <f>+Madeleine!$G162</f>
        <v>0</v>
      </c>
      <c r="K162" s="438">
        <f>+Lens!$G162</f>
        <v>0</v>
      </c>
      <c r="L162" s="438">
        <f>+Bois!$G162</f>
        <v>0</v>
      </c>
      <c r="M162" s="438">
        <f>+Béthune!$G162</f>
        <v>9.8742666666666672</v>
      </c>
      <c r="N162" s="1224">
        <f>+StOmer!$G162</f>
        <v>4.9302666666666664</v>
      </c>
      <c r="O162" s="1296">
        <f>+Béthune!E162+Bois!E162+Lens!E162+Madeleine!E162+Tourcoing!E162+Calais!E162+Eu!E162+Caudry!E162+Cambrai!E162+Amiens!E162+Compiègne!E162+Boulogne!E162+StOmer!E162</f>
        <v>107.55</v>
      </c>
      <c r="P162" s="1285">
        <f>+Béthune!F162+Bois!F162+Lens!F162+Madeleine!F162+Tourcoing!F162+Calais!F162+Eu!F162+Caudry!F162+Cambrai!F162+Amiens!F162+Compiègne!F162+Boulogne!F162+StOmer!F162</f>
        <v>180.73666666666665</v>
      </c>
      <c r="Q162" s="438">
        <f t="shared" si="44"/>
        <v>182.46106666666668</v>
      </c>
      <c r="R162" s="1286">
        <f t="shared" si="45"/>
        <v>182.46106666666668</v>
      </c>
      <c r="S162" s="1323">
        <f t="shared" si="46"/>
        <v>0.68048969471563603</v>
      </c>
      <c r="T162" s="1324">
        <f t="shared" si="47"/>
        <v>9.5409527673781264E-3</v>
      </c>
      <c r="U162" s="1209">
        <f>+Béthune!D162+Bois!D162+Lens!D162+Madeleine!D162+Tourcoing!D162+Calais!D162+Eu!D162+Caudry!D162+Cambrai!D162+Amiens!D162+Compiègne!D162+Boulogne!D162+StOmer!D162</f>
        <v>109.62661617587536</v>
      </c>
      <c r="V162" s="25">
        <f t="shared" si="42"/>
        <v>1</v>
      </c>
    </row>
    <row r="163" spans="1:22" s="113" customFormat="1" ht="11.25">
      <c r="A163" s="18" t="s">
        <v>200</v>
      </c>
      <c r="B163" s="1223">
        <f>+Boulogne!$G163</f>
        <v>444.64413333333334</v>
      </c>
      <c r="C163" s="438">
        <f>+Compiègne!$G163</f>
        <v>397.55253333333337</v>
      </c>
      <c r="D163" s="438">
        <f>+Amiens!$G163</f>
        <v>0</v>
      </c>
      <c r="E163" s="438">
        <f>+Cambrai!$G163</f>
        <v>583.37826666666672</v>
      </c>
      <c r="F163" s="438">
        <f>+Caudry!$G163</f>
        <v>77.510933333333327</v>
      </c>
      <c r="G163" s="438">
        <f>+Eu!$G163</f>
        <v>138.41826666666668</v>
      </c>
      <c r="H163" s="438">
        <f>+Calais!$G163</f>
        <v>35.610533333333336</v>
      </c>
      <c r="I163" s="438"/>
      <c r="J163" s="438">
        <f>+Madeleine!$G163</f>
        <v>869.11399999999992</v>
      </c>
      <c r="K163" s="438">
        <f>+Lens!$G163</f>
        <v>0</v>
      </c>
      <c r="L163" s="438">
        <f>+Bois!$G163</f>
        <v>188.03679999999997</v>
      </c>
      <c r="M163" s="438">
        <f>+Béthune!$G163</f>
        <v>87.604933333333335</v>
      </c>
      <c r="N163" s="1224">
        <f>+StOmer!$G163</f>
        <v>30.446800000000003</v>
      </c>
      <c r="O163" s="1296">
        <f>+Béthune!E163+Bois!E163+Lens!E163+Madeleine!E163+Tourcoing!E163+Calais!E163+Eu!E163+Caudry!E163+Cambrai!E163+Amiens!E163+Compiègne!E163+Boulogne!E163+StOmer!E163</f>
        <v>3863.76</v>
      </c>
      <c r="P163" s="1285">
        <f>+Béthune!F163+Bois!F163+Lens!F163+Madeleine!F163+Tourcoing!F163+Calais!F163+Eu!F163+Caudry!F163+Cambrai!F163+Amiens!F163+Compiègne!F163+Boulogne!F163+StOmer!F163</f>
        <v>3284.1199999999994</v>
      </c>
      <c r="Q163" s="438">
        <f t="shared" si="44"/>
        <v>2852.3172</v>
      </c>
      <c r="R163" s="1286">
        <f t="shared" si="45"/>
        <v>2852.3172</v>
      </c>
      <c r="S163" s="1323">
        <f t="shared" si="46"/>
        <v>-0.15001966995879681</v>
      </c>
      <c r="T163" s="1324">
        <f t="shared" si="47"/>
        <v>-0.13148204085112589</v>
      </c>
      <c r="U163" s="1209">
        <f>+Béthune!D163+Bois!D163+Lens!D163+Madeleine!D163+Tourcoing!D163+Calais!D163+Eu!D163+Caudry!D163+Cambrai!D163+Amiens!D163+Compiègne!D163+Boulogne!D163+StOmer!D163</f>
        <v>4374.7365159296169</v>
      </c>
      <c r="V163" s="25">
        <f t="shared" si="42"/>
        <v>1</v>
      </c>
    </row>
    <row r="164" spans="1:22" s="113" customFormat="1" ht="11.25">
      <c r="A164" s="18" t="s">
        <v>271</v>
      </c>
      <c r="B164" s="1223">
        <f>+Boulogne!$G164</f>
        <v>-146.30119999999999</v>
      </c>
      <c r="C164" s="438">
        <f>+Compiègne!$G164</f>
        <v>0</v>
      </c>
      <c r="D164" s="438">
        <f>+Amiens!$G164</f>
        <v>-37.08</v>
      </c>
      <c r="E164" s="438">
        <f>+Cambrai!$G164</f>
        <v>-12.36</v>
      </c>
      <c r="F164" s="438">
        <f>+Caudry!$G164</f>
        <v>-12.36</v>
      </c>
      <c r="G164" s="438">
        <f>+Eu!$G164</f>
        <v>-12.36</v>
      </c>
      <c r="H164" s="438">
        <f>+Calais!$G164</f>
        <v>-9.6270666666666731</v>
      </c>
      <c r="I164" s="438"/>
      <c r="J164" s="438">
        <f>+Madeleine!$G164</f>
        <v>-22.66</v>
      </c>
      <c r="K164" s="438">
        <f>+Lens!$G164</f>
        <v>0</v>
      </c>
      <c r="L164" s="438">
        <f>+Bois!$G164</f>
        <v>0</v>
      </c>
      <c r="M164" s="438">
        <f>+Béthune!$G164</f>
        <v>-61.800000000000004</v>
      </c>
      <c r="N164" s="1224">
        <f>+StOmer!$G164</f>
        <v>0</v>
      </c>
      <c r="O164" s="1285">
        <f>+Béthune!E164+Bois!E164+Lens!E164+Madeleine!E164+Tourcoing!E164+Calais!E164+Eu!E164+Caudry!E164+Cambrai!E164+Amiens!E164+Compiègne!E164+Boulogne!E164+StOmer!E164</f>
        <v>-1057.99</v>
      </c>
      <c r="P164" s="1285">
        <f>+Béthune!F164+Bois!F164+Lens!F164+Madeleine!F164+Tourcoing!F164+Calais!F164+Eu!F164+Caudry!F164+Cambrai!F164+Amiens!F164+Compiègne!F164+Boulogne!F164+StOmer!F164</f>
        <v>-342.88666666666666</v>
      </c>
      <c r="Q164" s="438">
        <f t="shared" si="44"/>
        <v>-314.54826666666668</v>
      </c>
      <c r="R164" s="1286">
        <f t="shared" si="45"/>
        <v>-314.54826666666668</v>
      </c>
      <c r="S164" s="1347">
        <f t="shared" si="46"/>
        <v>-0.67590745974284572</v>
      </c>
      <c r="T164" s="1324">
        <f t="shared" si="47"/>
        <v>-8.2646549880426898E-2</v>
      </c>
      <c r="U164" s="1376">
        <f>+Béthune!D164+Bois!D164+Lens!D164+Madeleine!D164+Tourcoing!D164+Calais!D164+Eu!D164+Caudry!D164+Cambrai!D164+Amiens!D164+Compiègne!D164+Boulogne!D164+StOmer!D164</f>
        <v>-984.6263943001876</v>
      </c>
      <c r="V164" s="25">
        <f t="shared" si="42"/>
        <v>0</v>
      </c>
    </row>
    <row r="165" spans="1:22" s="113" customFormat="1" ht="11.25">
      <c r="A165" s="18" t="s">
        <v>242</v>
      </c>
      <c r="B165" s="1223">
        <f>+Boulogne!$G165</f>
        <v>589.16</v>
      </c>
      <c r="C165" s="438">
        <f>+Compiègne!$G165</f>
        <v>86.52</v>
      </c>
      <c r="D165" s="438">
        <f>+Amiens!$G165</f>
        <v>210.12</v>
      </c>
      <c r="E165" s="438">
        <f>+Cambrai!$G165</f>
        <v>74.16</v>
      </c>
      <c r="F165" s="438">
        <f>+Caudry!$G165</f>
        <v>114.81066666666666</v>
      </c>
      <c r="G165" s="438">
        <f>+Eu!$G165</f>
        <v>79.021600000000007</v>
      </c>
      <c r="H165" s="438">
        <f>+Calais!$G165</f>
        <v>423.39866666666671</v>
      </c>
      <c r="I165" s="438"/>
      <c r="J165" s="438">
        <f>+Madeleine!$G165</f>
        <v>104.78533333333334</v>
      </c>
      <c r="K165" s="438">
        <f>+Lens!$G165</f>
        <v>12.36</v>
      </c>
      <c r="L165" s="438">
        <f>+Bois!$G165</f>
        <v>24.72</v>
      </c>
      <c r="M165" s="438">
        <f>+Béthune!$G165</f>
        <v>135.96</v>
      </c>
      <c r="N165" s="1224">
        <f>+StOmer!$G165</f>
        <v>61.800000000000004</v>
      </c>
      <c r="O165" s="1296">
        <f>+Béthune!E165+Bois!E165+Lens!E165+Madeleine!E165+Tourcoing!E165+Calais!E165+Eu!E165+Caudry!E165+Cambrai!E165+Amiens!E165+Compiègne!E165+Boulogne!E165+StOmer!E165</f>
        <v>2539.54</v>
      </c>
      <c r="P165" s="1285">
        <f>+Béthune!F165+Bois!F165+Lens!F165+Madeleine!F165+Tourcoing!F165+Calais!F165+Eu!F165+Caudry!F165+Cambrai!F165+Amiens!F165+Compiègne!F165+Boulogne!F165+StOmer!F165</f>
        <v>1995.3866666666668</v>
      </c>
      <c r="Q165" s="438">
        <f t="shared" si="44"/>
        <v>1916.8162666666665</v>
      </c>
      <c r="R165" s="1286">
        <f t="shared" si="45"/>
        <v>1916.8162666666665</v>
      </c>
      <c r="S165" s="1323">
        <f t="shared" si="46"/>
        <v>-0.21427240103850823</v>
      </c>
      <c r="T165" s="1324">
        <f t="shared" si="47"/>
        <v>-3.9376027369799817E-2</v>
      </c>
      <c r="U165" s="1209">
        <f>+Béthune!D165+Bois!D165+Lens!D165+Madeleine!D165+Tourcoing!D165+Calais!D165+Eu!D165+Caudry!D165+Cambrai!D165+Amiens!D165+Compiègne!D165+Boulogne!D165+StOmer!D165</f>
        <v>2516.2218213892847</v>
      </c>
      <c r="V165" s="25">
        <f t="shared" si="42"/>
        <v>1</v>
      </c>
    </row>
    <row r="166" spans="1:22" s="113" customFormat="1" ht="11.25">
      <c r="A166" s="18" t="s">
        <v>201</v>
      </c>
      <c r="B166" s="1223">
        <f>+Boulogne!$G166</f>
        <v>0</v>
      </c>
      <c r="C166" s="438">
        <f>+Compiègne!$G166</f>
        <v>0</v>
      </c>
      <c r="D166" s="438">
        <f>+Amiens!$G166</f>
        <v>0</v>
      </c>
      <c r="E166" s="438">
        <f>+Cambrai!$G166</f>
        <v>0</v>
      </c>
      <c r="F166" s="438">
        <f>+Caudry!$G166</f>
        <v>0</v>
      </c>
      <c r="G166" s="438">
        <f>+Eu!$G166</f>
        <v>0</v>
      </c>
      <c r="H166" s="438">
        <f>+Calais!$G166</f>
        <v>0</v>
      </c>
      <c r="I166" s="438"/>
      <c r="J166" s="438">
        <f>+Madeleine!$G166</f>
        <v>0</v>
      </c>
      <c r="K166" s="438">
        <f>+Lens!$G166</f>
        <v>0</v>
      </c>
      <c r="L166" s="438">
        <f>+Bois!$G166</f>
        <v>0</v>
      </c>
      <c r="M166" s="438">
        <f>+Béthune!$G166</f>
        <v>0</v>
      </c>
      <c r="N166" s="1224">
        <f>+StOmer!$G166</f>
        <v>0</v>
      </c>
      <c r="O166" s="1285">
        <f>+Béthune!E166+Bois!E166+Lens!E166+Madeleine!E166+Tourcoing!E166+Calais!E166+Eu!E166+Caudry!E166+Cambrai!E166+Amiens!E166+Compiègne!E166+Boulogne!E166+StOmer!E166</f>
        <v>0</v>
      </c>
      <c r="P166" s="1285">
        <f>+Béthune!F166+Bois!F166+Lens!F166+Madeleine!F166+Tourcoing!F166+Calais!F166+Eu!F166+Caudry!F166+Cambrai!F166+Amiens!F166+Compiègne!F166+Boulogne!F166+StOmer!F166</f>
        <v>0</v>
      </c>
      <c r="Q166" s="438">
        <f t="shared" si="44"/>
        <v>0</v>
      </c>
      <c r="R166" s="1286">
        <f t="shared" si="45"/>
        <v>0</v>
      </c>
      <c r="S166" s="1347">
        <f t="shared" si="46"/>
        <v>0</v>
      </c>
      <c r="T166" s="1324">
        <f t="shared" si="47"/>
        <v>0</v>
      </c>
      <c r="U166" s="1376">
        <f>+Béthune!D166+Bois!D166+Lens!D166+Madeleine!D166+Tourcoing!D166+Calais!D166+Eu!D166+Caudry!D166+Cambrai!D166+Amiens!D166+Compiègne!D166+Boulogne!D166+StOmer!D166</f>
        <v>-1.1724050104166669E-4</v>
      </c>
      <c r="V166" s="25">
        <f t="shared" si="42"/>
        <v>0</v>
      </c>
    </row>
    <row r="167" spans="1:22" s="17" customFormat="1" ht="11.25">
      <c r="A167" s="5"/>
      <c r="B167" s="1323"/>
      <c r="C167" s="1347"/>
      <c r="D167" s="1347"/>
      <c r="E167" s="1347"/>
      <c r="F167" s="1347"/>
      <c r="G167" s="1347"/>
      <c r="H167" s="1347"/>
      <c r="I167" s="1347"/>
      <c r="J167" s="1347"/>
      <c r="K167" s="1347"/>
      <c r="L167" s="1347"/>
      <c r="M167" s="1347"/>
      <c r="N167" s="1348"/>
      <c r="O167" s="1322"/>
      <c r="P167" s="1322"/>
      <c r="Q167" s="1347"/>
      <c r="R167" s="1348"/>
      <c r="S167" s="1347"/>
      <c r="T167" s="1342"/>
      <c r="U167" s="1375"/>
      <c r="V167" s="2">
        <f t="shared" si="42"/>
        <v>0</v>
      </c>
    </row>
    <row r="168" spans="1:22" s="2" customFormat="1" ht="11.25">
      <c r="A168" s="13" t="s">
        <v>74</v>
      </c>
      <c r="B168" s="1225">
        <f>SUM(B155:B167)</f>
        <v>31908.761869666669</v>
      </c>
      <c r="C168" s="1226">
        <f t="shared" ref="C168:N168" si="48">SUM(C155:C167)</f>
        <v>12790.048050317937</v>
      </c>
      <c r="D168" s="1226">
        <f t="shared" si="48"/>
        <v>7413.5845636248014</v>
      </c>
      <c r="E168" s="1226">
        <f t="shared" si="48"/>
        <v>7279.0550326620341</v>
      </c>
      <c r="F168" s="1226">
        <f t="shared" si="48"/>
        <v>9327.8822751600019</v>
      </c>
      <c r="G168" s="1226">
        <f t="shared" si="48"/>
        <v>7395.5869973133349</v>
      </c>
      <c r="H168" s="1226">
        <f t="shared" si="48"/>
        <v>16163.902013293335</v>
      </c>
      <c r="I168" s="1226"/>
      <c r="J168" s="1226">
        <f t="shared" si="48"/>
        <v>16231.32475794667</v>
      </c>
      <c r="K168" s="1226">
        <f t="shared" si="48"/>
        <v>7984.7050740266686</v>
      </c>
      <c r="L168" s="1226">
        <f t="shared" si="48"/>
        <v>2542.7941119399998</v>
      </c>
      <c r="M168" s="1226">
        <f t="shared" si="48"/>
        <v>5148.7299261200005</v>
      </c>
      <c r="N168" s="1227">
        <f t="shared" si="48"/>
        <v>3495.6299956666676</v>
      </c>
      <c r="O168" s="1303">
        <f>SUM(O155:O167)</f>
        <v>59978.970000000008</v>
      </c>
      <c r="P168" s="1287">
        <f>SUM(P155:P167)</f>
        <v>96473.503333333327</v>
      </c>
      <c r="Q168" s="1287">
        <f>SUM(Q155:Q167)</f>
        <v>127682.00466773815</v>
      </c>
      <c r="R168" s="1227">
        <f>SUM(R155:R167)</f>
        <v>127682.00466773815</v>
      </c>
      <c r="S168" s="93">
        <f>+IF((O168)=0,,(P168-O168)/O168)</f>
        <v>0.6084554858700193</v>
      </c>
      <c r="T168" s="1325">
        <f>+IF((P168)=0,,(R168-P168)/P168)</f>
        <v>0.32349298259205772</v>
      </c>
      <c r="U168" s="597">
        <f>+Béthune!D168+Bois!D168+Lens!D168+Madeleine!D168+Tourcoing!D168+Calais!D168+Eu!D168+Caudry!D168+Cambrai!D168+Amiens!D168+Compiègne!D168+Boulogne!D168+StOmer!D168</f>
        <v>130961.16360620089</v>
      </c>
      <c r="V168" s="2">
        <f t="shared" si="42"/>
        <v>1</v>
      </c>
    </row>
    <row r="169" spans="1:22" s="2" customFormat="1" ht="11.25">
      <c r="A169" s="5"/>
      <c r="B169" s="1323"/>
      <c r="C169" s="1347"/>
      <c r="D169" s="1347"/>
      <c r="E169" s="1347"/>
      <c r="F169" s="1347"/>
      <c r="G169" s="1347"/>
      <c r="H169" s="1347"/>
      <c r="I169" s="1347"/>
      <c r="J169" s="1347"/>
      <c r="K169" s="1347"/>
      <c r="L169" s="1347"/>
      <c r="M169" s="1347"/>
      <c r="N169" s="1348"/>
      <c r="O169" s="1322"/>
      <c r="P169" s="1322"/>
      <c r="Q169" s="1347"/>
      <c r="R169" s="1348"/>
      <c r="S169" s="1347"/>
      <c r="T169" s="1324"/>
      <c r="U169" s="1375"/>
      <c r="V169" s="2">
        <f t="shared" si="42"/>
        <v>0</v>
      </c>
    </row>
    <row r="170" spans="1:22" s="25" customFormat="1" ht="11.25">
      <c r="A170" s="18" t="s">
        <v>167</v>
      </c>
      <c r="B170" s="1223">
        <f>+Boulogne!$G170</f>
        <v>0</v>
      </c>
      <c r="C170" s="438">
        <f>+Compiègne!$G170</f>
        <v>0</v>
      </c>
      <c r="D170" s="438">
        <f>+Amiens!$G170</f>
        <v>0</v>
      </c>
      <c r="E170" s="438">
        <f>+Cambrai!$G170</f>
        <v>0</v>
      </c>
      <c r="F170" s="438">
        <f>+Caudry!$G170</f>
        <v>0</v>
      </c>
      <c r="G170" s="438">
        <f>+Eu!$G170</f>
        <v>0</v>
      </c>
      <c r="H170" s="438">
        <f>+Calais!$G170</f>
        <v>0</v>
      </c>
      <c r="I170" s="438"/>
      <c r="J170" s="438">
        <f>+Madeleine!$G170</f>
        <v>0</v>
      </c>
      <c r="K170" s="438">
        <f>+Lens!$G170</f>
        <v>0</v>
      </c>
      <c r="L170" s="438">
        <f>+Bois!$G170</f>
        <v>0</v>
      </c>
      <c r="M170" s="438">
        <f>+Béthune!$G170</f>
        <v>0</v>
      </c>
      <c r="N170" s="1224">
        <f>+StOmer!$G170</f>
        <v>0</v>
      </c>
      <c r="O170" s="1285">
        <f>+Béthune!E170+Bois!E170+Lens!E170+Madeleine!E170+Tourcoing!E170+Calais!E170+Eu!E170+Caudry!E170+Cambrai!E170+Amiens!E170+Compiègne!E170+Boulogne!E170+StOmer!E170</f>
        <v>0</v>
      </c>
      <c r="P170" s="1285">
        <f>+Béthune!F170+Bois!F170+Lens!F170+Madeleine!F170+Tourcoing!F170+Calais!F170+Eu!F170+Caudry!F170+Cambrai!F170+Amiens!F170+Compiègne!F170+Boulogne!F170+StOmer!F170</f>
        <v>0</v>
      </c>
      <c r="Q170" s="438">
        <f t="shared" ref="Q170:Q183" si="49">+R170</f>
        <v>0</v>
      </c>
      <c r="R170" s="1286">
        <f t="shared" ref="R170:R183" si="50">SUM(B170:N170)</f>
        <v>0</v>
      </c>
      <c r="S170" s="1347">
        <f>+IF((O170)=0,,(P170-O170)/O170)</f>
        <v>0</v>
      </c>
      <c r="T170" s="1324">
        <f>+IF((P170)=0,,(R170-P170)/P170)</f>
        <v>0</v>
      </c>
      <c r="U170" s="1376">
        <f>+Béthune!D170+Bois!D170+Lens!D170+Madeleine!D170+Tourcoing!D170+Calais!D170+Eu!D170+Caudry!D170+Cambrai!D170+Amiens!D170+Compiègne!D170+Boulogne!D170+StOmer!D170</f>
        <v>0</v>
      </c>
      <c r="V170" s="25">
        <f t="shared" si="42"/>
        <v>0</v>
      </c>
    </row>
    <row r="171" spans="1:22" s="113" customFormat="1" ht="11.25">
      <c r="A171" s="18" t="s">
        <v>168</v>
      </c>
      <c r="B171" s="1223">
        <f>+Boulogne!$G171</f>
        <v>0</v>
      </c>
      <c r="C171" s="438">
        <f>+Compiègne!$G171</f>
        <v>0</v>
      </c>
      <c r="D171" s="438">
        <f>+Amiens!$G171</f>
        <v>255.2202666666667</v>
      </c>
      <c r="E171" s="438">
        <f>+Cambrai!$G171</f>
        <v>0</v>
      </c>
      <c r="F171" s="438">
        <f>+Caudry!$G171</f>
        <v>0</v>
      </c>
      <c r="G171" s="438">
        <f>+Eu!$G171</f>
        <v>813.63133333333337</v>
      </c>
      <c r="H171" s="438">
        <f>+Calais!$G171</f>
        <v>0</v>
      </c>
      <c r="I171" s="438"/>
      <c r="J171" s="438">
        <f>+Madeleine!$G171</f>
        <v>0</v>
      </c>
      <c r="K171" s="438">
        <f>+Lens!$G171</f>
        <v>0</v>
      </c>
      <c r="L171" s="438">
        <f>+Bois!$G171</f>
        <v>0</v>
      </c>
      <c r="M171" s="438">
        <f>+Béthune!$G171</f>
        <v>0</v>
      </c>
      <c r="N171" s="1224">
        <f>+StOmer!$G171</f>
        <v>0</v>
      </c>
      <c r="O171" s="1296">
        <f>+Béthune!E171+Bois!E171+Lens!E171+Madeleine!E171+Tourcoing!E171+Calais!E171+Eu!E171+Caudry!E171+Cambrai!E171+Amiens!E171+Compiègne!E171+Boulogne!E171+StOmer!E171</f>
        <v>624.91000000000008</v>
      </c>
      <c r="P171" s="1285">
        <f>+Béthune!F171+Bois!F171+Lens!F171+Madeleine!F171+Tourcoing!F171+Calais!F171+Eu!F171+Caudry!F171+Cambrai!F171+Amiens!F171+Compiègne!F171+Boulogne!F171+StOmer!F171</f>
        <v>1037.72</v>
      </c>
      <c r="Q171" s="438">
        <f t="shared" si="49"/>
        <v>1068.8516</v>
      </c>
      <c r="R171" s="1286">
        <f t="shared" si="50"/>
        <v>1068.8516</v>
      </c>
      <c r="S171" s="1323">
        <f t="shared" ref="S171:S183" si="51">+IF((O171)=0,,(P171-O171)/O171)</f>
        <v>0.66059112512201734</v>
      </c>
      <c r="T171" s="1324">
        <f t="shared" ref="T171:T183" si="52">+IF((P171)=0,,(R171-P171)/P171)</f>
        <v>2.9999999999999936E-2</v>
      </c>
      <c r="U171" s="1209">
        <f>+Béthune!D171+Bois!D171+Lens!D171+Madeleine!D171+Tourcoing!D171+Calais!D171+Eu!D171+Caudry!D171+Cambrai!D171+Amiens!D171+Compiègne!D171+Boulogne!D171+StOmer!D171</f>
        <v>844.91839052190949</v>
      </c>
      <c r="V171" s="25">
        <f t="shared" si="42"/>
        <v>1</v>
      </c>
    </row>
    <row r="172" spans="1:22" s="113" customFormat="1" ht="11.25">
      <c r="A172" s="18" t="s">
        <v>169</v>
      </c>
      <c r="B172" s="1223">
        <f>+Boulogne!$G172</f>
        <v>0</v>
      </c>
      <c r="C172" s="438">
        <f>+Compiègne!$G172</f>
        <v>0</v>
      </c>
      <c r="D172" s="438">
        <f>+Amiens!$G172</f>
        <v>0</v>
      </c>
      <c r="E172" s="438">
        <f>+Cambrai!$G172</f>
        <v>0</v>
      </c>
      <c r="F172" s="438">
        <f>+Caudry!$G172</f>
        <v>0</v>
      </c>
      <c r="G172" s="438">
        <f>+Eu!$G172</f>
        <v>0</v>
      </c>
      <c r="H172" s="438">
        <f>+Calais!$G172</f>
        <v>0</v>
      </c>
      <c r="I172" s="438"/>
      <c r="J172" s="438">
        <f>+Madeleine!$G172</f>
        <v>0</v>
      </c>
      <c r="K172" s="438">
        <f>+Lens!$G172</f>
        <v>0</v>
      </c>
      <c r="L172" s="438">
        <f>+Bois!$G172</f>
        <v>0</v>
      </c>
      <c r="M172" s="438">
        <f>+Béthune!$G172</f>
        <v>0</v>
      </c>
      <c r="N172" s="1224">
        <f>+StOmer!$G172</f>
        <v>0</v>
      </c>
      <c r="O172" s="1285">
        <f>+Béthune!E172+Bois!E172+Lens!E172+Madeleine!E172+Tourcoing!E172+Calais!E172+Eu!E172+Caudry!E172+Cambrai!E172+Amiens!E172+Compiègne!E172+Boulogne!E172+StOmer!E172</f>
        <v>0</v>
      </c>
      <c r="P172" s="1285">
        <f>+Béthune!F172+Bois!F172+Lens!F172+Madeleine!F172+Tourcoing!F172+Calais!F172+Eu!F172+Caudry!F172+Cambrai!F172+Amiens!F172+Compiègne!F172+Boulogne!F172+StOmer!F172</f>
        <v>0</v>
      </c>
      <c r="Q172" s="438">
        <f t="shared" si="49"/>
        <v>0</v>
      </c>
      <c r="R172" s="1286">
        <f t="shared" si="50"/>
        <v>0</v>
      </c>
      <c r="S172" s="1347">
        <f t="shared" si="51"/>
        <v>0</v>
      </c>
      <c r="T172" s="1324">
        <f t="shared" si="52"/>
        <v>0</v>
      </c>
      <c r="U172" s="1376">
        <f>+Béthune!D172+Bois!D172+Lens!D172+Madeleine!D172+Tourcoing!D172+Calais!D172+Eu!D172+Caudry!D172+Cambrai!D172+Amiens!D172+Compiègne!D172+Boulogne!D172+StOmer!D172</f>
        <v>0</v>
      </c>
      <c r="V172" s="25">
        <f t="shared" si="42"/>
        <v>0</v>
      </c>
    </row>
    <row r="173" spans="1:22" s="113" customFormat="1" ht="11.25">
      <c r="A173" s="18" t="s">
        <v>170</v>
      </c>
      <c r="B173" s="1223">
        <f>+Boulogne!$G173</f>
        <v>10.3</v>
      </c>
      <c r="C173" s="438">
        <f>+Compiègne!$G173</f>
        <v>1980.9509333333333</v>
      </c>
      <c r="D173" s="438">
        <f>+Amiens!$G173</f>
        <v>0</v>
      </c>
      <c r="E173" s="438">
        <f>+Cambrai!$G173</f>
        <v>221.83453333333335</v>
      </c>
      <c r="F173" s="438">
        <f>+Caudry!$G173</f>
        <v>0</v>
      </c>
      <c r="G173" s="438">
        <f>+Eu!$G173</f>
        <v>0</v>
      </c>
      <c r="H173" s="438">
        <f>+Calais!$G173</f>
        <v>306.47306666666668</v>
      </c>
      <c r="I173" s="438"/>
      <c r="J173" s="438">
        <f>+Madeleine!$G173</f>
        <v>63.187066666666666</v>
      </c>
      <c r="K173" s="438">
        <f>+Lens!$G173</f>
        <v>0</v>
      </c>
      <c r="L173" s="438">
        <f>+Bois!$G173</f>
        <v>0</v>
      </c>
      <c r="M173" s="438">
        <f>+Béthune!$G173</f>
        <v>0</v>
      </c>
      <c r="N173" s="1224">
        <f>+StOmer!$G173</f>
        <v>2378.4622666666669</v>
      </c>
      <c r="O173" s="1296">
        <f>+Béthune!E173+Bois!E173+Lens!E173+Madeleine!E173+Tourcoing!E173+Calais!E173+Eu!E173+Caudry!E173+Cambrai!E173+Amiens!E173+Compiègne!E173+Boulogne!E173+StOmer!E173</f>
        <v>37425.86</v>
      </c>
      <c r="P173" s="1285">
        <f>+Béthune!F173+Bois!F173+Lens!F173+Madeleine!F173+Tourcoing!F173+Calais!F173+Eu!F173+Caudry!F173+Cambrai!F173+Amiens!F173+Compiègne!F173+Boulogne!F173+StOmer!F173</f>
        <v>4907.3266666666668</v>
      </c>
      <c r="Q173" s="438">
        <f t="shared" si="49"/>
        <v>4961.2078666666666</v>
      </c>
      <c r="R173" s="1286">
        <f t="shared" si="50"/>
        <v>4961.2078666666666</v>
      </c>
      <c r="S173" s="1323">
        <f t="shared" si="51"/>
        <v>-0.86887872004366318</v>
      </c>
      <c r="T173" s="1324">
        <f t="shared" si="52"/>
        <v>1.0979745930914145E-2</v>
      </c>
      <c r="U173" s="1209">
        <f>+Béthune!D173+Bois!D173+Lens!D173+Madeleine!D173+Tourcoing!D173+Calais!D173+Eu!D173+Caudry!D173+Cambrai!D173+Amiens!D173+Compiègne!D173+Boulogne!D173+StOmer!D173</f>
        <v>24155.397774999998</v>
      </c>
      <c r="V173" s="25">
        <f t="shared" si="42"/>
        <v>1</v>
      </c>
    </row>
    <row r="174" spans="1:22" s="113" customFormat="1" ht="11.25">
      <c r="A174" s="18" t="s">
        <v>171</v>
      </c>
      <c r="B174" s="1223">
        <f>+Boulogne!$G174</f>
        <v>0</v>
      </c>
      <c r="C174" s="438">
        <f>+Compiègne!$G174</f>
        <v>0</v>
      </c>
      <c r="D174" s="438">
        <f>+Amiens!$G174</f>
        <v>0</v>
      </c>
      <c r="E174" s="438">
        <f>+Cambrai!$G174</f>
        <v>0</v>
      </c>
      <c r="F174" s="438">
        <f>+Caudry!$G174</f>
        <v>0</v>
      </c>
      <c r="G174" s="438">
        <f>+Eu!$G174</f>
        <v>0</v>
      </c>
      <c r="H174" s="438">
        <f>+Calais!$G174</f>
        <v>0</v>
      </c>
      <c r="I174" s="438"/>
      <c r="J174" s="438">
        <f>+Madeleine!$G174</f>
        <v>0</v>
      </c>
      <c r="K174" s="438">
        <f>+Lens!$G174</f>
        <v>0</v>
      </c>
      <c r="L174" s="438">
        <f>+Bois!$G174</f>
        <v>0</v>
      </c>
      <c r="M174" s="438">
        <f>+Béthune!$G174</f>
        <v>0</v>
      </c>
      <c r="N174" s="1224">
        <f>+StOmer!$G174</f>
        <v>0</v>
      </c>
      <c r="O174" s="1285">
        <f>+Béthune!E174+Bois!E174+Lens!E174+Madeleine!E174+Tourcoing!E174+Calais!E174+Eu!E174+Caudry!E174+Cambrai!E174+Amiens!E174+Compiègne!E174+Boulogne!E174+StOmer!E174</f>
        <v>0</v>
      </c>
      <c r="P174" s="1285">
        <f>+Béthune!F174+Bois!F174+Lens!F174+Madeleine!F174+Tourcoing!F174+Calais!F174+Eu!F174+Caudry!F174+Cambrai!F174+Amiens!F174+Compiègne!F174+Boulogne!F174+StOmer!F174</f>
        <v>0</v>
      </c>
      <c r="Q174" s="438">
        <f t="shared" si="49"/>
        <v>0</v>
      </c>
      <c r="R174" s="1286">
        <f t="shared" si="50"/>
        <v>0</v>
      </c>
      <c r="S174" s="1347">
        <f t="shared" si="51"/>
        <v>0</v>
      </c>
      <c r="T174" s="1324">
        <f t="shared" si="52"/>
        <v>0</v>
      </c>
      <c r="U174" s="1376">
        <f>+Béthune!D174+Bois!D174+Lens!D174+Madeleine!D174+Tourcoing!D174+Calais!D174+Eu!D174+Caudry!D174+Cambrai!D174+Amiens!D174+Compiègne!D174+Boulogne!D174+StOmer!D174</f>
        <v>0</v>
      </c>
      <c r="V174" s="25">
        <f t="shared" si="42"/>
        <v>0</v>
      </c>
    </row>
    <row r="175" spans="1:22" s="113" customFormat="1" ht="11.25">
      <c r="A175" s="18" t="s">
        <v>308</v>
      </c>
      <c r="B175" s="1223">
        <f>+Boulogne!$G175</f>
        <v>0</v>
      </c>
      <c r="C175" s="438">
        <f>+Compiègne!$G175</f>
        <v>0</v>
      </c>
      <c r="D175" s="438">
        <f>+Amiens!$G175</f>
        <v>0</v>
      </c>
      <c r="E175" s="438">
        <f>+Cambrai!$G175</f>
        <v>0</v>
      </c>
      <c r="F175" s="438">
        <f>+Caudry!$G175</f>
        <v>0</v>
      </c>
      <c r="G175" s="438">
        <f>+Eu!$G175</f>
        <v>0</v>
      </c>
      <c r="H175" s="438">
        <f>+Calais!$G175</f>
        <v>0</v>
      </c>
      <c r="I175" s="438"/>
      <c r="J175" s="438">
        <f>+Madeleine!$G175</f>
        <v>0</v>
      </c>
      <c r="K175" s="438">
        <f>+Lens!$G175</f>
        <v>0</v>
      </c>
      <c r="L175" s="438">
        <f>+Bois!$G175</f>
        <v>0</v>
      </c>
      <c r="M175" s="438">
        <f>+Béthune!$G175</f>
        <v>0</v>
      </c>
      <c r="N175" s="1224">
        <f>+StOmer!$G175</f>
        <v>0</v>
      </c>
      <c r="O175" s="1285">
        <f>+Béthune!E175+Bois!E175+Lens!E175+Madeleine!E175+Tourcoing!E175+Calais!E175+Eu!E175+Caudry!E175+Cambrai!E175+Amiens!E175+Compiègne!E175+Boulogne!E175+StOmer!E175</f>
        <v>0</v>
      </c>
      <c r="P175" s="1285">
        <f>+Béthune!F175+Bois!F175+Lens!F175+Madeleine!F175+Tourcoing!F175+Calais!F175+Eu!F175+Caudry!F175+Cambrai!F175+Amiens!F175+Compiègne!F175+Boulogne!F175+StOmer!F175</f>
        <v>0</v>
      </c>
      <c r="Q175" s="438">
        <f t="shared" si="49"/>
        <v>0</v>
      </c>
      <c r="R175" s="1286">
        <f t="shared" si="50"/>
        <v>0</v>
      </c>
      <c r="S175" s="1347">
        <f t="shared" si="51"/>
        <v>0</v>
      </c>
      <c r="T175" s="1324">
        <f t="shared" si="52"/>
        <v>0</v>
      </c>
      <c r="U175" s="1376">
        <f>+Béthune!D175+Bois!D175+Lens!D175+Madeleine!D175+Tourcoing!D175+Calais!D175+Eu!D175+Caudry!D175+Cambrai!D175+Amiens!D175+Compiègne!D175+Boulogne!D175+StOmer!D175</f>
        <v>0</v>
      </c>
      <c r="V175" s="25">
        <f t="shared" si="42"/>
        <v>0</v>
      </c>
    </row>
    <row r="176" spans="1:22" s="113" customFormat="1" ht="11.25">
      <c r="A176" s="18" t="s">
        <v>172</v>
      </c>
      <c r="B176" s="1223">
        <f>+Boulogne!$G176</f>
        <v>0</v>
      </c>
      <c r="C176" s="438">
        <f>+Compiègne!$G176</f>
        <v>0</v>
      </c>
      <c r="D176" s="438">
        <f>+Amiens!$G176</f>
        <v>0</v>
      </c>
      <c r="E176" s="438">
        <f>+Cambrai!$G176</f>
        <v>0</v>
      </c>
      <c r="F176" s="438">
        <f>+Caudry!$G176</f>
        <v>0</v>
      </c>
      <c r="G176" s="438">
        <f>+Eu!$G176</f>
        <v>0</v>
      </c>
      <c r="H176" s="438">
        <f>+Calais!$G176</f>
        <v>0</v>
      </c>
      <c r="I176" s="438"/>
      <c r="J176" s="438">
        <f>+Madeleine!$G176</f>
        <v>0</v>
      </c>
      <c r="K176" s="438">
        <f>+Lens!$G176</f>
        <v>0</v>
      </c>
      <c r="L176" s="438">
        <f>+Bois!$G176</f>
        <v>0</v>
      </c>
      <c r="M176" s="438">
        <f>+Béthune!$G176</f>
        <v>0</v>
      </c>
      <c r="N176" s="1224">
        <f>+StOmer!$G176</f>
        <v>0</v>
      </c>
      <c r="O176" s="1285">
        <f>+Béthune!E176+Bois!E176+Lens!E176+Madeleine!E176+Tourcoing!E176+Calais!E176+Eu!E176+Caudry!E176+Cambrai!E176+Amiens!E176+Compiègne!E176+Boulogne!E176+StOmer!E176</f>
        <v>0</v>
      </c>
      <c r="P176" s="1285">
        <f>+Béthune!F176+Bois!F176+Lens!F176+Madeleine!F176+Tourcoing!F176+Calais!F176+Eu!F176+Caudry!F176+Cambrai!F176+Amiens!F176+Compiègne!F176+Boulogne!F176+StOmer!F176</f>
        <v>0</v>
      </c>
      <c r="Q176" s="438">
        <f t="shared" si="49"/>
        <v>0</v>
      </c>
      <c r="R176" s="1286">
        <f t="shared" si="50"/>
        <v>0</v>
      </c>
      <c r="S176" s="1347">
        <f t="shared" si="51"/>
        <v>0</v>
      </c>
      <c r="T176" s="1324">
        <f t="shared" si="52"/>
        <v>0</v>
      </c>
      <c r="U176" s="1376">
        <f>+Béthune!D176+Bois!D176+Lens!D176+Madeleine!D176+Tourcoing!D176+Calais!D176+Eu!D176+Caudry!D176+Cambrai!D176+Amiens!D176+Compiègne!D176+Boulogne!D176+StOmer!D176</f>
        <v>0</v>
      </c>
      <c r="V176" s="25">
        <f t="shared" si="42"/>
        <v>0</v>
      </c>
    </row>
    <row r="177" spans="1:22" s="113" customFormat="1" ht="11.25">
      <c r="A177" s="18" t="s">
        <v>173</v>
      </c>
      <c r="B177" s="1223">
        <f>+Boulogne!$G177</f>
        <v>0</v>
      </c>
      <c r="C177" s="438">
        <f>+Compiègne!$G177</f>
        <v>0</v>
      </c>
      <c r="D177" s="438">
        <f>+Amiens!$G177</f>
        <v>0</v>
      </c>
      <c r="E177" s="438">
        <f>+Cambrai!$G177</f>
        <v>0</v>
      </c>
      <c r="F177" s="438">
        <f>+Caudry!$G177</f>
        <v>0</v>
      </c>
      <c r="G177" s="438">
        <f>+Eu!$G177</f>
        <v>0</v>
      </c>
      <c r="H177" s="438">
        <f>+Calais!$G177</f>
        <v>0</v>
      </c>
      <c r="I177" s="438"/>
      <c r="J177" s="438">
        <f>+Madeleine!$G177</f>
        <v>0</v>
      </c>
      <c r="K177" s="438">
        <f>+Lens!$G177</f>
        <v>0</v>
      </c>
      <c r="L177" s="438">
        <f>+Bois!$G177</f>
        <v>0</v>
      </c>
      <c r="M177" s="438">
        <f>+Béthune!$G177</f>
        <v>0</v>
      </c>
      <c r="N177" s="1224">
        <f>+StOmer!$G177</f>
        <v>0</v>
      </c>
      <c r="O177" s="1296">
        <f>+Béthune!E177+Bois!E177+Lens!E177+Madeleine!E177+Tourcoing!E177+Calais!E177+Eu!E177+Caudry!E177+Cambrai!E177+Amiens!E177+Compiègne!E177+Boulogne!E177+StOmer!E177</f>
        <v>941.77</v>
      </c>
      <c r="P177" s="1285">
        <f>+Béthune!F177+Bois!F177+Lens!F177+Madeleine!F177+Tourcoing!F177+Calais!F177+Eu!F177+Caudry!F177+Cambrai!F177+Amiens!F177+Compiègne!F177+Boulogne!F177+StOmer!F177</f>
        <v>16712.77</v>
      </c>
      <c r="Q177" s="438">
        <f t="shared" si="49"/>
        <v>0</v>
      </c>
      <c r="R177" s="1286">
        <f t="shared" si="50"/>
        <v>0</v>
      </c>
      <c r="S177" s="1323">
        <f t="shared" si="51"/>
        <v>16.746126973677224</v>
      </c>
      <c r="T177" s="1324">
        <f t="shared" si="52"/>
        <v>-1</v>
      </c>
      <c r="U177" s="1209">
        <f>+Béthune!D177+Bois!D177+Lens!D177+Madeleine!D177+Tourcoing!D177+Calais!D177+Eu!D177+Caudry!D177+Cambrai!D177+Amiens!D177+Compiègne!D177+Boulogne!D177+StOmer!D177</f>
        <v>0</v>
      </c>
      <c r="V177" s="25">
        <f t="shared" si="42"/>
        <v>1</v>
      </c>
    </row>
    <row r="178" spans="1:22" s="113" customFormat="1" ht="11.25">
      <c r="A178" s="18" t="s">
        <v>174</v>
      </c>
      <c r="B178" s="1223">
        <f>+Boulogne!$G178</f>
        <v>0</v>
      </c>
      <c r="C178" s="438">
        <f>+Compiègne!$G178</f>
        <v>0</v>
      </c>
      <c r="D178" s="438">
        <f>+Amiens!$G178</f>
        <v>0</v>
      </c>
      <c r="E178" s="438">
        <f>+Cambrai!$G178</f>
        <v>0</v>
      </c>
      <c r="F178" s="438">
        <f>+Caudry!$G178</f>
        <v>0</v>
      </c>
      <c r="G178" s="438">
        <f>+Eu!$G178</f>
        <v>0</v>
      </c>
      <c r="H178" s="438">
        <f>+Calais!$G178</f>
        <v>0</v>
      </c>
      <c r="I178" s="438"/>
      <c r="J178" s="438">
        <f>+Madeleine!$G178</f>
        <v>0</v>
      </c>
      <c r="K178" s="438">
        <f>+Lens!$G178</f>
        <v>0</v>
      </c>
      <c r="L178" s="438">
        <f>+Bois!$G178</f>
        <v>0</v>
      </c>
      <c r="M178" s="438">
        <f>+Béthune!$G178</f>
        <v>0</v>
      </c>
      <c r="N178" s="1224">
        <f>+StOmer!$G178</f>
        <v>0</v>
      </c>
      <c r="O178" s="1285">
        <f>+Béthune!E178+Bois!E178+Lens!E178+Madeleine!E178+Tourcoing!E178+Calais!E178+Eu!E178+Caudry!E178+Cambrai!E178+Amiens!E178+Compiègne!E178+Boulogne!E178+StOmer!E178</f>
        <v>0</v>
      </c>
      <c r="P178" s="1285">
        <f>+Béthune!F178+Bois!F178+Lens!F178+Madeleine!F178+Tourcoing!F178+Calais!F178+Eu!F178+Caudry!F178+Cambrai!F178+Amiens!F178+Compiègne!F178+Boulogne!F178+StOmer!F178</f>
        <v>0</v>
      </c>
      <c r="Q178" s="438">
        <f t="shared" si="49"/>
        <v>0</v>
      </c>
      <c r="R178" s="1286">
        <f t="shared" si="50"/>
        <v>0</v>
      </c>
      <c r="S178" s="1347">
        <f t="shared" si="51"/>
        <v>0</v>
      </c>
      <c r="T178" s="1324">
        <f t="shared" si="52"/>
        <v>0</v>
      </c>
      <c r="U178" s="1376">
        <f>+Béthune!D178+Bois!D178+Lens!D178+Madeleine!D178+Tourcoing!D178+Calais!D178+Eu!D178+Caudry!D178+Cambrai!D178+Amiens!D178+Compiègne!D178+Boulogne!D178+StOmer!D178</f>
        <v>0</v>
      </c>
      <c r="V178" s="25">
        <f t="shared" si="42"/>
        <v>0</v>
      </c>
    </row>
    <row r="179" spans="1:22" s="113" customFormat="1" ht="11.25">
      <c r="A179" s="18" t="s">
        <v>175</v>
      </c>
      <c r="B179" s="1223">
        <f>+Boulogne!$G179</f>
        <v>14380.13</v>
      </c>
      <c r="C179" s="438">
        <f>+Compiègne!$G179</f>
        <v>5755.77</v>
      </c>
      <c r="D179" s="438">
        <f>+Amiens!$G179</f>
        <v>4246.2299999999996</v>
      </c>
      <c r="E179" s="438">
        <f>+Cambrai!$G179</f>
        <v>4155.21</v>
      </c>
      <c r="F179" s="438">
        <f>+Caudry!$G179</f>
        <v>5397.47</v>
      </c>
      <c r="G179" s="438">
        <f>+Eu!$G179</f>
        <v>15075.85</v>
      </c>
      <c r="H179" s="438">
        <f>+Calais!$G179</f>
        <v>3059.38</v>
      </c>
      <c r="I179" s="438"/>
      <c r="J179" s="438">
        <f>+Madeleine!$G179</f>
        <v>8372.119999999999</v>
      </c>
      <c r="K179" s="438">
        <f>+Lens!$G179</f>
        <v>3021.06</v>
      </c>
      <c r="L179" s="438">
        <f>+Bois!$G179</f>
        <v>1525.39</v>
      </c>
      <c r="M179" s="438">
        <f>+Béthune!$G179</f>
        <v>2929.74</v>
      </c>
      <c r="N179" s="1224">
        <f>+StOmer!$G179</f>
        <v>24113.07</v>
      </c>
      <c r="O179" s="1296">
        <f>+Béthune!E179+Bois!E179+Lens!E179+Madeleine!E179+Tourcoing!E179+Calais!E179+Eu!E179+Caudry!E179+Cambrai!E179+Amiens!E179+Compiègne!E179+Boulogne!E179+StOmer!E179</f>
        <v>102429.6</v>
      </c>
      <c r="P179" s="1285">
        <f>+Béthune!F179+Bois!F179+Lens!F179+Madeleine!F179+Tourcoing!F179+Calais!F179+Eu!F179+Caudry!F179+Cambrai!F179+Amiens!F179+Compiègne!F179+Boulogne!F179+StOmer!F179</f>
        <v>85868.72</v>
      </c>
      <c r="Q179" s="438">
        <f t="shared" si="49"/>
        <v>92031.419999999984</v>
      </c>
      <c r="R179" s="1286">
        <f t="shared" si="50"/>
        <v>92031.419999999984</v>
      </c>
      <c r="S179" s="1323">
        <f t="shared" si="51"/>
        <v>-0.1616806079492647</v>
      </c>
      <c r="T179" s="1324">
        <f t="shared" si="52"/>
        <v>7.1768858322331833E-2</v>
      </c>
      <c r="U179" s="1209">
        <f>+Béthune!D179+Bois!D179+Lens!D179+Madeleine!D179+Tourcoing!D179+Calais!D179+Eu!D179+Caudry!D179+Cambrai!D179+Amiens!D179+Compiègne!D179+Boulogne!D179+StOmer!D179</f>
        <v>98010</v>
      </c>
      <c r="V179" s="25">
        <f t="shared" si="42"/>
        <v>1</v>
      </c>
    </row>
    <row r="180" spans="1:22" s="113" customFormat="1" ht="11.25">
      <c r="A180" s="18" t="s">
        <v>78</v>
      </c>
      <c r="B180" s="1223">
        <f>+Boulogne!$G180</f>
        <v>0</v>
      </c>
      <c r="C180" s="438">
        <f>+Compiègne!$G180</f>
        <v>0</v>
      </c>
      <c r="D180" s="438">
        <f>+Amiens!$G180</f>
        <v>0</v>
      </c>
      <c r="E180" s="438">
        <f>+Cambrai!$G180</f>
        <v>0</v>
      </c>
      <c r="F180" s="438">
        <f>+Caudry!$G180</f>
        <v>0</v>
      </c>
      <c r="G180" s="438">
        <f>+Eu!$G180</f>
        <v>0</v>
      </c>
      <c r="H180" s="438">
        <f>+Calais!$G180</f>
        <v>0</v>
      </c>
      <c r="I180" s="438"/>
      <c r="J180" s="438">
        <f>+Madeleine!$G180</f>
        <v>0</v>
      </c>
      <c r="K180" s="438">
        <f>+Lens!$G180</f>
        <v>0</v>
      </c>
      <c r="L180" s="438">
        <f>+Bois!$G180</f>
        <v>0</v>
      </c>
      <c r="M180" s="438">
        <f>+Béthune!$G180</f>
        <v>0</v>
      </c>
      <c r="N180" s="1224">
        <f>+StOmer!$G180</f>
        <v>0</v>
      </c>
      <c r="O180" s="1296">
        <f>+Béthune!E180+Bois!E180+Lens!E180+Madeleine!E180+Tourcoing!E180+Calais!E180+Eu!E180+Caudry!E180+Cambrai!E180+Amiens!E180+Compiègne!E180+Boulogne!E180+StOmer!E180</f>
        <v>11579.61</v>
      </c>
      <c r="P180" s="1285">
        <f>+Béthune!F180+Bois!F180+Lens!F180+Madeleine!F180+Tourcoing!F180+Calais!F180+Eu!F180+Caudry!F180+Cambrai!F180+Amiens!F180+Compiègne!F180+Boulogne!F180+StOmer!F180</f>
        <v>11531.04</v>
      </c>
      <c r="Q180" s="438">
        <f t="shared" si="49"/>
        <v>0</v>
      </c>
      <c r="R180" s="1286">
        <f t="shared" si="50"/>
        <v>0</v>
      </c>
      <c r="S180" s="1323">
        <f t="shared" si="51"/>
        <v>-4.1944417817180116E-3</v>
      </c>
      <c r="T180" s="1324">
        <f t="shared" si="52"/>
        <v>-1</v>
      </c>
      <c r="U180" s="1209">
        <f>+Béthune!D180+Bois!D180+Lens!D180+Madeleine!D180+Tourcoing!D180+Calais!D180+Eu!D180+Caudry!D180+Cambrai!D180+Amiens!D180+Compiègne!D180+Boulogne!D180+StOmer!D180</f>
        <v>0</v>
      </c>
      <c r="V180" s="25">
        <f t="shared" si="42"/>
        <v>1</v>
      </c>
    </row>
    <row r="181" spans="1:22" s="113" customFormat="1" ht="11.25">
      <c r="A181" s="18" t="s">
        <v>327</v>
      </c>
      <c r="B181" s="1223">
        <f>+Boulogne!$G181</f>
        <v>0</v>
      </c>
      <c r="C181" s="438">
        <f>+Compiègne!$G181</f>
        <v>0</v>
      </c>
      <c r="D181" s="438">
        <f>+Amiens!$G181</f>
        <v>0</v>
      </c>
      <c r="E181" s="438">
        <f>+Cambrai!$G181</f>
        <v>0</v>
      </c>
      <c r="F181" s="438">
        <f>+Caudry!$G181</f>
        <v>0</v>
      </c>
      <c r="G181" s="438">
        <f>+Eu!$G181</f>
        <v>0</v>
      </c>
      <c r="H181" s="438">
        <f>+Calais!$G181</f>
        <v>0</v>
      </c>
      <c r="I181" s="438"/>
      <c r="J181" s="438">
        <f>+Madeleine!$G181</f>
        <v>0</v>
      </c>
      <c r="K181" s="438">
        <f>+Lens!$G181</f>
        <v>0</v>
      </c>
      <c r="L181" s="438">
        <f>+Bois!$G181</f>
        <v>0</v>
      </c>
      <c r="M181" s="438">
        <f>+Béthune!$G181</f>
        <v>0</v>
      </c>
      <c r="N181" s="1224">
        <f>+StOmer!$G181</f>
        <v>0</v>
      </c>
      <c r="O181" s="1285">
        <f>+Béthune!E181+Bois!E181+Lens!E181+Madeleine!E181+Tourcoing!E181+Calais!E181+Eu!E181+Caudry!E181+Cambrai!E181+Amiens!E181+Compiègne!E181+Boulogne!E181+StOmer!E181</f>
        <v>0</v>
      </c>
      <c r="P181" s="1285">
        <f>+Béthune!F181+Bois!F181+Lens!F181+Madeleine!F181+Tourcoing!F181+Calais!F181+Eu!F181+Caudry!F181+Cambrai!F181+Amiens!F181+Compiègne!F181+Boulogne!F181+StOmer!F181</f>
        <v>0</v>
      </c>
      <c r="Q181" s="438">
        <f t="shared" si="49"/>
        <v>0</v>
      </c>
      <c r="R181" s="1286">
        <f t="shared" si="50"/>
        <v>0</v>
      </c>
      <c r="S181" s="1347">
        <f t="shared" si="51"/>
        <v>0</v>
      </c>
      <c r="T181" s="1324">
        <f t="shared" si="52"/>
        <v>0</v>
      </c>
      <c r="U181" s="1376">
        <f>+Béthune!D181+Bois!D181+Lens!D181+Madeleine!D181+Tourcoing!D181+Calais!D181+Eu!D181+Caudry!D181+Cambrai!D181+Amiens!D181+Compiègne!D181+Boulogne!D181+StOmer!D181</f>
        <v>0</v>
      </c>
      <c r="V181" s="25">
        <f t="shared" si="42"/>
        <v>0</v>
      </c>
    </row>
    <row r="182" spans="1:22" s="113" customFormat="1" ht="11.25">
      <c r="A182" s="18" t="s">
        <v>82</v>
      </c>
      <c r="B182" s="1223">
        <f>+Boulogne!$G182</f>
        <v>0</v>
      </c>
      <c r="C182" s="438">
        <f>+Compiègne!$G182</f>
        <v>0</v>
      </c>
      <c r="D182" s="438">
        <f>+Amiens!$G182</f>
        <v>0</v>
      </c>
      <c r="E182" s="438">
        <f>+Cambrai!$G182</f>
        <v>0</v>
      </c>
      <c r="F182" s="438">
        <f>+Caudry!$G182</f>
        <v>0</v>
      </c>
      <c r="G182" s="438">
        <f>+Eu!$G182</f>
        <v>0</v>
      </c>
      <c r="H182" s="438">
        <f>+Calais!$G182</f>
        <v>0</v>
      </c>
      <c r="I182" s="438"/>
      <c r="J182" s="438">
        <f>+Madeleine!$G182</f>
        <v>0</v>
      </c>
      <c r="K182" s="438">
        <f>+Lens!$G182</f>
        <v>0</v>
      </c>
      <c r="L182" s="438">
        <f>+Bois!$G182</f>
        <v>0</v>
      </c>
      <c r="M182" s="438">
        <f>+Béthune!$G182</f>
        <v>0</v>
      </c>
      <c r="N182" s="1224">
        <f>+StOmer!$G182</f>
        <v>0</v>
      </c>
      <c r="O182" s="1285">
        <f>+Béthune!E182+Bois!E182+Lens!E182+Madeleine!E182+Tourcoing!E182+Calais!E182+Eu!E182+Caudry!E182+Cambrai!E182+Amiens!E182+Compiègne!E182+Boulogne!E182+StOmer!E182</f>
        <v>0</v>
      </c>
      <c r="P182" s="1285">
        <f>+Béthune!F182+Bois!F182+Lens!F182+Madeleine!F182+Tourcoing!F182+Calais!F182+Eu!F182+Caudry!F182+Cambrai!F182+Amiens!F182+Compiègne!F182+Boulogne!F182+StOmer!F182</f>
        <v>0</v>
      </c>
      <c r="Q182" s="438">
        <f t="shared" si="49"/>
        <v>0</v>
      </c>
      <c r="R182" s="1286">
        <f t="shared" si="50"/>
        <v>0</v>
      </c>
      <c r="S182" s="1347">
        <f t="shared" si="51"/>
        <v>0</v>
      </c>
      <c r="T182" s="1324">
        <f t="shared" si="52"/>
        <v>0</v>
      </c>
      <c r="U182" s="1376">
        <f>+Béthune!D182+Bois!D182+Lens!D182+Madeleine!D182+Tourcoing!D182+Calais!D182+Eu!D182+Caudry!D182+Cambrai!D182+Amiens!D182+Compiègne!D182+Boulogne!D182+StOmer!D182</f>
        <v>0</v>
      </c>
      <c r="V182" s="25">
        <f t="shared" si="42"/>
        <v>0</v>
      </c>
    </row>
    <row r="183" spans="1:22" s="113" customFormat="1" ht="11.25">
      <c r="A183" s="18" t="s">
        <v>331</v>
      </c>
      <c r="B183" s="1223">
        <f>+Boulogne!$G183</f>
        <v>0</v>
      </c>
      <c r="C183" s="438">
        <f>+Compiègne!$G183</f>
        <v>0</v>
      </c>
      <c r="D183" s="438">
        <f>+Amiens!$G183</f>
        <v>0</v>
      </c>
      <c r="E183" s="438">
        <f>+Cambrai!$G183</f>
        <v>0</v>
      </c>
      <c r="F183" s="438">
        <f>+Caudry!$G183</f>
        <v>0</v>
      </c>
      <c r="G183" s="438">
        <f>+Eu!$G183</f>
        <v>0</v>
      </c>
      <c r="H183" s="438">
        <f>+Calais!$G183</f>
        <v>0</v>
      </c>
      <c r="I183" s="438"/>
      <c r="J183" s="438">
        <f>+Madeleine!$G183</f>
        <v>0</v>
      </c>
      <c r="K183" s="438">
        <f>+Lens!$G183</f>
        <v>0</v>
      </c>
      <c r="L183" s="438">
        <f>+Bois!$G183</f>
        <v>0</v>
      </c>
      <c r="M183" s="438">
        <f>+Béthune!$G183</f>
        <v>0</v>
      </c>
      <c r="N183" s="1224">
        <f>+StOmer!$G183</f>
        <v>0</v>
      </c>
      <c r="O183" s="1296">
        <f>+Béthune!E183+Bois!E183+Lens!E183+Madeleine!E183+Tourcoing!E183+Calais!E183+Eu!E183+Caudry!E183+Cambrai!E183+Amiens!E183+Compiègne!E183+Boulogne!E183+StOmer!E183</f>
        <v>56130</v>
      </c>
      <c r="P183" s="1285">
        <f>+Béthune!F183+Bois!F183+Lens!F183+Madeleine!F183+Tourcoing!F183+Calais!F183+Eu!F183+Caudry!F183+Cambrai!F183+Amiens!F183+Compiègne!F183+Boulogne!F183+StOmer!F183</f>
        <v>0</v>
      </c>
      <c r="Q183" s="438">
        <f t="shared" si="49"/>
        <v>0</v>
      </c>
      <c r="R183" s="1286">
        <f t="shared" si="50"/>
        <v>0</v>
      </c>
      <c r="S183" s="1323">
        <f t="shared" si="51"/>
        <v>-1</v>
      </c>
      <c r="T183" s="1324">
        <f t="shared" si="52"/>
        <v>0</v>
      </c>
      <c r="U183" s="1209">
        <f>+Béthune!D183+Bois!D183+Lens!D183+Madeleine!D183+Tourcoing!D183+Calais!D183+Eu!D183+Caudry!D183+Cambrai!D183+Amiens!D183+Compiègne!D183+Boulogne!D183+StOmer!D183</f>
        <v>0</v>
      </c>
      <c r="V183" s="25">
        <f t="shared" si="42"/>
        <v>1</v>
      </c>
    </row>
    <row r="184" spans="1:22" s="17" customFormat="1" ht="11.25">
      <c r="A184" s="5"/>
      <c r="B184" s="1323"/>
      <c r="C184" s="1347"/>
      <c r="D184" s="1347"/>
      <c r="E184" s="1347"/>
      <c r="F184" s="1347"/>
      <c r="G184" s="1347"/>
      <c r="H184" s="1347"/>
      <c r="I184" s="1347"/>
      <c r="J184" s="1347"/>
      <c r="K184" s="1347"/>
      <c r="L184" s="1347"/>
      <c r="M184" s="1347"/>
      <c r="N184" s="1348"/>
      <c r="O184" s="1322"/>
      <c r="P184" s="1322"/>
      <c r="Q184" s="1347"/>
      <c r="R184" s="1348"/>
      <c r="S184" s="1347"/>
      <c r="T184" s="1342"/>
      <c r="U184" s="1375"/>
      <c r="V184" s="2">
        <f t="shared" si="42"/>
        <v>0</v>
      </c>
    </row>
    <row r="185" spans="1:22" s="2" customFormat="1" ht="11.25">
      <c r="A185" s="13" t="s">
        <v>178</v>
      </c>
      <c r="B185" s="1225">
        <f>SUM(B169:B184)</f>
        <v>14390.429999999998</v>
      </c>
      <c r="C185" s="1226">
        <f t="shared" ref="C185:N185" si="53">SUM(C169:C184)</f>
        <v>7736.720933333334</v>
      </c>
      <c r="D185" s="1226">
        <f t="shared" si="53"/>
        <v>4501.4502666666667</v>
      </c>
      <c r="E185" s="1226">
        <f t="shared" si="53"/>
        <v>4377.0445333333337</v>
      </c>
      <c r="F185" s="1226">
        <f t="shared" si="53"/>
        <v>5397.47</v>
      </c>
      <c r="G185" s="1226">
        <f t="shared" si="53"/>
        <v>15889.481333333333</v>
      </c>
      <c r="H185" s="1226">
        <f t="shared" si="53"/>
        <v>3365.8530666666666</v>
      </c>
      <c r="I185" s="1226"/>
      <c r="J185" s="1226">
        <f t="shared" si="53"/>
        <v>8435.3070666666663</v>
      </c>
      <c r="K185" s="1226">
        <f t="shared" si="53"/>
        <v>3021.06</v>
      </c>
      <c r="L185" s="1226">
        <f t="shared" si="53"/>
        <v>1525.39</v>
      </c>
      <c r="M185" s="1226">
        <f t="shared" si="53"/>
        <v>2929.74</v>
      </c>
      <c r="N185" s="1227">
        <f t="shared" si="53"/>
        <v>26491.532266666665</v>
      </c>
      <c r="O185" s="1303">
        <f>SUM(O169:O184)</f>
        <v>209131.75</v>
      </c>
      <c r="P185" s="1287">
        <f>SUM(P169:P184)</f>
        <v>120057.57666666666</v>
      </c>
      <c r="Q185" s="1287">
        <f>SUM(Q169:Q184)</f>
        <v>98061.479466666657</v>
      </c>
      <c r="R185" s="1288">
        <f>SUM(R169:R184)</f>
        <v>98061.479466666657</v>
      </c>
      <c r="S185" s="93">
        <f>+IF((O185)=0,,(P185-O185)/O185)</f>
        <v>-0.42592372192808287</v>
      </c>
      <c r="T185" s="1325">
        <f>+IF((P185)=0,,(R185-P185)/P185)</f>
        <v>-0.18321290343108435</v>
      </c>
      <c r="U185" s="597">
        <f>+Béthune!D185+Bois!D185+Lens!D185+Madeleine!D185+Tourcoing!D185+Calais!D185+Eu!D185+Caudry!D185+Cambrai!D185+Amiens!D185+Compiègne!D185+Boulogne!D185+StOmer!D185</f>
        <v>123010.31616552189</v>
      </c>
      <c r="V185" s="2">
        <f t="shared" si="42"/>
        <v>1</v>
      </c>
    </row>
    <row r="186" spans="1:22" s="2" customFormat="1" ht="11.25">
      <c r="A186" s="5"/>
      <c r="B186" s="1323"/>
      <c r="C186" s="1347"/>
      <c r="D186" s="1347"/>
      <c r="E186" s="1347"/>
      <c r="F186" s="1347"/>
      <c r="G186" s="1347"/>
      <c r="H186" s="1347"/>
      <c r="I186" s="1347"/>
      <c r="J186" s="1347"/>
      <c r="K186" s="1347"/>
      <c r="L186" s="1347"/>
      <c r="M186" s="1347"/>
      <c r="N186" s="1348"/>
      <c r="O186" s="1322"/>
      <c r="P186" s="1322"/>
      <c r="Q186" s="1347"/>
      <c r="R186" s="1348"/>
      <c r="S186" s="1347"/>
      <c r="T186" s="1324"/>
      <c r="U186" s="1375"/>
      <c r="V186" s="2">
        <f t="shared" si="42"/>
        <v>0</v>
      </c>
    </row>
    <row r="187" spans="1:22" s="25" customFormat="1" ht="11.25">
      <c r="A187" s="18" t="s">
        <v>179</v>
      </c>
      <c r="B187" s="1223">
        <f>+Boulogne!$G187</f>
        <v>0</v>
      </c>
      <c r="C187" s="438">
        <f>+Compiègne!$G187</f>
        <v>0</v>
      </c>
      <c r="D187" s="438">
        <f>+Amiens!$G187</f>
        <v>0</v>
      </c>
      <c r="E187" s="438">
        <f>+Cambrai!$G187</f>
        <v>0</v>
      </c>
      <c r="F187" s="438">
        <f>+Caudry!$G187</f>
        <v>0</v>
      </c>
      <c r="G187" s="438">
        <f>+Eu!$G187</f>
        <v>0</v>
      </c>
      <c r="H187" s="438">
        <f>+Calais!$G187</f>
        <v>0</v>
      </c>
      <c r="I187" s="438"/>
      <c r="J187" s="438">
        <f>+Madeleine!$G187</f>
        <v>0</v>
      </c>
      <c r="K187" s="438">
        <f>+Lens!$G187</f>
        <v>0</v>
      </c>
      <c r="L187" s="438">
        <f>+Bois!$G187</f>
        <v>0</v>
      </c>
      <c r="M187" s="438">
        <f>+Béthune!$G187</f>
        <v>0</v>
      </c>
      <c r="N187" s="1224">
        <f>+StOmer!$G187</f>
        <v>0</v>
      </c>
      <c r="O187" s="1296">
        <f>+Béthune!E187+Bois!E187+Lens!E187+Madeleine!E187+Tourcoing!E187+Calais!E187+Eu!E187+Caudry!E187+Cambrai!E187+Amiens!E187+Compiègne!E187+Boulogne!E187+StOmer!E187</f>
        <v>6600</v>
      </c>
      <c r="P187" s="1285">
        <f>+Béthune!F187+Bois!F187+Lens!F187+Madeleine!F187+Tourcoing!F187+Calais!F187+Eu!F187+Caudry!F187+Cambrai!F187+Amiens!F187+Compiègne!F187+Boulogne!F187+StOmer!F187</f>
        <v>2165.5333333333338</v>
      </c>
      <c r="Q187" s="438">
        <f t="shared" ref="Q187:Q199" si="54">+R187</f>
        <v>0</v>
      </c>
      <c r="R187" s="1286">
        <f t="shared" ref="R187:R199" si="55">SUM(B187:N187)</f>
        <v>0</v>
      </c>
      <c r="S187" s="1323">
        <f>+IF((O187)=0,,(P187-O187)/O187)</f>
        <v>-0.67188888888888887</v>
      </c>
      <c r="T187" s="1324">
        <f>+IF((P187)=0,,(R187-P187)/P187)</f>
        <v>-1</v>
      </c>
      <c r="U187" s="1209">
        <f>+Béthune!D187+Bois!D187+Lens!D187+Madeleine!D187+Tourcoing!D187+Calais!D187+Eu!D187+Caudry!D187+Cambrai!D187+Amiens!D187+Compiègne!D187+Boulogne!D187+StOmer!D187</f>
        <v>0</v>
      </c>
      <c r="V187" s="25">
        <v>0</v>
      </c>
    </row>
    <row r="188" spans="1:22" s="113" customFormat="1" ht="11.25">
      <c r="A188" s="18" t="s">
        <v>167</v>
      </c>
      <c r="B188" s="1223">
        <f>+Boulogne!$G188</f>
        <v>0</v>
      </c>
      <c r="C188" s="438">
        <f>+Compiègne!$G188</f>
        <v>0</v>
      </c>
      <c r="D188" s="438">
        <f>+Amiens!$G188</f>
        <v>0</v>
      </c>
      <c r="E188" s="438">
        <f>+Cambrai!$G188</f>
        <v>0</v>
      </c>
      <c r="F188" s="438">
        <f>+Caudry!$G188</f>
        <v>0</v>
      </c>
      <c r="G188" s="438">
        <f>+Eu!$G188</f>
        <v>0</v>
      </c>
      <c r="H188" s="438">
        <f>+Calais!$G188</f>
        <v>0</v>
      </c>
      <c r="I188" s="438"/>
      <c r="J188" s="438">
        <f>+Madeleine!$G188</f>
        <v>0</v>
      </c>
      <c r="K188" s="438">
        <f>+Lens!$G188</f>
        <v>0</v>
      </c>
      <c r="L188" s="438">
        <f>+Bois!$G188</f>
        <v>0</v>
      </c>
      <c r="M188" s="438">
        <f>+Béthune!$G188</f>
        <v>0</v>
      </c>
      <c r="N188" s="1224">
        <f>+StOmer!$G188</f>
        <v>0</v>
      </c>
      <c r="O188" s="1285">
        <f>+Béthune!E188+Bois!E188+Lens!E188+Madeleine!E188+Tourcoing!E188+Calais!E188+Eu!E188+Caudry!E188+Cambrai!E188+Amiens!E188+Compiègne!E188+Boulogne!E188+StOmer!E188</f>
        <v>0</v>
      </c>
      <c r="P188" s="1285">
        <f>+Béthune!F188+Bois!F188+Lens!F188+Madeleine!F188+Tourcoing!F188+Calais!F188+Eu!F188+Caudry!F188+Cambrai!F188+Amiens!F188+Compiègne!F188+Boulogne!F188+StOmer!F188</f>
        <v>0</v>
      </c>
      <c r="Q188" s="438">
        <f t="shared" si="54"/>
        <v>0</v>
      </c>
      <c r="R188" s="1286">
        <f t="shared" si="55"/>
        <v>0</v>
      </c>
      <c r="S188" s="1347">
        <f t="shared" ref="S188:S199" si="56">+IF((O188)=0,,(P188-O188)/O188)</f>
        <v>0</v>
      </c>
      <c r="T188" s="1324">
        <f t="shared" ref="T188:T199" si="57">+IF((P188)=0,,(R188-P188)/P188)</f>
        <v>0</v>
      </c>
      <c r="U188" s="1376">
        <f>+Béthune!D188+Bois!D188+Lens!D188+Madeleine!D188+Tourcoing!D188+Calais!D188+Eu!D188+Caudry!D188+Cambrai!D188+Amiens!D188+Compiègne!D188+Boulogne!D188+StOmer!D188</f>
        <v>0</v>
      </c>
      <c r="V188" s="25">
        <f t="shared" si="42"/>
        <v>0</v>
      </c>
    </row>
    <row r="189" spans="1:22" s="113" customFormat="1" ht="11.25">
      <c r="A189" s="18" t="s">
        <v>180</v>
      </c>
      <c r="B189" s="1223">
        <f>+Boulogne!$G189</f>
        <v>0</v>
      </c>
      <c r="C189" s="438">
        <f>+Compiègne!$G189</f>
        <v>0</v>
      </c>
      <c r="D189" s="438">
        <f>+Amiens!$G189</f>
        <v>0</v>
      </c>
      <c r="E189" s="438">
        <f>+Cambrai!$G189</f>
        <v>0</v>
      </c>
      <c r="F189" s="438">
        <f>+Caudry!$G189</f>
        <v>0</v>
      </c>
      <c r="G189" s="438">
        <f>+Eu!$G189</f>
        <v>0</v>
      </c>
      <c r="H189" s="438">
        <f>+Calais!$G189</f>
        <v>0</v>
      </c>
      <c r="I189" s="438"/>
      <c r="J189" s="438">
        <f>+Madeleine!$G189</f>
        <v>0</v>
      </c>
      <c r="K189" s="438">
        <f>+Lens!$G189</f>
        <v>0</v>
      </c>
      <c r="L189" s="438">
        <f>+Bois!$G189</f>
        <v>0</v>
      </c>
      <c r="M189" s="438">
        <f>+Béthune!$G189</f>
        <v>0</v>
      </c>
      <c r="N189" s="1224">
        <f>+StOmer!$G189</f>
        <v>0</v>
      </c>
      <c r="O189" s="1296">
        <f>+Béthune!E189+Bois!E189+Lens!E189+Madeleine!E189+Tourcoing!E189+Calais!E189+Eu!E189+Caudry!E189+Cambrai!E189+Amiens!E189+Compiègne!E189+Boulogne!E189+StOmer!E189</f>
        <v>27577.850000000002</v>
      </c>
      <c r="P189" s="1285">
        <f>+Béthune!F189+Bois!F189+Lens!F189+Madeleine!F189+Tourcoing!F189+Calais!F189+Eu!F189+Caudry!F189+Cambrai!F189+Amiens!F189+Compiègne!F189+Boulogne!F189+StOmer!F189</f>
        <v>12838.933333333334</v>
      </c>
      <c r="Q189" s="438">
        <f t="shared" si="54"/>
        <v>0</v>
      </c>
      <c r="R189" s="1286">
        <f t="shared" si="55"/>
        <v>0</v>
      </c>
      <c r="S189" s="1323">
        <f t="shared" si="56"/>
        <v>-0.53444763339660872</v>
      </c>
      <c r="T189" s="1324">
        <f t="shared" si="57"/>
        <v>-1</v>
      </c>
      <c r="U189" s="1209">
        <f>+Béthune!D189+Bois!D189+Lens!D189+Madeleine!D189+Tourcoing!D189+Calais!D189+Eu!D189+Caudry!D189+Cambrai!D189+Amiens!D189+Compiègne!D189+Boulogne!D189+StOmer!D189</f>
        <v>0</v>
      </c>
      <c r="V189" s="25">
        <v>0</v>
      </c>
    </row>
    <row r="190" spans="1:22" s="113" customFormat="1" ht="11.25">
      <c r="A190" s="18" t="s">
        <v>181</v>
      </c>
      <c r="B190" s="1223">
        <f>+Boulogne!$G190</f>
        <v>0</v>
      </c>
      <c r="C190" s="438">
        <f>+Compiègne!$G190</f>
        <v>0</v>
      </c>
      <c r="D190" s="438">
        <f>+Amiens!$G190</f>
        <v>0</v>
      </c>
      <c r="E190" s="438">
        <f>+Cambrai!$G190</f>
        <v>0</v>
      </c>
      <c r="F190" s="438">
        <f>+Caudry!$G190</f>
        <v>0</v>
      </c>
      <c r="G190" s="438">
        <f>+Eu!$G190</f>
        <v>0</v>
      </c>
      <c r="H190" s="438">
        <f>+Calais!$G190</f>
        <v>0</v>
      </c>
      <c r="I190" s="438"/>
      <c r="J190" s="438">
        <f>+Madeleine!$G190</f>
        <v>0</v>
      </c>
      <c r="K190" s="438">
        <f>+Lens!$G190</f>
        <v>0</v>
      </c>
      <c r="L190" s="438">
        <f>+Bois!$G190</f>
        <v>0</v>
      </c>
      <c r="M190" s="438">
        <f>+Béthune!$G190</f>
        <v>0</v>
      </c>
      <c r="N190" s="1224">
        <f>+StOmer!$G190</f>
        <v>0</v>
      </c>
      <c r="O190" s="1296">
        <f>+Béthune!E190+Bois!E190+Lens!E190+Madeleine!E190+Tourcoing!E190+Calais!E190+Eu!E190+Caudry!E190+Cambrai!E190+Amiens!E190+Compiègne!E190+Boulogne!E190+StOmer!E190</f>
        <v>194.92</v>
      </c>
      <c r="P190" s="1285">
        <f>+Béthune!F190+Bois!F190+Lens!F190+Madeleine!F190+Tourcoing!F190+Calais!F190+Eu!F190+Caudry!F190+Cambrai!F190+Amiens!F190+Compiègne!F190+Boulogne!F190+StOmer!F190</f>
        <v>0</v>
      </c>
      <c r="Q190" s="438">
        <f t="shared" si="54"/>
        <v>0</v>
      </c>
      <c r="R190" s="1286">
        <f t="shared" si="55"/>
        <v>0</v>
      </c>
      <c r="S190" s="1323">
        <f t="shared" si="56"/>
        <v>-1</v>
      </c>
      <c r="T190" s="1324">
        <f t="shared" si="57"/>
        <v>0</v>
      </c>
      <c r="U190" s="1209">
        <f>+Béthune!D190+Bois!D190+Lens!D190+Madeleine!D190+Tourcoing!D190+Calais!D190+Eu!D190+Caudry!D190+Cambrai!D190+Amiens!D190+Compiègne!D190+Boulogne!D190+StOmer!D190</f>
        <v>0</v>
      </c>
      <c r="V190" s="25">
        <v>0</v>
      </c>
    </row>
    <row r="191" spans="1:22" s="113" customFormat="1" ht="11.25">
      <c r="A191" s="18" t="s">
        <v>182</v>
      </c>
      <c r="B191" s="1223">
        <f>+Boulogne!$G191</f>
        <v>0</v>
      </c>
      <c r="C191" s="438">
        <f>+Compiègne!$G191</f>
        <v>0</v>
      </c>
      <c r="D191" s="438">
        <f>+Amiens!$G191</f>
        <v>0</v>
      </c>
      <c r="E191" s="438">
        <f>+Cambrai!$G191</f>
        <v>0</v>
      </c>
      <c r="F191" s="438">
        <f>+Caudry!$G191</f>
        <v>0</v>
      </c>
      <c r="G191" s="438">
        <f>+Eu!$G191</f>
        <v>0</v>
      </c>
      <c r="H191" s="438">
        <f>+Calais!$G191</f>
        <v>0</v>
      </c>
      <c r="I191" s="438"/>
      <c r="J191" s="438">
        <f>+Madeleine!$G191</f>
        <v>0</v>
      </c>
      <c r="K191" s="438">
        <f>+Lens!$G191</f>
        <v>0</v>
      </c>
      <c r="L191" s="438">
        <f>+Bois!$G191</f>
        <v>0</v>
      </c>
      <c r="M191" s="438">
        <f>+Béthune!$G191</f>
        <v>0</v>
      </c>
      <c r="N191" s="1224">
        <f>+StOmer!$G191</f>
        <v>0</v>
      </c>
      <c r="O191" s="1285">
        <f>+Béthune!E191+Bois!E191+Lens!E191+Madeleine!E191+Tourcoing!E191+Calais!E191+Eu!E191+Caudry!E191+Cambrai!E191+Amiens!E191+Compiègne!E191+Boulogne!E191+StOmer!E191</f>
        <v>0</v>
      </c>
      <c r="P191" s="1285">
        <f>+Béthune!F191+Bois!F191+Lens!F191+Madeleine!F191+Tourcoing!F191+Calais!F191+Eu!F191+Caudry!F191+Cambrai!F191+Amiens!F191+Compiègne!F191+Boulogne!F191+StOmer!F191</f>
        <v>0</v>
      </c>
      <c r="Q191" s="438">
        <f t="shared" si="54"/>
        <v>0</v>
      </c>
      <c r="R191" s="1286">
        <f t="shared" si="55"/>
        <v>0</v>
      </c>
      <c r="S191" s="1347">
        <f t="shared" si="56"/>
        <v>0</v>
      </c>
      <c r="T191" s="1324">
        <f t="shared" si="57"/>
        <v>0</v>
      </c>
      <c r="U191" s="1376">
        <f>+Béthune!D191+Bois!D191+Lens!D191+Madeleine!D191+Tourcoing!D191+Calais!D191+Eu!D191+Caudry!D191+Cambrai!D191+Amiens!D191+Compiègne!D191+Boulogne!D191+StOmer!D191</f>
        <v>0</v>
      </c>
      <c r="V191" s="25">
        <f t="shared" si="42"/>
        <v>0</v>
      </c>
    </row>
    <row r="192" spans="1:22" s="113" customFormat="1" ht="11.25">
      <c r="A192" s="18" t="s">
        <v>183</v>
      </c>
      <c r="B192" s="1223">
        <f>+Boulogne!$G192</f>
        <v>0</v>
      </c>
      <c r="C192" s="438">
        <f>+Compiègne!$G192</f>
        <v>0</v>
      </c>
      <c r="D192" s="438">
        <f>+Amiens!$G192</f>
        <v>0</v>
      </c>
      <c r="E192" s="438">
        <f>+Cambrai!$G192</f>
        <v>0</v>
      </c>
      <c r="F192" s="438">
        <f>+Caudry!$G192</f>
        <v>0</v>
      </c>
      <c r="G192" s="438">
        <f>+Eu!$G192</f>
        <v>0</v>
      </c>
      <c r="H192" s="438">
        <f>+Calais!$G192</f>
        <v>0</v>
      </c>
      <c r="I192" s="438"/>
      <c r="J192" s="438">
        <f>+Madeleine!$G192</f>
        <v>0</v>
      </c>
      <c r="K192" s="438">
        <f>+Lens!$G192</f>
        <v>0</v>
      </c>
      <c r="L192" s="438">
        <f>+Bois!$G192</f>
        <v>0</v>
      </c>
      <c r="M192" s="438">
        <f>+Béthune!$G192</f>
        <v>0</v>
      </c>
      <c r="N192" s="1224">
        <f>+StOmer!$G192</f>
        <v>0</v>
      </c>
      <c r="O192" s="1285">
        <f>+Béthune!E192+Bois!E192+Lens!E192+Madeleine!E192+Tourcoing!E192+Calais!E192+Eu!E192+Caudry!E192+Cambrai!E192+Amiens!E192+Compiègne!E192+Boulogne!E192+StOmer!E192</f>
        <v>0</v>
      </c>
      <c r="P192" s="1285">
        <f>+Béthune!F192+Bois!F192+Lens!F192+Madeleine!F192+Tourcoing!F192+Calais!F192+Eu!F192+Caudry!F192+Cambrai!F192+Amiens!F192+Compiègne!F192+Boulogne!F192+StOmer!F192</f>
        <v>0</v>
      </c>
      <c r="Q192" s="438">
        <f t="shared" si="54"/>
        <v>0</v>
      </c>
      <c r="R192" s="1286">
        <f t="shared" si="55"/>
        <v>0</v>
      </c>
      <c r="S192" s="1347">
        <f t="shared" si="56"/>
        <v>0</v>
      </c>
      <c r="T192" s="1324">
        <f t="shared" si="57"/>
        <v>0</v>
      </c>
      <c r="U192" s="1376">
        <f>+Béthune!D192+Bois!D192+Lens!D192+Madeleine!D192+Tourcoing!D192+Calais!D192+Eu!D192+Caudry!D192+Cambrai!D192+Amiens!D192+Compiègne!D192+Boulogne!D192+StOmer!D192</f>
        <v>0</v>
      </c>
      <c r="V192" s="25">
        <f t="shared" si="42"/>
        <v>0</v>
      </c>
    </row>
    <row r="193" spans="1:22" s="113" customFormat="1" ht="11.25">
      <c r="A193" s="18" t="s">
        <v>184</v>
      </c>
      <c r="B193" s="1223">
        <f>+Boulogne!$G193</f>
        <v>0</v>
      </c>
      <c r="C193" s="438">
        <f>+Compiègne!$G193</f>
        <v>0</v>
      </c>
      <c r="D193" s="438">
        <f>+Amiens!$G193</f>
        <v>0</v>
      </c>
      <c r="E193" s="438">
        <f>+Cambrai!$G193</f>
        <v>0</v>
      </c>
      <c r="F193" s="438">
        <f>+Caudry!$G193</f>
        <v>0</v>
      </c>
      <c r="G193" s="438">
        <f>+Eu!$G193</f>
        <v>0</v>
      </c>
      <c r="H193" s="438">
        <f>+Calais!$G193</f>
        <v>0</v>
      </c>
      <c r="I193" s="438"/>
      <c r="J193" s="438">
        <f>+Madeleine!$G193</f>
        <v>0</v>
      </c>
      <c r="K193" s="438">
        <f>+Lens!$G193</f>
        <v>0</v>
      </c>
      <c r="L193" s="438">
        <f>+Bois!$G193</f>
        <v>0</v>
      </c>
      <c r="M193" s="438">
        <f>+Béthune!$G193</f>
        <v>0</v>
      </c>
      <c r="N193" s="1224">
        <f>+StOmer!$G193</f>
        <v>0</v>
      </c>
      <c r="O193" s="1296">
        <f>+Béthune!E193+Bois!E193+Lens!E193+Madeleine!E193+Tourcoing!E193+Calais!E193+Eu!E193+Caudry!E193+Cambrai!E193+Amiens!E193+Compiègne!E193+Boulogne!E193+StOmer!E193</f>
        <v>54359.63</v>
      </c>
      <c r="P193" s="1285">
        <f>+Béthune!F193+Bois!F193+Lens!F193+Madeleine!F193+Tourcoing!F193+Calais!F193+Eu!F193+Caudry!F193+Cambrai!F193+Amiens!F193+Compiègne!F193+Boulogne!F193+StOmer!F193</f>
        <v>1411.72</v>
      </c>
      <c r="Q193" s="438">
        <f t="shared" si="54"/>
        <v>0</v>
      </c>
      <c r="R193" s="1286">
        <f t="shared" si="55"/>
        <v>0</v>
      </c>
      <c r="S193" s="1323">
        <f t="shared" si="56"/>
        <v>-0.9740299924778737</v>
      </c>
      <c r="T193" s="1324">
        <f t="shared" si="57"/>
        <v>-1</v>
      </c>
      <c r="U193" s="1209">
        <f>+Béthune!D193+Bois!D193+Lens!D193+Madeleine!D193+Tourcoing!D193+Calais!D193+Eu!D193+Caudry!D193+Cambrai!D193+Amiens!D193+Compiègne!D193+Boulogne!D193+StOmer!D193</f>
        <v>0</v>
      </c>
      <c r="V193" s="25">
        <v>0</v>
      </c>
    </row>
    <row r="194" spans="1:22" s="113" customFormat="1" ht="11.25">
      <c r="A194" s="18" t="s">
        <v>342</v>
      </c>
      <c r="B194" s="1223">
        <f>+Boulogne!$G194</f>
        <v>0</v>
      </c>
      <c r="C194" s="438">
        <f>+Compiègne!$G194</f>
        <v>0</v>
      </c>
      <c r="D194" s="438">
        <f>+Amiens!$G194</f>
        <v>0</v>
      </c>
      <c r="E194" s="438">
        <f>+Cambrai!$G194</f>
        <v>0</v>
      </c>
      <c r="F194" s="438">
        <f>+Caudry!$G194</f>
        <v>0</v>
      </c>
      <c r="G194" s="438">
        <f>+Eu!$G194</f>
        <v>0</v>
      </c>
      <c r="H194" s="438">
        <f>+Calais!$G194</f>
        <v>0</v>
      </c>
      <c r="I194" s="438"/>
      <c r="J194" s="438">
        <f>+Madeleine!$G194</f>
        <v>0</v>
      </c>
      <c r="K194" s="438">
        <f>+Lens!$G194</f>
        <v>0</v>
      </c>
      <c r="L194" s="438">
        <f>+Bois!$G194</f>
        <v>0</v>
      </c>
      <c r="M194" s="438">
        <f>+Béthune!$G194</f>
        <v>0</v>
      </c>
      <c r="N194" s="1224">
        <f>+StOmer!$G194</f>
        <v>0</v>
      </c>
      <c r="O194" s="1296">
        <f>+Béthune!E194+Bois!E194+Lens!E194+Madeleine!E194+Tourcoing!E194+Calais!E194+Eu!E194+Caudry!E194+Cambrai!E194+Amiens!E194+Compiègne!E194+Boulogne!E194+StOmer!E194</f>
        <v>9072.8799999999992</v>
      </c>
      <c r="P194" s="1285">
        <f>+Béthune!F194+Bois!F194+Lens!F194+Madeleine!F194+Tourcoing!F194+Calais!F194+Eu!F194+Caudry!F194+Cambrai!F194+Amiens!F194+Compiègne!F194+Boulogne!F194+StOmer!F194</f>
        <v>6.6666666666666666E-2</v>
      </c>
      <c r="Q194" s="438">
        <f t="shared" si="54"/>
        <v>0</v>
      </c>
      <c r="R194" s="1286">
        <f t="shared" si="55"/>
        <v>0</v>
      </c>
      <c r="S194" s="1323">
        <f t="shared" si="56"/>
        <v>-0.99999265209429999</v>
      </c>
      <c r="T194" s="1324">
        <f t="shared" si="57"/>
        <v>-1</v>
      </c>
      <c r="U194" s="1209">
        <f>+Béthune!D194+Bois!D194+Lens!D194+Madeleine!D194+Tourcoing!D194+Calais!D194+Eu!D194+Caudry!D194+Cambrai!D194+Amiens!D194+Compiègne!D194+Boulogne!D194+StOmer!D194</f>
        <v>0</v>
      </c>
      <c r="V194" s="25">
        <v>0</v>
      </c>
    </row>
    <row r="195" spans="1:22" s="113" customFormat="1" ht="11.25">
      <c r="A195" s="18" t="s">
        <v>186</v>
      </c>
      <c r="B195" s="1223">
        <f>+Boulogne!$G195</f>
        <v>0</v>
      </c>
      <c r="C195" s="438">
        <f>+Compiègne!$G195</f>
        <v>0</v>
      </c>
      <c r="D195" s="438">
        <f>+Amiens!$G195</f>
        <v>0</v>
      </c>
      <c r="E195" s="438">
        <f>+Cambrai!$G195</f>
        <v>0</v>
      </c>
      <c r="F195" s="438">
        <f>+Caudry!$G195</f>
        <v>0</v>
      </c>
      <c r="G195" s="438">
        <f>+Eu!$G195</f>
        <v>0</v>
      </c>
      <c r="H195" s="438">
        <f>+Calais!$G195</f>
        <v>0</v>
      </c>
      <c r="I195" s="438"/>
      <c r="J195" s="438">
        <f>+Madeleine!$G195</f>
        <v>0</v>
      </c>
      <c r="K195" s="438">
        <f>+Lens!$G195</f>
        <v>0</v>
      </c>
      <c r="L195" s="438">
        <f>+Bois!$G195</f>
        <v>0</v>
      </c>
      <c r="M195" s="438">
        <f>+Béthune!$G195</f>
        <v>0</v>
      </c>
      <c r="N195" s="1224">
        <f>+StOmer!$G195</f>
        <v>0</v>
      </c>
      <c r="O195" s="1285">
        <f>+Béthune!E195+Bois!E195+Lens!E195+Madeleine!E195+Tourcoing!E195+Calais!E195+Eu!E195+Caudry!E195+Cambrai!E195+Amiens!E195+Compiègne!E195+Boulogne!E195+StOmer!E195</f>
        <v>0</v>
      </c>
      <c r="P195" s="1285">
        <f>+Béthune!F195+Bois!F195+Lens!F195+Madeleine!F195+Tourcoing!F195+Calais!F195+Eu!F195+Caudry!F195+Cambrai!F195+Amiens!F195+Compiègne!F195+Boulogne!F195+StOmer!F195</f>
        <v>0</v>
      </c>
      <c r="Q195" s="438">
        <f t="shared" si="54"/>
        <v>0</v>
      </c>
      <c r="R195" s="1286">
        <f t="shared" si="55"/>
        <v>0</v>
      </c>
      <c r="S195" s="1347">
        <f t="shared" si="56"/>
        <v>0</v>
      </c>
      <c r="T195" s="1324">
        <f t="shared" si="57"/>
        <v>0</v>
      </c>
      <c r="U195" s="1376">
        <f>+Béthune!D195+Bois!D195+Lens!D195+Madeleine!D195+Tourcoing!D195+Calais!D195+Eu!D195+Caudry!D195+Cambrai!D195+Amiens!D195+Compiègne!D195+Boulogne!D195+StOmer!D195</f>
        <v>0</v>
      </c>
      <c r="V195" s="25">
        <f t="shared" si="42"/>
        <v>0</v>
      </c>
    </row>
    <row r="196" spans="1:22" s="113" customFormat="1" ht="11.25">
      <c r="A196" s="18" t="s">
        <v>187</v>
      </c>
      <c r="B196" s="1223">
        <f>+Boulogne!$G196</f>
        <v>0</v>
      </c>
      <c r="C196" s="438">
        <f>+Compiègne!$G196</f>
        <v>0</v>
      </c>
      <c r="D196" s="438">
        <f>+Amiens!$G196</f>
        <v>0</v>
      </c>
      <c r="E196" s="438">
        <f>+Cambrai!$G196</f>
        <v>0</v>
      </c>
      <c r="F196" s="438">
        <f>+Caudry!$G196</f>
        <v>0</v>
      </c>
      <c r="G196" s="438">
        <f>+Eu!$G196</f>
        <v>0</v>
      </c>
      <c r="H196" s="438">
        <f>+Calais!$G196</f>
        <v>0</v>
      </c>
      <c r="I196" s="438"/>
      <c r="J196" s="438">
        <f>+Madeleine!$G196</f>
        <v>0</v>
      </c>
      <c r="K196" s="438">
        <f>+Lens!$G196</f>
        <v>0</v>
      </c>
      <c r="L196" s="438">
        <f>+Bois!$G196</f>
        <v>0</v>
      </c>
      <c r="M196" s="438">
        <f>+Béthune!$G196</f>
        <v>0</v>
      </c>
      <c r="N196" s="1224">
        <f>+StOmer!$G196</f>
        <v>0</v>
      </c>
      <c r="O196" s="1285">
        <f>+Béthune!E196+Bois!E196+Lens!E196+Madeleine!E196+Tourcoing!E196+Calais!E196+Eu!E196+Caudry!E196+Cambrai!E196+Amiens!E196+Compiègne!E196+Boulogne!E196+StOmer!E196</f>
        <v>0</v>
      </c>
      <c r="P196" s="1285">
        <f>+Béthune!F196+Bois!F196+Lens!F196+Madeleine!F196+Tourcoing!F196+Calais!F196+Eu!F196+Caudry!F196+Cambrai!F196+Amiens!F196+Compiègne!F196+Boulogne!F196+StOmer!F196</f>
        <v>0</v>
      </c>
      <c r="Q196" s="438">
        <f t="shared" si="54"/>
        <v>0</v>
      </c>
      <c r="R196" s="1286">
        <f t="shared" si="55"/>
        <v>0</v>
      </c>
      <c r="S196" s="1347">
        <f t="shared" si="56"/>
        <v>0</v>
      </c>
      <c r="T196" s="1324">
        <f t="shared" si="57"/>
        <v>0</v>
      </c>
      <c r="U196" s="1376">
        <f>+Béthune!D196+Bois!D196+Lens!D196+Madeleine!D196+Tourcoing!D196+Calais!D196+Eu!D196+Caudry!D196+Cambrai!D196+Amiens!D196+Compiègne!D196+Boulogne!D196+StOmer!D196</f>
        <v>0</v>
      </c>
      <c r="V196" s="25">
        <f t="shared" si="42"/>
        <v>0</v>
      </c>
    </row>
    <row r="197" spans="1:22" s="113" customFormat="1" ht="11.25">
      <c r="A197" s="18" t="s">
        <v>328</v>
      </c>
      <c r="B197" s="1223">
        <f>+Boulogne!$G197</f>
        <v>0</v>
      </c>
      <c r="C197" s="438">
        <f>+Compiègne!$G197</f>
        <v>0</v>
      </c>
      <c r="D197" s="438">
        <f>+Amiens!$G197</f>
        <v>0</v>
      </c>
      <c r="E197" s="438">
        <f>+Cambrai!$G197</f>
        <v>0</v>
      </c>
      <c r="F197" s="438">
        <f>+Caudry!$G197</f>
        <v>0</v>
      </c>
      <c r="G197" s="438">
        <f>+Eu!$G197</f>
        <v>0</v>
      </c>
      <c r="H197" s="438">
        <f>+Calais!$G197</f>
        <v>0</v>
      </c>
      <c r="I197" s="438"/>
      <c r="J197" s="438">
        <f>+Madeleine!$G197</f>
        <v>0</v>
      </c>
      <c r="K197" s="438">
        <f>+Lens!$G197</f>
        <v>0</v>
      </c>
      <c r="L197" s="438">
        <f>+Bois!$G197</f>
        <v>0</v>
      </c>
      <c r="M197" s="438">
        <f>+Béthune!$G197</f>
        <v>0</v>
      </c>
      <c r="N197" s="1224">
        <f>+StOmer!$G197</f>
        <v>0</v>
      </c>
      <c r="O197" s="1296">
        <f>+Béthune!E197+Bois!E197+Lens!E197+Madeleine!E197+Tourcoing!E197+Calais!E197+Eu!E197+Caudry!E197+Cambrai!E197+Amiens!E197+Compiègne!E197+Boulogne!E197+StOmer!E197</f>
        <v>3500</v>
      </c>
      <c r="P197" s="1285">
        <f>+Béthune!F197+Bois!F197+Lens!F197+Madeleine!F197+Tourcoing!F197+Calais!F197+Eu!F197+Caudry!F197+Cambrai!F197+Amiens!F197+Compiègne!F197+Boulogne!F197+StOmer!F197</f>
        <v>17323.2</v>
      </c>
      <c r="Q197" s="438">
        <f t="shared" si="54"/>
        <v>0</v>
      </c>
      <c r="R197" s="1286">
        <f t="shared" si="55"/>
        <v>0</v>
      </c>
      <c r="S197" s="1323">
        <f t="shared" si="56"/>
        <v>3.9494857142857147</v>
      </c>
      <c r="T197" s="1324">
        <f t="shared" si="57"/>
        <v>-1</v>
      </c>
      <c r="U197" s="1209">
        <f>+Béthune!D197+Bois!D197+Lens!D197+Madeleine!D197+Tourcoing!D197+Calais!D197+Eu!D197+Caudry!D197+Cambrai!D197+Amiens!D197+Compiègne!D197+Boulogne!D197+StOmer!D197</f>
        <v>0</v>
      </c>
      <c r="V197" s="25">
        <v>0</v>
      </c>
    </row>
    <row r="198" spans="1:22" s="113" customFormat="1" ht="11.25">
      <c r="A198" s="18" t="s">
        <v>344</v>
      </c>
      <c r="B198" s="1223">
        <f>+Boulogne!$G198</f>
        <v>0</v>
      </c>
      <c r="C198" s="438">
        <f>+Compiègne!$G198</f>
        <v>0</v>
      </c>
      <c r="D198" s="438">
        <f>+Amiens!$G198</f>
        <v>0</v>
      </c>
      <c r="E198" s="438">
        <f>+Cambrai!$G198</f>
        <v>0</v>
      </c>
      <c r="F198" s="438">
        <f>+Caudry!$G198</f>
        <v>0</v>
      </c>
      <c r="G198" s="438">
        <f>+Eu!$G198</f>
        <v>0</v>
      </c>
      <c r="H198" s="438">
        <f>+Calais!$G198</f>
        <v>0</v>
      </c>
      <c r="I198" s="438"/>
      <c r="J198" s="438">
        <f>+Madeleine!$G198</f>
        <v>0</v>
      </c>
      <c r="K198" s="438">
        <f>+Lens!$G198</f>
        <v>0</v>
      </c>
      <c r="L198" s="438">
        <f>+Bois!$G198</f>
        <v>0</v>
      </c>
      <c r="M198" s="438">
        <f>+Béthune!$G198</f>
        <v>0</v>
      </c>
      <c r="N198" s="1224">
        <f>+StOmer!$G198</f>
        <v>0</v>
      </c>
      <c r="O198" s="1296">
        <f>+Béthune!E198+Bois!E198+Lens!E198+Madeleine!E198+Tourcoing!E198+Calais!E198+Eu!E198+Caudry!E198+Cambrai!E198+Amiens!E198+Compiègne!E198+Boulogne!E198+StOmer!E198</f>
        <v>3500</v>
      </c>
      <c r="P198" s="1285">
        <f>+Béthune!F198+Bois!F198+Lens!F198+Madeleine!F198+Tourcoing!F198+Calais!F198+Eu!F198+Caudry!F198+Cambrai!F198+Amiens!F198+Compiègne!F198+Boulogne!F198+StOmer!F198</f>
        <v>0</v>
      </c>
      <c r="Q198" s="438">
        <f t="shared" si="54"/>
        <v>0</v>
      </c>
      <c r="R198" s="1286">
        <f t="shared" si="55"/>
        <v>0</v>
      </c>
      <c r="S198" s="1323">
        <f t="shared" si="56"/>
        <v>-1</v>
      </c>
      <c r="T198" s="1324">
        <f t="shared" si="57"/>
        <v>0</v>
      </c>
      <c r="U198" s="1209">
        <f>+Béthune!D198+Bois!D198+Lens!D198+Madeleine!D198+Tourcoing!D198+Calais!D198+Eu!D198+Caudry!D198+Cambrai!D198+Amiens!D198+Compiègne!D198+Boulogne!D198+StOmer!D198</f>
        <v>0</v>
      </c>
      <c r="V198" s="25">
        <v>0</v>
      </c>
    </row>
    <row r="199" spans="1:22" s="113" customFormat="1" ht="11.25">
      <c r="A199" s="18" t="s">
        <v>77</v>
      </c>
      <c r="B199" s="1223">
        <f>+Boulogne!$G199</f>
        <v>0</v>
      </c>
      <c r="C199" s="438">
        <f>+Compiègne!$G199</f>
        <v>0</v>
      </c>
      <c r="D199" s="438">
        <f>+Amiens!$G199</f>
        <v>0</v>
      </c>
      <c r="E199" s="438">
        <f>+Cambrai!$G199</f>
        <v>0</v>
      </c>
      <c r="F199" s="438">
        <f>+Caudry!$G199</f>
        <v>0</v>
      </c>
      <c r="G199" s="438">
        <f>+Eu!$G199</f>
        <v>0</v>
      </c>
      <c r="H199" s="438">
        <f>+Calais!$G199</f>
        <v>0</v>
      </c>
      <c r="I199" s="438"/>
      <c r="J199" s="438">
        <f>+Madeleine!$G199</f>
        <v>0</v>
      </c>
      <c r="K199" s="438">
        <f>+Lens!$G199</f>
        <v>0</v>
      </c>
      <c r="L199" s="438">
        <f>+Bois!$G199</f>
        <v>0</v>
      </c>
      <c r="M199" s="438">
        <f>+Béthune!$G199</f>
        <v>0</v>
      </c>
      <c r="N199" s="1224">
        <f>+StOmer!$G199</f>
        <v>0</v>
      </c>
      <c r="O199" s="1296">
        <f>+Béthune!E199+Bois!E199+Lens!E199+Madeleine!E199+Tourcoing!E199+Calais!E199+Eu!E199+Caudry!E199+Cambrai!E199+Amiens!E199+Compiègne!E199+Boulogne!E199+StOmer!E199</f>
        <v>18585.400000000001</v>
      </c>
      <c r="P199" s="1285">
        <f>+Béthune!F199+Bois!F199+Lens!F199+Madeleine!F199+Tourcoing!F199+Calais!F199+Eu!F199+Caudry!F199+Cambrai!F199+Amiens!F199+Compiègne!F199+Boulogne!F199+StOmer!F199</f>
        <v>0</v>
      </c>
      <c r="Q199" s="438">
        <f t="shared" si="54"/>
        <v>0</v>
      </c>
      <c r="R199" s="1286">
        <f t="shared" si="55"/>
        <v>0</v>
      </c>
      <c r="S199" s="1323">
        <f t="shared" si="56"/>
        <v>-1</v>
      </c>
      <c r="T199" s="1324">
        <f t="shared" si="57"/>
        <v>0</v>
      </c>
      <c r="U199" s="1209">
        <f>+Béthune!D199+Bois!D199+Lens!D199+Madeleine!D199+Tourcoing!D199+Calais!D199+Eu!D199+Caudry!D199+Cambrai!D199+Amiens!D199+Compiègne!D199+Boulogne!D199+StOmer!D199</f>
        <v>0</v>
      </c>
      <c r="V199" s="25">
        <v>0</v>
      </c>
    </row>
    <row r="200" spans="1:22" s="17" customFormat="1" ht="11.25">
      <c r="A200" s="5"/>
      <c r="B200" s="1323"/>
      <c r="C200" s="1347"/>
      <c r="D200" s="1347"/>
      <c r="E200" s="1347"/>
      <c r="F200" s="1347"/>
      <c r="G200" s="1347"/>
      <c r="H200" s="1347"/>
      <c r="I200" s="1347"/>
      <c r="J200" s="1347"/>
      <c r="K200" s="1347"/>
      <c r="L200" s="1347"/>
      <c r="M200" s="1347"/>
      <c r="N200" s="1348"/>
      <c r="O200" s="1289"/>
      <c r="P200" s="1289"/>
      <c r="Q200" s="1360"/>
      <c r="R200" s="1362"/>
      <c r="S200" s="1347"/>
      <c r="T200" s="1342"/>
      <c r="U200" s="1375"/>
      <c r="V200" s="2">
        <f t="shared" ref="V200:V255" si="58">IF(SUM(K200:U200)&gt;0,1,0)</f>
        <v>0</v>
      </c>
    </row>
    <row r="201" spans="1:22" s="2" customFormat="1" ht="11.25">
      <c r="A201" s="13" t="s">
        <v>188</v>
      </c>
      <c r="B201" s="1225">
        <f>SUM(B186:B200)</f>
        <v>0</v>
      </c>
      <c r="C201" s="1226">
        <f t="shared" ref="C201:N201" si="59">SUM(C186:C200)</f>
        <v>0</v>
      </c>
      <c r="D201" s="1226">
        <f t="shared" si="59"/>
        <v>0</v>
      </c>
      <c r="E201" s="1226">
        <f t="shared" si="59"/>
        <v>0</v>
      </c>
      <c r="F201" s="1226">
        <f t="shared" si="59"/>
        <v>0</v>
      </c>
      <c r="G201" s="1226">
        <f t="shared" si="59"/>
        <v>0</v>
      </c>
      <c r="H201" s="1226">
        <f t="shared" si="59"/>
        <v>0</v>
      </c>
      <c r="I201" s="1226"/>
      <c r="J201" s="1226">
        <f t="shared" si="59"/>
        <v>0</v>
      </c>
      <c r="K201" s="1226">
        <f t="shared" si="59"/>
        <v>0</v>
      </c>
      <c r="L201" s="1226">
        <f t="shared" si="59"/>
        <v>0</v>
      </c>
      <c r="M201" s="1226">
        <f t="shared" si="59"/>
        <v>0</v>
      </c>
      <c r="N201" s="1227">
        <f t="shared" si="59"/>
        <v>0</v>
      </c>
      <c r="O201" s="1303">
        <f>SUM(O186:O200)</f>
        <v>123390.68</v>
      </c>
      <c r="P201" s="1287">
        <f>SUM(P186:P200)</f>
        <v>33739.453333333338</v>
      </c>
      <c r="Q201" s="1287">
        <f>SUM(Q186:Q200)</f>
        <v>0</v>
      </c>
      <c r="R201" s="1227">
        <f>SUM(R186:R200)</f>
        <v>0</v>
      </c>
      <c r="S201" s="93">
        <f>+IF((O201)=0,,(P201-O201)/O201)</f>
        <v>-0.72656400521227904</v>
      </c>
      <c r="T201" s="1325">
        <f>+IF((P201)=0,,(R201-P201)/P201)</f>
        <v>-1</v>
      </c>
      <c r="U201" s="597">
        <f>+Béthune!D201+Bois!D201+Lens!D201+Madeleine!D201+Tourcoing!D201+Calais!D201+Eu!D201+Caudry!D201+Cambrai!D201+Amiens!D201+Compiègne!D201+Boulogne!D201+StOmer!D201</f>
        <v>0</v>
      </c>
      <c r="V201" s="2">
        <f t="shared" si="58"/>
        <v>1</v>
      </c>
    </row>
    <row r="202" spans="1:22" s="2" customFormat="1" ht="11.25">
      <c r="A202" s="5"/>
      <c r="B202" s="1323"/>
      <c r="C202" s="1347"/>
      <c r="D202" s="1347"/>
      <c r="E202" s="1347"/>
      <c r="F202" s="1347"/>
      <c r="G202" s="1347"/>
      <c r="H202" s="1347"/>
      <c r="I202" s="1347"/>
      <c r="J202" s="1347"/>
      <c r="K202" s="1347"/>
      <c r="L202" s="1347"/>
      <c r="M202" s="1347"/>
      <c r="N202" s="1348"/>
      <c r="O202" s="1289"/>
      <c r="P202" s="1289"/>
      <c r="Q202" s="1360"/>
      <c r="R202" s="1362"/>
      <c r="S202" s="1347"/>
      <c r="T202" s="1342"/>
      <c r="U202" s="1375"/>
      <c r="V202" s="2">
        <f t="shared" si="58"/>
        <v>0</v>
      </c>
    </row>
    <row r="203" spans="1:22" s="2" customFormat="1" ht="11.25">
      <c r="A203" s="14" t="s">
        <v>189</v>
      </c>
      <c r="B203" s="1253">
        <f t="shared" ref="B203:Q203" si="60">+B103+B116+B129+B154+B168+B185-B201</f>
        <v>415435.40979443968</v>
      </c>
      <c r="C203" s="1254">
        <f t="shared" si="60"/>
        <v>262027.68522974636</v>
      </c>
      <c r="D203" s="1254">
        <f t="shared" si="60"/>
        <v>187747.4002421386</v>
      </c>
      <c r="E203" s="1254">
        <f t="shared" si="60"/>
        <v>198954.58538406031</v>
      </c>
      <c r="F203" s="1254">
        <f t="shared" si="60"/>
        <v>246290.72993309339</v>
      </c>
      <c r="G203" s="1254">
        <f t="shared" si="60"/>
        <v>419848.53151245316</v>
      </c>
      <c r="H203" s="1254">
        <f t="shared" si="60"/>
        <v>253064.07387132596</v>
      </c>
      <c r="I203" s="1254"/>
      <c r="J203" s="1254">
        <f t="shared" si="60"/>
        <v>302534.68859511765</v>
      </c>
      <c r="K203" s="1254">
        <f t="shared" si="60"/>
        <v>151053.99066268018</v>
      </c>
      <c r="L203" s="1254">
        <f t="shared" si="60"/>
        <v>85262.216490843057</v>
      </c>
      <c r="M203" s="1254">
        <f>+M103+M116+M129+M154+M168+M185-M201</f>
        <v>148494.38194899992</v>
      </c>
      <c r="N203" s="1255">
        <f t="shared" si="60"/>
        <v>351775.45145094115</v>
      </c>
      <c r="O203" s="1304">
        <f>+O103+O116+O129+O154+O168+O185-O201</f>
        <v>3276341.23808</v>
      </c>
      <c r="P203" s="1305">
        <f t="shared" si="60"/>
        <v>3152697.384333333</v>
      </c>
      <c r="Q203" s="1305">
        <f t="shared" si="60"/>
        <v>3022489.1451158398</v>
      </c>
      <c r="R203" s="1255">
        <f>+R103+R116+R129+R154+R168+R185-R201</f>
        <v>3022489.1451158398</v>
      </c>
      <c r="S203" s="99">
        <f>+IF((O203)=0,,(P203-O203)/O203)</f>
        <v>-3.7738393153188388E-2</v>
      </c>
      <c r="T203" s="1333">
        <f>+IF((P203)=0,,(R203-P203)/P203)</f>
        <v>-4.1300582753211801E-2</v>
      </c>
      <c r="U203" s="642">
        <f>+Béthune!D203+Bois!D203+Lens!D203+Madeleine!D203+Tourcoing!D203+Calais!D203+Eu!D203+Caudry!D203+Cambrai!D203+Amiens!D203+Compiègne!D203+Boulogne!D203+StOmer!D203</f>
        <v>3352981.1396359042</v>
      </c>
      <c r="V203" s="2">
        <f t="shared" si="58"/>
        <v>1</v>
      </c>
    </row>
    <row r="204" spans="1:22" s="2" customFormat="1" ht="11.25">
      <c r="A204" s="5"/>
      <c r="B204" s="1323"/>
      <c r="C204" s="1347"/>
      <c r="D204" s="1347"/>
      <c r="E204" s="1347"/>
      <c r="F204" s="1347"/>
      <c r="G204" s="1347"/>
      <c r="H204" s="1347"/>
      <c r="I204" s="1347"/>
      <c r="J204" s="1347"/>
      <c r="K204" s="1347"/>
      <c r="L204" s="1347"/>
      <c r="M204" s="1347"/>
      <c r="N204" s="1348"/>
      <c r="O204" s="1289"/>
      <c r="P204" s="1289"/>
      <c r="Q204" s="1360"/>
      <c r="R204" s="1362"/>
      <c r="S204" s="1347"/>
      <c r="T204" s="1342"/>
      <c r="U204" s="1375"/>
      <c r="V204" s="2">
        <f t="shared" si="58"/>
        <v>0</v>
      </c>
    </row>
    <row r="205" spans="1:22" s="2" customFormat="1" ht="11.25">
      <c r="A205" s="12" t="s">
        <v>228</v>
      </c>
      <c r="B205" s="1256">
        <f t="shared" ref="B205:H205" si="61">+B62-B203</f>
        <v>238421.09301913378</v>
      </c>
      <c r="C205" s="1257">
        <f t="shared" si="61"/>
        <v>22081.684539006354</v>
      </c>
      <c r="D205" s="1257">
        <f t="shared" si="61"/>
        <v>7693.7538715722621</v>
      </c>
      <c r="E205" s="1257">
        <f t="shared" si="61"/>
        <v>49111.497380502871</v>
      </c>
      <c r="F205" s="1257">
        <f t="shared" si="61"/>
        <v>42676.456720441958</v>
      </c>
      <c r="G205" s="1257">
        <f t="shared" si="61"/>
        <v>217205.84372795717</v>
      </c>
      <c r="H205" s="1257">
        <f t="shared" si="61"/>
        <v>94250.006539029622</v>
      </c>
      <c r="I205" s="1257"/>
      <c r="J205" s="1257">
        <f>+J62-J203</f>
        <v>50266.950929974555</v>
      </c>
      <c r="K205" s="1257">
        <f>+K62-K203</f>
        <v>52810.242424341384</v>
      </c>
      <c r="L205" s="1257">
        <f>+L62-L203</f>
        <v>20244.882118154186</v>
      </c>
      <c r="M205" s="1257">
        <f>+M62-M203</f>
        <v>8843.6842696936801</v>
      </c>
      <c r="N205" s="1258">
        <f>+N62-N203</f>
        <v>37196.840187181835</v>
      </c>
      <c r="O205" s="1306">
        <f>+O53-O203</f>
        <v>472223.95062000165</v>
      </c>
      <c r="P205" s="1307">
        <f>+P62-P203</f>
        <v>410309.86613691039</v>
      </c>
      <c r="Q205" s="1307">
        <f>+Q62-Q203</f>
        <v>840802.93572698906</v>
      </c>
      <c r="R205" s="1258">
        <f>+R62-R203</f>
        <v>840802.93572698906</v>
      </c>
      <c r="S205" s="100">
        <f>+IF((O205)=0,,(P205-O205)/O205)</f>
        <v>-0.13111169901865796</v>
      </c>
      <c r="T205" s="1334">
        <f>+IF((P205)=0,,(R205-P205)/P205)</f>
        <v>1.0491901490042008</v>
      </c>
      <c r="U205" s="646">
        <f>+Béthune!D205+Bois!D205+Lens!D205+Madeleine!D205+Tourcoing!D205+Calais!D205+Eu!D205+Caudry!D205+Cambrai!D205+Amiens!D205+Compiègne!D205+Boulogne!D205+StOmer!D205</f>
        <v>737187.86036409554</v>
      </c>
      <c r="V205" s="2">
        <f t="shared" si="58"/>
        <v>1</v>
      </c>
    </row>
    <row r="206" spans="1:22" s="2" customFormat="1" ht="11.25">
      <c r="A206" s="5"/>
      <c r="B206" s="1323"/>
      <c r="C206" s="1347"/>
      <c r="D206" s="1347"/>
      <c r="E206" s="1347"/>
      <c r="F206" s="1347"/>
      <c r="G206" s="1347"/>
      <c r="H206" s="1347"/>
      <c r="I206" s="1347"/>
      <c r="J206" s="1347"/>
      <c r="K206" s="1347"/>
      <c r="L206" s="1347"/>
      <c r="M206" s="1347"/>
      <c r="N206" s="1348"/>
      <c r="O206" s="1289"/>
      <c r="P206" s="1289"/>
      <c r="Q206" s="1360"/>
      <c r="R206" s="1362"/>
      <c r="S206" s="1347"/>
      <c r="T206" s="1342"/>
      <c r="U206" s="1375"/>
      <c r="V206" s="2">
        <f t="shared" si="58"/>
        <v>0</v>
      </c>
    </row>
    <row r="207" spans="1:22" s="2" customFormat="1" ht="11.25">
      <c r="A207" s="112" t="s">
        <v>251</v>
      </c>
      <c r="B207" s="1259">
        <f>+Boulogne!$G207</f>
        <v>8542.0441900018141</v>
      </c>
      <c r="C207" s="1260">
        <f>+Compiègne!$G207</f>
        <v>3071.134835605601</v>
      </c>
      <c r="D207" s="1260">
        <f>+Amiens!$G207</f>
        <v>1957.4946003912328</v>
      </c>
      <c r="E207" s="1260">
        <f>+Cambrai!$G207</f>
        <v>2537.6714398685103</v>
      </c>
      <c r="F207" s="1260">
        <f>+Caudry!$G207</f>
        <v>2803.8472523336141</v>
      </c>
      <c r="G207" s="1260">
        <f>+Eu!$G207</f>
        <v>4815.0465658258481</v>
      </c>
      <c r="H207" s="1260">
        <f>+Calais!$G207</f>
        <v>3991.1290675964406</v>
      </c>
      <c r="I207" s="1260"/>
      <c r="J207" s="1260">
        <f>+Madeleine!$G207</f>
        <v>3857.4394939339618</v>
      </c>
      <c r="K207" s="1260">
        <f>+Lens!$G207</f>
        <v>2200.1944835980571</v>
      </c>
      <c r="L207" s="1260">
        <f>+Bois!$G207</f>
        <v>969.24278494827138</v>
      </c>
      <c r="M207" s="1260">
        <f>+Béthune!$G207</f>
        <v>1515.4021100880475</v>
      </c>
      <c r="N207" s="1261">
        <f>+StOmer!$G207</f>
        <v>3075.3825522076645</v>
      </c>
      <c r="O207" s="1308">
        <f>+Béthune!E207+Bois!E207+Lens!E207+Madeleine!E207+Tourcoing!E207+Calais!E207+Eu!E207+Caudry!E207+Cambrai!E207+Amiens!E207+Compiègne!E207+Boulogne!E207+StOmer!E207</f>
        <v>23214.791874713763</v>
      </c>
      <c r="P207" s="1309">
        <f>+Béthune!F207+Bois!F207+Lens!F207+Madeleine!F207+Tourcoing!F207+Calais!F207+Eu!F207+Caudry!F207+Cambrai!F207+Amiens!F207+Compiègne!F207+Boulogne!F207+StOmer!F207</f>
        <v>26370.031860624458</v>
      </c>
      <c r="Q207" s="1371">
        <f>+Repart!Q43</f>
        <v>39336.029376399063</v>
      </c>
      <c r="R207" s="1310">
        <f>SUM(B207:N207)</f>
        <v>39336.029376399063</v>
      </c>
      <c r="S207" s="1335">
        <f>+IF((O207)=0,,(P207-O207)/O207)</f>
        <v>0.13591506669277859</v>
      </c>
      <c r="T207" s="1336">
        <f>+IF((P207)=0,,(R207-P207)/P207)</f>
        <v>0.49169441979838252</v>
      </c>
      <c r="U207" s="651">
        <f>+Béthune!D207+Bois!D207+Lens!D207+Madeleine!D207+Tourcoing!D207+Calais!D207+Eu!D207+Caudry!D207+Cambrai!D207+Amiens!D207+Compiègne!D207+Boulogne!D207+StOmer!D207</f>
        <v>63542.909048025598</v>
      </c>
      <c r="V207" s="2">
        <f t="shared" si="58"/>
        <v>1</v>
      </c>
    </row>
    <row r="208" spans="1:22" s="17" customFormat="1" ht="11.25">
      <c r="A208" s="5"/>
      <c r="B208" s="1323"/>
      <c r="C208" s="1347"/>
      <c r="D208" s="1347"/>
      <c r="E208" s="1347"/>
      <c r="F208" s="1347"/>
      <c r="G208" s="1347"/>
      <c r="H208" s="1347"/>
      <c r="I208" s="1347"/>
      <c r="J208" s="1347"/>
      <c r="K208" s="1347"/>
      <c r="L208" s="1347"/>
      <c r="M208" s="1347"/>
      <c r="N208" s="1348"/>
      <c r="O208" s="1289"/>
      <c r="P208" s="1289"/>
      <c r="Q208" s="1360"/>
      <c r="R208" s="1362"/>
      <c r="S208" s="1347"/>
      <c r="T208" s="1342"/>
      <c r="U208" s="1375"/>
      <c r="V208" s="2">
        <f t="shared" si="58"/>
        <v>0</v>
      </c>
    </row>
    <row r="209" spans="1:22" s="2" customFormat="1" ht="11.25">
      <c r="A209" s="12" t="s">
        <v>190</v>
      </c>
      <c r="B209" s="1256">
        <f>+B205-B207</f>
        <v>229879.04882913196</v>
      </c>
      <c r="C209" s="1257">
        <f t="shared" ref="C209:N209" si="62">+C205-C207</f>
        <v>19010.549703400753</v>
      </c>
      <c r="D209" s="1257">
        <f t="shared" si="62"/>
        <v>5736.2592711810294</v>
      </c>
      <c r="E209" s="1257">
        <f t="shared" si="62"/>
        <v>46573.825940634364</v>
      </c>
      <c r="F209" s="1257">
        <f t="shared" si="62"/>
        <v>39872.609468108341</v>
      </c>
      <c r="G209" s="1257">
        <f t="shared" si="62"/>
        <v>212390.79716213132</v>
      </c>
      <c r="H209" s="1257">
        <f t="shared" si="62"/>
        <v>90258.877471433181</v>
      </c>
      <c r="I209" s="1257"/>
      <c r="J209" s="1257">
        <f t="shared" si="62"/>
        <v>46409.511436040593</v>
      </c>
      <c r="K209" s="1257">
        <f t="shared" si="62"/>
        <v>50610.04794074333</v>
      </c>
      <c r="L209" s="1257">
        <f t="shared" si="62"/>
        <v>19275.639333205916</v>
      </c>
      <c r="M209" s="1257">
        <f>+M205-M207</f>
        <v>7328.2821596056328</v>
      </c>
      <c r="N209" s="1258">
        <f t="shared" si="62"/>
        <v>34121.457634974169</v>
      </c>
      <c r="O209" s="1306">
        <f>+O205-O207</f>
        <v>449009.15874528786</v>
      </c>
      <c r="P209" s="1307">
        <f>+P205-P207</f>
        <v>383939.83427628595</v>
      </c>
      <c r="Q209" s="1307">
        <f>+Q205-Q207</f>
        <v>801466.90635059006</v>
      </c>
      <c r="R209" s="1258">
        <f>+R205-R207</f>
        <v>801466.90635059006</v>
      </c>
      <c r="S209" s="100">
        <f>+IF((O209)=0,,(P209-O209)/O209)</f>
        <v>-0.14491758843145153</v>
      </c>
      <c r="T209" s="1334">
        <f>+IF((P209)=0,,(R209-P209)/P209)</f>
        <v>1.0874804716768423</v>
      </c>
      <c r="U209" s="646">
        <f>+Béthune!D209+Bois!D209+Lens!D209+Madeleine!D209+Tourcoing!D209+Calais!D209+Eu!D209+Caudry!D209+Cambrai!D209+Amiens!D209+Compiègne!D209+Boulogne!D209+StOmer!D209</f>
        <v>673644.95131607004</v>
      </c>
      <c r="V209" s="2">
        <f t="shared" si="58"/>
        <v>1</v>
      </c>
    </row>
    <row r="210" spans="1:22" s="2" customFormat="1" ht="11.25">
      <c r="A210" s="5"/>
      <c r="B210" s="1323"/>
      <c r="C210" s="1347"/>
      <c r="D210" s="1347"/>
      <c r="E210" s="1347"/>
      <c r="F210" s="1347"/>
      <c r="G210" s="1347"/>
      <c r="H210" s="1347"/>
      <c r="I210" s="1347"/>
      <c r="J210" s="1347"/>
      <c r="K210" s="1347"/>
      <c r="L210" s="1347"/>
      <c r="M210" s="1347"/>
      <c r="N210" s="1348"/>
      <c r="O210" s="1289"/>
      <c r="P210" s="1289"/>
      <c r="Q210" s="1360"/>
      <c r="R210" s="1362"/>
      <c r="S210" s="1347"/>
      <c r="T210" s="1342"/>
      <c r="U210" s="1375"/>
      <c r="V210" s="2">
        <f t="shared" si="58"/>
        <v>0</v>
      </c>
    </row>
    <row r="211" spans="1:22" s="25" customFormat="1" ht="12" customHeight="1">
      <c r="A211" s="18" t="s">
        <v>191</v>
      </c>
      <c r="B211" s="1223">
        <f>+Boulogne!$G211</f>
        <v>9644.6846793104778</v>
      </c>
      <c r="C211" s="438">
        <f>+Compiègne!$G211</f>
        <v>9644.6846793104778</v>
      </c>
      <c r="D211" s="438">
        <f>+Amiens!$G211</f>
        <v>9644.6846793104778</v>
      </c>
      <c r="E211" s="438">
        <f>+Cambrai!$G211</f>
        <v>9644.6846793104778</v>
      </c>
      <c r="F211" s="438">
        <f>+Caudry!$G211</f>
        <v>9644.6846793104778</v>
      </c>
      <c r="G211" s="438">
        <f>+Eu!$G211</f>
        <v>9644.6846793104778</v>
      </c>
      <c r="H211" s="438">
        <f>+Calais!$G211</f>
        <v>9644.6846793104778</v>
      </c>
      <c r="I211" s="438"/>
      <c r="J211" s="438">
        <f>+Madeleine!$G211</f>
        <v>9644.6846793104778</v>
      </c>
      <c r="K211" s="438">
        <f>+Lens!$G211</f>
        <v>9644.6846793104778</v>
      </c>
      <c r="L211" s="438">
        <f>+Bois!$G211</f>
        <v>9644.6846793104778</v>
      </c>
      <c r="M211" s="438">
        <f>+Béthune!$G211</f>
        <v>9644.6846793104778</v>
      </c>
      <c r="N211" s="1224">
        <f>+StOmer!$G211</f>
        <v>9644.6846793104778</v>
      </c>
      <c r="O211" s="1296">
        <f>+Béthune!E211+Bois!E211+Lens!E211+Madeleine!E211+Tourcoing!E211+Calais!E211+Eu!E211+Caudry!E211+Cambrai!E211+Amiens!E211+Compiègne!E211+Boulogne!E211+StOmer!E211</f>
        <v>105236.11893600001</v>
      </c>
      <c r="P211" s="1285">
        <f>+Béthune!F211+Bois!F211+Lens!F211+Madeleine!F211+Tourcoing!F211+Calais!F211+Eu!F211+Caudry!F211+Cambrai!F211+Amiens!F211+Compiègne!F211+Boulogne!F211+StOmer!F211</f>
        <v>112419.10784731181</v>
      </c>
      <c r="Q211" s="438">
        <f>+Repart!O43</f>
        <v>115736.21615172573</v>
      </c>
      <c r="R211" s="1286">
        <f>SUM(B211:N211)</f>
        <v>115736.21615172573</v>
      </c>
      <c r="S211" s="1323">
        <f>+IF((O211)=0,,(P211-O211)/O211)</f>
        <v>6.8255927564947305E-2</v>
      </c>
      <c r="T211" s="1324">
        <f>+IF((P211)=0,,(R211-P211)/P211)</f>
        <v>2.950662363305032E-2</v>
      </c>
      <c r="U211" s="1209">
        <f>+Béthune!D211+Bois!D211+Lens!D211+Madeleine!D211+Tourcoing!D211+Calais!D211+Eu!D211+Caudry!D211+Cambrai!D211+Amiens!D211+Compiègne!D211+Boulogne!D211+StOmer!D211</f>
        <v>117338.48388002662</v>
      </c>
      <c r="V211" s="25">
        <f t="shared" si="58"/>
        <v>1</v>
      </c>
    </row>
    <row r="212" spans="1:22" s="113" customFormat="1" ht="11.25">
      <c r="A212" s="18" t="s">
        <v>192</v>
      </c>
      <c r="B212" s="1223">
        <f>+Boulogne!$G212</f>
        <v>92034.054220122911</v>
      </c>
      <c r="C212" s="438">
        <f>+Compiègne!$G212</f>
        <v>33089.150991312548</v>
      </c>
      <c r="D212" s="438">
        <f>+Amiens!$G212</f>
        <v>21090.52121257714</v>
      </c>
      <c r="E212" s="438">
        <f>+Cambrai!$G212</f>
        <v>27341.487083745262</v>
      </c>
      <c r="F212" s="438">
        <f>+Caudry!$G212</f>
        <v>30209.329793476485</v>
      </c>
      <c r="G212" s="438">
        <f>+Eu!$G212</f>
        <v>51878.478600043236</v>
      </c>
      <c r="H212" s="438">
        <f>+Calais!$G212</f>
        <v>43001.391802282567</v>
      </c>
      <c r="I212" s="438"/>
      <c r="J212" s="438">
        <f>+Madeleine!$G212</f>
        <v>41560.987936716156</v>
      </c>
      <c r="K212" s="438">
        <f>+Lens!$G212</f>
        <v>23705.428571218377</v>
      </c>
      <c r="L212" s="438">
        <f>+Bois!$G212</f>
        <v>10442.856655647107</v>
      </c>
      <c r="M212" s="438">
        <f>+Béthune!$G212</f>
        <v>16327.309583387019</v>
      </c>
      <c r="N212" s="1224">
        <f>+StOmer!$G212</f>
        <v>33134.916919393749</v>
      </c>
      <c r="O212" s="1296">
        <f>+Béthune!E212+Bois!E212+Lens!E212+Madeleine!E212+Tourcoing!E212+Calais!E212+Eu!E212+Caudry!E212+Cambrai!E212+Amiens!E212+Compiègne!E212+Boulogne!E212+StOmer!E212</f>
        <v>356288.78765636485</v>
      </c>
      <c r="P212" s="1285">
        <f>+Béthune!F212+Bois!F212+Lens!F212+Madeleine!F212+Tourcoing!F212+Calais!F212+Eu!F212+Caudry!F212+Cambrai!F212+Amiens!F212+Compiègne!F212+Boulogne!F212+StOmer!F212</f>
        <v>397043.17409252113</v>
      </c>
      <c r="Q212" s="438">
        <f>+Repart!P44</f>
        <v>423815.91336992255</v>
      </c>
      <c r="R212" s="1286">
        <f>SUM(B212:N212)</f>
        <v>423815.91336992261</v>
      </c>
      <c r="S212" s="1323">
        <f>+IF((O212)=0,,(P212-O212)/O212)</f>
        <v>0.11438582365792346</v>
      </c>
      <c r="T212" s="1324">
        <f>+IF((P212)=0,,(R212-P212)/P212)</f>
        <v>6.7430297318655699E-2</v>
      </c>
      <c r="U212" s="1209">
        <f>+Béthune!D212+Bois!D212+Lens!D212+Madeleine!D212+Tourcoing!D212+Calais!D212+Eu!D212+Caudry!D212+Cambrai!D212+Amiens!D212+Compiègne!D212+Boulogne!D212+StOmer!D212</f>
        <v>402484.67525083653</v>
      </c>
      <c r="V212" s="25">
        <f t="shared" si="58"/>
        <v>1</v>
      </c>
    </row>
    <row r="213" spans="1:22" s="113" customFormat="1" ht="11.25">
      <c r="A213" s="18" t="s">
        <v>193</v>
      </c>
      <c r="B213" s="1223">
        <f>+Boulogne!$G213</f>
        <v>-25100.756023200007</v>
      </c>
      <c r="C213" s="438">
        <f>+Compiègne!$G213</f>
        <v>-7383.3105710000009</v>
      </c>
      <c r="D213" s="438">
        <f>+Amiens!$G213</f>
        <v>-5622.3888287039999</v>
      </c>
      <c r="E213" s="438">
        <f>+Cambrai!$G213</f>
        <v>-5922.4806067700001</v>
      </c>
      <c r="F213" s="438">
        <f>+Caudry!$G213</f>
        <v>-8017.7589359999993</v>
      </c>
      <c r="G213" s="438">
        <f>+Eu!$G213</f>
        <v>-10743.911666000002</v>
      </c>
      <c r="H213" s="438">
        <f>+Calais!$G213</f>
        <v>-12886.913466000004</v>
      </c>
      <c r="I213" s="438"/>
      <c r="J213" s="438">
        <f>+Madeleine!$G213</f>
        <v>-12106.717919999999</v>
      </c>
      <c r="K213" s="438">
        <f>+Lens!$G213</f>
        <v>-6598.4862239999993</v>
      </c>
      <c r="L213" s="438">
        <f>+Bois!$G213</f>
        <v>-2788.5042900000003</v>
      </c>
      <c r="M213" s="438">
        <f>+Béthune!$G213</f>
        <v>-5460.7603600000011</v>
      </c>
      <c r="N213" s="1224">
        <f>+StOmer!$G213</f>
        <v>-8229.9167639999996</v>
      </c>
      <c r="O213" s="1285">
        <f>+Béthune!E213+Bois!E213+Lens!E213+Madeleine!E213+Tourcoing!E213+Calais!E213+Eu!E213+Caudry!E213+Cambrai!E213+Amiens!E213+Compiègne!E213+Boulogne!E213+StOmer!E213</f>
        <v>-114316.54000000001</v>
      </c>
      <c r="P213" s="1285">
        <f>+Béthune!F213+Bois!F213+Lens!F213+Madeleine!F213+Tourcoing!F213+Calais!F213+Eu!F213+Caudry!F213+Cambrai!F213+Amiens!F213+Compiègne!F213+Boulogne!F213+StOmer!F213</f>
        <v>-125813.78666666667</v>
      </c>
      <c r="Q213" s="1285">
        <f>+Béthune!G213+Bois!G213+Lens!G213+Madeleine!G213+Tourcoing!G213+Calais!G213+Eu!G213+Caudry!G213+Cambrai!G213+Amiens!G213+Compiègne!G213+Boulogne!G213+StOmer!G213</f>
        <v>-110861.905655674</v>
      </c>
      <c r="R213" s="1286">
        <f>SUM(B213:N213)</f>
        <v>-110861.90565567398</v>
      </c>
      <c r="S213" s="1347">
        <f>+IF((O213)=0,,(P213-O213)/O213)</f>
        <v>0.10057378107023408</v>
      </c>
      <c r="T213" s="1324">
        <f>+IF((P213)=0,,(R213-P213)/P213)</f>
        <v>-0.11884135600024877</v>
      </c>
      <c r="U213" s="1376">
        <f>+Béthune!D213+Bois!D213+Lens!D213+Madeleine!D213+Tourcoing!D213+Calais!D213+Eu!D213+Caudry!D213+Cambrai!D213+Amiens!D213+Compiègne!D213+Boulogne!D213+StOmer!D213</f>
        <v>-107218.79999999999</v>
      </c>
      <c r="V213" s="25">
        <f t="shared" si="58"/>
        <v>0</v>
      </c>
    </row>
    <row r="214" spans="1:22" s="26" customFormat="1">
      <c r="A214" s="5"/>
      <c r="B214" s="1323"/>
      <c r="C214" s="1347"/>
      <c r="D214" s="1347"/>
      <c r="E214" s="1347"/>
      <c r="F214" s="1347"/>
      <c r="G214" s="1347"/>
      <c r="H214" s="1347"/>
      <c r="I214" s="1347"/>
      <c r="J214" s="1347"/>
      <c r="K214" s="1347"/>
      <c r="L214" s="1347"/>
      <c r="M214" s="1347"/>
      <c r="N214" s="1348"/>
      <c r="O214" s="1289"/>
      <c r="P214" s="1289"/>
      <c r="Q214" s="1360"/>
      <c r="R214" s="1362"/>
      <c r="S214" s="1347"/>
      <c r="T214" s="1342"/>
      <c r="U214" s="1375"/>
      <c r="V214" s="2">
        <f t="shared" si="58"/>
        <v>0</v>
      </c>
    </row>
    <row r="215" spans="1:22">
      <c r="A215" s="20" t="s">
        <v>194</v>
      </c>
      <c r="B215" s="1262">
        <f>SUM(B210:B213)</f>
        <v>76577.982876233378</v>
      </c>
      <c r="C215" s="1263">
        <f t="shared" ref="C215:N215" si="63">SUM(C210:C213)</f>
        <v>35350.525099623024</v>
      </c>
      <c r="D215" s="1263">
        <f t="shared" si="63"/>
        <v>25112.817063183618</v>
      </c>
      <c r="E215" s="1263">
        <f t="shared" si="63"/>
        <v>31063.691156285739</v>
      </c>
      <c r="F215" s="1263">
        <f t="shared" si="63"/>
        <v>31836.255536786965</v>
      </c>
      <c r="G215" s="1263">
        <f t="shared" si="63"/>
        <v>50779.251613353714</v>
      </c>
      <c r="H215" s="1263">
        <f t="shared" si="63"/>
        <v>39759.16301559304</v>
      </c>
      <c r="I215" s="1263"/>
      <c r="J215" s="1263">
        <f t="shared" si="63"/>
        <v>39098.954696026631</v>
      </c>
      <c r="K215" s="1263">
        <f t="shared" si="63"/>
        <v>26751.627026528855</v>
      </c>
      <c r="L215" s="1263">
        <f t="shared" si="63"/>
        <v>17299.037044957582</v>
      </c>
      <c r="M215" s="1263">
        <f>SUM(M210:M213)</f>
        <v>20511.233902697495</v>
      </c>
      <c r="N215" s="1264">
        <f t="shared" si="63"/>
        <v>34549.684834704225</v>
      </c>
      <c r="O215" s="1311">
        <f>SUM(O210:O213)</f>
        <v>347208.36659236485</v>
      </c>
      <c r="P215" s="1312">
        <f>SUM(P210:P213)</f>
        <v>383648.49527316628</v>
      </c>
      <c r="Q215" s="1312">
        <f>SUM(Q210:Q213)</f>
        <v>428690.22386597429</v>
      </c>
      <c r="R215" s="1264">
        <f>SUM(R210:R213)</f>
        <v>428690.2238659744</v>
      </c>
      <c r="S215" s="1335">
        <f>+IF((O215)=0,,(P215-O215)/O215)</f>
        <v>0.10495175861814256</v>
      </c>
      <c r="T215" s="1336">
        <f>+IF((P215)=0,,(R215-P215)/P215)</f>
        <v>0.11740363678668259</v>
      </c>
      <c r="U215" s="653">
        <f>+Béthune!D215+Bois!D215+Lens!D215+Madeleine!D215+Tourcoing!D215+Calais!D215+Eu!D215+Caudry!D215+Cambrai!D215+Amiens!D215+Compiègne!D215+Boulogne!D215+StOmer!D215</f>
        <v>412604.3591308631</v>
      </c>
      <c r="V215" s="2">
        <f t="shared" si="58"/>
        <v>1</v>
      </c>
    </row>
    <row r="216" spans="1:22">
      <c r="A216" s="5"/>
      <c r="B216" s="1323"/>
      <c r="C216" s="1347"/>
      <c r="D216" s="1347"/>
      <c r="E216" s="1347"/>
      <c r="F216" s="1347"/>
      <c r="G216" s="1347"/>
      <c r="H216" s="1347"/>
      <c r="I216" s="1347"/>
      <c r="J216" s="1347"/>
      <c r="K216" s="1347"/>
      <c r="L216" s="1347"/>
      <c r="M216" s="1347"/>
      <c r="N216" s="1348"/>
      <c r="O216" s="1289"/>
      <c r="P216" s="1289"/>
      <c r="Q216" s="1360"/>
      <c r="R216" s="1362"/>
      <c r="S216" s="1347"/>
      <c r="T216" s="1342"/>
      <c r="U216" s="1375"/>
      <c r="V216" s="2">
        <f t="shared" si="58"/>
        <v>0</v>
      </c>
    </row>
    <row r="217" spans="1:22" s="1131" customFormat="1" ht="24.75" customHeight="1">
      <c r="A217" s="970" t="s">
        <v>332</v>
      </c>
      <c r="B217" s="1265">
        <f t="shared" ref="B217:Q217" si="64">+B209-B215</f>
        <v>153301.06595289859</v>
      </c>
      <c r="C217" s="1266">
        <f t="shared" si="64"/>
        <v>-16339.975396222271</v>
      </c>
      <c r="D217" s="1266">
        <f t="shared" si="64"/>
        <v>-19376.55779200259</v>
      </c>
      <c r="E217" s="1266">
        <f t="shared" si="64"/>
        <v>15510.134784348626</v>
      </c>
      <c r="F217" s="1266">
        <f t="shared" si="64"/>
        <v>8036.3539313213769</v>
      </c>
      <c r="G217" s="1266">
        <f t="shared" si="64"/>
        <v>161611.54554877762</v>
      </c>
      <c r="H217" s="1266">
        <f t="shared" si="64"/>
        <v>50499.714455840141</v>
      </c>
      <c r="I217" s="1257"/>
      <c r="J217" s="1266">
        <f t="shared" si="64"/>
        <v>7310.5567400139626</v>
      </c>
      <c r="K217" s="1266">
        <f t="shared" si="64"/>
        <v>23858.420914214475</v>
      </c>
      <c r="L217" s="1266">
        <f t="shared" si="64"/>
        <v>1976.6022882483339</v>
      </c>
      <c r="M217" s="1266">
        <f>+M209-M215</f>
        <v>-13182.951743091862</v>
      </c>
      <c r="N217" s="1267">
        <f t="shared" si="64"/>
        <v>-428.22719973005587</v>
      </c>
      <c r="O217" s="1313">
        <f>+O209-O215</f>
        <v>101800.79215292301</v>
      </c>
      <c r="P217" s="1314">
        <f t="shared" si="64"/>
        <v>291.33900311967591</v>
      </c>
      <c r="Q217" s="1307">
        <f t="shared" si="64"/>
        <v>372776.68248461577</v>
      </c>
      <c r="R217" s="1267">
        <f>+R209-R215</f>
        <v>372776.68248461565</v>
      </c>
      <c r="S217" s="1337">
        <f>+IF((O217)=0,,(P217-O217)/O217)</f>
        <v>-0.9971381460108677</v>
      </c>
      <c r="T217" s="1338">
        <f>+IF((P217)=0,,(R217-P217)/P217)</f>
        <v>1278.5289284747325</v>
      </c>
      <c r="U217" s="1134">
        <f>+Béthune!D217+Bois!D217+Lens!D217+Madeleine!D217+Tourcoing!D217+Calais!D217+Eu!D217+Caudry!D217+Cambrai!D217+Amiens!D217+Compiègne!D217+Boulogne!D217+StOmer!D217</f>
        <v>261040.59218520683</v>
      </c>
      <c r="V217" s="1131">
        <f t="shared" si="58"/>
        <v>1</v>
      </c>
    </row>
    <row r="218" spans="1:22" s="522" customFormat="1">
      <c r="A218" s="1214" t="s">
        <v>43</v>
      </c>
      <c r="B218" s="1268">
        <f>+Boulogne!$G217</f>
        <v>153301.06595289859</v>
      </c>
      <c r="C218" s="1269">
        <f>+Compiègne!$G217</f>
        <v>-16339.975396222271</v>
      </c>
      <c r="D218" s="1269">
        <f>+Amiens!$G217</f>
        <v>-19376.55779200259</v>
      </c>
      <c r="E218" s="1269">
        <f>+Cambrai!$G217</f>
        <v>15510.134784348655</v>
      </c>
      <c r="F218" s="1269">
        <f>+Caudry!$G217</f>
        <v>8036.3539313213769</v>
      </c>
      <c r="G218" s="1269">
        <f>+Eu!$G217</f>
        <v>161611.54554877762</v>
      </c>
      <c r="H218" s="1269">
        <f>+Calais!$G217</f>
        <v>50499.714455840141</v>
      </c>
      <c r="I218" s="438"/>
      <c r="J218" s="1269">
        <f>+Madeleine!$G217</f>
        <v>7310.5567400139626</v>
      </c>
      <c r="K218" s="1269">
        <f>+Lens!$G217</f>
        <v>23858.420914214475</v>
      </c>
      <c r="L218" s="1269">
        <f>+Bois!$G217</f>
        <v>1976.6022882483339</v>
      </c>
      <c r="M218" s="1269">
        <f>+Béthune!$G217</f>
        <v>-13182.951743091862</v>
      </c>
      <c r="N218" s="1270">
        <f>+StOmer!$G217</f>
        <v>-428.22719973005587</v>
      </c>
      <c r="O218" s="1315">
        <f>+Béthune!E217+Bois!E217+Lens!E217+Madeleine!E217+Tourcoing!E217+Calais!E217+Eu!E217+Caudry!E217+Cambrai!E217+Amiens!E217+Compiègne!E217+Boulogne!E217+StOmer!E217</f>
        <v>101800.79215292197</v>
      </c>
      <c r="P218" s="1316">
        <f>+Béthune!F217+Bois!F217+Lens!F217+Madeleine!F217+Tourcoing!F217+Calais!F217+Eu!F217+Caudry!F217+Cambrai!F217+Amiens!F217+Compiègne!F217+Boulogne!F217+StOmer!F217</f>
        <v>291.33900311935577</v>
      </c>
      <c r="Q218" s="1285">
        <f>+Béthune!G217+Bois!G217+Lens!G217+Madeleine!G217+Tourcoing!G217+Calais!G217+Eu!G217+Caudry!G217+Cambrai!G217+Amiens!G217+Compiègne!G217+Boulogne!G217+StOmer!G217</f>
        <v>372776.68248461635</v>
      </c>
      <c r="R218" s="1317">
        <f>SUM(B218:N218)</f>
        <v>372776.68248461629</v>
      </c>
      <c r="S218" s="1339"/>
      <c r="T218" s="1340"/>
      <c r="U218" s="1215">
        <f>+Picardie!K216+CB!L216+Cambraisi!K216+PB!K216</f>
        <v>261040.59218520683</v>
      </c>
      <c r="V218" s="25">
        <f t="shared" si="58"/>
        <v>1</v>
      </c>
    </row>
    <row r="219" spans="1:22" s="522" customFormat="1">
      <c r="A219" s="88"/>
      <c r="B219" s="1223"/>
      <c r="C219" s="438"/>
      <c r="D219" s="438"/>
      <c r="E219" s="438"/>
      <c r="F219" s="438"/>
      <c r="G219" s="438"/>
      <c r="H219" s="438"/>
      <c r="I219" s="438"/>
      <c r="J219" s="438"/>
      <c r="K219" s="438"/>
      <c r="L219" s="438"/>
      <c r="M219" s="1271"/>
      <c r="N219" s="1224"/>
      <c r="O219" s="1318"/>
      <c r="P219" s="1165"/>
      <c r="Q219" s="1271" t="s">
        <v>441</v>
      </c>
      <c r="R219" s="1224">
        <f>+PB!H217+Cambraisi!H217+CB!I217+Picardie!H217</f>
        <v>396635.10339883086</v>
      </c>
      <c r="S219" s="1341"/>
      <c r="T219" s="1342"/>
      <c r="U219" s="1216"/>
      <c r="V219" s="25">
        <f t="shared" si="58"/>
        <v>1</v>
      </c>
    </row>
    <row r="220" spans="1:22">
      <c r="A220" s="2"/>
      <c r="B220" s="438"/>
      <c r="C220" s="438"/>
      <c r="D220" s="438"/>
      <c r="E220" s="438"/>
      <c r="F220" s="438"/>
      <c r="G220" s="438"/>
      <c r="H220" s="438"/>
      <c r="I220" s="438"/>
      <c r="J220" s="438"/>
      <c r="K220" s="438"/>
      <c r="L220" s="438"/>
      <c r="M220" s="438"/>
      <c r="N220" s="438"/>
      <c r="O220" s="438"/>
      <c r="P220" s="1360"/>
      <c r="Q220" s="1360"/>
      <c r="R220" s="1360"/>
      <c r="U220" s="1104"/>
      <c r="V220" s="2">
        <f t="shared" si="58"/>
        <v>0</v>
      </c>
    </row>
    <row r="221" spans="1:22" s="2" customFormat="1" ht="11.25"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  <c r="O221" s="438"/>
      <c r="P221" s="1360"/>
      <c r="Q221" s="1360"/>
      <c r="R221" s="1360"/>
      <c r="S221" s="1322"/>
      <c r="T221" s="1347"/>
      <c r="U221" s="1104"/>
      <c r="V221" s="2">
        <f t="shared" si="58"/>
        <v>0</v>
      </c>
    </row>
    <row r="222" spans="1:22" s="2" customFormat="1" ht="11.25">
      <c r="B222" s="438"/>
      <c r="C222" s="438"/>
      <c r="D222" s="438"/>
      <c r="E222" s="438"/>
      <c r="F222" s="438"/>
      <c r="G222" s="438"/>
      <c r="H222" s="438"/>
      <c r="I222" s="438"/>
      <c r="J222" s="438"/>
      <c r="K222" s="438"/>
      <c r="L222" s="438"/>
      <c r="M222" s="438"/>
      <c r="N222" s="438"/>
      <c r="O222" s="1372"/>
      <c r="P222" s="1360"/>
      <c r="Q222" s="1360"/>
      <c r="R222" s="1360"/>
      <c r="S222" s="1322"/>
      <c r="T222" s="1347"/>
      <c r="U222" s="1104"/>
      <c r="V222" s="2">
        <f t="shared" si="58"/>
        <v>0</v>
      </c>
    </row>
    <row r="223" spans="1:22" s="25" customFormat="1" ht="11.25">
      <c r="A223" s="1217" t="s">
        <v>67</v>
      </c>
      <c r="B223" s="1272">
        <f t="shared" ref="B223:H223" si="65">+(B215+B207+B203)/B60</f>
        <v>1701017.2132220513</v>
      </c>
      <c r="C223" s="1273">
        <f t="shared" si="65"/>
        <v>846732.46132345672</v>
      </c>
      <c r="D223" s="1273">
        <f t="shared" si="65"/>
        <v>553952.44279983162</v>
      </c>
      <c r="E223" s="1273">
        <f t="shared" si="65"/>
        <v>621866.97928667173</v>
      </c>
      <c r="F223" s="1273">
        <f t="shared" si="65"/>
        <v>714877.10707031621</v>
      </c>
      <c r="G223" s="1273">
        <f t="shared" si="65"/>
        <v>947345.33026912773</v>
      </c>
      <c r="H223" s="1273">
        <f t="shared" si="65"/>
        <v>892215.33063169767</v>
      </c>
      <c r="I223" s="1273"/>
      <c r="J223" s="1273">
        <f>+(J215+J207+J203)/J60</f>
        <v>980221.6088431878</v>
      </c>
      <c r="K223" s="1273">
        <f>+(K215+K207+K203)/K60</f>
        <v>508036.56236792845</v>
      </c>
      <c r="L223" s="1273">
        <f>+(L215+L207+L203)/L60</f>
        <v>251263.87482829145</v>
      </c>
      <c r="M223" s="1273">
        <f>+(M215+M207+M203)/M60</f>
        <v>431939.14389500266</v>
      </c>
      <c r="N223" s="1274">
        <f>+(N215+N207+N203)/N60</f>
        <v>811455.3646520758</v>
      </c>
      <c r="O223" s="1272">
        <f>+(O215+O207+O203)/O54</f>
        <v>9596392.2509139255</v>
      </c>
      <c r="P223" s="1273">
        <f>+(P215+P207+P203)/P60</f>
        <v>9661956.3748793192</v>
      </c>
      <c r="Q223" s="1273">
        <f>+(Q215+Q207+Q203)/Q60</f>
        <v>9288241.9772171024</v>
      </c>
      <c r="R223" s="1274">
        <f>+(R215+R207+R203)/R60</f>
        <v>9288241.9772171024</v>
      </c>
      <c r="S223" s="1272"/>
      <c r="T223" s="1274"/>
      <c r="U223" s="1218">
        <f>+(U215+U207+U203)/U60</f>
        <v>9859573.90798885</v>
      </c>
      <c r="V223" s="25">
        <f t="shared" si="58"/>
        <v>1</v>
      </c>
    </row>
    <row r="224" spans="1:22" s="25" customFormat="1" ht="11.25">
      <c r="A224" s="1217" t="s">
        <v>66</v>
      </c>
      <c r="B224" s="1272">
        <f>+B223/12</f>
        <v>141751.43443517093</v>
      </c>
      <c r="C224" s="1273">
        <f t="shared" ref="C224:U224" si="66">+C223/12</f>
        <v>70561.038443621394</v>
      </c>
      <c r="D224" s="1273">
        <f t="shared" si="66"/>
        <v>46162.703566652635</v>
      </c>
      <c r="E224" s="1273">
        <f t="shared" si="66"/>
        <v>51822.248273889309</v>
      </c>
      <c r="F224" s="1273">
        <f t="shared" si="66"/>
        <v>59573.092255859687</v>
      </c>
      <c r="G224" s="1273">
        <f t="shared" si="66"/>
        <v>78945.444189093978</v>
      </c>
      <c r="H224" s="1273">
        <f t="shared" si="66"/>
        <v>74351.277552641477</v>
      </c>
      <c r="I224" s="1273"/>
      <c r="J224" s="1273">
        <f t="shared" si="66"/>
        <v>81685.134070265645</v>
      </c>
      <c r="K224" s="1273">
        <f t="shared" si="66"/>
        <v>42336.380197327373</v>
      </c>
      <c r="L224" s="1273">
        <f t="shared" si="66"/>
        <v>20938.656235690953</v>
      </c>
      <c r="M224" s="1273">
        <f t="shared" si="66"/>
        <v>35994.928657916891</v>
      </c>
      <c r="N224" s="1274">
        <f t="shared" si="66"/>
        <v>67621.280387672989</v>
      </c>
      <c r="O224" s="1272">
        <f t="shared" si="66"/>
        <v>799699.35424282716</v>
      </c>
      <c r="P224" s="1273">
        <f t="shared" si="66"/>
        <v>805163.03123994323</v>
      </c>
      <c r="Q224" s="1273">
        <f t="shared" si="66"/>
        <v>774020.16476809187</v>
      </c>
      <c r="R224" s="1274">
        <f t="shared" si="66"/>
        <v>774020.16476809187</v>
      </c>
      <c r="S224" s="1272"/>
      <c r="T224" s="1274"/>
      <c r="U224" s="1218">
        <f t="shared" si="66"/>
        <v>821631.15899907087</v>
      </c>
      <c r="V224" s="25">
        <f t="shared" si="58"/>
        <v>1</v>
      </c>
    </row>
    <row r="225" spans="1:22" s="2" customFormat="1">
      <c r="A225"/>
      <c r="B225" s="1132"/>
      <c r="C225" s="1132"/>
      <c r="D225" s="1132"/>
      <c r="E225" s="1132"/>
      <c r="F225" s="1132"/>
      <c r="G225" s="1132"/>
      <c r="H225" s="1132"/>
      <c r="I225" s="1132"/>
      <c r="J225" s="1132"/>
      <c r="K225" s="1132"/>
      <c r="L225" s="1132"/>
      <c r="M225" s="1132"/>
      <c r="N225" s="1132"/>
      <c r="O225" s="1321"/>
      <c r="P225" s="1165"/>
      <c r="Q225" s="1361"/>
      <c r="R225" s="1165"/>
      <c r="S225" s="1322"/>
      <c r="T225" s="1347"/>
      <c r="U225" s="1133"/>
      <c r="V225" s="2">
        <f t="shared" si="58"/>
        <v>0</v>
      </c>
    </row>
    <row r="226" spans="1:22">
      <c r="B226" s="1132"/>
      <c r="C226" s="1132"/>
      <c r="D226" s="1132"/>
      <c r="E226" s="1132"/>
      <c r="F226" s="1132"/>
      <c r="I226" s="1132"/>
      <c r="S226" s="1347"/>
      <c r="T226" s="1347"/>
      <c r="V226" s="2">
        <f t="shared" si="58"/>
        <v>0</v>
      </c>
    </row>
    <row r="227" spans="1:22">
      <c r="B227" s="1132"/>
      <c r="C227" s="1132"/>
      <c r="D227" s="1132"/>
      <c r="E227" s="1132"/>
      <c r="F227" s="1132"/>
      <c r="I227" s="1132"/>
      <c r="O227" s="1373"/>
      <c r="S227" s="1347"/>
      <c r="T227" s="1347"/>
      <c r="U227" s="32"/>
      <c r="V227" s="2">
        <f t="shared" si="58"/>
        <v>0</v>
      </c>
    </row>
    <row r="228" spans="1:22" s="522" customFormat="1">
      <c r="A228" s="6"/>
      <c r="B228" s="155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00"/>
      <c r="O228" s="267" t="s">
        <v>55</v>
      </c>
      <c r="P228" s="130" t="s">
        <v>55</v>
      </c>
      <c r="Q228" s="130" t="str">
        <f>+Q4</f>
        <v>PERIMETRE</v>
      </c>
      <c r="R228" s="104" t="s">
        <v>196</v>
      </c>
      <c r="S228" s="151" t="s">
        <v>225</v>
      </c>
      <c r="T228" s="183" t="s">
        <v>225</v>
      </c>
      <c r="U228" s="8" t="s">
        <v>196</v>
      </c>
      <c r="V228" s="25">
        <f t="shared" si="58"/>
        <v>0</v>
      </c>
    </row>
    <row r="229" spans="1:22" s="25" customFormat="1" ht="12.75" customHeight="1">
      <c r="A229" s="7" t="s">
        <v>218</v>
      </c>
      <c r="B229" s="212" t="s">
        <v>208</v>
      </c>
      <c r="C229" s="213" t="s">
        <v>209</v>
      </c>
      <c r="D229" s="213" t="s">
        <v>210</v>
      </c>
      <c r="E229" s="213" t="s">
        <v>211</v>
      </c>
      <c r="F229" s="213" t="s">
        <v>324</v>
      </c>
      <c r="G229" s="213" t="s">
        <v>334</v>
      </c>
      <c r="H229" s="213" t="s">
        <v>6</v>
      </c>
      <c r="I229" s="213"/>
      <c r="J229" s="327" t="s">
        <v>69</v>
      </c>
      <c r="K229" s="213" t="s">
        <v>17</v>
      </c>
      <c r="L229" s="213" t="s">
        <v>24</v>
      </c>
      <c r="M229" s="213" t="s">
        <v>22</v>
      </c>
      <c r="N229" s="214" t="s">
        <v>424</v>
      </c>
      <c r="O229" s="260" t="s">
        <v>366</v>
      </c>
      <c r="P229" s="131" t="s">
        <v>366</v>
      </c>
      <c r="Q229" s="132">
        <f>+Q5</f>
        <v>372776.68248461577</v>
      </c>
      <c r="R229" s="105" t="s">
        <v>197</v>
      </c>
      <c r="S229" s="152"/>
      <c r="T229" s="132" t="str">
        <f>+T5</f>
        <v>IDENTIQUE</v>
      </c>
      <c r="U229" s="9" t="s">
        <v>197</v>
      </c>
      <c r="V229" s="25">
        <f t="shared" si="58"/>
        <v>1</v>
      </c>
    </row>
    <row r="230" spans="1:22" s="25" customFormat="1" ht="20.25" customHeight="1">
      <c r="A230" s="7" t="s">
        <v>233</v>
      </c>
      <c r="B230" s="157"/>
      <c r="C230" s="215"/>
      <c r="D230" s="215"/>
      <c r="E230" s="215"/>
      <c r="F230" s="215"/>
      <c r="G230" s="215"/>
      <c r="H230" s="215"/>
      <c r="I230" s="215"/>
      <c r="J230" s="1275"/>
      <c r="K230" s="215"/>
      <c r="L230" s="213" t="s">
        <v>25</v>
      </c>
      <c r="M230" s="213"/>
      <c r="N230" s="214"/>
      <c r="O230" s="268"/>
      <c r="P230" s="132"/>
      <c r="Q230" s="132">
        <f>+Q6</f>
        <v>2009</v>
      </c>
      <c r="R230" s="106"/>
      <c r="S230" s="90"/>
      <c r="T230" s="106" t="str">
        <f>+T6</f>
        <v>N/N+1</v>
      </c>
      <c r="U230" s="10"/>
      <c r="V230" s="25">
        <f t="shared" si="58"/>
        <v>1</v>
      </c>
    </row>
    <row r="231" spans="1:22" s="25" customFormat="1" ht="20.25" customHeight="1">
      <c r="A231" s="68"/>
      <c r="B231" s="158"/>
      <c r="C231" s="216"/>
      <c r="D231" s="216"/>
      <c r="E231" s="216"/>
      <c r="F231" s="216"/>
      <c r="G231" s="216"/>
      <c r="H231" s="216"/>
      <c r="I231" s="216"/>
      <c r="J231" s="216"/>
      <c r="K231" s="216"/>
      <c r="L231" s="234"/>
      <c r="M231" s="234"/>
      <c r="N231" s="235"/>
      <c r="O231" s="269">
        <f>+O6</f>
        <v>2009</v>
      </c>
      <c r="P231" s="133">
        <f>+P6</f>
        <v>2010</v>
      </c>
      <c r="Q231" s="133">
        <f>+Q7</f>
        <v>0</v>
      </c>
      <c r="R231" s="159">
        <f>+R6</f>
        <v>2011</v>
      </c>
      <c r="S231" s="807" t="s">
        <v>367</v>
      </c>
      <c r="T231" s="185" t="s">
        <v>368</v>
      </c>
      <c r="U231" s="4">
        <f>+U6</f>
        <v>2010</v>
      </c>
      <c r="V231" s="25">
        <f t="shared" si="58"/>
        <v>1</v>
      </c>
    </row>
    <row r="232" spans="1:22" s="2" customFormat="1" ht="20.25" customHeight="1">
      <c r="B232" s="1354"/>
      <c r="C232" s="1269"/>
      <c r="D232" s="1355"/>
      <c r="E232" s="1356"/>
      <c r="F232" s="1357"/>
      <c r="G232" s="1356"/>
      <c r="H232" s="1358"/>
      <c r="I232" s="1240"/>
      <c r="J232" s="1359"/>
      <c r="K232" s="1360"/>
      <c r="L232" s="1360"/>
      <c r="M232" s="1360"/>
      <c r="N232" s="1360"/>
      <c r="O232" s="1374"/>
      <c r="P232" s="1360"/>
      <c r="Q232" s="1360"/>
      <c r="R232" s="1360"/>
      <c r="S232" s="1354"/>
      <c r="T232" s="1380"/>
      <c r="U232" s="1381"/>
      <c r="V232" s="2">
        <f t="shared" si="58"/>
        <v>0</v>
      </c>
    </row>
    <row r="233" spans="1:22" s="108" customFormat="1" ht="11.25">
      <c r="A233" s="14" t="s">
        <v>223</v>
      </c>
      <c r="B233" s="1253">
        <f>+B51</f>
        <v>2221974</v>
      </c>
      <c r="C233" s="1254">
        <f>+C51</f>
        <v>800682.81</v>
      </c>
      <c r="D233" s="1254">
        <f t="shared" ref="D233:U233" si="67">+D51</f>
        <v>503985.93199999997</v>
      </c>
      <c r="E233" s="1254">
        <f t="shared" si="67"/>
        <v>663341.90500000003</v>
      </c>
      <c r="F233" s="1254">
        <f t="shared" si="67"/>
        <v>735327</v>
      </c>
      <c r="G233" s="1254">
        <f t="shared" si="67"/>
        <v>1269365</v>
      </c>
      <c r="H233" s="1254">
        <f t="shared" si="67"/>
        <v>1044016</v>
      </c>
      <c r="I233" s="1254"/>
      <c r="J233" s="1254">
        <f t="shared" si="67"/>
        <v>1000963</v>
      </c>
      <c r="K233" s="1254">
        <f t="shared" si="67"/>
        <v>575373</v>
      </c>
      <c r="L233" s="1254">
        <f t="shared" si="67"/>
        <v>256061</v>
      </c>
      <c r="M233" s="1254">
        <f t="shared" si="67"/>
        <v>398546</v>
      </c>
      <c r="N233" s="1255">
        <f>+N51</f>
        <v>810563</v>
      </c>
      <c r="O233" s="1253">
        <f t="shared" si="67"/>
        <v>9864279.1300000008</v>
      </c>
      <c r="P233" s="1254">
        <f>+P51</f>
        <v>9662746.4756924044</v>
      </c>
      <c r="Q233" s="1254">
        <f>+Q51</f>
        <v>10280198.647</v>
      </c>
      <c r="R233" s="1255">
        <f t="shared" si="67"/>
        <v>10280198.647</v>
      </c>
      <c r="S233" s="99">
        <f t="shared" si="67"/>
        <v>0</v>
      </c>
      <c r="T233" s="1343">
        <f t="shared" si="67"/>
        <v>0</v>
      </c>
      <c r="U233" s="659">
        <f t="shared" si="67"/>
        <v>10531724</v>
      </c>
      <c r="V233" s="2">
        <f t="shared" si="58"/>
        <v>1</v>
      </c>
    </row>
    <row r="234" spans="1:22" s="108" customFormat="1" ht="11.25">
      <c r="A234" s="2"/>
      <c r="B234" s="1223"/>
      <c r="C234" s="438"/>
      <c r="D234" s="438"/>
      <c r="E234" s="438"/>
      <c r="F234" s="438"/>
      <c r="G234" s="438"/>
      <c r="H234" s="438"/>
      <c r="I234" s="438"/>
      <c r="J234" s="438"/>
      <c r="K234" s="438"/>
      <c r="L234" s="438"/>
      <c r="M234" s="438"/>
      <c r="N234" s="438"/>
      <c r="O234" s="1223"/>
      <c r="P234" s="438"/>
      <c r="Q234" s="438"/>
      <c r="R234" s="438"/>
      <c r="S234" s="1323"/>
      <c r="T234" s="1348"/>
      <c r="U234" s="1208"/>
      <c r="V234" s="2">
        <f t="shared" si="58"/>
        <v>0</v>
      </c>
    </row>
    <row r="235" spans="1:22" s="108" customFormat="1" ht="11.25">
      <c r="A235" s="12" t="s">
        <v>295</v>
      </c>
      <c r="B235" s="1276">
        <f>+B60</f>
        <v>0.29426829603477517</v>
      </c>
      <c r="C235" s="1277">
        <f>+C60</f>
        <v>0.35483385707850118</v>
      </c>
      <c r="D235" s="1277">
        <f t="shared" ref="D235:U235" si="68">+D60</f>
        <v>0.38779089197614919</v>
      </c>
      <c r="E235" s="1277">
        <f t="shared" si="68"/>
        <v>0.37396413658588806</v>
      </c>
      <c r="F235" s="1277">
        <f t="shared" si="68"/>
        <v>0.39297779988159737</v>
      </c>
      <c r="G235" s="1277">
        <f t="shared" si="68"/>
        <v>0.50186855257582363</v>
      </c>
      <c r="H235" s="1277">
        <f t="shared" si="68"/>
        <v>0.33267122382258085</v>
      </c>
      <c r="I235" s="1277"/>
      <c r="J235" s="1277">
        <f t="shared" si="68"/>
        <v>0.35246221840876457</v>
      </c>
      <c r="K235" s="1277">
        <f t="shared" si="68"/>
        <v>0.35431664865577905</v>
      </c>
      <c r="L235" s="1277">
        <f t="shared" si="68"/>
        <v>0.41203892279182397</v>
      </c>
      <c r="M235" s="1277">
        <f t="shared" si="68"/>
        <v>0.39478019154299276</v>
      </c>
      <c r="N235" s="1278">
        <f>+N60</f>
        <v>0.47987916008764647</v>
      </c>
      <c r="O235" s="1276">
        <f t="shared" si="68"/>
        <v>0.39164464325563225</v>
      </c>
      <c r="P235" s="1277">
        <f>+P60</f>
        <v>0.36873649323547303</v>
      </c>
      <c r="Q235" s="1277">
        <f>+Q60</f>
        <v>0.37579936083922144</v>
      </c>
      <c r="R235" s="1278">
        <f t="shared" si="68"/>
        <v>0.37579936083922144</v>
      </c>
      <c r="S235" s="1276">
        <f t="shared" si="68"/>
        <v>0</v>
      </c>
      <c r="T235" s="1278">
        <f t="shared" si="68"/>
        <v>0</v>
      </c>
      <c r="U235" s="660">
        <f t="shared" si="68"/>
        <v>0.38836652004932903</v>
      </c>
      <c r="V235" s="2">
        <f t="shared" si="58"/>
        <v>1</v>
      </c>
    </row>
    <row r="236" spans="1:22" s="48" customFormat="1">
      <c r="A236" s="12" t="s">
        <v>296</v>
      </c>
      <c r="B236" s="1242">
        <f>+B62</f>
        <v>653856.50281357346</v>
      </c>
      <c r="C236" s="1243">
        <f>+C62</f>
        <v>284109.36976875272</v>
      </c>
      <c r="D236" s="1243">
        <f t="shared" ref="D236:U236" si="69">+D62</f>
        <v>195441.15411371086</v>
      </c>
      <c r="E236" s="1243">
        <f t="shared" si="69"/>
        <v>248066.08276456318</v>
      </c>
      <c r="F236" s="1243">
        <f t="shared" si="69"/>
        <v>288967.18665353535</v>
      </c>
      <c r="G236" s="1243">
        <f t="shared" si="69"/>
        <v>637054.37524041033</v>
      </c>
      <c r="H236" s="1243">
        <f t="shared" si="69"/>
        <v>347314.08041035559</v>
      </c>
      <c r="I236" s="1243"/>
      <c r="J236" s="1243">
        <f t="shared" si="69"/>
        <v>352801.63952509221</v>
      </c>
      <c r="K236" s="1243">
        <f t="shared" si="69"/>
        <v>203864.23308702157</v>
      </c>
      <c r="L236" s="1243">
        <f t="shared" si="69"/>
        <v>105507.09860899724</v>
      </c>
      <c r="M236" s="1243">
        <f t="shared" si="69"/>
        <v>157338.0662186936</v>
      </c>
      <c r="N236" s="1244">
        <f>+N62</f>
        <v>388972.29163812299</v>
      </c>
      <c r="O236" s="1242">
        <f t="shared" si="69"/>
        <v>3863292.0808428288</v>
      </c>
      <c r="P236" s="1243">
        <f>+P62</f>
        <v>3563007.2504702434</v>
      </c>
      <c r="Q236" s="1243">
        <f>+Q62</f>
        <v>3863292.0808428288</v>
      </c>
      <c r="R236" s="1244">
        <f t="shared" si="69"/>
        <v>3863292.0808428288</v>
      </c>
      <c r="S236" s="1276">
        <f t="shared" si="69"/>
        <v>-7.772770582416702E-2</v>
      </c>
      <c r="T236" s="1278">
        <f t="shared" si="69"/>
        <v>8.4278478617452732E-2</v>
      </c>
      <c r="U236" s="661">
        <f t="shared" si="69"/>
        <v>4090169</v>
      </c>
      <c r="V236" s="2">
        <f t="shared" si="58"/>
        <v>1</v>
      </c>
    </row>
    <row r="237" spans="1:22" s="108" customFormat="1" ht="11.25">
      <c r="A237" s="25"/>
      <c r="B237" s="1223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1223"/>
      <c r="P237" s="438"/>
      <c r="Q237" s="438"/>
      <c r="R237" s="438"/>
      <c r="S237" s="1323"/>
      <c r="T237" s="1348"/>
      <c r="U237" s="1208"/>
      <c r="V237" s="2">
        <f t="shared" si="58"/>
        <v>0</v>
      </c>
    </row>
    <row r="238" spans="1:22" s="1220" customFormat="1">
      <c r="A238" s="1184" t="s">
        <v>122</v>
      </c>
      <c r="B238" s="1279">
        <f>+B103</f>
        <v>116546.95373506403</v>
      </c>
      <c r="C238" s="1280">
        <f>+C103</f>
        <v>79650.836955726147</v>
      </c>
      <c r="D238" s="1280">
        <f t="shared" ref="D238:U238" si="70">+D103</f>
        <v>73914.928255927924</v>
      </c>
      <c r="E238" s="1280">
        <f t="shared" si="70"/>
        <v>55292.912436220766</v>
      </c>
      <c r="F238" s="1280">
        <f t="shared" si="70"/>
        <v>79454.763195189647</v>
      </c>
      <c r="G238" s="1280">
        <f t="shared" si="70"/>
        <v>100925.56735345576</v>
      </c>
      <c r="H238" s="1280">
        <f t="shared" si="70"/>
        <v>70846.927274750618</v>
      </c>
      <c r="I238" s="1280"/>
      <c r="J238" s="1280">
        <f t="shared" si="70"/>
        <v>88577.403240636166</v>
      </c>
      <c r="K238" s="1280">
        <f t="shared" si="70"/>
        <v>51943.877040671439</v>
      </c>
      <c r="L238" s="1280">
        <f t="shared" si="70"/>
        <v>23479.504824556927</v>
      </c>
      <c r="M238" s="1280">
        <f t="shared" si="70"/>
        <v>45800.231392717134</v>
      </c>
      <c r="N238" s="1281">
        <f>+N103</f>
        <v>94039.559462885401</v>
      </c>
      <c r="O238" s="1279">
        <f t="shared" si="70"/>
        <v>950315.45000000007</v>
      </c>
      <c r="P238" s="1280">
        <f>+P103</f>
        <v>909720.33666666667</v>
      </c>
      <c r="Q238" s="1280">
        <f>+Q103</f>
        <v>880473.46516780183</v>
      </c>
      <c r="R238" s="1281">
        <f t="shared" si="70"/>
        <v>880473.46516780183</v>
      </c>
      <c r="S238" s="1344">
        <f t="shared" si="70"/>
        <v>-4.2717513782748032E-2</v>
      </c>
      <c r="T238" s="1345">
        <f t="shared" si="70"/>
        <v>-3.2149299427590212E-2</v>
      </c>
      <c r="U238" s="1219">
        <f t="shared" si="70"/>
        <v>955763.00921575422</v>
      </c>
      <c r="V238" s="25">
        <f t="shared" si="58"/>
        <v>1</v>
      </c>
    </row>
    <row r="239" spans="1:22" s="1220" customFormat="1">
      <c r="A239" s="1184" t="s">
        <v>133</v>
      </c>
      <c r="B239" s="1279">
        <f>+B116</f>
        <v>47472.3128</v>
      </c>
      <c r="C239" s="1280">
        <f>+C116</f>
        <v>24954.422533333334</v>
      </c>
      <c r="D239" s="1280">
        <f t="shared" ref="D239:U239" si="71">+D116</f>
        <v>20281.428666666667</v>
      </c>
      <c r="E239" s="1280">
        <f t="shared" si="71"/>
        <v>13194.423066666668</v>
      </c>
      <c r="F239" s="1280">
        <f t="shared" si="71"/>
        <v>16664.824000000001</v>
      </c>
      <c r="G239" s="1280">
        <f t="shared" si="71"/>
        <v>21314.971866666667</v>
      </c>
      <c r="H239" s="1280">
        <f t="shared" si="71"/>
        <v>27422.171599999998</v>
      </c>
      <c r="I239" s="1280"/>
      <c r="J239" s="1280">
        <f t="shared" si="71"/>
        <v>26625.632799999999</v>
      </c>
      <c r="K239" s="1280">
        <f t="shared" si="71"/>
        <v>11406.221733333336</v>
      </c>
      <c r="L239" s="1280">
        <f t="shared" si="71"/>
        <v>5534.5899999999992</v>
      </c>
      <c r="M239" s="1280">
        <f t="shared" si="71"/>
        <v>10922.216933333335</v>
      </c>
      <c r="N239" s="1281">
        <f>+N116</f>
        <v>13394.714133333331</v>
      </c>
      <c r="O239" s="1279">
        <f t="shared" si="71"/>
        <v>306839.99</v>
      </c>
      <c r="P239" s="1280">
        <f>+P116</f>
        <v>337772.6333333333</v>
      </c>
      <c r="Q239" s="1280">
        <f>+Q116</f>
        <v>239187.93013333331</v>
      </c>
      <c r="R239" s="1281">
        <f t="shared" si="71"/>
        <v>239187.93013333331</v>
      </c>
      <c r="S239" s="1344">
        <f t="shared" si="71"/>
        <v>0.10081033874800124</v>
      </c>
      <c r="T239" s="1345">
        <f t="shared" si="71"/>
        <v>-0.29186705336992469</v>
      </c>
      <c r="U239" s="1219">
        <f t="shared" si="71"/>
        <v>352308.17220000003</v>
      </c>
      <c r="V239" s="25">
        <f t="shared" si="58"/>
        <v>1</v>
      </c>
    </row>
    <row r="240" spans="1:22" s="442" customFormat="1" ht="15" customHeight="1">
      <c r="A240" s="1184" t="s">
        <v>147</v>
      </c>
      <c r="B240" s="1279">
        <f>+B129</f>
        <v>11545.71975</v>
      </c>
      <c r="C240" s="1280">
        <f>+C129</f>
        <v>8695.3079960000032</v>
      </c>
      <c r="D240" s="1280">
        <f t="shared" ref="D240:U240" si="72">+D129</f>
        <v>9389.888891200002</v>
      </c>
      <c r="E240" s="1280">
        <f t="shared" si="72"/>
        <v>4899.1360480000003</v>
      </c>
      <c r="F240" s="1280">
        <f t="shared" si="72"/>
        <v>7522.2988000000005</v>
      </c>
      <c r="G240" s="1280">
        <f t="shared" si="72"/>
        <v>26016.510600000001</v>
      </c>
      <c r="H240" s="1280">
        <f t="shared" si="72"/>
        <v>6432.4526000000005</v>
      </c>
      <c r="I240" s="1280"/>
      <c r="J240" s="1280">
        <f t="shared" si="72"/>
        <v>12933.9334</v>
      </c>
      <c r="K240" s="1280">
        <f t="shared" si="72"/>
        <v>5977.2517000000007</v>
      </c>
      <c r="L240" s="1280">
        <f t="shared" si="72"/>
        <v>2518.3654000000001</v>
      </c>
      <c r="M240" s="1280">
        <f t="shared" si="72"/>
        <v>4948.4377000000004</v>
      </c>
      <c r="N240" s="1281">
        <f>+N129</f>
        <v>14623.999400000001</v>
      </c>
      <c r="O240" s="1279">
        <f t="shared" si="72"/>
        <v>150263.28</v>
      </c>
      <c r="P240" s="1280">
        <f>+P129</f>
        <v>125839.70433333334</v>
      </c>
      <c r="Q240" s="1280">
        <f>+Q129</f>
        <v>115503.3022852</v>
      </c>
      <c r="R240" s="1281">
        <f t="shared" si="72"/>
        <v>115503.3022852</v>
      </c>
      <c r="S240" s="1344">
        <f t="shared" si="72"/>
        <v>-0.16253855011461654</v>
      </c>
      <c r="T240" s="1345">
        <f t="shared" si="72"/>
        <v>-8.2139433677891768E-2</v>
      </c>
      <c r="U240" s="1219">
        <f t="shared" si="72"/>
        <v>164042.83214415607</v>
      </c>
      <c r="V240" s="25">
        <f t="shared" si="58"/>
        <v>1</v>
      </c>
    </row>
    <row r="241" spans="1:22" s="442" customFormat="1" ht="15" customHeight="1">
      <c r="A241" s="1184" t="s">
        <v>164</v>
      </c>
      <c r="B241" s="1279">
        <f>+B154</f>
        <v>193571.23163970895</v>
      </c>
      <c r="C241" s="1280">
        <f>+C154</f>
        <v>128200.34876103561</v>
      </c>
      <c r="D241" s="1280">
        <f t="shared" ref="D241:U241" si="73">+D154</f>
        <v>72246.119598052552</v>
      </c>
      <c r="E241" s="1280">
        <f t="shared" si="73"/>
        <v>113912.01426717751</v>
      </c>
      <c r="F241" s="1280">
        <f t="shared" si="73"/>
        <v>127923.49166274375</v>
      </c>
      <c r="G241" s="1280">
        <f t="shared" si="73"/>
        <v>248306.41336168407</v>
      </c>
      <c r="H241" s="1280">
        <f t="shared" si="73"/>
        <v>128832.76731661535</v>
      </c>
      <c r="I241" s="1280"/>
      <c r="J241" s="1280">
        <f t="shared" si="73"/>
        <v>149731.0873298682</v>
      </c>
      <c r="K241" s="1280">
        <f t="shared" si="73"/>
        <v>70720.875114648748</v>
      </c>
      <c r="L241" s="1280">
        <f t="shared" si="73"/>
        <v>49661.572154346126</v>
      </c>
      <c r="M241" s="1280">
        <f t="shared" si="73"/>
        <v>78745.02599682947</v>
      </c>
      <c r="N241" s="1281">
        <f>+N154</f>
        <v>199730.0161923891</v>
      </c>
      <c r="O241" s="1279">
        <f t="shared" si="73"/>
        <v>1723202.47808</v>
      </c>
      <c r="P241" s="1280">
        <f>+P154</f>
        <v>1596573.083333333</v>
      </c>
      <c r="Q241" s="1280">
        <f>+Q154</f>
        <v>1561580.9633950999</v>
      </c>
      <c r="R241" s="1281">
        <f t="shared" si="73"/>
        <v>1561580.9633950999</v>
      </c>
      <c r="S241" s="1344">
        <f t="shared" si="73"/>
        <v>-7.348491913019882E-2</v>
      </c>
      <c r="T241" s="1345">
        <f t="shared" si="73"/>
        <v>-2.1917017331381069E-2</v>
      </c>
      <c r="U241" s="1219">
        <f t="shared" si="73"/>
        <v>1626895.6463042716</v>
      </c>
      <c r="V241" s="25">
        <f t="shared" si="58"/>
        <v>1</v>
      </c>
    </row>
    <row r="242" spans="1:22" s="442" customFormat="1" ht="11.25">
      <c r="A242" s="1184" t="s">
        <v>74</v>
      </c>
      <c r="B242" s="1279">
        <f>+B168</f>
        <v>31908.761869666669</v>
      </c>
      <c r="C242" s="1280">
        <f>+C168</f>
        <v>12790.048050317937</v>
      </c>
      <c r="D242" s="1280">
        <f t="shared" ref="D242:U242" si="74">+D168</f>
        <v>7413.5845636248014</v>
      </c>
      <c r="E242" s="1280">
        <f t="shared" si="74"/>
        <v>7279.0550326620341</v>
      </c>
      <c r="F242" s="1280">
        <f t="shared" si="74"/>
        <v>9327.8822751600019</v>
      </c>
      <c r="G242" s="1280">
        <f t="shared" si="74"/>
        <v>7395.5869973133349</v>
      </c>
      <c r="H242" s="1280">
        <f t="shared" si="74"/>
        <v>16163.902013293335</v>
      </c>
      <c r="I242" s="1280"/>
      <c r="J242" s="1280">
        <f t="shared" si="74"/>
        <v>16231.32475794667</v>
      </c>
      <c r="K242" s="1280">
        <f t="shared" si="74"/>
        <v>7984.7050740266686</v>
      </c>
      <c r="L242" s="1280">
        <f t="shared" si="74"/>
        <v>2542.7941119399998</v>
      </c>
      <c r="M242" s="1280">
        <f t="shared" si="74"/>
        <v>5148.7299261200005</v>
      </c>
      <c r="N242" s="1281">
        <f>+N168</f>
        <v>3495.6299956666676</v>
      </c>
      <c r="O242" s="1279">
        <f t="shared" si="74"/>
        <v>59978.970000000008</v>
      </c>
      <c r="P242" s="1280">
        <f>+P168</f>
        <v>96473.503333333327</v>
      </c>
      <c r="Q242" s="1280">
        <f>+Q168</f>
        <v>127682.00466773815</v>
      </c>
      <c r="R242" s="1281">
        <f t="shared" si="74"/>
        <v>127682.00466773815</v>
      </c>
      <c r="S242" s="1344">
        <f t="shared" si="74"/>
        <v>0.6084554858700193</v>
      </c>
      <c r="T242" s="1345">
        <f t="shared" si="74"/>
        <v>0.32349298259205772</v>
      </c>
      <c r="U242" s="1219">
        <f t="shared" si="74"/>
        <v>130961.16360620089</v>
      </c>
      <c r="V242" s="25">
        <f t="shared" si="58"/>
        <v>1</v>
      </c>
    </row>
    <row r="243" spans="1:22" s="442" customFormat="1" ht="11.25">
      <c r="A243" s="1184" t="s">
        <v>369</v>
      </c>
      <c r="B243" s="1279">
        <f>+B185-B201</f>
        <v>14390.429999999998</v>
      </c>
      <c r="C243" s="1280">
        <f>+C185-C201</f>
        <v>7736.720933333334</v>
      </c>
      <c r="D243" s="1280">
        <f t="shared" ref="D243:U243" si="75">+D185-D201</f>
        <v>4501.4502666666667</v>
      </c>
      <c r="E243" s="1280">
        <f t="shared" si="75"/>
        <v>4377.0445333333337</v>
      </c>
      <c r="F243" s="1280">
        <f t="shared" si="75"/>
        <v>5397.47</v>
      </c>
      <c r="G243" s="1280">
        <f t="shared" si="75"/>
        <v>15889.481333333333</v>
      </c>
      <c r="H243" s="1280">
        <f t="shared" si="75"/>
        <v>3365.8530666666666</v>
      </c>
      <c r="I243" s="1280"/>
      <c r="J243" s="1280">
        <f t="shared" si="75"/>
        <v>8435.3070666666663</v>
      </c>
      <c r="K243" s="1280">
        <f t="shared" si="75"/>
        <v>3021.06</v>
      </c>
      <c r="L243" s="1280">
        <f t="shared" si="75"/>
        <v>1525.39</v>
      </c>
      <c r="M243" s="1280">
        <f t="shared" si="75"/>
        <v>2929.74</v>
      </c>
      <c r="N243" s="1281">
        <f>+N185-N201</f>
        <v>26491.532266666665</v>
      </c>
      <c r="O243" s="1279">
        <f t="shared" si="75"/>
        <v>85741.07</v>
      </c>
      <c r="P243" s="1280">
        <f>+P185-P201</f>
        <v>86318.123333333322</v>
      </c>
      <c r="Q243" s="1280">
        <f>+Q185-Q201</f>
        <v>98061.479466666657</v>
      </c>
      <c r="R243" s="1281">
        <f t="shared" si="75"/>
        <v>98061.479466666657</v>
      </c>
      <c r="S243" s="1344">
        <f t="shared" si="75"/>
        <v>0.30064028328419617</v>
      </c>
      <c r="T243" s="1345">
        <f t="shared" si="75"/>
        <v>0.81678709656891568</v>
      </c>
      <c r="U243" s="1219">
        <f t="shared" si="75"/>
        <v>123010.31616552189</v>
      </c>
      <c r="V243" s="25">
        <f t="shared" si="58"/>
        <v>1</v>
      </c>
    </row>
    <row r="244" spans="1:22" s="108" customFormat="1" ht="11.25">
      <c r="A244" s="25"/>
      <c r="B244" s="1223"/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1223"/>
      <c r="P244" s="438"/>
      <c r="Q244" s="438"/>
      <c r="R244" s="438"/>
      <c r="S244" s="1323"/>
      <c r="T244" s="1348"/>
      <c r="U244" s="1208"/>
      <c r="V244" s="2">
        <f t="shared" si="58"/>
        <v>0</v>
      </c>
    </row>
    <row r="245" spans="1:22" s="108" customFormat="1" ht="11.25">
      <c r="A245" s="14" t="s">
        <v>189</v>
      </c>
      <c r="B245" s="1253">
        <f>+B203</f>
        <v>415435.40979443968</v>
      </c>
      <c r="C245" s="1254">
        <f>+C203</f>
        <v>262027.68522974636</v>
      </c>
      <c r="D245" s="1254">
        <f t="shared" ref="D245:U245" si="76">+D203</f>
        <v>187747.4002421386</v>
      </c>
      <c r="E245" s="1254">
        <f t="shared" si="76"/>
        <v>198954.58538406031</v>
      </c>
      <c r="F245" s="1254">
        <f t="shared" si="76"/>
        <v>246290.72993309339</v>
      </c>
      <c r="G245" s="1254">
        <f t="shared" si="76"/>
        <v>419848.53151245316</v>
      </c>
      <c r="H245" s="1254">
        <f t="shared" si="76"/>
        <v>253064.07387132596</v>
      </c>
      <c r="I245" s="1254"/>
      <c r="J245" s="1254">
        <f t="shared" si="76"/>
        <v>302534.68859511765</v>
      </c>
      <c r="K245" s="1254">
        <f t="shared" si="76"/>
        <v>151053.99066268018</v>
      </c>
      <c r="L245" s="1254">
        <f t="shared" si="76"/>
        <v>85262.216490843057</v>
      </c>
      <c r="M245" s="1254">
        <f t="shared" si="76"/>
        <v>148494.38194899992</v>
      </c>
      <c r="N245" s="1255">
        <f>+N203</f>
        <v>351775.45145094115</v>
      </c>
      <c r="O245" s="1253">
        <f t="shared" si="76"/>
        <v>3276341.23808</v>
      </c>
      <c r="P245" s="1254">
        <f>+P203</f>
        <v>3152697.384333333</v>
      </c>
      <c r="Q245" s="1254">
        <f>+Q203</f>
        <v>3022489.1451158398</v>
      </c>
      <c r="R245" s="1255">
        <f t="shared" si="76"/>
        <v>3022489.1451158398</v>
      </c>
      <c r="S245" s="99">
        <f t="shared" si="76"/>
        <v>-3.7738393153188388E-2</v>
      </c>
      <c r="T245" s="1343">
        <f t="shared" si="76"/>
        <v>-4.1300582753211801E-2</v>
      </c>
      <c r="U245" s="659">
        <f t="shared" si="76"/>
        <v>3352981.1396359042</v>
      </c>
      <c r="V245" s="2">
        <f t="shared" si="58"/>
        <v>1</v>
      </c>
    </row>
    <row r="246" spans="1:22" s="108" customFormat="1" ht="11.25">
      <c r="A246" s="2"/>
      <c r="B246" s="1223"/>
      <c r="C246" s="438"/>
      <c r="D246" s="438"/>
      <c r="E246" s="438"/>
      <c r="F246" s="438"/>
      <c r="G246" s="438"/>
      <c r="H246" s="438"/>
      <c r="I246" s="438"/>
      <c r="J246" s="438"/>
      <c r="K246" s="438"/>
      <c r="L246" s="438"/>
      <c r="M246" s="438"/>
      <c r="N246" s="438"/>
      <c r="O246" s="1223"/>
      <c r="P246" s="438"/>
      <c r="Q246" s="438"/>
      <c r="R246" s="438"/>
      <c r="S246" s="1323"/>
      <c r="T246" s="1348"/>
      <c r="U246" s="1208"/>
      <c r="V246" s="2">
        <f t="shared" si="58"/>
        <v>0</v>
      </c>
    </row>
    <row r="247" spans="1:22" s="108" customFormat="1" ht="11.25">
      <c r="A247" s="12" t="s">
        <v>228</v>
      </c>
      <c r="B247" s="1256">
        <f>+B205</f>
        <v>238421.09301913378</v>
      </c>
      <c r="C247" s="1257">
        <f>+C205</f>
        <v>22081.684539006354</v>
      </c>
      <c r="D247" s="1257">
        <f t="shared" ref="D247:U247" si="77">+D205</f>
        <v>7693.7538715722621</v>
      </c>
      <c r="E247" s="1257">
        <f t="shared" si="77"/>
        <v>49111.497380502871</v>
      </c>
      <c r="F247" s="1257">
        <f t="shared" si="77"/>
        <v>42676.456720441958</v>
      </c>
      <c r="G247" s="1257">
        <f t="shared" si="77"/>
        <v>217205.84372795717</v>
      </c>
      <c r="H247" s="1257">
        <f t="shared" si="77"/>
        <v>94250.006539029622</v>
      </c>
      <c r="I247" s="1257"/>
      <c r="J247" s="1257">
        <f t="shared" si="77"/>
        <v>50266.950929974555</v>
      </c>
      <c r="K247" s="1257">
        <f t="shared" si="77"/>
        <v>52810.242424341384</v>
      </c>
      <c r="L247" s="1257">
        <f t="shared" si="77"/>
        <v>20244.882118154186</v>
      </c>
      <c r="M247" s="1257">
        <f t="shared" si="77"/>
        <v>8843.6842696936801</v>
      </c>
      <c r="N247" s="1258">
        <f>+N205</f>
        <v>37196.840187181835</v>
      </c>
      <c r="O247" s="1256">
        <f t="shared" si="77"/>
        <v>472223.95062000165</v>
      </c>
      <c r="P247" s="1257">
        <f>+P205</f>
        <v>410309.86613691039</v>
      </c>
      <c r="Q247" s="1257">
        <f>+Q205</f>
        <v>840802.93572698906</v>
      </c>
      <c r="R247" s="1258">
        <f t="shared" si="77"/>
        <v>840802.93572698906</v>
      </c>
      <c r="S247" s="100">
        <f t="shared" si="77"/>
        <v>-0.13111169901865796</v>
      </c>
      <c r="T247" s="1238">
        <f t="shared" si="77"/>
        <v>1.0491901490042008</v>
      </c>
      <c r="U247" s="667">
        <f t="shared" si="77"/>
        <v>737187.86036409554</v>
      </c>
      <c r="V247" s="2">
        <f t="shared" si="58"/>
        <v>1</v>
      </c>
    </row>
    <row r="248" spans="1:22" s="108" customFormat="1" ht="11.25">
      <c r="A248" s="2"/>
      <c r="B248" s="1223"/>
      <c r="C248" s="438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1223"/>
      <c r="P248" s="438"/>
      <c r="Q248" s="438"/>
      <c r="R248" s="438"/>
      <c r="S248" s="1323"/>
      <c r="T248" s="1348"/>
      <c r="U248" s="1208"/>
      <c r="V248" s="2">
        <f t="shared" si="58"/>
        <v>0</v>
      </c>
    </row>
    <row r="249" spans="1:22" s="108" customFormat="1" ht="11.25">
      <c r="A249" s="20" t="s">
        <v>370</v>
      </c>
      <c r="B249" s="1262">
        <f>+B207+B215</f>
        <v>85120.027066235198</v>
      </c>
      <c r="C249" s="1263">
        <f>+C207+C215</f>
        <v>38421.659935228628</v>
      </c>
      <c r="D249" s="1263">
        <f t="shared" ref="D249:U249" si="78">+D207+D215</f>
        <v>27070.311663574852</v>
      </c>
      <c r="E249" s="1263">
        <f t="shared" si="78"/>
        <v>33601.362596154249</v>
      </c>
      <c r="F249" s="1263">
        <f t="shared" si="78"/>
        <v>34640.102789120581</v>
      </c>
      <c r="G249" s="1263">
        <f t="shared" si="78"/>
        <v>55594.298179179561</v>
      </c>
      <c r="H249" s="1263">
        <f t="shared" si="78"/>
        <v>43750.292083189481</v>
      </c>
      <c r="I249" s="1263"/>
      <c r="J249" s="1263">
        <f t="shared" si="78"/>
        <v>42956.394189960592</v>
      </c>
      <c r="K249" s="1263">
        <f t="shared" si="78"/>
        <v>28951.821510126912</v>
      </c>
      <c r="L249" s="1263">
        <f t="shared" si="78"/>
        <v>18268.279829905852</v>
      </c>
      <c r="M249" s="1263">
        <f t="shared" si="78"/>
        <v>22026.636012785544</v>
      </c>
      <c r="N249" s="1264">
        <f>+N207+N215</f>
        <v>37625.067386911891</v>
      </c>
      <c r="O249" s="1262">
        <f t="shared" si="78"/>
        <v>370423.15846707864</v>
      </c>
      <c r="P249" s="1263">
        <f>+P207+P215</f>
        <v>410018.52713379072</v>
      </c>
      <c r="Q249" s="1263">
        <f>+Q207+Q215</f>
        <v>468026.25324237335</v>
      </c>
      <c r="R249" s="1264">
        <f t="shared" si="78"/>
        <v>468026.25324237347</v>
      </c>
      <c r="S249" s="103">
        <f t="shared" si="78"/>
        <v>0.24086682531092113</v>
      </c>
      <c r="T249" s="1346">
        <f t="shared" si="78"/>
        <v>0.60909805658506511</v>
      </c>
      <c r="U249" s="668">
        <f t="shared" si="78"/>
        <v>476147.26817888871</v>
      </c>
      <c r="V249" s="2">
        <f t="shared" si="58"/>
        <v>1</v>
      </c>
    </row>
    <row r="250" spans="1:22" s="108" customFormat="1" ht="11.25">
      <c r="A250" s="2"/>
      <c r="B250" s="1223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1223"/>
      <c r="P250" s="438"/>
      <c r="Q250" s="438"/>
      <c r="R250" s="438"/>
      <c r="S250" s="1323"/>
      <c r="T250" s="1348"/>
      <c r="U250" s="1208"/>
      <c r="V250" s="2">
        <f t="shared" si="58"/>
        <v>0</v>
      </c>
    </row>
    <row r="251" spans="1:22" s="108" customFormat="1" ht="11.25">
      <c r="A251" s="12" t="s">
        <v>86</v>
      </c>
      <c r="B251" s="1256">
        <f>+B217</f>
        <v>153301.06595289859</v>
      </c>
      <c r="C251" s="1257">
        <f>+C217</f>
        <v>-16339.975396222271</v>
      </c>
      <c r="D251" s="1257">
        <f t="shared" ref="D251:U251" si="79">+D217</f>
        <v>-19376.55779200259</v>
      </c>
      <c r="E251" s="1257">
        <f t="shared" si="79"/>
        <v>15510.134784348626</v>
      </c>
      <c r="F251" s="1257">
        <f t="shared" si="79"/>
        <v>8036.3539313213769</v>
      </c>
      <c r="G251" s="1257">
        <f t="shared" si="79"/>
        <v>161611.54554877762</v>
      </c>
      <c r="H251" s="1257">
        <f t="shared" si="79"/>
        <v>50499.714455840141</v>
      </c>
      <c r="I251" s="1257"/>
      <c r="J251" s="1257">
        <f t="shared" si="79"/>
        <v>7310.5567400139626</v>
      </c>
      <c r="K251" s="1257">
        <f t="shared" si="79"/>
        <v>23858.420914214475</v>
      </c>
      <c r="L251" s="1257">
        <f t="shared" si="79"/>
        <v>1976.6022882483339</v>
      </c>
      <c r="M251" s="1257">
        <f t="shared" si="79"/>
        <v>-13182.951743091862</v>
      </c>
      <c r="N251" s="1258">
        <f>+N217</f>
        <v>-428.22719973005587</v>
      </c>
      <c r="O251" s="1256">
        <f t="shared" si="79"/>
        <v>101800.79215292301</v>
      </c>
      <c r="P251" s="1257">
        <f>+P217</f>
        <v>291.33900311967591</v>
      </c>
      <c r="Q251" s="1257">
        <f>+Q217</f>
        <v>372776.68248461577</v>
      </c>
      <c r="R251" s="1258">
        <f t="shared" si="79"/>
        <v>372776.68248461565</v>
      </c>
      <c r="S251" s="100">
        <f t="shared" si="79"/>
        <v>-0.9971381460108677</v>
      </c>
      <c r="T251" s="1238">
        <f t="shared" si="79"/>
        <v>1278.5289284747325</v>
      </c>
      <c r="U251" s="667">
        <f t="shared" si="79"/>
        <v>261040.59218520683</v>
      </c>
      <c r="V251" s="2">
        <f t="shared" si="58"/>
        <v>1</v>
      </c>
    </row>
    <row r="252" spans="1:22" s="108" customFormat="1" ht="11.25">
      <c r="A252" s="2"/>
      <c r="B252" s="438"/>
      <c r="C252" s="438"/>
      <c r="D252" s="438"/>
      <c r="E252" s="438"/>
      <c r="F252" s="438"/>
      <c r="G252" s="438"/>
      <c r="H252" s="438"/>
      <c r="I252" s="438"/>
      <c r="J252" s="438"/>
      <c r="K252" s="438"/>
      <c r="L252" s="438"/>
      <c r="M252" s="438"/>
      <c r="N252" s="438"/>
      <c r="O252" s="1223"/>
      <c r="P252" s="438"/>
      <c r="Q252" s="438"/>
      <c r="R252" s="438"/>
      <c r="S252" s="1323"/>
      <c r="T252" s="1348"/>
      <c r="U252" s="1208"/>
      <c r="V252" s="2">
        <f t="shared" si="58"/>
        <v>0</v>
      </c>
    </row>
    <row r="253" spans="1:22" s="1220" customFormat="1" ht="15" customHeight="1">
      <c r="A253" s="1184" t="s">
        <v>95</v>
      </c>
      <c r="B253" s="1279">
        <f>+Boulogne!$G253</f>
        <v>627518.90058000013</v>
      </c>
      <c r="C253" s="1280">
        <f>+Compiègne!$G253</f>
        <v>184582.76427500002</v>
      </c>
      <c r="D253" s="1280">
        <f>+Amiens!$G253</f>
        <v>140559.72071759999</v>
      </c>
      <c r="E253" s="1280">
        <f>+Cambrai!$G253</f>
        <v>148062.01516924999</v>
      </c>
      <c r="F253" s="1280">
        <f>+Caudry!$G253</f>
        <v>200443.97339999999</v>
      </c>
      <c r="G253" s="1280">
        <f>+Eu!$G253</f>
        <v>268597.79165000003</v>
      </c>
      <c r="H253" s="1280">
        <f>+Calais!$G253</f>
        <v>322172.83665000007</v>
      </c>
      <c r="I253" s="1280"/>
      <c r="J253" s="1280">
        <f>+Madeleine!$G253</f>
        <v>302667.94799999997</v>
      </c>
      <c r="K253" s="1280">
        <f>+Lens!$G253</f>
        <v>164962.15559999997</v>
      </c>
      <c r="L253" s="1280">
        <f>+Bois!$G253</f>
        <v>69712.607250000001</v>
      </c>
      <c r="M253" s="1280">
        <f>+Béthune!$G253</f>
        <v>136519.00900000002</v>
      </c>
      <c r="N253" s="1281">
        <f>+StOmer!$G253</f>
        <v>205747.91909999997</v>
      </c>
      <c r="O253" s="1279">
        <f t="shared" ref="O253:U253" si="80">+O28</f>
        <v>2862115.3999999994</v>
      </c>
      <c r="P253" s="1280">
        <f>+P28</f>
        <v>0</v>
      </c>
      <c r="Q253" s="1320">
        <v>9460651.4573468715</v>
      </c>
      <c r="R253" s="1319">
        <f>SUM(B253:N253)</f>
        <v>2771547.6413918501</v>
      </c>
      <c r="S253" s="1344">
        <f t="shared" si="80"/>
        <v>0</v>
      </c>
      <c r="T253" s="1345">
        <f t="shared" si="80"/>
        <v>0</v>
      </c>
      <c r="U253" s="1219">
        <f t="shared" si="80"/>
        <v>4.5735526210489024</v>
      </c>
      <c r="V253" s="25">
        <f t="shared" si="58"/>
        <v>1</v>
      </c>
    </row>
    <row r="254" spans="1:22" s="1220" customFormat="1">
      <c r="A254" s="1184" t="s">
        <v>371</v>
      </c>
      <c r="B254" s="1279">
        <f>+Boulogne!$G254</f>
        <v>1701017.2132220513</v>
      </c>
      <c r="C254" s="1280">
        <f>+Compiègne!$G254</f>
        <v>846732.46132345672</v>
      </c>
      <c r="D254" s="1280">
        <f>+Amiens!$G254</f>
        <v>553952.44279983162</v>
      </c>
      <c r="E254" s="1280">
        <f>+Cambrai!$G254</f>
        <v>621866.97928667173</v>
      </c>
      <c r="F254" s="1280">
        <f>+Caudry!$G254</f>
        <v>714877.10707031621</v>
      </c>
      <c r="G254" s="1280">
        <f>+Eu!$G254</f>
        <v>947345.33026912773</v>
      </c>
      <c r="H254" s="1280">
        <f>+Calais!$G254</f>
        <v>892215.33063169767</v>
      </c>
      <c r="I254" s="1280"/>
      <c r="J254" s="1280">
        <f>+Madeleine!$G254</f>
        <v>980221.6088431878</v>
      </c>
      <c r="K254" s="1280">
        <f>+Lens!$G254</f>
        <v>508036.56236792845</v>
      </c>
      <c r="L254" s="1280">
        <f>+Bois!$G254</f>
        <v>251263.87482829145</v>
      </c>
      <c r="M254" s="1280">
        <f>+Béthune!$G254</f>
        <v>431939.14389500266</v>
      </c>
      <c r="N254" s="1281">
        <f>+StOmer!$G254</f>
        <v>811455.3646520758</v>
      </c>
      <c r="O254" s="1279">
        <f t="shared" ref="O254:U254" si="81">+O223</f>
        <v>9596392.2509139255</v>
      </c>
      <c r="P254" s="1280">
        <f t="shared" si="81"/>
        <v>9661956.3748793192</v>
      </c>
      <c r="Q254" s="1280">
        <f>+Q223</f>
        <v>9288241.9772171024</v>
      </c>
      <c r="R254" s="1281">
        <f t="shared" si="81"/>
        <v>9288241.9772171024</v>
      </c>
      <c r="S254" s="1344">
        <f t="shared" si="81"/>
        <v>0</v>
      </c>
      <c r="T254" s="1345">
        <f t="shared" si="81"/>
        <v>0</v>
      </c>
      <c r="U254" s="1219">
        <f t="shared" si="81"/>
        <v>9859573.90798885</v>
      </c>
      <c r="V254" s="25">
        <f t="shared" si="58"/>
        <v>1</v>
      </c>
    </row>
    <row r="255" spans="1:22" s="25" customFormat="1" ht="11.25">
      <c r="A255" s="1184" t="s">
        <v>372</v>
      </c>
      <c r="B255" s="1279">
        <f>+Boulogne!$G255</f>
        <v>13880</v>
      </c>
      <c r="C255" s="1280">
        <f>+Compiègne!$G255</f>
        <v>4000</v>
      </c>
      <c r="D255" s="1280">
        <f>+Amiens!$G255</f>
        <v>1500</v>
      </c>
      <c r="E255" s="1280">
        <f>+Cambrai!$G255</f>
        <v>0</v>
      </c>
      <c r="F255" s="1280">
        <f>+Caudry!$G255</f>
        <v>3000</v>
      </c>
      <c r="G255" s="1280">
        <f>+Eu!$G255</f>
        <v>33600</v>
      </c>
      <c r="H255" s="1280">
        <f>+Calais!$G255</f>
        <v>4000</v>
      </c>
      <c r="I255" s="1280"/>
      <c r="J255" s="1280">
        <f>+Madeleine!$G255</f>
        <v>0</v>
      </c>
      <c r="K255" s="1280">
        <f>+Lens!$G255</f>
        <v>11000</v>
      </c>
      <c r="L255" s="1280">
        <f>+Bois!$G255</f>
        <v>0</v>
      </c>
      <c r="M255" s="1280">
        <f>+Béthune!$G255</f>
        <v>2800</v>
      </c>
      <c r="N255" s="1281">
        <f>+StOmer!$G255</f>
        <v>15000</v>
      </c>
      <c r="O255" s="1279"/>
      <c r="P255" s="1320">
        <v>0</v>
      </c>
      <c r="Q255" s="1320">
        <v>0</v>
      </c>
      <c r="R255" s="1319">
        <f>SUM(B255:N255)</f>
        <v>88780</v>
      </c>
      <c r="S255" s="1344"/>
      <c r="T255" s="1345"/>
      <c r="U255" s="1221">
        <v>0</v>
      </c>
      <c r="V255" s="25">
        <f t="shared" si="58"/>
        <v>1</v>
      </c>
    </row>
    <row r="256" spans="1:22" s="442" customFormat="1">
      <c r="A256" s="25"/>
      <c r="B256" s="1347"/>
      <c r="C256" s="438"/>
      <c r="D256" s="438"/>
      <c r="E256" s="438"/>
      <c r="F256" s="438"/>
      <c r="G256" s="438"/>
      <c r="H256" s="438"/>
      <c r="I256" s="438"/>
      <c r="J256" s="438"/>
      <c r="K256" s="438"/>
      <c r="L256" s="438"/>
      <c r="M256" s="438"/>
      <c r="N256" s="438"/>
      <c r="O256" s="1223"/>
      <c r="P256" s="438"/>
      <c r="Q256" s="438"/>
      <c r="R256" s="438"/>
      <c r="S256" s="1223"/>
      <c r="T256" s="1224"/>
      <c r="U256" s="1208"/>
      <c r="V256" s="522"/>
    </row>
    <row r="257" spans="1:22" s="442" customFormat="1">
      <c r="A257" s="76"/>
      <c r="B257" s="1282"/>
      <c r="C257" s="1132"/>
      <c r="D257" s="1132"/>
      <c r="E257" s="1132"/>
      <c r="F257" s="1132"/>
      <c r="G257" s="1132"/>
      <c r="H257" s="1132"/>
      <c r="I257" s="1132"/>
      <c r="J257" s="1132"/>
      <c r="K257" s="1132"/>
      <c r="L257" s="1132"/>
      <c r="M257" s="1132"/>
      <c r="N257" s="1283"/>
      <c r="O257" s="1318"/>
      <c r="P257" s="1165"/>
      <c r="Q257" s="1361"/>
      <c r="R257" s="1166"/>
      <c r="S257" s="1341"/>
      <c r="T257" s="1342"/>
      <c r="U257" s="1216"/>
      <c r="V257" s="522"/>
    </row>
    <row r="258" spans="1:22">
      <c r="B258" s="1132"/>
      <c r="C258" s="1132"/>
      <c r="D258" s="1132"/>
      <c r="E258" s="1132"/>
      <c r="F258" s="1132"/>
      <c r="I258" s="1132"/>
    </row>
  </sheetData>
  <autoFilter ref="V1:V256"/>
  <phoneticPr fontId="0" type="noConversion"/>
  <printOptions horizontalCentered="1" verticalCentered="1"/>
  <pageMargins left="0" right="0" top="0" bottom="0" header="7.874015748031496E-2" footer="7.874015748031496E-2"/>
  <pageSetup paperSize="9" scale="60" fitToHeight="8" orientation="landscape" horizontalDpi="4294967293" verticalDpi="36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 enableFormatConditionsCalculation="0">
    <tabColor indexed="13"/>
    <pageSetUpPr fitToPage="1"/>
  </sheetPr>
  <dimension ref="A1:P256"/>
  <sheetViews>
    <sheetView zoomScaleNormal="85" workbookViewId="0">
      <pane xSplit="1" ySplit="7" topLeftCell="B197" activePane="bottomRight" state="frozen"/>
      <selection sqref="A1:IV65536"/>
      <selection pane="topRight" sqref="A1:IV65536"/>
      <selection pane="bottomLeft" sqref="A1:IV65536"/>
      <selection pane="bottomRight" activeCell="B3" sqref="B3:B218"/>
    </sheetView>
  </sheetViews>
  <sheetFormatPr baseColWidth="10" defaultRowHeight="12.75"/>
  <cols>
    <col min="1" max="1" width="72.85546875" bestFit="1" customWidth="1"/>
    <col min="2" max="2" width="8.7109375" style="322" bestFit="1" customWidth="1"/>
    <col min="3" max="3" width="10.85546875" style="322" customWidth="1"/>
    <col min="4" max="4" width="11.140625" style="322" bestFit="1" customWidth="1"/>
    <col min="5" max="5" width="14.7109375" style="322" bestFit="1" customWidth="1"/>
    <col min="6" max="7" width="11.140625" style="322" bestFit="1" customWidth="1"/>
    <col min="8" max="8" width="11.140625" style="322" customWidth="1"/>
    <col min="9" max="9" width="11.85546875" style="335" customWidth="1"/>
    <col min="10" max="10" width="12.28515625" style="322" bestFit="1" customWidth="1"/>
    <col min="11" max="11" width="13.140625" style="1222" hidden="1" customWidth="1"/>
    <col min="12" max="12" width="12.28515625" style="322" customWidth="1"/>
    <col min="13" max="13" width="9.5703125" style="143" customWidth="1"/>
    <col min="14" max="14" width="10.28515625" style="143" customWidth="1"/>
    <col min="15" max="15" width="11.28515625" style="114" bestFit="1" customWidth="1"/>
  </cols>
  <sheetData>
    <row r="1" spans="1:16">
      <c r="A1" s="1" t="s">
        <v>515</v>
      </c>
      <c r="I1" s="432" t="s">
        <v>299</v>
      </c>
    </row>
    <row r="2" spans="1:16">
      <c r="D2" s="336"/>
      <c r="E2" s="336"/>
      <c r="F2" s="336"/>
      <c r="G2" s="336"/>
      <c r="H2" s="336"/>
    </row>
    <row r="3" spans="1:16" s="2" customFormat="1" ht="12.75" customHeight="1">
      <c r="A3" s="6"/>
      <c r="B3" s="155"/>
      <c r="C3" s="211"/>
      <c r="D3" s="211"/>
      <c r="E3" s="211"/>
      <c r="F3" s="211"/>
      <c r="G3" s="211"/>
      <c r="H3" s="211"/>
      <c r="I3" s="267" t="s">
        <v>55</v>
      </c>
      <c r="J3" s="130" t="s">
        <v>364</v>
      </c>
      <c r="K3" s="130" t="s">
        <v>543</v>
      </c>
      <c r="L3" s="104" t="s">
        <v>196</v>
      </c>
      <c r="M3" s="151" t="s">
        <v>225</v>
      </c>
      <c r="N3" s="183" t="s">
        <v>225</v>
      </c>
      <c r="O3" s="8" t="s">
        <v>196</v>
      </c>
      <c r="P3" s="2">
        <v>1</v>
      </c>
    </row>
    <row r="4" spans="1:16" s="2" customFormat="1" ht="20.25" customHeight="1">
      <c r="A4" s="7" t="s">
        <v>218</v>
      </c>
      <c r="B4" s="212" t="s">
        <v>212</v>
      </c>
      <c r="C4" s="213" t="s">
        <v>235</v>
      </c>
      <c r="D4" s="213" t="s">
        <v>365</v>
      </c>
      <c r="E4" s="213" t="s">
        <v>62</v>
      </c>
      <c r="F4" s="213" t="s">
        <v>214</v>
      </c>
      <c r="G4" s="213" t="s">
        <v>430</v>
      </c>
      <c r="H4" s="213" t="s">
        <v>552</v>
      </c>
      <c r="I4" s="260" t="s">
        <v>366</v>
      </c>
      <c r="J4" s="131" t="s">
        <v>366</v>
      </c>
      <c r="K4" s="131" t="s">
        <v>432</v>
      </c>
      <c r="L4" s="105" t="s">
        <v>197</v>
      </c>
      <c r="M4" s="152" t="s">
        <v>55</v>
      </c>
      <c r="N4" s="131" t="s">
        <v>432</v>
      </c>
      <c r="O4" s="9" t="s">
        <v>197</v>
      </c>
      <c r="P4" s="2">
        <v>1</v>
      </c>
    </row>
    <row r="5" spans="1:16" s="2" customFormat="1" ht="20.25" customHeight="1">
      <c r="A5" s="7" t="s">
        <v>379</v>
      </c>
      <c r="B5" s="157"/>
      <c r="C5" s="215"/>
      <c r="D5" s="215"/>
      <c r="E5" s="215"/>
      <c r="F5" s="215"/>
      <c r="G5" s="213" t="s">
        <v>442</v>
      </c>
      <c r="H5" s="213"/>
      <c r="I5" s="157">
        <f>I217</f>
        <v>375410.76305532141</v>
      </c>
      <c r="J5" s="215">
        <f>J217</f>
        <v>34476.42389222671</v>
      </c>
      <c r="K5" s="215">
        <f>K217</f>
        <v>176257.44124435575</v>
      </c>
      <c r="L5" s="215">
        <f>L217</f>
        <v>176257.44124435575</v>
      </c>
      <c r="M5" s="152"/>
      <c r="N5" s="132" t="s">
        <v>433</v>
      </c>
      <c r="O5" s="10"/>
      <c r="P5" s="2">
        <v>1</v>
      </c>
    </row>
    <row r="6" spans="1:16" s="2" customFormat="1" ht="18">
      <c r="A6" s="68"/>
      <c r="B6" s="158"/>
      <c r="C6" s="216"/>
      <c r="D6" s="216"/>
      <c r="E6" s="216"/>
      <c r="F6" s="216"/>
      <c r="G6" s="216"/>
      <c r="H6" s="216"/>
      <c r="I6" s="269">
        <v>2009</v>
      </c>
      <c r="J6" s="133">
        <v>2010</v>
      </c>
      <c r="K6" s="133">
        <v>2009</v>
      </c>
      <c r="L6" s="159">
        <v>2011</v>
      </c>
      <c r="M6" s="153" t="s">
        <v>544</v>
      </c>
      <c r="N6" s="185" t="s">
        <v>368</v>
      </c>
      <c r="O6" s="4">
        <v>2010</v>
      </c>
      <c r="P6" s="2">
        <v>1</v>
      </c>
    </row>
    <row r="7" spans="1:16" s="2" customFormat="1" ht="18">
      <c r="A7" s="67"/>
      <c r="B7" s="160"/>
      <c r="C7" s="113"/>
      <c r="D7" s="113"/>
      <c r="E7" s="113"/>
      <c r="F7" s="113"/>
      <c r="G7" s="113"/>
      <c r="H7" s="113"/>
      <c r="I7" s="160"/>
      <c r="J7" s="134"/>
      <c r="K7" s="25"/>
      <c r="L7" s="154"/>
      <c r="M7" s="149"/>
      <c r="N7" s="186"/>
      <c r="O7" s="115"/>
      <c r="P7" s="2">
        <v>0</v>
      </c>
    </row>
    <row r="8" spans="1:16" s="25" customFormat="1" ht="11.25">
      <c r="A8" s="387" t="s">
        <v>221</v>
      </c>
      <c r="B8" s="248">
        <f>+Roanne!$G8</f>
        <v>1420317</v>
      </c>
      <c r="C8" s="249">
        <f>+Montpe!$G8</f>
        <v>867313</v>
      </c>
      <c r="D8" s="249">
        <f>+Nancy!$G8</f>
        <v>913405</v>
      </c>
      <c r="E8" s="249">
        <f>+STMarcelin!$G8</f>
        <v>328645</v>
      </c>
      <c r="F8" s="249">
        <f>+Grenoble!$G8</f>
        <v>2061415</v>
      </c>
      <c r="G8" s="249">
        <f>+PSA!$G8</f>
        <v>2350978</v>
      </c>
      <c r="H8" s="250">
        <f>+Dijon!$G8</f>
        <v>651115</v>
      </c>
      <c r="I8" s="248">
        <f>+Roanne!E8+Montpe!E8+Grenoble!E8+Nancy!E8+STMarcelin!E8+PSA!E8</f>
        <v>6104721.1699999999</v>
      </c>
      <c r="J8" s="347">
        <f>+Roanne!F8+Montpe!F8+Grenoble!F8+Nancy!F8+STMarcelin!F8+PSA!F8+Dijon!F8</f>
        <v>7959805.1775421193</v>
      </c>
      <c r="K8" s="113">
        <f>+L8</f>
        <v>8593188</v>
      </c>
      <c r="L8" s="1413">
        <f>SUM(B8:H8)</f>
        <v>8593188</v>
      </c>
      <c r="M8" s="288">
        <f>+IF((I8)=0,,(J8-I8)/I8)</f>
        <v>0.30387694308765939</v>
      </c>
      <c r="N8" s="1176">
        <f>+IF((J8)=0,,(L8-J8)/J8)</f>
        <v>7.9572653894207604E-2</v>
      </c>
      <c r="O8" s="1414">
        <f>+Roanne!D8+Montpe!D8+Grenoble!D8+Nancy!D8+STMarcelin!D8+PSA!D8</f>
        <v>8174849</v>
      </c>
      <c r="P8" s="25">
        <v>1</v>
      </c>
    </row>
    <row r="9" spans="1:16" s="2" customFormat="1" ht="11.25">
      <c r="A9" s="5" t="s">
        <v>422</v>
      </c>
      <c r="B9" s="160">
        <f>+Roanne!$G9</f>
        <v>0</v>
      </c>
      <c r="C9" s="113">
        <f>+Montpe!$G9</f>
        <v>0</v>
      </c>
      <c r="D9" s="113">
        <f>+Nancy!$G9</f>
        <v>0</v>
      </c>
      <c r="E9" s="113">
        <f>+STMarcelin!$G9</f>
        <v>0</v>
      </c>
      <c r="F9" s="113">
        <f>+Grenoble!$G9</f>
        <v>0</v>
      </c>
      <c r="G9" s="113">
        <f>+PSA!$G9</f>
        <v>0</v>
      </c>
      <c r="H9" s="113">
        <f>+Dijon!$G9</f>
        <v>0</v>
      </c>
      <c r="I9" s="160">
        <f>+Roanne!E9+Montpe!E9+Grenoble!E9+Nancy!E9+STMarcelin!E9+PSA!E9</f>
        <v>1905847.5699999998</v>
      </c>
      <c r="J9" s="135">
        <f>+Roanne!F9+Montpe!F9+Grenoble!F9+Nancy!F9+STMarcelin!F9+PSA!F9+Dijon!F9</f>
        <v>0</v>
      </c>
      <c r="K9" s="113">
        <f t="shared" ref="K9:K19" si="0">+L9</f>
        <v>0</v>
      </c>
      <c r="L9" s="161">
        <f t="shared" ref="L9:L19" si="1">SUM(B9:H9)</f>
        <v>0</v>
      </c>
      <c r="M9" s="149">
        <f t="shared" ref="M9:M19" si="2">+IF((I9)=0,,(J9-I9)/I9)</f>
        <v>-1</v>
      </c>
      <c r="N9" s="271">
        <f t="shared" ref="N9:N19" si="3">+IF((J9)=0,,(L9-J9)/J9)</f>
        <v>0</v>
      </c>
      <c r="O9" s="117">
        <f>+Roanne!D9+Montpe!D9+Grenoble!D9+Nancy!D9+STMarcelin!D9+PSA!D9</f>
        <v>0</v>
      </c>
      <c r="P9" s="2">
        <v>0</v>
      </c>
    </row>
    <row r="10" spans="1:16" s="2" customFormat="1" ht="11.25">
      <c r="A10" s="5" t="s">
        <v>84</v>
      </c>
      <c r="B10" s="160">
        <f>+Roanne!$G10</f>
        <v>0</v>
      </c>
      <c r="C10" s="113">
        <f>+Montpe!$G10</f>
        <v>0</v>
      </c>
      <c r="D10" s="113">
        <f>+Nancy!$G10</f>
        <v>0</v>
      </c>
      <c r="E10" s="113">
        <f>+STMarcelin!$G10</f>
        <v>0</v>
      </c>
      <c r="F10" s="113">
        <f>+Grenoble!$G10</f>
        <v>0</v>
      </c>
      <c r="G10" s="113">
        <f>+PSA!$G10</f>
        <v>0</v>
      </c>
      <c r="H10" s="113">
        <f>+Dijon!$G10</f>
        <v>0</v>
      </c>
      <c r="I10" s="160">
        <f>+Roanne!E10+Montpe!E10+Grenoble!E10+Nancy!E10+STMarcelin!E10+PSA!E10</f>
        <v>0</v>
      </c>
      <c r="J10" s="135">
        <f>+Roanne!F10+Montpe!F10+Grenoble!F10+Nancy!F10+STMarcelin!F10+PSA!F10+Dijon!F10</f>
        <v>0</v>
      </c>
      <c r="K10" s="113">
        <f t="shared" si="0"/>
        <v>0</v>
      </c>
      <c r="L10" s="161">
        <f t="shared" si="1"/>
        <v>0</v>
      </c>
      <c r="M10" s="149">
        <f t="shared" si="2"/>
        <v>0</v>
      </c>
      <c r="N10" s="271">
        <f t="shared" si="3"/>
        <v>0</v>
      </c>
      <c r="O10" s="117">
        <f>+Roanne!D10+Montpe!D10+Grenoble!D10+Nancy!D10+STMarcelin!D10+PSA!D10</f>
        <v>0</v>
      </c>
      <c r="P10" s="2">
        <v>0</v>
      </c>
    </row>
    <row r="11" spans="1:16" s="2" customFormat="1" ht="11.25">
      <c r="A11" s="5" t="s">
        <v>267</v>
      </c>
      <c r="B11" s="160">
        <f>+Roanne!$G11</f>
        <v>0</v>
      </c>
      <c r="C11" s="113">
        <f>+Montpe!$G11</f>
        <v>0</v>
      </c>
      <c r="D11" s="113">
        <f>+Nancy!$G11</f>
        <v>0</v>
      </c>
      <c r="E11" s="113">
        <f>+STMarcelin!$G11</f>
        <v>0</v>
      </c>
      <c r="F11" s="113">
        <f>+Grenoble!$G11</f>
        <v>0</v>
      </c>
      <c r="G11" s="113">
        <f>+PSA!$G11</f>
        <v>0</v>
      </c>
      <c r="H11" s="113">
        <f>+Dijon!$G11</f>
        <v>0</v>
      </c>
      <c r="I11" s="160">
        <f>+Roanne!E11+Montpe!E11+Grenoble!E11+Nancy!E11+STMarcelin!E11+PSA!E11</f>
        <v>3242.0800000000004</v>
      </c>
      <c r="J11" s="135">
        <f>+Roanne!F11+Montpe!F11+Grenoble!F11+Nancy!F11+STMarcelin!F11+PSA!F11+Dijon!F11</f>
        <v>1336</v>
      </c>
      <c r="K11" s="113">
        <f t="shared" si="0"/>
        <v>0</v>
      </c>
      <c r="L11" s="161">
        <f t="shared" si="1"/>
        <v>0</v>
      </c>
      <c r="M11" s="149">
        <f t="shared" si="2"/>
        <v>-0.58791886690026163</v>
      </c>
      <c r="N11" s="271">
        <f t="shared" si="3"/>
        <v>-1</v>
      </c>
      <c r="O11" s="117">
        <f>+Roanne!D11+Montpe!D11+Grenoble!D11+Nancy!D11+STMarcelin!D11+PSA!D11</f>
        <v>0</v>
      </c>
      <c r="P11" s="2">
        <v>0</v>
      </c>
    </row>
    <row r="12" spans="1:16" s="2" customFormat="1" ht="11.25">
      <c r="A12" s="5" t="s">
        <v>46</v>
      </c>
      <c r="B12" s="160">
        <f>+Roanne!$G12</f>
        <v>0</v>
      </c>
      <c r="C12" s="113">
        <f>+Montpe!$G12</f>
        <v>0</v>
      </c>
      <c r="D12" s="113">
        <f>+Nancy!$G12</f>
        <v>0</v>
      </c>
      <c r="E12" s="113">
        <f>+STMarcelin!$G12</f>
        <v>0</v>
      </c>
      <c r="F12" s="113">
        <f>+Grenoble!$G12</f>
        <v>0</v>
      </c>
      <c r="G12" s="113">
        <f>+PSA!$G12</f>
        <v>0</v>
      </c>
      <c r="H12" s="113">
        <f>+Dijon!$G12</f>
        <v>0</v>
      </c>
      <c r="I12" s="160">
        <f>+Roanne!E12+Montpe!E12+Grenoble!E12+Nancy!E12+STMarcelin!E12+PSA!E12</f>
        <v>0</v>
      </c>
      <c r="J12" s="135">
        <f>+Roanne!F12+Montpe!F12+Grenoble!F12+Nancy!F12+STMarcelin!F12+PSA!F12+Dijon!F12</f>
        <v>0</v>
      </c>
      <c r="K12" s="113">
        <f t="shared" si="0"/>
        <v>0</v>
      </c>
      <c r="L12" s="161">
        <f t="shared" si="1"/>
        <v>0</v>
      </c>
      <c r="M12" s="149">
        <f t="shared" si="2"/>
        <v>0</v>
      </c>
      <c r="N12" s="271">
        <f t="shared" si="3"/>
        <v>0</v>
      </c>
      <c r="O12" s="117">
        <f>+Roanne!D12+Montpe!D12+Grenoble!D12+Nancy!D12+STMarcelin!D12+PSA!D12</f>
        <v>0</v>
      </c>
      <c r="P12" s="2">
        <v>0</v>
      </c>
    </row>
    <row r="13" spans="1:16" s="2" customFormat="1" ht="11.25">
      <c r="A13" s="5" t="s">
        <v>268</v>
      </c>
      <c r="B13" s="160">
        <f>+Roanne!$G13</f>
        <v>0</v>
      </c>
      <c r="C13" s="113">
        <f>+Montpe!$G13</f>
        <v>0</v>
      </c>
      <c r="D13" s="113">
        <f>+Nancy!$G13</f>
        <v>0</v>
      </c>
      <c r="E13" s="113">
        <f>+STMarcelin!$G13</f>
        <v>0</v>
      </c>
      <c r="F13" s="113">
        <f>+Grenoble!$G13</f>
        <v>0</v>
      </c>
      <c r="G13" s="113">
        <f>+PSA!$G13</f>
        <v>0</v>
      </c>
      <c r="H13" s="113">
        <f>+Dijon!$G13</f>
        <v>0</v>
      </c>
      <c r="I13" s="160">
        <f>+Roanne!E13+Montpe!E13+Grenoble!E13+Nancy!E13+STMarcelin!E13+PSA!E13</f>
        <v>20642.23</v>
      </c>
      <c r="J13" s="135">
        <f>+Roanne!F13+Montpe!F13+Grenoble!F13+Nancy!F13+STMarcelin!F13+PSA!F13+Dijon!F13</f>
        <v>14202.753333333334</v>
      </c>
      <c r="K13" s="113">
        <f t="shared" si="0"/>
        <v>0</v>
      </c>
      <c r="L13" s="161">
        <f t="shared" si="1"/>
        <v>0</v>
      </c>
      <c r="M13" s="149">
        <f t="shared" si="2"/>
        <v>-0.31195644398239269</v>
      </c>
      <c r="N13" s="271">
        <f t="shared" si="3"/>
        <v>-1</v>
      </c>
      <c r="O13" s="117">
        <f>+Roanne!D13+Montpe!D13+Grenoble!D13+Nancy!D13+STMarcelin!D13+PSA!D13</f>
        <v>0</v>
      </c>
      <c r="P13" s="2">
        <v>0</v>
      </c>
    </row>
    <row r="14" spans="1:16" s="2" customFormat="1" ht="11.25">
      <c r="A14" s="5" t="s">
        <v>269</v>
      </c>
      <c r="B14" s="160">
        <f>+Roanne!$G14</f>
        <v>0</v>
      </c>
      <c r="C14" s="113">
        <f>+Montpe!$G14</f>
        <v>0</v>
      </c>
      <c r="D14" s="113">
        <f>+Nancy!$G14</f>
        <v>0</v>
      </c>
      <c r="E14" s="113">
        <f>+STMarcelin!$G14</f>
        <v>0</v>
      </c>
      <c r="F14" s="113">
        <f>+Grenoble!$G14</f>
        <v>0</v>
      </c>
      <c r="G14" s="113">
        <f>+PSA!$G14</f>
        <v>0</v>
      </c>
      <c r="H14" s="113">
        <f>+Dijon!$G14</f>
        <v>0</v>
      </c>
      <c r="I14" s="160">
        <f>+Roanne!E14+Montpe!E14+Grenoble!E14+Nancy!E14+STMarcelin!E14+PSA!E14</f>
        <v>2637.21</v>
      </c>
      <c r="J14" s="135">
        <f>+Roanne!F14+Montpe!F14+Grenoble!F14+Nancy!F14+STMarcelin!F14+PSA!F14+Dijon!F14</f>
        <v>1107.6333333333332</v>
      </c>
      <c r="K14" s="113">
        <f t="shared" si="0"/>
        <v>0</v>
      </c>
      <c r="L14" s="161">
        <f t="shared" si="1"/>
        <v>0</v>
      </c>
      <c r="M14" s="149">
        <f t="shared" si="2"/>
        <v>-0.57999805349845734</v>
      </c>
      <c r="N14" s="271">
        <f t="shared" si="3"/>
        <v>-1</v>
      </c>
      <c r="O14" s="117">
        <f>+Roanne!D14+Montpe!D14+Grenoble!D14+Nancy!D14+STMarcelin!D14+PSA!D14</f>
        <v>0</v>
      </c>
      <c r="P14" s="2">
        <v>0</v>
      </c>
    </row>
    <row r="15" spans="1:16" s="2" customFormat="1" ht="11.25">
      <c r="A15" s="5" t="s">
        <v>270</v>
      </c>
      <c r="B15" s="160">
        <f>+Roanne!$G15</f>
        <v>0</v>
      </c>
      <c r="C15" s="113">
        <f>+Montpe!$G15</f>
        <v>0</v>
      </c>
      <c r="D15" s="113">
        <f>+Nancy!$G15</f>
        <v>0</v>
      </c>
      <c r="E15" s="113">
        <f>+STMarcelin!$G15</f>
        <v>0</v>
      </c>
      <c r="F15" s="113">
        <f>+Grenoble!$G15</f>
        <v>0</v>
      </c>
      <c r="G15" s="113">
        <f>+PSA!$G15</f>
        <v>0</v>
      </c>
      <c r="H15" s="113">
        <f>+Dijon!$G15</f>
        <v>0</v>
      </c>
      <c r="I15" s="160">
        <f>+Roanne!E15+Montpe!E15+Grenoble!E15+Nancy!E15+STMarcelin!E15+PSA!E15</f>
        <v>11245</v>
      </c>
      <c r="J15" s="135">
        <f>+Roanne!F15+Montpe!F15+Grenoble!F15+Nancy!F15+STMarcelin!F15+PSA!F15+Dijon!F15</f>
        <v>9145.6666666666661</v>
      </c>
      <c r="K15" s="113">
        <f t="shared" si="0"/>
        <v>0</v>
      </c>
      <c r="L15" s="161">
        <f t="shared" si="1"/>
        <v>0</v>
      </c>
      <c r="M15" s="149">
        <f t="shared" si="2"/>
        <v>-0.18669038091003415</v>
      </c>
      <c r="N15" s="271">
        <f t="shared" si="3"/>
        <v>-1</v>
      </c>
      <c r="O15" s="117">
        <f>+Roanne!D15+Montpe!D15+Grenoble!D15+Nancy!D15+STMarcelin!D15+PSA!D15</f>
        <v>0</v>
      </c>
      <c r="P15" s="2">
        <v>0</v>
      </c>
    </row>
    <row r="16" spans="1:16" s="2" customFormat="1" ht="11.25">
      <c r="A16" s="5" t="s">
        <v>85</v>
      </c>
      <c r="B16" s="160">
        <f>+Roanne!$G16</f>
        <v>0</v>
      </c>
      <c r="C16" s="113">
        <f>+Montpe!$G16</f>
        <v>0</v>
      </c>
      <c r="D16" s="113">
        <f>+Nancy!$G16</f>
        <v>0</v>
      </c>
      <c r="E16" s="113">
        <f>+STMarcelin!$G16</f>
        <v>0</v>
      </c>
      <c r="F16" s="113">
        <f>+Grenoble!$G16</f>
        <v>0</v>
      </c>
      <c r="G16" s="113">
        <f>+PSA!$G16</f>
        <v>0</v>
      </c>
      <c r="H16" s="113">
        <f>+Dijon!$G16</f>
        <v>0</v>
      </c>
      <c r="I16" s="160">
        <f>+Roanne!E16+Montpe!E16+Grenoble!E16+Nancy!E16+STMarcelin!E16+PSA!E16</f>
        <v>281.5</v>
      </c>
      <c r="J16" s="135">
        <f>+Roanne!F16+Montpe!F16+Grenoble!F16+Nancy!F16+STMarcelin!F16+PSA!F16+Dijon!F16</f>
        <v>0</v>
      </c>
      <c r="K16" s="113">
        <f t="shared" si="0"/>
        <v>0</v>
      </c>
      <c r="L16" s="161">
        <f t="shared" si="1"/>
        <v>0</v>
      </c>
      <c r="M16" s="149">
        <f t="shared" si="2"/>
        <v>-1</v>
      </c>
      <c r="N16" s="271">
        <f t="shared" si="3"/>
        <v>0</v>
      </c>
      <c r="O16" s="117">
        <f>+Roanne!D16+Montpe!D16+Grenoble!D16+Nancy!D16+STMarcelin!D16+PSA!D16</f>
        <v>0</v>
      </c>
      <c r="P16" s="2">
        <v>0</v>
      </c>
    </row>
    <row r="17" spans="1:16" s="2" customFormat="1" ht="11.25">
      <c r="A17" s="5" t="s">
        <v>88</v>
      </c>
      <c r="B17" s="160">
        <f>+Roanne!$G17</f>
        <v>0</v>
      </c>
      <c r="C17" s="113">
        <f>+Montpe!$G17</f>
        <v>0</v>
      </c>
      <c r="D17" s="113">
        <f>+Nancy!$G17</f>
        <v>0</v>
      </c>
      <c r="E17" s="113">
        <f>+STMarcelin!$G17</f>
        <v>0</v>
      </c>
      <c r="F17" s="113">
        <f>+Grenoble!$G17</f>
        <v>0</v>
      </c>
      <c r="G17" s="113">
        <f>+PSA!$G17</f>
        <v>0</v>
      </c>
      <c r="H17" s="113">
        <f>+Dijon!$G17</f>
        <v>0</v>
      </c>
      <c r="I17" s="160">
        <f>+Roanne!E17+Montpe!E17+Grenoble!E17+Nancy!E17+STMarcelin!E17+PSA!E17</f>
        <v>0</v>
      </c>
      <c r="J17" s="135">
        <f>+Roanne!F17+Montpe!F17+Grenoble!F17+Nancy!F17+STMarcelin!F17+PSA!F17+Dijon!F17</f>
        <v>0</v>
      </c>
      <c r="K17" s="113">
        <f t="shared" si="0"/>
        <v>0</v>
      </c>
      <c r="L17" s="161">
        <f t="shared" si="1"/>
        <v>0</v>
      </c>
      <c r="M17" s="149">
        <f t="shared" si="2"/>
        <v>0</v>
      </c>
      <c r="N17" s="271">
        <f t="shared" si="3"/>
        <v>0</v>
      </c>
      <c r="O17" s="117">
        <f>+Roanne!D17+Montpe!D17+Grenoble!D17+Nancy!D17+STMarcelin!D17+PSA!D17</f>
        <v>0</v>
      </c>
      <c r="P17" s="2">
        <v>0</v>
      </c>
    </row>
    <row r="18" spans="1:16" s="2" customFormat="1" ht="11.25">
      <c r="A18" s="5" t="s">
        <v>89</v>
      </c>
      <c r="B18" s="160">
        <f>+Roanne!$G18</f>
        <v>0</v>
      </c>
      <c r="C18" s="113">
        <f>+Montpe!$G18</f>
        <v>0</v>
      </c>
      <c r="D18" s="113">
        <f>+Nancy!$G18</f>
        <v>0</v>
      </c>
      <c r="E18" s="113">
        <f>+STMarcelin!$G18</f>
        <v>0</v>
      </c>
      <c r="F18" s="113">
        <f>+Grenoble!$G18</f>
        <v>0</v>
      </c>
      <c r="G18" s="113">
        <f>+PSA!$G18</f>
        <v>0</v>
      </c>
      <c r="H18" s="113">
        <f>+Dijon!$G18</f>
        <v>0</v>
      </c>
      <c r="I18" s="160">
        <f>+Roanne!E18+Montpe!E18+Grenoble!E18+Nancy!E18+STMarcelin!E18+PSA!E18</f>
        <v>0</v>
      </c>
      <c r="J18" s="135">
        <f>+Roanne!F18+Montpe!F18+Grenoble!F18+Nancy!F18+STMarcelin!F18+PSA!F18+Dijon!F18</f>
        <v>0</v>
      </c>
      <c r="K18" s="113">
        <f t="shared" si="0"/>
        <v>0</v>
      </c>
      <c r="L18" s="161">
        <f t="shared" si="1"/>
        <v>0</v>
      </c>
      <c r="M18" s="149">
        <f t="shared" si="2"/>
        <v>0</v>
      </c>
      <c r="N18" s="271">
        <f t="shared" si="3"/>
        <v>0</v>
      </c>
      <c r="O18" s="117">
        <f>+Roanne!D18+Montpe!D18+Grenoble!D18+Nancy!D18+STMarcelin!D18+PSA!D18</f>
        <v>0</v>
      </c>
      <c r="P18" s="2">
        <v>0</v>
      </c>
    </row>
    <row r="19" spans="1:16" s="2" customFormat="1" ht="11.25">
      <c r="A19" s="5" t="s">
        <v>90</v>
      </c>
      <c r="B19" s="160">
        <f>+Roanne!$G19</f>
        <v>0</v>
      </c>
      <c r="C19" s="113">
        <f>+Montpe!$G19</f>
        <v>0</v>
      </c>
      <c r="D19" s="113">
        <f>+Nancy!$G19</f>
        <v>0</v>
      </c>
      <c r="E19" s="113">
        <f>+STMarcelin!$G19</f>
        <v>0</v>
      </c>
      <c r="F19" s="113">
        <f>+Grenoble!$G19</f>
        <v>0</v>
      </c>
      <c r="G19" s="113">
        <f>+PSA!$G19</f>
        <v>0</v>
      </c>
      <c r="H19" s="113">
        <f>+Dijon!$G19</f>
        <v>0</v>
      </c>
      <c r="I19" s="160">
        <f>+Roanne!E19+Montpe!E19+Grenoble!E19+Nancy!E19+STMarcelin!E19+PSA!E19</f>
        <v>0</v>
      </c>
      <c r="J19" s="135">
        <f>+Roanne!F19+Montpe!F19+Grenoble!F19+Nancy!F19+STMarcelin!F19+PSA!F19+Dijon!F19</f>
        <v>1676.2799999999988</v>
      </c>
      <c r="K19" s="113">
        <f t="shared" si="0"/>
        <v>0</v>
      </c>
      <c r="L19" s="161">
        <f t="shared" si="1"/>
        <v>0</v>
      </c>
      <c r="M19" s="149">
        <f t="shared" si="2"/>
        <v>0</v>
      </c>
      <c r="N19" s="271">
        <f t="shared" si="3"/>
        <v>-1</v>
      </c>
      <c r="O19" s="117">
        <f>+Roanne!D19+Montpe!D19+Grenoble!D19+Nancy!D19+STMarcelin!D19+PSA!D19</f>
        <v>0</v>
      </c>
      <c r="P19" s="2">
        <v>0</v>
      </c>
    </row>
    <row r="20" spans="1:16" s="2" customFormat="1" ht="11.25">
      <c r="A20" s="5"/>
      <c r="B20" s="160"/>
      <c r="C20" s="113"/>
      <c r="D20" s="113"/>
      <c r="E20" s="113"/>
      <c r="F20" s="113"/>
      <c r="G20" s="113"/>
      <c r="H20" s="113"/>
      <c r="I20" s="160"/>
      <c r="J20" s="134"/>
      <c r="K20" s="25"/>
      <c r="L20" s="154"/>
      <c r="M20" s="149"/>
      <c r="N20" s="254"/>
      <c r="O20" s="115"/>
      <c r="P20" s="2">
        <v>0</v>
      </c>
    </row>
    <row r="21" spans="1:16" s="57" customFormat="1" ht="15" customHeight="1">
      <c r="A21" s="13" t="s">
        <v>222</v>
      </c>
      <c r="B21" s="163">
        <f t="shared" ref="B21:G21" si="4">SUM(B7:B20)</f>
        <v>1420317</v>
      </c>
      <c r="C21" s="204">
        <f t="shared" si="4"/>
        <v>867313</v>
      </c>
      <c r="D21" s="204">
        <f t="shared" si="4"/>
        <v>913405</v>
      </c>
      <c r="E21" s="204">
        <f t="shared" si="4"/>
        <v>328645</v>
      </c>
      <c r="F21" s="204">
        <f t="shared" si="4"/>
        <v>2061415</v>
      </c>
      <c r="G21" s="204">
        <f t="shared" si="4"/>
        <v>2350978</v>
      </c>
      <c r="H21" s="168">
        <f>SUM(H7:H20)</f>
        <v>651115</v>
      </c>
      <c r="I21" s="163">
        <f>SUM(I8:I20)</f>
        <v>8048616.7600000007</v>
      </c>
      <c r="J21" s="136">
        <f>SUM(J7:J20)</f>
        <v>7987273.5108754532</v>
      </c>
      <c r="K21" s="204">
        <f>SUM(K8:K19)</f>
        <v>8593188</v>
      </c>
      <c r="L21" s="118">
        <f>SUM(L8:L20)</f>
        <v>8593188</v>
      </c>
      <c r="M21" s="1203">
        <f>+IF((I21)=0,,(J21-I21)/I21)</f>
        <v>-7.6215890200426765E-3</v>
      </c>
      <c r="N21" s="188">
        <f>+IF((J21)=0,,(L21-J21)/J21)</f>
        <v>7.5859990057875817E-2</v>
      </c>
      <c r="O21" s="312">
        <f>+Roanne!D21+Montpe!D21+Grenoble!D21+Nancy!D21+STMarcelin!D21+PSA!D21</f>
        <v>8174849</v>
      </c>
      <c r="P21" s="57">
        <v>1</v>
      </c>
    </row>
    <row r="22" spans="1:16" s="57" customFormat="1" ht="15" customHeight="1">
      <c r="A22" s="5"/>
      <c r="B22" s="160"/>
      <c r="C22" s="113"/>
      <c r="D22" s="113"/>
      <c r="E22" s="113"/>
      <c r="F22" s="113"/>
      <c r="G22" s="113"/>
      <c r="H22" s="113"/>
      <c r="I22" s="160"/>
      <c r="J22" s="134"/>
      <c r="K22" s="25"/>
      <c r="L22" s="154"/>
      <c r="M22" s="149"/>
      <c r="N22" s="271"/>
      <c r="O22" s="115">
        <f>+Roanne!D22+Montpe!D22+Grenoble!D22+Nancy!D22+STMarcelin!D22+PSA!D22</f>
        <v>0</v>
      </c>
      <c r="P22" s="57">
        <v>0</v>
      </c>
    </row>
    <row r="23" spans="1:16" s="25" customFormat="1" ht="11.25">
      <c r="A23" s="5" t="s">
        <v>92</v>
      </c>
      <c r="B23" s="160">
        <f>+Roanne!$G23</f>
        <v>0</v>
      </c>
      <c r="C23" s="113">
        <f>+Montpe!$G23</f>
        <v>0</v>
      </c>
      <c r="D23" s="113">
        <f>+Nancy!$G23</f>
        <v>0</v>
      </c>
      <c r="E23" s="113">
        <f>+STMarcelin!$G23</f>
        <v>0</v>
      </c>
      <c r="F23" s="113">
        <f>+Grenoble!$G23</f>
        <v>0</v>
      </c>
      <c r="G23" s="113">
        <f>+PSA!$G23</f>
        <v>0</v>
      </c>
      <c r="H23" s="113">
        <f>+Dijon!$G23</f>
        <v>0</v>
      </c>
      <c r="I23" s="160">
        <f>+Roanne!E23+Montpe!E23+Grenoble!E23+Nancy!E23+STMarcelin!E23+PSA!E23</f>
        <v>53.4</v>
      </c>
      <c r="J23" s="134"/>
      <c r="K23" s="113">
        <v>0</v>
      </c>
      <c r="L23" s="161">
        <f t="shared" ref="L23:L29" si="5">SUM(B23:H23)</f>
        <v>0</v>
      </c>
      <c r="M23" s="149"/>
      <c r="N23" s="271"/>
      <c r="O23" s="115">
        <f>+Roanne!D23+Montpe!D23+Grenoble!D23+Nancy!D23+STMarcelin!D23+PSA!D23</f>
        <v>0</v>
      </c>
      <c r="P23" s="25">
        <v>0</v>
      </c>
    </row>
    <row r="24" spans="1:16" s="25" customFormat="1" ht="11.25">
      <c r="A24" s="5" t="s">
        <v>93</v>
      </c>
      <c r="B24" s="160">
        <f>+Roanne!$G24</f>
        <v>481203.39960000006</v>
      </c>
      <c r="C24" s="113">
        <f>+Montpe!$G24</f>
        <v>366439.74250000005</v>
      </c>
      <c r="D24" s="113">
        <f>+Nancy!$G24</f>
        <v>368102.21500000003</v>
      </c>
      <c r="E24" s="113">
        <f>+STMarcelin!$G24</f>
        <v>120203.55197499999</v>
      </c>
      <c r="F24" s="113">
        <f>+Grenoble!$G24</f>
        <v>809084.77334999992</v>
      </c>
      <c r="G24" s="113">
        <f>+PSA!$G24</f>
        <v>1122262.8580800002</v>
      </c>
      <c r="H24" s="162">
        <f>+Dijon!$G24</f>
        <v>259794.88500000001</v>
      </c>
      <c r="I24" s="160">
        <f>+Roanne!E24+Montpe!E24+Grenoble!E24+Nancy!E24+STMarcelin!E24+PSA!E24</f>
        <v>2910516.04</v>
      </c>
      <c r="J24" s="134"/>
      <c r="K24" s="113">
        <v>0</v>
      </c>
      <c r="L24" s="161">
        <f t="shared" si="5"/>
        <v>3527091.4255050002</v>
      </c>
      <c r="M24" s="92"/>
      <c r="N24" s="271"/>
      <c r="O24" s="400">
        <f>+Roanne!D24+Montpe!D24+Grenoble!D24+Nancy!D24+STMarcelin!D24+PSA!D24</f>
        <v>0</v>
      </c>
      <c r="P24" s="25">
        <v>1</v>
      </c>
    </row>
    <row r="25" spans="1:16" s="25" customFormat="1" ht="11.25">
      <c r="A25" s="5" t="s">
        <v>94</v>
      </c>
      <c r="B25" s="160">
        <f>+Roanne!$G25</f>
        <v>0</v>
      </c>
      <c r="C25" s="113">
        <f>+Montpe!$G25</f>
        <v>0</v>
      </c>
      <c r="D25" s="113">
        <f>+Nancy!$G25</f>
        <v>0</v>
      </c>
      <c r="E25" s="113">
        <f>+STMarcelin!$G25</f>
        <v>0</v>
      </c>
      <c r="F25" s="113">
        <f>+Grenoble!$G25</f>
        <v>0</v>
      </c>
      <c r="G25" s="113">
        <f>+PSA!$G25</f>
        <v>0</v>
      </c>
      <c r="H25" s="113">
        <f>+Dijon!$G25</f>
        <v>0</v>
      </c>
      <c r="I25" s="160">
        <f>+Roanne!E25+Montpe!E25+Grenoble!E25+Nancy!E25+STMarcelin!E25+PSA!E25</f>
        <v>237949.91</v>
      </c>
      <c r="J25" s="134"/>
      <c r="K25" s="113">
        <v>0</v>
      </c>
      <c r="L25" s="161">
        <f t="shared" si="5"/>
        <v>0</v>
      </c>
      <c r="M25" s="149"/>
      <c r="N25" s="271"/>
      <c r="O25" s="115">
        <f>+Roanne!D25+Montpe!D25+Grenoble!D25+Nancy!D25+STMarcelin!D25+PSA!D25</f>
        <v>0</v>
      </c>
      <c r="P25" s="25">
        <v>0</v>
      </c>
    </row>
    <row r="26" spans="1:16" s="1415" customFormat="1" ht="15" customHeight="1">
      <c r="A26" s="5" t="s">
        <v>288</v>
      </c>
      <c r="B26" s="160">
        <f>+Roanne!$G26</f>
        <v>0</v>
      </c>
      <c r="C26" s="113">
        <f>+Montpe!$G26</f>
        <v>0</v>
      </c>
      <c r="D26" s="113">
        <f>+Nancy!$G26</f>
        <v>0</v>
      </c>
      <c r="E26" s="113">
        <f>+STMarcelin!$G26</f>
        <v>0</v>
      </c>
      <c r="F26" s="113">
        <f>+Grenoble!$G26</f>
        <v>0</v>
      </c>
      <c r="G26" s="113">
        <f>+PSA!$G26</f>
        <v>0</v>
      </c>
      <c r="H26" s="113">
        <f>+Dijon!$G26</f>
        <v>0</v>
      </c>
      <c r="I26" s="160">
        <f>+Roanne!E26+Montpe!E26+Grenoble!E26+Nancy!E26+STMarcelin!E26+PSA!E26</f>
        <v>210299</v>
      </c>
      <c r="J26" s="134"/>
      <c r="K26" s="113">
        <v>0</v>
      </c>
      <c r="L26" s="161">
        <f t="shared" si="5"/>
        <v>0</v>
      </c>
      <c r="M26" s="149"/>
      <c r="N26" s="271"/>
      <c r="O26" s="115">
        <f>+Roanne!D26+Montpe!D26+Grenoble!D26+Nancy!D26+STMarcelin!D26+PSA!D26</f>
        <v>0</v>
      </c>
      <c r="P26" s="1415">
        <v>0</v>
      </c>
    </row>
    <row r="27" spans="1:16" s="1415" customFormat="1" ht="15" customHeight="1">
      <c r="A27" s="5" t="s">
        <v>289</v>
      </c>
      <c r="B27" s="160">
        <f>+Roanne!$G27</f>
        <v>0</v>
      </c>
      <c r="C27" s="113">
        <f>+Montpe!$G27</f>
        <v>0</v>
      </c>
      <c r="D27" s="113">
        <f>+Nancy!$G27</f>
        <v>0</v>
      </c>
      <c r="E27" s="113">
        <f>+STMarcelin!$G27</f>
        <v>0</v>
      </c>
      <c r="F27" s="113">
        <f>+Grenoble!$G27</f>
        <v>0</v>
      </c>
      <c r="G27" s="113">
        <f>+PSA!$G27</f>
        <v>0</v>
      </c>
      <c r="H27" s="113">
        <f>+Dijon!$G27</f>
        <v>0</v>
      </c>
      <c r="I27" s="160">
        <f>+Roanne!E27+Montpe!E27+Grenoble!E27+Nancy!E27+STMarcelin!E27+PSA!E27</f>
        <v>-176771</v>
      </c>
      <c r="J27" s="134"/>
      <c r="K27" s="113">
        <v>0</v>
      </c>
      <c r="L27" s="161">
        <f t="shared" si="5"/>
        <v>0</v>
      </c>
      <c r="M27" s="149"/>
      <c r="N27" s="271"/>
      <c r="O27" s="115">
        <f>+Roanne!D27+Montpe!D27+Grenoble!D27+Nancy!D27+STMarcelin!D27+PSA!D27</f>
        <v>0</v>
      </c>
      <c r="P27" s="1415">
        <v>0</v>
      </c>
    </row>
    <row r="28" spans="1:16" s="25" customFormat="1" ht="11.25">
      <c r="A28" s="5" t="s">
        <v>95</v>
      </c>
      <c r="B28" s="160">
        <f>+Roanne!$G28</f>
        <v>393711.87239999999</v>
      </c>
      <c r="C28" s="113">
        <f>+Montpe!$G28</f>
        <v>197313.70750000002</v>
      </c>
      <c r="D28" s="113">
        <f>+Nancy!$G28</f>
        <v>198208.88499999998</v>
      </c>
      <c r="E28" s="113">
        <f>+STMarcelin!$G28</f>
        <v>64724.98952499999</v>
      </c>
      <c r="F28" s="113">
        <f>+Grenoble!$G28</f>
        <v>475176.77164999995</v>
      </c>
      <c r="G28" s="113">
        <f>+PSA!$G28</f>
        <v>436435.55592000007</v>
      </c>
      <c r="H28" s="162">
        <f>+Dijon!$G28</f>
        <v>173196.59000000003</v>
      </c>
      <c r="I28" s="160">
        <f>+Roanne!E28+Montpe!E28+Grenoble!E28+Nancy!E28+STMarcelin!E28+PSA!E28</f>
        <v>1702525.08</v>
      </c>
      <c r="J28" s="134"/>
      <c r="K28" s="113">
        <v>0</v>
      </c>
      <c r="L28" s="161">
        <f t="shared" si="5"/>
        <v>1938768.3719949999</v>
      </c>
      <c r="M28" s="92"/>
      <c r="N28" s="271"/>
      <c r="O28" s="400">
        <f>+Roanne!D28+Montpe!D28+Grenoble!D28+Nancy!D28+STMarcelin!D28+PSA!D28</f>
        <v>1.3166832131686206</v>
      </c>
      <c r="P28" s="25">
        <v>1</v>
      </c>
    </row>
    <row r="29" spans="1:16" s="2" customFormat="1" ht="11.25">
      <c r="A29" s="5" t="s">
        <v>293</v>
      </c>
      <c r="B29" s="160">
        <f>+Roanne!$G29</f>
        <v>0</v>
      </c>
      <c r="C29" s="113">
        <f>+Montpe!$G29</f>
        <v>0</v>
      </c>
      <c r="D29" s="113">
        <f>+Nancy!$G29</f>
        <v>0</v>
      </c>
      <c r="E29" s="113">
        <f>+STMarcelin!$G29</f>
        <v>0</v>
      </c>
      <c r="F29" s="113">
        <f>+Grenoble!$G29</f>
        <v>0</v>
      </c>
      <c r="G29" s="113">
        <f>+PSA!$G29</f>
        <v>0</v>
      </c>
      <c r="H29" s="113">
        <f>+Dijon!$G29</f>
        <v>0</v>
      </c>
      <c r="I29" s="160">
        <f>+Roanne!E29+Montpe!E29+Grenoble!E29+Nancy!E29+STMarcelin!E29+PSA!E29</f>
        <v>157975.81</v>
      </c>
      <c r="J29" s="134"/>
      <c r="K29" s="113">
        <v>0</v>
      </c>
      <c r="L29" s="161">
        <f t="shared" si="5"/>
        <v>0</v>
      </c>
      <c r="M29" s="149"/>
      <c r="N29" s="271"/>
      <c r="O29" s="115">
        <f>+Roanne!D29+Montpe!D29+Grenoble!D29+Nancy!D29+STMarcelin!D29+PSA!D29</f>
        <v>0</v>
      </c>
      <c r="P29" s="2">
        <v>0</v>
      </c>
    </row>
    <row r="30" spans="1:16" s="2" customFormat="1" ht="11.25">
      <c r="A30" s="42" t="s">
        <v>292</v>
      </c>
      <c r="B30" s="164">
        <f t="shared" ref="B30:I30" si="6">SUM(B23:B29)</f>
        <v>874915.27200000011</v>
      </c>
      <c r="C30" s="220">
        <f t="shared" si="6"/>
        <v>563753.45000000007</v>
      </c>
      <c r="D30" s="220">
        <f t="shared" si="6"/>
        <v>566311.1</v>
      </c>
      <c r="E30" s="220">
        <f t="shared" si="6"/>
        <v>184928.54149999999</v>
      </c>
      <c r="F30" s="220">
        <f t="shared" si="6"/>
        <v>1284261.5449999999</v>
      </c>
      <c r="G30" s="220">
        <f t="shared" si="6"/>
        <v>1558698.4140000003</v>
      </c>
      <c r="H30" s="165">
        <f>SUM(H23:H29)</f>
        <v>432991.47500000003</v>
      </c>
      <c r="I30" s="164">
        <f t="shared" si="6"/>
        <v>5042548.2399999993</v>
      </c>
      <c r="J30" s="137"/>
      <c r="K30" s="220">
        <v>0</v>
      </c>
      <c r="L30" s="165">
        <f>SUM(L23:L29)</f>
        <v>5465859.7975000003</v>
      </c>
      <c r="M30" s="1204"/>
      <c r="N30" s="342"/>
      <c r="O30" s="402">
        <f>+Roanne!D30+Montpe!D30+Grenoble!D30+Nancy!D30+STMarcelin!D30+PSA!D30</f>
        <v>0</v>
      </c>
      <c r="P30" s="2">
        <v>1</v>
      </c>
    </row>
    <row r="31" spans="1:16" s="2" customFormat="1" ht="15" customHeight="1">
      <c r="A31" s="5"/>
      <c r="B31" s="160"/>
      <c r="C31" s="113"/>
      <c r="D31" s="113"/>
      <c r="E31" s="113"/>
      <c r="F31" s="113"/>
      <c r="G31" s="113"/>
      <c r="H31" s="113"/>
      <c r="I31" s="160"/>
      <c r="J31" s="134"/>
      <c r="K31" s="25"/>
      <c r="L31" s="162"/>
      <c r="M31" s="149"/>
      <c r="N31" s="254"/>
      <c r="O31" s="115">
        <f>+Roanne!D31+Montpe!D31+Grenoble!D31+Nancy!D31+STMarcelin!D31+PSA!D31</f>
        <v>0</v>
      </c>
      <c r="P31" s="2">
        <v>0</v>
      </c>
    </row>
    <row r="32" spans="1:16" s="2" customFormat="1" ht="15" customHeight="1">
      <c r="A32" s="56" t="s">
        <v>336</v>
      </c>
      <c r="B32" s="166">
        <f t="shared" ref="B32:I32" si="7">+B21-B30-B38</f>
        <v>545401.72799999989</v>
      </c>
      <c r="C32" s="221">
        <f t="shared" si="7"/>
        <v>303559.54999999993</v>
      </c>
      <c r="D32" s="221">
        <f t="shared" si="7"/>
        <v>347093.9</v>
      </c>
      <c r="E32" s="221">
        <f t="shared" si="7"/>
        <v>143716.45850000001</v>
      </c>
      <c r="F32" s="221">
        <f>+F21-F30-F38</f>
        <v>777153.45500000007</v>
      </c>
      <c r="G32" s="221">
        <f t="shared" si="7"/>
        <v>792279.58599999966</v>
      </c>
      <c r="H32" s="167">
        <f>+H21-H30-H38</f>
        <v>218123.52499999997</v>
      </c>
      <c r="I32" s="166">
        <f t="shared" si="7"/>
        <v>2968259.7108000014</v>
      </c>
      <c r="J32" s="138"/>
      <c r="K32" s="350">
        <v>8347306.2343000006</v>
      </c>
      <c r="L32" s="167">
        <f>+L21-L30-L38</f>
        <v>3127328.2024999997</v>
      </c>
      <c r="M32" s="1204"/>
      <c r="N32" s="274"/>
      <c r="O32" s="403">
        <f>+Roanne!D32+Montpe!D32+Grenoble!D32+Nancy!D32+STMarcelin!D32+PSA!D32</f>
        <v>0</v>
      </c>
      <c r="P32" s="2">
        <v>1</v>
      </c>
    </row>
    <row r="33" spans="1:16" s="2" customFormat="1" ht="11.25">
      <c r="A33" s="56" t="s">
        <v>337</v>
      </c>
      <c r="B33" s="196">
        <f t="shared" ref="B33:I33" si="8">+B32/B21</f>
        <v>0.3839999999999999</v>
      </c>
      <c r="C33" s="222">
        <f t="shared" si="8"/>
        <v>0.34999999999999992</v>
      </c>
      <c r="D33" s="222">
        <f t="shared" si="8"/>
        <v>0.38</v>
      </c>
      <c r="E33" s="222">
        <f t="shared" si="8"/>
        <v>0.43730000000000002</v>
      </c>
      <c r="F33" s="222">
        <f t="shared" si="8"/>
        <v>0.37700000000000006</v>
      </c>
      <c r="G33" s="222">
        <f t="shared" si="8"/>
        <v>0.33699999999999986</v>
      </c>
      <c r="H33" s="189">
        <f>+H32/H21</f>
        <v>0.33499999999999996</v>
      </c>
      <c r="I33" s="196">
        <f t="shared" si="8"/>
        <v>0.36879128418086105</v>
      </c>
      <c r="J33" s="138"/>
      <c r="K33" s="222">
        <v>1</v>
      </c>
      <c r="L33" s="189">
        <f>+L32/L21</f>
        <v>0.3639310815147998</v>
      </c>
      <c r="M33" s="1204"/>
      <c r="N33" s="274"/>
      <c r="O33" s="403">
        <f>+Roanne!D33+Montpe!D33+Grenoble!D33+Nancy!D33+STMarcelin!D33+PSA!D33</f>
        <v>0</v>
      </c>
      <c r="P33" s="2">
        <v>1</v>
      </c>
    </row>
    <row r="34" spans="1:16" s="2" customFormat="1" ht="11.25">
      <c r="A34" s="5"/>
      <c r="B34" s="160"/>
      <c r="C34" s="113"/>
      <c r="D34" s="113"/>
      <c r="E34" s="113"/>
      <c r="F34" s="113"/>
      <c r="G34" s="113"/>
      <c r="H34" s="113"/>
      <c r="I34" s="160"/>
      <c r="J34" s="134"/>
      <c r="K34" s="25"/>
      <c r="L34" s="154"/>
      <c r="M34" s="149"/>
      <c r="N34" s="271"/>
      <c r="O34" s="115">
        <f>+Roanne!D34+Montpe!D34+Grenoble!D34+Nancy!D34+STMarcelin!D34+PSA!D34</f>
        <v>0</v>
      </c>
      <c r="P34" s="2">
        <v>0</v>
      </c>
    </row>
    <row r="35" spans="1:16" s="59" customFormat="1" ht="15" customHeight="1">
      <c r="A35" s="5" t="s">
        <v>96</v>
      </c>
      <c r="B35" s="160">
        <f>+Roanne!$G35</f>
        <v>7044.3928463973598</v>
      </c>
      <c r="C35" s="113">
        <f>+Montpe!$G35</f>
        <v>4878.7701307818334</v>
      </c>
      <c r="D35" s="113">
        <f>+Nancy!$G35</f>
        <v>7307.4292993998633</v>
      </c>
      <c r="E35" s="113">
        <f>+STMarcelin!$G35</f>
        <v>1186.2057586627584</v>
      </c>
      <c r="F35" s="113">
        <f>+Grenoble!$G35</f>
        <v>9792.1002729041811</v>
      </c>
      <c r="G35" s="113">
        <f>+PSA!$G35</f>
        <v>13573.103286387211</v>
      </c>
      <c r="H35" s="162">
        <f>+Dijon!$G35</f>
        <v>4329.9147500000008</v>
      </c>
      <c r="I35" s="160">
        <f>+Roanne!E35+Montpe!E35+Grenoble!E35+Nancy!E35+STMarcelin!E35+PSA!E35</f>
        <v>43914.21</v>
      </c>
      <c r="J35" s="134"/>
      <c r="K35" s="113">
        <v>0</v>
      </c>
      <c r="L35" s="161">
        <f t="shared" ref="L35:L42" si="9">SUM(B35:H35)</f>
        <v>48111.916344533209</v>
      </c>
      <c r="M35" s="92"/>
      <c r="N35" s="271"/>
      <c r="O35" s="400">
        <f>+Roanne!D35+Montpe!D35+Grenoble!D35+Nancy!D35+STMarcelin!D35+PSA!D35</f>
        <v>0</v>
      </c>
      <c r="P35" s="59">
        <v>1</v>
      </c>
    </row>
    <row r="36" spans="1:16" s="25" customFormat="1" ht="11.25">
      <c r="A36" s="5" t="s">
        <v>97</v>
      </c>
      <c r="B36" s="160">
        <f>+Roanne!$G36</f>
        <v>3117.1909381053001</v>
      </c>
      <c r="C36" s="113">
        <f>+Montpe!$G36</f>
        <v>2191.7497604531295</v>
      </c>
      <c r="D36" s="113">
        <f>+Nancy!$G36</f>
        <v>1337.1576006438968</v>
      </c>
      <c r="E36" s="113">
        <f>+STMarcelin!$G36</f>
        <v>142.27482297029746</v>
      </c>
      <c r="F36" s="113">
        <f>+Grenoble!$G36</f>
        <v>2477.1469668971358</v>
      </c>
      <c r="G36" s="113">
        <f>+PSA!$G36</f>
        <v>457.66372701079132</v>
      </c>
      <c r="H36" s="162">
        <f>+Dijon!$G36</f>
        <v>865.98295000000007</v>
      </c>
      <c r="I36" s="160">
        <f>+Roanne!E36+Montpe!E36+Grenoble!E36+Nancy!E36+STMarcelin!E36+PSA!E36</f>
        <v>9760.4699999999993</v>
      </c>
      <c r="J36" s="134"/>
      <c r="K36" s="113">
        <v>0</v>
      </c>
      <c r="L36" s="161">
        <f t="shared" si="9"/>
        <v>10589.166766080551</v>
      </c>
      <c r="M36" s="92"/>
      <c r="N36" s="271"/>
      <c r="O36" s="400">
        <f>+Roanne!D36+Montpe!D36+Grenoble!D36+Nancy!D36+STMarcelin!D36+PSA!D36</f>
        <v>0</v>
      </c>
      <c r="P36" s="25">
        <v>1</v>
      </c>
    </row>
    <row r="37" spans="1:16" s="59" customFormat="1" ht="15.75" customHeight="1">
      <c r="A37" s="5" t="s">
        <v>98</v>
      </c>
      <c r="B37" s="160">
        <f>+Roanne!$G37</f>
        <v>0</v>
      </c>
      <c r="C37" s="113">
        <f>+Montpe!$G37</f>
        <v>0</v>
      </c>
      <c r="D37" s="113">
        <f>+Nancy!$G37</f>
        <v>0</v>
      </c>
      <c r="E37" s="113">
        <f>+STMarcelin!$G37</f>
        <v>0</v>
      </c>
      <c r="F37" s="113">
        <f>+Grenoble!$G37</f>
        <v>0</v>
      </c>
      <c r="G37" s="113">
        <f>+PSA!$G37</f>
        <v>0</v>
      </c>
      <c r="H37" s="113">
        <f>+Dijon!$G37</f>
        <v>0</v>
      </c>
      <c r="I37" s="160">
        <f>+Roanne!E37+Montpe!E37+Grenoble!E37+Nancy!E37+STMarcelin!E37+PSA!E37</f>
        <v>0</v>
      </c>
      <c r="J37" s="134"/>
      <c r="K37" s="113">
        <v>0</v>
      </c>
      <c r="L37" s="161">
        <f t="shared" si="9"/>
        <v>0</v>
      </c>
      <c r="M37" s="149"/>
      <c r="N37" s="271"/>
      <c r="O37" s="115">
        <f>+Roanne!D37+Montpe!D37+Grenoble!D37+Nancy!D37+STMarcelin!D37+PSA!D37</f>
        <v>0</v>
      </c>
      <c r="P37" s="59">
        <v>0</v>
      </c>
    </row>
    <row r="38" spans="1:16" s="2" customFormat="1" ht="11.25">
      <c r="A38" s="5" t="s">
        <v>99</v>
      </c>
      <c r="B38" s="160">
        <f>+Roanne!$G38</f>
        <v>0</v>
      </c>
      <c r="C38" s="113">
        <f>+Montpe!$G38</f>
        <v>0</v>
      </c>
      <c r="D38" s="113">
        <f>+Nancy!$G38</f>
        <v>0</v>
      </c>
      <c r="E38" s="113">
        <f>+STMarcelin!$G38</f>
        <v>0</v>
      </c>
      <c r="F38" s="113">
        <f>+Grenoble!$G38</f>
        <v>0</v>
      </c>
      <c r="G38" s="113">
        <f>+PSA!$G38</f>
        <v>0</v>
      </c>
      <c r="H38" s="113">
        <f>+Dijon!$G38</f>
        <v>0</v>
      </c>
      <c r="I38" s="160">
        <f>+Roanne!E38+Montpe!E38+Grenoble!E38+Nancy!E38+STMarcelin!E38+PSA!E38</f>
        <v>37808.809200000091</v>
      </c>
      <c r="J38" s="134"/>
      <c r="K38" s="113">
        <v>0</v>
      </c>
      <c r="L38" s="161">
        <f t="shared" si="9"/>
        <v>0</v>
      </c>
      <c r="M38" s="149"/>
      <c r="N38" s="271"/>
      <c r="O38" s="115">
        <f>+Roanne!D38+Montpe!D38+Grenoble!D38+Nancy!D38+STMarcelin!D38+PSA!D38</f>
        <v>0</v>
      </c>
      <c r="P38" s="2">
        <v>0</v>
      </c>
    </row>
    <row r="39" spans="1:16" s="2" customFormat="1" ht="11.25">
      <c r="A39" s="5" t="s">
        <v>177</v>
      </c>
      <c r="B39" s="160">
        <f>+Roanne!$G39</f>
        <v>0</v>
      </c>
      <c r="C39" s="113">
        <f>+Montpe!$G39</f>
        <v>0</v>
      </c>
      <c r="D39" s="113">
        <f>+Nancy!$G39</f>
        <v>0</v>
      </c>
      <c r="E39" s="113">
        <f>+STMarcelin!$G39</f>
        <v>0</v>
      </c>
      <c r="F39" s="113">
        <f>+Grenoble!$G39</f>
        <v>0</v>
      </c>
      <c r="G39" s="113">
        <f>+PSA!$G39</f>
        <v>0</v>
      </c>
      <c r="H39" s="113">
        <f>+Dijon!$G39</f>
        <v>0</v>
      </c>
      <c r="I39" s="160">
        <f>+Roanne!E39+Montpe!E39+Grenoble!E39+Nancy!E39+STMarcelin!E39+PSA!E39</f>
        <v>50084.47</v>
      </c>
      <c r="J39" s="134"/>
      <c r="K39" s="113">
        <v>0</v>
      </c>
      <c r="L39" s="161">
        <f t="shared" si="9"/>
        <v>0</v>
      </c>
      <c r="M39" s="149"/>
      <c r="N39" s="271"/>
      <c r="O39" s="115">
        <f>+Roanne!D39+Montpe!D39+Grenoble!D39+Nancy!D39+STMarcelin!D39+PSA!D39</f>
        <v>0</v>
      </c>
      <c r="P39" s="2">
        <v>0</v>
      </c>
    </row>
    <row r="40" spans="1:16" s="2" customFormat="1" ht="11.25">
      <c r="A40" s="5" t="s">
        <v>176</v>
      </c>
      <c r="B40" s="160">
        <f>+Roanne!$G40</f>
        <v>0</v>
      </c>
      <c r="C40" s="113">
        <f>+Montpe!$G40</f>
        <v>0</v>
      </c>
      <c r="D40" s="113">
        <f>+Nancy!$G40</f>
        <v>0</v>
      </c>
      <c r="E40" s="113">
        <f>+STMarcelin!$G40</f>
        <v>0</v>
      </c>
      <c r="F40" s="113">
        <f>+Grenoble!$G40</f>
        <v>0</v>
      </c>
      <c r="G40" s="113">
        <f>+PSA!$G40</f>
        <v>0</v>
      </c>
      <c r="H40" s="113">
        <f>+Dijon!$G40</f>
        <v>0</v>
      </c>
      <c r="I40" s="160">
        <f>+Roanne!E40+Montpe!E40+Grenoble!E40+Nancy!E40+STMarcelin!E40+PSA!E40</f>
        <v>-43945.43</v>
      </c>
      <c r="J40" s="134"/>
      <c r="K40" s="113">
        <v>0</v>
      </c>
      <c r="L40" s="161">
        <f t="shared" si="9"/>
        <v>0</v>
      </c>
      <c r="M40" s="149"/>
      <c r="N40" s="271"/>
      <c r="O40" s="115">
        <f>+Roanne!D40+Montpe!D40+Grenoble!D40+Nancy!D40+STMarcelin!D40+PSA!D40</f>
        <v>0</v>
      </c>
      <c r="P40" s="2">
        <v>0</v>
      </c>
    </row>
    <row r="41" spans="1:16" s="2" customFormat="1" ht="11.25">
      <c r="A41" s="5" t="s">
        <v>317</v>
      </c>
      <c r="B41" s="160">
        <f>+Roanne!$G41</f>
        <v>-9624.0679920000021</v>
      </c>
      <c r="C41" s="113">
        <f>+Montpe!$G41</f>
        <v>-7328.7948500000011</v>
      </c>
      <c r="D41" s="113">
        <f>+Nancy!$G41</f>
        <v>-7362.0443000000005</v>
      </c>
      <c r="E41" s="113">
        <f>+STMarcelin!$G41</f>
        <v>-2404.0710395000001</v>
      </c>
      <c r="F41" s="113">
        <f>+Grenoble!$G41</f>
        <v>-16181.695467</v>
      </c>
      <c r="G41" s="113">
        <f>+PSA!$G41</f>
        <v>-22445.257161600002</v>
      </c>
      <c r="H41" s="113">
        <f>+Dijon!$G41</f>
        <v>-5195.8977000000004</v>
      </c>
      <c r="I41" s="160">
        <f>+Roanne!E41+Montpe!E41+Grenoble!E41+Nancy!E41+STMarcelin!E41+PSA!E41</f>
        <v>-71843.5</v>
      </c>
      <c r="J41" s="134"/>
      <c r="K41" s="113">
        <v>0</v>
      </c>
      <c r="L41" s="161">
        <f t="shared" si="9"/>
        <v>-70541.828510100007</v>
      </c>
      <c r="M41" s="149"/>
      <c r="N41" s="271"/>
      <c r="O41" s="115">
        <f>+Roanne!D41+Montpe!D41+Grenoble!D41+Nancy!D41+STMarcelin!D41+PSA!D41</f>
        <v>0</v>
      </c>
      <c r="P41" s="2">
        <v>0</v>
      </c>
    </row>
    <row r="42" spans="1:16" s="2" customFormat="1" ht="11.25">
      <c r="A42" s="5" t="s">
        <v>318</v>
      </c>
      <c r="B42" s="160">
        <f>+Roanne!$G42</f>
        <v>-27559.831068000003</v>
      </c>
      <c r="C42" s="113">
        <f>+Montpe!$G42</f>
        <v>-13811.959525000002</v>
      </c>
      <c r="D42" s="113">
        <f>+Nancy!$G42</f>
        <v>-13874.621950000001</v>
      </c>
      <c r="E42" s="113">
        <f>+STMarcelin!$G42</f>
        <v>-4530.7492667500001</v>
      </c>
      <c r="F42" s="113">
        <f>+Grenoble!$G42</f>
        <v>-33262.374015499998</v>
      </c>
      <c r="G42" s="113">
        <f>+PSA!$G42</f>
        <v>-30550.488914400008</v>
      </c>
      <c r="H42" s="113">
        <f>+Dijon!$G42</f>
        <v>-12123.761300000004</v>
      </c>
      <c r="I42" s="160">
        <f>+Roanne!E42+Montpe!E42+Grenoble!E42+Nancy!E42+STMarcelin!E42+PSA!E42</f>
        <v>-119841.93</v>
      </c>
      <c r="J42" s="134"/>
      <c r="K42" s="113">
        <v>0</v>
      </c>
      <c r="L42" s="161">
        <f t="shared" si="9"/>
        <v>-135713.78603965</v>
      </c>
      <c r="M42" s="149"/>
      <c r="N42" s="271"/>
      <c r="O42" s="115">
        <f>+Roanne!D42+Montpe!D42+Grenoble!D42+Nancy!D42+STMarcelin!D42+PSA!D42</f>
        <v>0</v>
      </c>
      <c r="P42" s="2">
        <v>0</v>
      </c>
    </row>
    <row r="43" spans="1:16" s="2" customFormat="1" ht="11.25">
      <c r="A43" s="5"/>
      <c r="B43" s="160"/>
      <c r="C43" s="113"/>
      <c r="D43" s="113"/>
      <c r="E43" s="113"/>
      <c r="F43" s="113"/>
      <c r="G43" s="113"/>
      <c r="H43" s="113"/>
      <c r="I43" s="160"/>
      <c r="J43" s="134"/>
      <c r="K43" s="25"/>
      <c r="L43" s="154"/>
      <c r="M43" s="149"/>
      <c r="N43" s="254"/>
      <c r="O43" s="115">
        <f>+Roanne!D43+Montpe!D43+Grenoble!D43+Nancy!D43+STMarcelin!D43+PSA!D43</f>
        <v>0</v>
      </c>
      <c r="P43" s="2">
        <v>0</v>
      </c>
    </row>
    <row r="44" spans="1:16" s="2" customFormat="1" ht="11.25">
      <c r="A44" s="13" t="s">
        <v>291</v>
      </c>
      <c r="B44" s="163">
        <f t="shared" ref="B44:I44" si="10">+B30+SUM(B34:B43)</f>
        <v>847892.95672450273</v>
      </c>
      <c r="C44" s="204">
        <f t="shared" si="10"/>
        <v>549683.21551623498</v>
      </c>
      <c r="D44" s="204">
        <f t="shared" si="10"/>
        <v>553719.02065004373</v>
      </c>
      <c r="E44" s="204">
        <f t="shared" si="10"/>
        <v>179322.20177538306</v>
      </c>
      <c r="F44" s="204">
        <f t="shared" si="10"/>
        <v>1247086.7227573013</v>
      </c>
      <c r="G44" s="204">
        <f t="shared" si="10"/>
        <v>1519733.4349373984</v>
      </c>
      <c r="H44" s="168">
        <f>+H30+SUM(H34:H43)</f>
        <v>420867.71370000002</v>
      </c>
      <c r="I44" s="163">
        <f t="shared" si="10"/>
        <v>4948485.3391999993</v>
      </c>
      <c r="J44" s="139"/>
      <c r="K44" s="204">
        <v>0</v>
      </c>
      <c r="L44" s="168">
        <f>+L30+SUM(L34:L43)</f>
        <v>5318305.2660608646</v>
      </c>
      <c r="M44" s="1203"/>
      <c r="N44" s="188"/>
      <c r="O44" s="404">
        <f>+Roanne!D44+Montpe!D44+Grenoble!D44+Nancy!D44+STMarcelin!D44+PSA!D44</f>
        <v>0</v>
      </c>
      <c r="P44" s="2">
        <v>1</v>
      </c>
    </row>
    <row r="45" spans="1:16" s="2" customFormat="1" ht="11.25">
      <c r="A45" s="5"/>
      <c r="B45" s="160"/>
      <c r="C45" s="113"/>
      <c r="D45" s="113"/>
      <c r="E45" s="113"/>
      <c r="F45" s="113"/>
      <c r="G45" s="113"/>
      <c r="H45" s="113"/>
      <c r="I45" s="160"/>
      <c r="J45" s="134"/>
      <c r="K45" s="25"/>
      <c r="L45" s="162"/>
      <c r="M45" s="149"/>
      <c r="N45" s="254"/>
      <c r="O45" s="115">
        <f>+Roanne!D45+Montpe!D45+Grenoble!D45+Nancy!D45+STMarcelin!D45+PSA!D45</f>
        <v>0</v>
      </c>
      <c r="P45" s="2">
        <v>0</v>
      </c>
    </row>
    <row r="46" spans="1:16" s="2" customFormat="1" ht="11.25">
      <c r="A46" s="56" t="s">
        <v>339</v>
      </c>
      <c r="B46" s="166">
        <f t="shared" ref="B46:I46" si="11">+B21-B44</f>
        <v>572424.04327549727</v>
      </c>
      <c r="C46" s="221">
        <f t="shared" si="11"/>
        <v>317629.78448376502</v>
      </c>
      <c r="D46" s="221">
        <f t="shared" si="11"/>
        <v>359685.97934995627</v>
      </c>
      <c r="E46" s="221">
        <f t="shared" si="11"/>
        <v>149322.79822461694</v>
      </c>
      <c r="F46" s="221">
        <f>+F21-F44</f>
        <v>814328.27724269871</v>
      </c>
      <c r="G46" s="221">
        <f t="shared" si="11"/>
        <v>831244.56506260158</v>
      </c>
      <c r="H46" s="167">
        <f>+H21-H44</f>
        <v>230247.28629999998</v>
      </c>
      <c r="I46" s="166">
        <f t="shared" si="11"/>
        <v>3100131.4208000014</v>
      </c>
      <c r="J46" s="138"/>
      <c r="K46" s="351">
        <v>8347306.2343000006</v>
      </c>
      <c r="L46" s="167">
        <f>+L21-L44</f>
        <v>3274882.7339391354</v>
      </c>
      <c r="M46" s="1204"/>
      <c r="N46" s="274"/>
      <c r="O46" s="403">
        <f>+Roanne!D46+Montpe!D46+Grenoble!D46+Nancy!D46+STMarcelin!D46+PSA!D46</f>
        <v>0</v>
      </c>
      <c r="P46" s="2">
        <v>1</v>
      </c>
    </row>
    <row r="47" spans="1:16" s="2" customFormat="1" ht="11.25">
      <c r="A47" s="56" t="s">
        <v>340</v>
      </c>
      <c r="B47" s="196">
        <f t="shared" ref="B47:I47" si="12">+B46/B21</f>
        <v>0.40302555223622422</v>
      </c>
      <c r="C47" s="222">
        <f t="shared" si="12"/>
        <v>0.36622278748706061</v>
      </c>
      <c r="D47" s="222">
        <f t="shared" si="12"/>
        <v>0.39378586645568642</v>
      </c>
      <c r="E47" s="222">
        <f t="shared" si="12"/>
        <v>0.45435895335275733</v>
      </c>
      <c r="F47" s="222">
        <f t="shared" si="12"/>
        <v>0.39503364302806504</v>
      </c>
      <c r="G47" s="222">
        <f t="shared" si="12"/>
        <v>0.35357394457225955</v>
      </c>
      <c r="H47" s="189">
        <f>+H46/H21</f>
        <v>0.35361999999999999</v>
      </c>
      <c r="I47" s="196">
        <f t="shared" si="12"/>
        <v>0.3851756784106094</v>
      </c>
      <c r="J47" s="138"/>
      <c r="K47" s="222">
        <v>1</v>
      </c>
      <c r="L47" s="189">
        <f>+L46/L21</f>
        <v>0.38110218628280162</v>
      </c>
      <c r="M47" s="1204"/>
      <c r="N47" s="274"/>
      <c r="O47" s="403">
        <f>+Roanne!D47+Montpe!D47+Grenoble!D47+Nancy!D47+STMarcelin!D47+PSA!D47</f>
        <v>0</v>
      </c>
      <c r="P47" s="2">
        <v>1</v>
      </c>
    </row>
    <row r="48" spans="1:16" s="2" customFormat="1" ht="15" customHeight="1">
      <c r="A48" s="5"/>
      <c r="B48" s="160"/>
      <c r="C48" s="113"/>
      <c r="D48" s="113"/>
      <c r="E48" s="113"/>
      <c r="F48" s="113"/>
      <c r="G48" s="113"/>
      <c r="H48" s="113"/>
      <c r="I48" s="160"/>
      <c r="J48" s="134"/>
      <c r="K48" s="25"/>
      <c r="L48" s="154"/>
      <c r="M48" s="149"/>
      <c r="N48" s="271"/>
      <c r="O48" s="115">
        <f>+Roanne!D48+Montpe!D48+Grenoble!D48+Nancy!D48+STMarcelin!D48+PSA!D48</f>
        <v>0</v>
      </c>
      <c r="P48" s="2">
        <v>0</v>
      </c>
    </row>
    <row r="49" spans="1:16" s="2" customFormat="1" ht="11.25">
      <c r="A49" s="590" t="s">
        <v>91</v>
      </c>
      <c r="B49" s="276">
        <f>+Roanne!$G49</f>
        <v>25019</v>
      </c>
      <c r="C49" s="386">
        <f>+Montpe!$G49</f>
        <v>18466</v>
      </c>
      <c r="D49" s="386">
        <f>+Nancy!$G49</f>
        <v>11946</v>
      </c>
      <c r="E49" s="386">
        <f>+STMarcelin!$G49</f>
        <v>2446</v>
      </c>
      <c r="F49" s="386">
        <f>+Grenoble!$G49</f>
        <v>62468</v>
      </c>
      <c r="G49" s="386">
        <f>+PSA!$G49</f>
        <v>46222</v>
      </c>
      <c r="H49" s="1382">
        <f>+Dijon!$G49</f>
        <v>8000</v>
      </c>
      <c r="I49" s="276">
        <f>+Roanne!E49+Montpe!E49+Grenoble!E49+Nancy!E49+STMarcelin!E49+PSA!E49</f>
        <v>132908.45000000001</v>
      </c>
      <c r="J49" s="318">
        <f>+Roanne!F49+Montpe!F49+Grenoble!F49+Nancy!F49+STMarcelin!F49+PSA!F49+Dijon!F49</f>
        <v>163999.88</v>
      </c>
      <c r="K49" s="113">
        <f>+L49</f>
        <v>174567</v>
      </c>
      <c r="L49" s="174">
        <f>SUM(B49:H49)</f>
        <v>174567</v>
      </c>
      <c r="M49" s="1185">
        <f>+IF((I49)=0,,(J49-I49)/I49)</f>
        <v>0.23393117593350904</v>
      </c>
      <c r="N49" s="279">
        <f>+IF((J49)=0,,(L49-J49)/J49)</f>
        <v>6.4433705683199255E-2</v>
      </c>
      <c r="O49" s="592">
        <f>+Roanne!D49+Montpe!D49+Grenoble!D49+Nancy!D49+STMarcelin!D49+PSA!D49</f>
        <v>163367</v>
      </c>
      <c r="P49" s="2">
        <v>1</v>
      </c>
    </row>
    <row r="50" spans="1:16" s="2" customFormat="1" ht="15" customHeight="1">
      <c r="A50" s="5"/>
      <c r="B50" s="160"/>
      <c r="C50" s="113"/>
      <c r="D50" s="113"/>
      <c r="E50" s="113"/>
      <c r="F50" s="113"/>
      <c r="G50" s="113"/>
      <c r="H50" s="113"/>
      <c r="I50" s="160"/>
      <c r="J50" s="134"/>
      <c r="K50" s="25"/>
      <c r="L50" s="154"/>
      <c r="M50" s="149"/>
      <c r="N50" s="271"/>
      <c r="O50" s="115">
        <f>+Roanne!D50+Montpe!D50+Grenoble!D50+Nancy!D50+STMarcelin!D50+PSA!D50</f>
        <v>0</v>
      </c>
      <c r="P50" s="2">
        <v>0</v>
      </c>
    </row>
    <row r="51" spans="1:16" s="2" customFormat="1" ht="11.25">
      <c r="A51" s="13" t="s">
        <v>223</v>
      </c>
      <c r="B51" s="163">
        <f t="shared" ref="B51:J51" si="13">+B21-B49</f>
        <v>1395298</v>
      </c>
      <c r="C51" s="204">
        <f t="shared" si="13"/>
        <v>848847</v>
      </c>
      <c r="D51" s="204">
        <f t="shared" si="13"/>
        <v>901459</v>
      </c>
      <c r="E51" s="204">
        <f>+E21-E49</f>
        <v>326199</v>
      </c>
      <c r="F51" s="204">
        <f>+F21-F49</f>
        <v>1998947</v>
      </c>
      <c r="G51" s="204">
        <f t="shared" si="13"/>
        <v>2304756</v>
      </c>
      <c r="H51" s="168">
        <f>+H21-H49</f>
        <v>643115</v>
      </c>
      <c r="I51" s="163">
        <f t="shared" si="13"/>
        <v>7915708.3100000005</v>
      </c>
      <c r="J51" s="136">
        <f t="shared" si="13"/>
        <v>7823273.6308754534</v>
      </c>
      <c r="K51" s="204">
        <v>8146749.7637000009</v>
      </c>
      <c r="L51" s="168">
        <f>+L21-L49</f>
        <v>8418621</v>
      </c>
      <c r="M51" s="1203"/>
      <c r="N51" s="188"/>
      <c r="O51" s="312">
        <f>+Roanne!D51+Montpe!D51+Grenoble!D51+Nancy!D51+STMarcelin!D51+PSA!D51</f>
        <v>8011482</v>
      </c>
      <c r="P51" s="2">
        <v>1</v>
      </c>
    </row>
    <row r="52" spans="1:16" s="2" customFormat="1" ht="15" customHeight="1">
      <c r="A52" s="5"/>
      <c r="B52" s="160"/>
      <c r="C52" s="113"/>
      <c r="D52" s="113"/>
      <c r="E52" s="113"/>
      <c r="F52" s="113"/>
      <c r="G52" s="113"/>
      <c r="H52" s="113"/>
      <c r="I52" s="160"/>
      <c r="J52" s="134"/>
      <c r="K52" s="25"/>
      <c r="L52" s="154"/>
      <c r="M52" s="149"/>
      <c r="N52" s="254"/>
      <c r="O52" s="115">
        <f>+Roanne!D52+Montpe!D52+Grenoble!D52+Nancy!D52+STMarcelin!D52+PSA!D52</f>
        <v>0</v>
      </c>
      <c r="P52" s="2">
        <v>0</v>
      </c>
    </row>
    <row r="53" spans="1:16" s="2" customFormat="1" ht="11.25">
      <c r="A53" s="16" t="s">
        <v>3</v>
      </c>
      <c r="B53" s="169">
        <f t="shared" ref="B53:I53" si="14">+B51-B44</f>
        <v>547405.04327549727</v>
      </c>
      <c r="C53" s="223">
        <f t="shared" si="14"/>
        <v>299163.78448376502</v>
      </c>
      <c r="D53" s="223">
        <f t="shared" si="14"/>
        <v>347739.97934995627</v>
      </c>
      <c r="E53" s="223">
        <f t="shared" si="14"/>
        <v>146876.79822461694</v>
      </c>
      <c r="F53" s="223">
        <f>+F51-F44</f>
        <v>751860.27724269871</v>
      </c>
      <c r="G53" s="223">
        <f t="shared" si="14"/>
        <v>785022.56506260158</v>
      </c>
      <c r="H53" s="223">
        <f>+H51-H44</f>
        <v>222247.28629999998</v>
      </c>
      <c r="I53" s="169">
        <f t="shared" si="14"/>
        <v>2967222.9708000012</v>
      </c>
      <c r="J53" s="140"/>
      <c r="K53" s="223">
        <v>8146749.7637000009</v>
      </c>
      <c r="L53" s="223">
        <f>+L51-L44</f>
        <v>3100315.7339391354</v>
      </c>
      <c r="M53" s="224"/>
      <c r="N53" s="123"/>
      <c r="O53" s="122">
        <f>+Roanne!D53+Montpe!D53+Grenoble!D53+Nancy!D53+STMarcelin!D53+PSA!D53</f>
        <v>0</v>
      </c>
      <c r="P53" s="2">
        <v>0</v>
      </c>
    </row>
    <row r="54" spans="1:16" s="2" customFormat="1" ht="15" customHeight="1">
      <c r="A54" s="16" t="s">
        <v>4</v>
      </c>
      <c r="B54" s="197">
        <f t="shared" ref="B54:I54" si="15">+B53/B51</f>
        <v>0.39232124125132928</v>
      </c>
      <c r="C54" s="224">
        <f t="shared" si="15"/>
        <v>0.35243546184856051</v>
      </c>
      <c r="D54" s="224">
        <f t="shared" si="15"/>
        <v>0.385752407319641</v>
      </c>
      <c r="E54" s="224">
        <f t="shared" si="15"/>
        <v>0.45026746931970035</v>
      </c>
      <c r="F54" s="224">
        <f t="shared" si="15"/>
        <v>0.37612817010290855</v>
      </c>
      <c r="G54" s="224">
        <f t="shared" si="15"/>
        <v>0.34060983681682644</v>
      </c>
      <c r="H54" s="224">
        <f>+H53/H51</f>
        <v>0.34557938517994446</v>
      </c>
      <c r="I54" s="197">
        <f t="shared" si="15"/>
        <v>0.37485249008626004</v>
      </c>
      <c r="J54" s="141"/>
      <c r="K54" s="224">
        <v>1</v>
      </c>
      <c r="L54" s="224">
        <f>+L53/L51</f>
        <v>0.36826883333257732</v>
      </c>
      <c r="M54" s="224"/>
      <c r="N54" s="123"/>
      <c r="O54" s="123">
        <f>+Roanne!D54+Montpe!D54+Grenoble!D54+Nancy!D54+STMarcelin!D54+PSA!D54</f>
        <v>0</v>
      </c>
      <c r="P54" s="2">
        <v>0</v>
      </c>
    </row>
    <row r="55" spans="1:16" s="2" customFormat="1" ht="11.25">
      <c r="A55" s="5"/>
      <c r="B55" s="160"/>
      <c r="C55" s="113"/>
      <c r="D55" s="113"/>
      <c r="E55" s="113"/>
      <c r="F55" s="113"/>
      <c r="G55" s="113"/>
      <c r="H55" s="113"/>
      <c r="I55" s="160"/>
      <c r="J55" s="134"/>
      <c r="K55" s="25"/>
      <c r="L55" s="154"/>
      <c r="M55" s="149"/>
      <c r="N55" s="271"/>
      <c r="O55" s="115">
        <f>+Roanne!D55+Montpe!D55+Grenoble!D55+Nancy!D55+STMarcelin!D55+PSA!D55</f>
        <v>0</v>
      </c>
      <c r="P55" s="2">
        <v>0</v>
      </c>
    </row>
    <row r="56" spans="1:16" s="2" customFormat="1" ht="11.25">
      <c r="A56" s="5" t="s">
        <v>290</v>
      </c>
      <c r="B56" s="160">
        <f>+Roanne!$G56</f>
        <v>0</v>
      </c>
      <c r="C56" s="113">
        <f>+Montpe!$G56</f>
        <v>0</v>
      </c>
      <c r="D56" s="113">
        <f>+Nancy!$G56</f>
        <v>0</v>
      </c>
      <c r="E56" s="113">
        <f>+STMarcelin!$G56</f>
        <v>0</v>
      </c>
      <c r="F56" s="113">
        <f>+Grenoble!$G56</f>
        <v>0</v>
      </c>
      <c r="G56" s="113">
        <f>+PSA!$G56</f>
        <v>0</v>
      </c>
      <c r="H56" s="113">
        <f>+Dijon!$G56</f>
        <v>0</v>
      </c>
      <c r="I56" s="160">
        <f>+Roanne!E56+Montpe!E56+Grenoble!E56+Nancy!E56+STMarcelin!E56+PSA!E56</f>
        <v>997465.64410000015</v>
      </c>
      <c r="J56" s="134"/>
      <c r="K56" s="113">
        <v>0</v>
      </c>
      <c r="L56" s="161">
        <f>SUM(B56:H56)</f>
        <v>0</v>
      </c>
      <c r="M56" s="149"/>
      <c r="N56" s="271"/>
      <c r="O56" s="115">
        <f>+Roanne!D56+Montpe!D56+Grenoble!D56+Nancy!D56+STMarcelin!D56+PSA!D56</f>
        <v>0</v>
      </c>
      <c r="P56" s="2">
        <v>0</v>
      </c>
    </row>
    <row r="57" spans="1:16" s="2" customFormat="1" ht="11.25">
      <c r="A57" s="5" t="s">
        <v>100</v>
      </c>
      <c r="B57" s="160">
        <f>+Roanne!$G57</f>
        <v>0</v>
      </c>
      <c r="C57" s="113">
        <f>+Montpe!$G57</f>
        <v>0</v>
      </c>
      <c r="D57" s="113">
        <f>+Nancy!$G57</f>
        <v>0</v>
      </c>
      <c r="E57" s="113">
        <f>+STMarcelin!$G57</f>
        <v>0</v>
      </c>
      <c r="F57" s="113">
        <f>+Grenoble!$G57</f>
        <v>0</v>
      </c>
      <c r="G57" s="113">
        <f>+PSA!$G57</f>
        <v>0</v>
      </c>
      <c r="H57" s="113">
        <f>+Dijon!$G57</f>
        <v>0</v>
      </c>
      <c r="I57" s="160">
        <f>+Roanne!E57+Montpe!E57+Grenoble!E57+Nancy!E57+STMarcelin!E57+PSA!E57</f>
        <v>959656.8348999999</v>
      </c>
      <c r="J57" s="134"/>
      <c r="K57" s="113">
        <v>0</v>
      </c>
      <c r="L57" s="161">
        <f>SUM(B57:H57)</f>
        <v>0</v>
      </c>
      <c r="M57" s="149"/>
      <c r="N57" s="271"/>
      <c r="O57" s="115">
        <f>+Roanne!D57+Montpe!D57+Grenoble!D57+Nancy!D57+STMarcelin!D57+PSA!D57</f>
        <v>0</v>
      </c>
      <c r="P57" s="2">
        <v>0</v>
      </c>
    </row>
    <row r="58" spans="1:16" s="2" customFormat="1" ht="12" thickBot="1">
      <c r="A58" s="21"/>
      <c r="B58" s="171"/>
      <c r="C58" s="205"/>
      <c r="D58" s="205"/>
      <c r="E58" s="205"/>
      <c r="F58" s="205"/>
      <c r="G58" s="205"/>
      <c r="H58" s="205"/>
      <c r="I58" s="171"/>
      <c r="J58" s="142"/>
      <c r="K58" s="337"/>
      <c r="L58" s="198"/>
      <c r="M58" s="236"/>
      <c r="N58" s="275"/>
      <c r="O58" s="124">
        <f>+Roanne!D58+Montpe!D58+Grenoble!D58+Nancy!D58+STMarcelin!D58+PSA!D58</f>
        <v>0</v>
      </c>
      <c r="P58" s="2">
        <v>0</v>
      </c>
    </row>
    <row r="59" spans="1:16" s="2" customFormat="1" ht="12" thickTop="1">
      <c r="A59" s="5"/>
      <c r="B59" s="160"/>
      <c r="C59" s="113"/>
      <c r="D59" s="113"/>
      <c r="E59" s="113"/>
      <c r="F59" s="113"/>
      <c r="G59" s="113"/>
      <c r="H59" s="113"/>
      <c r="I59" s="160"/>
      <c r="J59" s="134"/>
      <c r="K59" s="25"/>
      <c r="L59" s="154"/>
      <c r="M59" s="149"/>
      <c r="N59" s="254"/>
      <c r="O59" s="115">
        <f>+Roanne!D59+Montpe!D59+Grenoble!D59+Nancy!D59+STMarcelin!D59+PSA!D59</f>
        <v>0</v>
      </c>
      <c r="P59" s="2">
        <v>0</v>
      </c>
    </row>
    <row r="60" spans="1:16" s="2" customFormat="1" ht="15" customHeight="1">
      <c r="A60" s="16" t="s">
        <v>295</v>
      </c>
      <c r="B60" s="197">
        <f>+Roanne!$G60</f>
        <v>0.39232124125132939</v>
      </c>
      <c r="C60" s="224">
        <f>+Montpe!$G60</f>
        <v>0.35243546184856051</v>
      </c>
      <c r="D60" s="224">
        <f>+Nancy!$G60</f>
        <v>0.385752407319641</v>
      </c>
      <c r="E60" s="224">
        <f>+STMarcelin!$G60</f>
        <v>0.45026746931970035</v>
      </c>
      <c r="F60" s="224">
        <f>+Grenoble!$G60</f>
        <v>0.37612817010290855</v>
      </c>
      <c r="G60" s="224">
        <f>+PSA!$G60</f>
        <v>0.34060983681682649</v>
      </c>
      <c r="H60" s="191">
        <f>+Dijon!$G60</f>
        <v>0.34557938517994446</v>
      </c>
      <c r="I60" s="197">
        <f>+I62/I51</f>
        <v>0.36358950266058199</v>
      </c>
      <c r="J60" s="141">
        <f>+O60</f>
        <v>0.37514374673749501</v>
      </c>
      <c r="K60" s="224">
        <f>+K62/K51</f>
        <v>0.38055860605335062</v>
      </c>
      <c r="L60" s="191">
        <f>+L62/L51</f>
        <v>0.36826883333257737</v>
      </c>
      <c r="M60" s="197"/>
      <c r="N60" s="123"/>
      <c r="O60" s="15">
        <f>+O62/O51</f>
        <v>0.37514374673749501</v>
      </c>
      <c r="P60" s="2">
        <v>1</v>
      </c>
    </row>
    <row r="61" spans="1:16" s="2" customFormat="1" ht="11.25">
      <c r="A61" s="590" t="s">
        <v>75</v>
      </c>
      <c r="B61" s="1185">
        <v>0.38</v>
      </c>
      <c r="C61" s="384">
        <v>0.376</v>
      </c>
      <c r="D61" s="384">
        <v>0.40600000000000003</v>
      </c>
      <c r="E61" s="384">
        <v>0.46400000000000002</v>
      </c>
      <c r="F61" s="384">
        <v>0.373</v>
      </c>
      <c r="G61" s="384">
        <f>+(530847.69/1497026.35)</f>
        <v>0.35460143370221903</v>
      </c>
      <c r="H61" s="1186">
        <f>+(530847.69/1497026.35)</f>
        <v>0.35460143370221903</v>
      </c>
      <c r="I61" s="1396">
        <f>+(B61*B21+C21*C61+D61*D21+E21*E61+F21*F61+G61*G21)/I21</f>
        <v>0.37170757555145106</v>
      </c>
      <c r="J61" s="318"/>
      <c r="K61" s="113"/>
      <c r="L61" s="1382"/>
      <c r="M61" s="1185"/>
      <c r="N61" s="1205"/>
      <c r="O61" s="592">
        <f>+Roanne!D61+Montpe!D61+Grenoble!D61+Nancy!D61+STMarcelin!D61+PSA!D61</f>
        <v>0</v>
      </c>
      <c r="P61" s="2">
        <v>1</v>
      </c>
    </row>
    <row r="62" spans="1:16" s="2" customFormat="1" ht="15" customHeight="1">
      <c r="A62" s="16" t="s">
        <v>296</v>
      </c>
      <c r="B62" s="169">
        <f t="shared" ref="B62:G62" si="16">+B51*B60</f>
        <v>547405.04327549739</v>
      </c>
      <c r="C62" s="1383">
        <f>+Montpe!$G62</f>
        <v>299163.78448376502</v>
      </c>
      <c r="D62" s="223">
        <f t="shared" si="16"/>
        <v>347739.97934995627</v>
      </c>
      <c r="E62" s="223">
        <f t="shared" si="16"/>
        <v>146876.79822461694</v>
      </c>
      <c r="F62" s="223">
        <f t="shared" si="16"/>
        <v>751860.27724269871</v>
      </c>
      <c r="G62" s="223">
        <f t="shared" si="16"/>
        <v>785022.56506260182</v>
      </c>
      <c r="H62" s="170">
        <f>+H51*H60</f>
        <v>222247.28629999998</v>
      </c>
      <c r="I62" s="169">
        <f>SUM(B62:G62)</f>
        <v>2878068.4476391361</v>
      </c>
      <c r="J62" s="140">
        <f>+Roanne!F62+Montpe!F62+Grenoble!F62+Nancy!F62+STMarcelin!F62+PSA!F62+Dijon!F62</f>
        <v>2829102.9941848489</v>
      </c>
      <c r="K62" s="223">
        <f>+L62</f>
        <v>3100315.7339391359</v>
      </c>
      <c r="L62" s="170">
        <f>SUM(B62:H62)</f>
        <v>3100315.7339391359</v>
      </c>
      <c r="M62" s="197">
        <f>+IF((I62)=0,,(J62-I62)/I62)</f>
        <v>-1.701330400757263E-2</v>
      </c>
      <c r="N62" s="123">
        <f>+IF((J62)=0,,(L62-J62)/J62)</f>
        <v>9.5865276135848762E-2</v>
      </c>
      <c r="O62" s="405">
        <f>+Roanne!D62+Montpe!D62+Grenoble!D62+Nancy!D62+STMarcelin!D62+PSA!D62</f>
        <v>3005457.3744000001</v>
      </c>
      <c r="P62" s="2">
        <v>1</v>
      </c>
    </row>
    <row r="63" spans="1:16" s="2" customFormat="1" ht="11.25">
      <c r="A63" s="5"/>
      <c r="B63" s="160"/>
      <c r="C63" s="113"/>
      <c r="D63" s="113"/>
      <c r="E63" s="113"/>
      <c r="F63" s="113"/>
      <c r="G63" s="113"/>
      <c r="H63" s="113"/>
      <c r="I63" s="160"/>
      <c r="J63" s="134"/>
      <c r="K63" s="25"/>
      <c r="L63" s="154"/>
      <c r="M63" s="149"/>
      <c r="N63" s="271"/>
      <c r="O63" s="115">
        <f>+Roanne!D63+Montpe!D63+Grenoble!D63+Nancy!D63+STMarcelin!D63+PSA!D63</f>
        <v>0</v>
      </c>
      <c r="P63" s="2">
        <v>0</v>
      </c>
    </row>
    <row r="64" spans="1:16" s="25" customFormat="1" ht="11.25">
      <c r="A64" s="5" t="s">
        <v>104</v>
      </c>
      <c r="B64" s="160">
        <f>+Roanne!$G64</f>
        <v>6661.5456000000004</v>
      </c>
      <c r="C64" s="113">
        <f>+Montpe!$G64</f>
        <v>7727.2248</v>
      </c>
      <c r="D64" s="113">
        <f>+Nancy!$G64</f>
        <v>3739.5729333333329</v>
      </c>
      <c r="E64" s="113">
        <f>+STMarcelin!$G64</f>
        <v>0</v>
      </c>
      <c r="F64" s="113">
        <f>+Grenoble!$G64</f>
        <v>10481.911733333334</v>
      </c>
      <c r="G64" s="113">
        <f>+PSA!$G64</f>
        <v>12000</v>
      </c>
      <c r="H64" s="162">
        <f>+Dijon!$G64</f>
        <v>0</v>
      </c>
      <c r="I64" s="160">
        <f>+Roanne!E64+Montpe!E64+Grenoble!E64+Nancy!E64+STMarcelin!E64+PSA!E64</f>
        <v>40943.17</v>
      </c>
      <c r="J64" s="135">
        <f>+Roanne!F64+Montpe!F64+Grenoble!F64+Nancy!F64+STMarcelin!F64+PSA!F64+Dijon!F64</f>
        <v>38709.173333333332</v>
      </c>
      <c r="K64" s="113">
        <f>+L64</f>
        <v>40610.255066666665</v>
      </c>
      <c r="L64" s="161">
        <f>SUM(B64:H64)</f>
        <v>40610.255066666665</v>
      </c>
      <c r="M64" s="92">
        <f>+IF((I64)=0,,(J64-I64)/I64)</f>
        <v>-5.4563353708730077E-2</v>
      </c>
      <c r="N64" s="271">
        <f>+IF((J64)=0,,(L64-J64)/J64)</f>
        <v>4.9111917657416584E-2</v>
      </c>
      <c r="O64" s="408">
        <f>+Roanne!D64+Montpe!D64+Grenoble!D64+Nancy!D64+STMarcelin!D64+PSA!D64</f>
        <v>41804.185574999996</v>
      </c>
      <c r="P64" s="25">
        <v>1</v>
      </c>
    </row>
    <row r="65" spans="1:16" s="25" customFormat="1" ht="11.25">
      <c r="A65" s="5" t="s">
        <v>314</v>
      </c>
      <c r="B65" s="160">
        <f>+Roanne!$G65</f>
        <v>0</v>
      </c>
      <c r="C65" s="113">
        <f>+Montpe!$G65</f>
        <v>0</v>
      </c>
      <c r="D65" s="113">
        <f>+Nancy!$G65</f>
        <v>0</v>
      </c>
      <c r="E65" s="113">
        <f>+STMarcelin!$G65</f>
        <v>0</v>
      </c>
      <c r="F65" s="113">
        <f>+Grenoble!$G65</f>
        <v>0</v>
      </c>
      <c r="G65" s="113">
        <f>+PSA!$G65</f>
        <v>0</v>
      </c>
      <c r="H65" s="113">
        <f>+Dijon!$G65</f>
        <v>0</v>
      </c>
      <c r="I65" s="160">
        <f>+Roanne!E65+Montpe!E65+Grenoble!E65+Nancy!E65+STMarcelin!E65+PSA!E65</f>
        <v>0</v>
      </c>
      <c r="J65" s="135">
        <f>+Roanne!F65+Montpe!F65+Grenoble!F65+Nancy!F65+STMarcelin!F65+PSA!F65+Dijon!F65</f>
        <v>0</v>
      </c>
      <c r="K65" s="113">
        <f>+L65</f>
        <v>0</v>
      </c>
      <c r="L65" s="161">
        <f>SUM(B65:H65)</f>
        <v>0</v>
      </c>
      <c r="M65" s="149">
        <f>+IF((I65)=0,,(J65-I65)/I65)</f>
        <v>0</v>
      </c>
      <c r="N65" s="271">
        <f>+IF((J65)=0,,(L65-J65)/J65)</f>
        <v>0</v>
      </c>
      <c r="O65" s="117">
        <f>+Roanne!D65+Montpe!D65+Grenoble!D65+Nancy!D65+STMarcelin!D65+PSA!D65</f>
        <v>0</v>
      </c>
      <c r="P65" s="25">
        <v>0</v>
      </c>
    </row>
    <row r="66" spans="1:16" s="25" customFormat="1" ht="15" customHeight="1">
      <c r="A66" s="5" t="s">
        <v>110</v>
      </c>
      <c r="B66" s="160">
        <f>+Roanne!$G66</f>
        <v>2098.9752000000003</v>
      </c>
      <c r="C66" s="113">
        <f>+Montpe!$G66</f>
        <v>2119.231866666667</v>
      </c>
      <c r="D66" s="113">
        <f>+Nancy!$G66</f>
        <v>1660.167733333333</v>
      </c>
      <c r="E66" s="113">
        <f>+STMarcelin!$G66</f>
        <v>559.53719999999998</v>
      </c>
      <c r="F66" s="113">
        <f>+Grenoble!$G66</f>
        <v>2736.0096000000003</v>
      </c>
      <c r="G66" s="113">
        <f>+PSA!$G66</f>
        <v>2891.7000000000003</v>
      </c>
      <c r="H66" s="162">
        <f>+Dijon!$G66</f>
        <v>3436.08</v>
      </c>
      <c r="I66" s="160">
        <f>+Roanne!E66+Montpe!E66+Grenoble!E66+Nancy!E66+STMarcelin!E66+PSA!E66</f>
        <v>11738.82</v>
      </c>
      <c r="J66" s="135">
        <f>+Roanne!F66+Montpe!F66+Grenoble!F66+Nancy!F66+STMarcelin!F66+PSA!F66+Dijon!F66</f>
        <v>14427.160000000002</v>
      </c>
      <c r="K66" s="113">
        <f>+L66</f>
        <v>15501.701600000002</v>
      </c>
      <c r="L66" s="161">
        <f>SUM(B66:H66)</f>
        <v>15501.701600000002</v>
      </c>
      <c r="M66" s="92">
        <f>+IF((I66)=0,,(J66-I66)/I66)</f>
        <v>0.22901279685692447</v>
      </c>
      <c r="N66" s="271">
        <f>+IF((J66)=0,,(L66-J66)/J66)</f>
        <v>7.4480466009942389E-2</v>
      </c>
      <c r="O66" s="408">
        <f>+Roanne!D66+Montpe!D66+Grenoble!D66+Nancy!D66+STMarcelin!D66+PSA!D66</f>
        <v>11362.175375000001</v>
      </c>
      <c r="P66" s="25">
        <v>1</v>
      </c>
    </row>
    <row r="67" spans="1:16" s="25" customFormat="1" ht="11.25">
      <c r="A67" s="5" t="s">
        <v>107</v>
      </c>
      <c r="B67" s="160">
        <f>+Roanne!$G67</f>
        <v>3568.1534666666666</v>
      </c>
      <c r="C67" s="113">
        <f>+Montpe!$G67</f>
        <v>2641.5517333333332</v>
      </c>
      <c r="D67" s="113">
        <f>+Nancy!$G67</f>
        <v>4177.9134666666669</v>
      </c>
      <c r="E67" s="113">
        <f>+STMarcelin!$G67</f>
        <v>78.073999999999998</v>
      </c>
      <c r="F67" s="113">
        <f>+Grenoble!$G67</f>
        <v>4493.3955999999998</v>
      </c>
      <c r="G67" s="113">
        <f>+PSA!$G67</f>
        <v>3500</v>
      </c>
      <c r="H67" s="162">
        <f>+Dijon!$G67</f>
        <v>55.125599999999999</v>
      </c>
      <c r="I67" s="160">
        <f>+Roanne!E67+Montpe!E67+Grenoble!E67+Nancy!E67+STMarcelin!E67+PSA!E67</f>
        <v>35428.870000000003</v>
      </c>
      <c r="J67" s="135">
        <f>+Roanne!F67+Montpe!F67+Grenoble!F67+Nancy!F67+STMarcelin!F67+PSA!F67+Dijon!F67</f>
        <v>16466.153333333332</v>
      </c>
      <c r="K67" s="113">
        <f>+L67</f>
        <v>18514.213866666665</v>
      </c>
      <c r="L67" s="161">
        <f>SUM(B67:H67)</f>
        <v>18514.213866666665</v>
      </c>
      <c r="M67" s="92">
        <f>+IF((I67)=0,,(J67-I67)/I67)</f>
        <v>-0.53523345979328918</v>
      </c>
      <c r="N67" s="271">
        <f>+IF((J67)=0,,(L67-J67)/J67)</f>
        <v>0.12438002318290894</v>
      </c>
      <c r="O67" s="408">
        <f>+Roanne!D67+Montpe!D67+Grenoble!D67+Nancy!D67+STMarcelin!D67+PSA!D67</f>
        <v>23674.082125000004</v>
      </c>
      <c r="P67" s="25">
        <v>1</v>
      </c>
    </row>
    <row r="68" spans="1:16" s="25" customFormat="1" ht="18.75" customHeight="1">
      <c r="A68" s="5" t="s">
        <v>125</v>
      </c>
      <c r="B68" s="160">
        <f>+Roanne!$G68</f>
        <v>4106.9258666666674</v>
      </c>
      <c r="C68" s="113">
        <f>+Montpe!$G68</f>
        <v>4143.0857333333333</v>
      </c>
      <c r="D68" s="113">
        <f>+Nancy!$G68</f>
        <v>3095.9465333333333</v>
      </c>
      <c r="E68" s="113">
        <f>+STMarcelin!$G68</f>
        <v>259.40893333333332</v>
      </c>
      <c r="F68" s="113">
        <f>+Grenoble!$G68</f>
        <v>6432.2676000000001</v>
      </c>
      <c r="G68" s="113">
        <f>+PSA!$G68</f>
        <v>4879.8104000000003</v>
      </c>
      <c r="H68" s="162">
        <f>+Dijon!$G68</f>
        <v>43.053999999999995</v>
      </c>
      <c r="I68" s="160">
        <f>+Roanne!E68+Montpe!E68+Grenoble!E68+Nancy!E68+STMarcelin!E68+PSA!E68</f>
        <v>28163.46</v>
      </c>
      <c r="J68" s="135">
        <f>+Roanne!F68+Montpe!F68+Grenoble!F68+Nancy!F68+STMarcelin!F68+PSA!F68+Dijon!F68</f>
        <v>22281.296666666665</v>
      </c>
      <c r="K68" s="113">
        <f>+L68</f>
        <v>22960.499066666667</v>
      </c>
      <c r="L68" s="161">
        <f>SUM(B68:H68)</f>
        <v>22960.499066666667</v>
      </c>
      <c r="M68" s="92">
        <f>+IF((I68)=0,,(J68-I68)/I68)</f>
        <v>-0.20885797886102539</v>
      </c>
      <c r="N68" s="271">
        <f>+IF((J68)=0,,(L68-J68)/J68)</f>
        <v>3.0483073322034458E-2</v>
      </c>
      <c r="O68" s="408">
        <f>+Roanne!D68+Montpe!D68+Grenoble!D68+Nancy!D68+STMarcelin!D68+PSA!D68</f>
        <v>28642.736975</v>
      </c>
      <c r="P68" s="25">
        <v>1</v>
      </c>
    </row>
    <row r="69" spans="1:16" s="2" customFormat="1" ht="11.25">
      <c r="A69" s="5"/>
      <c r="B69" s="160"/>
      <c r="C69" s="113"/>
      <c r="D69" s="113"/>
      <c r="E69" s="113"/>
      <c r="F69" s="113"/>
      <c r="G69" s="113"/>
      <c r="H69" s="113"/>
      <c r="I69" s="92"/>
      <c r="J69" s="135"/>
      <c r="K69" s="149"/>
      <c r="L69" s="187"/>
      <c r="M69" s="149"/>
      <c r="N69" s="271"/>
      <c r="O69" s="115">
        <f>+Roanne!D69+Montpe!D69+Grenoble!D69+Nancy!D69+STMarcelin!D69+PSA!D69</f>
        <v>0</v>
      </c>
      <c r="P69" s="2">
        <v>0</v>
      </c>
    </row>
    <row r="70" spans="1:16" s="2" customFormat="1" ht="11.25">
      <c r="A70" s="11" t="s">
        <v>128</v>
      </c>
      <c r="B70" s="173">
        <f t="shared" ref="B70:K70" si="17">SUM(B64:B69)</f>
        <v>16435.600133333333</v>
      </c>
      <c r="C70" s="227">
        <f t="shared" si="17"/>
        <v>16631.094133333332</v>
      </c>
      <c r="D70" s="227">
        <f t="shared" si="17"/>
        <v>12673.600666666667</v>
      </c>
      <c r="E70" s="227">
        <f t="shared" si="17"/>
        <v>897.02013333333321</v>
      </c>
      <c r="F70" s="227">
        <f t="shared" si="17"/>
        <v>24143.584533333335</v>
      </c>
      <c r="G70" s="227">
        <f t="shared" si="17"/>
        <v>23271.510399999999</v>
      </c>
      <c r="H70" s="209">
        <f>SUM(H64:H69)</f>
        <v>3534.2595999999999</v>
      </c>
      <c r="I70" s="173">
        <f>SUM(I64:I69)</f>
        <v>116274.32</v>
      </c>
      <c r="J70" s="144">
        <f t="shared" si="17"/>
        <v>91883.783333333326</v>
      </c>
      <c r="K70" s="144">
        <f t="shared" si="17"/>
        <v>97586.669599999994</v>
      </c>
      <c r="L70" s="174">
        <f>SUM(L64:L69)</f>
        <v>97586.669599999994</v>
      </c>
      <c r="M70" s="1206">
        <f>+IF((I70)=0,,(J70-I70)/I70)</f>
        <v>-0.20976718390326152</v>
      </c>
      <c r="N70" s="279">
        <f>+IF((J70)=0,,(L70-J70)/J70)</f>
        <v>6.2066297879549676E-2</v>
      </c>
      <c r="O70" s="628">
        <f>+Roanne!D70+Montpe!D70+Grenoble!D70+Nancy!D70+STMarcelin!D70+PSA!D70</f>
        <v>105483.18005</v>
      </c>
      <c r="P70" s="2">
        <v>1</v>
      </c>
    </row>
    <row r="71" spans="1:16" s="2" customFormat="1" ht="11.25">
      <c r="A71" s="5"/>
      <c r="B71" s="160"/>
      <c r="C71" s="113"/>
      <c r="D71" s="113"/>
      <c r="E71" s="113"/>
      <c r="F71" s="113"/>
      <c r="G71" s="113"/>
      <c r="H71" s="113"/>
      <c r="I71" s="92"/>
      <c r="J71" s="143"/>
      <c r="K71" s="149"/>
      <c r="L71" s="187"/>
      <c r="M71" s="149"/>
      <c r="N71" s="271"/>
      <c r="O71" s="115">
        <f>+Roanne!D71+Montpe!D71+Grenoble!D71+Nancy!D71+STMarcelin!D71+PSA!D71</f>
        <v>0</v>
      </c>
      <c r="P71" s="2">
        <v>0</v>
      </c>
    </row>
    <row r="72" spans="1:16" s="25" customFormat="1" ht="11.25">
      <c r="A72" s="5" t="s">
        <v>1</v>
      </c>
      <c r="B72" s="160">
        <f>+Roanne!$G72</f>
        <v>0</v>
      </c>
      <c r="C72" s="113">
        <f>+Montpe!$G72</f>
        <v>8.6245333333333356</v>
      </c>
      <c r="D72" s="113">
        <f>+Nancy!$G72</f>
        <v>78.705733333333342</v>
      </c>
      <c r="E72" s="113">
        <f>+STMarcelin!$G72</f>
        <v>0</v>
      </c>
      <c r="F72" s="113">
        <f>+Grenoble!$G72</f>
        <v>0</v>
      </c>
      <c r="G72" s="113">
        <f>+PSA!$G72</f>
        <v>1398.6988000000001</v>
      </c>
      <c r="H72" s="162">
        <f>+Dijon!$G72</f>
        <v>0</v>
      </c>
      <c r="I72" s="160">
        <f>+Roanne!E72+Montpe!E72+Grenoble!E72+Nancy!E72+STMarcelin!E72+PSA!E72</f>
        <v>1453.65</v>
      </c>
      <c r="J72" s="135">
        <f>+Roanne!F72+Montpe!F72+Grenoble!F72+Nancy!F72+STMarcelin!F72+PSA!F72+Dijon!F72</f>
        <v>1442.7466666666667</v>
      </c>
      <c r="K72" s="113">
        <f>+L72</f>
        <v>1486.0290666666667</v>
      </c>
      <c r="L72" s="161">
        <f t="shared" ref="L72:L101" si="18">SUM(B72:H72)</f>
        <v>1486.0290666666667</v>
      </c>
      <c r="M72" s="92">
        <f>+IF((I72)=0,,(J72-I72)/I72)</f>
        <v>-7.5006592600236786E-3</v>
      </c>
      <c r="N72" s="271">
        <f>+IF((J72)=0,,(L72-J72)/J72)</f>
        <v>3.0000000000000037E-2</v>
      </c>
      <c r="O72" s="408">
        <f>+Roanne!D72+Montpe!D72+Grenoble!D72+Nancy!D72+STMarcelin!D72+PSA!D72</f>
        <v>554.19669442701149</v>
      </c>
      <c r="P72" s="25">
        <v>1</v>
      </c>
    </row>
    <row r="73" spans="1:16" s="25" customFormat="1" ht="11.25">
      <c r="A73" s="5" t="s">
        <v>123</v>
      </c>
      <c r="B73" s="160">
        <f>+Roanne!$G73</f>
        <v>1578.5917333333334</v>
      </c>
      <c r="C73" s="113">
        <f>+Montpe!$G73</f>
        <v>3864.8758666666663</v>
      </c>
      <c r="D73" s="113">
        <f>+Nancy!$G73</f>
        <v>3881.8640000000005</v>
      </c>
      <c r="E73" s="113">
        <f>+STMarcelin!$G73</f>
        <v>276.02626666666669</v>
      </c>
      <c r="F73" s="113">
        <f>+Grenoble!$G73</f>
        <v>6149.2647999999999</v>
      </c>
      <c r="G73" s="113">
        <f>+PSA!$G73</f>
        <v>16495.559866666666</v>
      </c>
      <c r="H73" s="162">
        <f>+Dijon!$G73</f>
        <v>319.03220000000005</v>
      </c>
      <c r="I73" s="160">
        <f>+Roanne!E73+Montpe!E73+Grenoble!E73+Nancy!E73+STMarcelin!E73+PSA!E73</f>
        <v>28954.550000000003</v>
      </c>
      <c r="J73" s="135">
        <f>+Roanne!F73+Montpe!F73+Grenoble!F73+Nancy!F73+STMarcelin!F73+PSA!F73+Dijon!F73</f>
        <v>31539.278333333335</v>
      </c>
      <c r="K73" s="113">
        <f t="shared" ref="K73:K101" si="19">+L73</f>
        <v>32565.214733333334</v>
      </c>
      <c r="L73" s="161">
        <f t="shared" si="18"/>
        <v>32565.214733333334</v>
      </c>
      <c r="M73" s="92">
        <f t="shared" ref="M73:M101" si="20">+IF((I73)=0,,(J73-I73)/I73)</f>
        <v>8.9268468456022709E-2</v>
      </c>
      <c r="N73" s="271">
        <f t="shared" ref="N73:N101" si="21">+IF((J73)=0,,(L73-J73)/J73)</f>
        <v>3.2528848287429066E-2</v>
      </c>
      <c r="O73" s="408">
        <f>+Roanne!D73+Montpe!D73+Grenoble!D73+Nancy!D73+STMarcelin!D73+PSA!D73</f>
        <v>27529.026223099125</v>
      </c>
      <c r="P73" s="25">
        <v>1</v>
      </c>
    </row>
    <row r="74" spans="1:16" s="25" customFormat="1" ht="11.25">
      <c r="A74" s="5" t="s">
        <v>124</v>
      </c>
      <c r="B74" s="160">
        <f>+Roanne!$G74</f>
        <v>4356.1584000000003</v>
      </c>
      <c r="C74" s="113">
        <f>+Montpe!$G74</f>
        <v>0</v>
      </c>
      <c r="D74" s="113">
        <f>+Nancy!$G74</f>
        <v>4796.6825333333336</v>
      </c>
      <c r="E74" s="113">
        <f>+STMarcelin!$G74</f>
        <v>2559.7147999999997</v>
      </c>
      <c r="F74" s="113">
        <f>+Grenoble!$G74</f>
        <v>3470.3172</v>
      </c>
      <c r="G74" s="113">
        <f>+PSA!$G74</f>
        <v>3022.2671999999998</v>
      </c>
      <c r="H74" s="162">
        <f>+Dijon!$G74</f>
        <v>1301.1990000000001</v>
      </c>
      <c r="I74" s="160">
        <f>+Roanne!E74+Montpe!E74+Grenoble!E74+Nancy!E74+STMarcelin!E74+PSA!E74</f>
        <v>15458.34</v>
      </c>
      <c r="J74" s="135">
        <f>+Roanne!F74+Montpe!F74+Grenoble!F74+Nancy!F74+STMarcelin!F74+PSA!F74+Dijon!F74</f>
        <v>18622.368333333332</v>
      </c>
      <c r="K74" s="113">
        <f t="shared" si="19"/>
        <v>19506.339133333331</v>
      </c>
      <c r="L74" s="161">
        <f t="shared" si="18"/>
        <v>19506.339133333331</v>
      </c>
      <c r="M74" s="92">
        <f t="shared" si="20"/>
        <v>0.20468098989499078</v>
      </c>
      <c r="N74" s="271">
        <f t="shared" si="21"/>
        <v>4.7468226606694544E-2</v>
      </c>
      <c r="O74" s="408">
        <f>+Roanne!D74+Montpe!D74+Grenoble!D74+Nancy!D74+STMarcelin!D74+PSA!D74</f>
        <v>15914.266013978204</v>
      </c>
      <c r="P74" s="25">
        <v>1</v>
      </c>
    </row>
    <row r="75" spans="1:16" s="25" customFormat="1" ht="11.25">
      <c r="A75" s="5" t="s">
        <v>360</v>
      </c>
      <c r="B75" s="160">
        <f>+Roanne!$G75</f>
        <v>0</v>
      </c>
      <c r="C75" s="113">
        <f>+Montpe!$G75</f>
        <v>0</v>
      </c>
      <c r="D75" s="113">
        <f>+Nancy!$G75</f>
        <v>0</v>
      </c>
      <c r="E75" s="113">
        <f>+STMarcelin!$G75</f>
        <v>0</v>
      </c>
      <c r="F75" s="113">
        <f>+Grenoble!$G75</f>
        <v>0</v>
      </c>
      <c r="G75" s="113">
        <f>+PSA!$G75</f>
        <v>0</v>
      </c>
      <c r="H75" s="113">
        <f>+Dijon!$G75</f>
        <v>0</v>
      </c>
      <c r="I75" s="160">
        <f>+Roanne!E75+Montpe!E75+Grenoble!E75+Nancy!E75+STMarcelin!E75+PSA!E75</f>
        <v>147.80000000000001</v>
      </c>
      <c r="J75" s="135">
        <f>+Roanne!F75+Montpe!F75+Grenoble!F75+Nancy!F75+STMarcelin!F75+PSA!F75+Dijon!F75</f>
        <v>0</v>
      </c>
      <c r="K75" s="113">
        <f t="shared" si="19"/>
        <v>0</v>
      </c>
      <c r="L75" s="161">
        <f t="shared" si="18"/>
        <v>0</v>
      </c>
      <c r="M75" s="149">
        <f t="shared" si="20"/>
        <v>-1</v>
      </c>
      <c r="N75" s="271">
        <f t="shared" si="21"/>
        <v>0</v>
      </c>
      <c r="O75" s="117">
        <f>+Roanne!D75+Montpe!D75+Grenoble!D75+Nancy!D75+STMarcelin!D75+PSA!D75</f>
        <v>192.12384000000003</v>
      </c>
      <c r="P75" s="25">
        <v>0</v>
      </c>
    </row>
    <row r="76" spans="1:16" s="25" customFormat="1" ht="11.25">
      <c r="A76" s="5" t="s">
        <v>126</v>
      </c>
      <c r="B76" s="160">
        <f>+Roanne!$G76</f>
        <v>68.419466666666679</v>
      </c>
      <c r="C76" s="113">
        <f>+Montpe!$G76</f>
        <v>78.568399999999997</v>
      </c>
      <c r="D76" s="113">
        <f>+Nancy!$G76</f>
        <v>356.62720000000002</v>
      </c>
      <c r="E76" s="113">
        <f>+STMarcelin!$G76</f>
        <v>25.365466666666666</v>
      </c>
      <c r="F76" s="113">
        <f>+Grenoble!$G76</f>
        <v>105.78786666666669</v>
      </c>
      <c r="G76" s="113">
        <f>+PSA!$G76</f>
        <v>331.35786666666667</v>
      </c>
      <c r="H76" s="162">
        <f>+Dijon!$G76</f>
        <v>0</v>
      </c>
      <c r="I76" s="160">
        <f>+Roanne!E76+Montpe!E76+Grenoble!E76+Nancy!E76+STMarcelin!E76+PSA!E76</f>
        <v>1385.08</v>
      </c>
      <c r="J76" s="135">
        <f>+Roanne!F76+Montpe!F76+Grenoble!F76+Nancy!F76+STMarcelin!F76+PSA!F76+Dijon!F76</f>
        <v>937.98666666666668</v>
      </c>
      <c r="K76" s="113">
        <f t="shared" si="19"/>
        <v>966.12626666666665</v>
      </c>
      <c r="L76" s="161">
        <f t="shared" si="18"/>
        <v>966.12626666666665</v>
      </c>
      <c r="M76" s="92">
        <f t="shared" si="20"/>
        <v>-0.32279242594892227</v>
      </c>
      <c r="N76" s="271">
        <f t="shared" si="21"/>
        <v>2.9999999999999971E-2</v>
      </c>
      <c r="O76" s="408">
        <f>+Roanne!D76+Montpe!D76+Grenoble!D76+Nancy!D76+STMarcelin!D76+PSA!D76</f>
        <v>1544.8118793143681</v>
      </c>
      <c r="P76" s="25">
        <v>1</v>
      </c>
    </row>
    <row r="77" spans="1:16" s="25" customFormat="1" ht="11.25">
      <c r="A77" s="5" t="s">
        <v>127</v>
      </c>
      <c r="B77" s="160">
        <f>+Roanne!$G77</f>
        <v>2937.6561333333339</v>
      </c>
      <c r="C77" s="113">
        <f>+Montpe!$G77</f>
        <v>1899.553466666667</v>
      </c>
      <c r="D77" s="113">
        <f>+Nancy!$G77</f>
        <v>7663.6531999999997</v>
      </c>
      <c r="E77" s="113">
        <f>+STMarcelin!$G77</f>
        <v>1065.7753333333333</v>
      </c>
      <c r="F77" s="113">
        <f>+Grenoble!$G77</f>
        <v>2782.3596000000002</v>
      </c>
      <c r="G77" s="113">
        <f>+PSA!$G77</f>
        <v>4280.3778666666667</v>
      </c>
      <c r="H77" s="162">
        <f>+Dijon!$G77</f>
        <v>3075.7036000000003</v>
      </c>
      <c r="I77" s="160">
        <f>+Roanne!E77+Montpe!E77+Grenoble!E77+Nancy!E77+STMarcelin!E77+PSA!E77</f>
        <v>18106.57</v>
      </c>
      <c r="J77" s="135">
        <f>+Roanne!F77+Montpe!F77+Grenoble!F77+Nancy!F77+STMarcelin!F77+PSA!F77+Dijon!F77</f>
        <v>22268.110000000004</v>
      </c>
      <c r="K77" s="113">
        <f t="shared" si="19"/>
        <v>23705.0792</v>
      </c>
      <c r="L77" s="161">
        <f t="shared" si="18"/>
        <v>23705.0792</v>
      </c>
      <c r="M77" s="92">
        <f t="shared" si="20"/>
        <v>0.22983591039053805</v>
      </c>
      <c r="N77" s="271">
        <f t="shared" si="21"/>
        <v>6.4530362028928173E-2</v>
      </c>
      <c r="O77" s="408">
        <f>+Roanne!D77+Montpe!D77+Grenoble!D77+Nancy!D77+STMarcelin!D77+PSA!D77</f>
        <v>16599.854898400899</v>
      </c>
      <c r="P77" s="25">
        <v>1</v>
      </c>
    </row>
    <row r="78" spans="1:16" s="25" customFormat="1" ht="11.25">
      <c r="A78" s="5" t="s">
        <v>101</v>
      </c>
      <c r="B78" s="160">
        <f>+Roanne!$G78</f>
        <v>1861.9790666666665</v>
      </c>
      <c r="C78" s="113">
        <f>+Montpe!$G78</f>
        <v>118.2852</v>
      </c>
      <c r="D78" s="113">
        <f>+Nancy!$G78</f>
        <v>0</v>
      </c>
      <c r="E78" s="113">
        <f>+STMarcelin!$G78</f>
        <v>0</v>
      </c>
      <c r="F78" s="113">
        <f>+Grenoble!$G78</f>
        <v>306.2808</v>
      </c>
      <c r="G78" s="113">
        <f>+PSA!$G78</f>
        <v>34.6492</v>
      </c>
      <c r="H78" s="162">
        <f>+Dijon!$G78</f>
        <v>0</v>
      </c>
      <c r="I78" s="160">
        <f>+Roanne!E78+Montpe!E78+Grenoble!E78+Nancy!E78+STMarcelin!E78+PSA!E78</f>
        <v>1672.01</v>
      </c>
      <c r="J78" s="135">
        <f>+Roanne!F78+Montpe!F78+Grenoble!F78+Nancy!F78+STMarcelin!F78+PSA!F78+Dijon!F78</f>
        <v>2253.5866666666661</v>
      </c>
      <c r="K78" s="113">
        <f t="shared" si="19"/>
        <v>2321.1942666666664</v>
      </c>
      <c r="L78" s="161">
        <f t="shared" si="18"/>
        <v>2321.1942666666664</v>
      </c>
      <c r="M78" s="92">
        <f t="shared" si="20"/>
        <v>0.34783085428117422</v>
      </c>
      <c r="N78" s="271">
        <f t="shared" si="21"/>
        <v>3.0000000000000131E-2</v>
      </c>
      <c r="O78" s="408">
        <f>+Roanne!D78+Montpe!D78+Grenoble!D78+Nancy!D78+STMarcelin!D78+PSA!D78</f>
        <v>4087.1116904756477</v>
      </c>
      <c r="P78" s="25">
        <v>1</v>
      </c>
    </row>
    <row r="79" spans="1:16" s="25" customFormat="1" ht="11.25">
      <c r="A79" s="5" t="s">
        <v>102</v>
      </c>
      <c r="B79" s="160">
        <f>+Roanne!$G79</f>
        <v>36632.291666666672</v>
      </c>
      <c r="C79" s="113">
        <f>+Montpe!$G79</f>
        <v>36701.444517399868</v>
      </c>
      <c r="D79" s="113">
        <f>+Nancy!$G79</f>
        <v>49489.347536617846</v>
      </c>
      <c r="E79" s="113">
        <f>+STMarcelin!$G79</f>
        <v>46414.33</v>
      </c>
      <c r="F79" s="113">
        <f>+Grenoble!$G79</f>
        <v>40749.066288384514</v>
      </c>
      <c r="G79" s="113">
        <f>+PSA!$G79</f>
        <v>76087.932000000001</v>
      </c>
      <c r="H79" s="162">
        <f>+Dijon!$G79</f>
        <v>32508</v>
      </c>
      <c r="I79" s="160">
        <f>+Roanne!E79+Montpe!E79+Grenoble!E79+Nancy!E79+STMarcelin!E79+PSA!E79</f>
        <v>259494.61</v>
      </c>
      <c r="J79" s="135">
        <f>+Roanne!F79+Montpe!F79+Grenoble!F79+Nancy!F79+STMarcelin!F79+PSA!F79+Dijon!F79</f>
        <v>291665.07999999996</v>
      </c>
      <c r="K79" s="113">
        <f t="shared" si="19"/>
        <v>318582.41200906888</v>
      </c>
      <c r="L79" s="161">
        <f t="shared" si="18"/>
        <v>318582.41200906888</v>
      </c>
      <c r="M79" s="92">
        <f t="shared" si="20"/>
        <v>0.12397355767813432</v>
      </c>
      <c r="N79" s="271">
        <f t="shared" si="21"/>
        <v>9.2288497509091336E-2</v>
      </c>
      <c r="O79" s="408">
        <f>+Roanne!D79+Montpe!D79+Grenoble!D79+Nancy!D79+STMarcelin!D79+PSA!D79</f>
        <v>283655.32493071863</v>
      </c>
      <c r="P79" s="25">
        <v>1</v>
      </c>
    </row>
    <row r="80" spans="1:16" s="25" customFormat="1" ht="11.25">
      <c r="A80" s="5" t="s">
        <v>325</v>
      </c>
      <c r="B80" s="160">
        <f>+Roanne!$G80</f>
        <v>2010.2715999999998</v>
      </c>
      <c r="C80" s="113">
        <f>+Montpe!$G80</f>
        <v>0</v>
      </c>
      <c r="D80" s="113">
        <f>+Nancy!$G80</f>
        <v>2256.73</v>
      </c>
      <c r="E80" s="113">
        <f>+STMarcelin!$G80</f>
        <v>0</v>
      </c>
      <c r="F80" s="113">
        <f>+Grenoble!$G80</f>
        <v>0</v>
      </c>
      <c r="G80" s="113">
        <f>+PSA!$G80</f>
        <v>3423.4453333333336</v>
      </c>
      <c r="H80" s="162">
        <f>+Dijon!$G80</f>
        <v>0</v>
      </c>
      <c r="I80" s="160">
        <f>+Roanne!E80+Montpe!E80+Grenoble!E80+Nancy!E80+STMarcelin!E80+PSA!E80</f>
        <v>4159.96</v>
      </c>
      <c r="J80" s="135">
        <f>+Roanne!F80+Montpe!F80+Grenoble!F80+Nancy!F80+STMarcelin!F80+PSA!F80+Dijon!F80</f>
        <v>7466.4533333333329</v>
      </c>
      <c r="K80" s="113">
        <f t="shared" si="19"/>
        <v>7690.4469333333327</v>
      </c>
      <c r="L80" s="161">
        <f t="shared" si="18"/>
        <v>7690.4469333333327</v>
      </c>
      <c r="M80" s="92">
        <f t="shared" si="20"/>
        <v>0.79483777087600194</v>
      </c>
      <c r="N80" s="271">
        <f t="shared" si="21"/>
        <v>2.9999999999999975E-2</v>
      </c>
      <c r="O80" s="408">
        <f>+Roanne!D80+Montpe!D80+Grenoble!D80+Nancy!D80+STMarcelin!D80+PSA!D80</f>
        <v>5685.9779837177266</v>
      </c>
      <c r="P80" s="25">
        <v>1</v>
      </c>
    </row>
    <row r="81" spans="1:16" s="25" customFormat="1" ht="11.25">
      <c r="A81" s="5" t="s">
        <v>103</v>
      </c>
      <c r="B81" s="160">
        <f>+Roanne!$G81</f>
        <v>0</v>
      </c>
      <c r="C81" s="113">
        <f>+Montpe!$G81</f>
        <v>0</v>
      </c>
      <c r="D81" s="113">
        <f>+Nancy!$G81</f>
        <v>0</v>
      </c>
      <c r="E81" s="113">
        <f>+STMarcelin!$G81</f>
        <v>0</v>
      </c>
      <c r="F81" s="113">
        <f>+Grenoble!$G81</f>
        <v>0</v>
      </c>
      <c r="G81" s="113">
        <f>+PSA!$G81</f>
        <v>765.79813333333334</v>
      </c>
      <c r="H81" s="162">
        <f>+Dijon!$G81</f>
        <v>0</v>
      </c>
      <c r="I81" s="160">
        <f>+Roanne!E81+Montpe!E81+Grenoble!E81+Nancy!E81+STMarcelin!E81+PSA!E81</f>
        <v>-691.32</v>
      </c>
      <c r="J81" s="135">
        <f>+Roanne!F81+Montpe!F81+Grenoble!F81+Nancy!F81+STMarcelin!F81+PSA!F81+Dijon!F81</f>
        <v>743.49333333333334</v>
      </c>
      <c r="K81" s="113">
        <f t="shared" si="19"/>
        <v>765.79813333333334</v>
      </c>
      <c r="L81" s="161">
        <f t="shared" si="18"/>
        <v>765.79813333333334</v>
      </c>
      <c r="M81" s="92">
        <f t="shared" si="20"/>
        <v>-2.0754691508032943</v>
      </c>
      <c r="N81" s="271">
        <f t="shared" si="21"/>
        <v>0.03</v>
      </c>
      <c r="O81" s="408">
        <f>+Roanne!D81+Montpe!D81+Grenoble!D81+Nancy!D81+STMarcelin!D81+PSA!D81</f>
        <v>-512.26701761291667</v>
      </c>
      <c r="P81" s="25">
        <v>1</v>
      </c>
    </row>
    <row r="82" spans="1:16" s="25" customFormat="1" ht="11.25">
      <c r="A82" s="5" t="s">
        <v>105</v>
      </c>
      <c r="B82" s="160">
        <f>+Roanne!$G82</f>
        <v>185.4</v>
      </c>
      <c r="C82" s="113">
        <f>+Montpe!$G82</f>
        <v>185.4</v>
      </c>
      <c r="D82" s="113">
        <f>+Nancy!$G82</f>
        <v>1075.0453333333335</v>
      </c>
      <c r="E82" s="113">
        <f>+STMarcelin!$G82</f>
        <v>185.4</v>
      </c>
      <c r="F82" s="113">
        <f>+Grenoble!$G82</f>
        <v>828.57320000000004</v>
      </c>
      <c r="G82" s="113">
        <f>+PSA!$G82</f>
        <v>586.9763999999999</v>
      </c>
      <c r="H82" s="162">
        <f>+Dijon!$G82</f>
        <v>821.69279999999992</v>
      </c>
      <c r="I82" s="160">
        <f>+Roanne!E82+Montpe!E82+Grenoble!E82+Nancy!E82+STMarcelin!E82+PSA!E82</f>
        <v>2790.9100000000003</v>
      </c>
      <c r="J82" s="135">
        <f>+Roanne!F82+Montpe!F82+Grenoble!F82+Nancy!F82+STMarcelin!F82+PSA!F82+Dijon!F82</f>
        <v>3556.373333333333</v>
      </c>
      <c r="K82" s="113">
        <f t="shared" si="19"/>
        <v>3868.4877333333334</v>
      </c>
      <c r="L82" s="161">
        <f t="shared" si="18"/>
        <v>3868.4877333333334</v>
      </c>
      <c r="M82" s="92">
        <f t="shared" si="20"/>
        <v>0.27427016038974117</v>
      </c>
      <c r="N82" s="271">
        <f t="shared" si="21"/>
        <v>8.7761989742359381E-2</v>
      </c>
      <c r="O82" s="408">
        <f>+Roanne!D82+Montpe!D82+Grenoble!D82+Nancy!D82+STMarcelin!D82+PSA!D82</f>
        <v>2824.7938480164216</v>
      </c>
      <c r="P82" s="25">
        <v>1</v>
      </c>
    </row>
    <row r="83" spans="1:16" s="25" customFormat="1" ht="11.25">
      <c r="A83" s="5" t="s">
        <v>287</v>
      </c>
      <c r="B83" s="160">
        <f>+Roanne!$G83</f>
        <v>437.95599999999996</v>
      </c>
      <c r="C83" s="113">
        <f>+Montpe!$G83</f>
        <v>0</v>
      </c>
      <c r="D83" s="113">
        <f>+Nancy!$G83</f>
        <v>66.606666666666669</v>
      </c>
      <c r="E83" s="113">
        <f>+STMarcelin!$G83</f>
        <v>0</v>
      </c>
      <c r="F83" s="113">
        <f>+Grenoble!$G83</f>
        <v>465.72479999999996</v>
      </c>
      <c r="G83" s="113">
        <f>+PSA!$G83</f>
        <v>11116.087466666668</v>
      </c>
      <c r="H83" s="162">
        <f>+Dijon!$G83</f>
        <v>0</v>
      </c>
      <c r="I83" s="160">
        <f>+Roanne!E83+Montpe!E83+Grenoble!E83+Nancy!E83+STMarcelin!E83+PSA!E83</f>
        <v>3595.43</v>
      </c>
      <c r="J83" s="135">
        <f>+Roanne!F83+Montpe!F83+Grenoble!F83+Nancy!F83+STMarcelin!F83+PSA!F83+Dijon!F83</f>
        <v>4744.0533333333333</v>
      </c>
      <c r="K83" s="113">
        <f t="shared" si="19"/>
        <v>12086.374933333334</v>
      </c>
      <c r="L83" s="161">
        <f t="shared" si="18"/>
        <v>12086.374933333334</v>
      </c>
      <c r="M83" s="92">
        <f t="shared" si="20"/>
        <v>0.31946758338594644</v>
      </c>
      <c r="N83" s="271">
        <f t="shared" si="21"/>
        <v>1.547689514451777</v>
      </c>
      <c r="O83" s="408">
        <f>+Roanne!D83+Montpe!D83+Grenoble!D83+Nancy!D83+STMarcelin!D83+PSA!D83</f>
        <v>11218.554087304808</v>
      </c>
      <c r="P83" s="25">
        <v>1</v>
      </c>
    </row>
    <row r="84" spans="1:16" s="25" customFormat="1" ht="11.25">
      <c r="A84" s="5" t="s">
        <v>108</v>
      </c>
      <c r="B84" s="160">
        <f>+Roanne!$G84</f>
        <v>2901.5786666666672</v>
      </c>
      <c r="C84" s="113">
        <f>+Montpe!$G84</f>
        <v>1344.15</v>
      </c>
      <c r="D84" s="113">
        <f>+Nancy!$G84</f>
        <v>8351.6108000000004</v>
      </c>
      <c r="E84" s="113">
        <f>+STMarcelin!$G84</f>
        <v>1795.5509333333334</v>
      </c>
      <c r="F84" s="113">
        <f>+Grenoble!$G84</f>
        <v>18106.823200000003</v>
      </c>
      <c r="G84" s="113">
        <f>+PSA!$G84</f>
        <v>6921.5862666666662</v>
      </c>
      <c r="H84" s="162">
        <f>+Dijon!$G84</f>
        <v>0</v>
      </c>
      <c r="I84" s="160">
        <f>+Roanne!E84+Montpe!E84+Grenoble!E84+Nancy!E84+STMarcelin!E84+PSA!E84</f>
        <v>41349.230000000003</v>
      </c>
      <c r="J84" s="135">
        <f>+Roanne!F84+Montpe!F84+Grenoble!F84+Nancy!F84+STMarcelin!F84+PSA!F84+Dijon!F84</f>
        <v>38273.106666666667</v>
      </c>
      <c r="K84" s="113">
        <f t="shared" si="19"/>
        <v>39421.299866666668</v>
      </c>
      <c r="L84" s="161">
        <f t="shared" si="18"/>
        <v>39421.299866666668</v>
      </c>
      <c r="M84" s="92">
        <f t="shared" si="20"/>
        <v>-7.4393727122206058E-2</v>
      </c>
      <c r="N84" s="271">
        <f t="shared" si="21"/>
        <v>3.0000000000000041E-2</v>
      </c>
      <c r="O84" s="408">
        <f>+Roanne!D84+Montpe!D84+Grenoble!D84+Nancy!D84+STMarcelin!D84+PSA!D84</f>
        <v>39838.376071844978</v>
      </c>
      <c r="P84" s="25">
        <v>1</v>
      </c>
    </row>
    <row r="85" spans="1:16" s="25" customFormat="1" ht="11.25">
      <c r="A85" s="5" t="s">
        <v>109</v>
      </c>
      <c r="B85" s="160">
        <f>+Roanne!$G85</f>
        <v>0</v>
      </c>
      <c r="C85" s="113">
        <f>+Montpe!$G85</f>
        <v>93.414133333333325</v>
      </c>
      <c r="D85" s="113">
        <f>+Nancy!$G85</f>
        <v>1282.6933333333334</v>
      </c>
      <c r="E85" s="113">
        <f>+STMarcelin!$G85</f>
        <v>1433.76</v>
      </c>
      <c r="F85" s="113">
        <f>+Grenoble!$G85</f>
        <v>0</v>
      </c>
      <c r="G85" s="113">
        <f>+PSA!$G85</f>
        <v>2137.5933333333337</v>
      </c>
      <c r="H85" s="162">
        <f>+Dijon!$G85</f>
        <v>867.03340000000014</v>
      </c>
      <c r="I85" s="160">
        <f>+Roanne!E85+Montpe!E85+Grenoble!E85+Nancy!E85+STMarcelin!E85+PSA!E85</f>
        <v>4489.9800000000005</v>
      </c>
      <c r="J85" s="135">
        <f>+Roanne!F85+Montpe!F85+Grenoble!F85+Nancy!F85+STMarcelin!F85+PSA!F85+Dijon!F85</f>
        <v>5434.6950000000006</v>
      </c>
      <c r="K85" s="113">
        <f t="shared" si="19"/>
        <v>5814.494200000001</v>
      </c>
      <c r="L85" s="161">
        <f t="shared" si="18"/>
        <v>5814.494200000001</v>
      </c>
      <c r="M85" s="92">
        <f t="shared" si="20"/>
        <v>0.21040516884262292</v>
      </c>
      <c r="N85" s="271">
        <f t="shared" si="21"/>
        <v>6.9884179332970905E-2</v>
      </c>
      <c r="O85" s="408">
        <f>+Roanne!D85+Montpe!D85+Grenoble!D85+Nancy!D85+STMarcelin!D85+PSA!D85</f>
        <v>5876.3267466427615</v>
      </c>
      <c r="P85" s="25">
        <v>1</v>
      </c>
    </row>
    <row r="86" spans="1:16" s="25" customFormat="1" ht="11.25">
      <c r="A86" s="5" t="s">
        <v>106</v>
      </c>
      <c r="B86" s="160">
        <f>+Roanne!$G86</f>
        <v>2048.2854666666667</v>
      </c>
      <c r="C86" s="113">
        <f>+Montpe!$G86</f>
        <v>769.47866666666664</v>
      </c>
      <c r="D86" s="113">
        <f>+Nancy!$G86</f>
        <v>1161.6477333333335</v>
      </c>
      <c r="E86" s="113">
        <f>+STMarcelin!$G86</f>
        <v>306.11599999999999</v>
      </c>
      <c r="F86" s="113">
        <f>+Grenoble!$G86</f>
        <v>1583.4258666666667</v>
      </c>
      <c r="G86" s="113">
        <f>+PSA!$G86</f>
        <v>5443.8109333333341</v>
      </c>
      <c r="H86" s="162">
        <f>+Dijon!$G86</f>
        <v>269.53039999999993</v>
      </c>
      <c r="I86" s="160">
        <f>+Roanne!E86+Montpe!E86+Grenoble!E86+Nancy!E86+STMarcelin!E86+PSA!E86</f>
        <v>9354.75</v>
      </c>
      <c r="J86" s="135">
        <f>+Roanne!F86+Montpe!F86+Grenoble!F86+Nancy!F86+STMarcelin!F86+PSA!F86+Dijon!F86</f>
        <v>11179.526666666667</v>
      </c>
      <c r="K86" s="113">
        <f t="shared" si="19"/>
        <v>11582.295066666666</v>
      </c>
      <c r="L86" s="161">
        <f t="shared" si="18"/>
        <v>11582.295066666666</v>
      </c>
      <c r="M86" s="92">
        <f t="shared" si="20"/>
        <v>0.19506418307989701</v>
      </c>
      <c r="N86" s="271">
        <f t="shared" si="21"/>
        <v>3.6027321371387727E-2</v>
      </c>
      <c r="O86" s="408">
        <f>+Roanne!D86+Montpe!D86+Grenoble!D86+Nancy!D86+STMarcelin!D86+PSA!D86</f>
        <v>9801.2006606647319</v>
      </c>
      <c r="P86" s="25">
        <v>1</v>
      </c>
    </row>
    <row r="87" spans="1:16" s="25" customFormat="1" ht="11.25">
      <c r="A87" s="5" t="s">
        <v>363</v>
      </c>
      <c r="B87" s="160">
        <f>+Roanne!$G87</f>
        <v>0</v>
      </c>
      <c r="C87" s="113">
        <f>+Montpe!$G87</f>
        <v>0</v>
      </c>
      <c r="D87" s="113">
        <f>+Nancy!$G87</f>
        <v>62.266933333333341</v>
      </c>
      <c r="E87" s="113">
        <f>+STMarcelin!$G87</f>
        <v>0</v>
      </c>
      <c r="F87" s="113">
        <f>+Grenoble!$G87</f>
        <v>0</v>
      </c>
      <c r="G87" s="113">
        <f>+PSA!$G87</f>
        <v>0</v>
      </c>
      <c r="H87" s="162">
        <f>+Dijon!$G87</f>
        <v>0</v>
      </c>
      <c r="I87" s="160">
        <f>+Roanne!E87+Montpe!E87+Grenoble!E87+Nancy!E87+STMarcelin!E87+PSA!E87</f>
        <v>450.44</v>
      </c>
      <c r="J87" s="135">
        <f>+Roanne!F87+Montpe!F87+Grenoble!F87+Nancy!F87+STMarcelin!F87+PSA!F87+Dijon!F87</f>
        <v>60.45333333333334</v>
      </c>
      <c r="K87" s="113">
        <f t="shared" si="19"/>
        <v>62.266933333333341</v>
      </c>
      <c r="L87" s="161">
        <f t="shared" si="18"/>
        <v>62.266933333333341</v>
      </c>
      <c r="M87" s="92">
        <f t="shared" si="20"/>
        <v>-0.86579048633928313</v>
      </c>
      <c r="N87" s="271">
        <f t="shared" si="21"/>
        <v>3.0000000000000013E-2</v>
      </c>
      <c r="O87" s="408">
        <f>+Roanne!D87+Montpe!D87+Grenoble!D87+Nancy!D87+STMarcelin!D87+PSA!D87</f>
        <v>776.74831946000006</v>
      </c>
      <c r="P87" s="25">
        <v>1</v>
      </c>
    </row>
    <row r="88" spans="1:16" s="25" customFormat="1" ht="11.25">
      <c r="A88" s="5" t="s">
        <v>111</v>
      </c>
      <c r="B88" s="160">
        <f>+Roanne!$G88</f>
        <v>4431.6861750000007</v>
      </c>
      <c r="C88" s="113">
        <f>+Montpe!$G88</f>
        <v>3235.8044250000003</v>
      </c>
      <c r="D88" s="113">
        <f>+Nancy!$G88</f>
        <v>5483.9121750000013</v>
      </c>
      <c r="E88" s="113">
        <f>+STMarcelin!$G88</f>
        <v>2020.3312500000002</v>
      </c>
      <c r="F88" s="113">
        <f>+Grenoble!$G88</f>
        <v>3755.7434250000006</v>
      </c>
      <c r="G88" s="113">
        <f>+PSA!$G88</f>
        <v>4000</v>
      </c>
      <c r="H88" s="162">
        <f>+Dijon!$G88</f>
        <v>1854</v>
      </c>
      <c r="I88" s="160">
        <f>+Roanne!E88+Montpe!E88+Grenoble!E88+Nancy!E88+STMarcelin!E88+PSA!E88</f>
        <v>20832.09</v>
      </c>
      <c r="J88" s="135">
        <f>+Roanne!F88+Montpe!F88+Grenoble!F88+Nancy!F88+STMarcelin!F88+PSA!F88+Dijon!F88</f>
        <v>24556.6</v>
      </c>
      <c r="K88" s="113">
        <f t="shared" si="19"/>
        <v>24781.477450000002</v>
      </c>
      <c r="L88" s="161">
        <f t="shared" si="18"/>
        <v>24781.477450000002</v>
      </c>
      <c r="M88" s="92">
        <f t="shared" si="20"/>
        <v>0.17878715001711296</v>
      </c>
      <c r="N88" s="271">
        <f t="shared" si="21"/>
        <v>9.1575156984274528E-3</v>
      </c>
      <c r="O88" s="408">
        <f>+Roanne!D88+Montpe!D88+Grenoble!D88+Nancy!D88+STMarcelin!D88+PSA!D88</f>
        <v>21594.345475000002</v>
      </c>
      <c r="P88" s="25">
        <v>1</v>
      </c>
    </row>
    <row r="89" spans="1:16" s="25" customFormat="1" ht="11.25">
      <c r="A89" s="5" t="s">
        <v>315</v>
      </c>
      <c r="B89" s="160">
        <f>+Roanne!$G89</f>
        <v>0</v>
      </c>
      <c r="C89" s="113">
        <f>+Montpe!$G89</f>
        <v>0</v>
      </c>
      <c r="D89" s="113">
        <f>+Nancy!$G89</f>
        <v>0</v>
      </c>
      <c r="E89" s="113">
        <f>+STMarcelin!$G89</f>
        <v>0</v>
      </c>
      <c r="F89" s="113">
        <f>+Grenoble!$G89</f>
        <v>0</v>
      </c>
      <c r="G89" s="113">
        <f>+PSA!$G89</f>
        <v>0</v>
      </c>
      <c r="H89" s="113">
        <f>+Dijon!$G89</f>
        <v>0</v>
      </c>
      <c r="I89" s="160">
        <f>+Roanne!E89+Montpe!E89+Grenoble!E89+Nancy!E89+STMarcelin!E89+PSA!E89</f>
        <v>0</v>
      </c>
      <c r="J89" s="135">
        <f>+Roanne!F89+Montpe!F89+Grenoble!F89+Nancy!F89+STMarcelin!F89+PSA!F89+Dijon!F89</f>
        <v>0</v>
      </c>
      <c r="K89" s="113">
        <f t="shared" si="19"/>
        <v>0</v>
      </c>
      <c r="L89" s="161">
        <f t="shared" si="18"/>
        <v>0</v>
      </c>
      <c r="M89" s="149">
        <f t="shared" si="20"/>
        <v>0</v>
      </c>
      <c r="N89" s="271">
        <f t="shared" si="21"/>
        <v>0</v>
      </c>
      <c r="O89" s="117">
        <f>+Roanne!D89+Montpe!D89+Grenoble!D89+Nancy!D89+STMarcelin!D89+PSA!D89</f>
        <v>1307.2518542250002</v>
      </c>
      <c r="P89" s="25">
        <v>0</v>
      </c>
    </row>
    <row r="90" spans="1:16" s="25" customFormat="1" ht="11.25">
      <c r="A90" s="5" t="s">
        <v>112</v>
      </c>
      <c r="B90" s="160">
        <f>+Roanne!$G90</f>
        <v>337.13960000000003</v>
      </c>
      <c r="C90" s="113">
        <f>+Montpe!$G90</f>
        <v>293.09680000000003</v>
      </c>
      <c r="D90" s="113">
        <f>+Nancy!$G90</f>
        <v>407.83880000000005</v>
      </c>
      <c r="E90" s="113">
        <f>+STMarcelin!$G90</f>
        <v>0</v>
      </c>
      <c r="F90" s="113">
        <f>+Grenoble!$G90</f>
        <v>89.26666666666668</v>
      </c>
      <c r="G90" s="113">
        <f>+PSA!$G90</f>
        <v>406.50666666666666</v>
      </c>
      <c r="H90" s="162">
        <f>+Dijon!$G90</f>
        <v>630.36</v>
      </c>
      <c r="I90" s="160">
        <f>+Roanne!E90+Montpe!E90+Grenoble!E90+Nancy!E90+STMarcelin!E90+PSA!E90</f>
        <v>2092.44</v>
      </c>
      <c r="J90" s="135">
        <f>+Roanne!F90+Montpe!F90+Grenoble!F90+Nancy!F90+STMarcelin!F90+PSA!F90+Dijon!F90</f>
        <v>1948.1733333333332</v>
      </c>
      <c r="K90" s="113">
        <f t="shared" si="19"/>
        <v>2164.2085333333334</v>
      </c>
      <c r="L90" s="161">
        <f t="shared" si="18"/>
        <v>2164.2085333333334</v>
      </c>
      <c r="M90" s="92">
        <f t="shared" si="20"/>
        <v>-6.8946620532329181E-2</v>
      </c>
      <c r="N90" s="271">
        <f t="shared" si="21"/>
        <v>0.11089115958196752</v>
      </c>
      <c r="O90" s="408">
        <f>+Roanne!D90+Montpe!D90+Grenoble!D90+Nancy!D90+STMarcelin!D90+PSA!D90</f>
        <v>2480.7273065261888</v>
      </c>
      <c r="P90" s="25">
        <v>1</v>
      </c>
    </row>
    <row r="91" spans="1:16" s="25" customFormat="1" ht="11.25">
      <c r="A91" s="5" t="s">
        <v>113</v>
      </c>
      <c r="B91" s="160">
        <f>+Roanne!$G91</f>
        <v>1556.9892</v>
      </c>
      <c r="C91" s="113">
        <f>+Montpe!$G91</f>
        <v>2004.2564000000002</v>
      </c>
      <c r="D91" s="113">
        <f>+Nancy!$G91</f>
        <v>1079.4537333333333</v>
      </c>
      <c r="E91" s="113">
        <f>+STMarcelin!$G91</f>
        <v>132.58160000000001</v>
      </c>
      <c r="F91" s="113">
        <f>+Grenoble!$G91</f>
        <v>2351.3938666666668</v>
      </c>
      <c r="G91" s="113">
        <f>+PSA!$G91</f>
        <v>2562.5438666666669</v>
      </c>
      <c r="H91" s="162">
        <f>+Dijon!$G91</f>
        <v>798.33240000000001</v>
      </c>
      <c r="I91" s="160">
        <f>+Roanne!E91+Montpe!E91+Grenoble!E91+Nancy!E91+STMarcelin!E91+PSA!E91</f>
        <v>5131.3999999999996</v>
      </c>
      <c r="J91" s="135">
        <f>+Roanne!F91+Montpe!F91+Grenoble!F91+Nancy!F91+STMarcelin!F91+PSA!F91+Dijon!F91</f>
        <v>9986.3766666666652</v>
      </c>
      <c r="K91" s="113">
        <f t="shared" si="19"/>
        <v>10485.551066666667</v>
      </c>
      <c r="L91" s="161">
        <f t="shared" si="18"/>
        <v>10485.551066666667</v>
      </c>
      <c r="M91" s="92">
        <f t="shared" si="20"/>
        <v>0.94613101038053282</v>
      </c>
      <c r="N91" s="271">
        <f t="shared" si="21"/>
        <v>4.9985536963189699E-2</v>
      </c>
      <c r="O91" s="408">
        <f>+Roanne!D91+Montpe!D91+Grenoble!D91+Nancy!D91+STMarcelin!D91+PSA!D91</f>
        <v>5164.3002168967505</v>
      </c>
      <c r="P91" s="25">
        <v>1</v>
      </c>
    </row>
    <row r="92" spans="1:16" s="25" customFormat="1" ht="11.25">
      <c r="A92" s="5" t="s">
        <v>309</v>
      </c>
      <c r="B92" s="160">
        <f>+Roanne!$G92</f>
        <v>0</v>
      </c>
      <c r="C92" s="113">
        <f>+Montpe!$G92</f>
        <v>0</v>
      </c>
      <c r="D92" s="113">
        <f>+Nancy!$G92</f>
        <v>0</v>
      </c>
      <c r="E92" s="113">
        <f>+STMarcelin!$G92</f>
        <v>0</v>
      </c>
      <c r="F92" s="113">
        <f>+Grenoble!$G92</f>
        <v>0</v>
      </c>
      <c r="G92" s="113">
        <f>+PSA!$G92</f>
        <v>0</v>
      </c>
      <c r="H92" s="113">
        <f>+Dijon!$G92</f>
        <v>0</v>
      </c>
      <c r="I92" s="160">
        <f>+Roanne!E92+Montpe!E92+Grenoble!E92+Nancy!E92+STMarcelin!E92+PSA!E92</f>
        <v>0</v>
      </c>
      <c r="J92" s="135">
        <f>+Roanne!F92+Montpe!F92+Grenoble!F92+Nancy!F92+STMarcelin!F92+PSA!F92+Dijon!F92</f>
        <v>0</v>
      </c>
      <c r="K92" s="113">
        <f t="shared" si="19"/>
        <v>0</v>
      </c>
      <c r="L92" s="161">
        <f t="shared" si="18"/>
        <v>0</v>
      </c>
      <c r="M92" s="149">
        <f t="shared" si="20"/>
        <v>0</v>
      </c>
      <c r="N92" s="271">
        <f t="shared" si="21"/>
        <v>0</v>
      </c>
      <c r="O92" s="117">
        <f>+Roanne!D92+Montpe!D92+Grenoble!D92+Nancy!D92+STMarcelin!D92+PSA!D92</f>
        <v>0</v>
      </c>
      <c r="P92" s="25">
        <v>0</v>
      </c>
    </row>
    <row r="93" spans="1:16" s="25" customFormat="1" ht="11.25">
      <c r="A93" s="5" t="s">
        <v>115</v>
      </c>
      <c r="B93" s="160">
        <f>+Roanne!$G93</f>
        <v>0</v>
      </c>
      <c r="C93" s="113">
        <f>+Montpe!$G93</f>
        <v>0</v>
      </c>
      <c r="D93" s="113">
        <f>+Nancy!$G93</f>
        <v>0</v>
      </c>
      <c r="E93" s="113">
        <f>+STMarcelin!$G93</f>
        <v>0</v>
      </c>
      <c r="F93" s="113">
        <f>+Grenoble!$G93</f>
        <v>0</v>
      </c>
      <c r="G93" s="113">
        <f>+PSA!$G93</f>
        <v>0</v>
      </c>
      <c r="H93" s="162">
        <f>+Dijon!$G93</f>
        <v>0</v>
      </c>
      <c r="I93" s="160">
        <f>+Roanne!E93+Montpe!E93+Grenoble!E93+Nancy!E93+STMarcelin!E93+PSA!E93</f>
        <v>0</v>
      </c>
      <c r="J93" s="135">
        <f>+Roanne!F93+Montpe!F93+Grenoble!F93+Nancy!F93+STMarcelin!F93+PSA!F93+Dijon!F93</f>
        <v>0</v>
      </c>
      <c r="K93" s="113">
        <f t="shared" si="19"/>
        <v>0</v>
      </c>
      <c r="L93" s="161">
        <f t="shared" si="18"/>
        <v>0</v>
      </c>
      <c r="M93" s="92">
        <f t="shared" si="20"/>
        <v>0</v>
      </c>
      <c r="N93" s="271">
        <f t="shared" si="21"/>
        <v>0</v>
      </c>
      <c r="O93" s="408">
        <f>+Roanne!D93+Montpe!D93+Grenoble!D93+Nancy!D93+STMarcelin!D93+PSA!D93</f>
        <v>330.78895153125001</v>
      </c>
      <c r="P93" s="25">
        <v>1</v>
      </c>
    </row>
    <row r="94" spans="1:16" s="25" customFormat="1" ht="11.25">
      <c r="A94" s="5" t="s">
        <v>42</v>
      </c>
      <c r="B94" s="160">
        <f>+Roanne!$G94</f>
        <v>0</v>
      </c>
      <c r="C94" s="113">
        <f>+Montpe!$G94</f>
        <v>86.657333333333327</v>
      </c>
      <c r="D94" s="113">
        <f>+Nancy!$G94</f>
        <v>0</v>
      </c>
      <c r="E94" s="113">
        <f>+STMarcelin!$G94</f>
        <v>0</v>
      </c>
      <c r="F94" s="113">
        <f>+Grenoble!$G94</f>
        <v>0</v>
      </c>
      <c r="G94" s="113">
        <f>+PSA!$G94</f>
        <v>0</v>
      </c>
      <c r="H94" s="162">
        <f>+Dijon!$G94</f>
        <v>0</v>
      </c>
      <c r="I94" s="160">
        <f>+Roanne!E94+Montpe!E94+Grenoble!E94+Nancy!E94+STMarcelin!E94+PSA!E94</f>
        <v>384.41</v>
      </c>
      <c r="J94" s="135">
        <f>+Roanne!F94+Montpe!F94+Grenoble!F94+Nancy!F94+STMarcelin!F94+PSA!F94+Dijon!F94</f>
        <v>84.133333333333326</v>
      </c>
      <c r="K94" s="113">
        <f t="shared" si="19"/>
        <v>86.657333333333327</v>
      </c>
      <c r="L94" s="161">
        <f t="shared" si="18"/>
        <v>86.657333333333327</v>
      </c>
      <c r="M94" s="92">
        <f t="shared" si="20"/>
        <v>-0.78113646020308181</v>
      </c>
      <c r="N94" s="271">
        <f t="shared" si="21"/>
        <v>3.0000000000000013E-2</v>
      </c>
      <c r="O94" s="408">
        <f>+Roanne!D94+Montpe!D94+Grenoble!D94+Nancy!D94+STMarcelin!D94+PSA!D94</f>
        <v>428.3651173191667</v>
      </c>
      <c r="P94" s="25">
        <v>1</v>
      </c>
    </row>
    <row r="95" spans="1:16" s="25" customFormat="1" ht="11.25">
      <c r="A95" s="5" t="s">
        <v>117</v>
      </c>
      <c r="B95" s="160">
        <f>+Roanne!$G95</f>
        <v>6631.1457235238304</v>
      </c>
      <c r="C95" s="113">
        <f>+Montpe!$G95</f>
        <v>8149.4320196521185</v>
      </c>
      <c r="D95" s="113">
        <f>+Nancy!$G95</f>
        <v>288.33509208999368</v>
      </c>
      <c r="E95" s="113">
        <f>+STMarcelin!$G95</f>
        <v>25.838246601054628</v>
      </c>
      <c r="F95" s="113">
        <f>+Grenoble!$G95</f>
        <v>7521.4705268445168</v>
      </c>
      <c r="G95" s="113">
        <f>+PSA!$G95</f>
        <v>11526.831462207398</v>
      </c>
      <c r="H95" s="162">
        <f>+Dijon!$G95</f>
        <v>13470.864113863508</v>
      </c>
      <c r="I95" s="160">
        <f>+Roanne!E95+Montpe!E95+Grenoble!E95+Nancy!E95+STMarcelin!E95+PSA!E95</f>
        <v>32422.910000000003</v>
      </c>
      <c r="J95" s="135">
        <f>+Roanne!F95+Montpe!F95+Grenoble!F95+Nancy!F95+STMarcelin!F95+PSA!F95+Dijon!F95</f>
        <v>41253.919999999998</v>
      </c>
      <c r="K95" s="113">
        <f t="shared" si="19"/>
        <v>47613.917184782418</v>
      </c>
      <c r="L95" s="161">
        <f t="shared" si="18"/>
        <v>47613.917184782418</v>
      </c>
      <c r="M95" s="92">
        <f t="shared" si="20"/>
        <v>0.27236944493877918</v>
      </c>
      <c r="N95" s="271">
        <f t="shared" si="21"/>
        <v>0.15416709938794715</v>
      </c>
      <c r="O95" s="408">
        <f>+Roanne!D95+Montpe!D95+Grenoble!D95+Nancy!D95+STMarcelin!D95+PSA!D95</f>
        <v>31052.042880930334</v>
      </c>
      <c r="P95" s="25">
        <v>1</v>
      </c>
    </row>
    <row r="96" spans="1:16" s="25" customFormat="1" ht="11.25">
      <c r="A96" s="5" t="s">
        <v>118</v>
      </c>
      <c r="B96" s="160">
        <f>+Roanne!$G96</f>
        <v>6003.1833333333343</v>
      </c>
      <c r="C96" s="113">
        <f>+Montpe!$G96</f>
        <v>5000</v>
      </c>
      <c r="D96" s="113">
        <f>+Nancy!$G96</f>
        <v>7782.5152000000007</v>
      </c>
      <c r="E96" s="113">
        <f>+STMarcelin!$G96</f>
        <v>3711.8316000000004</v>
      </c>
      <c r="F96" s="113">
        <f>+Grenoble!$G96</f>
        <v>13086.740533333334</v>
      </c>
      <c r="G96" s="113">
        <f>+PSA!$G96</f>
        <v>13200</v>
      </c>
      <c r="H96" s="162">
        <f>+Dijon!$G96</f>
        <v>12229.746200000001</v>
      </c>
      <c r="I96" s="160">
        <f>+Roanne!E96+Montpe!E96+Grenoble!E96+Nancy!E96+STMarcelin!E96+PSA!E96</f>
        <v>55860.21</v>
      </c>
      <c r="J96" s="135">
        <f>+Roanne!F96+Montpe!F96+Grenoble!F96+Nancy!F96+STMarcelin!F96+PSA!F96+Dijon!F96</f>
        <v>68916.755000000005</v>
      </c>
      <c r="K96" s="113">
        <f t="shared" si="19"/>
        <v>61014.016866666672</v>
      </c>
      <c r="L96" s="161">
        <f t="shared" si="18"/>
        <v>61014.016866666672</v>
      </c>
      <c r="M96" s="92">
        <f t="shared" si="20"/>
        <v>0.23373605290778546</v>
      </c>
      <c r="N96" s="271">
        <f t="shared" si="21"/>
        <v>-0.11467078119585479</v>
      </c>
      <c r="O96" s="408">
        <f>+Roanne!D96+Montpe!D96+Grenoble!D96+Nancy!D96+STMarcelin!D96+PSA!D96</f>
        <v>46249.660400000001</v>
      </c>
      <c r="P96" s="25">
        <v>1</v>
      </c>
    </row>
    <row r="97" spans="1:16" s="25" customFormat="1" ht="11.25">
      <c r="A97" s="5" t="s">
        <v>7</v>
      </c>
      <c r="B97" s="160">
        <f>+Roanne!$G97</f>
        <v>455.57586666666674</v>
      </c>
      <c r="C97" s="113">
        <f>+Montpe!$G97</f>
        <v>632.26893333333339</v>
      </c>
      <c r="D97" s="113">
        <f>+Nancy!$G97</f>
        <v>276.41079999999999</v>
      </c>
      <c r="E97" s="113">
        <f>+STMarcelin!$G97</f>
        <v>0</v>
      </c>
      <c r="F97" s="113">
        <f>+Grenoble!$G97</f>
        <v>0</v>
      </c>
      <c r="G97" s="113">
        <f>+PSA!$G97</f>
        <v>329.6</v>
      </c>
      <c r="H97" s="162">
        <f>+Dijon!$G97</f>
        <v>1925.6261999999999</v>
      </c>
      <c r="I97" s="160">
        <f>+Roanne!E97+Montpe!E97+Grenoble!E97+Nancy!E97+STMarcelin!E97+PSA!E97</f>
        <v>2746.53</v>
      </c>
      <c r="J97" s="135">
        <f>+Roanne!F97+Montpe!F97+Grenoble!F97+Nancy!F97+STMarcelin!F97+PSA!F97+Dijon!F97</f>
        <v>3046.6750000000002</v>
      </c>
      <c r="K97" s="113">
        <f t="shared" si="19"/>
        <v>3619.4817999999996</v>
      </c>
      <c r="L97" s="161">
        <f t="shared" si="18"/>
        <v>3619.4817999999996</v>
      </c>
      <c r="M97" s="92">
        <f t="shared" si="20"/>
        <v>0.10928152978485578</v>
      </c>
      <c r="N97" s="271">
        <f t="shared" si="21"/>
        <v>0.18801047043087935</v>
      </c>
      <c r="O97" s="408">
        <f>+Roanne!D97+Montpe!D97+Grenoble!D97+Nancy!D97+STMarcelin!D97+PSA!D97</f>
        <v>2971.0815315179725</v>
      </c>
      <c r="P97" s="25">
        <v>1</v>
      </c>
    </row>
    <row r="98" spans="1:16" s="25" customFormat="1" ht="11.25">
      <c r="A98" s="5" t="s">
        <v>307</v>
      </c>
      <c r="B98" s="160">
        <f>+Roanne!$G98</f>
        <v>0</v>
      </c>
      <c r="C98" s="113">
        <f>+Montpe!$G98</f>
        <v>0</v>
      </c>
      <c r="D98" s="113">
        <f>+Nancy!$G98</f>
        <v>0</v>
      </c>
      <c r="E98" s="113">
        <f>+STMarcelin!$G98</f>
        <v>0</v>
      </c>
      <c r="F98" s="113">
        <f>+Grenoble!$G98</f>
        <v>0</v>
      </c>
      <c r="G98" s="113">
        <f>+PSA!$G98</f>
        <v>0</v>
      </c>
      <c r="H98" s="162">
        <f>+Dijon!$G98</f>
        <v>0</v>
      </c>
      <c r="I98" s="160">
        <f>+Roanne!E98+Montpe!E98+Grenoble!E98+Nancy!E98+STMarcelin!E98+PSA!E98</f>
        <v>855</v>
      </c>
      <c r="J98" s="135">
        <f>+Roanne!F98+Montpe!F98+Grenoble!F98+Nancy!F98+STMarcelin!F98+PSA!F98+Dijon!F98</f>
        <v>0</v>
      </c>
      <c r="K98" s="113">
        <f t="shared" si="19"/>
        <v>0</v>
      </c>
      <c r="L98" s="161">
        <f t="shared" si="18"/>
        <v>0</v>
      </c>
      <c r="M98" s="92">
        <f t="shared" si="20"/>
        <v>-1</v>
      </c>
      <c r="N98" s="271">
        <f t="shared" si="21"/>
        <v>0</v>
      </c>
      <c r="O98" s="408">
        <f>+Roanne!D98+Montpe!D98+Grenoble!D98+Nancy!D98+STMarcelin!D98+PSA!D98</f>
        <v>1653.15</v>
      </c>
      <c r="P98" s="25">
        <v>1</v>
      </c>
    </row>
    <row r="99" spans="1:16" s="25" customFormat="1" ht="11.25">
      <c r="A99" s="5" t="s">
        <v>119</v>
      </c>
      <c r="B99" s="160">
        <f>+Roanne!$G99</f>
        <v>4490.3066666666664</v>
      </c>
      <c r="C99" s="113">
        <f>+Montpe!$G99</f>
        <v>5839.3066666666655</v>
      </c>
      <c r="D99" s="113">
        <f>+Nancy!$G99</f>
        <v>5184.6400000000003</v>
      </c>
      <c r="E99" s="113">
        <f>+STMarcelin!$G99</f>
        <v>2513.3733333333334</v>
      </c>
      <c r="F99" s="113">
        <f>+Grenoble!$G99</f>
        <v>5448.3866666666672</v>
      </c>
      <c r="G99" s="113">
        <f>+PSA!$G99</f>
        <v>8062.08</v>
      </c>
      <c r="H99" s="162">
        <f>+Dijon!$G99</f>
        <v>5951.43</v>
      </c>
      <c r="I99" s="160">
        <f>+Roanne!E99+Montpe!E99+Grenoble!E99+Nancy!E99+STMarcelin!E99+PSA!E99</f>
        <v>34507.370000000003</v>
      </c>
      <c r="J99" s="135">
        <f>+Roanne!F99+Montpe!F99+Grenoble!F99+Nancy!F99+STMarcelin!F99+PSA!F99+Dijon!F99</f>
        <v>37489.523333333331</v>
      </c>
      <c r="K99" s="113">
        <f t="shared" si="19"/>
        <v>37489.523333333331</v>
      </c>
      <c r="L99" s="161">
        <f t="shared" si="18"/>
        <v>37489.523333333331</v>
      </c>
      <c r="M99" s="92">
        <f t="shared" si="20"/>
        <v>8.6420765573653621E-2</v>
      </c>
      <c r="N99" s="271">
        <f t="shared" si="21"/>
        <v>0</v>
      </c>
      <c r="O99" s="408">
        <f>+Roanne!D99+Montpe!D99+Grenoble!D99+Nancy!D99+STMarcelin!D99+PSA!D99</f>
        <v>34894.848981565694</v>
      </c>
      <c r="P99" s="25">
        <v>1</v>
      </c>
    </row>
    <row r="100" spans="1:16" s="25" customFormat="1" ht="11.25">
      <c r="A100" s="5" t="s">
        <v>120</v>
      </c>
      <c r="B100" s="160">
        <f>+Roanne!$G100</f>
        <v>3596.7737333333334</v>
      </c>
      <c r="C100" s="113">
        <f>+Montpe!$G100</f>
        <v>1054.8573333333334</v>
      </c>
      <c r="D100" s="113">
        <f>+Nancy!$G100</f>
        <v>1671.3191999999999</v>
      </c>
      <c r="E100" s="113">
        <f>+STMarcelin!$G100</f>
        <v>1088.7511999999999</v>
      </c>
      <c r="F100" s="113">
        <f>+Grenoble!$G100</f>
        <v>1705.6250666666667</v>
      </c>
      <c r="G100" s="113">
        <f>+PSA!$G100</f>
        <v>1907.6012000000001</v>
      </c>
      <c r="H100" s="162">
        <f>+Dijon!$G100</f>
        <v>0</v>
      </c>
      <c r="I100" s="160">
        <f>+Roanne!E100+Montpe!E100+Grenoble!E100+Nancy!E100+STMarcelin!E100+PSA!E100</f>
        <v>5435.73</v>
      </c>
      <c r="J100" s="135">
        <f>+Roanne!F100+Montpe!F100+Grenoble!F100+Nancy!F100+STMarcelin!F100+PSA!F100+Dijon!F100</f>
        <v>10703.813333333335</v>
      </c>
      <c r="K100" s="113">
        <f t="shared" si="19"/>
        <v>11024.927733333334</v>
      </c>
      <c r="L100" s="161">
        <f t="shared" si="18"/>
        <v>11024.927733333334</v>
      </c>
      <c r="M100" s="92">
        <f t="shared" si="20"/>
        <v>0.96915838964285128</v>
      </c>
      <c r="N100" s="271">
        <f t="shared" si="21"/>
        <v>2.999999999999986E-2</v>
      </c>
      <c r="O100" s="408">
        <f>+Roanne!D100+Montpe!D100+Grenoble!D100+Nancy!D100+STMarcelin!D100+PSA!D100</f>
        <v>7384.7877333163042</v>
      </c>
      <c r="P100" s="25">
        <v>1</v>
      </c>
    </row>
    <row r="101" spans="1:16" s="25" customFormat="1" ht="11.25">
      <c r="A101" s="5" t="s">
        <v>121</v>
      </c>
      <c r="B101" s="160">
        <f>+Roanne!$G101</f>
        <v>0</v>
      </c>
      <c r="C101" s="113">
        <f>+Montpe!$G101</f>
        <v>0</v>
      </c>
      <c r="D101" s="113">
        <f>+Nancy!$G101</f>
        <v>0</v>
      </c>
      <c r="E101" s="113">
        <f>+STMarcelin!$G101</f>
        <v>0</v>
      </c>
      <c r="F101" s="113">
        <f>+Grenoble!$G101</f>
        <v>0</v>
      </c>
      <c r="G101" s="113">
        <f>+PSA!$G101</f>
        <v>0</v>
      </c>
      <c r="H101" s="113">
        <f>+Dijon!$G101</f>
        <v>0</v>
      </c>
      <c r="I101" s="160">
        <f>+Roanne!E101+Montpe!E101+Grenoble!E101+Nancy!E101+STMarcelin!E101+PSA!E101</f>
        <v>0</v>
      </c>
      <c r="J101" s="135">
        <f>+Roanne!F101+Montpe!F101+Grenoble!F101+Nancy!F101+STMarcelin!F101+PSA!F101+Dijon!F101</f>
        <v>0</v>
      </c>
      <c r="K101" s="113">
        <f t="shared" si="19"/>
        <v>0</v>
      </c>
      <c r="L101" s="161">
        <f t="shared" si="18"/>
        <v>0</v>
      </c>
      <c r="M101" s="149">
        <f t="shared" si="20"/>
        <v>0</v>
      </c>
      <c r="N101" s="271">
        <f t="shared" si="21"/>
        <v>0</v>
      </c>
      <c r="O101" s="117">
        <f>+Roanne!D101+Montpe!D101+Grenoble!D101+Nancy!D101+STMarcelin!D101+PSA!D101</f>
        <v>61.567563333333339</v>
      </c>
      <c r="P101" s="25">
        <v>0</v>
      </c>
    </row>
    <row r="102" spans="1:16" s="25" customFormat="1" ht="11.25">
      <c r="A102" s="1074"/>
      <c r="B102" s="1169"/>
      <c r="C102" s="1170"/>
      <c r="D102" s="1170"/>
      <c r="E102" s="1170"/>
      <c r="F102" s="1170"/>
      <c r="G102" s="1170"/>
      <c r="H102" s="371"/>
      <c r="I102" s="1207"/>
      <c r="J102" s="1200"/>
      <c r="K102" s="149"/>
      <c r="L102" s="1416"/>
      <c r="M102" s="1207"/>
      <c r="N102" s="1201"/>
      <c r="O102" s="1177">
        <f>+Roanne!D102+Montpe!D102+Grenoble!D102+Nancy!D102+STMarcelin!D102+PSA!D102</f>
        <v>0</v>
      </c>
      <c r="P102" s="25">
        <v>1</v>
      </c>
    </row>
    <row r="103" spans="1:16" s="2" customFormat="1" ht="11.25">
      <c r="A103" s="13" t="s">
        <v>122</v>
      </c>
      <c r="B103" s="163">
        <f t="shared" ref="B103:K103" si="22">SUM(B70:B102)</f>
        <v>98956.988631857166</v>
      </c>
      <c r="C103" s="204">
        <f t="shared" si="22"/>
        <v>87990.568828718664</v>
      </c>
      <c r="D103" s="204">
        <f t="shared" si="22"/>
        <v>115371.50667037448</v>
      </c>
      <c r="E103" s="204">
        <f t="shared" si="22"/>
        <v>64451.766163267726</v>
      </c>
      <c r="F103" s="204">
        <f t="shared" si="22"/>
        <v>132649.8349068957</v>
      </c>
      <c r="G103" s="204">
        <f t="shared" si="22"/>
        <v>197312.81426220739</v>
      </c>
      <c r="H103" s="168">
        <f>SUM(H70:H102)</f>
        <v>79556.809913863515</v>
      </c>
      <c r="I103" s="163">
        <f>SUM(I70:I102)</f>
        <v>668714.39999999991</v>
      </c>
      <c r="J103" s="136">
        <f t="shared" si="22"/>
        <v>730057.06500000006</v>
      </c>
      <c r="K103" s="136">
        <f t="shared" si="22"/>
        <v>776290.2893771847</v>
      </c>
      <c r="L103" s="168">
        <f>SUM(L70:L102)</f>
        <v>776290.2893771847</v>
      </c>
      <c r="M103" s="1203">
        <f>+IF((I103)=0,,(J103-I103)/I103)</f>
        <v>9.1732232773812206E-2</v>
      </c>
      <c r="N103" s="188">
        <f>+IF((J103)=0,,(L103-J103)/J103)</f>
        <v>6.3328233632236178E-2</v>
      </c>
      <c r="O103" s="312">
        <f>+Roanne!D103+Montpe!D103+Grenoble!D103+Nancy!D103+STMarcelin!D103+PSA!D103</f>
        <v>686642.52493261453</v>
      </c>
      <c r="P103" s="2">
        <v>1</v>
      </c>
    </row>
    <row r="104" spans="1:16" s="2" customFormat="1" ht="11.25">
      <c r="A104" s="5"/>
      <c r="B104" s="160"/>
      <c r="C104" s="113"/>
      <c r="D104" s="113"/>
      <c r="E104" s="113"/>
      <c r="F104" s="113"/>
      <c r="G104" s="113"/>
      <c r="H104" s="113"/>
      <c r="I104" s="92"/>
      <c r="J104" s="143"/>
      <c r="K104" s="149"/>
      <c r="L104" s="186"/>
      <c r="M104" s="149"/>
      <c r="N104" s="254"/>
      <c r="O104" s="115">
        <f>+Roanne!D104+Montpe!D104+Grenoble!D104+Nancy!D104+STMarcelin!D104+PSA!D104</f>
        <v>0</v>
      </c>
      <c r="P104" s="2">
        <v>0</v>
      </c>
    </row>
    <row r="105" spans="1:16" s="25" customFormat="1" ht="11.25">
      <c r="A105" s="5" t="s">
        <v>129</v>
      </c>
      <c r="B105" s="160">
        <f>+Roanne!$G105</f>
        <v>96.133333333333326</v>
      </c>
      <c r="C105" s="113">
        <f>+Montpe!$G105</f>
        <v>0</v>
      </c>
      <c r="D105" s="113">
        <f>+Nancy!$G105</f>
        <v>0</v>
      </c>
      <c r="E105" s="113">
        <f>+STMarcelin!$G105</f>
        <v>0</v>
      </c>
      <c r="F105" s="113">
        <f>+Grenoble!$G105</f>
        <v>0</v>
      </c>
      <c r="G105" s="113">
        <f>+PSA!$G105</f>
        <v>0</v>
      </c>
      <c r="H105" s="162">
        <f>+Dijon!$G105</f>
        <v>0</v>
      </c>
      <c r="I105" s="160">
        <f>+Roanne!E105+Montpe!E105+Grenoble!E105+Nancy!E105+STMarcelin!E105+PSA!E105</f>
        <v>4542.8099999999995</v>
      </c>
      <c r="J105" s="135">
        <f>+Roanne!F105+Montpe!F105+Grenoble!F105+Nancy!F105+STMarcelin!F105+PSA!F105+Dijon!F105</f>
        <v>93.333333333333329</v>
      </c>
      <c r="K105" s="113">
        <f>+L105</f>
        <v>96.133333333333326</v>
      </c>
      <c r="L105" s="161">
        <f t="shared" ref="L105:L114" si="23">SUM(B105:H105)</f>
        <v>96.133333333333326</v>
      </c>
      <c r="M105" s="92">
        <f>+IF((I105)=0,,(J105-I105)/I105)</f>
        <v>-0.97945471341893386</v>
      </c>
      <c r="N105" s="271">
        <f>+IF((J105)=0,,(L105-J105)/J105)</f>
        <v>2.9999999999999971E-2</v>
      </c>
      <c r="O105" s="408">
        <f>+Roanne!D105+Montpe!D105+Grenoble!D105+Nancy!D105+STMarcelin!D105+PSA!D105</f>
        <v>5687.7218000000003</v>
      </c>
      <c r="P105" s="25">
        <v>1</v>
      </c>
    </row>
    <row r="106" spans="1:16" s="25" customFormat="1" ht="11.25">
      <c r="A106" s="5" t="s">
        <v>130</v>
      </c>
      <c r="B106" s="160">
        <f>+Roanne!$G106</f>
        <v>8249.036533333332</v>
      </c>
      <c r="C106" s="113">
        <f>+Montpe!$G106</f>
        <v>5729.1346666666668</v>
      </c>
      <c r="D106" s="113">
        <f>+Nancy!$G106</f>
        <v>4000</v>
      </c>
      <c r="E106" s="113">
        <f>+STMarcelin!$G106</f>
        <v>1730.6060000000002</v>
      </c>
      <c r="F106" s="113">
        <f>+Grenoble!$G106</f>
        <v>12789.070533333334</v>
      </c>
      <c r="G106" s="113">
        <f>+PSA!$G106</f>
        <v>10000</v>
      </c>
      <c r="H106" s="162">
        <f>+Dijon!$G106</f>
        <v>2500</v>
      </c>
      <c r="I106" s="160">
        <f>+Roanne!E106+Montpe!E106+Grenoble!E106+Nancy!E106+STMarcelin!E106+PSA!E106</f>
        <v>47516.509999999995</v>
      </c>
      <c r="J106" s="135">
        <f>+Roanne!F106+Montpe!F106+Grenoble!F106+Nancy!F106+STMarcelin!F106+PSA!F106+Dijon!F106</f>
        <v>53220.648333333338</v>
      </c>
      <c r="K106" s="113">
        <f t="shared" ref="K106:K114" si="24">+L106</f>
        <v>44997.847733333329</v>
      </c>
      <c r="L106" s="161">
        <f t="shared" si="23"/>
        <v>44997.847733333329</v>
      </c>
      <c r="M106" s="92">
        <f t="shared" ref="M106:M114" si="25">+IF((I106)=0,,(J106-I106)/I106)</f>
        <v>0.12004539755409949</v>
      </c>
      <c r="N106" s="271">
        <f t="shared" ref="N106:N114" si="26">+IF((J106)=0,,(L106-J106)/J106)</f>
        <v>-0.15450395396348221</v>
      </c>
      <c r="O106" s="408">
        <f>+Roanne!D106+Montpe!D106+Grenoble!D106+Nancy!D106+STMarcelin!D106+PSA!D106</f>
        <v>41331.178599999999</v>
      </c>
      <c r="P106" s="25">
        <v>1</v>
      </c>
    </row>
    <row r="107" spans="1:16" s="25" customFormat="1" ht="11.25">
      <c r="A107" s="5" t="s">
        <v>131</v>
      </c>
      <c r="B107" s="160">
        <f>+Roanne!$G107</f>
        <v>0</v>
      </c>
      <c r="C107" s="113">
        <f>+Montpe!$G107</f>
        <v>0</v>
      </c>
      <c r="D107" s="113">
        <f>+Nancy!$G107</f>
        <v>0</v>
      </c>
      <c r="E107" s="113">
        <f>+STMarcelin!$G107</f>
        <v>0</v>
      </c>
      <c r="F107" s="113">
        <f>+Grenoble!$G107</f>
        <v>0</v>
      </c>
      <c r="G107" s="113">
        <f>+PSA!$G107</f>
        <v>0</v>
      </c>
      <c r="H107" s="113">
        <f>+Dijon!$G107</f>
        <v>0</v>
      </c>
      <c r="I107" s="160">
        <f>+Roanne!E107+Montpe!E107+Grenoble!E107+Nancy!E107+STMarcelin!E107+PSA!E107</f>
        <v>0</v>
      </c>
      <c r="J107" s="135">
        <f>+Roanne!F107+Montpe!F107+Grenoble!F107+Nancy!F107+STMarcelin!F107+PSA!F107+Dijon!F107</f>
        <v>0</v>
      </c>
      <c r="K107" s="113">
        <f t="shared" si="24"/>
        <v>0</v>
      </c>
      <c r="L107" s="161">
        <f t="shared" si="23"/>
        <v>0</v>
      </c>
      <c r="M107" s="149">
        <f t="shared" si="25"/>
        <v>0</v>
      </c>
      <c r="N107" s="271">
        <f t="shared" si="26"/>
        <v>0</v>
      </c>
      <c r="O107" s="117">
        <f>+Roanne!D107+Montpe!D107+Grenoble!D107+Nancy!D107+STMarcelin!D107+PSA!D107</f>
        <v>0</v>
      </c>
      <c r="P107" s="25">
        <v>0</v>
      </c>
    </row>
    <row r="108" spans="1:16" s="25" customFormat="1" ht="11.25">
      <c r="A108" s="5" t="s">
        <v>132</v>
      </c>
      <c r="B108" s="160">
        <f>+Roanne!$G108</f>
        <v>5776.3223999999991</v>
      </c>
      <c r="C108" s="113">
        <f>+Montpe!$G108</f>
        <v>0</v>
      </c>
      <c r="D108" s="113">
        <f>+Nancy!$G108</f>
        <v>0</v>
      </c>
      <c r="E108" s="113">
        <f>+STMarcelin!$G108</f>
        <v>452.7056</v>
      </c>
      <c r="F108" s="113">
        <f>+Grenoble!$G108</f>
        <v>2264.5167999999999</v>
      </c>
      <c r="G108" s="113">
        <f>+PSA!$G108</f>
        <v>3063.3161333333328</v>
      </c>
      <c r="H108" s="162">
        <f>+Dijon!$G108</f>
        <v>2000</v>
      </c>
      <c r="I108" s="160">
        <f>+Roanne!E108+Montpe!E108+Grenoble!E108+Nancy!E108+STMarcelin!E108+PSA!E108</f>
        <v>0</v>
      </c>
      <c r="J108" s="135">
        <f>+Roanne!F108+Montpe!F108+Grenoble!F108+Nancy!F108+STMarcelin!F108+PSA!F108+Dijon!F108</f>
        <v>13015.198333333332</v>
      </c>
      <c r="K108" s="113">
        <f t="shared" si="24"/>
        <v>13556.860933333333</v>
      </c>
      <c r="L108" s="161">
        <f t="shared" si="23"/>
        <v>13556.860933333333</v>
      </c>
      <c r="M108" s="92">
        <f t="shared" si="25"/>
        <v>0</v>
      </c>
      <c r="N108" s="271">
        <f t="shared" si="26"/>
        <v>4.1617698488139433E-2</v>
      </c>
      <c r="O108" s="408">
        <f>+Roanne!D108+Montpe!D108+Grenoble!D108+Nancy!D108+STMarcelin!D108+PSA!D108</f>
        <v>744.68999999999994</v>
      </c>
      <c r="P108" s="25">
        <v>1</v>
      </c>
    </row>
    <row r="109" spans="1:16" s="25" customFormat="1" ht="11.25">
      <c r="A109" s="5" t="s">
        <v>133</v>
      </c>
      <c r="B109" s="160">
        <f>+Roanne!$G109</f>
        <v>4985.9828000000007</v>
      </c>
      <c r="C109" s="113">
        <f>+Montpe!$G109</f>
        <v>2326.6601333333333</v>
      </c>
      <c r="D109" s="113">
        <f>+Nancy!$G109</f>
        <v>3000</v>
      </c>
      <c r="E109" s="113">
        <f>+STMarcelin!$G109</f>
        <v>2093.8114666666665</v>
      </c>
      <c r="F109" s="113">
        <f>+Grenoble!$G109</f>
        <v>10415.950533333333</v>
      </c>
      <c r="G109" s="113">
        <f>+PSA!$G109</f>
        <v>11000</v>
      </c>
      <c r="H109" s="162">
        <f>+Dijon!$G109</f>
        <v>5000</v>
      </c>
      <c r="I109" s="160">
        <f>+Roanne!E109+Montpe!E109+Grenoble!E109+Nancy!E109+STMarcelin!E109+PSA!E109</f>
        <v>12653.869999999999</v>
      </c>
      <c r="J109" s="135">
        <f>+Roanne!F109+Montpe!F109+Grenoble!F109+Nancy!F109+STMarcelin!F109+PSA!F109+Dijon!F109</f>
        <v>33913.129999999997</v>
      </c>
      <c r="K109" s="113">
        <f t="shared" si="24"/>
        <v>38822.404933333331</v>
      </c>
      <c r="L109" s="161">
        <f t="shared" si="23"/>
        <v>38822.404933333331</v>
      </c>
      <c r="M109" s="92">
        <f t="shared" si="25"/>
        <v>1.6800599342335587</v>
      </c>
      <c r="N109" s="271">
        <f t="shared" si="26"/>
        <v>0.14476030178675145</v>
      </c>
      <c r="O109" s="408">
        <f>+Roanne!D109+Montpe!D109+Grenoble!D109+Nancy!D109+STMarcelin!D109+PSA!D109</f>
        <v>37091.4038</v>
      </c>
      <c r="P109" s="25">
        <v>1</v>
      </c>
    </row>
    <row r="110" spans="1:16" s="25" customFormat="1" ht="11.25">
      <c r="A110" s="5" t="s">
        <v>134</v>
      </c>
      <c r="B110" s="160">
        <f>+Roanne!$G110</f>
        <v>12000</v>
      </c>
      <c r="C110" s="113">
        <f>+Montpe!$G110</f>
        <v>10000</v>
      </c>
      <c r="D110" s="113">
        <f>+Nancy!$G110</f>
        <v>3000</v>
      </c>
      <c r="E110" s="113">
        <f>+STMarcelin!$G110</f>
        <v>1500</v>
      </c>
      <c r="F110" s="113">
        <f>+Grenoble!$G110</f>
        <v>46706.10533333334</v>
      </c>
      <c r="G110" s="113">
        <f>+PSA!$G110</f>
        <v>29000</v>
      </c>
      <c r="H110" s="162">
        <f>+Dijon!$G110</f>
        <v>3000</v>
      </c>
      <c r="I110" s="160">
        <f>+Roanne!E110+Montpe!E110+Grenoble!E110+Nancy!E110+STMarcelin!E110+PSA!E110</f>
        <v>121302.21999999999</v>
      </c>
      <c r="J110" s="135">
        <f>+Roanne!F110+Montpe!F110+Grenoble!F110+Nancy!F110+STMarcelin!F110+PSA!F110+Dijon!F110</f>
        <v>118134.60666666667</v>
      </c>
      <c r="K110" s="113">
        <f t="shared" si="24"/>
        <v>105206.10533333334</v>
      </c>
      <c r="L110" s="161">
        <f t="shared" si="23"/>
        <v>105206.10533333334</v>
      </c>
      <c r="M110" s="92">
        <f t="shared" si="25"/>
        <v>-2.6113399518436786E-2</v>
      </c>
      <c r="N110" s="271">
        <f t="shared" si="26"/>
        <v>-0.1094387300904375</v>
      </c>
      <c r="O110" s="408">
        <f>+Roanne!D110+Montpe!D110+Grenoble!D110+Nancy!D110+STMarcelin!D110+PSA!D110</f>
        <v>116423.4645</v>
      </c>
      <c r="P110" s="25">
        <v>1</v>
      </c>
    </row>
    <row r="111" spans="1:16" s="25" customFormat="1" ht="11.25">
      <c r="A111" s="5" t="s">
        <v>135</v>
      </c>
      <c r="B111" s="160">
        <f>+Roanne!$G111</f>
        <v>0</v>
      </c>
      <c r="C111" s="113">
        <f>+Montpe!$G111</f>
        <v>0</v>
      </c>
      <c r="D111" s="113">
        <f>+Nancy!$G111</f>
        <v>0</v>
      </c>
      <c r="E111" s="113">
        <f>+STMarcelin!$G111</f>
        <v>0</v>
      </c>
      <c r="F111" s="113">
        <f>+Grenoble!$G111</f>
        <v>0</v>
      </c>
      <c r="G111" s="113">
        <f>+PSA!$G111</f>
        <v>100</v>
      </c>
      <c r="H111" s="162">
        <f>+Dijon!$G111</f>
        <v>0</v>
      </c>
      <c r="I111" s="160">
        <f>+Roanne!E111+Montpe!E111+Grenoble!E111+Nancy!E111+STMarcelin!E111+PSA!E111</f>
        <v>380</v>
      </c>
      <c r="J111" s="135">
        <f>+Roanne!F111+Montpe!F111+Grenoble!F111+Nancy!F111+STMarcelin!F111+PSA!F111+Dijon!F111</f>
        <v>93.333333333333329</v>
      </c>
      <c r="K111" s="113">
        <f t="shared" si="24"/>
        <v>100</v>
      </c>
      <c r="L111" s="161">
        <f t="shared" si="23"/>
        <v>100</v>
      </c>
      <c r="M111" s="92">
        <f t="shared" si="25"/>
        <v>-0.75438596491228072</v>
      </c>
      <c r="N111" s="271">
        <f t="shared" si="26"/>
        <v>7.142857142857148E-2</v>
      </c>
      <c r="O111" s="408">
        <f>+Roanne!D111+Montpe!D111+Grenoble!D111+Nancy!D111+STMarcelin!D111+PSA!D111</f>
        <v>433.72</v>
      </c>
      <c r="P111" s="25">
        <v>1</v>
      </c>
    </row>
    <row r="112" spans="1:16" s="25" customFormat="1" ht="11.25">
      <c r="A112" s="5" t="s">
        <v>136</v>
      </c>
      <c r="B112" s="160">
        <f>+Roanne!$G112</f>
        <v>1060.9000000000001</v>
      </c>
      <c r="C112" s="113">
        <f>+Montpe!$G112</f>
        <v>2227.89</v>
      </c>
      <c r="D112" s="113">
        <f>+Nancy!$G112</f>
        <v>26.78</v>
      </c>
      <c r="E112" s="113">
        <f>+STMarcelin!$G112</f>
        <v>26.78</v>
      </c>
      <c r="F112" s="113">
        <f>+Grenoble!$G112</f>
        <v>9548.1</v>
      </c>
      <c r="G112" s="113">
        <f>+PSA!$G112</f>
        <v>3000</v>
      </c>
      <c r="H112" s="162">
        <f>+Dijon!$G112</f>
        <v>0</v>
      </c>
      <c r="I112" s="160">
        <f>+Roanne!E112+Montpe!E112+Grenoble!E112+Nancy!E112+STMarcelin!E112+PSA!E112</f>
        <v>151.38</v>
      </c>
      <c r="J112" s="135">
        <f>+Roanne!F112+Montpe!F112+Grenoble!F112+Nancy!F112+STMarcelin!F112+PSA!F112+Dijon!F112</f>
        <v>15515</v>
      </c>
      <c r="K112" s="113">
        <f t="shared" si="24"/>
        <v>15890.45</v>
      </c>
      <c r="L112" s="161">
        <f t="shared" si="23"/>
        <v>15890.45</v>
      </c>
      <c r="M112" s="92">
        <f t="shared" si="25"/>
        <v>101.4904214559387</v>
      </c>
      <c r="N112" s="271">
        <f t="shared" si="26"/>
        <v>2.4199162101192443E-2</v>
      </c>
      <c r="O112" s="408">
        <f>+Roanne!D112+Montpe!D112+Grenoble!D112+Nancy!D112+STMarcelin!D112+PSA!D112</f>
        <v>15514.9738</v>
      </c>
      <c r="P112" s="25">
        <v>1</v>
      </c>
    </row>
    <row r="113" spans="1:16" s="25" customFormat="1" ht="11.25">
      <c r="A113" s="5" t="s">
        <v>137</v>
      </c>
      <c r="B113" s="160">
        <f>+Roanne!$G113</f>
        <v>2000</v>
      </c>
      <c r="C113" s="113">
        <f>+Montpe!$G113</f>
        <v>2000</v>
      </c>
      <c r="D113" s="113">
        <f>+Nancy!$G113</f>
        <v>6000</v>
      </c>
      <c r="E113" s="113">
        <f>+STMarcelin!$G113</f>
        <v>2000</v>
      </c>
      <c r="F113" s="113">
        <f>+Grenoble!$G113</f>
        <v>2000</v>
      </c>
      <c r="G113" s="113">
        <f>+PSA!$G113</f>
        <v>2000</v>
      </c>
      <c r="H113" s="162">
        <f>+Dijon!$G113</f>
        <v>2000</v>
      </c>
      <c r="I113" s="160">
        <f>+Roanne!E113+Montpe!E113+Grenoble!E113+Nancy!E113+STMarcelin!E113+PSA!E113</f>
        <v>57405.08</v>
      </c>
      <c r="J113" s="135">
        <f>+Roanne!F113+Montpe!F113+Grenoble!F113+Nancy!F113+STMarcelin!F113+PSA!F113+Dijon!F113</f>
        <v>54810.929999999993</v>
      </c>
      <c r="K113" s="113">
        <f t="shared" si="24"/>
        <v>18000</v>
      </c>
      <c r="L113" s="161">
        <f t="shared" si="23"/>
        <v>18000</v>
      </c>
      <c r="M113" s="92">
        <f t="shared" si="25"/>
        <v>-4.5190251455097856E-2</v>
      </c>
      <c r="N113" s="271">
        <f t="shared" si="26"/>
        <v>-0.67159834726394896</v>
      </c>
      <c r="O113" s="408">
        <f>+Roanne!D113+Montpe!D113+Grenoble!D113+Nancy!D113+STMarcelin!D113+PSA!D113</f>
        <v>71718.952900000004</v>
      </c>
      <c r="P113" s="25">
        <v>1</v>
      </c>
    </row>
    <row r="114" spans="1:16" s="25" customFormat="1" ht="11.25">
      <c r="A114" s="5" t="s">
        <v>138</v>
      </c>
      <c r="B114" s="160">
        <f>+Roanne!$G114</f>
        <v>-1777.5465333333332</v>
      </c>
      <c r="C114" s="113">
        <f>+Montpe!$G114</f>
        <v>0</v>
      </c>
      <c r="D114" s="113">
        <f>+Nancy!$G114</f>
        <v>0</v>
      </c>
      <c r="E114" s="113">
        <f>+STMarcelin!$G114</f>
        <v>0</v>
      </c>
      <c r="F114" s="113">
        <f>+Grenoble!$G114</f>
        <v>0</v>
      </c>
      <c r="G114" s="113">
        <f>+PSA!$G114</f>
        <v>-5000</v>
      </c>
      <c r="H114" s="113">
        <f>+Dijon!$G114</f>
        <v>0</v>
      </c>
      <c r="I114" s="160">
        <f>+Roanne!E114+Montpe!E114+Grenoble!E114+Nancy!E114+STMarcelin!E114+PSA!E114</f>
        <v>-5034.66</v>
      </c>
      <c r="J114" s="135">
        <f>+Roanne!F114+Montpe!F114+Grenoble!F114+Nancy!F114+STMarcelin!F114+PSA!F114+Dijon!F114</f>
        <v>-6725.7733333333326</v>
      </c>
      <c r="K114" s="113">
        <f t="shared" si="24"/>
        <v>-6777.5465333333332</v>
      </c>
      <c r="L114" s="161">
        <f t="shared" si="23"/>
        <v>-6777.5465333333332</v>
      </c>
      <c r="M114" s="149">
        <f t="shared" si="25"/>
        <v>0.3358942477413237</v>
      </c>
      <c r="N114" s="271">
        <f t="shared" si="26"/>
        <v>7.6977319088958121E-3</v>
      </c>
      <c r="O114" s="117">
        <f>+Roanne!D114+Montpe!D114+Grenoble!D114+Nancy!D114+STMarcelin!D114+PSA!D114</f>
        <v>-5666.5851000000002</v>
      </c>
      <c r="P114" s="25">
        <v>0</v>
      </c>
    </row>
    <row r="115" spans="1:16" s="2" customFormat="1" ht="11.25">
      <c r="A115" s="5"/>
      <c r="B115" s="160"/>
      <c r="C115" s="113"/>
      <c r="D115" s="113"/>
      <c r="E115" s="113"/>
      <c r="F115" s="113"/>
      <c r="G115" s="113"/>
      <c r="H115" s="113"/>
      <c r="I115" s="92"/>
      <c r="J115" s="143"/>
      <c r="K115" s="149"/>
      <c r="L115" s="186"/>
      <c r="M115" s="149"/>
      <c r="N115" s="254"/>
      <c r="O115" s="115">
        <f>+Roanne!D115+Montpe!D115+Grenoble!D115+Nancy!D115+STMarcelin!D115+PSA!D115</f>
        <v>0</v>
      </c>
      <c r="P115" s="2">
        <v>0</v>
      </c>
    </row>
    <row r="116" spans="1:16" s="2" customFormat="1" ht="11.25">
      <c r="A116" s="13" t="s">
        <v>133</v>
      </c>
      <c r="B116" s="163">
        <f t="shared" ref="B116:K116" si="27">SUM(B104:B115)</f>
        <v>32390.828533333333</v>
      </c>
      <c r="C116" s="204">
        <f t="shared" si="27"/>
        <v>22283.684799999999</v>
      </c>
      <c r="D116" s="204">
        <f t="shared" si="27"/>
        <v>16026.78</v>
      </c>
      <c r="E116" s="204">
        <f t="shared" si="27"/>
        <v>7803.9030666666667</v>
      </c>
      <c r="F116" s="204">
        <f t="shared" si="27"/>
        <v>83723.743200000012</v>
      </c>
      <c r="G116" s="204">
        <f t="shared" si="27"/>
        <v>53163.316133333334</v>
      </c>
      <c r="H116" s="168">
        <f>SUM(H104:H115)</f>
        <v>14500</v>
      </c>
      <c r="I116" s="163">
        <f>SUM(I104:I115)</f>
        <v>238917.21</v>
      </c>
      <c r="J116" s="136">
        <f t="shared" si="27"/>
        <v>282070.40666666673</v>
      </c>
      <c r="K116" s="136">
        <f t="shared" si="27"/>
        <v>229892.25573333332</v>
      </c>
      <c r="L116" s="168">
        <f>SUM(L104:L115)</f>
        <v>229892.25573333332</v>
      </c>
      <c r="M116" s="1203">
        <f>+IF((I116)=0,,(J116-I116)/I116)</f>
        <v>0.18061987525581244</v>
      </c>
      <c r="N116" s="188">
        <f>+IF((J116)=0,,(L116-J116)/J116)</f>
        <v>-0.18498271956261722</v>
      </c>
      <c r="O116" s="312">
        <f>+Roanne!D116+Montpe!D116+Grenoble!D116+Nancy!D116+STMarcelin!D116+PSA!D116</f>
        <v>283279.52030000003</v>
      </c>
      <c r="P116" s="2">
        <v>1</v>
      </c>
    </row>
    <row r="117" spans="1:16" s="2" customFormat="1" ht="11.25">
      <c r="A117" s="5"/>
      <c r="B117" s="160"/>
      <c r="C117" s="113"/>
      <c r="D117" s="113"/>
      <c r="E117" s="113"/>
      <c r="F117" s="113"/>
      <c r="G117" s="113"/>
      <c r="H117" s="113"/>
      <c r="I117" s="92"/>
      <c r="J117" s="143"/>
      <c r="K117" s="149"/>
      <c r="L117" s="186"/>
      <c r="M117" s="149"/>
      <c r="N117" s="254"/>
      <c r="O117" s="115">
        <f>+Roanne!D117+Montpe!D117+Grenoble!D117+Nancy!D117+STMarcelin!D117+PSA!D117</f>
        <v>0</v>
      </c>
      <c r="P117" s="2">
        <v>0</v>
      </c>
    </row>
    <row r="118" spans="1:16" s="25" customFormat="1" ht="11.25">
      <c r="A118" s="5" t="s">
        <v>139</v>
      </c>
      <c r="B118" s="160">
        <f>+Roanne!$G118</f>
        <v>1062.838</v>
      </c>
      <c r="C118" s="113">
        <f>+Montpe!$G118</f>
        <v>686.9799999999999</v>
      </c>
      <c r="D118" s="113">
        <f>+Nancy!$G118</f>
        <v>730.07899999999995</v>
      </c>
      <c r="E118" s="113">
        <f>+STMarcelin!$G118</f>
        <v>341.42499999999995</v>
      </c>
      <c r="F118" s="113">
        <f>+Grenoble!$G118</f>
        <v>1294.1599999999999</v>
      </c>
      <c r="G118" s="113">
        <f>+PSA!$G118</f>
        <v>1677.0459999999998</v>
      </c>
      <c r="H118" s="162">
        <f>+Dijon!$G118</f>
        <v>1655.1688000000001</v>
      </c>
      <c r="I118" s="160">
        <f>+Roanne!E118+Montpe!E118+Grenoble!E118+Nancy!E118+STMarcelin!E118+PSA!E118</f>
        <v>6769</v>
      </c>
      <c r="J118" s="135">
        <f>+Roanne!F118+Montpe!F118+Grenoble!F118+Nancy!F118+STMarcelin!F118+PSA!F118+Dijon!F118</f>
        <v>17100.726666666666</v>
      </c>
      <c r="K118" s="113">
        <f>+L118</f>
        <v>7447.6968000000006</v>
      </c>
      <c r="L118" s="161">
        <f t="shared" ref="L118:L127" si="28">SUM(B118:H118)</f>
        <v>7447.6968000000006</v>
      </c>
      <c r="M118" s="92">
        <f>+IF((I118)=0,,(J118-I118)/I118)</f>
        <v>1.5263298370020189</v>
      </c>
      <c r="N118" s="271">
        <f>+IF((J118)=0,,(L118-J118)/J118)</f>
        <v>-0.5644806828871598</v>
      </c>
      <c r="O118" s="408">
        <f>+Roanne!D118+Montpe!D118+Grenoble!D118+Nancy!D118+STMarcelin!D118+PSA!D118</f>
        <v>5871.6209999999992</v>
      </c>
      <c r="P118" s="25">
        <v>1</v>
      </c>
    </row>
    <row r="119" spans="1:16" s="25" customFormat="1" ht="11.25">
      <c r="A119" s="5" t="s">
        <v>140</v>
      </c>
      <c r="B119" s="160">
        <f>+Roanne!$G119</f>
        <v>683.25300000000004</v>
      </c>
      <c r="C119" s="113">
        <f>+Montpe!$G119</f>
        <v>441.63000000000005</v>
      </c>
      <c r="D119" s="113">
        <f>+Nancy!$G119</f>
        <v>469.33650000000006</v>
      </c>
      <c r="E119" s="113">
        <f>+STMarcelin!$G119</f>
        <v>219.48750000000004</v>
      </c>
      <c r="F119" s="113">
        <f>+Grenoble!$G119</f>
        <v>831.96000000000015</v>
      </c>
      <c r="G119" s="113">
        <f>+PSA!$G119</f>
        <v>1078.1010000000001</v>
      </c>
      <c r="H119" s="162">
        <f>+Dijon!$G119</f>
        <v>0</v>
      </c>
      <c r="I119" s="160">
        <f>+Roanne!E119+Montpe!E119+Grenoble!E119+Nancy!E119+STMarcelin!E119+PSA!E119</f>
        <v>3630</v>
      </c>
      <c r="J119" s="135">
        <f>+Roanne!F119+Montpe!F119+Grenoble!F119+Nancy!F119+STMarcelin!F119+PSA!F119+Dijon!F119</f>
        <v>0</v>
      </c>
      <c r="K119" s="113">
        <f t="shared" ref="K119:K127" si="29">+L119</f>
        <v>3723.7680000000005</v>
      </c>
      <c r="L119" s="161">
        <f t="shared" si="28"/>
        <v>3723.7680000000005</v>
      </c>
      <c r="M119" s="92">
        <f t="shared" ref="M119:M127" si="30">+IF((I119)=0,,(J119-I119)/I119)</f>
        <v>-1</v>
      </c>
      <c r="N119" s="271">
        <f t="shared" ref="N119:N127" si="31">+IF((J119)=0,,(L119-J119)/J119)</f>
        <v>0</v>
      </c>
      <c r="O119" s="408">
        <f>+Roanne!D119+Montpe!D119+Grenoble!D119+Nancy!D119+STMarcelin!D119+PSA!D119</f>
        <v>3774.6135000000004</v>
      </c>
      <c r="P119" s="25">
        <v>1</v>
      </c>
    </row>
    <row r="120" spans="1:16" s="25" customFormat="1" ht="11.25">
      <c r="A120" s="5" t="s">
        <v>141</v>
      </c>
      <c r="B120" s="160">
        <f>+Roanne!$G120</f>
        <v>1184.3052</v>
      </c>
      <c r="C120" s="113">
        <f>+Montpe!$G120</f>
        <v>765.49200000000008</v>
      </c>
      <c r="D120" s="113">
        <f>+Nancy!$G120</f>
        <v>813.51660000000004</v>
      </c>
      <c r="E120" s="113">
        <f>+STMarcelin!$G120</f>
        <v>380.44500000000005</v>
      </c>
      <c r="F120" s="113">
        <f>+Grenoble!$G120</f>
        <v>1442.0640000000001</v>
      </c>
      <c r="G120" s="113">
        <f>+PSA!$G120</f>
        <v>1868.7084000000002</v>
      </c>
      <c r="H120" s="162">
        <f>+Dijon!$G120</f>
        <v>0</v>
      </c>
      <c r="I120" s="160">
        <f>+Roanne!E120+Montpe!E120+Grenoble!E120+Nancy!E120+STMarcelin!E120+PSA!E120</f>
        <v>5222</v>
      </c>
      <c r="J120" s="135">
        <f>+Roanne!F120+Montpe!F120+Grenoble!F120+Nancy!F120+STMarcelin!F120+PSA!F120+Dijon!F120</f>
        <v>0</v>
      </c>
      <c r="K120" s="113">
        <f t="shared" si="29"/>
        <v>6454.5312000000004</v>
      </c>
      <c r="L120" s="161">
        <f t="shared" si="28"/>
        <v>6454.5312000000004</v>
      </c>
      <c r="M120" s="92">
        <f t="shared" si="30"/>
        <v>-1</v>
      </c>
      <c r="N120" s="271">
        <f t="shared" si="31"/>
        <v>0</v>
      </c>
      <c r="O120" s="408">
        <f>+Roanne!D120+Montpe!D120+Grenoble!D120+Nancy!D120+STMarcelin!D120+PSA!D120</f>
        <v>6542.6633999999995</v>
      </c>
      <c r="P120" s="25">
        <v>1</v>
      </c>
    </row>
    <row r="121" spans="1:16" s="25" customFormat="1" ht="11.25">
      <c r="A121" s="5" t="s">
        <v>142</v>
      </c>
      <c r="B121" s="160">
        <f>+Roanne!$G121</f>
        <v>2896.9500000000003</v>
      </c>
      <c r="C121" s="113">
        <f>+Montpe!$G121</f>
        <v>2842.35</v>
      </c>
      <c r="D121" s="113">
        <f>+Nancy!$G121</f>
        <v>3835.65</v>
      </c>
      <c r="E121" s="113">
        <f>+STMarcelin!$G121</f>
        <v>1369.2</v>
      </c>
      <c r="F121" s="113">
        <f>+Grenoble!$G121</f>
        <v>3490.2000000000003</v>
      </c>
      <c r="G121" s="113">
        <f>+PSA!$G121</f>
        <v>6958.35</v>
      </c>
      <c r="H121" s="162">
        <f>+Dijon!$G121</f>
        <v>3149.9685000000004</v>
      </c>
      <c r="I121" s="160">
        <f>+Roanne!E121+Montpe!E121+Grenoble!E121+Nancy!E121+STMarcelin!E121+PSA!E121</f>
        <v>34387</v>
      </c>
      <c r="J121" s="135">
        <f>+Roanne!F121+Montpe!F121+Grenoble!F121+Nancy!F121+STMarcelin!F121+PSA!F121+Dijon!F121</f>
        <v>23373.97</v>
      </c>
      <c r="K121" s="113">
        <f t="shared" si="29"/>
        <v>24542.668500000003</v>
      </c>
      <c r="L121" s="161">
        <f t="shared" si="28"/>
        <v>24542.668500000003</v>
      </c>
      <c r="M121" s="92">
        <f t="shared" si="30"/>
        <v>-0.32026725215924617</v>
      </c>
      <c r="N121" s="271">
        <f t="shared" si="31"/>
        <v>5.0000000000000093E-2</v>
      </c>
      <c r="O121" s="408">
        <f>+Roanne!D121+Montpe!D121+Grenoble!D121+Nancy!D121+STMarcelin!D121+PSA!D121</f>
        <v>50493.712500000001</v>
      </c>
      <c r="P121" s="25">
        <v>1</v>
      </c>
    </row>
    <row r="122" spans="1:16" s="25" customFormat="1" ht="11.25">
      <c r="A122" s="5" t="s">
        <v>143</v>
      </c>
      <c r="B122" s="160">
        <f>+Roanne!$G122</f>
        <v>5131.3500000000004</v>
      </c>
      <c r="C122" s="113">
        <f>+Montpe!$G122</f>
        <v>5964.4620000000004</v>
      </c>
      <c r="D122" s="113">
        <f>+Nancy!$G122</f>
        <v>7025.55</v>
      </c>
      <c r="E122" s="113">
        <f>+STMarcelin!$G122</f>
        <v>3268.2719999999999</v>
      </c>
      <c r="F122" s="113">
        <f>+Grenoble!$G122</f>
        <v>5867.4000000000005</v>
      </c>
      <c r="G122" s="113">
        <f>+PSA!$G122</f>
        <v>20198.850000000002</v>
      </c>
      <c r="H122" s="162">
        <f>+Dijon!$G122</f>
        <v>1087</v>
      </c>
      <c r="I122" s="160">
        <f>+Roanne!E122+Montpe!E122+Grenoble!E122+Nancy!E122+STMarcelin!E122+PSA!E122</f>
        <v>41702.879999999997</v>
      </c>
      <c r="J122" s="135">
        <f>+Roanne!F122+Montpe!F122+Grenoble!F122+Nancy!F122+STMarcelin!F122+PSA!F122+Dijon!F122</f>
        <v>45976.08</v>
      </c>
      <c r="K122" s="113">
        <f t="shared" si="29"/>
        <v>48542.884000000005</v>
      </c>
      <c r="L122" s="161">
        <f t="shared" si="28"/>
        <v>48542.884000000005</v>
      </c>
      <c r="M122" s="92">
        <f t="shared" si="30"/>
        <v>0.10246774323499971</v>
      </c>
      <c r="N122" s="271">
        <f t="shared" si="31"/>
        <v>5.5829118097932742E-2</v>
      </c>
      <c r="O122" s="408">
        <f>+Roanne!D122+Montpe!D122+Grenoble!D122+Nancy!D122+STMarcelin!D122+PSA!D122</f>
        <v>45864.240922500001</v>
      </c>
      <c r="P122" s="25">
        <v>1</v>
      </c>
    </row>
    <row r="123" spans="1:16" s="25" customFormat="1" ht="11.25">
      <c r="A123" s="5" t="s">
        <v>144</v>
      </c>
      <c r="B123" s="160">
        <f>+Roanne!$G123</f>
        <v>1335.6000000000001</v>
      </c>
      <c r="C123" s="113">
        <f>+Montpe!$G123</f>
        <v>671.22</v>
      </c>
      <c r="D123" s="113">
        <f>+Nancy!$G123</f>
        <v>50</v>
      </c>
      <c r="E123" s="113">
        <f>+STMarcelin!$G123</f>
        <v>50</v>
      </c>
      <c r="F123" s="113">
        <f>+Grenoble!$G123</f>
        <v>50</v>
      </c>
      <c r="G123" s="113">
        <f>+PSA!$G123</f>
        <v>1437.03</v>
      </c>
      <c r="H123" s="162">
        <f>+Dijon!$G123</f>
        <v>1053.69</v>
      </c>
      <c r="I123" s="160">
        <f>+Roanne!E123+Montpe!E123+Grenoble!E123+Nancy!E123+STMarcelin!E123+PSA!E123</f>
        <v>1272</v>
      </c>
      <c r="J123" s="135">
        <f>+Roanne!F123+Montpe!F123+Grenoble!F123+Nancy!F123+STMarcelin!F123+PSA!F123+Dijon!F123</f>
        <v>3887.34</v>
      </c>
      <c r="K123" s="113">
        <f t="shared" si="29"/>
        <v>4647.5400000000009</v>
      </c>
      <c r="L123" s="161">
        <f t="shared" si="28"/>
        <v>4647.5400000000009</v>
      </c>
      <c r="M123" s="92">
        <f t="shared" si="30"/>
        <v>2.0560849056603776</v>
      </c>
      <c r="N123" s="271">
        <f t="shared" si="31"/>
        <v>0.19555788791307185</v>
      </c>
      <c r="O123" s="408">
        <f>+Roanne!D123+Montpe!D123+Grenoble!D123+Nancy!D123+STMarcelin!D123+PSA!D123</f>
        <v>1560.16</v>
      </c>
      <c r="P123" s="25">
        <v>1</v>
      </c>
    </row>
    <row r="124" spans="1:16" s="25" customFormat="1" ht="11.25">
      <c r="A124" s="5" t="s">
        <v>145</v>
      </c>
      <c r="B124" s="160">
        <f>+Roanne!$G124</f>
        <v>0</v>
      </c>
      <c r="C124" s="113">
        <f>+Montpe!$G124</f>
        <v>0</v>
      </c>
      <c r="D124" s="113">
        <f>+Nancy!$G124</f>
        <v>0</v>
      </c>
      <c r="E124" s="113">
        <f>+STMarcelin!$G124</f>
        <v>0</v>
      </c>
      <c r="F124" s="113">
        <f>+Grenoble!$G124</f>
        <v>0</v>
      </c>
      <c r="G124" s="113">
        <f>+PSA!$G124</f>
        <v>350</v>
      </c>
      <c r="H124" s="162">
        <f>+Dijon!$G124</f>
        <v>0</v>
      </c>
      <c r="I124" s="160">
        <f>+Roanne!E124+Montpe!E124+Grenoble!E124+Nancy!E124+STMarcelin!E124+PSA!E124</f>
        <v>326</v>
      </c>
      <c r="J124" s="135">
        <f>+Roanne!F124+Montpe!F124+Grenoble!F124+Nancy!F124+STMarcelin!F124+PSA!F124+Dijon!F124</f>
        <v>348.75</v>
      </c>
      <c r="K124" s="113">
        <f t="shared" si="29"/>
        <v>350</v>
      </c>
      <c r="L124" s="161">
        <f t="shared" si="28"/>
        <v>350</v>
      </c>
      <c r="M124" s="92">
        <f t="shared" si="30"/>
        <v>6.9785276073619631E-2</v>
      </c>
      <c r="N124" s="271">
        <f t="shared" si="31"/>
        <v>3.5842293906810036E-3</v>
      </c>
      <c r="O124" s="408">
        <f>+Roanne!D124+Montpe!D124+Grenoble!D124+Nancy!D124+STMarcelin!D124+PSA!D124</f>
        <v>350</v>
      </c>
      <c r="P124" s="25">
        <v>1</v>
      </c>
    </row>
    <row r="125" spans="1:16" s="25" customFormat="1" ht="11.25">
      <c r="A125" s="5" t="s">
        <v>286</v>
      </c>
      <c r="B125" s="160">
        <f>+Roanne!$G125</f>
        <v>0</v>
      </c>
      <c r="C125" s="113">
        <f>+Montpe!$G125</f>
        <v>0</v>
      </c>
      <c r="D125" s="113">
        <f>+Nancy!$G125</f>
        <v>0</v>
      </c>
      <c r="E125" s="113">
        <f>+STMarcelin!$G125</f>
        <v>0</v>
      </c>
      <c r="F125" s="113">
        <f>+Grenoble!$G125</f>
        <v>0</v>
      </c>
      <c r="G125" s="113">
        <f>+PSA!$G125</f>
        <v>500</v>
      </c>
      <c r="H125" s="162">
        <f>+Dijon!$G125</f>
        <v>0</v>
      </c>
      <c r="I125" s="160">
        <f>+Roanne!E125+Montpe!E125+Grenoble!E125+Nancy!E125+STMarcelin!E125+PSA!E125</f>
        <v>118</v>
      </c>
      <c r="J125" s="135">
        <f>+Roanne!F125+Montpe!F125+Grenoble!F125+Nancy!F125+STMarcelin!F125+PSA!F125+Dijon!F125</f>
        <v>0</v>
      </c>
      <c r="K125" s="113">
        <f t="shared" si="29"/>
        <v>500</v>
      </c>
      <c r="L125" s="161">
        <f t="shared" si="28"/>
        <v>500</v>
      </c>
      <c r="M125" s="92">
        <f t="shared" si="30"/>
        <v>-1</v>
      </c>
      <c r="N125" s="271">
        <f t="shared" si="31"/>
        <v>0</v>
      </c>
      <c r="O125" s="408">
        <f>+Roanne!D125+Montpe!D125+Grenoble!D125+Nancy!D125+STMarcelin!D125+PSA!D125</f>
        <v>680.22812764958337</v>
      </c>
      <c r="P125" s="25">
        <v>1</v>
      </c>
    </row>
    <row r="126" spans="1:16" s="25" customFormat="1" ht="11.25">
      <c r="A126" s="5" t="s">
        <v>361</v>
      </c>
      <c r="B126" s="160">
        <f>+Roanne!$G126</f>
        <v>0</v>
      </c>
      <c r="C126" s="113">
        <f>+Montpe!$G126</f>
        <v>0</v>
      </c>
      <c r="D126" s="113">
        <f>+Nancy!$G126</f>
        <v>0</v>
      </c>
      <c r="E126" s="113">
        <f>+STMarcelin!$G126</f>
        <v>0</v>
      </c>
      <c r="F126" s="113">
        <f>+Grenoble!$G126</f>
        <v>0</v>
      </c>
      <c r="G126" s="113">
        <f>+PSA!$G126</f>
        <v>0</v>
      </c>
      <c r="H126" s="113">
        <f>+Dijon!$G126</f>
        <v>0</v>
      </c>
      <c r="I126" s="160">
        <f>+Roanne!E126+Montpe!E126+Grenoble!E126+Nancy!E126+STMarcelin!E126+PSA!E126</f>
        <v>375</v>
      </c>
      <c r="J126" s="135">
        <f>+Roanne!F126+Montpe!F126+Grenoble!F126+Nancy!F126+STMarcelin!F126+PSA!F126+Dijon!F126</f>
        <v>0</v>
      </c>
      <c r="K126" s="113">
        <f t="shared" si="29"/>
        <v>0</v>
      </c>
      <c r="L126" s="161">
        <f t="shared" si="28"/>
        <v>0</v>
      </c>
      <c r="M126" s="149">
        <f t="shared" si="30"/>
        <v>-1</v>
      </c>
      <c r="N126" s="271">
        <f t="shared" si="31"/>
        <v>0</v>
      </c>
      <c r="O126" s="117">
        <f>+Roanne!D126+Montpe!D126+Grenoble!D126+Nancy!D126+STMarcelin!D126+PSA!D126</f>
        <v>0</v>
      </c>
      <c r="P126" s="25">
        <v>0</v>
      </c>
    </row>
    <row r="127" spans="1:16" s="25" customFormat="1" ht="11.25">
      <c r="A127" s="5" t="s">
        <v>146</v>
      </c>
      <c r="B127" s="160">
        <f>+Roanne!$G127</f>
        <v>3237.7568000000001</v>
      </c>
      <c r="C127" s="113">
        <f>+Montpe!$G127</f>
        <v>1358.1552000000001</v>
      </c>
      <c r="D127" s="113">
        <f>+Nancy!$G127</f>
        <v>1442.3344</v>
      </c>
      <c r="E127" s="113">
        <f>+STMarcelin!$G127</f>
        <v>521.91840000000002</v>
      </c>
      <c r="F127" s="113">
        <f>+Grenoble!$G127</f>
        <v>3198.3152</v>
      </c>
      <c r="G127" s="113">
        <f>+PSA!$G127</f>
        <v>8654.2695999999996</v>
      </c>
      <c r="H127" s="162">
        <f>+Dijon!$G127</f>
        <v>827.601751608889</v>
      </c>
      <c r="I127" s="160">
        <f>+Roanne!E127+Montpe!E127+Grenoble!E127+Nancy!E127+STMarcelin!E127+PSA!E127</f>
        <v>16540.120000000003</v>
      </c>
      <c r="J127" s="135">
        <f>+Roanne!F127+Montpe!F127+Grenoble!F127+Nancy!F127+STMarcelin!F127+PSA!F127+Dijon!F127</f>
        <v>18192.702634666664</v>
      </c>
      <c r="K127" s="113">
        <f t="shared" si="29"/>
        <v>19240.35135160889</v>
      </c>
      <c r="L127" s="161">
        <f t="shared" si="28"/>
        <v>19240.35135160889</v>
      </c>
      <c r="M127" s="92">
        <f t="shared" si="30"/>
        <v>9.991358192483861E-2</v>
      </c>
      <c r="N127" s="271">
        <f t="shared" si="31"/>
        <v>5.7586205743060059E-2</v>
      </c>
      <c r="O127" s="408">
        <f>+Roanne!D127+Montpe!D127+Grenoble!D127+Nancy!D127+STMarcelin!D127+PSA!D127</f>
        <v>18790.311200000004</v>
      </c>
      <c r="P127" s="25">
        <v>1</v>
      </c>
    </row>
    <row r="128" spans="1:16" s="2" customFormat="1" ht="11.25">
      <c r="A128" s="5"/>
      <c r="B128" s="160"/>
      <c r="C128" s="113"/>
      <c r="D128" s="113"/>
      <c r="E128" s="113"/>
      <c r="F128" s="113"/>
      <c r="G128" s="113"/>
      <c r="H128" s="113"/>
      <c r="I128" s="92"/>
      <c r="J128" s="143"/>
      <c r="K128" s="149"/>
      <c r="L128" s="186"/>
      <c r="M128" s="149"/>
      <c r="N128" s="254"/>
      <c r="O128" s="115">
        <f>+Roanne!D128+Montpe!D128+Grenoble!D128+Nancy!D128+STMarcelin!D128+PSA!D128</f>
        <v>0</v>
      </c>
      <c r="P128" s="2">
        <v>0</v>
      </c>
    </row>
    <row r="129" spans="1:16" s="2" customFormat="1" ht="11.25">
      <c r="A129" s="13" t="s">
        <v>147</v>
      </c>
      <c r="B129" s="163">
        <f t="shared" ref="B129:K129" si="32">SUM(B117:B128)</f>
        <v>15532.053</v>
      </c>
      <c r="C129" s="204">
        <f t="shared" si="32"/>
        <v>12730.289199999999</v>
      </c>
      <c r="D129" s="204">
        <f t="shared" si="32"/>
        <v>14366.466499999999</v>
      </c>
      <c r="E129" s="204">
        <f t="shared" si="32"/>
        <v>6150.7479000000003</v>
      </c>
      <c r="F129" s="204">
        <f t="shared" si="32"/>
        <v>16174.099200000001</v>
      </c>
      <c r="G129" s="204">
        <f t="shared" si="32"/>
        <v>42722.355000000003</v>
      </c>
      <c r="H129" s="168">
        <f>SUM(H117:H128)</f>
        <v>7773.4290516088895</v>
      </c>
      <c r="I129" s="163">
        <f>SUM(I117:I128)</f>
        <v>110342</v>
      </c>
      <c r="J129" s="136">
        <f t="shared" si="32"/>
        <v>108879.56930133334</v>
      </c>
      <c r="K129" s="136">
        <f t="shared" si="32"/>
        <v>115449.4398516089</v>
      </c>
      <c r="L129" s="168">
        <f>SUM(L117:L128)</f>
        <v>115449.4398516089</v>
      </c>
      <c r="M129" s="1203">
        <f>+IF((I129)=0,,(J129-I129)/I129)</f>
        <v>-1.3253617830623546E-2</v>
      </c>
      <c r="N129" s="188">
        <f>+IF((J129)=0,,(L129-J129)/J129)</f>
        <v>6.0340710313547388E-2</v>
      </c>
      <c r="O129" s="312">
        <f>+Roanne!D129+Montpe!D129+Grenoble!D129+Nancy!D129+STMarcelin!D129+PSA!D129</f>
        <v>133927.55065014958</v>
      </c>
      <c r="P129" s="2">
        <v>1</v>
      </c>
    </row>
    <row r="130" spans="1:16" s="2" customFormat="1" ht="11.25">
      <c r="A130" s="5"/>
      <c r="B130" s="160"/>
      <c r="C130" s="113"/>
      <c r="D130" s="113"/>
      <c r="E130" s="113"/>
      <c r="F130" s="113"/>
      <c r="G130" s="113"/>
      <c r="H130" s="113"/>
      <c r="I130" s="92"/>
      <c r="J130" s="143"/>
      <c r="K130" s="149"/>
      <c r="L130" s="186"/>
      <c r="M130" s="149"/>
      <c r="N130" s="254"/>
      <c r="O130" s="115">
        <f>+Roanne!D130+Montpe!D130+Grenoble!D130+Nancy!D130+STMarcelin!D130+PSA!D130</f>
        <v>0</v>
      </c>
      <c r="P130" s="2">
        <v>0</v>
      </c>
    </row>
    <row r="131" spans="1:16" s="25" customFormat="1" ht="11.25">
      <c r="A131" s="5" t="s">
        <v>148</v>
      </c>
      <c r="B131" s="160">
        <f>+Roanne!$G131</f>
        <v>151834</v>
      </c>
      <c r="C131" s="113">
        <f>+Montpe!$G131</f>
        <v>98140</v>
      </c>
      <c r="D131" s="113">
        <f>+Nancy!$G131</f>
        <v>104297</v>
      </c>
      <c r="E131" s="113">
        <f>+STMarcelin!$G131</f>
        <v>48775</v>
      </c>
      <c r="F131" s="113">
        <f>+Grenoble!$G131</f>
        <v>184880</v>
      </c>
      <c r="G131" s="113">
        <f>+PSA!$G131</f>
        <v>239578</v>
      </c>
      <c r="H131" s="162">
        <f>+Dijon!$G131</f>
        <v>76577</v>
      </c>
      <c r="I131" s="160">
        <f>+Roanne!E131+Montpe!E131+Grenoble!E131+Nancy!E131+STMarcelin!E131+PSA!E131</f>
        <v>840352.58999999985</v>
      </c>
      <c r="J131" s="135">
        <f>+Roanne!F131+Montpe!F131+Grenoble!F131+Nancy!F131+STMarcelin!F131+PSA!F131+Dijon!F131</f>
        <v>881129.88666666672</v>
      </c>
      <c r="K131" s="113">
        <f>+L131</f>
        <v>904081</v>
      </c>
      <c r="L131" s="161">
        <f t="shared" ref="L131:L150" si="33">SUM(B131:H131)</f>
        <v>904081</v>
      </c>
      <c r="M131" s="92">
        <f>+IF((I131)=0,,(J131-I131)/I131)</f>
        <v>4.8524032830870284E-2</v>
      </c>
      <c r="N131" s="271">
        <f>+IF((J131)=0,,(L131-J131)/J131)</f>
        <v>2.6047366773765714E-2</v>
      </c>
      <c r="O131" s="408">
        <f>+Roanne!D131+Montpe!D131+Grenoble!D131+Nancy!D131+STMarcelin!D131+PSA!D131</f>
        <v>838803</v>
      </c>
      <c r="P131" s="25">
        <v>1</v>
      </c>
    </row>
    <row r="132" spans="1:16" s="25" customFormat="1" ht="11.25">
      <c r="A132" s="5" t="s">
        <v>149</v>
      </c>
      <c r="B132" s="160">
        <f>+Roanne!$G132</f>
        <v>0</v>
      </c>
      <c r="C132" s="113">
        <f>+Montpe!$G132</f>
        <v>0</v>
      </c>
      <c r="D132" s="113">
        <f>+Nancy!$G132</f>
        <v>0</v>
      </c>
      <c r="E132" s="113">
        <f>+STMarcelin!$G132</f>
        <v>0</v>
      </c>
      <c r="F132" s="113">
        <f>+Grenoble!$G132</f>
        <v>0</v>
      </c>
      <c r="G132" s="113">
        <f>+PSA!$G132</f>
        <v>0</v>
      </c>
      <c r="H132" s="113">
        <f>+Dijon!$G132</f>
        <v>0</v>
      </c>
      <c r="I132" s="160">
        <f>+Roanne!E132+Montpe!E132+Grenoble!E132+Nancy!E132+STMarcelin!E132+PSA!E132</f>
        <v>2910</v>
      </c>
      <c r="J132" s="135">
        <f>+Roanne!F132+Montpe!F132+Grenoble!F132+Nancy!F132+STMarcelin!F132+PSA!F132+Dijon!F132</f>
        <v>-16733.333333333332</v>
      </c>
      <c r="K132" s="113">
        <f t="shared" ref="K132:K150" si="34">+L132</f>
        <v>0</v>
      </c>
      <c r="L132" s="161">
        <f t="shared" si="33"/>
        <v>0</v>
      </c>
      <c r="M132" s="149">
        <f t="shared" ref="M132:M150" si="35">+IF((I132)=0,,(J132-I132)/I132)</f>
        <v>-6.7502863688430699</v>
      </c>
      <c r="N132" s="271">
        <f t="shared" ref="N132:N150" si="36">+IF((J132)=0,,(L132-J132)/J132)</f>
        <v>-1</v>
      </c>
      <c r="O132" s="117">
        <f>+Roanne!D132+Montpe!D132+Grenoble!D132+Nancy!D132+STMarcelin!D132+PSA!D132</f>
        <v>0</v>
      </c>
      <c r="P132" s="25">
        <v>0</v>
      </c>
    </row>
    <row r="133" spans="1:16" s="25" customFormat="1" ht="11.25">
      <c r="A133" s="5" t="s">
        <v>150</v>
      </c>
      <c r="B133" s="160">
        <f>+Roanne!$G133</f>
        <v>0</v>
      </c>
      <c r="C133" s="113">
        <f>+Montpe!$G133</f>
        <v>0</v>
      </c>
      <c r="D133" s="113">
        <f>+Nancy!$G133</f>
        <v>0</v>
      </c>
      <c r="E133" s="113">
        <f>+STMarcelin!$G133</f>
        <v>0</v>
      </c>
      <c r="F133" s="113">
        <f>+Grenoble!$G133</f>
        <v>0</v>
      </c>
      <c r="G133" s="113">
        <f>+PSA!$G133</f>
        <v>0</v>
      </c>
      <c r="H133" s="162">
        <f>+Dijon!$G133</f>
        <v>0</v>
      </c>
      <c r="I133" s="160">
        <f>+Roanne!E133+Montpe!E133+Grenoble!E133+Nancy!E133+STMarcelin!E133+PSA!E133</f>
        <v>75</v>
      </c>
      <c r="J133" s="135">
        <f>+Roanne!F133+Montpe!F133+Grenoble!F133+Nancy!F133+STMarcelin!F133+PSA!F133+Dijon!F133</f>
        <v>566.66666666666674</v>
      </c>
      <c r="K133" s="113">
        <f t="shared" si="34"/>
        <v>0</v>
      </c>
      <c r="L133" s="161">
        <f t="shared" si="33"/>
        <v>0</v>
      </c>
      <c r="M133" s="92">
        <f t="shared" si="35"/>
        <v>6.5555555555555562</v>
      </c>
      <c r="N133" s="271">
        <f t="shared" si="36"/>
        <v>-1</v>
      </c>
      <c r="O133" s="408">
        <f>+Roanne!D133+Montpe!D133+Grenoble!D133+Nancy!D133+STMarcelin!D133+PSA!D133</f>
        <v>0</v>
      </c>
      <c r="P133" s="25">
        <v>1</v>
      </c>
    </row>
    <row r="134" spans="1:16" s="25" customFormat="1" ht="11.25">
      <c r="A134" s="5" t="s">
        <v>151</v>
      </c>
      <c r="B134" s="160">
        <f>+Roanne!$G134</f>
        <v>0</v>
      </c>
      <c r="C134" s="113">
        <f>+Montpe!$G134</f>
        <v>0</v>
      </c>
      <c r="D134" s="113">
        <f>+Nancy!$G134</f>
        <v>0</v>
      </c>
      <c r="E134" s="113">
        <f>+STMarcelin!$G134</f>
        <v>0</v>
      </c>
      <c r="F134" s="113">
        <f>+Grenoble!$G134</f>
        <v>0</v>
      </c>
      <c r="G134" s="113">
        <f>+PSA!$G134</f>
        <v>0</v>
      </c>
      <c r="H134" s="162">
        <f>+Dijon!$G134</f>
        <v>0</v>
      </c>
      <c r="I134" s="160">
        <f>+Roanne!E134+Montpe!E134+Grenoble!E134+Nancy!E134+STMarcelin!E134+PSA!E134</f>
        <v>-14050.539999999999</v>
      </c>
      <c r="J134" s="135">
        <f>+Roanne!F134+Montpe!F134+Grenoble!F134+Nancy!F134+STMarcelin!F134+PSA!F134+Dijon!F134</f>
        <v>0</v>
      </c>
      <c r="K134" s="113">
        <f t="shared" si="34"/>
        <v>0</v>
      </c>
      <c r="L134" s="161">
        <f t="shared" si="33"/>
        <v>0</v>
      </c>
      <c r="M134" s="92">
        <f t="shared" si="35"/>
        <v>-1</v>
      </c>
      <c r="N134" s="271">
        <f t="shared" si="36"/>
        <v>0</v>
      </c>
      <c r="O134" s="408">
        <f>+Roanne!D134+Montpe!D134+Grenoble!D134+Nancy!D134+STMarcelin!D134+PSA!D134</f>
        <v>0</v>
      </c>
      <c r="P134" s="25">
        <v>1</v>
      </c>
    </row>
    <row r="135" spans="1:16" s="25" customFormat="1" ht="11.25">
      <c r="A135" s="5" t="s">
        <v>114</v>
      </c>
      <c r="B135" s="160">
        <f>+Roanne!$G135</f>
        <v>0</v>
      </c>
      <c r="C135" s="113">
        <f>+Montpe!$G135</f>
        <v>0</v>
      </c>
      <c r="D135" s="113">
        <f>+Nancy!$G135</f>
        <v>0</v>
      </c>
      <c r="E135" s="113">
        <f>+STMarcelin!$G135</f>
        <v>0</v>
      </c>
      <c r="F135" s="113">
        <f>+Grenoble!$G135</f>
        <v>0</v>
      </c>
      <c r="G135" s="113">
        <f>+PSA!$G135</f>
        <v>0</v>
      </c>
      <c r="H135" s="162">
        <f>+Dijon!$G135</f>
        <v>0</v>
      </c>
      <c r="I135" s="160">
        <f>+Roanne!E135+Montpe!E135+Grenoble!E135+Nancy!E135+STMarcelin!E135+PSA!E135</f>
        <v>27832.909999999996</v>
      </c>
      <c r="J135" s="135">
        <f>+Roanne!F135+Montpe!F135+Grenoble!F135+Nancy!F135+STMarcelin!F135+PSA!F135+Dijon!F135</f>
        <v>3277.6133333333337</v>
      </c>
      <c r="K135" s="113">
        <f t="shared" si="34"/>
        <v>0</v>
      </c>
      <c r="L135" s="161">
        <f t="shared" si="33"/>
        <v>0</v>
      </c>
      <c r="M135" s="92">
        <f t="shared" si="35"/>
        <v>-0.88223964604012539</v>
      </c>
      <c r="N135" s="271">
        <f t="shared" si="36"/>
        <v>-1</v>
      </c>
      <c r="O135" s="408">
        <f>+Roanne!D135+Montpe!D135+Grenoble!D135+Nancy!D135+STMarcelin!D135+PSA!D135</f>
        <v>20049.907899999998</v>
      </c>
      <c r="P135" s="25">
        <v>1</v>
      </c>
    </row>
    <row r="136" spans="1:16" s="25" customFormat="1" ht="11.25">
      <c r="A136" s="5" t="s">
        <v>338</v>
      </c>
      <c r="B136" s="160">
        <f>+Roanne!$G136</f>
        <v>0</v>
      </c>
      <c r="C136" s="113">
        <f>+Montpe!$G136</f>
        <v>0</v>
      </c>
      <c r="D136" s="113">
        <f>+Nancy!$G136</f>
        <v>0</v>
      </c>
      <c r="E136" s="113">
        <f>+STMarcelin!$G136</f>
        <v>0</v>
      </c>
      <c r="F136" s="113">
        <f>+Grenoble!$G136</f>
        <v>0</v>
      </c>
      <c r="G136" s="113">
        <f>+PSA!$G136</f>
        <v>0</v>
      </c>
      <c r="H136" s="162">
        <f>+Dijon!$G136</f>
        <v>0</v>
      </c>
      <c r="I136" s="160">
        <f>+Roanne!E136+Montpe!E136+Grenoble!E136+Nancy!E136+STMarcelin!E136+PSA!E136</f>
        <v>0</v>
      </c>
      <c r="J136" s="135">
        <f>+Roanne!F136+Montpe!F136+Grenoble!F136+Nancy!F136+STMarcelin!F136+PSA!F136+Dijon!F136</f>
        <v>0</v>
      </c>
      <c r="K136" s="113">
        <f t="shared" si="34"/>
        <v>0</v>
      </c>
      <c r="L136" s="161">
        <f t="shared" si="33"/>
        <v>0</v>
      </c>
      <c r="M136" s="92">
        <f t="shared" si="35"/>
        <v>0</v>
      </c>
      <c r="N136" s="271">
        <f t="shared" si="36"/>
        <v>0</v>
      </c>
      <c r="O136" s="408">
        <f>+Roanne!D136+Montpe!D136+Grenoble!D136+Nancy!D136+STMarcelin!D136+PSA!D136</f>
        <v>0</v>
      </c>
      <c r="P136" s="25">
        <v>1</v>
      </c>
    </row>
    <row r="137" spans="1:16" s="25" customFormat="1" ht="11.25">
      <c r="A137" s="5" t="s">
        <v>87</v>
      </c>
      <c r="B137" s="160">
        <f>+Roanne!$G137</f>
        <v>0</v>
      </c>
      <c r="C137" s="113">
        <f>+Montpe!$G137</f>
        <v>0</v>
      </c>
      <c r="D137" s="113">
        <f>+Nancy!$G137</f>
        <v>0</v>
      </c>
      <c r="E137" s="113">
        <f>+STMarcelin!$G137</f>
        <v>0</v>
      </c>
      <c r="F137" s="113">
        <f>+Grenoble!$G137</f>
        <v>0</v>
      </c>
      <c r="G137" s="113">
        <f>+PSA!$G137</f>
        <v>0</v>
      </c>
      <c r="H137" s="113">
        <f>+Dijon!$G137</f>
        <v>0</v>
      </c>
      <c r="I137" s="160">
        <f>+Roanne!E137+Montpe!E137+Grenoble!E137+Nancy!E137+STMarcelin!E137+PSA!E137</f>
        <v>0</v>
      </c>
      <c r="J137" s="135">
        <f>+Roanne!F137+Montpe!F137+Grenoble!F137+Nancy!F137+STMarcelin!F137+PSA!F137+Dijon!F137</f>
        <v>0</v>
      </c>
      <c r="K137" s="113">
        <f t="shared" si="34"/>
        <v>0</v>
      </c>
      <c r="L137" s="161">
        <f t="shared" si="33"/>
        <v>0</v>
      </c>
      <c r="M137" s="149">
        <f t="shared" si="35"/>
        <v>0</v>
      </c>
      <c r="N137" s="271">
        <f t="shared" si="36"/>
        <v>0</v>
      </c>
      <c r="O137" s="117">
        <f>+Roanne!D137+Montpe!D137+Grenoble!D137+Nancy!D137+STMarcelin!D137+PSA!D137</f>
        <v>0</v>
      </c>
      <c r="P137" s="25">
        <v>0</v>
      </c>
    </row>
    <row r="138" spans="1:16" s="25" customFormat="1" ht="11.25">
      <c r="A138" s="5" t="s">
        <v>152</v>
      </c>
      <c r="B138" s="160">
        <f>+Roanne!$G138</f>
        <v>0</v>
      </c>
      <c r="C138" s="113">
        <f>+Montpe!$G138</f>
        <v>0</v>
      </c>
      <c r="D138" s="113">
        <f>+Nancy!$G138</f>
        <v>0</v>
      </c>
      <c r="E138" s="113">
        <f>+STMarcelin!$G138</f>
        <v>0</v>
      </c>
      <c r="F138" s="113">
        <f>+Grenoble!$G138</f>
        <v>0</v>
      </c>
      <c r="G138" s="113">
        <f>+PSA!$G138</f>
        <v>0</v>
      </c>
      <c r="H138" s="113">
        <f>+Dijon!$G138</f>
        <v>0</v>
      </c>
      <c r="I138" s="160">
        <f>+Roanne!E138+Montpe!E138+Grenoble!E138+Nancy!E138+STMarcelin!E138+PSA!E138</f>
        <v>-5363.87</v>
      </c>
      <c r="J138" s="135">
        <f>+Roanne!F138+Montpe!F138+Grenoble!F138+Nancy!F138+STMarcelin!F138+PSA!F138+Dijon!F138</f>
        <v>0</v>
      </c>
      <c r="K138" s="113">
        <f t="shared" si="34"/>
        <v>0</v>
      </c>
      <c r="L138" s="161">
        <f t="shared" si="33"/>
        <v>0</v>
      </c>
      <c r="M138" s="149">
        <f t="shared" si="35"/>
        <v>-1</v>
      </c>
      <c r="N138" s="271">
        <f t="shared" si="36"/>
        <v>0</v>
      </c>
      <c r="O138" s="117">
        <f>+Roanne!D138+Montpe!D138+Grenoble!D138+Nancy!D138+STMarcelin!D138+PSA!D138</f>
        <v>0</v>
      </c>
      <c r="P138" s="25">
        <v>0</v>
      </c>
    </row>
    <row r="139" spans="1:16" s="25" customFormat="1" ht="11.25">
      <c r="A139" s="5" t="s">
        <v>153</v>
      </c>
      <c r="B139" s="160">
        <f>+Roanne!$G139</f>
        <v>0</v>
      </c>
      <c r="C139" s="113">
        <f>+Montpe!$G139</f>
        <v>0</v>
      </c>
      <c r="D139" s="113">
        <f>+Nancy!$G139</f>
        <v>0</v>
      </c>
      <c r="E139" s="113">
        <f>+STMarcelin!$G139</f>
        <v>0</v>
      </c>
      <c r="F139" s="113">
        <f>+Grenoble!$G139</f>
        <v>0</v>
      </c>
      <c r="G139" s="113">
        <f>+PSA!$G139</f>
        <v>0</v>
      </c>
      <c r="H139" s="113">
        <f>+Dijon!$G139</f>
        <v>0</v>
      </c>
      <c r="I139" s="160">
        <f>+Roanne!E139+Montpe!E139+Grenoble!E139+Nancy!E139+STMarcelin!E139+PSA!E139</f>
        <v>0</v>
      </c>
      <c r="J139" s="135">
        <f>+Roanne!F139+Montpe!F139+Grenoble!F139+Nancy!F139+STMarcelin!F139+PSA!F139+Dijon!F139</f>
        <v>0</v>
      </c>
      <c r="K139" s="113">
        <f t="shared" si="34"/>
        <v>0</v>
      </c>
      <c r="L139" s="161">
        <f t="shared" si="33"/>
        <v>0</v>
      </c>
      <c r="M139" s="149">
        <f t="shared" si="35"/>
        <v>0</v>
      </c>
      <c r="N139" s="271">
        <f t="shared" si="36"/>
        <v>0</v>
      </c>
      <c r="O139" s="117">
        <f>+Roanne!D139+Montpe!D139+Grenoble!D139+Nancy!D139+STMarcelin!D139+PSA!D139</f>
        <v>0</v>
      </c>
      <c r="P139" s="25">
        <v>0</v>
      </c>
    </row>
    <row r="140" spans="1:16" s="25" customFormat="1" ht="11.25">
      <c r="A140" s="5" t="s">
        <v>154</v>
      </c>
      <c r="B140" s="160">
        <f>+Roanne!$G140</f>
        <v>0</v>
      </c>
      <c r="C140" s="113">
        <f>+Montpe!$G140</f>
        <v>0</v>
      </c>
      <c r="D140" s="113">
        <f>+Nancy!$G140</f>
        <v>0</v>
      </c>
      <c r="E140" s="113">
        <f>+STMarcelin!$G140</f>
        <v>0</v>
      </c>
      <c r="F140" s="113">
        <f>+Grenoble!$G140</f>
        <v>0</v>
      </c>
      <c r="G140" s="113">
        <f>+PSA!$G140</f>
        <v>0</v>
      </c>
      <c r="H140" s="162">
        <f>+Dijon!$G140</f>
        <v>0</v>
      </c>
      <c r="I140" s="160">
        <f>+Roanne!E140+Montpe!E140+Grenoble!E140+Nancy!E140+STMarcelin!E140+PSA!E140</f>
        <v>3383.37</v>
      </c>
      <c r="J140" s="135">
        <f>+Roanne!F140+Montpe!F140+Grenoble!F140+Nancy!F140+STMarcelin!F140+PSA!F140+Dijon!F140</f>
        <v>0</v>
      </c>
      <c r="K140" s="113">
        <f t="shared" si="34"/>
        <v>0</v>
      </c>
      <c r="L140" s="161">
        <f t="shared" si="33"/>
        <v>0</v>
      </c>
      <c r="M140" s="92">
        <f t="shared" si="35"/>
        <v>-1</v>
      </c>
      <c r="N140" s="271">
        <f t="shared" si="36"/>
        <v>0</v>
      </c>
      <c r="O140" s="408">
        <f>+Roanne!D140+Montpe!D140+Grenoble!D140+Nancy!D140+STMarcelin!D140+PSA!D140</f>
        <v>0</v>
      </c>
      <c r="P140" s="25">
        <v>1</v>
      </c>
    </row>
    <row r="141" spans="1:16" s="25" customFormat="1" ht="11.25">
      <c r="A141" s="5" t="s">
        <v>155</v>
      </c>
      <c r="B141" s="160">
        <f>+Roanne!$G141</f>
        <v>40412.573506832348</v>
      </c>
      <c r="C141" s="113">
        <f>+Montpe!$G141</f>
        <v>27989.340625116667</v>
      </c>
      <c r="D141" s="113">
        <f>+Nancy!$G141</f>
        <v>29624.861365851888</v>
      </c>
      <c r="E141" s="113">
        <f>+STMarcelin!$G141</f>
        <v>8632.3909469870759</v>
      </c>
      <c r="F141" s="113">
        <f>+Grenoble!$G141</f>
        <v>44772.353662610076</v>
      </c>
      <c r="G141" s="113">
        <f>+PSA!$G141</f>
        <v>53745.420304851796</v>
      </c>
      <c r="H141" s="162">
        <f>+Dijon!$G141</f>
        <v>22725.483830751957</v>
      </c>
      <c r="I141" s="160">
        <f>+Roanne!E141+Montpe!E141+Grenoble!E141+Nancy!E141+STMarcelin!E141+PSA!E141</f>
        <v>204844.36</v>
      </c>
      <c r="J141" s="135">
        <f>+Roanne!F141+Montpe!F141+Grenoble!F141+Nancy!F141+STMarcelin!F141+PSA!F141+Dijon!F141</f>
        <v>219962.82833333331</v>
      </c>
      <c r="K141" s="113">
        <f t="shared" si="34"/>
        <v>227902.42424300179</v>
      </c>
      <c r="L141" s="161">
        <f t="shared" si="33"/>
        <v>227902.42424300179</v>
      </c>
      <c r="M141" s="92">
        <f t="shared" si="35"/>
        <v>7.3804659954188265E-2</v>
      </c>
      <c r="N141" s="271">
        <f t="shared" si="36"/>
        <v>3.609517103333823E-2</v>
      </c>
      <c r="O141" s="408">
        <f>+Roanne!D141+Montpe!D141+Grenoble!D141+Nancy!D141+STMarcelin!D141+PSA!D141</f>
        <v>205441.21754730778</v>
      </c>
      <c r="P141" s="25">
        <v>1</v>
      </c>
    </row>
    <row r="142" spans="1:16" s="25" customFormat="1" ht="11.25">
      <c r="A142" s="5" t="s">
        <v>156</v>
      </c>
      <c r="B142" s="160">
        <f>+Roanne!$G142</f>
        <v>4831.8108901357209</v>
      </c>
      <c r="C142" s="113">
        <f>+Montpe!$G142</f>
        <v>2589.181209166979</v>
      </c>
      <c r="D142" s="113">
        <f>+Nancy!$G142</f>
        <v>2838.0462152001578</v>
      </c>
      <c r="E142" s="113">
        <f>+STMarcelin!$G142</f>
        <v>1306.1453018483796</v>
      </c>
      <c r="F142" s="113">
        <f>+Grenoble!$G142</f>
        <v>3551.9877180858821</v>
      </c>
      <c r="G142" s="113">
        <f>+PSA!$G142</f>
        <v>7514.1916235338813</v>
      </c>
      <c r="H142" s="162">
        <f>+Dijon!$G142</f>
        <v>2078.9722249809338</v>
      </c>
      <c r="I142" s="160">
        <f>+Roanne!E142+Montpe!E142+Grenoble!E142+Nancy!E142+STMarcelin!E142+PSA!E142</f>
        <v>24232.440000000002</v>
      </c>
      <c r="J142" s="135">
        <f>+Roanne!F142+Montpe!F142+Grenoble!F142+Nancy!F142+STMarcelin!F142+PSA!F142+Dijon!F142</f>
        <v>23853.510000000002</v>
      </c>
      <c r="K142" s="113">
        <f t="shared" si="34"/>
        <v>24710.335182951934</v>
      </c>
      <c r="L142" s="161">
        <f t="shared" si="33"/>
        <v>24710.335182951934</v>
      </c>
      <c r="M142" s="92">
        <f t="shared" si="35"/>
        <v>-1.563730272312653E-2</v>
      </c>
      <c r="N142" s="271">
        <f t="shared" si="36"/>
        <v>3.5920297807405792E-2</v>
      </c>
      <c r="O142" s="408">
        <f>+Roanne!D142+Montpe!D142+Grenoble!D142+Nancy!D142+STMarcelin!D142+PSA!D142</f>
        <v>24663.120912280097</v>
      </c>
      <c r="P142" s="25">
        <v>1</v>
      </c>
    </row>
    <row r="143" spans="1:16" s="25" customFormat="1" ht="11.25">
      <c r="A143" s="5" t="s">
        <v>157</v>
      </c>
      <c r="B143" s="160">
        <f>+Roanne!$G143</f>
        <v>10073.117903565088</v>
      </c>
      <c r="C143" s="113">
        <f>+Montpe!$G143</f>
        <v>6027.9066948245299</v>
      </c>
      <c r="D143" s="113">
        <f>+Nancy!$G143</f>
        <v>6701.3881379838085</v>
      </c>
      <c r="E143" s="113">
        <f>+STMarcelin!$G143</f>
        <v>2203.6906587615367</v>
      </c>
      <c r="F143" s="113">
        <f>+Grenoble!$G143</f>
        <v>11557.72436818954</v>
      </c>
      <c r="G143" s="113">
        <f>+PSA!$G143</f>
        <v>16233.371319278023</v>
      </c>
      <c r="H143" s="162">
        <f>+Dijon!$G143</f>
        <v>4741.8426622793886</v>
      </c>
      <c r="I143" s="160">
        <f>+Roanne!E143+Montpe!E143+Grenoble!E143+Nancy!E143+STMarcelin!E143+PSA!E143</f>
        <v>52961.21</v>
      </c>
      <c r="J143" s="135">
        <f>+Roanne!F143+Montpe!F143+Grenoble!F143+Nancy!F143+STMarcelin!F143+PSA!F143+Dijon!F143</f>
        <v>55599.584999999992</v>
      </c>
      <c r="K143" s="113">
        <f t="shared" si="34"/>
        <v>57539.041744881921</v>
      </c>
      <c r="L143" s="161">
        <f t="shared" si="33"/>
        <v>57539.041744881921</v>
      </c>
      <c r="M143" s="92">
        <f t="shared" si="35"/>
        <v>4.9817120870161248E-2</v>
      </c>
      <c r="N143" s="271">
        <f t="shared" si="36"/>
        <v>3.4882575919980861E-2</v>
      </c>
      <c r="O143" s="408">
        <f>+Roanne!D143+Montpe!D143+Grenoble!D143+Nancy!D143+STMarcelin!D143+PSA!D143</f>
        <v>53462.467868447151</v>
      </c>
      <c r="P143" s="25">
        <v>1</v>
      </c>
    </row>
    <row r="144" spans="1:16" s="25" customFormat="1" ht="11.25">
      <c r="A144" s="5" t="s">
        <v>326</v>
      </c>
      <c r="B144" s="160">
        <f>+Roanne!$G144</f>
        <v>0</v>
      </c>
      <c r="C144" s="113">
        <f>+Montpe!$G144</f>
        <v>0</v>
      </c>
      <c r="D144" s="113">
        <f>+Nancy!$G144</f>
        <v>0</v>
      </c>
      <c r="E144" s="113">
        <f>+STMarcelin!$G144</f>
        <v>0</v>
      </c>
      <c r="F144" s="113">
        <f>+Grenoble!$G144</f>
        <v>0</v>
      </c>
      <c r="G144" s="113">
        <f>+PSA!$G144</f>
        <v>0</v>
      </c>
      <c r="H144" s="162">
        <f>+Dijon!$G144</f>
        <v>0</v>
      </c>
      <c r="I144" s="160">
        <f>+Roanne!E144+Montpe!E144+Grenoble!E144+Nancy!E144+STMarcelin!E144+PSA!E144</f>
        <v>270.33</v>
      </c>
      <c r="J144" s="135">
        <f>+Roanne!F144+Montpe!F144+Grenoble!F144+Nancy!F144+STMarcelin!F144+PSA!F144+Dijon!F144</f>
        <v>0</v>
      </c>
      <c r="K144" s="113">
        <f t="shared" si="34"/>
        <v>0</v>
      </c>
      <c r="L144" s="161">
        <f t="shared" si="33"/>
        <v>0</v>
      </c>
      <c r="M144" s="92">
        <f t="shared" si="35"/>
        <v>-1</v>
      </c>
      <c r="N144" s="271">
        <f t="shared" si="36"/>
        <v>0</v>
      </c>
      <c r="O144" s="408">
        <f>+Roanne!D144+Montpe!D144+Grenoble!D144+Nancy!D144+STMarcelin!D144+PSA!D144</f>
        <v>278.76778720979718</v>
      </c>
      <c r="P144" s="25">
        <v>1</v>
      </c>
    </row>
    <row r="145" spans="1:16" s="25" customFormat="1" ht="11.25">
      <c r="A145" s="5" t="s">
        <v>158</v>
      </c>
      <c r="B145" s="160">
        <f>+Roanne!$G145</f>
        <v>6544.6370308184878</v>
      </c>
      <c r="C145" s="113">
        <f>+Montpe!$G145</f>
        <v>4154.1229203726443</v>
      </c>
      <c r="D145" s="113">
        <f>+Nancy!$G145</f>
        <v>4485.0017436453381</v>
      </c>
      <c r="E145" s="113">
        <f>+STMarcelin!$G145</f>
        <v>1701.1019516369877</v>
      </c>
      <c r="F145" s="113">
        <f>+Grenoble!$G145</f>
        <v>7800.9462315992359</v>
      </c>
      <c r="G145" s="113">
        <f>+PSA!$G145</f>
        <v>10904.525514950661</v>
      </c>
      <c r="H145" s="162">
        <f>+Dijon!$G145</f>
        <v>3265.4111520197216</v>
      </c>
      <c r="I145" s="160">
        <f>+Roanne!E145+Montpe!E145+Grenoble!E145+Nancy!E145+STMarcelin!E145+PSA!E145</f>
        <v>34290.17</v>
      </c>
      <c r="J145" s="135">
        <f>+Roanne!F145+Montpe!F145+Grenoble!F145+Nancy!F145+STMarcelin!F145+PSA!F145+Dijon!F145</f>
        <v>37525.311666666668</v>
      </c>
      <c r="K145" s="113">
        <f t="shared" si="34"/>
        <v>38855.746545043075</v>
      </c>
      <c r="L145" s="161">
        <f t="shared" si="33"/>
        <v>38855.746545043075</v>
      </c>
      <c r="M145" s="92">
        <f t="shared" si="35"/>
        <v>9.4346037557313661E-2</v>
      </c>
      <c r="N145" s="271">
        <f t="shared" si="36"/>
        <v>3.5454332536782582E-2</v>
      </c>
      <c r="O145" s="408">
        <f>+Roanne!D145+Montpe!D145+Grenoble!D145+Nancy!D145+STMarcelin!D145+PSA!D145</f>
        <v>34262.647595098504</v>
      </c>
      <c r="P145" s="25">
        <v>1</v>
      </c>
    </row>
    <row r="146" spans="1:16" s="25" customFormat="1" ht="11.25">
      <c r="A146" s="5" t="s">
        <v>159</v>
      </c>
      <c r="B146" s="160">
        <f>+Roanne!$G146</f>
        <v>0</v>
      </c>
      <c r="C146" s="113">
        <f>+Montpe!$G146</f>
        <v>0</v>
      </c>
      <c r="D146" s="113">
        <f>+Nancy!$G146</f>
        <v>0</v>
      </c>
      <c r="E146" s="113">
        <f>+STMarcelin!$G146</f>
        <v>0</v>
      </c>
      <c r="F146" s="113">
        <f>+Grenoble!$G146</f>
        <v>0</v>
      </c>
      <c r="G146" s="113">
        <f>+PSA!$G146</f>
        <v>0</v>
      </c>
      <c r="H146" s="162">
        <f>+Dijon!$G146</f>
        <v>0</v>
      </c>
      <c r="I146" s="160">
        <f>+Roanne!E146+Montpe!E146+Grenoble!E146+Nancy!E146+STMarcelin!E146+PSA!E146</f>
        <v>0</v>
      </c>
      <c r="J146" s="135">
        <f>+Roanne!F146+Montpe!F146+Grenoble!F146+Nancy!F146+STMarcelin!F146+PSA!F146+Dijon!F146</f>
        <v>0</v>
      </c>
      <c r="K146" s="113">
        <f t="shared" si="34"/>
        <v>0</v>
      </c>
      <c r="L146" s="161">
        <f t="shared" si="33"/>
        <v>0</v>
      </c>
      <c r="M146" s="92">
        <f t="shared" si="35"/>
        <v>0</v>
      </c>
      <c r="N146" s="271">
        <f t="shared" si="36"/>
        <v>0</v>
      </c>
      <c r="O146" s="408">
        <f>+Roanne!D146+Montpe!D146+Grenoble!D146+Nancy!D146+STMarcelin!D146+PSA!D146</f>
        <v>0</v>
      </c>
      <c r="P146" s="25">
        <v>1</v>
      </c>
    </row>
    <row r="147" spans="1:16" s="25" customFormat="1" ht="11.25">
      <c r="A147" s="5" t="s">
        <v>160</v>
      </c>
      <c r="B147" s="160">
        <f>+Roanne!$G147</f>
        <v>-1162.0597333333335</v>
      </c>
      <c r="C147" s="113">
        <f>+Montpe!$G147</f>
        <v>692.26986666666676</v>
      </c>
      <c r="D147" s="113">
        <f>+Nancy!$G147</f>
        <v>281.68440000000004</v>
      </c>
      <c r="E147" s="113">
        <f>+STMarcelin!$G147</f>
        <v>351.13386666666662</v>
      </c>
      <c r="F147" s="113">
        <f>+Grenoble!$G147</f>
        <v>-1588.3973333333333</v>
      </c>
      <c r="G147" s="113">
        <f>+PSA!$G147</f>
        <v>960.93506666666678</v>
      </c>
      <c r="H147" s="162">
        <f>+Dijon!$G147</f>
        <v>1183.0167999999999</v>
      </c>
      <c r="I147" s="160">
        <f>+Roanne!E147+Montpe!E147+Grenoble!E147+Nancy!E147+STMarcelin!E147+PSA!E147</f>
        <v>1261.32</v>
      </c>
      <c r="J147" s="135">
        <f>+Roanne!F147+Montpe!F147+Grenoble!F147+Nancy!F147+STMarcelin!F147+PSA!F147+Dijon!F147</f>
        <v>410.51333333333366</v>
      </c>
      <c r="K147" s="113">
        <f t="shared" si="34"/>
        <v>718.58293333333324</v>
      </c>
      <c r="L147" s="161">
        <f t="shared" si="33"/>
        <v>718.58293333333324</v>
      </c>
      <c r="M147" s="92">
        <f t="shared" si="35"/>
        <v>-0.67453672871806225</v>
      </c>
      <c r="N147" s="271">
        <f t="shared" si="36"/>
        <v>0.75044968088734265</v>
      </c>
      <c r="O147" s="408">
        <f>+Roanne!D147+Montpe!D147+Grenoble!D147+Nancy!D147+STMarcelin!D147+PSA!D147</f>
        <v>-1018.9996000000002</v>
      </c>
      <c r="P147" s="25">
        <v>1</v>
      </c>
    </row>
    <row r="148" spans="1:16" s="25" customFormat="1" ht="11.25">
      <c r="A148" s="5" t="s">
        <v>161</v>
      </c>
      <c r="B148" s="160">
        <f>+Roanne!$G148</f>
        <v>12.002933333333335</v>
      </c>
      <c r="C148" s="113">
        <f>+Montpe!$G148</f>
        <v>0</v>
      </c>
      <c r="D148" s="113">
        <f>+Nancy!$G148</f>
        <v>0</v>
      </c>
      <c r="E148" s="113">
        <f>+STMarcelin!$G148</f>
        <v>0</v>
      </c>
      <c r="F148" s="113">
        <f>+Grenoble!$G148</f>
        <v>0</v>
      </c>
      <c r="G148" s="113">
        <f>+PSA!$G148</f>
        <v>33.935066666666671</v>
      </c>
      <c r="H148" s="162">
        <f>+Dijon!$G148</f>
        <v>0</v>
      </c>
      <c r="I148" s="160">
        <f>+Roanne!E148+Montpe!E148+Grenoble!E148+Nancy!E148+STMarcelin!E148+PSA!E148</f>
        <v>275.64999999999998</v>
      </c>
      <c r="J148" s="135">
        <f>+Roanne!F148+Montpe!F148+Grenoble!F148+Nancy!F148+STMarcelin!F148+PSA!F148+Dijon!F148</f>
        <v>44.600000000000009</v>
      </c>
      <c r="K148" s="113">
        <f t="shared" si="34"/>
        <v>45.938000000000002</v>
      </c>
      <c r="L148" s="161">
        <f t="shared" si="33"/>
        <v>45.938000000000002</v>
      </c>
      <c r="M148" s="92">
        <f t="shared" si="35"/>
        <v>-0.83820061672410651</v>
      </c>
      <c r="N148" s="271">
        <f t="shared" si="36"/>
        <v>2.9999999999999857E-2</v>
      </c>
      <c r="O148" s="408">
        <f>+Roanne!D148+Montpe!D148+Grenoble!D148+Nancy!D148+STMarcelin!D148+PSA!D148</f>
        <v>183.67191750000001</v>
      </c>
      <c r="P148" s="25">
        <v>1</v>
      </c>
    </row>
    <row r="149" spans="1:16" s="25" customFormat="1" ht="11.25">
      <c r="A149" s="5" t="s">
        <v>162</v>
      </c>
      <c r="B149" s="160">
        <f>+Roanne!$G149</f>
        <v>0</v>
      </c>
      <c r="C149" s="113">
        <f>+Montpe!$G149</f>
        <v>89.26666666666668</v>
      </c>
      <c r="D149" s="113">
        <f>+Nancy!$G149</f>
        <v>76.700666666666677</v>
      </c>
      <c r="E149" s="113">
        <f>+STMarcelin!$G149</f>
        <v>0</v>
      </c>
      <c r="F149" s="113">
        <f>+Grenoble!$G149</f>
        <v>0</v>
      </c>
      <c r="G149" s="113">
        <f>+PSA!$G149</f>
        <v>0</v>
      </c>
      <c r="H149" s="162">
        <f>+Dijon!$G149</f>
        <v>0</v>
      </c>
      <c r="I149" s="160">
        <f>+Roanne!E149+Montpe!E149+Grenoble!E149+Nancy!E149+STMarcelin!E149+PSA!E149</f>
        <v>544.76</v>
      </c>
      <c r="J149" s="135">
        <f>+Roanne!F149+Montpe!F149+Grenoble!F149+Nancy!F149+STMarcelin!F149+PSA!F149+Dijon!F149</f>
        <v>161.13333333333333</v>
      </c>
      <c r="K149" s="113">
        <f t="shared" si="34"/>
        <v>165.96733333333336</v>
      </c>
      <c r="L149" s="161">
        <f t="shared" si="33"/>
        <v>165.96733333333336</v>
      </c>
      <c r="M149" s="92">
        <f t="shared" si="35"/>
        <v>-0.70421225249039332</v>
      </c>
      <c r="N149" s="271">
        <f t="shared" si="36"/>
        <v>3.0000000000000197E-2</v>
      </c>
      <c r="O149" s="408">
        <f>+Roanne!D149+Montpe!D149+Grenoble!D149+Nancy!D149+STMarcelin!D149+PSA!D149</f>
        <v>627.99771710208347</v>
      </c>
      <c r="P149" s="25">
        <v>1</v>
      </c>
    </row>
    <row r="150" spans="1:16" s="25" customFormat="1" ht="11.25">
      <c r="A150" s="5" t="s">
        <v>163</v>
      </c>
      <c r="B150" s="160">
        <f>+Roanne!$G150</f>
        <v>620.74666666666667</v>
      </c>
      <c r="C150" s="113">
        <f>+Montpe!$G150</f>
        <v>438.02466666666669</v>
      </c>
      <c r="D150" s="113">
        <f>+Nancy!$G150</f>
        <v>454.05146666666673</v>
      </c>
      <c r="E150" s="113">
        <f>+STMarcelin!$G150</f>
        <v>190.89333333333335</v>
      </c>
      <c r="F150" s="113">
        <f>+Grenoble!$G150</f>
        <v>458.14400000000006</v>
      </c>
      <c r="G150" s="113">
        <f>+PSA!$G150</f>
        <v>1084.9333333333334</v>
      </c>
      <c r="H150" s="162">
        <f>+Dijon!$G150</f>
        <v>0</v>
      </c>
      <c r="I150" s="160">
        <f>+Roanne!E150+Montpe!E150+Grenoble!E150+Nancy!E150+STMarcelin!E150+PSA!E150</f>
        <v>2598.02</v>
      </c>
      <c r="J150" s="135">
        <f>+Roanne!F150+Montpe!F150+Grenoble!F150+Nancy!F150+STMarcelin!F150+PSA!F150+Dijon!F150</f>
        <v>3152.2266666666674</v>
      </c>
      <c r="K150" s="113">
        <f t="shared" si="34"/>
        <v>3246.793466666667</v>
      </c>
      <c r="L150" s="161">
        <f t="shared" si="33"/>
        <v>3246.793466666667</v>
      </c>
      <c r="M150" s="92">
        <f t="shared" si="35"/>
        <v>0.2133188607734611</v>
      </c>
      <c r="N150" s="271">
        <f t="shared" si="36"/>
        <v>2.9999999999999867E-2</v>
      </c>
      <c r="O150" s="408">
        <f>+Roanne!D150+Montpe!D150+Grenoble!D150+Nancy!D150+STMarcelin!D150+PSA!D150</f>
        <v>3523.629449818347</v>
      </c>
      <c r="P150" s="25">
        <v>1</v>
      </c>
    </row>
    <row r="151" spans="1:16" s="25" customFormat="1" ht="11.25">
      <c r="A151" s="5" t="s">
        <v>570</v>
      </c>
      <c r="B151" s="160">
        <f>+Roanne!$G151</f>
        <v>0</v>
      </c>
      <c r="C151" s="113">
        <f>+Montpe!$G151</f>
        <v>0</v>
      </c>
      <c r="D151" s="113">
        <f>+Nancy!$G151</f>
        <v>0</v>
      </c>
      <c r="E151" s="113">
        <f>+STMarcelin!$G151</f>
        <v>0</v>
      </c>
      <c r="F151" s="113">
        <f>+Grenoble!$G151</f>
        <v>0</v>
      </c>
      <c r="G151" s="113">
        <f>+PSA!$G151</f>
        <v>0</v>
      </c>
      <c r="H151" s="113">
        <f>+Dijon!$G151</f>
        <v>0</v>
      </c>
      <c r="I151" s="160">
        <f>+Roanne!E151+Montpe!E151+Grenoble!E151+Nancy!E151+STMarcelin!E151+PSA!E151</f>
        <v>0</v>
      </c>
      <c r="J151" s="135">
        <f>+Roanne!F151+Montpe!F151+Grenoble!F151+Nancy!F151+STMarcelin!F151+PSA!F151+Dijon!F151</f>
        <v>0</v>
      </c>
      <c r="K151" s="113">
        <f>+L151</f>
        <v>0</v>
      </c>
      <c r="L151" s="161">
        <f>SUM(B151:H151)</f>
        <v>0</v>
      </c>
      <c r="M151" s="149">
        <f>+IF((I151)=0,,(J151-I151)/I151)</f>
        <v>0</v>
      </c>
      <c r="N151" s="271">
        <f>+IF((J151)=0,,(L151-J151)/J151)</f>
        <v>0</v>
      </c>
      <c r="O151" s="117"/>
      <c r="P151" s="25">
        <v>0</v>
      </c>
    </row>
    <row r="152" spans="1:16" s="25" customFormat="1" ht="11.25">
      <c r="A152" s="5" t="s">
        <v>58</v>
      </c>
      <c r="B152" s="160">
        <f>+Roanne!$G152</f>
        <v>0</v>
      </c>
      <c r="C152" s="113">
        <f>+Montpe!$G152</f>
        <v>0</v>
      </c>
      <c r="D152" s="113">
        <f>+Nancy!$G152</f>
        <v>0</v>
      </c>
      <c r="E152" s="113">
        <f>+STMarcelin!$G152</f>
        <v>0</v>
      </c>
      <c r="F152" s="113">
        <f>+Grenoble!$G152</f>
        <v>0</v>
      </c>
      <c r="G152" s="113">
        <f>+PSA!$G152</f>
        <v>0</v>
      </c>
      <c r="H152" s="162">
        <f>+Dijon!$G152</f>
        <v>0</v>
      </c>
      <c r="I152" s="160">
        <f>+Roanne!E152+Montpe!E152+Grenoble!E152+Nancy!E152+STMarcelin!E152+PSA!E152</f>
        <v>50733.299120000011</v>
      </c>
      <c r="J152" s="135">
        <f>+Roanne!F152+Montpe!F152+Grenoble!F152+Nancy!F152+STMarcelin!F152+PSA!F152+Dijon!F152</f>
        <v>0</v>
      </c>
      <c r="K152" s="113">
        <f>+L152</f>
        <v>0</v>
      </c>
      <c r="L152" s="161">
        <f>SUM(B152:H152)</f>
        <v>0</v>
      </c>
      <c r="M152" s="92">
        <f>+IF((I152)=0,,(J152-I152)/I152)</f>
        <v>-1</v>
      </c>
      <c r="N152" s="271">
        <f>+IF((J152)=0,,(L152-J152)/J152)</f>
        <v>0</v>
      </c>
      <c r="O152" s="408">
        <f>+Roanne!D152+Montpe!D152+Grenoble!D152+Nancy!D152+STMarcelin!D152+PSA!D152</f>
        <v>9021.5085087500011</v>
      </c>
      <c r="P152" s="25">
        <v>1</v>
      </c>
    </row>
    <row r="153" spans="1:16" s="2" customFormat="1" ht="11.25">
      <c r="A153" s="5"/>
      <c r="B153" s="160"/>
      <c r="C153" s="113"/>
      <c r="D153" s="113"/>
      <c r="E153" s="113"/>
      <c r="F153" s="113"/>
      <c r="G153" s="113"/>
      <c r="H153" s="113"/>
      <c r="I153" s="92"/>
      <c r="J153" s="143"/>
      <c r="K153" s="149"/>
      <c r="L153" s="186"/>
      <c r="M153" s="149"/>
      <c r="N153" s="254"/>
      <c r="O153" s="117">
        <f>+Roanne!D153+Montpe!D153+Grenoble!D153+Nancy!D153+STMarcelin!D153+PSA!D153</f>
        <v>0</v>
      </c>
      <c r="P153" s="2">
        <v>0</v>
      </c>
    </row>
    <row r="154" spans="1:16" s="2" customFormat="1" ht="11.25">
      <c r="A154" s="13" t="s">
        <v>164</v>
      </c>
      <c r="B154" s="163">
        <f t="shared" ref="B154:K154" si="37">SUM(B130:B153)</f>
        <v>213166.82919801836</v>
      </c>
      <c r="C154" s="204">
        <f t="shared" si="37"/>
        <v>140120.11264948081</v>
      </c>
      <c r="D154" s="204">
        <f t="shared" si="37"/>
        <v>148758.73399601452</v>
      </c>
      <c r="E154" s="204">
        <f t="shared" si="37"/>
        <v>63160.356059233978</v>
      </c>
      <c r="F154" s="204">
        <f t="shared" si="37"/>
        <v>251432.75864715141</v>
      </c>
      <c r="G154" s="204">
        <f t="shared" si="37"/>
        <v>330055.31222928112</v>
      </c>
      <c r="H154" s="168">
        <f>SUM(H130:H153)</f>
        <v>110571.72667003199</v>
      </c>
      <c r="I154" s="163">
        <f>SUM(I130:I153)</f>
        <v>1227151.0191199998</v>
      </c>
      <c r="J154" s="136">
        <f t="shared" si="37"/>
        <v>1208950.5416666667</v>
      </c>
      <c r="K154" s="136">
        <f t="shared" si="37"/>
        <v>1257265.8294492122</v>
      </c>
      <c r="L154" s="168">
        <f>SUM(L130:L153)</f>
        <v>1257265.8294492122</v>
      </c>
      <c r="M154" s="1203">
        <f>+IF((I154)=0,,(J154-I154)/I154)</f>
        <v>-1.4831489498647694E-2</v>
      </c>
      <c r="N154" s="188">
        <f>+IF((J154)=0,,(L154-J154)/J154)</f>
        <v>3.9964652082406675E-2</v>
      </c>
      <c r="O154" s="312">
        <f>+Roanne!D154+Montpe!D154+Grenoble!D154+Nancy!D154+STMarcelin!D154+PSA!D154</f>
        <v>1189298.9376035139</v>
      </c>
      <c r="P154" s="2">
        <v>1</v>
      </c>
    </row>
    <row r="155" spans="1:16" s="2" customFormat="1" ht="11.25">
      <c r="A155" s="5"/>
      <c r="B155" s="160"/>
      <c r="C155" s="113"/>
      <c r="D155" s="113"/>
      <c r="E155" s="113"/>
      <c r="F155" s="113"/>
      <c r="G155" s="113"/>
      <c r="H155" s="113"/>
      <c r="I155" s="92"/>
      <c r="J155" s="143"/>
      <c r="K155" s="149"/>
      <c r="L155" s="186"/>
      <c r="M155" s="149"/>
      <c r="N155" s="254"/>
      <c r="O155" s="115">
        <f>+Roanne!D155+Montpe!D155+Grenoble!D155+Nancy!D155+STMarcelin!D155+PSA!D155</f>
        <v>0</v>
      </c>
      <c r="P155" s="2">
        <v>0</v>
      </c>
    </row>
    <row r="156" spans="1:16" s="25" customFormat="1" ht="11.25">
      <c r="A156" s="5" t="s">
        <v>227</v>
      </c>
      <c r="B156" s="160">
        <f>+Roanne!$G156</f>
        <v>15018.06267558</v>
      </c>
      <c r="C156" s="113">
        <f>+Montpe!$G156</f>
        <v>12582.196422300001</v>
      </c>
      <c r="D156" s="113">
        <f>+Nancy!$G156</f>
        <v>11327.226745500002</v>
      </c>
      <c r="E156" s="113">
        <f>+STMarcelin!$G156</f>
        <v>2428.2987489000002</v>
      </c>
      <c r="F156" s="113">
        <f>+Grenoble!$G156</f>
        <v>27327.065490900008</v>
      </c>
      <c r="G156" s="113">
        <f>+PSA!$G156</f>
        <v>28754.811918000003</v>
      </c>
      <c r="H156" s="162">
        <f>+Dijon!$G156</f>
        <v>8150.4882801000012</v>
      </c>
      <c r="I156" s="160">
        <f>+Roanne!E156+Montpe!E156+Grenoble!E156+Nancy!E156+STMarcelin!E156+PSA!E156</f>
        <v>93145.38</v>
      </c>
      <c r="J156" s="135">
        <f>+Roanne!F156+Montpe!F156+Grenoble!F156+Nancy!F156+STMarcelin!F156+PSA!F156+Dijon!F156</f>
        <v>71472.376666666678</v>
      </c>
      <c r="K156" s="113">
        <f t="shared" ref="K156:K166" si="38">+L156</f>
        <v>105588.15028128002</v>
      </c>
      <c r="L156" s="161">
        <f t="shared" ref="L156:L166" si="39">SUM(B156:H156)</f>
        <v>105588.15028128002</v>
      </c>
      <c r="M156" s="92">
        <f>+IF((I156)=0,,(J156-I156)/I156)</f>
        <v>-0.23267931628314067</v>
      </c>
      <c r="N156" s="271">
        <f>+IF((J156)=0,,(L156-J156)/J156)</f>
        <v>0.47732809801082593</v>
      </c>
      <c r="O156" s="408">
        <f>+Roanne!D156+Montpe!D156+Grenoble!D156+Nancy!D156+STMarcelin!D156+PSA!D156</f>
        <v>101544.38687267</v>
      </c>
      <c r="P156" s="25">
        <v>1</v>
      </c>
    </row>
    <row r="157" spans="1:16" s="25" customFormat="1" ht="11.25">
      <c r="A157" s="5" t="s">
        <v>165</v>
      </c>
      <c r="B157" s="160">
        <f>+Roanne!$G157</f>
        <v>0</v>
      </c>
      <c r="C157" s="113">
        <f>+Montpe!$G157</f>
        <v>0</v>
      </c>
      <c r="D157" s="113">
        <f>+Nancy!$G157</f>
        <v>0</v>
      </c>
      <c r="E157" s="113">
        <f>+STMarcelin!$G157</f>
        <v>0</v>
      </c>
      <c r="F157" s="113">
        <f>+Grenoble!$G157</f>
        <v>0</v>
      </c>
      <c r="G157" s="113">
        <f>+PSA!$G157</f>
        <v>0</v>
      </c>
      <c r="H157" s="113">
        <f>+Dijon!$G157</f>
        <v>0</v>
      </c>
      <c r="I157" s="160">
        <f>+Roanne!E157+Montpe!E157+Grenoble!E157+Nancy!E157+STMarcelin!E157+PSA!E157</f>
        <v>-15394.38</v>
      </c>
      <c r="J157" s="135">
        <f>+Roanne!F157+Montpe!F157+Grenoble!F157+Nancy!F157+STMarcelin!F157+PSA!F157+Dijon!F157</f>
        <v>-38567.506666666675</v>
      </c>
      <c r="K157" s="113">
        <f t="shared" si="38"/>
        <v>0</v>
      </c>
      <c r="L157" s="161">
        <f t="shared" si="39"/>
        <v>0</v>
      </c>
      <c r="M157" s="149">
        <f t="shared" ref="M157:M166" si="40">+IF((I157)=0,,(J157-I157)/I157)</f>
        <v>1.5052978208064682</v>
      </c>
      <c r="N157" s="271">
        <f t="shared" ref="N157:N166" si="41">+IF((J157)=0,,(L157-J157)/J157)</f>
        <v>-1</v>
      </c>
      <c r="O157" s="117">
        <f>+Roanne!D157+Montpe!D157+Grenoble!D157+Nancy!D157+STMarcelin!D157+PSA!D157</f>
        <v>0</v>
      </c>
      <c r="P157" s="25">
        <v>0</v>
      </c>
    </row>
    <row r="158" spans="1:16" s="25" customFormat="1" ht="11.25">
      <c r="A158" s="5" t="s">
        <v>166</v>
      </c>
      <c r="B158" s="160">
        <f>+Roanne!$G158</f>
        <v>0</v>
      </c>
      <c r="C158" s="113">
        <f>+Montpe!$G158</f>
        <v>0</v>
      </c>
      <c r="D158" s="113">
        <f>+Nancy!$G158</f>
        <v>0</v>
      </c>
      <c r="E158" s="113">
        <f>+STMarcelin!$G158</f>
        <v>0</v>
      </c>
      <c r="F158" s="113">
        <f>+Grenoble!$G158</f>
        <v>0</v>
      </c>
      <c r="G158" s="113">
        <f>+PSA!$G158</f>
        <v>0</v>
      </c>
      <c r="H158" s="162">
        <f>+Dijon!$G158</f>
        <v>0</v>
      </c>
      <c r="I158" s="160">
        <f>+Roanne!E158+Montpe!E158+Grenoble!E158+Nancy!E158+STMarcelin!E158+PSA!E158</f>
        <v>8583.91</v>
      </c>
      <c r="J158" s="135">
        <f>+Roanne!F158+Montpe!F158+Grenoble!F158+Nancy!F158+STMarcelin!F158+PSA!F158+Dijon!F158</f>
        <v>54375.73333333333</v>
      </c>
      <c r="K158" s="113">
        <f t="shared" si="38"/>
        <v>0</v>
      </c>
      <c r="L158" s="161">
        <f t="shared" si="39"/>
        <v>0</v>
      </c>
      <c r="M158" s="92">
        <f t="shared" si="40"/>
        <v>5.3346113057258675</v>
      </c>
      <c r="N158" s="271">
        <f t="shared" si="41"/>
        <v>-1</v>
      </c>
      <c r="O158" s="408">
        <f>+Roanne!D158+Montpe!D158+Grenoble!D158+Nancy!D158+STMarcelin!D158+PSA!D158</f>
        <v>0</v>
      </c>
      <c r="P158" s="25">
        <v>1</v>
      </c>
    </row>
    <row r="159" spans="1:16" s="25" customFormat="1" ht="11.25">
      <c r="A159" s="5" t="s">
        <v>60</v>
      </c>
      <c r="B159" s="160">
        <f>+Roanne!$G159</f>
        <v>0</v>
      </c>
      <c r="C159" s="113">
        <f>+Montpe!$G159</f>
        <v>0</v>
      </c>
      <c r="D159" s="113">
        <f>+Nancy!$G159</f>
        <v>0</v>
      </c>
      <c r="E159" s="113">
        <f>+STMarcelin!$G159</f>
        <v>0</v>
      </c>
      <c r="F159" s="113">
        <f>+Grenoble!$G159</f>
        <v>0</v>
      </c>
      <c r="G159" s="113">
        <f>+PSA!$G159</f>
        <v>0</v>
      </c>
      <c r="H159" s="113">
        <f>+Dijon!$G159</f>
        <v>0</v>
      </c>
      <c r="I159" s="160">
        <f>+Roanne!E159+Montpe!E159+Grenoble!E159+Nancy!E159+STMarcelin!E159+PSA!E159</f>
        <v>-22126.760000000002</v>
      </c>
      <c r="J159" s="135">
        <f>+Roanne!F159+Montpe!F159+Grenoble!F159+Nancy!F159+STMarcelin!F159+PSA!F159+Dijon!F159</f>
        <v>-9234.119999999999</v>
      </c>
      <c r="K159" s="113">
        <f t="shared" si="38"/>
        <v>0</v>
      </c>
      <c r="L159" s="161">
        <f t="shared" si="39"/>
        <v>0</v>
      </c>
      <c r="M159" s="149">
        <f t="shared" si="40"/>
        <v>-0.58267184169756447</v>
      </c>
      <c r="N159" s="271">
        <f t="shared" si="41"/>
        <v>-1</v>
      </c>
      <c r="O159" s="117">
        <f>+Roanne!D159+Montpe!D159+Grenoble!D159+Nancy!D159+STMarcelin!D159+PSA!D159</f>
        <v>0</v>
      </c>
      <c r="P159" s="25">
        <v>0</v>
      </c>
    </row>
    <row r="160" spans="1:16" s="25" customFormat="1" ht="11.25">
      <c r="A160" s="5" t="s">
        <v>199</v>
      </c>
      <c r="B160" s="160">
        <f>+Roanne!$G160</f>
        <v>0</v>
      </c>
      <c r="C160" s="113">
        <f>+Montpe!$G160</f>
        <v>0</v>
      </c>
      <c r="D160" s="113">
        <f>+Nancy!$G160</f>
        <v>0</v>
      </c>
      <c r="E160" s="113">
        <f>+STMarcelin!$G160</f>
        <v>0</v>
      </c>
      <c r="F160" s="113">
        <f>+Grenoble!$G160</f>
        <v>0</v>
      </c>
      <c r="G160" s="113">
        <f>+PSA!$G160</f>
        <v>0</v>
      </c>
      <c r="H160" s="162">
        <f>+Dijon!$G160</f>
        <v>-8.2399999999999959E-2</v>
      </c>
      <c r="I160" s="160">
        <f>+Roanne!E160+Montpe!E160+Grenoble!E160+Nancy!E160+STMarcelin!E160+PSA!E160</f>
        <v>88.740000000000009</v>
      </c>
      <c r="J160" s="135">
        <f>+Roanne!F160+Montpe!F160+Grenoble!F160+Nancy!F160+STMarcelin!F160+PSA!F160+Dijon!F160</f>
        <v>116.25999999999999</v>
      </c>
      <c r="K160" s="113">
        <f t="shared" si="38"/>
        <v>-8.2399999999999959E-2</v>
      </c>
      <c r="L160" s="161">
        <f t="shared" si="39"/>
        <v>-8.2399999999999959E-2</v>
      </c>
      <c r="M160" s="92">
        <f t="shared" si="40"/>
        <v>0.31011945007888186</v>
      </c>
      <c r="N160" s="271">
        <f t="shared" si="41"/>
        <v>-1.0007087562360228</v>
      </c>
      <c r="O160" s="408">
        <f>+Roanne!D160+Montpe!D160+Grenoble!D160+Nancy!D160+STMarcelin!D160+PSA!D160</f>
        <v>0</v>
      </c>
      <c r="P160" s="25">
        <v>1</v>
      </c>
    </row>
    <row r="161" spans="1:16" s="25" customFormat="1" ht="11.25">
      <c r="A161" s="5" t="s">
        <v>41</v>
      </c>
      <c r="B161" s="160">
        <f>+Roanne!$G161</f>
        <v>1051.8497333333335</v>
      </c>
      <c r="C161" s="113">
        <f>+Montpe!$G161</f>
        <v>600</v>
      </c>
      <c r="D161" s="113">
        <f>+Nancy!$G161</f>
        <v>131.15333333333334</v>
      </c>
      <c r="E161" s="113">
        <f>+STMarcelin!$G161</f>
        <v>0</v>
      </c>
      <c r="F161" s="113">
        <f>+Grenoble!$G161</f>
        <v>564.60479999999995</v>
      </c>
      <c r="G161" s="113">
        <f>+PSA!$G161</f>
        <v>1348.3112000000001</v>
      </c>
      <c r="H161" s="162">
        <f>+Dijon!$G161</f>
        <v>0</v>
      </c>
      <c r="I161" s="160">
        <f>+Roanne!E161+Montpe!E161+Grenoble!E161+Nancy!E161+STMarcelin!E161+PSA!E161</f>
        <v>3020.14</v>
      </c>
      <c r="J161" s="135">
        <f>+Roanne!F161+Montpe!F161+Grenoble!F161+Nancy!F161+STMarcelin!F161+PSA!F161+Dijon!F161</f>
        <v>4964.9066666666668</v>
      </c>
      <c r="K161" s="113">
        <f t="shared" si="38"/>
        <v>3695.9190666666668</v>
      </c>
      <c r="L161" s="161">
        <f t="shared" si="39"/>
        <v>3695.9190666666668</v>
      </c>
      <c r="M161" s="92">
        <f t="shared" si="40"/>
        <v>0.64393262122506467</v>
      </c>
      <c r="N161" s="271">
        <f t="shared" si="41"/>
        <v>-0.25559143105744853</v>
      </c>
      <c r="O161" s="408">
        <f>+Roanne!D161+Montpe!D161+Grenoble!D161+Nancy!D161+STMarcelin!D161+PSA!D161</f>
        <v>2662.6067079398604</v>
      </c>
      <c r="P161" s="25">
        <v>1</v>
      </c>
    </row>
    <row r="162" spans="1:16" s="25" customFormat="1" ht="11.25">
      <c r="A162" s="5" t="s">
        <v>355</v>
      </c>
      <c r="B162" s="160">
        <f>+Roanne!$G162</f>
        <v>78.746933333333331</v>
      </c>
      <c r="C162" s="113">
        <f>+Montpe!$G162</f>
        <v>4.9302666666666664</v>
      </c>
      <c r="D162" s="113">
        <f>+Nancy!$G162</f>
        <v>57.556399999999996</v>
      </c>
      <c r="E162" s="113">
        <f>+STMarcelin!$G162</f>
        <v>0</v>
      </c>
      <c r="F162" s="113">
        <f>+Grenoble!$G162</f>
        <v>42.710666666666668</v>
      </c>
      <c r="G162" s="113">
        <f>+PSA!$G162</f>
        <v>6.4958666666666671</v>
      </c>
      <c r="H162" s="162">
        <f>+Dijon!$G162</f>
        <v>22.186200000000003</v>
      </c>
      <c r="I162" s="160">
        <f>+Roanne!E162+Montpe!E162+Grenoble!E162+Nancy!E162+STMarcelin!E162+PSA!E162</f>
        <v>92.549999999999983</v>
      </c>
      <c r="J162" s="135">
        <f>+Roanne!F162+Montpe!F162+Grenoble!F162+Nancy!F162+STMarcelin!F162+PSA!F162+Dijon!F162</f>
        <v>201.04833333333332</v>
      </c>
      <c r="K162" s="113">
        <f t="shared" si="38"/>
        <v>212.62633333333335</v>
      </c>
      <c r="L162" s="161">
        <f t="shared" si="39"/>
        <v>212.62633333333335</v>
      </c>
      <c r="M162" s="92">
        <f t="shared" si="40"/>
        <v>1.1723212677831805</v>
      </c>
      <c r="N162" s="271">
        <f t="shared" si="41"/>
        <v>5.7588142154871708E-2</v>
      </c>
      <c r="O162" s="408">
        <f>+Roanne!D162+Montpe!D162+Grenoble!D162+Nancy!D162+STMarcelin!D162+PSA!D162</f>
        <v>88.903633386423266</v>
      </c>
      <c r="P162" s="25">
        <v>1</v>
      </c>
    </row>
    <row r="163" spans="1:16" s="25" customFormat="1" ht="11.25">
      <c r="A163" s="5" t="s">
        <v>200</v>
      </c>
      <c r="B163" s="160">
        <f>+Roanne!$G163</f>
        <v>1753.7878666666666</v>
      </c>
      <c r="C163" s="113">
        <f>+Montpe!$G163</f>
        <v>694.34359999999992</v>
      </c>
      <c r="D163" s="113">
        <f>+Nancy!$G163</f>
        <v>159.69120000000001</v>
      </c>
      <c r="E163" s="113">
        <f>+STMarcelin!$G163</f>
        <v>0</v>
      </c>
      <c r="F163" s="113">
        <f>+Grenoble!$G163</f>
        <v>1799.8357333333336</v>
      </c>
      <c r="G163" s="113">
        <f>+PSA!$G163</f>
        <v>1938.0892000000001</v>
      </c>
      <c r="H163" s="162">
        <f>+Dijon!$G163</f>
        <v>83.491799999999998</v>
      </c>
      <c r="I163" s="160">
        <f>+Roanne!E163+Montpe!E163+Grenoble!E163+Nancy!E163+STMarcelin!E163+PSA!E163</f>
        <v>3467.2700000000009</v>
      </c>
      <c r="J163" s="135">
        <f>+Roanne!F163+Montpe!F163+Grenoble!F163+Nancy!F163+STMarcelin!F163+PSA!F163+Dijon!F163</f>
        <v>6221.7150000000001</v>
      </c>
      <c r="K163" s="113">
        <f t="shared" si="38"/>
        <v>6429.2394000000004</v>
      </c>
      <c r="L163" s="161">
        <f t="shared" si="39"/>
        <v>6429.2394000000004</v>
      </c>
      <c r="M163" s="92">
        <f t="shared" si="40"/>
        <v>0.79441318385934712</v>
      </c>
      <c r="N163" s="271">
        <f t="shared" si="41"/>
        <v>3.3354854730568699E-2</v>
      </c>
      <c r="O163" s="408">
        <f>+Roanne!D163+Montpe!D163+Grenoble!D163+Nancy!D163+STMarcelin!D163+PSA!D163</f>
        <v>3669.1884367821249</v>
      </c>
      <c r="P163" s="25">
        <v>1</v>
      </c>
    </row>
    <row r="164" spans="1:16" s="25" customFormat="1" ht="11.25">
      <c r="A164" s="5" t="s">
        <v>271</v>
      </c>
      <c r="B164" s="160">
        <f>+Roanne!$G164</f>
        <v>-42.147599999999997</v>
      </c>
      <c r="C164" s="113">
        <f>+Montpe!$G164</f>
        <v>-109.18</v>
      </c>
      <c r="D164" s="113">
        <f>+Nancy!$G164</f>
        <v>0</v>
      </c>
      <c r="E164" s="113">
        <f>+STMarcelin!$G164</f>
        <v>0</v>
      </c>
      <c r="F164" s="113">
        <f>+Grenoble!$G164</f>
        <v>-88.58</v>
      </c>
      <c r="G164" s="113">
        <f>+PSA!$G164</f>
        <v>-94.76</v>
      </c>
      <c r="H164" s="113">
        <f>+Dijon!$G164</f>
        <v>0</v>
      </c>
      <c r="I164" s="160">
        <f>+Roanne!E164+Montpe!E164+Grenoble!E164+Nancy!E164+STMarcelin!E164+PSA!E164</f>
        <v>-484.12</v>
      </c>
      <c r="J164" s="135">
        <f>+Roanne!F164+Montpe!F164+Grenoble!F164+Nancy!F164+STMarcelin!F164+PSA!F164+Dijon!F164</f>
        <v>-324.91999999999996</v>
      </c>
      <c r="K164" s="113">
        <f t="shared" si="38"/>
        <v>-334.66759999999999</v>
      </c>
      <c r="L164" s="161">
        <f t="shared" si="39"/>
        <v>-334.66759999999999</v>
      </c>
      <c r="M164" s="149">
        <f t="shared" si="40"/>
        <v>-0.3288440882425846</v>
      </c>
      <c r="N164" s="271">
        <f t="shared" si="41"/>
        <v>3.000000000000011E-2</v>
      </c>
      <c r="O164" s="117">
        <f>+Roanne!D164+Montpe!D164+Grenoble!D164+Nancy!D164+STMarcelin!D164+PSA!D164</f>
        <v>-408.46798735251036</v>
      </c>
      <c r="P164" s="25">
        <v>0</v>
      </c>
    </row>
    <row r="165" spans="1:16" s="25" customFormat="1" ht="11.25">
      <c r="A165" s="5" t="s">
        <v>242</v>
      </c>
      <c r="B165" s="160">
        <f>+Roanne!$G165</f>
        <v>393.46000000000004</v>
      </c>
      <c r="C165" s="113">
        <f>+Montpe!$G165</f>
        <v>555.92533333333336</v>
      </c>
      <c r="D165" s="113">
        <f>+Nancy!$G165</f>
        <v>86.52</v>
      </c>
      <c r="E165" s="113">
        <f>+STMarcelin!$G165</f>
        <v>12.36</v>
      </c>
      <c r="F165" s="113">
        <f>+Grenoble!$G165</f>
        <v>585.04</v>
      </c>
      <c r="G165" s="113">
        <f>+PSA!$G165</f>
        <v>323.14533333333338</v>
      </c>
      <c r="H165" s="162">
        <f>+Dijon!$G165</f>
        <v>0</v>
      </c>
      <c r="I165" s="160">
        <f>+Roanne!E165+Montpe!E165+Grenoble!E165+Nancy!E165+STMarcelin!E165+PSA!E165</f>
        <v>1770.6</v>
      </c>
      <c r="J165" s="135">
        <f>+Roanne!F165+Montpe!F165+Grenoble!F165+Nancy!F165+STMarcelin!F165+PSA!F165+Dijon!F165</f>
        <v>1899.4666666666667</v>
      </c>
      <c r="K165" s="113">
        <f t="shared" si="38"/>
        <v>1956.4506666666666</v>
      </c>
      <c r="L165" s="161">
        <f t="shared" si="39"/>
        <v>1956.4506666666666</v>
      </c>
      <c r="M165" s="92">
        <f t="shared" si="40"/>
        <v>7.278135471968078E-2</v>
      </c>
      <c r="N165" s="271">
        <f t="shared" si="41"/>
        <v>2.9999999999999961E-2</v>
      </c>
      <c r="O165" s="408">
        <f>+Roanne!D165+Montpe!D165+Grenoble!D165+Nancy!D165+STMarcelin!D165+PSA!D165</f>
        <v>1701.9348317588269</v>
      </c>
      <c r="P165" s="25">
        <v>1</v>
      </c>
    </row>
    <row r="166" spans="1:16" s="25" customFormat="1" ht="11.25">
      <c r="A166" s="5" t="s">
        <v>201</v>
      </c>
      <c r="B166" s="160">
        <f>+Roanne!$G166</f>
        <v>0</v>
      </c>
      <c r="C166" s="113">
        <f>+Montpe!$G166</f>
        <v>0</v>
      </c>
      <c r="D166" s="113">
        <f>+Nancy!$G166</f>
        <v>0</v>
      </c>
      <c r="E166" s="113">
        <f>+STMarcelin!$G166</f>
        <v>0</v>
      </c>
      <c r="F166" s="113">
        <f>+Grenoble!$G166</f>
        <v>0</v>
      </c>
      <c r="G166" s="113">
        <f>+PSA!$G166</f>
        <v>0</v>
      </c>
      <c r="H166" s="113">
        <f>+Dijon!$G166</f>
        <v>0</v>
      </c>
      <c r="I166" s="160">
        <f>+Roanne!E166+Montpe!E166+Grenoble!E166+Nancy!E166+STMarcelin!E166+PSA!E166</f>
        <v>0</v>
      </c>
      <c r="J166" s="135">
        <f>+Roanne!F166+Montpe!F166+Grenoble!F166+Nancy!F166+STMarcelin!F166+PSA!F166+Dijon!F166</f>
        <v>0</v>
      </c>
      <c r="K166" s="113">
        <f t="shared" si="38"/>
        <v>0</v>
      </c>
      <c r="L166" s="161">
        <f t="shared" si="39"/>
        <v>0</v>
      </c>
      <c r="M166" s="149">
        <f t="shared" si="40"/>
        <v>0</v>
      </c>
      <c r="N166" s="271">
        <f t="shared" si="41"/>
        <v>0</v>
      </c>
      <c r="O166" s="117">
        <f>+Roanne!D166+Montpe!D166+Grenoble!D166+Nancy!D166+STMarcelin!D166+PSA!D166</f>
        <v>-10.698091287708335</v>
      </c>
      <c r="P166" s="25">
        <v>0</v>
      </c>
    </row>
    <row r="167" spans="1:16" s="2" customFormat="1" ht="11.25">
      <c r="A167" s="5"/>
      <c r="B167" s="160"/>
      <c r="C167" s="113"/>
      <c r="D167" s="113"/>
      <c r="E167" s="113"/>
      <c r="F167" s="113"/>
      <c r="G167" s="113"/>
      <c r="H167" s="113"/>
      <c r="I167" s="92"/>
      <c r="J167" s="143"/>
      <c r="K167" s="149"/>
      <c r="L167" s="186"/>
      <c r="M167" s="149"/>
      <c r="N167" s="254"/>
      <c r="O167" s="115">
        <f>+Roanne!D167+Montpe!D167+Grenoble!D167+Nancy!D167+STMarcelin!D167+PSA!D167</f>
        <v>0</v>
      </c>
      <c r="P167" s="2">
        <v>0</v>
      </c>
    </row>
    <row r="168" spans="1:16" s="2" customFormat="1" ht="11.25">
      <c r="A168" s="13" t="s">
        <v>74</v>
      </c>
      <c r="B168" s="163">
        <f t="shared" ref="B168:K168" si="42">SUM(B155:B167)</f>
        <v>18253.759608913333</v>
      </c>
      <c r="C168" s="204">
        <f t="shared" si="42"/>
        <v>14328.2156223</v>
      </c>
      <c r="D168" s="204">
        <f t="shared" si="42"/>
        <v>11762.147678833335</v>
      </c>
      <c r="E168" s="204">
        <f t="shared" si="42"/>
        <v>2440.6587489000003</v>
      </c>
      <c r="F168" s="204">
        <f t="shared" si="42"/>
        <v>30230.676690900007</v>
      </c>
      <c r="G168" s="204">
        <f t="shared" si="42"/>
        <v>32276.093518000005</v>
      </c>
      <c r="H168" s="168">
        <f>SUM(H155:H167)</f>
        <v>8256.0838801000009</v>
      </c>
      <c r="I168" s="163">
        <f>SUM(I155:I167)</f>
        <v>72163.330000000016</v>
      </c>
      <c r="J168" s="136">
        <f t="shared" si="42"/>
        <v>91124.959999999992</v>
      </c>
      <c r="K168" s="136">
        <f t="shared" si="42"/>
        <v>117547.6357479467</v>
      </c>
      <c r="L168" s="168">
        <f>SUM(L155:L167)</f>
        <v>117547.6357479467</v>
      </c>
      <c r="M168" s="1203">
        <f>+IF((I168)=0,,(J168-I168)/I168)</f>
        <v>0.26275990866829413</v>
      </c>
      <c r="N168" s="188">
        <f>+IF((J168)=0,,(L168-J168)/J168)</f>
        <v>0.2899609036640094</v>
      </c>
      <c r="O168" s="312">
        <f>+Roanne!D168+Montpe!D168+Grenoble!D168+Nancy!D168+STMarcelin!D168+PSA!D168</f>
        <v>109247.85440389701</v>
      </c>
      <c r="P168" s="2">
        <v>1</v>
      </c>
    </row>
    <row r="169" spans="1:16" s="2" customFormat="1" ht="11.25">
      <c r="A169" s="5"/>
      <c r="B169" s="160"/>
      <c r="C169" s="113"/>
      <c r="D169" s="113"/>
      <c r="E169" s="113"/>
      <c r="F169" s="113"/>
      <c r="G169" s="113"/>
      <c r="H169" s="113"/>
      <c r="I169" s="92"/>
      <c r="J169" s="143"/>
      <c r="K169" s="149"/>
      <c r="L169" s="186"/>
      <c r="M169" s="149"/>
      <c r="N169" s="271"/>
      <c r="O169" s="115">
        <f>+Roanne!D169+Montpe!D169+Grenoble!D169+Nancy!D169+STMarcelin!D169+PSA!D169</f>
        <v>0</v>
      </c>
      <c r="P169" s="2">
        <v>0</v>
      </c>
    </row>
    <row r="170" spans="1:16" s="25" customFormat="1" ht="11.25">
      <c r="A170" s="5" t="s">
        <v>167</v>
      </c>
      <c r="B170" s="160">
        <f>+Roanne!$G170</f>
        <v>0</v>
      </c>
      <c r="C170" s="113">
        <f>+Montpe!$G170</f>
        <v>0</v>
      </c>
      <c r="D170" s="113">
        <f>+Nancy!$G170</f>
        <v>0</v>
      </c>
      <c r="E170" s="113">
        <f>+STMarcelin!$G170</f>
        <v>0</v>
      </c>
      <c r="F170" s="113">
        <f>+Grenoble!$G170</f>
        <v>0</v>
      </c>
      <c r="G170" s="113">
        <f>+PSA!$G170</f>
        <v>0</v>
      </c>
      <c r="H170" s="113">
        <f>+Dijon!$G170</f>
        <v>0</v>
      </c>
      <c r="I170" s="160">
        <f>+Roanne!E170+Montpe!E170+Grenoble!E170+Nancy!E170+STMarcelin!E170+PSA!E170</f>
        <v>0</v>
      </c>
      <c r="J170" s="135">
        <f>+Roanne!F170+Montpe!F170+Grenoble!F170+Nancy!F170+STMarcelin!F170+PSA!F170+Dijon!F170</f>
        <v>0</v>
      </c>
      <c r="K170" s="113">
        <f>+L170</f>
        <v>0</v>
      </c>
      <c r="L170" s="161">
        <f t="shared" ref="L170:L183" si="43">SUM(B170:H170)</f>
        <v>0</v>
      </c>
      <c r="M170" s="149">
        <f>+IF((I170)=0,,(J170-I170)/I170)</f>
        <v>0</v>
      </c>
      <c r="N170" s="271">
        <f>+IF((J170)=0,,(L170-J170)/J170)</f>
        <v>0</v>
      </c>
      <c r="O170" s="117">
        <f>+Roanne!D170+Montpe!D170+Grenoble!D170+Nancy!D170+STMarcelin!D170+PSA!D170</f>
        <v>0</v>
      </c>
      <c r="P170" s="25">
        <v>0</v>
      </c>
    </row>
    <row r="171" spans="1:16" s="25" customFormat="1" ht="11.25">
      <c r="A171" s="5" t="s">
        <v>168</v>
      </c>
      <c r="B171" s="160">
        <f>+Roanne!$G171</f>
        <v>0</v>
      </c>
      <c r="C171" s="113">
        <f>+Montpe!$G171</f>
        <v>304.72893333333337</v>
      </c>
      <c r="D171" s="113">
        <f>+Nancy!$G171</f>
        <v>305.67653333333334</v>
      </c>
      <c r="E171" s="113">
        <f>+STMarcelin!$G171</f>
        <v>0</v>
      </c>
      <c r="F171" s="113">
        <f>+Grenoble!$G171</f>
        <v>0</v>
      </c>
      <c r="G171" s="113">
        <f>+PSA!$G171</f>
        <v>0</v>
      </c>
      <c r="H171" s="162">
        <f>+Dijon!$G171</f>
        <v>0</v>
      </c>
      <c r="I171" s="160">
        <f>+Roanne!E171+Montpe!E171+Grenoble!E171+Nancy!E171+STMarcelin!E171+PSA!E171</f>
        <v>1358.22</v>
      </c>
      <c r="J171" s="135">
        <f>+Roanne!F171+Montpe!F171+Grenoble!F171+Nancy!F171+STMarcelin!F171+PSA!F171+Dijon!F171</f>
        <v>592.62666666666667</v>
      </c>
      <c r="K171" s="113">
        <f t="shared" ref="K171:K183" si="44">+L171</f>
        <v>610.40546666666671</v>
      </c>
      <c r="L171" s="161">
        <f t="shared" si="43"/>
        <v>610.40546666666671</v>
      </c>
      <c r="M171" s="92">
        <f t="shared" ref="M171:M183" si="45">+IF((I171)=0,,(J171-I171)/I171)</f>
        <v>-0.56367402433577285</v>
      </c>
      <c r="N171" s="271">
        <f t="shared" ref="N171:N183" si="46">+IF((J171)=0,,(L171-J171)/J171)</f>
        <v>3.0000000000000079E-2</v>
      </c>
      <c r="O171" s="408">
        <f>+Roanne!D171+Montpe!D171+Grenoble!D171+Nancy!D171+STMarcelin!D171+PSA!D171</f>
        <v>1634.1347727251377</v>
      </c>
      <c r="P171" s="25">
        <v>1</v>
      </c>
    </row>
    <row r="172" spans="1:16" s="25" customFormat="1" ht="11.25">
      <c r="A172" s="5" t="s">
        <v>169</v>
      </c>
      <c r="B172" s="160">
        <f>+Roanne!$G172</f>
        <v>0</v>
      </c>
      <c r="C172" s="113">
        <f>+Montpe!$G172</f>
        <v>0</v>
      </c>
      <c r="D172" s="113">
        <f>+Nancy!$G172</f>
        <v>0</v>
      </c>
      <c r="E172" s="113">
        <f>+STMarcelin!$G172</f>
        <v>0</v>
      </c>
      <c r="F172" s="113">
        <f>+Grenoble!$G172</f>
        <v>0</v>
      </c>
      <c r="G172" s="113">
        <f>+PSA!$G172</f>
        <v>0</v>
      </c>
      <c r="H172" s="113">
        <f>+Dijon!$G172</f>
        <v>0</v>
      </c>
      <c r="I172" s="160">
        <f>+Roanne!E172+Montpe!E172+Grenoble!E172+Nancy!E172+STMarcelin!E172+PSA!E172</f>
        <v>0</v>
      </c>
      <c r="J172" s="135">
        <f>+Roanne!F172+Montpe!F172+Grenoble!F172+Nancy!F172+STMarcelin!F172+PSA!F172+Dijon!F172</f>
        <v>0</v>
      </c>
      <c r="K172" s="113">
        <f t="shared" si="44"/>
        <v>0</v>
      </c>
      <c r="L172" s="161">
        <f t="shared" si="43"/>
        <v>0</v>
      </c>
      <c r="M172" s="149">
        <f t="shared" si="45"/>
        <v>0</v>
      </c>
      <c r="N172" s="271">
        <f t="shared" si="46"/>
        <v>0</v>
      </c>
      <c r="O172" s="117">
        <f>+Roanne!D172+Montpe!D172+Grenoble!D172+Nancy!D172+STMarcelin!D172+PSA!D172</f>
        <v>0</v>
      </c>
      <c r="P172" s="25">
        <v>0</v>
      </c>
    </row>
    <row r="173" spans="1:16" s="25" customFormat="1" ht="11.25">
      <c r="A173" s="5" t="s">
        <v>170</v>
      </c>
      <c r="B173" s="160">
        <f>+Roanne!$G173</f>
        <v>79.65333333333335</v>
      </c>
      <c r="C173" s="113">
        <f>+Montpe!$G173</f>
        <v>530.62853333333328</v>
      </c>
      <c r="D173" s="113">
        <f>+Nancy!$G173</f>
        <v>0</v>
      </c>
      <c r="E173" s="113">
        <f>+STMarcelin!$G173</f>
        <v>672.48013333333347</v>
      </c>
      <c r="F173" s="113">
        <f>+Grenoble!$G173</f>
        <v>399.29666666666668</v>
      </c>
      <c r="G173" s="113">
        <f>+PSA!$G173</f>
        <v>7974.6308000000008</v>
      </c>
      <c r="H173" s="162">
        <f>+Dijon!$G173</f>
        <v>0</v>
      </c>
      <c r="I173" s="160">
        <f>+Roanne!E173+Montpe!E173+Grenoble!E173+Nancy!E173+STMarcelin!E173+PSA!E173</f>
        <v>33096.21</v>
      </c>
      <c r="J173" s="135">
        <f>+Roanne!F173+Montpe!F173+Grenoble!F173+Nancy!F173+STMarcelin!F173+PSA!F173+Dijon!F173</f>
        <v>9375.4266666666681</v>
      </c>
      <c r="K173" s="113">
        <f t="shared" si="44"/>
        <v>9656.6894666666667</v>
      </c>
      <c r="L173" s="161">
        <f t="shared" si="43"/>
        <v>9656.6894666666667</v>
      </c>
      <c r="M173" s="92">
        <f t="shared" si="45"/>
        <v>-0.71672204561589781</v>
      </c>
      <c r="N173" s="271">
        <f t="shared" si="46"/>
        <v>2.9999999999999846E-2</v>
      </c>
      <c r="O173" s="408">
        <f>+Roanne!D173+Montpe!D173+Grenoble!D173+Nancy!D173+STMarcelin!D173+PSA!D173</f>
        <v>6233.9411</v>
      </c>
      <c r="P173" s="25">
        <v>1</v>
      </c>
    </row>
    <row r="174" spans="1:16" s="25" customFormat="1" ht="11.25">
      <c r="A174" s="5" t="s">
        <v>171</v>
      </c>
      <c r="B174" s="160">
        <f>+Roanne!$G174</f>
        <v>0</v>
      </c>
      <c r="C174" s="113">
        <f>+Montpe!$G174</f>
        <v>0</v>
      </c>
      <c r="D174" s="113">
        <f>+Nancy!$G174</f>
        <v>0</v>
      </c>
      <c r="E174" s="113">
        <f>+STMarcelin!$G174</f>
        <v>0</v>
      </c>
      <c r="F174" s="113">
        <f>+Grenoble!$G174</f>
        <v>0</v>
      </c>
      <c r="G174" s="113">
        <f>+PSA!$G174</f>
        <v>0</v>
      </c>
      <c r="H174" s="113">
        <f>+Dijon!$G174</f>
        <v>0</v>
      </c>
      <c r="I174" s="160">
        <f>+Roanne!E174+Montpe!E174+Grenoble!E174+Nancy!E174+STMarcelin!E174+PSA!E174</f>
        <v>0</v>
      </c>
      <c r="J174" s="135">
        <f>+Roanne!F174+Montpe!F174+Grenoble!F174+Nancy!F174+STMarcelin!F174+PSA!F174+Dijon!F174</f>
        <v>0</v>
      </c>
      <c r="K174" s="113">
        <f t="shared" si="44"/>
        <v>0</v>
      </c>
      <c r="L174" s="161">
        <f t="shared" si="43"/>
        <v>0</v>
      </c>
      <c r="M174" s="149">
        <f t="shared" si="45"/>
        <v>0</v>
      </c>
      <c r="N174" s="271">
        <f t="shared" si="46"/>
        <v>0</v>
      </c>
      <c r="O174" s="117">
        <f>+Roanne!D174+Montpe!D174+Grenoble!D174+Nancy!D174+STMarcelin!D174+PSA!D174</f>
        <v>0</v>
      </c>
      <c r="P174" s="25">
        <v>0</v>
      </c>
    </row>
    <row r="175" spans="1:16" s="25" customFormat="1" ht="11.25">
      <c r="A175" s="5" t="s">
        <v>308</v>
      </c>
      <c r="B175" s="160">
        <f>+Roanne!$G175</f>
        <v>0</v>
      </c>
      <c r="C175" s="113">
        <f>+Montpe!$G175</f>
        <v>0</v>
      </c>
      <c r="D175" s="113">
        <f>+Nancy!$G175</f>
        <v>0</v>
      </c>
      <c r="E175" s="113">
        <f>+STMarcelin!$G175</f>
        <v>0</v>
      </c>
      <c r="F175" s="113">
        <f>+Grenoble!$G175</f>
        <v>0</v>
      </c>
      <c r="G175" s="113">
        <f>+PSA!$G175</f>
        <v>0</v>
      </c>
      <c r="H175" s="113">
        <f>+Dijon!$G175</f>
        <v>0</v>
      </c>
      <c r="I175" s="160">
        <f>+Roanne!E175+Montpe!E175+Grenoble!E175+Nancy!E175+STMarcelin!E175+PSA!E175</f>
        <v>0</v>
      </c>
      <c r="J175" s="135">
        <f>+Roanne!F175+Montpe!F175+Grenoble!F175+Nancy!F175+STMarcelin!F175+PSA!F175+Dijon!F175</f>
        <v>0</v>
      </c>
      <c r="K175" s="113">
        <f t="shared" si="44"/>
        <v>0</v>
      </c>
      <c r="L175" s="161">
        <f t="shared" si="43"/>
        <v>0</v>
      </c>
      <c r="M175" s="149">
        <f t="shared" si="45"/>
        <v>0</v>
      </c>
      <c r="N175" s="271">
        <f t="shared" si="46"/>
        <v>0</v>
      </c>
      <c r="O175" s="117">
        <f>+Roanne!D175+Montpe!D175+Grenoble!D175+Nancy!D175+STMarcelin!D175+PSA!D175</f>
        <v>0</v>
      </c>
      <c r="P175" s="25">
        <v>0</v>
      </c>
    </row>
    <row r="176" spans="1:16" s="25" customFormat="1" ht="11.25">
      <c r="A176" s="5" t="s">
        <v>172</v>
      </c>
      <c r="B176" s="160">
        <f>+Roanne!$G176</f>
        <v>0</v>
      </c>
      <c r="C176" s="113">
        <f>+Montpe!$G176</f>
        <v>0</v>
      </c>
      <c r="D176" s="113">
        <f>+Nancy!$G176</f>
        <v>0</v>
      </c>
      <c r="E176" s="113">
        <f>+STMarcelin!$G176</f>
        <v>0</v>
      </c>
      <c r="F176" s="113">
        <f>+Grenoble!$G176</f>
        <v>0</v>
      </c>
      <c r="G176" s="113">
        <f>+PSA!$G176</f>
        <v>0</v>
      </c>
      <c r="H176" s="113">
        <f>+Dijon!$G176</f>
        <v>0</v>
      </c>
      <c r="I176" s="160">
        <f>+Roanne!E176+Montpe!E176+Grenoble!E176+Nancy!E176+STMarcelin!E176+PSA!E176</f>
        <v>366.22</v>
      </c>
      <c r="J176" s="135">
        <f>+Roanne!F176+Montpe!F176+Grenoble!F176+Nancy!F176+STMarcelin!F176+PSA!F176+Dijon!F176</f>
        <v>0</v>
      </c>
      <c r="K176" s="113">
        <f t="shared" si="44"/>
        <v>0</v>
      </c>
      <c r="L176" s="161">
        <f t="shared" si="43"/>
        <v>0</v>
      </c>
      <c r="M176" s="149">
        <f t="shared" si="45"/>
        <v>-1</v>
      </c>
      <c r="N176" s="271">
        <f t="shared" si="46"/>
        <v>0</v>
      </c>
      <c r="O176" s="117">
        <f>+Roanne!D176+Montpe!D176+Grenoble!D176+Nancy!D176+STMarcelin!D176+PSA!D176</f>
        <v>0</v>
      </c>
      <c r="P176" s="25">
        <v>0</v>
      </c>
    </row>
    <row r="177" spans="1:16" s="25" customFormat="1" ht="11.25">
      <c r="A177" s="5" t="s">
        <v>173</v>
      </c>
      <c r="B177" s="160">
        <f>+Roanne!$G177</f>
        <v>0</v>
      </c>
      <c r="C177" s="113">
        <f>+Montpe!$G177</f>
        <v>0</v>
      </c>
      <c r="D177" s="113">
        <f>+Nancy!$G177</f>
        <v>0</v>
      </c>
      <c r="E177" s="113">
        <f>+STMarcelin!$G177</f>
        <v>0</v>
      </c>
      <c r="F177" s="113">
        <f>+Grenoble!$G177</f>
        <v>0</v>
      </c>
      <c r="G177" s="113">
        <f>+PSA!$G177</f>
        <v>0</v>
      </c>
      <c r="H177" s="162">
        <f>+Dijon!$G177</f>
        <v>0</v>
      </c>
      <c r="I177" s="160">
        <f>+Roanne!E177+Montpe!E177+Grenoble!E177+Nancy!E177+STMarcelin!E177+PSA!E177</f>
        <v>12796.320000000002</v>
      </c>
      <c r="J177" s="135">
        <f>+Roanne!F177+Montpe!F177+Grenoble!F177+Nancy!F177+STMarcelin!F177+PSA!F177+Dijon!F177</f>
        <v>0</v>
      </c>
      <c r="K177" s="113">
        <f t="shared" si="44"/>
        <v>0</v>
      </c>
      <c r="L177" s="161">
        <f t="shared" si="43"/>
        <v>0</v>
      </c>
      <c r="M177" s="92">
        <f t="shared" si="45"/>
        <v>-1</v>
      </c>
      <c r="N177" s="271">
        <f t="shared" si="46"/>
        <v>0</v>
      </c>
      <c r="O177" s="408">
        <f>+Roanne!D177+Montpe!D177+Grenoble!D177+Nancy!D177+STMarcelin!D177+PSA!D177</f>
        <v>0</v>
      </c>
      <c r="P177" s="25">
        <v>1</v>
      </c>
    </row>
    <row r="178" spans="1:16" s="25" customFormat="1" ht="11.25">
      <c r="A178" s="5" t="s">
        <v>174</v>
      </c>
      <c r="B178" s="160">
        <f>+Roanne!$G178</f>
        <v>0</v>
      </c>
      <c r="C178" s="113">
        <f>+Montpe!$G178</f>
        <v>0</v>
      </c>
      <c r="D178" s="113">
        <f>+Nancy!$G178</f>
        <v>0</v>
      </c>
      <c r="E178" s="113">
        <f>+STMarcelin!$G178</f>
        <v>0</v>
      </c>
      <c r="F178" s="113">
        <f>+Grenoble!$G178</f>
        <v>0</v>
      </c>
      <c r="G178" s="113">
        <f>+PSA!$G178</f>
        <v>0</v>
      </c>
      <c r="H178" s="113">
        <f>+Dijon!$G178</f>
        <v>0</v>
      </c>
      <c r="I178" s="160">
        <f>+Roanne!E178+Montpe!E178+Grenoble!E178+Nancy!E178+STMarcelin!E178+PSA!E178</f>
        <v>0.89</v>
      </c>
      <c r="J178" s="135">
        <f>+Roanne!F178+Montpe!F178+Grenoble!F178+Nancy!F178+STMarcelin!F178+PSA!F178+Dijon!F178</f>
        <v>0</v>
      </c>
      <c r="K178" s="113">
        <f t="shared" si="44"/>
        <v>0</v>
      </c>
      <c r="L178" s="161">
        <f t="shared" si="43"/>
        <v>0</v>
      </c>
      <c r="M178" s="149">
        <f t="shared" si="45"/>
        <v>-1</v>
      </c>
      <c r="N178" s="271">
        <f t="shared" si="46"/>
        <v>0</v>
      </c>
      <c r="O178" s="117">
        <f>+Roanne!D178+Montpe!D178+Grenoble!D178+Nancy!D178+STMarcelin!D178+PSA!D178</f>
        <v>0</v>
      </c>
      <c r="P178" s="25">
        <v>0</v>
      </c>
    </row>
    <row r="179" spans="1:16" s="25" customFormat="1" ht="11.25">
      <c r="A179" s="5" t="s">
        <v>175</v>
      </c>
      <c r="B179" s="160">
        <f>+Roanne!$G179</f>
        <v>7990.7</v>
      </c>
      <c r="C179" s="113">
        <f>+Montpe!$G179</f>
        <v>5460.18</v>
      </c>
      <c r="D179" s="113">
        <f>+Nancy!$G179</f>
        <v>3721.78</v>
      </c>
      <c r="E179" s="113">
        <f>+STMarcelin!$G179</f>
        <v>2713.58</v>
      </c>
      <c r="F179" s="113">
        <f>+Grenoble!$G179</f>
        <v>10161.720000000001</v>
      </c>
      <c r="G179" s="113">
        <f>+PSA!$G179</f>
        <v>10475.450000000001</v>
      </c>
      <c r="H179" s="162">
        <f>+Dijon!$G179</f>
        <v>3879.99</v>
      </c>
      <c r="I179" s="160">
        <f>+Roanne!E179+Montpe!E179+Grenoble!E179+Nancy!E179+STMarcelin!E179+PSA!E179</f>
        <v>53304.210000000006</v>
      </c>
      <c r="J179" s="135">
        <f>+Roanne!F179+Montpe!F179+Grenoble!F179+Nancy!F179+STMarcelin!F179+PSA!F179+Dijon!F179</f>
        <v>39537.26</v>
      </c>
      <c r="K179" s="113">
        <f t="shared" si="44"/>
        <v>44403.4</v>
      </c>
      <c r="L179" s="161">
        <f t="shared" si="43"/>
        <v>44403.4</v>
      </c>
      <c r="M179" s="92">
        <f t="shared" si="45"/>
        <v>-0.25827134479621783</v>
      </c>
      <c r="N179" s="271">
        <f t="shared" si="46"/>
        <v>0.123077319976144</v>
      </c>
      <c r="O179" s="408">
        <f>+Roanne!D179+Montpe!D179+Grenoble!D179+Nancy!D179+STMarcelin!D179+PSA!D179</f>
        <v>43100</v>
      </c>
      <c r="P179" s="25">
        <v>1</v>
      </c>
    </row>
    <row r="180" spans="1:16" s="25" customFormat="1" ht="11.25">
      <c r="A180" s="5" t="s">
        <v>78</v>
      </c>
      <c r="B180" s="160">
        <f>+Roanne!$G180</f>
        <v>0</v>
      </c>
      <c r="C180" s="113">
        <f>+Montpe!$G180</f>
        <v>0</v>
      </c>
      <c r="D180" s="113">
        <f>+Nancy!$G180</f>
        <v>0</v>
      </c>
      <c r="E180" s="113">
        <f>+STMarcelin!$G180</f>
        <v>0</v>
      </c>
      <c r="F180" s="113">
        <f>+Grenoble!$G180</f>
        <v>0</v>
      </c>
      <c r="G180" s="113">
        <f>+PSA!$G180</f>
        <v>0</v>
      </c>
      <c r="H180" s="162">
        <f>+Dijon!$G180</f>
        <v>0</v>
      </c>
      <c r="I180" s="160">
        <f>+Roanne!E180+Montpe!E180+Grenoble!E180+Nancy!E180+STMarcelin!E180+PSA!E180</f>
        <v>5442.7500000000009</v>
      </c>
      <c r="J180" s="135">
        <f>+Roanne!F180+Montpe!F180+Grenoble!F180+Nancy!F180+STMarcelin!F180+PSA!F180+Dijon!F180</f>
        <v>0</v>
      </c>
      <c r="K180" s="113">
        <f t="shared" si="44"/>
        <v>0</v>
      </c>
      <c r="L180" s="161">
        <f t="shared" si="43"/>
        <v>0</v>
      </c>
      <c r="M180" s="92">
        <f t="shared" si="45"/>
        <v>-1</v>
      </c>
      <c r="N180" s="271">
        <f t="shared" si="46"/>
        <v>0</v>
      </c>
      <c r="O180" s="408">
        <f>+Roanne!D180+Montpe!D180+Grenoble!D180+Nancy!D180+STMarcelin!D180+PSA!D180</f>
        <v>0</v>
      </c>
      <c r="P180" s="25">
        <v>1</v>
      </c>
    </row>
    <row r="181" spans="1:16" s="25" customFormat="1" ht="11.25">
      <c r="A181" s="5" t="s">
        <v>327</v>
      </c>
      <c r="B181" s="160">
        <f>+Roanne!$G181</f>
        <v>0</v>
      </c>
      <c r="C181" s="113">
        <f>+Montpe!$G181</f>
        <v>0</v>
      </c>
      <c r="D181" s="113">
        <f>+Nancy!$G181</f>
        <v>0</v>
      </c>
      <c r="E181" s="113">
        <f>+STMarcelin!$G181</f>
        <v>0</v>
      </c>
      <c r="F181" s="113">
        <f>+Grenoble!$G181</f>
        <v>0</v>
      </c>
      <c r="G181" s="113">
        <f>+PSA!$G181</f>
        <v>0</v>
      </c>
      <c r="H181" s="113">
        <f>+Dijon!$G181</f>
        <v>0</v>
      </c>
      <c r="I181" s="160">
        <f>+Roanne!E181+Montpe!E181+Grenoble!E181+Nancy!E181+STMarcelin!E181+PSA!E181</f>
        <v>0</v>
      </c>
      <c r="J181" s="135">
        <f>+Roanne!F181+Montpe!F181+Grenoble!F181+Nancy!F181+STMarcelin!F181+PSA!F181+Dijon!F181</f>
        <v>0</v>
      </c>
      <c r="K181" s="113">
        <f t="shared" si="44"/>
        <v>0</v>
      </c>
      <c r="L181" s="161">
        <f t="shared" si="43"/>
        <v>0</v>
      </c>
      <c r="M181" s="149">
        <f t="shared" si="45"/>
        <v>0</v>
      </c>
      <c r="N181" s="271">
        <f t="shared" si="46"/>
        <v>0</v>
      </c>
      <c r="O181" s="117">
        <f>+Roanne!D181+Montpe!D181+Grenoble!D181+Nancy!D181+STMarcelin!D181+PSA!D181</f>
        <v>0</v>
      </c>
      <c r="P181" s="25">
        <v>0</v>
      </c>
    </row>
    <row r="182" spans="1:16" s="25" customFormat="1" ht="11.25">
      <c r="A182" s="5" t="s">
        <v>82</v>
      </c>
      <c r="B182" s="160">
        <f>+Roanne!$G182</f>
        <v>0</v>
      </c>
      <c r="C182" s="113">
        <f>+Montpe!$G182</f>
        <v>0</v>
      </c>
      <c r="D182" s="113">
        <f>+Nancy!$G182</f>
        <v>0</v>
      </c>
      <c r="E182" s="113">
        <f>+STMarcelin!$G182</f>
        <v>0</v>
      </c>
      <c r="F182" s="113">
        <f>+Grenoble!$G182</f>
        <v>0</v>
      </c>
      <c r="G182" s="113">
        <f>+PSA!$G182</f>
        <v>0</v>
      </c>
      <c r="H182" s="113">
        <f>+Dijon!$G182</f>
        <v>0</v>
      </c>
      <c r="I182" s="160">
        <f>+Roanne!E182+Montpe!E182+Grenoble!E182+Nancy!E182+STMarcelin!E182+PSA!E182</f>
        <v>0</v>
      </c>
      <c r="J182" s="135">
        <f>+Roanne!F182+Montpe!F182+Grenoble!F182+Nancy!F182+STMarcelin!F182+PSA!F182+Dijon!F182</f>
        <v>0</v>
      </c>
      <c r="K182" s="113">
        <f t="shared" si="44"/>
        <v>0</v>
      </c>
      <c r="L182" s="161">
        <f t="shared" si="43"/>
        <v>0</v>
      </c>
      <c r="M182" s="149">
        <f t="shared" si="45"/>
        <v>0</v>
      </c>
      <c r="N182" s="271">
        <f t="shared" si="46"/>
        <v>0</v>
      </c>
      <c r="O182" s="117">
        <f>+Roanne!D182+Montpe!D182+Grenoble!D182+Nancy!D182+STMarcelin!D182+PSA!D182</f>
        <v>0</v>
      </c>
      <c r="P182" s="25">
        <v>0</v>
      </c>
    </row>
    <row r="183" spans="1:16" s="25" customFormat="1" ht="11.25">
      <c r="A183" s="5" t="s">
        <v>331</v>
      </c>
      <c r="B183" s="160">
        <f>+Roanne!$G183</f>
        <v>0</v>
      </c>
      <c r="C183" s="113">
        <f>+Montpe!$G183</f>
        <v>0</v>
      </c>
      <c r="D183" s="113">
        <f>+Nancy!$G183</f>
        <v>0</v>
      </c>
      <c r="E183" s="113">
        <f>+STMarcelin!$G183</f>
        <v>0</v>
      </c>
      <c r="F183" s="113">
        <f>+Grenoble!$G183</f>
        <v>0</v>
      </c>
      <c r="G183" s="113">
        <f>+PSA!$G183</f>
        <v>0</v>
      </c>
      <c r="H183" s="162">
        <f>+Dijon!$G183</f>
        <v>0</v>
      </c>
      <c r="I183" s="160">
        <f>+Roanne!E183+Montpe!E183+Grenoble!E183+Nancy!E183+STMarcelin!E183+PSA!E183</f>
        <v>22500</v>
      </c>
      <c r="J183" s="135">
        <f>+Roanne!F183+Montpe!F183+Grenoble!F183+Nancy!F183+STMarcelin!F183+PSA!F183+Dijon!F183</f>
        <v>0</v>
      </c>
      <c r="K183" s="113">
        <f t="shared" si="44"/>
        <v>0</v>
      </c>
      <c r="L183" s="161">
        <f t="shared" si="43"/>
        <v>0</v>
      </c>
      <c r="M183" s="92">
        <f t="shared" si="45"/>
        <v>-1</v>
      </c>
      <c r="N183" s="271">
        <f t="shared" si="46"/>
        <v>0</v>
      </c>
      <c r="O183" s="408">
        <f>+Roanne!D183+Montpe!D183+Grenoble!D183+Nancy!D183+STMarcelin!D183+PSA!D183</f>
        <v>0</v>
      </c>
      <c r="P183" s="25">
        <v>1</v>
      </c>
    </row>
    <row r="184" spans="1:16" s="2" customFormat="1" ht="11.25">
      <c r="A184" s="5"/>
      <c r="B184" s="160"/>
      <c r="C184" s="113"/>
      <c r="D184" s="113"/>
      <c r="E184" s="113"/>
      <c r="F184" s="113"/>
      <c r="G184" s="113"/>
      <c r="H184" s="113"/>
      <c r="I184" s="92"/>
      <c r="J184" s="143"/>
      <c r="K184" s="149"/>
      <c r="L184" s="186"/>
      <c r="M184" s="149"/>
      <c r="N184" s="254"/>
      <c r="O184" s="115">
        <f>+Roanne!D184+Montpe!D184+Grenoble!D184+Nancy!D184+STMarcelin!D184+PSA!D184</f>
        <v>0</v>
      </c>
      <c r="P184" s="2">
        <v>0</v>
      </c>
    </row>
    <row r="185" spans="1:16" s="2" customFormat="1" ht="11.25">
      <c r="A185" s="13" t="s">
        <v>178</v>
      </c>
      <c r="B185" s="163">
        <f t="shared" ref="B185:K185" si="47">SUM(B169:B184)</f>
        <v>8070.3533333333335</v>
      </c>
      <c r="C185" s="204">
        <f t="shared" si="47"/>
        <v>6295.5374666666667</v>
      </c>
      <c r="D185" s="204">
        <f t="shared" si="47"/>
        <v>4027.4565333333335</v>
      </c>
      <c r="E185" s="204">
        <f t="shared" si="47"/>
        <v>3386.0601333333334</v>
      </c>
      <c r="F185" s="204">
        <f t="shared" si="47"/>
        <v>10561.016666666668</v>
      </c>
      <c r="G185" s="204">
        <f t="shared" si="47"/>
        <v>18450.080800000003</v>
      </c>
      <c r="H185" s="168">
        <f>SUM(H169:H184)</f>
        <v>3879.99</v>
      </c>
      <c r="I185" s="163">
        <f>SUM(I169:I184)</f>
        <v>128864.82</v>
      </c>
      <c r="J185" s="136">
        <f t="shared" si="47"/>
        <v>49505.313333333339</v>
      </c>
      <c r="K185" s="136">
        <f t="shared" si="47"/>
        <v>54670.494933333335</v>
      </c>
      <c r="L185" s="118">
        <f>SUM(L169:L184)</f>
        <v>54670.494933333335</v>
      </c>
      <c r="M185" s="1203">
        <f>+IF((I185)=0,,(J185-I185)/I185)</f>
        <v>-0.61583531228047084</v>
      </c>
      <c r="N185" s="188">
        <f>+IF((J185)=0,,(L185-J185)/J185)</f>
        <v>0.10433590360738373</v>
      </c>
      <c r="O185" s="312">
        <f>+Roanne!D185+Montpe!D185+Grenoble!D185+Nancy!D185+STMarcelin!D185+PSA!D185</f>
        <v>50968.075872725138</v>
      </c>
      <c r="P185" s="2">
        <v>1</v>
      </c>
    </row>
    <row r="186" spans="1:16" s="2" customFormat="1" ht="11.25">
      <c r="A186" s="5"/>
      <c r="B186" s="160"/>
      <c r="C186" s="113"/>
      <c r="D186" s="113"/>
      <c r="E186" s="113"/>
      <c r="F186" s="113"/>
      <c r="G186" s="113"/>
      <c r="H186" s="113"/>
      <c r="I186" s="92"/>
      <c r="J186" s="143"/>
      <c r="K186" s="149"/>
      <c r="L186" s="186"/>
      <c r="M186" s="149"/>
      <c r="N186" s="271"/>
      <c r="O186" s="115">
        <f>+Roanne!D186+Montpe!D186+Grenoble!D186+Nancy!D186+STMarcelin!D186+PSA!D186</f>
        <v>0</v>
      </c>
      <c r="P186" s="2">
        <v>0</v>
      </c>
    </row>
    <row r="187" spans="1:16" s="2" customFormat="1" ht="11.25">
      <c r="A187" s="5" t="s">
        <v>179</v>
      </c>
      <c r="B187" s="160">
        <f>+Roanne!$G187</f>
        <v>0</v>
      </c>
      <c r="C187" s="113">
        <f>+Montpe!$G187</f>
        <v>0</v>
      </c>
      <c r="D187" s="113">
        <f>+Nancy!$G187</f>
        <v>0</v>
      </c>
      <c r="E187" s="113">
        <f>+STMarcelin!$G187</f>
        <v>0</v>
      </c>
      <c r="F187" s="113">
        <f>+Grenoble!$G187</f>
        <v>0</v>
      </c>
      <c r="G187" s="113">
        <f>+PSA!$G187</f>
        <v>0</v>
      </c>
      <c r="H187" s="113">
        <f>+Dijon!$G187</f>
        <v>0</v>
      </c>
      <c r="I187" s="160">
        <f>+Roanne!E187+Montpe!E187+Grenoble!E187+Nancy!E187+STMarcelin!E187+PSA!E187</f>
        <v>0</v>
      </c>
      <c r="J187" s="135">
        <f>+Roanne!F187+Montpe!F187+Grenoble!F187+Nancy!F187+STMarcelin!F187+PSA!F187+Dijon!F187</f>
        <v>2933.3333333333335</v>
      </c>
      <c r="K187" s="113">
        <f>+L187</f>
        <v>0</v>
      </c>
      <c r="L187" s="161">
        <f t="shared" ref="L187:L199" si="48">SUM(B187:H187)</f>
        <v>0</v>
      </c>
      <c r="M187" s="149">
        <f>+IF((I187)=0,,(J187-I187)/I187)</f>
        <v>0</v>
      </c>
      <c r="N187" s="271">
        <f>+IF((J187)=0,,(L187-J187)/J187)</f>
        <v>-1</v>
      </c>
      <c r="O187" s="117">
        <f>+Roanne!D187+Montpe!D187+Grenoble!D187+Nancy!D187+STMarcelin!D187+PSA!D187</f>
        <v>0</v>
      </c>
      <c r="P187" s="2">
        <v>0</v>
      </c>
    </row>
    <row r="188" spans="1:16" s="2" customFormat="1" ht="11.25">
      <c r="A188" s="5" t="s">
        <v>167</v>
      </c>
      <c r="B188" s="160">
        <f>+Roanne!$G188</f>
        <v>0</v>
      </c>
      <c r="C188" s="113">
        <f>+Montpe!$G188</f>
        <v>0</v>
      </c>
      <c r="D188" s="113">
        <f>+Nancy!$G188</f>
        <v>0</v>
      </c>
      <c r="E188" s="113">
        <f>+STMarcelin!$G188</f>
        <v>0</v>
      </c>
      <c r="F188" s="113">
        <f>+Grenoble!$G188</f>
        <v>0</v>
      </c>
      <c r="G188" s="113">
        <f>+PSA!$G188</f>
        <v>0</v>
      </c>
      <c r="H188" s="113">
        <f>+Dijon!$G188</f>
        <v>0</v>
      </c>
      <c r="I188" s="160">
        <f>+Roanne!E188+Montpe!E188+Grenoble!E188+Nancy!E188+STMarcelin!E188+PSA!E188</f>
        <v>0</v>
      </c>
      <c r="J188" s="135">
        <f>+Roanne!F188+Montpe!F188+Grenoble!F188+Nancy!F188+STMarcelin!F188+PSA!F188+Dijon!F188</f>
        <v>0</v>
      </c>
      <c r="K188" s="113">
        <f t="shared" ref="K188:K199" si="49">+L188</f>
        <v>0</v>
      </c>
      <c r="L188" s="161">
        <f t="shared" si="48"/>
        <v>0</v>
      </c>
      <c r="M188" s="149">
        <f t="shared" ref="M188:M199" si="50">+IF((I188)=0,,(J188-I188)/I188)</f>
        <v>0</v>
      </c>
      <c r="N188" s="271">
        <f t="shared" ref="N188:N199" si="51">+IF((J188)=0,,(L188-J188)/J188)</f>
        <v>0</v>
      </c>
      <c r="O188" s="117">
        <f>+Roanne!D188+Montpe!D188+Grenoble!D188+Nancy!D188+STMarcelin!D188+PSA!D188</f>
        <v>0</v>
      </c>
      <c r="P188" s="2">
        <v>0</v>
      </c>
    </row>
    <row r="189" spans="1:16" s="2" customFormat="1" ht="11.25">
      <c r="A189" s="5" t="s">
        <v>180</v>
      </c>
      <c r="B189" s="160">
        <f>+Roanne!$G189</f>
        <v>0</v>
      </c>
      <c r="C189" s="113">
        <f>+Montpe!$G189</f>
        <v>0</v>
      </c>
      <c r="D189" s="113">
        <f>+Nancy!$G189</f>
        <v>0</v>
      </c>
      <c r="E189" s="113">
        <f>+STMarcelin!$G189</f>
        <v>0</v>
      </c>
      <c r="F189" s="113">
        <f>+Grenoble!$G189</f>
        <v>0</v>
      </c>
      <c r="G189" s="113">
        <f>+PSA!$G189</f>
        <v>0</v>
      </c>
      <c r="H189" s="113">
        <f>+Dijon!$G189</f>
        <v>0</v>
      </c>
      <c r="I189" s="160">
        <f>+Roanne!E189+Montpe!E189+Grenoble!E189+Nancy!E189+STMarcelin!E189+PSA!E189</f>
        <v>45348.579999999994</v>
      </c>
      <c r="J189" s="135">
        <f>+Roanne!F189+Montpe!F189+Grenoble!F189+Nancy!F189+STMarcelin!F189+PSA!F189+Dijon!F189</f>
        <v>10257.533333333335</v>
      </c>
      <c r="K189" s="113">
        <f t="shared" si="49"/>
        <v>0</v>
      </c>
      <c r="L189" s="161">
        <f t="shared" si="48"/>
        <v>0</v>
      </c>
      <c r="M189" s="149">
        <f t="shared" si="50"/>
        <v>-0.77380695639569452</v>
      </c>
      <c r="N189" s="271">
        <f t="shared" si="51"/>
        <v>-1</v>
      </c>
      <c r="O189" s="117">
        <f>+Roanne!D189+Montpe!D189+Grenoble!D189+Nancy!D189+STMarcelin!D189+PSA!D189</f>
        <v>0</v>
      </c>
      <c r="P189" s="2">
        <v>0</v>
      </c>
    </row>
    <row r="190" spans="1:16" s="2" customFormat="1" ht="11.25">
      <c r="A190" s="5" t="s">
        <v>181</v>
      </c>
      <c r="B190" s="160">
        <f>+Roanne!$G190</f>
        <v>0</v>
      </c>
      <c r="C190" s="113">
        <f>+Montpe!$G190</f>
        <v>0</v>
      </c>
      <c r="D190" s="113">
        <f>+Nancy!$G190</f>
        <v>0</v>
      </c>
      <c r="E190" s="113">
        <f>+STMarcelin!$G190</f>
        <v>0</v>
      </c>
      <c r="F190" s="113">
        <f>+Grenoble!$G190</f>
        <v>0</v>
      </c>
      <c r="G190" s="113">
        <f>+PSA!$G190</f>
        <v>0</v>
      </c>
      <c r="H190" s="113">
        <f>+Dijon!$G190</f>
        <v>0</v>
      </c>
      <c r="I190" s="160">
        <f>+Roanne!E190+Montpe!E190+Grenoble!E190+Nancy!E190+STMarcelin!E190+PSA!E190</f>
        <v>0</v>
      </c>
      <c r="J190" s="135">
        <f>+Roanne!F190+Montpe!F190+Grenoble!F190+Nancy!F190+STMarcelin!F190+PSA!F190+Dijon!F190</f>
        <v>0</v>
      </c>
      <c r="K190" s="113">
        <f t="shared" si="49"/>
        <v>0</v>
      </c>
      <c r="L190" s="161">
        <f t="shared" si="48"/>
        <v>0</v>
      </c>
      <c r="M190" s="149">
        <f t="shared" si="50"/>
        <v>0</v>
      </c>
      <c r="N190" s="271">
        <f t="shared" si="51"/>
        <v>0</v>
      </c>
      <c r="O190" s="117">
        <f>+Roanne!D190+Montpe!D190+Grenoble!D190+Nancy!D190+STMarcelin!D190+PSA!D190</f>
        <v>0</v>
      </c>
      <c r="P190" s="2">
        <v>0</v>
      </c>
    </row>
    <row r="191" spans="1:16" s="2" customFormat="1" ht="11.25">
      <c r="A191" s="5" t="s">
        <v>182</v>
      </c>
      <c r="B191" s="160">
        <f>+Roanne!$G191</f>
        <v>0</v>
      </c>
      <c r="C191" s="113">
        <f>+Montpe!$G191</f>
        <v>0</v>
      </c>
      <c r="D191" s="113">
        <f>+Nancy!$G191</f>
        <v>0</v>
      </c>
      <c r="E191" s="113">
        <f>+STMarcelin!$G191</f>
        <v>0</v>
      </c>
      <c r="F191" s="113">
        <f>+Grenoble!$G191</f>
        <v>0</v>
      </c>
      <c r="G191" s="113">
        <f>+PSA!$G191</f>
        <v>0</v>
      </c>
      <c r="H191" s="113">
        <f>+Dijon!$G191</f>
        <v>0</v>
      </c>
      <c r="I191" s="160">
        <f>+Roanne!E191+Montpe!E191+Grenoble!E191+Nancy!E191+STMarcelin!E191+PSA!E191</f>
        <v>0</v>
      </c>
      <c r="J191" s="135">
        <f>+Roanne!F191+Montpe!F191+Grenoble!F191+Nancy!F191+STMarcelin!F191+PSA!F191+Dijon!F191</f>
        <v>0</v>
      </c>
      <c r="K191" s="113">
        <f t="shared" si="49"/>
        <v>0</v>
      </c>
      <c r="L191" s="161">
        <f t="shared" si="48"/>
        <v>0</v>
      </c>
      <c r="M191" s="149">
        <f t="shared" si="50"/>
        <v>0</v>
      </c>
      <c r="N191" s="271">
        <f t="shared" si="51"/>
        <v>0</v>
      </c>
      <c r="O191" s="117">
        <f>+Roanne!D191+Montpe!D191+Grenoble!D191+Nancy!D191+STMarcelin!D191+PSA!D191</f>
        <v>0</v>
      </c>
      <c r="P191" s="2">
        <v>0</v>
      </c>
    </row>
    <row r="192" spans="1:16" s="2" customFormat="1" ht="11.25">
      <c r="A192" s="5" t="s">
        <v>183</v>
      </c>
      <c r="B192" s="160">
        <f>+Roanne!$G192</f>
        <v>0</v>
      </c>
      <c r="C192" s="113">
        <f>+Montpe!$G192</f>
        <v>0</v>
      </c>
      <c r="D192" s="113">
        <f>+Nancy!$G192</f>
        <v>0</v>
      </c>
      <c r="E192" s="113">
        <f>+STMarcelin!$G192</f>
        <v>0</v>
      </c>
      <c r="F192" s="113">
        <f>+Grenoble!$G192</f>
        <v>0</v>
      </c>
      <c r="G192" s="113">
        <f>+PSA!$G192</f>
        <v>0</v>
      </c>
      <c r="H192" s="113">
        <f>+Dijon!$G192</f>
        <v>0</v>
      </c>
      <c r="I192" s="160">
        <f>+Roanne!E192+Montpe!E192+Grenoble!E192+Nancy!E192+STMarcelin!E192+PSA!E192</f>
        <v>109.8</v>
      </c>
      <c r="J192" s="135">
        <f>+Roanne!F192+Montpe!F192+Grenoble!F192+Nancy!F192+STMarcelin!F192+PSA!F192+Dijon!F192</f>
        <v>0</v>
      </c>
      <c r="K192" s="113">
        <f t="shared" si="49"/>
        <v>0</v>
      </c>
      <c r="L192" s="161">
        <f t="shared" si="48"/>
        <v>0</v>
      </c>
      <c r="M192" s="149">
        <f t="shared" si="50"/>
        <v>-1</v>
      </c>
      <c r="N192" s="271">
        <f t="shared" si="51"/>
        <v>0</v>
      </c>
      <c r="O192" s="117">
        <f>+Roanne!D192+Montpe!D192+Grenoble!D192+Nancy!D192+STMarcelin!D192+PSA!D192</f>
        <v>0</v>
      </c>
      <c r="P192" s="2">
        <v>0</v>
      </c>
    </row>
    <row r="193" spans="1:16" s="2" customFormat="1" ht="11.25">
      <c r="A193" s="5" t="s">
        <v>184</v>
      </c>
      <c r="B193" s="160">
        <f>+Roanne!$G193</f>
        <v>0</v>
      </c>
      <c r="C193" s="113">
        <f>+Montpe!$G193</f>
        <v>0</v>
      </c>
      <c r="D193" s="113">
        <f>+Nancy!$G193</f>
        <v>0</v>
      </c>
      <c r="E193" s="113">
        <f>+STMarcelin!$G193</f>
        <v>0</v>
      </c>
      <c r="F193" s="113">
        <f>+Grenoble!$G193</f>
        <v>0</v>
      </c>
      <c r="G193" s="113">
        <f>+PSA!$G193</f>
        <v>0</v>
      </c>
      <c r="H193" s="113">
        <f>+Dijon!$G193</f>
        <v>0</v>
      </c>
      <c r="I193" s="160">
        <f>+Roanne!E193+Montpe!E193+Grenoble!E193+Nancy!E193+STMarcelin!E193+PSA!E193</f>
        <v>32900.81</v>
      </c>
      <c r="J193" s="135">
        <f>+Roanne!F193+Montpe!F193+Grenoble!F193+Nancy!F193+STMarcelin!F193+PSA!F193+Dijon!F193</f>
        <v>193.21333333333331</v>
      </c>
      <c r="K193" s="113">
        <f t="shared" si="49"/>
        <v>0</v>
      </c>
      <c r="L193" s="161">
        <f t="shared" si="48"/>
        <v>0</v>
      </c>
      <c r="M193" s="149">
        <f t="shared" si="50"/>
        <v>-0.99412739888977408</v>
      </c>
      <c r="N193" s="271">
        <f t="shared" si="51"/>
        <v>-1</v>
      </c>
      <c r="O193" s="117">
        <f>+Roanne!D193+Montpe!D193+Grenoble!D193+Nancy!D193+STMarcelin!D193+PSA!D193</f>
        <v>0</v>
      </c>
      <c r="P193" s="2">
        <v>0</v>
      </c>
    </row>
    <row r="194" spans="1:16" s="2" customFormat="1" ht="11.25">
      <c r="A194" s="5" t="s">
        <v>342</v>
      </c>
      <c r="B194" s="160">
        <f>+Roanne!$G194</f>
        <v>0</v>
      </c>
      <c r="C194" s="113">
        <f>+Montpe!$G194</f>
        <v>0</v>
      </c>
      <c r="D194" s="113">
        <f>+Nancy!$G194</f>
        <v>0</v>
      </c>
      <c r="E194" s="113">
        <f>+STMarcelin!$G194</f>
        <v>0</v>
      </c>
      <c r="F194" s="113">
        <f>+Grenoble!$G194</f>
        <v>0</v>
      </c>
      <c r="G194" s="113">
        <f>+PSA!$G194</f>
        <v>0</v>
      </c>
      <c r="H194" s="113">
        <f>+Dijon!$G194</f>
        <v>0</v>
      </c>
      <c r="I194" s="160">
        <f>+Roanne!E194+Montpe!E194+Grenoble!E194+Nancy!E194+STMarcelin!E194+PSA!E194</f>
        <v>16001.64</v>
      </c>
      <c r="J194" s="135">
        <f>+Roanne!F194+Montpe!F194+Grenoble!F194+Nancy!F194+STMarcelin!F194+PSA!F194+Dijon!F194</f>
        <v>0</v>
      </c>
      <c r="K194" s="113">
        <f t="shared" si="49"/>
        <v>0</v>
      </c>
      <c r="L194" s="161">
        <f t="shared" si="48"/>
        <v>0</v>
      </c>
      <c r="M194" s="149">
        <f t="shared" si="50"/>
        <v>-1</v>
      </c>
      <c r="N194" s="271">
        <f t="shared" si="51"/>
        <v>0</v>
      </c>
      <c r="O194" s="117">
        <f>+Roanne!D194+Montpe!D194+Grenoble!D194+Nancy!D194+STMarcelin!D194+PSA!D194</f>
        <v>0</v>
      </c>
      <c r="P194" s="2">
        <v>0</v>
      </c>
    </row>
    <row r="195" spans="1:16" s="2" customFormat="1" ht="11.25">
      <c r="A195" s="5" t="s">
        <v>186</v>
      </c>
      <c r="B195" s="160">
        <f>+Roanne!$G195</f>
        <v>0</v>
      </c>
      <c r="C195" s="113">
        <f>+Montpe!$G195</f>
        <v>0</v>
      </c>
      <c r="D195" s="113">
        <f>+Nancy!$G195</f>
        <v>0</v>
      </c>
      <c r="E195" s="113">
        <f>+STMarcelin!$G195</f>
        <v>0</v>
      </c>
      <c r="F195" s="113">
        <f>+Grenoble!$G195</f>
        <v>0</v>
      </c>
      <c r="G195" s="113">
        <f>+PSA!$G195</f>
        <v>0</v>
      </c>
      <c r="H195" s="113">
        <f>+Dijon!$G195</f>
        <v>0</v>
      </c>
      <c r="I195" s="160">
        <f>+Roanne!E195+Montpe!E195+Grenoble!E195+Nancy!E195+STMarcelin!E195+PSA!E195</f>
        <v>0</v>
      </c>
      <c r="J195" s="135">
        <f>+Roanne!F195+Montpe!F195+Grenoble!F195+Nancy!F195+STMarcelin!F195+PSA!F195+Dijon!F195</f>
        <v>0</v>
      </c>
      <c r="K195" s="113">
        <f t="shared" si="49"/>
        <v>0</v>
      </c>
      <c r="L195" s="161">
        <f t="shared" si="48"/>
        <v>0</v>
      </c>
      <c r="M195" s="149">
        <f t="shared" si="50"/>
        <v>0</v>
      </c>
      <c r="N195" s="271">
        <f t="shared" si="51"/>
        <v>0</v>
      </c>
      <c r="O195" s="117">
        <f>+Roanne!D195+Montpe!D195+Grenoble!D195+Nancy!D195+STMarcelin!D195+PSA!D195</f>
        <v>0</v>
      </c>
      <c r="P195" s="2">
        <v>0</v>
      </c>
    </row>
    <row r="196" spans="1:16" s="2" customFormat="1" ht="11.25">
      <c r="A196" s="5" t="s">
        <v>187</v>
      </c>
      <c r="B196" s="160">
        <f>+Roanne!$G196</f>
        <v>0</v>
      </c>
      <c r="C196" s="113">
        <f>+Montpe!$G196</f>
        <v>0</v>
      </c>
      <c r="D196" s="113">
        <f>+Nancy!$G196</f>
        <v>0</v>
      </c>
      <c r="E196" s="113">
        <f>+STMarcelin!$G196</f>
        <v>0</v>
      </c>
      <c r="F196" s="113">
        <f>+Grenoble!$G196</f>
        <v>0</v>
      </c>
      <c r="G196" s="113">
        <f>+PSA!$G196</f>
        <v>0</v>
      </c>
      <c r="H196" s="113">
        <f>+Dijon!$G196</f>
        <v>0</v>
      </c>
      <c r="I196" s="160">
        <f>+Roanne!E196+Montpe!E196+Grenoble!E196+Nancy!E196+STMarcelin!E196+PSA!E196</f>
        <v>0</v>
      </c>
      <c r="J196" s="135">
        <f>+Roanne!F196+Montpe!F196+Grenoble!F196+Nancy!F196+STMarcelin!F196+PSA!F196+Dijon!F196</f>
        <v>0</v>
      </c>
      <c r="K196" s="113">
        <f t="shared" si="49"/>
        <v>0</v>
      </c>
      <c r="L196" s="161">
        <f t="shared" si="48"/>
        <v>0</v>
      </c>
      <c r="M196" s="149">
        <f t="shared" si="50"/>
        <v>0</v>
      </c>
      <c r="N196" s="271">
        <f t="shared" si="51"/>
        <v>0</v>
      </c>
      <c r="O196" s="117">
        <f>+Roanne!D196+Montpe!D196+Grenoble!D196+Nancy!D196+STMarcelin!D196+PSA!D196</f>
        <v>0</v>
      </c>
      <c r="P196" s="2">
        <v>0</v>
      </c>
    </row>
    <row r="197" spans="1:16" s="2" customFormat="1" ht="11.25">
      <c r="A197" s="5" t="s">
        <v>328</v>
      </c>
      <c r="B197" s="160">
        <f>+Roanne!$G197</f>
        <v>0</v>
      </c>
      <c r="C197" s="113">
        <f>+Montpe!$G197</f>
        <v>0</v>
      </c>
      <c r="D197" s="113">
        <f>+Nancy!$G197</f>
        <v>0</v>
      </c>
      <c r="E197" s="113">
        <f>+STMarcelin!$G197</f>
        <v>0</v>
      </c>
      <c r="F197" s="113">
        <f>+Grenoble!$G197</f>
        <v>0</v>
      </c>
      <c r="G197" s="113">
        <f>+PSA!$G197</f>
        <v>0</v>
      </c>
      <c r="H197" s="113">
        <f>+Dijon!$G197</f>
        <v>0</v>
      </c>
      <c r="I197" s="160">
        <f>+Roanne!E197+Montpe!E197+Grenoble!E197+Nancy!E197+STMarcelin!E197+PSA!E197</f>
        <v>33867.47</v>
      </c>
      <c r="J197" s="135">
        <f>+Roanne!F197+Montpe!F197+Grenoble!F197+Nancy!F197+STMarcelin!F197+PSA!F197+Dijon!F197</f>
        <v>93.333333333333329</v>
      </c>
      <c r="K197" s="113">
        <f t="shared" si="49"/>
        <v>0</v>
      </c>
      <c r="L197" s="161">
        <f t="shared" si="48"/>
        <v>0</v>
      </c>
      <c r="M197" s="149">
        <f t="shared" si="50"/>
        <v>-0.99724415985801906</v>
      </c>
      <c r="N197" s="271">
        <f t="shared" si="51"/>
        <v>-1</v>
      </c>
      <c r="O197" s="117">
        <f>+Roanne!D197+Montpe!D197+Grenoble!D197+Nancy!D197+STMarcelin!D197+PSA!D197</f>
        <v>0</v>
      </c>
      <c r="P197" s="2">
        <v>0</v>
      </c>
    </row>
    <row r="198" spans="1:16" s="2" customFormat="1" ht="11.25">
      <c r="A198" s="5" t="s">
        <v>344</v>
      </c>
      <c r="B198" s="160">
        <f>+Roanne!$G198</f>
        <v>0</v>
      </c>
      <c r="C198" s="113">
        <f>+Montpe!$G198</f>
        <v>0</v>
      </c>
      <c r="D198" s="113">
        <f>+Nancy!$G198</f>
        <v>0</v>
      </c>
      <c r="E198" s="113">
        <f>+STMarcelin!$G198</f>
        <v>0</v>
      </c>
      <c r="F198" s="113">
        <f>+Grenoble!$G198</f>
        <v>0</v>
      </c>
      <c r="G198" s="113">
        <f>+PSA!$G198</f>
        <v>0</v>
      </c>
      <c r="H198" s="113">
        <f>+Dijon!$G198</f>
        <v>0</v>
      </c>
      <c r="I198" s="160">
        <f>+Roanne!E198+Montpe!E198+Grenoble!E198+Nancy!E198+STMarcelin!E198+PSA!E198</f>
        <v>0</v>
      </c>
      <c r="J198" s="135">
        <f>+Roanne!F198+Montpe!F198+Grenoble!F198+Nancy!F198+STMarcelin!F198+PSA!F198+Dijon!F198</f>
        <v>929.33333333333337</v>
      </c>
      <c r="K198" s="113">
        <f t="shared" si="49"/>
        <v>0</v>
      </c>
      <c r="L198" s="161">
        <f t="shared" si="48"/>
        <v>0</v>
      </c>
      <c r="M198" s="149">
        <f t="shared" si="50"/>
        <v>0</v>
      </c>
      <c r="N198" s="271">
        <f t="shared" si="51"/>
        <v>-1</v>
      </c>
      <c r="O198" s="117">
        <f>+Roanne!D198+Montpe!D198+Grenoble!D198+Nancy!D198+STMarcelin!D198+PSA!D198</f>
        <v>0</v>
      </c>
      <c r="P198" s="2">
        <v>0</v>
      </c>
    </row>
    <row r="199" spans="1:16" s="2" customFormat="1" ht="11.25">
      <c r="A199" s="5" t="s">
        <v>77</v>
      </c>
      <c r="B199" s="160">
        <f>+Roanne!$G199</f>
        <v>0</v>
      </c>
      <c r="C199" s="113">
        <f>+Montpe!$G199</f>
        <v>0</v>
      </c>
      <c r="D199" s="113">
        <f>+Nancy!$G199</f>
        <v>0</v>
      </c>
      <c r="E199" s="113">
        <f>+STMarcelin!$G199</f>
        <v>0</v>
      </c>
      <c r="F199" s="113">
        <f>+Grenoble!$G199</f>
        <v>0</v>
      </c>
      <c r="G199" s="113">
        <f>+PSA!$G199</f>
        <v>0</v>
      </c>
      <c r="H199" s="113">
        <f>+Dijon!$G199</f>
        <v>0</v>
      </c>
      <c r="I199" s="160">
        <f>+Roanne!E199+Montpe!E199+Grenoble!E199+Nancy!E199+STMarcelin!E199+PSA!E199</f>
        <v>11852.14</v>
      </c>
      <c r="J199" s="135">
        <f>+Roanne!F199+Montpe!F199+Grenoble!F199+Nancy!F199+STMarcelin!F199+PSA!F199+Dijon!F199</f>
        <v>0</v>
      </c>
      <c r="K199" s="113">
        <f t="shared" si="49"/>
        <v>0</v>
      </c>
      <c r="L199" s="161">
        <f t="shared" si="48"/>
        <v>0</v>
      </c>
      <c r="M199" s="149">
        <f t="shared" si="50"/>
        <v>-1</v>
      </c>
      <c r="N199" s="271">
        <f t="shared" si="51"/>
        <v>0</v>
      </c>
      <c r="O199" s="117">
        <f>+Roanne!D199+Montpe!D199+Grenoble!D199+Nancy!D199+STMarcelin!D199+PSA!D199</f>
        <v>0</v>
      </c>
      <c r="P199" s="2">
        <v>0</v>
      </c>
    </row>
    <row r="200" spans="1:16" s="2" customFormat="1">
      <c r="A200" s="5"/>
      <c r="B200" s="160"/>
      <c r="C200" s="113"/>
      <c r="D200" s="113"/>
      <c r="E200" s="113"/>
      <c r="F200" s="113"/>
      <c r="G200" s="113"/>
      <c r="H200" s="113"/>
      <c r="I200" s="237"/>
      <c r="J200" s="134"/>
      <c r="K200" s="25"/>
      <c r="L200" s="154"/>
      <c r="M200" s="149"/>
      <c r="N200" s="254"/>
      <c r="O200" s="115">
        <f>+Roanne!D200+Montpe!D200+Grenoble!D200+Nancy!D200+STMarcelin!D200+PSA!D200</f>
        <v>0</v>
      </c>
      <c r="P200" s="26">
        <v>0</v>
      </c>
    </row>
    <row r="201" spans="1:16" s="2" customFormat="1">
      <c r="A201" s="13" t="s">
        <v>188</v>
      </c>
      <c r="B201" s="163">
        <f t="shared" ref="B201:K201" si="52">SUM(B186:B200)</f>
        <v>0</v>
      </c>
      <c r="C201" s="204">
        <f t="shared" si="52"/>
        <v>0</v>
      </c>
      <c r="D201" s="204">
        <f t="shared" si="52"/>
        <v>0</v>
      </c>
      <c r="E201" s="204">
        <f t="shared" si="52"/>
        <v>0</v>
      </c>
      <c r="F201" s="204">
        <f t="shared" si="52"/>
        <v>0</v>
      </c>
      <c r="G201" s="204">
        <f t="shared" si="52"/>
        <v>0</v>
      </c>
      <c r="H201" s="168">
        <f>SUM(H186:H200)</f>
        <v>0</v>
      </c>
      <c r="I201" s="163">
        <f>SUM(I186:I200)</f>
        <v>140080.44</v>
      </c>
      <c r="J201" s="136">
        <f t="shared" si="52"/>
        <v>14406.74666666667</v>
      </c>
      <c r="K201" s="136">
        <f t="shared" si="52"/>
        <v>0</v>
      </c>
      <c r="L201" s="168">
        <f>SUM(L186:L200)</f>
        <v>0</v>
      </c>
      <c r="M201" s="1203">
        <f>+IF((I201)=0,,(J201-I201)/I201)</f>
        <v>-0.89715375917817886</v>
      </c>
      <c r="N201" s="188">
        <f>+IF((J201)=0,,(L201-J201)/J201)</f>
        <v>-1</v>
      </c>
      <c r="O201" s="312">
        <f>+Roanne!D201+Montpe!D201+Grenoble!D201+Nancy!D201+STMarcelin!D201+PSA!D201</f>
        <v>0</v>
      </c>
      <c r="P201" s="26">
        <v>1</v>
      </c>
    </row>
    <row r="202" spans="1:16" s="2" customFormat="1">
      <c r="A202" s="5"/>
      <c r="B202" s="160"/>
      <c r="C202" s="113"/>
      <c r="D202" s="113"/>
      <c r="E202" s="113"/>
      <c r="F202" s="113"/>
      <c r="G202" s="113"/>
      <c r="H202" s="113"/>
      <c r="I202" s="237"/>
      <c r="J202" s="134"/>
      <c r="K202" s="25"/>
      <c r="L202" s="154"/>
      <c r="M202" s="149"/>
      <c r="N202" s="254"/>
      <c r="O202" s="115">
        <f>+Roanne!D202+Montpe!D202+Grenoble!D202+Nancy!D202+STMarcelin!D202+PSA!D202</f>
        <v>0</v>
      </c>
      <c r="P202" s="26">
        <v>0</v>
      </c>
    </row>
    <row r="203" spans="1:16" s="2" customFormat="1">
      <c r="A203" s="14" t="s">
        <v>189</v>
      </c>
      <c r="B203" s="175">
        <f t="shared" ref="B203:K203" si="53">+B103+B116+B129+B154+B168+B185-B201</f>
        <v>386370.8123054555</v>
      </c>
      <c r="C203" s="206">
        <f t="shared" si="53"/>
        <v>283748.40856716613</v>
      </c>
      <c r="D203" s="206">
        <f t="shared" si="53"/>
        <v>310313.09137855569</v>
      </c>
      <c r="E203" s="206">
        <f t="shared" si="53"/>
        <v>147393.49207140171</v>
      </c>
      <c r="F203" s="206">
        <f>+F103+F116+F129+F154+F168+F185-F201</f>
        <v>524772.12931161385</v>
      </c>
      <c r="G203" s="206">
        <f t="shared" si="53"/>
        <v>673979.97194282175</v>
      </c>
      <c r="H203" s="176">
        <f>+H103+H116+H129+H154+H168+H185-H201</f>
        <v>224538.03951560438</v>
      </c>
      <c r="I203" s="175">
        <f>+I103+I116+I129+I154+I168+I185-I201</f>
        <v>2306072.3391199997</v>
      </c>
      <c r="J203" s="145">
        <f t="shared" si="53"/>
        <v>2456181.1093013338</v>
      </c>
      <c r="K203" s="145">
        <f t="shared" si="53"/>
        <v>2551115.9450926194</v>
      </c>
      <c r="L203" s="176">
        <f>+L103+L116+L129+L154+L168+L185-L201</f>
        <v>2551115.9450926194</v>
      </c>
      <c r="M203" s="208">
        <f>+IF((I203)=0,,(J203-I203)/I203)</f>
        <v>6.5092828024040136E-2</v>
      </c>
      <c r="N203" s="282">
        <f>+IF((J203)=0,,(L203-J203)/J203)</f>
        <v>3.865139888576459E-2</v>
      </c>
      <c r="O203" s="641">
        <f>+Roanne!D203+Montpe!D203+Grenoble!D203+Nancy!D203+STMarcelin!D203+PSA!D203</f>
        <v>2453364.4637628999</v>
      </c>
      <c r="P203" s="26">
        <v>1</v>
      </c>
    </row>
    <row r="204" spans="1:16" s="2" customFormat="1">
      <c r="A204" s="5"/>
      <c r="B204" s="160"/>
      <c r="C204" s="113"/>
      <c r="D204" s="113"/>
      <c r="E204" s="113"/>
      <c r="F204" s="113"/>
      <c r="G204" s="113"/>
      <c r="H204" s="113"/>
      <c r="I204" s="237"/>
      <c r="J204" s="134"/>
      <c r="K204" s="25"/>
      <c r="L204" s="154"/>
      <c r="M204" s="149"/>
      <c r="N204" s="254"/>
      <c r="O204" s="115">
        <f>+Roanne!D204+Montpe!D204+Grenoble!D204+Nancy!D204+STMarcelin!D204+PSA!D204</f>
        <v>0</v>
      </c>
      <c r="P204" s="26">
        <v>0</v>
      </c>
    </row>
    <row r="205" spans="1:16" s="2" customFormat="1">
      <c r="A205" s="12" t="s">
        <v>228</v>
      </c>
      <c r="B205" s="177">
        <f t="shared" ref="B205:K205" si="54">+B62-B203</f>
        <v>161034.23097004188</v>
      </c>
      <c r="C205" s="228">
        <f t="shared" si="54"/>
        <v>15415.375916598889</v>
      </c>
      <c r="D205" s="228">
        <f t="shared" si="54"/>
        <v>37426.887971400574</v>
      </c>
      <c r="E205" s="228">
        <f t="shared" si="54"/>
        <v>-516.6938467847649</v>
      </c>
      <c r="F205" s="228">
        <f t="shared" si="54"/>
        <v>227088.14793108485</v>
      </c>
      <c r="G205" s="228">
        <f t="shared" si="54"/>
        <v>111042.59311978007</v>
      </c>
      <c r="H205" s="178">
        <f>+H62-H203</f>
        <v>-2290.7532156044035</v>
      </c>
      <c r="I205" s="177">
        <f>+I53-I203</f>
        <v>661150.6316800015</v>
      </c>
      <c r="J205" s="146">
        <f t="shared" si="54"/>
        <v>372921.88488351507</v>
      </c>
      <c r="K205" s="146">
        <f t="shared" si="54"/>
        <v>549199.78884651652</v>
      </c>
      <c r="L205" s="178">
        <f>+L62-L203</f>
        <v>549199.78884651652</v>
      </c>
      <c r="M205" s="225">
        <f>+IF((I205)=0,,(J205-I205)/I205)</f>
        <v>-0.435950194986715</v>
      </c>
      <c r="N205" s="283">
        <f>+IF((J205)=0,,(L205-J205)/J205)</f>
        <v>0.47269391019532997</v>
      </c>
      <c r="O205" s="645">
        <f>+Roanne!D205+Montpe!D205+Grenoble!D205+Nancy!D205+STMarcelin!D205+PSA!D205</f>
        <v>552092.91063710011</v>
      </c>
      <c r="P205" s="26">
        <v>1</v>
      </c>
    </row>
    <row r="206" spans="1:16" s="2" customFormat="1">
      <c r="A206" s="5"/>
      <c r="B206" s="160"/>
      <c r="C206" s="113"/>
      <c r="D206" s="113"/>
      <c r="E206" s="113"/>
      <c r="F206" s="113"/>
      <c r="G206" s="113"/>
      <c r="H206" s="113"/>
      <c r="I206" s="237"/>
      <c r="J206" s="134"/>
      <c r="K206" s="25"/>
      <c r="L206" s="154"/>
      <c r="M206" s="149"/>
      <c r="N206" s="254"/>
      <c r="O206" s="115">
        <f>+Roanne!D206+Montpe!D206+Grenoble!D206+Nancy!D206+STMarcelin!D206+PSA!D206</f>
        <v>0</v>
      </c>
      <c r="P206" s="26">
        <v>0</v>
      </c>
    </row>
    <row r="207" spans="1:16" s="2" customFormat="1">
      <c r="A207" s="63" t="s">
        <v>251</v>
      </c>
      <c r="B207" s="179">
        <f>+Roanne!$G207</f>
        <v>5376.1877231963244</v>
      </c>
      <c r="C207" s="229">
        <f>+Montpe!$G207</f>
        <v>3282.9554970957706</v>
      </c>
      <c r="D207" s="229">
        <f>+Nancy!$G207</f>
        <v>3457.423059293199</v>
      </c>
      <c r="E207" s="229">
        <f>+STMarcelin!$G207</f>
        <v>1243.9879366999451</v>
      </c>
      <c r="F207" s="229">
        <f>+Grenoble!$G207</f>
        <v>7802.8735947064988</v>
      </c>
      <c r="G207" s="229">
        <f>+PSA!$G207</f>
        <v>8898.9282400370121</v>
      </c>
      <c r="H207" s="210">
        <f>+Dijon!$G207</f>
        <v>2464.6022468146016</v>
      </c>
      <c r="I207" s="179">
        <f>+Roanne!E207+Montpe!E207+Grenoble!E207+Nancy!E207+STMarcelin!E207+PSA!E207</f>
        <v>16999.065282087628</v>
      </c>
      <c r="J207" s="150">
        <f>+Roanne!F207+Montpe!F207+Grenoble!F207+Nancy!F207+STMarcelin!F207+PSA!F207+Dijon!F207</f>
        <v>21592.010928884902</v>
      </c>
      <c r="K207" s="229">
        <f>+Repart!Q29</f>
        <v>32526.95829784335</v>
      </c>
      <c r="L207" s="128">
        <f>SUM(B207:H207)</f>
        <v>32526.95829784335</v>
      </c>
      <c r="M207" s="101">
        <f>+IF((I207)=0,,(J207-I207)/I207)</f>
        <v>0.27018812920478541</v>
      </c>
      <c r="N207" s="194">
        <f>+IF((J207)=0,,(L207-J207)/J207)</f>
        <v>0.50643487561087364</v>
      </c>
      <c r="O207" s="315">
        <f>+Roanne!D207+Montpe!D207+Grenoble!D207+Nancy!D207+STMarcelin!D207+PSA!D207</f>
        <v>48744.44294194418</v>
      </c>
      <c r="P207" s="26">
        <v>1</v>
      </c>
    </row>
    <row r="208" spans="1:16" s="2" customFormat="1">
      <c r="A208" s="5"/>
      <c r="B208" s="160"/>
      <c r="C208" s="113"/>
      <c r="D208" s="113"/>
      <c r="E208" s="113"/>
      <c r="F208" s="113"/>
      <c r="G208" s="113"/>
      <c r="H208" s="113"/>
      <c r="I208" s="237"/>
      <c r="J208" s="134"/>
      <c r="K208" s="25"/>
      <c r="L208" s="154"/>
      <c r="M208" s="149"/>
      <c r="N208" s="254"/>
      <c r="O208" s="115">
        <f>+Roanne!D208+Montpe!D208+Grenoble!D208+Nancy!D208+STMarcelin!D208+PSA!D208</f>
        <v>0</v>
      </c>
      <c r="P208" s="26">
        <v>0</v>
      </c>
    </row>
    <row r="209" spans="1:16" s="2" customFormat="1">
      <c r="A209" s="12" t="s">
        <v>190</v>
      </c>
      <c r="B209" s="177">
        <f t="shared" ref="B209:K209" si="55">+B205-B207</f>
        <v>155658.04324684557</v>
      </c>
      <c r="C209" s="228">
        <f t="shared" si="55"/>
        <v>12132.420419503118</v>
      </c>
      <c r="D209" s="228">
        <f t="shared" si="55"/>
        <v>33969.464912107374</v>
      </c>
      <c r="E209" s="228">
        <f>+E205-E207</f>
        <v>-1760.68178348471</v>
      </c>
      <c r="F209" s="228">
        <f>+F205-F207</f>
        <v>219285.27433637835</v>
      </c>
      <c r="G209" s="228">
        <f t="shared" si="55"/>
        <v>102143.66487974305</v>
      </c>
      <c r="H209" s="178">
        <f>+H205-H207</f>
        <v>-4755.3554624190056</v>
      </c>
      <c r="I209" s="177">
        <f>+I205-I207</f>
        <v>644151.56639791385</v>
      </c>
      <c r="J209" s="146">
        <f t="shared" si="55"/>
        <v>351329.87395463017</v>
      </c>
      <c r="K209" s="146">
        <f t="shared" si="55"/>
        <v>516672.83054867317</v>
      </c>
      <c r="L209" s="178">
        <f>+L205-L207</f>
        <v>516672.83054867317</v>
      </c>
      <c r="M209" s="225">
        <f>+IF((I209)=0,,(J209-I209)/I209)</f>
        <v>-0.45458508170792522</v>
      </c>
      <c r="N209" s="283">
        <f>+IF((J209)=0,,(L209-J209)/J209)</f>
        <v>0.47062025990819945</v>
      </c>
      <c r="O209" s="645">
        <f>+Roanne!D209+Montpe!D209+Grenoble!D209+Nancy!D209+STMarcelin!D209+PSA!D209</f>
        <v>503348.46769515588</v>
      </c>
      <c r="P209" s="26">
        <v>1</v>
      </c>
    </row>
    <row r="210" spans="1:16" s="2" customFormat="1">
      <c r="A210" s="5"/>
      <c r="B210" s="160"/>
      <c r="C210" s="113"/>
      <c r="D210" s="113"/>
      <c r="E210" s="113"/>
      <c r="F210" s="113"/>
      <c r="G210" s="113"/>
      <c r="H210" s="113"/>
      <c r="I210" s="237"/>
      <c r="J210" s="134"/>
      <c r="K210" s="25"/>
      <c r="L210" s="154"/>
      <c r="M210" s="149"/>
      <c r="N210" s="254"/>
      <c r="O210" s="115">
        <f>+Roanne!D210+Montpe!D210+Grenoble!D210+Nancy!D210+STMarcelin!D210+PSA!D210</f>
        <v>0</v>
      </c>
      <c r="P210" s="26">
        <v>0</v>
      </c>
    </row>
    <row r="211" spans="1:16" s="25" customFormat="1">
      <c r="A211" s="5" t="s">
        <v>191</v>
      </c>
      <c r="B211" s="160">
        <f>+Roanne!$G211</f>
        <v>9644.6846793104778</v>
      </c>
      <c r="C211" s="113">
        <f>+Montpe!$G211</f>
        <v>9644.6846793104778</v>
      </c>
      <c r="D211" s="113">
        <f>+Nancy!$G211</f>
        <v>9644.6846793104778</v>
      </c>
      <c r="E211" s="113">
        <f>+STMarcelin!$G211</f>
        <v>9644.6846793104778</v>
      </c>
      <c r="F211" s="113">
        <f>+Grenoble!$G211</f>
        <v>9644.6846793104778</v>
      </c>
      <c r="G211" s="113">
        <f>+PSA!$G211</f>
        <v>9644.6846793104778</v>
      </c>
      <c r="H211" s="162">
        <f>+Dijon!$G211</f>
        <v>9644.6846793104778</v>
      </c>
      <c r="I211" s="160">
        <f>+Roanne!E211+Montpe!E211+Grenoble!E211+Nancy!E211+STMarcelin!E211+PSA!E211</f>
        <v>48570.516431999997</v>
      </c>
      <c r="J211" s="135">
        <f>+Roanne!F211+Montpe!F211+Grenoble!F211+Nancy!F211+STMarcelin!F211+PSA!F211+Dijon!F211</f>
        <v>60695.198077419336</v>
      </c>
      <c r="K211" s="113">
        <f>+Repart!O28</f>
        <v>67512.792755173345</v>
      </c>
      <c r="L211" s="161">
        <f>SUM(B211:H211)</f>
        <v>67512.792755173345</v>
      </c>
      <c r="M211" s="92">
        <f>+IF((I211)=0,,(J211-I211)/I211)</f>
        <v>0.24963048647823652</v>
      </c>
      <c r="N211" s="271">
        <f>+IF((J211)=0,,(L211-J211)/J211)</f>
        <v>0.11232510797737036</v>
      </c>
      <c r="O211" s="408">
        <f>+Roanne!D211+Montpe!D211+Grenoble!D211+Nancy!D211+STMarcelin!D211+PSA!D211</f>
        <v>54156.223329243054</v>
      </c>
      <c r="P211" s="322">
        <v>1</v>
      </c>
    </row>
    <row r="212" spans="1:16" s="522" customFormat="1">
      <c r="A212" s="5" t="s">
        <v>192</v>
      </c>
      <c r="B212" s="160">
        <f>+Roanne!$G212</f>
        <v>57924.349419000675</v>
      </c>
      <c r="C212" s="113">
        <f>+Montpe!$G212</f>
        <v>35371.358131770394</v>
      </c>
      <c r="D212" s="113">
        <f>+Nancy!$G212</f>
        <v>37251.113928131759</v>
      </c>
      <c r="E212" s="113">
        <f>+STMarcelin!$G212</f>
        <v>13403.027503583691</v>
      </c>
      <c r="F212" s="113">
        <f>+Grenoble!$G212</f>
        <v>84070.051092516165</v>
      </c>
      <c r="G212" s="113">
        <f>+PSA!$G212</f>
        <v>95879.209464072715</v>
      </c>
      <c r="H212" s="162">
        <f>+Dijon!$G212</f>
        <v>26554.221889868688</v>
      </c>
      <c r="I212" s="160">
        <f>+Roanne!E212+Montpe!E212+Grenoble!E212+Nancy!E212+STMarcelin!E212+PSA!E212</f>
        <v>288651.37691059249</v>
      </c>
      <c r="J212" s="135">
        <f>+Roanne!F212+Montpe!F212+Grenoble!F212+Nancy!F212+STMarcelin!F212+PSA!F212+Dijon!F212</f>
        <v>323446.90531831747</v>
      </c>
      <c r="K212" s="113">
        <f>+Repart!P29</f>
        <v>350453.33142894408</v>
      </c>
      <c r="L212" s="161">
        <f>SUM(B212:H212)</f>
        <v>350453.33142894408</v>
      </c>
      <c r="M212" s="92">
        <f>+IF((I212)=0,,(J212-I212)/I212)</f>
        <v>0.12054516690735421</v>
      </c>
      <c r="N212" s="271">
        <f>+IF((J212)=0,,(L212-J212)/J212)</f>
        <v>8.3495701045735671E-2</v>
      </c>
      <c r="O212" s="408">
        <f>+Roanne!D212+Montpe!D212+Grenoble!D212+Nancy!D212+STMarcelin!D212+PSA!D212</f>
        <v>308750.28514894424</v>
      </c>
      <c r="P212" s="322">
        <v>1</v>
      </c>
    </row>
    <row r="213" spans="1:16" s="522" customFormat="1">
      <c r="A213" s="5" t="s">
        <v>193</v>
      </c>
      <c r="B213" s="160">
        <f>+Roanne!$G213</f>
        <v>-15748.474896</v>
      </c>
      <c r="C213" s="113">
        <f>+Montpe!$G213</f>
        <v>-7892.5483000000013</v>
      </c>
      <c r="D213" s="113">
        <f>+Nancy!$G213</f>
        <v>-7928.3553999999995</v>
      </c>
      <c r="E213" s="113">
        <f>+STMarcelin!$G213</f>
        <v>-2588.9995809999996</v>
      </c>
      <c r="F213" s="113">
        <f>+Grenoble!$G213</f>
        <v>-19007.070865999998</v>
      </c>
      <c r="G213" s="113">
        <f>+PSA!$G213</f>
        <v>-17457.422236800005</v>
      </c>
      <c r="H213" s="113">
        <f>+Dijon!$G213</f>
        <v>-6927.8636000000015</v>
      </c>
      <c r="I213" s="160">
        <f>+Roanne!E213+Montpe!E213+Grenoble!E213+Nancy!E213+STMarcelin!E213+PSA!E213</f>
        <v>-68481.09</v>
      </c>
      <c r="J213" s="135">
        <f>+Roanne!F213+Montpe!F213+Grenoble!F213+Nancy!F213+STMarcelin!F213+PSA!F213+Dijon!F213</f>
        <v>-67288.653333333335</v>
      </c>
      <c r="K213" s="113">
        <f>+L213</f>
        <v>-77550.734879800002</v>
      </c>
      <c r="L213" s="161">
        <f>SUM(B213:H213)</f>
        <v>-77550.734879800002</v>
      </c>
      <c r="M213" s="149">
        <f>+IF((I213)=0,,(J213-I213)/I213)</f>
        <v>-1.7412641455716624E-2</v>
      </c>
      <c r="N213" s="271">
        <f>+IF((J213)=0,,(L213-J213)/J213)</f>
        <v>0.15250835078583827</v>
      </c>
      <c r="O213" s="117">
        <f>+Roanne!D213+Montpe!D213+Grenoble!D213+Nancy!D213+STMarcelin!D213+PSA!D213</f>
        <v>-74558.28</v>
      </c>
      <c r="P213" s="322">
        <v>0</v>
      </c>
    </row>
    <row r="214" spans="1:16">
      <c r="A214" s="5"/>
      <c r="B214" s="160"/>
      <c r="C214" s="113"/>
      <c r="D214" s="113"/>
      <c r="E214" s="113"/>
      <c r="F214" s="113"/>
      <c r="G214" s="113"/>
      <c r="H214" s="113"/>
      <c r="I214" s="237"/>
      <c r="J214" s="134"/>
      <c r="K214" s="25"/>
      <c r="L214" s="154"/>
      <c r="M214" s="149"/>
      <c r="N214" s="254"/>
      <c r="O214" s="115">
        <f>+Roanne!D214+Montpe!D214+Grenoble!D214+Nancy!D214+STMarcelin!D214+PSA!D214</f>
        <v>0</v>
      </c>
      <c r="P214" s="26">
        <v>0</v>
      </c>
    </row>
    <row r="215" spans="1:16">
      <c r="A215" s="20" t="s">
        <v>194</v>
      </c>
      <c r="B215" s="180">
        <f t="shared" ref="B215:K215" si="56">SUM(B210:B213)</f>
        <v>51820.559202311153</v>
      </c>
      <c r="C215" s="230">
        <f t="shared" si="56"/>
        <v>37123.494511080869</v>
      </c>
      <c r="D215" s="230">
        <f t="shared" si="56"/>
        <v>38967.443207442237</v>
      </c>
      <c r="E215" s="230">
        <f>SUM(E210:E213)</f>
        <v>20458.712601894167</v>
      </c>
      <c r="F215" s="230">
        <f>SUM(F210:F213)</f>
        <v>74707.664905826648</v>
      </c>
      <c r="G215" s="230">
        <f t="shared" si="56"/>
        <v>88066.471906583189</v>
      </c>
      <c r="H215" s="181">
        <f>SUM(H210:H213)</f>
        <v>29271.042969179161</v>
      </c>
      <c r="I215" s="180">
        <f>SUM(I210:I213)</f>
        <v>268740.80334259244</v>
      </c>
      <c r="J215" s="148">
        <f t="shared" si="56"/>
        <v>316853.45006240346</v>
      </c>
      <c r="K215" s="148">
        <f t="shared" si="56"/>
        <v>340415.38930431742</v>
      </c>
      <c r="L215" s="181">
        <f>SUM(L210:L213)</f>
        <v>340415.38930431742</v>
      </c>
      <c r="M215" s="101">
        <f>+IF((I215)=0,,(J215-I215)/I215)</f>
        <v>0.17902992817386468</v>
      </c>
      <c r="N215" s="194">
        <f>+IF((J215)=0,,(L215-J215)/J215)</f>
        <v>7.4362261914059952E-2</v>
      </c>
      <c r="O215" s="652">
        <f>+Roanne!D215+Montpe!D215+Grenoble!D215+Nancy!D215+STMarcelin!D215+PSA!D215</f>
        <v>288348.22847818735</v>
      </c>
      <c r="P215" s="26">
        <v>1</v>
      </c>
    </row>
    <row r="216" spans="1:16">
      <c r="A216" s="5"/>
      <c r="B216" s="160"/>
      <c r="C216" s="113"/>
      <c r="D216" s="113"/>
      <c r="E216" s="113"/>
      <c r="F216" s="113"/>
      <c r="G216" s="113"/>
      <c r="H216" s="113"/>
      <c r="I216" s="237"/>
      <c r="J216" s="134"/>
      <c r="K216" s="25"/>
      <c r="L216" s="154"/>
      <c r="M216" s="149"/>
      <c r="N216" s="254"/>
      <c r="O216" s="115">
        <f>+Roanne!D216+Montpe!D216+Grenoble!D216+Nancy!D216+STMarcelin!D216+PSA!D216</f>
        <v>0</v>
      </c>
      <c r="P216" s="26">
        <v>0</v>
      </c>
    </row>
    <row r="217" spans="1:16" ht="19.5" customHeight="1">
      <c r="A217" s="1135" t="s">
        <v>332</v>
      </c>
      <c r="B217" s="1384">
        <f t="shared" ref="B217:K217" si="57">+B209-B215</f>
        <v>103837.48404453442</v>
      </c>
      <c r="C217" s="1385">
        <f t="shared" si="57"/>
        <v>-24991.07409157775</v>
      </c>
      <c r="D217" s="1385">
        <f t="shared" si="57"/>
        <v>-4997.9782953348622</v>
      </c>
      <c r="E217" s="1385">
        <f>+E209-E215</f>
        <v>-22219.394385378877</v>
      </c>
      <c r="F217" s="1385">
        <f>+F209-F215</f>
        <v>144577.6094305517</v>
      </c>
      <c r="G217" s="1385">
        <f t="shared" si="57"/>
        <v>14077.192973159865</v>
      </c>
      <c r="H217" s="1386">
        <f>+H209-H215</f>
        <v>-34026.398431598165</v>
      </c>
      <c r="I217" s="1384">
        <f>+I209-I215</f>
        <v>375410.76305532141</v>
      </c>
      <c r="J217" s="1397">
        <f t="shared" si="57"/>
        <v>34476.42389222671</v>
      </c>
      <c r="K217" s="146">
        <f t="shared" si="57"/>
        <v>176257.44124435575</v>
      </c>
      <c r="L217" s="1386">
        <f>+L209-L215</f>
        <v>176257.44124435575</v>
      </c>
      <c r="M217" s="1407">
        <f>+IF((I217)=0,,(J217-I217)/I217)</f>
        <v>-0.90816346443656393</v>
      </c>
      <c r="N217" s="1408">
        <f>+IF((J217)=0,,(L217-J217)/J217)</f>
        <v>4.1124049813094432</v>
      </c>
      <c r="O217" s="1136">
        <f>+Roanne!D217+Montpe!D217+Grenoble!D217+Nancy!D217+STMarcelin!D217+PSA!D217</f>
        <v>215000.23921696859</v>
      </c>
      <c r="P217" s="26">
        <v>1</v>
      </c>
    </row>
    <row r="218" spans="1:16" s="522" customFormat="1">
      <c r="A218" s="1214" t="s">
        <v>44</v>
      </c>
      <c r="B218" s="248">
        <f>+Roanne!$G217</f>
        <v>103837.48404453442</v>
      </c>
      <c r="C218" s="249">
        <f>+Montpe!$G217</f>
        <v>-24991.07409157775</v>
      </c>
      <c r="D218" s="249">
        <f>+Nancy!$G217</f>
        <v>-4997.9782953348622</v>
      </c>
      <c r="E218" s="249">
        <f>+STMarcelin!$G217</f>
        <v>-22219.394385378877</v>
      </c>
      <c r="F218" s="249">
        <f>+Grenoble!$G217</f>
        <v>144577.6094305517</v>
      </c>
      <c r="G218" s="249">
        <f>+PSA!$G217</f>
        <v>14077.192973159865</v>
      </c>
      <c r="H218" s="250">
        <f>+Dijon!$G217</f>
        <v>-34026.398431598165</v>
      </c>
      <c r="I218" s="248">
        <f>+Roanne!E217+Montpe!E217+Grenoble!E217+Nancy!E217+STMarcelin!E217+PSA!E217</f>
        <v>375410.7630553206</v>
      </c>
      <c r="J218" s="347">
        <f>+Roanne!F217+Montpe!F217+Grenoble!F217+Nancy!F217+STMarcelin!F217+PSA!F217+Dijon!F217</f>
        <v>34476.423892227162</v>
      </c>
      <c r="K218" s="347">
        <f>+Roanne!G217+Montpe!G217+Grenoble!G217+Nancy!G217+STMarcelin!G217+PSA!G217</f>
        <v>210283.83967595451</v>
      </c>
      <c r="L218" s="1413">
        <f>SUM(B218:H218)</f>
        <v>176257.44124435633</v>
      </c>
      <c r="M218" s="1417"/>
      <c r="N218" s="1202"/>
      <c r="O218" s="1418"/>
      <c r="P218" s="522">
        <v>1</v>
      </c>
    </row>
    <row r="219" spans="1:16" s="522" customFormat="1">
      <c r="A219" s="414"/>
      <c r="B219" s="1419"/>
      <c r="C219" s="328"/>
      <c r="D219" s="328"/>
      <c r="E219" s="328"/>
      <c r="F219" s="328"/>
      <c r="G219" s="328"/>
      <c r="H219" s="1420"/>
      <c r="I219" s="1419"/>
      <c r="J219" s="328"/>
      <c r="K219" s="348" t="s">
        <v>441</v>
      </c>
      <c r="L219" s="162">
        <f>+'Sous Région Sud'!H216+Roanne!G217+Montpe!G217+Nancy!G217+Dijon!G217</f>
        <v>176257.44124435668</v>
      </c>
      <c r="M219" s="390"/>
      <c r="N219" s="254"/>
      <c r="O219" s="1421"/>
      <c r="P219" s="522">
        <v>1</v>
      </c>
    </row>
    <row r="220" spans="1:16" s="2" customFormat="1" ht="11.25">
      <c r="B220" s="113"/>
      <c r="C220" s="113"/>
      <c r="D220" s="113"/>
      <c r="E220" s="113"/>
      <c r="F220" s="113"/>
      <c r="G220" s="113"/>
      <c r="H220" s="113"/>
      <c r="I220" s="113"/>
      <c r="J220" s="113"/>
      <c r="K220" s="25"/>
      <c r="L220" s="113"/>
      <c r="M220" s="143"/>
      <c r="N220" s="143"/>
      <c r="O220" s="262"/>
      <c r="P220" s="2">
        <v>0</v>
      </c>
    </row>
    <row r="221" spans="1:16" s="2" customFormat="1" ht="11.25">
      <c r="B221" s="113"/>
      <c r="C221" s="113"/>
      <c r="D221" s="113"/>
      <c r="E221" s="113"/>
      <c r="F221" s="113"/>
      <c r="G221" s="113"/>
      <c r="H221" s="113"/>
      <c r="I221" s="113"/>
      <c r="J221" s="113"/>
      <c r="K221" s="25"/>
      <c r="L221" s="113"/>
      <c r="M221" s="143"/>
      <c r="N221" s="149"/>
      <c r="O221" s="262"/>
      <c r="P221" s="2">
        <v>0</v>
      </c>
    </row>
    <row r="222" spans="1:16" s="2" customFormat="1" ht="11.25">
      <c r="B222" s="113"/>
      <c r="C222" s="113"/>
      <c r="D222" s="113"/>
      <c r="E222" s="113"/>
      <c r="F222" s="113"/>
      <c r="G222" s="113"/>
      <c r="H222" s="113"/>
      <c r="I222" s="433"/>
      <c r="J222" s="113"/>
      <c r="K222" s="25"/>
      <c r="L222" s="113"/>
      <c r="M222" s="143"/>
      <c r="N222" s="149"/>
      <c r="O222" s="262"/>
      <c r="P222" s="2">
        <v>0</v>
      </c>
    </row>
    <row r="223" spans="1:16" s="25" customFormat="1" ht="11.25">
      <c r="A223" s="1188" t="s">
        <v>67</v>
      </c>
      <c r="B223" s="1189">
        <f>+(B215+B207+B203)/B60</f>
        <v>1130623.35808324</v>
      </c>
      <c r="C223" s="1190">
        <f t="shared" ref="C223:O223" si="58">+(C215+C207+C203)/C60</f>
        <v>919756.6467208406</v>
      </c>
      <c r="D223" s="1190">
        <f t="shared" si="58"/>
        <v>914415.44097223599</v>
      </c>
      <c r="E223" s="1190">
        <f t="shared" si="58"/>
        <v>375546.10122174647</v>
      </c>
      <c r="F223" s="1190">
        <f t="shared" si="58"/>
        <v>1614563.1092879712</v>
      </c>
      <c r="G223" s="1190">
        <f t="shared" si="58"/>
        <v>2263426.6211872259</v>
      </c>
      <c r="H223" s="1191">
        <f>+(H215+H207+H203)/H60</f>
        <v>741576.88716922584</v>
      </c>
      <c r="I223" s="1189">
        <f>+(I215+I207+I203)/I54</f>
        <v>6914218.9962463882</v>
      </c>
      <c r="J223" s="1190">
        <f t="shared" si="58"/>
        <v>7449481.9508430948</v>
      </c>
      <c r="K223" s="329">
        <f t="shared" si="58"/>
        <v>7683595.2365372479</v>
      </c>
      <c r="L223" s="1191">
        <f t="shared" si="58"/>
        <v>7940010.1991636967</v>
      </c>
      <c r="M223" s="1189"/>
      <c r="N223" s="1191"/>
      <c r="O223" s="1192">
        <f t="shared" si="58"/>
        <v>7438367.7175769098</v>
      </c>
      <c r="P223" s="25">
        <v>1</v>
      </c>
    </row>
    <row r="224" spans="1:16" s="25" customFormat="1" ht="11.25">
      <c r="A224" s="1193" t="s">
        <v>66</v>
      </c>
      <c r="B224" s="1194">
        <f>+B223/12</f>
        <v>94218.613173603328</v>
      </c>
      <c r="C224" s="1195">
        <f t="shared" ref="C224:O224" si="59">+C223/12</f>
        <v>76646.387226736711</v>
      </c>
      <c r="D224" s="1195">
        <f t="shared" si="59"/>
        <v>76201.286747686332</v>
      </c>
      <c r="E224" s="1195">
        <f t="shared" si="59"/>
        <v>31295.508435145541</v>
      </c>
      <c r="F224" s="1195">
        <f t="shared" si="59"/>
        <v>134546.92577399759</v>
      </c>
      <c r="G224" s="1195">
        <f t="shared" si="59"/>
        <v>188618.88509893548</v>
      </c>
      <c r="H224" s="1196">
        <f>+H223/12</f>
        <v>61798.07393076882</v>
      </c>
      <c r="I224" s="1194">
        <f t="shared" si="59"/>
        <v>576184.91635386564</v>
      </c>
      <c r="J224" s="1195">
        <f t="shared" si="59"/>
        <v>620790.1625702579</v>
      </c>
      <c r="K224" s="329">
        <f t="shared" si="59"/>
        <v>640299.60304477066</v>
      </c>
      <c r="L224" s="1196">
        <f t="shared" si="59"/>
        <v>661667.51659697469</v>
      </c>
      <c r="M224" s="1194"/>
      <c r="N224" s="1196"/>
      <c r="O224" s="1197">
        <f t="shared" si="59"/>
        <v>619863.97646474245</v>
      </c>
      <c r="P224" s="25">
        <v>1</v>
      </c>
    </row>
    <row r="225" spans="1:16">
      <c r="N225" s="149"/>
      <c r="P225">
        <v>0</v>
      </c>
    </row>
    <row r="226" spans="1:16">
      <c r="M226" s="149"/>
      <c r="N226" s="149"/>
      <c r="P226">
        <v>0</v>
      </c>
    </row>
    <row r="227" spans="1:16">
      <c r="M227" s="149"/>
      <c r="N227" s="149"/>
      <c r="P227">
        <v>0</v>
      </c>
    </row>
    <row r="228" spans="1:16" s="2" customFormat="1" ht="12.75" customHeight="1">
      <c r="A228" s="6"/>
      <c r="B228" s="155"/>
      <c r="C228" s="211"/>
      <c r="D228" s="211"/>
      <c r="E228" s="211"/>
      <c r="F228" s="211"/>
      <c r="G228" s="211"/>
      <c r="H228" s="211"/>
      <c r="I228" s="267" t="s">
        <v>55</v>
      </c>
      <c r="J228" s="130" t="s">
        <v>364</v>
      </c>
      <c r="K228" s="130" t="s">
        <v>543</v>
      </c>
      <c r="L228" s="104" t="s">
        <v>196</v>
      </c>
      <c r="M228" s="151" t="s">
        <v>225</v>
      </c>
      <c r="N228" s="183" t="s">
        <v>225</v>
      </c>
      <c r="O228" s="104" t="s">
        <v>196</v>
      </c>
      <c r="P228" s="2">
        <v>0</v>
      </c>
    </row>
    <row r="229" spans="1:16" s="2" customFormat="1" ht="20.25" customHeight="1">
      <c r="A229" s="586" t="s">
        <v>218</v>
      </c>
      <c r="B229" s="1387" t="s">
        <v>212</v>
      </c>
      <c r="C229" s="1388" t="s">
        <v>235</v>
      </c>
      <c r="D229" s="1388" t="s">
        <v>365</v>
      </c>
      <c r="E229" s="1388" t="s">
        <v>62</v>
      </c>
      <c r="F229" s="1388" t="s">
        <v>214</v>
      </c>
      <c r="G229" s="1388" t="s">
        <v>430</v>
      </c>
      <c r="H229" s="1389" t="s">
        <v>430</v>
      </c>
      <c r="I229" s="1398" t="s">
        <v>366</v>
      </c>
      <c r="J229" s="1399" t="s">
        <v>366</v>
      </c>
      <c r="K229" s="131" t="s">
        <v>432</v>
      </c>
      <c r="L229" s="1400" t="s">
        <v>197</v>
      </c>
      <c r="M229" s="1409" t="s">
        <v>55</v>
      </c>
      <c r="N229" s="1400" t="s">
        <v>432</v>
      </c>
      <c r="O229" s="587" t="s">
        <v>197</v>
      </c>
      <c r="P229" s="2">
        <v>1</v>
      </c>
    </row>
    <row r="230" spans="1:16" s="2" customFormat="1" ht="20.25" customHeight="1">
      <c r="A230" s="586" t="s">
        <v>379</v>
      </c>
      <c r="B230" s="1390"/>
      <c r="C230" s="1391"/>
      <c r="D230" s="1391"/>
      <c r="E230" s="1391"/>
      <c r="F230" s="1391"/>
      <c r="G230" s="1388" t="s">
        <v>442</v>
      </c>
      <c r="H230" s="1389" t="s">
        <v>442</v>
      </c>
      <c r="I230" s="1401"/>
      <c r="J230" s="1402"/>
      <c r="K230" s="132" t="s">
        <v>433</v>
      </c>
      <c r="L230" s="1403"/>
      <c r="M230" s="1409"/>
      <c r="N230" s="1403" t="s">
        <v>433</v>
      </c>
      <c r="O230" s="585"/>
      <c r="P230" s="2">
        <v>1</v>
      </c>
    </row>
    <row r="231" spans="1:16" s="2" customFormat="1" ht="18">
      <c r="A231" s="586"/>
      <c r="B231" s="1390"/>
      <c r="C231" s="1391"/>
      <c r="D231" s="1391"/>
      <c r="E231" s="1391"/>
      <c r="F231" s="1391"/>
      <c r="G231" s="1391"/>
      <c r="H231" s="1392"/>
      <c r="I231" s="1401">
        <v>2008</v>
      </c>
      <c r="J231" s="1402">
        <v>2009</v>
      </c>
      <c r="K231" s="133">
        <v>2009</v>
      </c>
      <c r="L231" s="1403">
        <v>2010</v>
      </c>
      <c r="M231" s="1409" t="s">
        <v>544</v>
      </c>
      <c r="N231" s="1410" t="s">
        <v>368</v>
      </c>
      <c r="O231" s="585">
        <v>2009</v>
      </c>
      <c r="P231" s="2">
        <v>1</v>
      </c>
    </row>
    <row r="232" spans="1:16" s="108" customFormat="1" ht="11.25">
      <c r="A232" s="2"/>
      <c r="B232" s="288"/>
      <c r="C232" s="249"/>
      <c r="D232" s="385"/>
      <c r="E232" s="249"/>
      <c r="F232" s="249"/>
      <c r="G232" s="287"/>
      <c r="H232" s="287"/>
      <c r="I232" s="248"/>
      <c r="J232" s="253"/>
      <c r="K232" s="253"/>
      <c r="L232" s="289"/>
      <c r="M232" s="288"/>
      <c r="N232" s="289"/>
      <c r="O232" s="2"/>
      <c r="P232" s="108">
        <v>0</v>
      </c>
    </row>
    <row r="233" spans="1:16" s="108" customFormat="1" ht="11.25">
      <c r="A233" s="14" t="s">
        <v>223</v>
      </c>
      <c r="B233" s="175">
        <f>+B51</f>
        <v>1395298</v>
      </c>
      <c r="C233" s="206">
        <f t="shared" ref="C233:L233" si="60">+C51</f>
        <v>848847</v>
      </c>
      <c r="D233" s="206">
        <f t="shared" si="60"/>
        <v>901459</v>
      </c>
      <c r="E233" s="206">
        <f t="shared" si="60"/>
        <v>326199</v>
      </c>
      <c r="F233" s="206">
        <f>+F51</f>
        <v>1998947</v>
      </c>
      <c r="G233" s="206">
        <f t="shared" si="60"/>
        <v>2304756</v>
      </c>
      <c r="H233" s="176">
        <f>+H51</f>
        <v>643115</v>
      </c>
      <c r="I233" s="175">
        <f t="shared" si="60"/>
        <v>7915708.3100000005</v>
      </c>
      <c r="J233" s="206">
        <f t="shared" si="60"/>
        <v>7823273.6308754534</v>
      </c>
      <c r="K233" s="206">
        <f>+K51</f>
        <v>8146749.7637000009</v>
      </c>
      <c r="L233" s="176">
        <f t="shared" si="60"/>
        <v>8418621</v>
      </c>
      <c r="M233" s="208">
        <f>+M51</f>
        <v>0</v>
      </c>
      <c r="N233" s="192">
        <f>+N51</f>
        <v>0</v>
      </c>
      <c r="O233" s="313">
        <f>+O51</f>
        <v>8011482</v>
      </c>
      <c r="P233" s="108">
        <v>1</v>
      </c>
    </row>
    <row r="234" spans="1:16" s="108" customFormat="1" ht="11.25">
      <c r="A234" s="2"/>
      <c r="B234" s="160"/>
      <c r="C234" s="113"/>
      <c r="D234" s="113"/>
      <c r="E234" s="113"/>
      <c r="F234" s="113"/>
      <c r="G234" s="113"/>
      <c r="H234" s="113"/>
      <c r="I234" s="160"/>
      <c r="J234" s="113"/>
      <c r="K234" s="113"/>
      <c r="L234" s="162"/>
      <c r="M234" s="92"/>
      <c r="N234" s="186"/>
      <c r="O234" s="162"/>
      <c r="P234" s="108">
        <v>0</v>
      </c>
    </row>
    <row r="235" spans="1:16" s="48" customFormat="1">
      <c r="A235" s="12" t="s">
        <v>295</v>
      </c>
      <c r="B235" s="197">
        <f t="shared" ref="B235:L235" si="61">+B60</f>
        <v>0.39232124125132939</v>
      </c>
      <c r="C235" s="224">
        <f t="shared" si="61"/>
        <v>0.35243546184856051</v>
      </c>
      <c r="D235" s="224">
        <f t="shared" si="61"/>
        <v>0.385752407319641</v>
      </c>
      <c r="E235" s="224">
        <f t="shared" si="61"/>
        <v>0.45026746931970035</v>
      </c>
      <c r="F235" s="224">
        <f>+F60</f>
        <v>0.37612817010290855</v>
      </c>
      <c r="G235" s="224">
        <f t="shared" si="61"/>
        <v>0.34060983681682649</v>
      </c>
      <c r="H235" s="191">
        <f>+H60</f>
        <v>0.34557938517994446</v>
      </c>
      <c r="I235" s="197">
        <f t="shared" si="61"/>
        <v>0.36358950266058199</v>
      </c>
      <c r="J235" s="224">
        <f t="shared" si="61"/>
        <v>0.37514374673749501</v>
      </c>
      <c r="K235" s="224">
        <f t="shared" si="61"/>
        <v>0.38055860605335062</v>
      </c>
      <c r="L235" s="191">
        <f t="shared" si="61"/>
        <v>0.36826883333257737</v>
      </c>
      <c r="M235" s="197"/>
      <c r="N235" s="191"/>
      <c r="O235" s="309"/>
      <c r="P235" s="48">
        <v>1</v>
      </c>
    </row>
    <row r="236" spans="1:16" s="108" customFormat="1" ht="11.25">
      <c r="A236" s="12" t="s">
        <v>296</v>
      </c>
      <c r="B236" s="169">
        <f>+B62</f>
        <v>547405.04327549739</v>
      </c>
      <c r="C236" s="223">
        <f>+C62</f>
        <v>299163.78448376502</v>
      </c>
      <c r="D236" s="223">
        <f t="shared" ref="D236:L236" si="62">+D62</f>
        <v>347739.97934995627</v>
      </c>
      <c r="E236" s="223">
        <f t="shared" si="62"/>
        <v>146876.79822461694</v>
      </c>
      <c r="F236" s="223">
        <f>+F62</f>
        <v>751860.27724269871</v>
      </c>
      <c r="G236" s="223">
        <f t="shared" si="62"/>
        <v>785022.56506260182</v>
      </c>
      <c r="H236" s="170">
        <f>+H62</f>
        <v>222247.28629999998</v>
      </c>
      <c r="I236" s="169">
        <f t="shared" si="62"/>
        <v>2878068.4476391361</v>
      </c>
      <c r="J236" s="223">
        <f t="shared" si="62"/>
        <v>2829102.9941848489</v>
      </c>
      <c r="K236" s="223">
        <f>+K62</f>
        <v>3100315.7339391359</v>
      </c>
      <c r="L236" s="170">
        <f t="shared" si="62"/>
        <v>3100315.7339391359</v>
      </c>
      <c r="M236" s="197">
        <f>+M62</f>
        <v>-1.701330400757263E-2</v>
      </c>
      <c r="N236" s="191">
        <f>+N62</f>
        <v>9.5865276135848762E-2</v>
      </c>
      <c r="O236" s="309">
        <f>+O62</f>
        <v>3005457.3744000001</v>
      </c>
      <c r="P236" s="108">
        <v>1</v>
      </c>
    </row>
    <row r="237" spans="1:16" s="48" customFormat="1">
      <c r="A237" s="25"/>
      <c r="B237" s="160"/>
      <c r="C237" s="113"/>
      <c r="D237" s="113"/>
      <c r="E237" s="113"/>
      <c r="F237" s="113"/>
      <c r="G237" s="113"/>
      <c r="H237" s="113"/>
      <c r="I237" s="160"/>
      <c r="J237" s="113"/>
      <c r="K237" s="113"/>
      <c r="L237" s="162"/>
      <c r="M237" s="92"/>
      <c r="N237" s="186"/>
      <c r="O237" s="162"/>
      <c r="P237" s="48">
        <v>0</v>
      </c>
    </row>
    <row r="238" spans="1:16" s="48" customFormat="1">
      <c r="A238" s="662" t="s">
        <v>122</v>
      </c>
      <c r="B238" s="1393">
        <f>+B103</f>
        <v>98956.988631857166</v>
      </c>
      <c r="C238" s="1394">
        <f t="shared" ref="C238:L238" si="63">+C103</f>
        <v>87990.568828718664</v>
      </c>
      <c r="D238" s="1394">
        <f t="shared" si="63"/>
        <v>115371.50667037448</v>
      </c>
      <c r="E238" s="1394">
        <f t="shared" si="63"/>
        <v>64451.766163267726</v>
      </c>
      <c r="F238" s="1394">
        <f>+F103</f>
        <v>132649.8349068957</v>
      </c>
      <c r="G238" s="1394">
        <f t="shared" si="63"/>
        <v>197312.81426220739</v>
      </c>
      <c r="H238" s="1395">
        <f>+H103</f>
        <v>79556.809913863515</v>
      </c>
      <c r="I238" s="1393">
        <f t="shared" si="63"/>
        <v>668714.39999999991</v>
      </c>
      <c r="J238" s="1394">
        <f t="shared" si="63"/>
        <v>730057.06500000006</v>
      </c>
      <c r="K238" s="295">
        <f>+K103</f>
        <v>776290.2893771847</v>
      </c>
      <c r="L238" s="1395">
        <f t="shared" si="63"/>
        <v>776290.2893771847</v>
      </c>
      <c r="M238" s="1411">
        <f>+M103</f>
        <v>9.1732232773812206E-2</v>
      </c>
      <c r="N238" s="1412">
        <f>+N103</f>
        <v>6.3328233632236178E-2</v>
      </c>
      <c r="O238" s="664">
        <f>+O103</f>
        <v>686642.52493261453</v>
      </c>
      <c r="P238" s="48">
        <v>1</v>
      </c>
    </row>
    <row r="239" spans="1:16" s="108" customFormat="1" ht="15" customHeight="1">
      <c r="A239" s="662" t="s">
        <v>133</v>
      </c>
      <c r="B239" s="1393">
        <f>+B116</f>
        <v>32390.828533333333</v>
      </c>
      <c r="C239" s="1394">
        <f t="shared" ref="C239:L239" si="64">+C116</f>
        <v>22283.684799999999</v>
      </c>
      <c r="D239" s="1394">
        <f t="shared" si="64"/>
        <v>16026.78</v>
      </c>
      <c r="E239" s="1394">
        <f t="shared" si="64"/>
        <v>7803.9030666666667</v>
      </c>
      <c r="F239" s="1394">
        <f>+F116</f>
        <v>83723.743200000012</v>
      </c>
      <c r="G239" s="1394">
        <f t="shared" si="64"/>
        <v>53163.316133333334</v>
      </c>
      <c r="H239" s="1395">
        <f>+H116</f>
        <v>14500</v>
      </c>
      <c r="I239" s="1393">
        <f t="shared" si="64"/>
        <v>238917.21</v>
      </c>
      <c r="J239" s="1394">
        <f t="shared" si="64"/>
        <v>282070.40666666673</v>
      </c>
      <c r="K239" s="295">
        <f>+K116</f>
        <v>229892.25573333332</v>
      </c>
      <c r="L239" s="1395">
        <f t="shared" si="64"/>
        <v>229892.25573333332</v>
      </c>
      <c r="M239" s="1411">
        <f>+M116</f>
        <v>0.18061987525581244</v>
      </c>
      <c r="N239" s="1412">
        <f>+N116</f>
        <v>-0.18498271956261722</v>
      </c>
      <c r="O239" s="664">
        <f>+O116</f>
        <v>283279.52030000003</v>
      </c>
      <c r="P239" s="108">
        <v>1</v>
      </c>
    </row>
    <row r="240" spans="1:16" s="108" customFormat="1" ht="15" customHeight="1">
      <c r="A240" s="662" t="s">
        <v>147</v>
      </c>
      <c r="B240" s="1393">
        <f>+B129</f>
        <v>15532.053</v>
      </c>
      <c r="C240" s="1394">
        <f t="shared" ref="C240:L240" si="65">+C129</f>
        <v>12730.289199999999</v>
      </c>
      <c r="D240" s="1394">
        <f t="shared" si="65"/>
        <v>14366.466499999999</v>
      </c>
      <c r="E240" s="1394">
        <f t="shared" si="65"/>
        <v>6150.7479000000003</v>
      </c>
      <c r="F240" s="1394">
        <f>+F129</f>
        <v>16174.099200000001</v>
      </c>
      <c r="G240" s="1394">
        <f t="shared" si="65"/>
        <v>42722.355000000003</v>
      </c>
      <c r="H240" s="1395">
        <f>+H129</f>
        <v>7773.4290516088895</v>
      </c>
      <c r="I240" s="1393">
        <f t="shared" si="65"/>
        <v>110342</v>
      </c>
      <c r="J240" s="1394">
        <f t="shared" si="65"/>
        <v>108879.56930133334</v>
      </c>
      <c r="K240" s="295">
        <f>+K129</f>
        <v>115449.4398516089</v>
      </c>
      <c r="L240" s="1395">
        <f t="shared" si="65"/>
        <v>115449.4398516089</v>
      </c>
      <c r="M240" s="1411">
        <f>+M129</f>
        <v>-1.3253617830623546E-2</v>
      </c>
      <c r="N240" s="1412">
        <f>+N129</f>
        <v>6.0340710313547388E-2</v>
      </c>
      <c r="O240" s="664">
        <f>+O129</f>
        <v>133927.55065014958</v>
      </c>
      <c r="P240" s="108">
        <v>1</v>
      </c>
    </row>
    <row r="241" spans="1:16" s="108" customFormat="1" ht="11.25">
      <c r="A241" s="662" t="s">
        <v>164</v>
      </c>
      <c r="B241" s="1393">
        <f>+B154</f>
        <v>213166.82919801836</v>
      </c>
      <c r="C241" s="1394">
        <f t="shared" ref="C241:L241" si="66">+C154</f>
        <v>140120.11264948081</v>
      </c>
      <c r="D241" s="1394">
        <f t="shared" si="66"/>
        <v>148758.73399601452</v>
      </c>
      <c r="E241" s="1394">
        <f t="shared" si="66"/>
        <v>63160.356059233978</v>
      </c>
      <c r="F241" s="1394">
        <f>+F154</f>
        <v>251432.75864715141</v>
      </c>
      <c r="G241" s="1394">
        <f t="shared" si="66"/>
        <v>330055.31222928112</v>
      </c>
      <c r="H241" s="1395">
        <f>+H154</f>
        <v>110571.72667003199</v>
      </c>
      <c r="I241" s="1393">
        <f t="shared" si="66"/>
        <v>1227151.0191199998</v>
      </c>
      <c r="J241" s="1394">
        <f t="shared" si="66"/>
        <v>1208950.5416666667</v>
      </c>
      <c r="K241" s="295">
        <f>+K154</f>
        <v>1257265.8294492122</v>
      </c>
      <c r="L241" s="1395">
        <f t="shared" si="66"/>
        <v>1257265.8294492122</v>
      </c>
      <c r="M241" s="1411">
        <f>+M154</f>
        <v>-1.4831489498647694E-2</v>
      </c>
      <c r="N241" s="1412">
        <f>+N154</f>
        <v>3.9964652082406675E-2</v>
      </c>
      <c r="O241" s="664">
        <f>+O154</f>
        <v>1189298.9376035139</v>
      </c>
      <c r="P241" s="108">
        <v>1</v>
      </c>
    </row>
    <row r="242" spans="1:16" s="108" customFormat="1" ht="11.25">
      <c r="A242" s="662" t="s">
        <v>74</v>
      </c>
      <c r="B242" s="1393">
        <f>+B168</f>
        <v>18253.759608913333</v>
      </c>
      <c r="C242" s="1394">
        <f t="shared" ref="C242:L242" si="67">+C168</f>
        <v>14328.2156223</v>
      </c>
      <c r="D242" s="1394">
        <f t="shared" si="67"/>
        <v>11762.147678833335</v>
      </c>
      <c r="E242" s="1394">
        <f t="shared" si="67"/>
        <v>2440.6587489000003</v>
      </c>
      <c r="F242" s="1394">
        <f>+F168</f>
        <v>30230.676690900007</v>
      </c>
      <c r="G242" s="1394">
        <f t="shared" si="67"/>
        <v>32276.093518000005</v>
      </c>
      <c r="H242" s="1395">
        <f>+H168</f>
        <v>8256.0838801000009</v>
      </c>
      <c r="I242" s="1393">
        <f t="shared" si="67"/>
        <v>72163.330000000016</v>
      </c>
      <c r="J242" s="1394">
        <f t="shared" si="67"/>
        <v>91124.959999999992</v>
      </c>
      <c r="K242" s="295">
        <f>+K168</f>
        <v>117547.6357479467</v>
      </c>
      <c r="L242" s="1395">
        <f t="shared" si="67"/>
        <v>117547.6357479467</v>
      </c>
      <c r="M242" s="1411">
        <f>+M168</f>
        <v>0.26275990866829413</v>
      </c>
      <c r="N242" s="1412">
        <f>+N168</f>
        <v>0.2899609036640094</v>
      </c>
      <c r="O242" s="664">
        <f>+O168</f>
        <v>109247.85440389701</v>
      </c>
      <c r="P242" s="108">
        <v>1</v>
      </c>
    </row>
    <row r="243" spans="1:16" s="108" customFormat="1" ht="11.25">
      <c r="A243" s="662" t="s">
        <v>369</v>
      </c>
      <c r="B243" s="1393">
        <f>+B185-B201</f>
        <v>8070.3533333333335</v>
      </c>
      <c r="C243" s="1394">
        <f t="shared" ref="C243:L243" si="68">+C185-C201</f>
        <v>6295.5374666666667</v>
      </c>
      <c r="D243" s="1394">
        <f t="shared" si="68"/>
        <v>4027.4565333333335</v>
      </c>
      <c r="E243" s="1394">
        <f t="shared" si="68"/>
        <v>3386.0601333333334</v>
      </c>
      <c r="F243" s="1394">
        <f>+F185-F201</f>
        <v>10561.016666666668</v>
      </c>
      <c r="G243" s="1394">
        <f t="shared" si="68"/>
        <v>18450.080800000003</v>
      </c>
      <c r="H243" s="1395">
        <f>+H185-H201</f>
        <v>3879.99</v>
      </c>
      <c r="I243" s="1393">
        <f t="shared" si="68"/>
        <v>-11215.619999999995</v>
      </c>
      <c r="J243" s="1394">
        <f t="shared" si="68"/>
        <v>35098.566666666666</v>
      </c>
      <c r="K243" s="295">
        <f>+K185-K201</f>
        <v>54670.494933333335</v>
      </c>
      <c r="L243" s="1395">
        <f t="shared" si="68"/>
        <v>54670.494933333335</v>
      </c>
      <c r="M243" s="1411">
        <f>+IF((I243)=0,,(J243-I243)/I243)</f>
        <v>-4.1294361494653602</v>
      </c>
      <c r="N243" s="1412">
        <f>+IF((J243)=0,,(K243-J243)/J243)</f>
        <v>0.55762756503826849</v>
      </c>
      <c r="O243" s="664">
        <f>+O185-O201</f>
        <v>50968.075872725138</v>
      </c>
      <c r="P243" s="108">
        <v>1</v>
      </c>
    </row>
    <row r="244" spans="1:16" s="108" customFormat="1" ht="11.25">
      <c r="A244" s="25"/>
      <c r="B244" s="160"/>
      <c r="C244" s="113"/>
      <c r="D244" s="113"/>
      <c r="E244" s="113"/>
      <c r="F244" s="113"/>
      <c r="G244" s="113"/>
      <c r="H244" s="113"/>
      <c r="I244" s="160"/>
      <c r="J244" s="113"/>
      <c r="K244" s="113"/>
      <c r="L244" s="162"/>
      <c r="M244" s="92"/>
      <c r="N244" s="186"/>
      <c r="O244" s="162"/>
      <c r="P244" s="108">
        <v>0</v>
      </c>
    </row>
    <row r="245" spans="1:16" s="108" customFormat="1" ht="11.25">
      <c r="A245" s="14" t="s">
        <v>189</v>
      </c>
      <c r="B245" s="299">
        <f>+B203</f>
        <v>386370.8123054555</v>
      </c>
      <c r="C245" s="301">
        <f t="shared" ref="C245:L245" si="69">+C203</f>
        <v>283748.40856716613</v>
      </c>
      <c r="D245" s="301">
        <f t="shared" si="69"/>
        <v>310313.09137855569</v>
      </c>
      <c r="E245" s="301">
        <f t="shared" si="69"/>
        <v>147393.49207140171</v>
      </c>
      <c r="F245" s="301">
        <f>+F203</f>
        <v>524772.12931161385</v>
      </c>
      <c r="G245" s="301">
        <f t="shared" si="69"/>
        <v>673979.97194282175</v>
      </c>
      <c r="H245" s="300">
        <f>+H203</f>
        <v>224538.03951560438</v>
      </c>
      <c r="I245" s="299">
        <f t="shared" si="69"/>
        <v>2306072.3391199997</v>
      </c>
      <c r="J245" s="301">
        <f t="shared" si="69"/>
        <v>2456181.1093013338</v>
      </c>
      <c r="K245" s="301">
        <f>+K203</f>
        <v>2551115.9450926194</v>
      </c>
      <c r="L245" s="300">
        <f t="shared" si="69"/>
        <v>2551115.9450926194</v>
      </c>
      <c r="M245" s="302">
        <f>+M203</f>
        <v>6.5092828024040136E-2</v>
      </c>
      <c r="N245" s="303">
        <f>+N203</f>
        <v>3.865139888576459E-2</v>
      </c>
      <c r="O245" s="389">
        <f>+O203</f>
        <v>2453364.4637628999</v>
      </c>
      <c r="P245" s="108">
        <v>1</v>
      </c>
    </row>
    <row r="246" spans="1:16" s="108" customFormat="1" ht="11.25">
      <c r="A246" s="2"/>
      <c r="B246" s="160"/>
      <c r="C246" s="113"/>
      <c r="D246" s="113"/>
      <c r="E246" s="113"/>
      <c r="F246" s="113"/>
      <c r="G246" s="113"/>
      <c r="H246" s="113"/>
      <c r="I246" s="160"/>
      <c r="J246" s="113"/>
      <c r="K246" s="113"/>
      <c r="L246" s="162"/>
      <c r="M246" s="92"/>
      <c r="N246" s="186"/>
      <c r="O246" s="162"/>
      <c r="P246" s="108">
        <v>0</v>
      </c>
    </row>
    <row r="247" spans="1:16" s="108" customFormat="1" ht="11.25">
      <c r="A247" s="12" t="s">
        <v>228</v>
      </c>
      <c r="B247" s="177">
        <f>+B205</f>
        <v>161034.23097004188</v>
      </c>
      <c r="C247" s="228">
        <f t="shared" ref="C247:L247" si="70">+C205</f>
        <v>15415.375916598889</v>
      </c>
      <c r="D247" s="228">
        <f t="shared" si="70"/>
        <v>37426.887971400574</v>
      </c>
      <c r="E247" s="228">
        <f t="shared" si="70"/>
        <v>-516.6938467847649</v>
      </c>
      <c r="F247" s="228">
        <f>+F205</f>
        <v>227088.14793108485</v>
      </c>
      <c r="G247" s="228">
        <f t="shared" si="70"/>
        <v>111042.59311978007</v>
      </c>
      <c r="H247" s="178">
        <f>+H205</f>
        <v>-2290.7532156044035</v>
      </c>
      <c r="I247" s="177">
        <f t="shared" si="70"/>
        <v>661150.6316800015</v>
      </c>
      <c r="J247" s="228">
        <f t="shared" si="70"/>
        <v>372921.88488351507</v>
      </c>
      <c r="K247" s="228">
        <f>+K205</f>
        <v>549199.78884651652</v>
      </c>
      <c r="L247" s="178">
        <f t="shared" si="70"/>
        <v>549199.78884651652</v>
      </c>
      <c r="M247" s="225">
        <f>+M205</f>
        <v>-0.435950194986715</v>
      </c>
      <c r="N247" s="193">
        <f>+N205</f>
        <v>0.47269391019532997</v>
      </c>
      <c r="O247" s="314">
        <f>+O205</f>
        <v>552092.91063710011</v>
      </c>
      <c r="P247" s="108">
        <v>1</v>
      </c>
    </row>
    <row r="248" spans="1:16" s="108" customFormat="1" ht="11.25">
      <c r="A248" s="2"/>
      <c r="B248" s="160"/>
      <c r="C248" s="113"/>
      <c r="D248" s="113"/>
      <c r="E248" s="113"/>
      <c r="F248" s="113"/>
      <c r="G248" s="113"/>
      <c r="H248" s="113"/>
      <c r="I248" s="160"/>
      <c r="J248" s="113"/>
      <c r="K248" s="113"/>
      <c r="L248" s="162"/>
      <c r="M248" s="92"/>
      <c r="N248" s="186"/>
      <c r="O248" s="162"/>
      <c r="P248" s="108">
        <v>0</v>
      </c>
    </row>
    <row r="249" spans="1:16" s="108" customFormat="1" ht="11.25">
      <c r="A249" s="20" t="s">
        <v>370</v>
      </c>
      <c r="B249" s="180">
        <f>+B207+B215</f>
        <v>57196.746925507476</v>
      </c>
      <c r="C249" s="230">
        <f t="shared" ref="C249:L249" si="71">+C207+C215</f>
        <v>40406.450008176638</v>
      </c>
      <c r="D249" s="230">
        <f t="shared" si="71"/>
        <v>42424.866266735437</v>
      </c>
      <c r="E249" s="230">
        <f t="shared" si="71"/>
        <v>21702.700538594112</v>
      </c>
      <c r="F249" s="230">
        <f>+F207+F215</f>
        <v>82510.538500533148</v>
      </c>
      <c r="G249" s="230">
        <f t="shared" si="71"/>
        <v>96965.400146620203</v>
      </c>
      <c r="H249" s="181">
        <f>+H207+H215</f>
        <v>31735.645215993762</v>
      </c>
      <c r="I249" s="180">
        <f t="shared" si="71"/>
        <v>285739.86862468009</v>
      </c>
      <c r="J249" s="230">
        <f t="shared" si="71"/>
        <v>338445.46099128836</v>
      </c>
      <c r="K249" s="230">
        <f>+K207+K215</f>
        <v>372942.34760216076</v>
      </c>
      <c r="L249" s="181">
        <f t="shared" si="71"/>
        <v>372942.34760216076</v>
      </c>
      <c r="M249" s="304">
        <f>+IF((I249)=0,,(J249-I249)/I249)</f>
        <v>0.1844530573219979</v>
      </c>
      <c r="N249" s="195">
        <f>+IF((J249)=0,,(K249-J249)/J249)</f>
        <v>0.10192746125131327</v>
      </c>
      <c r="O249" s="316">
        <f>+O207+O215</f>
        <v>337092.67142013152</v>
      </c>
      <c r="P249" s="108">
        <v>1</v>
      </c>
    </row>
    <row r="250" spans="1:16" s="108" customFormat="1" ht="11.25">
      <c r="A250" s="2"/>
      <c r="B250" s="160"/>
      <c r="C250" s="113"/>
      <c r="D250" s="113"/>
      <c r="E250" s="113"/>
      <c r="F250" s="113"/>
      <c r="G250" s="113"/>
      <c r="H250" s="113"/>
      <c r="I250" s="160"/>
      <c r="J250" s="113"/>
      <c r="K250" s="113"/>
      <c r="L250" s="162"/>
      <c r="M250" s="92"/>
      <c r="N250" s="186"/>
      <c r="O250" s="162"/>
      <c r="P250" s="108">
        <v>0</v>
      </c>
    </row>
    <row r="251" spans="1:16" s="108" customFormat="1" ht="11.25">
      <c r="A251" s="12" t="s">
        <v>86</v>
      </c>
      <c r="B251" s="177">
        <f>+B217</f>
        <v>103837.48404453442</v>
      </c>
      <c r="C251" s="228">
        <f t="shared" ref="C251:L251" si="72">+C217</f>
        <v>-24991.07409157775</v>
      </c>
      <c r="D251" s="228">
        <f t="shared" si="72"/>
        <v>-4997.9782953348622</v>
      </c>
      <c r="E251" s="228">
        <f t="shared" si="72"/>
        <v>-22219.394385378877</v>
      </c>
      <c r="F251" s="228">
        <f>+F217</f>
        <v>144577.6094305517</v>
      </c>
      <c r="G251" s="228">
        <f t="shared" si="72"/>
        <v>14077.192973159865</v>
      </c>
      <c r="H251" s="178">
        <f>+H217</f>
        <v>-34026.398431598165</v>
      </c>
      <c r="I251" s="177">
        <f t="shared" si="72"/>
        <v>375410.76305532141</v>
      </c>
      <c r="J251" s="228">
        <f t="shared" si="72"/>
        <v>34476.42389222671</v>
      </c>
      <c r="K251" s="228">
        <f>+K217</f>
        <v>176257.44124435575</v>
      </c>
      <c r="L251" s="178">
        <f t="shared" si="72"/>
        <v>176257.44124435575</v>
      </c>
      <c r="M251" s="225">
        <f>+M217</f>
        <v>-0.90816346443656393</v>
      </c>
      <c r="N251" s="193">
        <f>+N217</f>
        <v>4.1124049813094432</v>
      </c>
      <c r="O251" s="314">
        <f>+O217</f>
        <v>215000.23921696859</v>
      </c>
      <c r="P251" s="108">
        <v>1</v>
      </c>
    </row>
    <row r="252" spans="1:16" s="48" customFormat="1">
      <c r="A252" s="2"/>
      <c r="B252" s="113"/>
      <c r="C252" s="113"/>
      <c r="D252" s="25"/>
      <c r="E252" s="25"/>
      <c r="F252" s="25"/>
      <c r="G252" s="431"/>
      <c r="H252" s="431"/>
      <c r="I252" s="237"/>
      <c r="J252" s="135"/>
      <c r="K252" s="135"/>
      <c r="L252" s="117"/>
      <c r="M252" s="390"/>
      <c r="N252" s="254"/>
      <c r="O252" s="117"/>
      <c r="P252" s="48">
        <v>0</v>
      </c>
    </row>
    <row r="253" spans="1:16" s="48" customFormat="1">
      <c r="A253" s="662" t="s">
        <v>95</v>
      </c>
      <c r="B253" s="1393">
        <f>+Roanne!$G253</f>
        <v>393711.87239999999</v>
      </c>
      <c r="C253" s="1394">
        <f>+Montpe!$G253</f>
        <v>197313.70750000002</v>
      </c>
      <c r="D253" s="1394">
        <f>+STMarcelin!$G253</f>
        <v>64724.98952499999</v>
      </c>
      <c r="E253" s="1394">
        <f>+Nancy!$G253</f>
        <v>198208.88499999998</v>
      </c>
      <c r="F253" s="1394">
        <f>+PSA!$G253</f>
        <v>436435.55592000007</v>
      </c>
      <c r="G253" s="1394">
        <f>+Grenoble!$G253</f>
        <v>475176.77164999995</v>
      </c>
      <c r="H253" s="1395">
        <f>+Grenoble!$G253</f>
        <v>475176.77164999995</v>
      </c>
      <c r="I253" s="1404">
        <f>+Roanne!E253+Montpe!E253+Grenoble!E253++STMarcelin!E253</f>
        <v>1151102.4099999999</v>
      </c>
      <c r="J253" s="1405">
        <f>+Roanne!F253+Montpe!F253+Grenoble!F253+STMarcelin!F253</f>
        <v>0</v>
      </c>
      <c r="K253" s="333">
        <v>4197075.8461050689</v>
      </c>
      <c r="L253" s="1395">
        <f>SUM(B253:G253)</f>
        <v>1765571.7819950001</v>
      </c>
      <c r="M253" s="1411"/>
      <c r="N253" s="1412"/>
      <c r="O253" s="664"/>
      <c r="P253" s="48">
        <v>1</v>
      </c>
    </row>
    <row r="254" spans="1:16">
      <c r="A254" s="662" t="s">
        <v>371</v>
      </c>
      <c r="B254" s="1393">
        <f>+Roanne!$G254</f>
        <v>1130623.35808324</v>
      </c>
      <c r="C254" s="1394">
        <f>+Montpe!$G254</f>
        <v>919756.6467208406</v>
      </c>
      <c r="D254" s="1394">
        <f>+STMarcelin!$G254</f>
        <v>375546.10122174647</v>
      </c>
      <c r="E254" s="1394">
        <f>+Nancy!$G254</f>
        <v>914415.44097223599</v>
      </c>
      <c r="F254" s="1394">
        <f>+PSA!$G254</f>
        <v>2263426.6211872259</v>
      </c>
      <c r="G254" s="1394">
        <f>+Grenoble!$G254</f>
        <v>1614563.1092879712</v>
      </c>
      <c r="H254" s="1395">
        <f>+Grenoble!$G254</f>
        <v>1614563.1092879712</v>
      </c>
      <c r="I254" s="1393">
        <f>+I223</f>
        <v>6914218.9962463882</v>
      </c>
      <c r="J254" s="1394">
        <f>+J223</f>
        <v>7449481.9508430948</v>
      </c>
      <c r="K254" s="295">
        <f>+K223</f>
        <v>7683595.2365372479</v>
      </c>
      <c r="L254" s="1395">
        <f>+L223</f>
        <v>7940010.1991636967</v>
      </c>
      <c r="M254" s="1411">
        <f>+IF((I254)=0,,(J254-I254)/I254)</f>
        <v>7.7414810680322937E-2</v>
      </c>
      <c r="N254" s="1412">
        <f>+IF((J254)=0,,(K254-J254)/J254)</f>
        <v>3.1426787424816471E-2</v>
      </c>
      <c r="O254" s="664">
        <f>+O223</f>
        <v>7438367.7175769098</v>
      </c>
      <c r="P254">
        <v>1</v>
      </c>
    </row>
    <row r="255" spans="1:16" s="48" customFormat="1">
      <c r="A255" s="662" t="s">
        <v>372</v>
      </c>
      <c r="B255" s="1393">
        <f>+Roanne!$G255</f>
        <v>10000</v>
      </c>
      <c r="C255" s="1394">
        <f>+Montpe!$G255</f>
        <v>0</v>
      </c>
      <c r="D255" s="1394">
        <f>+STMarcelin!$G255</f>
        <v>0</v>
      </c>
      <c r="E255" s="1394">
        <f>+Nancy!$G255</f>
        <v>6000</v>
      </c>
      <c r="F255" s="1394">
        <f>+PSA!$G255</f>
        <v>3000</v>
      </c>
      <c r="G255" s="1394">
        <f>+Grenoble!$G255</f>
        <v>24500</v>
      </c>
      <c r="H255" s="1395">
        <f>+Grenoble!$G255</f>
        <v>24500</v>
      </c>
      <c r="I255" s="1393"/>
      <c r="J255" s="1405">
        <v>0</v>
      </c>
      <c r="K255" s="333">
        <v>0</v>
      </c>
      <c r="L255" s="1395">
        <f>SUM(B255:G255)</f>
        <v>43500</v>
      </c>
      <c r="M255" s="1411"/>
      <c r="N255" s="1412"/>
      <c r="O255" s="671">
        <v>0</v>
      </c>
      <c r="P255" s="48">
        <v>1</v>
      </c>
    </row>
    <row r="256" spans="1:16" s="108" customFormat="1" ht="11.25">
      <c r="A256" s="2"/>
      <c r="B256" s="149"/>
      <c r="C256" s="113"/>
      <c r="D256" s="25"/>
      <c r="E256" s="25"/>
      <c r="F256" s="25"/>
      <c r="G256" s="431"/>
      <c r="H256" s="431"/>
      <c r="I256" s="237"/>
      <c r="J256" s="1406"/>
      <c r="K256" s="1406"/>
      <c r="L256" s="135"/>
      <c r="M256" s="25"/>
      <c r="N256" s="25"/>
      <c r="O256" s="2"/>
    </row>
  </sheetData>
  <autoFilter ref="P1:P258"/>
  <phoneticPr fontId="0" type="noConversion"/>
  <printOptions horizontalCentered="1" verticalCentered="1"/>
  <pageMargins left="0" right="0" top="0" bottom="0" header="0.51181102362204722" footer="0.51181102362204722"/>
  <pageSetup paperSize="9" scale="62" fitToHeight="3" orientation="landscape" horizontalDpi="4294967293" verticalDpi="360" r:id="rId1"/>
  <headerFooter alignWithMargins="0"/>
  <rowBreaks count="1" manualBreakCount="1">
    <brk id="22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 enableFormatConditionsCalculation="0">
    <tabColor indexed="10"/>
  </sheetPr>
  <dimension ref="A1:O257"/>
  <sheetViews>
    <sheetView workbookViewId="0">
      <pane xSplit="1" ySplit="7" topLeftCell="E8" activePane="bottomRight" state="frozen"/>
      <selection sqref="A1:IV65536"/>
      <selection pane="topRight" sqref="A1:IV65536"/>
      <selection pane="bottomLeft" sqref="A1:IV65536"/>
      <selection pane="bottomRight" activeCell="F8" sqref="F8"/>
    </sheetView>
  </sheetViews>
  <sheetFormatPr baseColWidth="10" defaultRowHeight="12.75"/>
  <cols>
    <col min="1" max="1" width="72.85546875" bestFit="1" customWidth="1"/>
    <col min="2" max="2" width="11" style="26" bestFit="1" customWidth="1"/>
    <col min="3" max="4" width="9.5703125" style="26" bestFit="1" customWidth="1"/>
    <col min="5" max="5" width="9.28515625" style="26" bestFit="1" customWidth="1"/>
    <col min="6" max="6" width="13" style="28" customWidth="1"/>
    <col min="7" max="7" width="12.7109375" style="28" customWidth="1"/>
    <col min="8" max="8" width="12.7109375" style="335" hidden="1" customWidth="1"/>
    <col min="9" max="9" width="12.28515625" style="26" bestFit="1" customWidth="1"/>
    <col min="10" max="10" width="9.5703125" style="66" customWidth="1"/>
    <col min="11" max="11" width="10.28515625" style="66" customWidth="1"/>
    <col min="12" max="12" width="13.7109375" style="26" bestFit="1" customWidth="1"/>
    <col min="13" max="13" width="11.7109375" bestFit="1" customWidth="1"/>
  </cols>
  <sheetData>
    <row r="1" spans="1:15">
      <c r="A1" s="1" t="s">
        <v>515</v>
      </c>
      <c r="F1" s="45" t="s">
        <v>299</v>
      </c>
      <c r="G1" s="45"/>
      <c r="H1" s="338"/>
    </row>
    <row r="2" spans="1:15">
      <c r="N2" s="353" t="s">
        <v>382</v>
      </c>
    </row>
    <row r="3" spans="1:15" s="2" customFormat="1">
      <c r="A3" s="239"/>
      <c r="B3" s="155"/>
      <c r="C3" s="211"/>
      <c r="D3" s="211"/>
      <c r="E3" s="200"/>
      <c r="F3" s="267" t="s">
        <v>55</v>
      </c>
      <c r="G3" s="130" t="s">
        <v>364</v>
      </c>
      <c r="H3" s="130" t="s">
        <v>543</v>
      </c>
      <c r="I3" s="104" t="s">
        <v>196</v>
      </c>
      <c r="J3" s="151" t="s">
        <v>225</v>
      </c>
      <c r="K3" s="183" t="s">
        <v>225</v>
      </c>
      <c r="L3" s="104" t="s">
        <v>196</v>
      </c>
      <c r="M3" s="2">
        <v>1</v>
      </c>
    </row>
    <row r="4" spans="1:15" s="2" customFormat="1" ht="18">
      <c r="A4" s="240" t="s">
        <v>252</v>
      </c>
      <c r="B4" s="212" t="s">
        <v>217</v>
      </c>
      <c r="C4" s="213" t="s">
        <v>231</v>
      </c>
      <c r="D4" s="213" t="s">
        <v>233</v>
      </c>
      <c r="E4" s="214" t="s">
        <v>234</v>
      </c>
      <c r="F4" s="260" t="s">
        <v>366</v>
      </c>
      <c r="G4" s="131" t="s">
        <v>366</v>
      </c>
      <c r="H4" s="131" t="s">
        <v>432</v>
      </c>
      <c r="I4" s="105" t="s">
        <v>197</v>
      </c>
      <c r="J4" s="152" t="s">
        <v>55</v>
      </c>
      <c r="K4" s="131" t="s">
        <v>432</v>
      </c>
      <c r="L4" s="105" t="s">
        <v>197</v>
      </c>
      <c r="M4" s="2">
        <v>1</v>
      </c>
    </row>
    <row r="5" spans="1:15" s="2" customFormat="1" ht="18">
      <c r="A5" s="240"/>
      <c r="B5" s="212"/>
      <c r="C5" s="213"/>
      <c r="D5" s="213"/>
      <c r="E5" s="214" t="s">
        <v>378</v>
      </c>
      <c r="F5" s="215">
        <f>F217</f>
        <v>685335.08940000029</v>
      </c>
      <c r="G5" s="215">
        <f>G217</f>
        <v>255250.70823526336</v>
      </c>
      <c r="H5" s="215">
        <f>H217</f>
        <v>833124.69698819029</v>
      </c>
      <c r="I5" s="201">
        <f>I217</f>
        <v>833124.69698819029</v>
      </c>
      <c r="J5" s="152"/>
      <c r="K5" s="132" t="s">
        <v>433</v>
      </c>
      <c r="L5" s="106"/>
      <c r="M5" s="2">
        <v>1</v>
      </c>
    </row>
    <row r="6" spans="1:15" s="2" customFormat="1" ht="20.25" customHeight="1">
      <c r="A6" s="241" t="s">
        <v>236</v>
      </c>
      <c r="B6" s="158"/>
      <c r="C6" s="216"/>
      <c r="D6" s="216"/>
      <c r="E6" s="202"/>
      <c r="F6" s="269">
        <v>2009</v>
      </c>
      <c r="G6" s="133">
        <v>2010</v>
      </c>
      <c r="H6" s="133">
        <v>2009</v>
      </c>
      <c r="I6" s="159">
        <v>2011</v>
      </c>
      <c r="J6" s="153" t="s">
        <v>544</v>
      </c>
      <c r="K6" s="185" t="s">
        <v>368</v>
      </c>
      <c r="L6" s="107"/>
      <c r="M6" s="2">
        <v>1</v>
      </c>
    </row>
    <row r="7" spans="1:15" s="25" customFormat="1" ht="11.25">
      <c r="A7" s="242"/>
      <c r="B7" s="248"/>
      <c r="C7" s="249"/>
      <c r="D7" s="249"/>
      <c r="E7" s="250"/>
      <c r="F7" s="160"/>
      <c r="G7" s="134"/>
      <c r="I7" s="154"/>
      <c r="J7" s="149"/>
      <c r="K7" s="186"/>
      <c r="L7" s="115"/>
      <c r="M7" s="25">
        <v>0</v>
      </c>
    </row>
    <row r="8" spans="1:15" s="25" customFormat="1">
      <c r="A8" s="237" t="s">
        <v>221</v>
      </c>
      <c r="B8" s="113">
        <f>+Bretagne!G8</f>
        <v>1411600</v>
      </c>
      <c r="C8" s="113">
        <f>+Centre!O8</f>
        <v>8927876</v>
      </c>
      <c r="D8" s="113">
        <f>+Nord!R8</f>
        <v>10391204</v>
      </c>
      <c r="E8" s="113">
        <f>Sud!L8</f>
        <v>8593188</v>
      </c>
      <c r="F8" s="160">
        <f>+Bretagne!D8+Centre!L8+Nord!O8+Sud!I8</f>
        <v>20760194.509999998</v>
      </c>
      <c r="G8" s="135">
        <f>+Bretagne!E8+Centre!M8+Nord!P8+Sud!J8</f>
        <v>27094466.339901194</v>
      </c>
      <c r="H8" s="113">
        <f>+Bretagne!F8+Centre!N8+Nord!Q8+Sud!K8</f>
        <v>29323868</v>
      </c>
      <c r="I8" s="161">
        <f>+Bretagne!G8+Centre!O8+Nord!R8+Sud!L8</f>
        <v>29323868</v>
      </c>
      <c r="J8" s="149">
        <f>+IF((F8)=0,,(G8-F8)/F8)</f>
        <v>0.30511620817666396</v>
      </c>
      <c r="K8" s="1167">
        <f>+IF((G8)=0,,(I8-G8)/G8)</f>
        <v>8.2282545525380363E-2</v>
      </c>
      <c r="L8" s="408">
        <f>+Bretagne!J8+Centre!R8+Nord!U8+Sud!O8</f>
        <v>29171436.608400002</v>
      </c>
      <c r="M8" s="113">
        <v>1</v>
      </c>
      <c r="N8" s="25" t="e">
        <f ca="1">_xll.PALO.SETDATA(+A8,FALSE,"palo/Bati_fin","Reporting","Avril",$I$6,+$A$6,+A8,"NA",+$I$3)</f>
        <v>#NULL!</v>
      </c>
      <c r="O8" s="1422" t="str">
        <f ca="1">_xll.PALO.DATAC($A$1,$A$2,$A$3,$A$4,$A$5,$A8,$B8,O$7)</f>
        <v/>
      </c>
    </row>
    <row r="9" spans="1:15" s="2" customFormat="1" ht="11.25">
      <c r="A9" s="237" t="s">
        <v>422</v>
      </c>
      <c r="B9" s="160">
        <f>+Bretagne!G9</f>
        <v>0</v>
      </c>
      <c r="C9" s="113">
        <f>+Centre!O9</f>
        <v>0</v>
      </c>
      <c r="D9" s="113">
        <f>+Nord!R9</f>
        <v>0</v>
      </c>
      <c r="E9" s="162">
        <f>Sud!L9</f>
        <v>0</v>
      </c>
      <c r="F9" s="160">
        <f>+Bretagne!D9+Centre!L9+Nord!O9+Sud!I9</f>
        <v>6088619.5999999996</v>
      </c>
      <c r="G9" s="135">
        <f>+Bretagne!E9+Centre!M9+Nord!P9+Sud!J9</f>
        <v>0</v>
      </c>
      <c r="H9" s="113">
        <f>+Bretagne!F9+Centre!N9+Nord!Q9+Sud!K9</f>
        <v>0</v>
      </c>
      <c r="I9" s="161">
        <f>+Bretagne!G9+Centre!O9+Nord!R9+Sud!L9</f>
        <v>0</v>
      </c>
      <c r="J9" s="149">
        <f t="shared" ref="J9:J19" si="0">+IF((F9)=0,,(G9-F9)/F9)</f>
        <v>-1</v>
      </c>
      <c r="K9" s="271">
        <f t="shared" ref="K9:K19" si="1">+IF((G9)=0,,(I9-G9)/G9)</f>
        <v>0</v>
      </c>
      <c r="L9" s="117">
        <f>+Bretagne!J9+Centre!R9+Nord!U9+Sud!O9</f>
        <v>0</v>
      </c>
      <c r="M9" s="17">
        <v>0</v>
      </c>
    </row>
    <row r="10" spans="1:15" s="2" customFormat="1" ht="11.25">
      <c r="A10" s="237" t="s">
        <v>84</v>
      </c>
      <c r="B10" s="160">
        <f>+Bretagne!G10</f>
        <v>0</v>
      </c>
      <c r="C10" s="113">
        <f>+Centre!O10</f>
        <v>0</v>
      </c>
      <c r="D10" s="113">
        <f>+Nord!R10</f>
        <v>0</v>
      </c>
      <c r="E10" s="162">
        <f>Sud!L10</f>
        <v>0</v>
      </c>
      <c r="F10" s="160">
        <f>+Bretagne!D10+Centre!L10+Nord!O10+Sud!I10</f>
        <v>0</v>
      </c>
      <c r="G10" s="135">
        <f>+Bretagne!E10+Centre!M10+Nord!P10+Sud!J10</f>
        <v>0</v>
      </c>
      <c r="H10" s="113">
        <f>+Bretagne!F10+Centre!N10+Nord!Q10+Sud!K10</f>
        <v>0</v>
      </c>
      <c r="I10" s="161">
        <f>+Bretagne!G10+Centre!O10+Nord!R10+Sud!L10</f>
        <v>0</v>
      </c>
      <c r="J10" s="149">
        <f t="shared" si="0"/>
        <v>0</v>
      </c>
      <c r="K10" s="271">
        <f t="shared" si="1"/>
        <v>0</v>
      </c>
      <c r="L10" s="116">
        <f>+Bretagne!J10+Centre!R10+Nord!U10+Sud!O10</f>
        <v>0</v>
      </c>
      <c r="M10" s="17">
        <v>0</v>
      </c>
    </row>
    <row r="11" spans="1:15" s="2" customFormat="1" ht="11.25">
      <c r="A11" s="237" t="s">
        <v>267</v>
      </c>
      <c r="B11" s="160">
        <f>+Bretagne!G11</f>
        <v>0</v>
      </c>
      <c r="C11" s="113">
        <f>+Centre!O11</f>
        <v>0</v>
      </c>
      <c r="D11" s="113">
        <f>+Nord!R11</f>
        <v>292.93199999999996</v>
      </c>
      <c r="E11" s="162">
        <f>Sud!L11</f>
        <v>0</v>
      </c>
      <c r="F11" s="160">
        <f>+Bretagne!D11+Centre!L11+Nord!O11+Sud!I11</f>
        <v>7789.2100000000009</v>
      </c>
      <c r="G11" s="135">
        <f>+Bretagne!E11+Centre!M11+Nord!P11+Sud!J11</f>
        <v>5100.3500000000004</v>
      </c>
      <c r="H11" s="113">
        <f>+Bretagne!F11+Centre!N11+Nord!Q11+Sud!K11</f>
        <v>292.93199999999996</v>
      </c>
      <c r="I11" s="161">
        <f>+Bretagne!G11+Centre!O11+Nord!R11+Sud!L11</f>
        <v>292.93199999999996</v>
      </c>
      <c r="J11" s="149">
        <f t="shared" si="0"/>
        <v>-0.34520317208035223</v>
      </c>
      <c r="K11" s="271">
        <f t="shared" si="1"/>
        <v>-0.94256629446998741</v>
      </c>
      <c r="L11" s="116">
        <f>+Bretagne!J11+Centre!R11+Nord!U11+Sud!O11</f>
        <v>0</v>
      </c>
      <c r="M11" s="17">
        <v>0</v>
      </c>
    </row>
    <row r="12" spans="1:15" s="2" customFormat="1" ht="11.25">
      <c r="A12" s="237" t="s">
        <v>46</v>
      </c>
      <c r="B12" s="160">
        <f>+Bretagne!G12</f>
        <v>0</v>
      </c>
      <c r="C12" s="113">
        <f>+Centre!O12</f>
        <v>0</v>
      </c>
      <c r="D12" s="113">
        <f>+Nord!R12</f>
        <v>0</v>
      </c>
      <c r="E12" s="162">
        <f>Sud!L12</f>
        <v>0</v>
      </c>
      <c r="F12" s="160">
        <f>+Bretagne!D12+Centre!L12+Nord!O12+Sud!I12</f>
        <v>0</v>
      </c>
      <c r="G12" s="135">
        <f>+Bretagne!E12+Centre!M12+Nord!P12+Sud!J12</f>
        <v>0</v>
      </c>
      <c r="H12" s="113">
        <f>+Bretagne!F12+Centre!N12+Nord!Q12+Sud!K12</f>
        <v>0</v>
      </c>
      <c r="I12" s="161">
        <f>+Bretagne!G12+Centre!O12+Nord!R12+Sud!L12</f>
        <v>0</v>
      </c>
      <c r="J12" s="149">
        <f t="shared" si="0"/>
        <v>0</v>
      </c>
      <c r="K12" s="271">
        <f t="shared" si="1"/>
        <v>0</v>
      </c>
      <c r="L12" s="116">
        <f>+Bretagne!J12+Centre!R12+Nord!U12+Sud!O12</f>
        <v>0</v>
      </c>
      <c r="M12" s="17">
        <v>0</v>
      </c>
    </row>
    <row r="13" spans="1:15" s="2" customFormat="1" ht="11.25">
      <c r="A13" s="237" t="s">
        <v>268</v>
      </c>
      <c r="B13" s="160">
        <f>+Bretagne!G13</f>
        <v>0</v>
      </c>
      <c r="C13" s="113">
        <f>+Centre!O13</f>
        <v>0</v>
      </c>
      <c r="D13" s="113">
        <f>+Nord!R13</f>
        <v>0</v>
      </c>
      <c r="E13" s="162">
        <f>Sud!L13</f>
        <v>0</v>
      </c>
      <c r="F13" s="160">
        <f>+Bretagne!D13+Centre!L13+Nord!O13+Sud!I13</f>
        <v>175392.09000000003</v>
      </c>
      <c r="G13" s="135">
        <f>+Bretagne!E13+Centre!M13+Nord!P13+Sud!J13</f>
        <v>88335.443333333329</v>
      </c>
      <c r="H13" s="113">
        <f>+Bretagne!F13+Centre!N13+Nord!Q13+Sud!K13</f>
        <v>0</v>
      </c>
      <c r="I13" s="161">
        <f>+Bretagne!G13+Centre!O13+Nord!R13+Sud!L13</f>
        <v>0</v>
      </c>
      <c r="J13" s="149">
        <f t="shared" si="0"/>
        <v>-0.49635446311556403</v>
      </c>
      <c r="K13" s="271">
        <f t="shared" si="1"/>
        <v>-1</v>
      </c>
      <c r="L13" s="116">
        <f>+Bretagne!J13+Centre!R13+Nord!U13+Sud!O13</f>
        <v>0</v>
      </c>
      <c r="M13" s="17">
        <v>0</v>
      </c>
    </row>
    <row r="14" spans="1:15" s="2" customFormat="1" ht="11.25">
      <c r="A14" s="237" t="s">
        <v>269</v>
      </c>
      <c r="B14" s="160">
        <f>+Bretagne!G14</f>
        <v>0</v>
      </c>
      <c r="C14" s="113">
        <f>+Centre!O14</f>
        <v>0</v>
      </c>
      <c r="D14" s="113">
        <f>+Nord!R14</f>
        <v>556.71500000000003</v>
      </c>
      <c r="E14" s="162">
        <f>Sud!L14</f>
        <v>0</v>
      </c>
      <c r="F14" s="160">
        <f>+Bretagne!D14+Centre!L14+Nord!O14+Sud!I14</f>
        <v>7586.8499999999995</v>
      </c>
      <c r="G14" s="135">
        <f>+Bretagne!E14+Centre!M14+Nord!P14+Sud!J14</f>
        <v>5861.0733333333328</v>
      </c>
      <c r="H14" s="113">
        <f>+Bretagne!F14+Centre!N14+Nord!Q14+Sud!K14</f>
        <v>556.71500000000003</v>
      </c>
      <c r="I14" s="161">
        <f>+Bretagne!G14+Centre!O14+Nord!R14+Sud!L14</f>
        <v>556.71500000000003</v>
      </c>
      <c r="J14" s="149">
        <f t="shared" si="0"/>
        <v>-0.22746945921781328</v>
      </c>
      <c r="K14" s="271">
        <f t="shared" si="1"/>
        <v>-0.90501483801033022</v>
      </c>
      <c r="L14" s="116">
        <f>+Bretagne!J14+Centre!R14+Nord!U14+Sud!O14</f>
        <v>0</v>
      </c>
      <c r="M14" s="17">
        <v>0</v>
      </c>
    </row>
    <row r="15" spans="1:15" s="2" customFormat="1" ht="11.25">
      <c r="A15" s="237" t="s">
        <v>270</v>
      </c>
      <c r="B15" s="160">
        <f>+Bretagne!G15</f>
        <v>0</v>
      </c>
      <c r="C15" s="113">
        <f>+Centre!O15</f>
        <v>0</v>
      </c>
      <c r="D15" s="113">
        <f>+Nord!R15</f>
        <v>0</v>
      </c>
      <c r="E15" s="162">
        <f>Sud!L15</f>
        <v>0</v>
      </c>
      <c r="F15" s="160">
        <f>+Bretagne!D15+Centre!L15+Nord!O15+Sud!I15</f>
        <v>46414</v>
      </c>
      <c r="G15" s="135">
        <f>+Bretagne!E15+Centre!M15+Nord!P15+Sud!J15</f>
        <v>33925.666666666664</v>
      </c>
      <c r="H15" s="113">
        <f>+Bretagne!F15+Centre!N15+Nord!Q15+Sud!K15</f>
        <v>0</v>
      </c>
      <c r="I15" s="161">
        <f>+Bretagne!G15+Centre!O15+Nord!R15+Sud!L15</f>
        <v>0</v>
      </c>
      <c r="J15" s="149">
        <f t="shared" si="0"/>
        <v>-0.26906393185964012</v>
      </c>
      <c r="K15" s="271">
        <f t="shared" si="1"/>
        <v>-1</v>
      </c>
      <c r="L15" s="116">
        <f>+Bretagne!J15+Centre!R15+Nord!U15+Sud!O15</f>
        <v>0</v>
      </c>
      <c r="M15" s="17">
        <v>0</v>
      </c>
    </row>
    <row r="16" spans="1:15" s="2" customFormat="1" ht="11.25">
      <c r="A16" s="237" t="s">
        <v>85</v>
      </c>
      <c r="B16" s="160">
        <f>+Bretagne!G16</f>
        <v>0</v>
      </c>
      <c r="C16" s="113">
        <f>+Centre!O16</f>
        <v>0</v>
      </c>
      <c r="D16" s="113">
        <f>+Nord!R16</f>
        <v>0</v>
      </c>
      <c r="E16" s="162">
        <f>Sud!L16</f>
        <v>0</v>
      </c>
      <c r="F16" s="160">
        <f>+Bretagne!D16+Centre!L16+Nord!O16+Sud!I16</f>
        <v>344.14</v>
      </c>
      <c r="G16" s="135">
        <f>+Bretagne!E16+Centre!M16+Nord!P16+Sud!J16</f>
        <v>0</v>
      </c>
      <c r="H16" s="113">
        <f>+Bretagne!F16+Centre!N16+Nord!Q16+Sud!K16</f>
        <v>0</v>
      </c>
      <c r="I16" s="161">
        <f>+Bretagne!G16+Centre!O16+Nord!R16+Sud!L16</f>
        <v>0</v>
      </c>
      <c r="J16" s="149">
        <f t="shared" si="0"/>
        <v>-1</v>
      </c>
      <c r="K16" s="271">
        <f t="shared" si="1"/>
        <v>0</v>
      </c>
      <c r="L16" s="117">
        <f>+Bretagne!J16+Centre!R16+Nord!U16+Sud!O16</f>
        <v>0</v>
      </c>
      <c r="M16" s="17">
        <v>0</v>
      </c>
    </row>
    <row r="17" spans="1:13" s="2" customFormat="1" ht="11.25">
      <c r="A17" s="237" t="s">
        <v>88</v>
      </c>
      <c r="B17" s="160">
        <f>+Bretagne!G17</f>
        <v>0</v>
      </c>
      <c r="C17" s="113">
        <f>+Centre!O17</f>
        <v>0</v>
      </c>
      <c r="D17" s="113">
        <f>+Nord!R17</f>
        <v>0</v>
      </c>
      <c r="E17" s="162">
        <f>Sud!L17</f>
        <v>0</v>
      </c>
      <c r="F17" s="160">
        <f>+Bretagne!D17+Centre!L17+Nord!O17+Sud!I17</f>
        <v>0</v>
      </c>
      <c r="G17" s="135">
        <f>+Bretagne!E17+Centre!M17+Nord!P17+Sud!J17</f>
        <v>0</v>
      </c>
      <c r="H17" s="113">
        <f>+Bretagne!F17+Centre!N17+Nord!Q17+Sud!K17</f>
        <v>0</v>
      </c>
      <c r="I17" s="161">
        <f>+Bretagne!G17+Centre!O17+Nord!R17+Sud!L17</f>
        <v>0</v>
      </c>
      <c r="J17" s="149">
        <f t="shared" si="0"/>
        <v>0</v>
      </c>
      <c r="K17" s="271">
        <f t="shared" si="1"/>
        <v>0</v>
      </c>
      <c r="L17" s="117">
        <f>+Bretagne!J17+Centre!R17+Nord!U17+Sud!O17</f>
        <v>0</v>
      </c>
      <c r="M17" s="17">
        <v>0</v>
      </c>
    </row>
    <row r="18" spans="1:13" s="2" customFormat="1" ht="11.25">
      <c r="A18" s="237" t="s">
        <v>89</v>
      </c>
      <c r="B18" s="160">
        <f>+Bretagne!G18</f>
        <v>0</v>
      </c>
      <c r="C18" s="113">
        <f>+Centre!O18</f>
        <v>0</v>
      </c>
      <c r="D18" s="113">
        <f>+Nord!R18</f>
        <v>0</v>
      </c>
      <c r="E18" s="162">
        <f>Sud!L18</f>
        <v>0</v>
      </c>
      <c r="F18" s="160">
        <f>+Bretagne!D18+Centre!L18+Nord!O18+Sud!I18</f>
        <v>0</v>
      </c>
      <c r="G18" s="135">
        <f>+Bretagne!E18+Centre!M18+Nord!P18+Sud!J18</f>
        <v>0</v>
      </c>
      <c r="H18" s="113">
        <f>+Bretagne!F18+Centre!N18+Nord!Q18+Sud!K18</f>
        <v>0</v>
      </c>
      <c r="I18" s="161">
        <f>+Bretagne!G18+Centre!O18+Nord!R18+Sud!L18</f>
        <v>0</v>
      </c>
      <c r="J18" s="149">
        <f t="shared" si="0"/>
        <v>0</v>
      </c>
      <c r="K18" s="271">
        <f t="shared" si="1"/>
        <v>0</v>
      </c>
      <c r="L18" s="117">
        <f>+Bretagne!J18+Centre!R18+Nord!U18+Sud!O18</f>
        <v>0</v>
      </c>
      <c r="M18" s="17">
        <v>0</v>
      </c>
    </row>
    <row r="19" spans="1:13" s="2" customFormat="1" ht="11.25">
      <c r="A19" s="237" t="s">
        <v>90</v>
      </c>
      <c r="B19" s="160">
        <f>+Bretagne!G19</f>
        <v>0</v>
      </c>
      <c r="C19" s="113">
        <f>+Centre!O19</f>
        <v>0</v>
      </c>
      <c r="D19" s="113">
        <f>+Nord!R19</f>
        <v>0</v>
      </c>
      <c r="E19" s="162">
        <f>Sud!L19</f>
        <v>0</v>
      </c>
      <c r="F19" s="160">
        <f>+Bretagne!D19+Centre!L19+Nord!O19+Sud!I19</f>
        <v>0</v>
      </c>
      <c r="G19" s="135">
        <f>+Bretagne!E19+Centre!M19+Nord!P19+Sud!J19</f>
        <v>1676.2799999999988</v>
      </c>
      <c r="H19" s="113">
        <f>+Bretagne!F19+Centre!N19+Nord!Q19+Sud!K19</f>
        <v>0</v>
      </c>
      <c r="I19" s="161">
        <f>+Bretagne!G19+Centre!O19+Nord!R19+Sud!L19</f>
        <v>0</v>
      </c>
      <c r="J19" s="149">
        <f t="shared" si="0"/>
        <v>0</v>
      </c>
      <c r="K19" s="271">
        <f t="shared" si="1"/>
        <v>-1</v>
      </c>
      <c r="L19" s="117">
        <f>+Bretagne!J19+Centre!R19+Nord!U19+Sud!O19</f>
        <v>0</v>
      </c>
      <c r="M19" s="17">
        <v>0</v>
      </c>
    </row>
    <row r="20" spans="1:13" s="2" customFormat="1" ht="11.25">
      <c r="A20" s="237"/>
      <c r="B20" s="160"/>
      <c r="C20" s="113"/>
      <c r="D20" s="113"/>
      <c r="E20" s="162"/>
      <c r="F20" s="160"/>
      <c r="G20" s="134"/>
      <c r="H20" s="25"/>
      <c r="I20" s="154"/>
      <c r="J20" s="149"/>
      <c r="K20" s="254"/>
      <c r="L20" s="115">
        <f>+Bretagne!J20+Centre!R20+Nord!U20+Sud!O20</f>
        <v>0</v>
      </c>
      <c r="M20" s="17">
        <v>0</v>
      </c>
    </row>
    <row r="21" spans="1:13" s="2" customFormat="1" ht="11.25">
      <c r="A21" s="13" t="s">
        <v>222</v>
      </c>
      <c r="B21" s="163">
        <f>SUM(B8:B20)</f>
        <v>1411600</v>
      </c>
      <c r="C21" s="204">
        <f>SUM(C8:C20)</f>
        <v>8927876</v>
      </c>
      <c r="D21" s="204">
        <f>SUM(D8:D20)</f>
        <v>10392053.647</v>
      </c>
      <c r="E21" s="168">
        <f>SUM(E8:E20)</f>
        <v>8593188</v>
      </c>
      <c r="F21" s="163">
        <f>SUM(F7:F20)</f>
        <v>27086340.400000002</v>
      </c>
      <c r="G21" s="136">
        <f>SUM(G7:G20)</f>
        <v>27229365.15323453</v>
      </c>
      <c r="H21" s="204">
        <f>SUM(H7:H20)</f>
        <v>29324717.647</v>
      </c>
      <c r="I21" s="118">
        <f>SUM(I7:I20)</f>
        <v>29324717.647</v>
      </c>
      <c r="J21" s="1203">
        <f>+IF((F21)=0,,(G21-F21)/F21)</f>
        <v>5.2803276899867947E-3</v>
      </c>
      <c r="K21" s="188">
        <f>+IF((G21)=0,,(I21-G21)/G21)</f>
        <v>7.6951940743890834E-2</v>
      </c>
      <c r="L21" s="312">
        <f>+Bretagne!J21+Centre!R21+Nord!U21+Sud!O21</f>
        <v>29171436.608400002</v>
      </c>
      <c r="M21" s="17">
        <v>1</v>
      </c>
    </row>
    <row r="22" spans="1:13" s="57" customFormat="1" ht="15" customHeight="1">
      <c r="A22" s="237"/>
      <c r="B22" s="160"/>
      <c r="C22" s="113"/>
      <c r="D22" s="113"/>
      <c r="E22" s="162"/>
      <c r="F22" s="160"/>
      <c r="G22" s="134"/>
      <c r="H22" s="25"/>
      <c r="I22" s="154"/>
      <c r="J22" s="149"/>
      <c r="K22" s="271"/>
      <c r="L22" s="115">
        <f>+Bretagne!J22+Centre!R22+Nord!U22+Sud!O22</f>
        <v>0</v>
      </c>
      <c r="M22" s="17">
        <v>0</v>
      </c>
    </row>
    <row r="23" spans="1:13" s="57" customFormat="1" ht="15" customHeight="1">
      <c r="A23" s="237" t="s">
        <v>92</v>
      </c>
      <c r="B23" s="160">
        <f>+Bretagne!G23</f>
        <v>0</v>
      </c>
      <c r="C23" s="113">
        <f>+Centre!O23</f>
        <v>0</v>
      </c>
      <c r="D23" s="113">
        <f>+Nord!R23</f>
        <v>0</v>
      </c>
      <c r="E23" s="162">
        <f>Sud!L23</f>
        <v>0</v>
      </c>
      <c r="F23" s="160">
        <f>+Bretagne!D23+Centre!L23+Nord!O23+Sud!I23</f>
        <v>906.11</v>
      </c>
      <c r="G23" s="134"/>
      <c r="H23" s="113"/>
      <c r="I23" s="161"/>
      <c r="J23" s="149"/>
      <c r="K23" s="271"/>
      <c r="L23" s="115">
        <f>+Bretagne!J23+Centre!R23+Nord!U23+Sud!O23</f>
        <v>0</v>
      </c>
      <c r="M23" s="17">
        <v>0</v>
      </c>
    </row>
    <row r="24" spans="1:13" s="2" customFormat="1" ht="11.25">
      <c r="A24" s="5" t="s">
        <v>93</v>
      </c>
      <c r="B24" s="160">
        <f>+Bretagne!G24</f>
        <v>0</v>
      </c>
      <c r="C24" s="113">
        <f>+Centre!O24</f>
        <v>0</v>
      </c>
      <c r="D24" s="113">
        <f>+Nord!R24</f>
        <v>3823977.6330911499</v>
      </c>
      <c r="E24" s="162">
        <f>Sud!L24</f>
        <v>3527091.4255050002</v>
      </c>
      <c r="F24" s="160">
        <f>+Bretagne!D24+Centre!L24+Nord!O24+Sud!I24</f>
        <v>9095542.9900000002</v>
      </c>
      <c r="G24" s="134"/>
      <c r="H24" s="113"/>
      <c r="I24" s="161"/>
      <c r="J24" s="92"/>
      <c r="K24" s="271"/>
      <c r="L24" s="400">
        <f>+Bretagne!J24+Centre!R24+Nord!U24+Sud!O24</f>
        <v>0</v>
      </c>
      <c r="M24" s="17">
        <v>1</v>
      </c>
    </row>
    <row r="25" spans="1:13" s="2" customFormat="1" ht="11.25">
      <c r="A25" s="237" t="s">
        <v>94</v>
      </c>
      <c r="B25" s="160">
        <f>+Bretagne!G25</f>
        <v>0</v>
      </c>
      <c r="C25" s="113">
        <f>+Centre!O25</f>
        <v>0</v>
      </c>
      <c r="D25" s="113">
        <f>+Nord!R25</f>
        <v>0</v>
      </c>
      <c r="E25" s="162">
        <f>Sud!L25</f>
        <v>0</v>
      </c>
      <c r="F25" s="160">
        <f>+Bretagne!D25+Centre!L25+Nord!O25+Sud!I25</f>
        <v>890990.03</v>
      </c>
      <c r="G25" s="134"/>
      <c r="H25" s="113"/>
      <c r="I25" s="161"/>
      <c r="J25" s="149"/>
      <c r="K25" s="271"/>
      <c r="L25" s="115">
        <f>+Bretagne!J25+Centre!R25+Nord!U25+Sud!O25</f>
        <v>0</v>
      </c>
      <c r="M25" s="17">
        <v>0</v>
      </c>
    </row>
    <row r="26" spans="1:13" s="2" customFormat="1" ht="11.25">
      <c r="A26" s="237" t="s">
        <v>288</v>
      </c>
      <c r="B26" s="160">
        <f>+Bretagne!G26</f>
        <v>0</v>
      </c>
      <c r="C26" s="113">
        <f>+Centre!O26</f>
        <v>0</v>
      </c>
      <c r="D26" s="113">
        <f>+Nord!R26</f>
        <v>0</v>
      </c>
      <c r="E26" s="162">
        <f>Sud!L26</f>
        <v>0</v>
      </c>
      <c r="F26" s="160">
        <f>+Bretagne!D26+Centre!L26+Nord!O26+Sud!I26</f>
        <v>1907475</v>
      </c>
      <c r="G26" s="134"/>
      <c r="H26" s="113"/>
      <c r="I26" s="161"/>
      <c r="J26" s="149"/>
      <c r="K26" s="271"/>
      <c r="L26" s="115">
        <f>+Bretagne!J26+Centre!R26+Nord!U26+Sud!O26</f>
        <v>0</v>
      </c>
      <c r="M26" s="17">
        <v>0</v>
      </c>
    </row>
    <row r="27" spans="1:13" s="57" customFormat="1" ht="15" customHeight="1">
      <c r="A27" s="237" t="s">
        <v>289</v>
      </c>
      <c r="B27" s="160">
        <f>+Bretagne!G27</f>
        <v>0</v>
      </c>
      <c r="C27" s="113">
        <f>+Centre!O27</f>
        <v>0</v>
      </c>
      <c r="D27" s="113">
        <f>+Nord!R27</f>
        <v>0</v>
      </c>
      <c r="E27" s="162">
        <f>Sud!L27</f>
        <v>0</v>
      </c>
      <c r="F27" s="160">
        <f>+Bretagne!D27+Centre!L27+Nord!O27+Sud!I27</f>
        <v>-1907549</v>
      </c>
      <c r="G27" s="134"/>
      <c r="H27" s="113"/>
      <c r="I27" s="161"/>
      <c r="J27" s="149"/>
      <c r="K27" s="271"/>
      <c r="L27" s="115">
        <f>+Bretagne!J27+Centre!R27+Nord!U27+Sud!O27</f>
        <v>0</v>
      </c>
      <c r="M27" s="17">
        <v>0</v>
      </c>
    </row>
    <row r="28" spans="1:13" s="57" customFormat="1" ht="15" customHeight="1">
      <c r="A28" s="5" t="s">
        <v>95</v>
      </c>
      <c r="B28" s="160">
        <f>+Bretagne!G28</f>
        <v>390000</v>
      </c>
      <c r="C28" s="113">
        <f>+Centre!O28</f>
        <v>1885000</v>
      </c>
      <c r="D28" s="113">
        <f>+Nord!R28</f>
        <v>2771547.6413918501</v>
      </c>
      <c r="E28" s="162">
        <f>Sud!L28</f>
        <v>1938768.3719949999</v>
      </c>
      <c r="F28" s="160">
        <f>+Bretagne!D28+Centre!L28+Nord!O28+Sud!I28</f>
        <v>6638555.9099999992</v>
      </c>
      <c r="G28" s="135">
        <f>+Bretagne!E28+Centre!M28+Nord!P28+Sud!J28</f>
        <v>0</v>
      </c>
      <c r="H28" s="113"/>
      <c r="I28" s="161"/>
      <c r="J28" s="92"/>
      <c r="K28" s="271"/>
      <c r="L28" s="400">
        <f>+Bretagne!J28+Centre!R28+Nord!U28+Sud!O28</f>
        <v>5.8902358342175232</v>
      </c>
      <c r="M28" s="17">
        <v>1</v>
      </c>
    </row>
    <row r="29" spans="1:13" s="2" customFormat="1" ht="11.25">
      <c r="A29" s="1168" t="s">
        <v>293</v>
      </c>
      <c r="B29" s="1169">
        <f>+Bretagne!G29</f>
        <v>0</v>
      </c>
      <c r="C29" s="1170">
        <f>+Centre!O29</f>
        <v>0</v>
      </c>
      <c r="D29" s="1170">
        <f>+Nord!R29</f>
        <v>0</v>
      </c>
      <c r="E29" s="371">
        <f>Sud!L29</f>
        <v>0</v>
      </c>
      <c r="F29" s="1169">
        <f>+Bretagne!D29+Centre!L29+Nord!O29+Sud!I29</f>
        <v>291350.58999999997</v>
      </c>
      <c r="G29" s="1171"/>
      <c r="H29" s="1170"/>
      <c r="I29" s="1172"/>
      <c r="J29" s="1173"/>
      <c r="K29" s="1174"/>
      <c r="L29" s="1175">
        <f>+Bretagne!J29+Centre!R29+Nord!U29+Sud!O29</f>
        <v>0</v>
      </c>
      <c r="M29" s="17">
        <v>0</v>
      </c>
    </row>
    <row r="30" spans="1:13" s="2" customFormat="1" ht="11.25">
      <c r="A30" s="42" t="s">
        <v>292</v>
      </c>
      <c r="B30" s="164">
        <f>SUM(B23:B29)</f>
        <v>390000</v>
      </c>
      <c r="C30" s="220">
        <f>SUM(C23:C29)</f>
        <v>1885000</v>
      </c>
      <c r="D30" s="220">
        <f>SUM(D23:D29)</f>
        <v>6595525.2744829999</v>
      </c>
      <c r="E30" s="165">
        <f>SUM(E23:E29)</f>
        <v>5465859.7975000003</v>
      </c>
      <c r="F30" s="164">
        <f>SUM(F23:F29)</f>
        <v>16917271.629999999</v>
      </c>
      <c r="G30" s="137"/>
      <c r="H30" s="220"/>
      <c r="I30" s="165"/>
      <c r="J30" s="1204"/>
      <c r="K30" s="342"/>
      <c r="L30" s="402">
        <f>+Bretagne!J30+Centre!R30+Nord!U30+Sud!O30</f>
        <v>0</v>
      </c>
      <c r="M30" s="17">
        <v>1</v>
      </c>
    </row>
    <row r="31" spans="1:13" s="2" customFormat="1" ht="11.25">
      <c r="A31" s="266" t="s">
        <v>71</v>
      </c>
      <c r="B31" s="160"/>
      <c r="C31" s="113"/>
      <c r="D31" s="113"/>
      <c r="E31" s="162"/>
      <c r="F31" s="160"/>
      <c r="G31" s="134"/>
      <c r="H31" s="25"/>
      <c r="I31" s="162"/>
      <c r="J31" s="149"/>
      <c r="K31" s="254"/>
      <c r="L31" s="115">
        <f>+Bretagne!J31+Centre!R31+Nord!U31+Sud!O31</f>
        <v>0</v>
      </c>
      <c r="M31" s="17">
        <v>0</v>
      </c>
    </row>
    <row r="32" spans="1:13" s="2" customFormat="1" ht="15" customHeight="1">
      <c r="A32" s="56" t="s">
        <v>336</v>
      </c>
      <c r="B32" s="166">
        <f>+B21-B30-B38</f>
        <v>1021600</v>
      </c>
      <c r="C32" s="221">
        <f>+C21-C30-C38</f>
        <v>7042876</v>
      </c>
      <c r="D32" s="221">
        <f>+D21-D30-D38</f>
        <v>3796528.372517</v>
      </c>
      <c r="E32" s="167">
        <f>+E21-E30-E38</f>
        <v>3127328.2024999997</v>
      </c>
      <c r="F32" s="166">
        <f>+Bretagne!D32+Centre!L32+Nord!O32+Sud!I32</f>
        <v>10079110.265000004</v>
      </c>
      <c r="G32" s="138"/>
      <c r="H32" s="350"/>
      <c r="I32" s="165"/>
      <c r="J32" s="1204"/>
      <c r="K32" s="274"/>
      <c r="L32" s="403">
        <f>+Bretagne!J32+Centre!R32+Nord!U32+Sud!O32</f>
        <v>0</v>
      </c>
      <c r="M32" s="17">
        <v>1</v>
      </c>
    </row>
    <row r="33" spans="1:13" s="2" customFormat="1" ht="15" customHeight="1">
      <c r="A33" s="56" t="s">
        <v>337</v>
      </c>
      <c r="B33" s="196">
        <f>+B32/B21</f>
        <v>0.7237177670728252</v>
      </c>
      <c r="C33" s="222">
        <f>+C32/C21</f>
        <v>0.78886355500457217</v>
      </c>
      <c r="D33" s="222">
        <f>+D32/D21</f>
        <v>0.36532994357789811</v>
      </c>
      <c r="E33" s="189">
        <f>+E32/E21</f>
        <v>0.3639310815147998</v>
      </c>
      <c r="F33" s="196">
        <f>+F32/F21</f>
        <v>0.37211044815046346</v>
      </c>
      <c r="G33" s="138"/>
      <c r="H33" s="273"/>
      <c r="I33" s="189"/>
      <c r="J33" s="1204"/>
      <c r="K33" s="274"/>
      <c r="L33" s="403">
        <f>+Bretagne!J33+Centre!R33+Nord!U33+Sud!O33</f>
        <v>0</v>
      </c>
      <c r="M33" s="17">
        <v>1</v>
      </c>
    </row>
    <row r="34" spans="1:13" s="25" customFormat="1" ht="11.25">
      <c r="A34" s="237"/>
      <c r="B34" s="160"/>
      <c r="C34" s="113"/>
      <c r="D34" s="113"/>
      <c r="E34" s="162"/>
      <c r="F34" s="160"/>
      <c r="G34" s="134"/>
      <c r="I34" s="154"/>
      <c r="J34" s="149"/>
      <c r="K34" s="271"/>
      <c r="L34" s="115">
        <f>+Bretagne!J34+Centre!R34+Nord!U34+Sud!O34</f>
        <v>0</v>
      </c>
      <c r="M34" s="113">
        <v>0</v>
      </c>
    </row>
    <row r="35" spans="1:13" s="25" customFormat="1" ht="11.25">
      <c r="A35" s="5" t="s">
        <v>96</v>
      </c>
      <c r="B35" s="160">
        <f>+Bretagne!G35</f>
        <v>0</v>
      </c>
      <c r="C35" s="113">
        <f>+Centre!O35</f>
        <v>0</v>
      </c>
      <c r="D35" s="113">
        <f>+Nord!R35</f>
        <v>73786.670008355955</v>
      </c>
      <c r="E35" s="162">
        <f>Sud!L35</f>
        <v>48111.916344533209</v>
      </c>
      <c r="F35" s="160">
        <f>+Bretagne!D35+Centre!L35+Nord!O35+Sud!I35</f>
        <v>188288.62</v>
      </c>
      <c r="G35" s="134"/>
      <c r="H35" s="113"/>
      <c r="I35" s="161"/>
      <c r="J35" s="92"/>
      <c r="K35" s="271"/>
      <c r="L35" s="400">
        <f>+Bretagne!J35+Centre!R35+Nord!U35+Sud!O35</f>
        <v>0</v>
      </c>
      <c r="M35" s="113">
        <v>1</v>
      </c>
    </row>
    <row r="36" spans="1:13" s="59" customFormat="1" ht="15" customHeight="1">
      <c r="A36" s="5" t="s">
        <v>97</v>
      </c>
      <c r="B36" s="160">
        <f>+Bretagne!G36</f>
        <v>0</v>
      </c>
      <c r="C36" s="113">
        <f>+Centre!O36</f>
        <v>0</v>
      </c>
      <c r="D36" s="113">
        <f>+Nord!R36</f>
        <v>18082.509225067257</v>
      </c>
      <c r="E36" s="162">
        <f>Sud!L36</f>
        <v>10589.166766080551</v>
      </c>
      <c r="F36" s="160">
        <f>+Bretagne!D36+Centre!L36+Nord!O36+Sud!I36</f>
        <v>86649.96</v>
      </c>
      <c r="G36" s="134"/>
      <c r="H36" s="113"/>
      <c r="I36" s="161"/>
      <c r="J36" s="92"/>
      <c r="K36" s="271"/>
      <c r="L36" s="400">
        <f>+Bretagne!J36+Centre!R36+Nord!U36+Sud!O36</f>
        <v>0</v>
      </c>
      <c r="M36" s="113">
        <v>1</v>
      </c>
    </row>
    <row r="37" spans="1:13" s="25" customFormat="1" ht="11.25">
      <c r="A37" s="237" t="s">
        <v>98</v>
      </c>
      <c r="B37" s="160">
        <f>+Bretagne!G37</f>
        <v>0</v>
      </c>
      <c r="C37" s="113">
        <f>+Centre!O37</f>
        <v>0</v>
      </c>
      <c r="D37" s="113">
        <f>+Nord!R37</f>
        <v>0</v>
      </c>
      <c r="E37" s="162">
        <f>Sud!L37</f>
        <v>0</v>
      </c>
      <c r="F37" s="160">
        <f>+Bretagne!D37+Centre!L37+Nord!O37+Sud!I37</f>
        <v>0</v>
      </c>
      <c r="G37" s="134"/>
      <c r="H37" s="113"/>
      <c r="I37" s="161"/>
      <c r="J37" s="149"/>
      <c r="K37" s="271"/>
      <c r="L37" s="115">
        <f>+Bretagne!J37+Centre!R37+Nord!U37+Sud!O37</f>
        <v>0</v>
      </c>
      <c r="M37" s="113">
        <v>0</v>
      </c>
    </row>
    <row r="38" spans="1:13" s="33" customFormat="1" ht="15.75" customHeight="1">
      <c r="A38" s="237" t="s">
        <v>99</v>
      </c>
      <c r="B38" s="160">
        <f>+Bretagne!G38</f>
        <v>0</v>
      </c>
      <c r="C38" s="113">
        <f>+Centre!O38</f>
        <v>0</v>
      </c>
      <c r="D38" s="113">
        <f>+Nord!R38</f>
        <v>0</v>
      </c>
      <c r="E38" s="162">
        <f>Sud!L38</f>
        <v>0</v>
      </c>
      <c r="F38" s="160">
        <f>+Bretagne!D38+Centre!L38+Nord!O38+Sud!I38</f>
        <v>89958.505000000034</v>
      </c>
      <c r="G38" s="134"/>
      <c r="H38" s="113"/>
      <c r="I38" s="161"/>
      <c r="J38" s="149"/>
      <c r="K38" s="271"/>
      <c r="L38" s="115">
        <f>+Bretagne!J38+Centre!R38+Nord!U38+Sud!O38</f>
        <v>0</v>
      </c>
      <c r="M38" s="17">
        <v>0</v>
      </c>
    </row>
    <row r="39" spans="1:13" s="2" customFormat="1" ht="11.25">
      <c r="A39" s="237" t="s">
        <v>177</v>
      </c>
      <c r="B39" s="160">
        <f>+Bretagne!G39</f>
        <v>0</v>
      </c>
      <c r="C39" s="113">
        <f>+Centre!O39</f>
        <v>0</v>
      </c>
      <c r="D39" s="113">
        <f>+Nord!R39</f>
        <v>0</v>
      </c>
      <c r="E39" s="162">
        <f>Sud!L39</f>
        <v>0</v>
      </c>
      <c r="F39" s="160">
        <f>+Bretagne!D39+Centre!L39+Nord!O39+Sud!I39</f>
        <v>191996.5</v>
      </c>
      <c r="G39" s="134"/>
      <c r="H39" s="113"/>
      <c r="I39" s="161"/>
      <c r="J39" s="149"/>
      <c r="K39" s="271"/>
      <c r="L39" s="115">
        <f>+Bretagne!J39+Centre!R39+Nord!U39+Sud!O39</f>
        <v>0</v>
      </c>
      <c r="M39" s="17">
        <v>0</v>
      </c>
    </row>
    <row r="40" spans="1:13" s="2" customFormat="1" ht="11.25">
      <c r="A40" s="237" t="s">
        <v>176</v>
      </c>
      <c r="B40" s="160">
        <f>+Bretagne!G40</f>
        <v>0</v>
      </c>
      <c r="C40" s="113">
        <f>+Centre!O40</f>
        <v>0</v>
      </c>
      <c r="D40" s="113">
        <f>+Nord!R40</f>
        <v>0</v>
      </c>
      <c r="E40" s="162">
        <f>Sud!L40</f>
        <v>0</v>
      </c>
      <c r="F40" s="160">
        <f>+Bretagne!D40+Centre!L40+Nord!O40+Sud!I40</f>
        <v>-174779.23</v>
      </c>
      <c r="G40" s="134"/>
      <c r="H40" s="113"/>
      <c r="I40" s="161"/>
      <c r="J40" s="149"/>
      <c r="K40" s="271"/>
      <c r="L40" s="115">
        <f>+Bretagne!J40+Centre!R40+Nord!U40+Sud!O40</f>
        <v>0</v>
      </c>
      <c r="M40" s="17">
        <v>0</v>
      </c>
    </row>
    <row r="41" spans="1:13" s="2" customFormat="1" ht="11.25">
      <c r="A41" s="237" t="s">
        <v>317</v>
      </c>
      <c r="B41" s="160">
        <f>+Bretagne!G41</f>
        <v>0</v>
      </c>
      <c r="C41" s="113">
        <f>+Centre!O41</f>
        <v>0</v>
      </c>
      <c r="D41" s="113">
        <f>+Nord!R41</f>
        <v>-76479.552661823007</v>
      </c>
      <c r="E41" s="162">
        <f>Sud!L41</f>
        <v>-70541.828510100007</v>
      </c>
      <c r="F41" s="160">
        <f>+Bretagne!D41+Centre!L41+Nord!O41+Sud!I41</f>
        <v>-257172.15</v>
      </c>
      <c r="G41" s="134"/>
      <c r="H41" s="113"/>
      <c r="I41" s="161"/>
      <c r="J41" s="149"/>
      <c r="K41" s="271"/>
      <c r="L41" s="115">
        <f>+Bretagne!J41+Centre!R41+Nord!U41+Sud!O41</f>
        <v>0</v>
      </c>
      <c r="M41" s="17">
        <v>0</v>
      </c>
    </row>
    <row r="42" spans="1:13" s="2" customFormat="1" ht="11.25">
      <c r="A42" s="237" t="s">
        <v>318</v>
      </c>
      <c r="B42" s="160">
        <f>+Bretagne!G42</f>
        <v>0</v>
      </c>
      <c r="C42" s="113">
        <f>+Centre!O42</f>
        <v>0</v>
      </c>
      <c r="D42" s="113">
        <f>+Nord!R42</f>
        <v>-194008.33489742954</v>
      </c>
      <c r="E42" s="162">
        <f>Sud!L42</f>
        <v>-135713.78603965</v>
      </c>
      <c r="F42" s="160">
        <f>+Bretagne!D42+Centre!L42+Nord!O42+Sud!I42</f>
        <v>-465415.51</v>
      </c>
      <c r="G42" s="134"/>
      <c r="H42" s="113"/>
      <c r="I42" s="161"/>
      <c r="J42" s="149"/>
      <c r="K42" s="271"/>
      <c r="L42" s="115">
        <f>+Bretagne!J42+Centre!R42+Nord!U42+Sud!O42</f>
        <v>0</v>
      </c>
      <c r="M42" s="17">
        <v>0</v>
      </c>
    </row>
    <row r="43" spans="1:13" s="2" customFormat="1" ht="11.25">
      <c r="A43" s="237"/>
      <c r="B43" s="160"/>
      <c r="C43" s="113"/>
      <c r="D43" s="113"/>
      <c r="E43" s="162"/>
      <c r="F43" s="160"/>
      <c r="G43" s="134"/>
      <c r="H43" s="25"/>
      <c r="I43" s="154"/>
      <c r="J43" s="149"/>
      <c r="K43" s="254"/>
      <c r="L43" s="115">
        <f>+Bretagne!J43+Centre!R43+Nord!U43+Sud!O43</f>
        <v>0</v>
      </c>
      <c r="M43" s="17">
        <v>0</v>
      </c>
    </row>
    <row r="44" spans="1:13" s="2" customFormat="1" ht="11.25">
      <c r="A44" s="13" t="s">
        <v>291</v>
      </c>
      <c r="B44" s="163">
        <f>SUM(B35:B42)+B30</f>
        <v>390000</v>
      </c>
      <c r="C44" s="204">
        <f>SUM(C35:C42)+C30</f>
        <v>1885000</v>
      </c>
      <c r="D44" s="204">
        <f>SUM(D35:D42)+D30</f>
        <v>6416906.5661571706</v>
      </c>
      <c r="E44" s="168">
        <f>SUM(E35:E42)+E30</f>
        <v>5318305.2660608646</v>
      </c>
      <c r="F44" s="163">
        <f>SUM(F35:F42)+F30</f>
        <v>16576798.324999999</v>
      </c>
      <c r="G44" s="139"/>
      <c r="H44" s="204"/>
      <c r="I44" s="168"/>
      <c r="J44" s="1203"/>
      <c r="K44" s="188"/>
      <c r="L44" s="404">
        <f>+Bretagne!J44+Centre!R44+Nord!U44+Sud!O44</f>
        <v>0</v>
      </c>
      <c r="M44" s="17">
        <v>1</v>
      </c>
    </row>
    <row r="45" spans="1:13" s="2" customFormat="1" ht="11.25">
      <c r="A45" s="237"/>
      <c r="B45" s="160"/>
      <c r="C45" s="113"/>
      <c r="D45" s="113"/>
      <c r="E45" s="162"/>
      <c r="F45" s="160"/>
      <c r="G45" s="134"/>
      <c r="H45" s="25"/>
      <c r="I45" s="162"/>
      <c r="J45" s="149"/>
      <c r="K45" s="254"/>
      <c r="L45" s="115">
        <f>+Bretagne!J45+Centre!R45+Nord!U45+Sud!O45</f>
        <v>0</v>
      </c>
      <c r="M45" s="17">
        <v>0</v>
      </c>
    </row>
    <row r="46" spans="1:13" s="2" customFormat="1" ht="11.25">
      <c r="A46" s="56" t="s">
        <v>339</v>
      </c>
      <c r="B46" s="166">
        <f>+B21-B44</f>
        <v>1021600</v>
      </c>
      <c r="C46" s="221">
        <f>+C21-C44</f>
        <v>7042876</v>
      </c>
      <c r="D46" s="221">
        <f>+D21-D44</f>
        <v>3975147.0808428293</v>
      </c>
      <c r="E46" s="167">
        <f>+E21-E44</f>
        <v>3274882.7339391354</v>
      </c>
      <c r="F46" s="166">
        <f>+F21-F44</f>
        <v>10509542.075000003</v>
      </c>
      <c r="G46" s="138"/>
      <c r="H46" s="221"/>
      <c r="I46" s="167"/>
      <c r="J46" s="1204"/>
      <c r="K46" s="274"/>
      <c r="L46" s="403">
        <f>+Bretagne!J46+Centre!R46+Nord!U46+Sud!O46</f>
        <v>0</v>
      </c>
      <c r="M46" s="17">
        <v>1</v>
      </c>
    </row>
    <row r="47" spans="1:13" s="2" customFormat="1" ht="11.25">
      <c r="A47" s="56" t="s">
        <v>340</v>
      </c>
      <c r="B47" s="196">
        <f>+B46/B21</f>
        <v>0.7237177670728252</v>
      </c>
      <c r="C47" s="222">
        <f>+C46/C21</f>
        <v>0.78886355500457217</v>
      </c>
      <c r="D47" s="222">
        <f>+D46/D21</f>
        <v>0.38251795226157087</v>
      </c>
      <c r="E47" s="189">
        <f>+E46/E21</f>
        <v>0.38110218628280162</v>
      </c>
      <c r="F47" s="196">
        <f>+F46/F21</f>
        <v>0.388001550589684</v>
      </c>
      <c r="G47" s="138"/>
      <c r="H47" s="222"/>
      <c r="I47" s="189"/>
      <c r="J47" s="1204"/>
      <c r="K47" s="274"/>
      <c r="L47" s="403">
        <f>+Bretagne!J47+Centre!R47+Nord!U47+Sud!O47</f>
        <v>0</v>
      </c>
      <c r="M47" s="17">
        <v>1</v>
      </c>
    </row>
    <row r="48" spans="1:13" s="25" customFormat="1" ht="11.25">
      <c r="A48" s="237"/>
      <c r="B48" s="160"/>
      <c r="C48" s="113"/>
      <c r="D48" s="113"/>
      <c r="E48" s="162"/>
      <c r="F48" s="160"/>
      <c r="G48" s="134"/>
      <c r="I48" s="154"/>
      <c r="J48" s="149"/>
      <c r="K48" s="271"/>
      <c r="L48" s="115">
        <f>+Bretagne!J48+Centre!R48+Nord!U48+Sud!O48</f>
        <v>0</v>
      </c>
      <c r="M48" s="113">
        <v>0</v>
      </c>
    </row>
    <row r="49" spans="1:13" s="25" customFormat="1" ht="15" customHeight="1">
      <c r="A49" s="5" t="s">
        <v>91</v>
      </c>
      <c r="B49" s="160">
        <f>+Bretagne!G49</f>
        <v>25844.760000000002</v>
      </c>
      <c r="C49" s="113">
        <f>+Centre!O49</f>
        <v>113500</v>
      </c>
      <c r="D49" s="113">
        <f>+Nord!R49</f>
        <v>111855</v>
      </c>
      <c r="E49" s="162">
        <f>Sud!L49</f>
        <v>174567</v>
      </c>
      <c r="F49" s="160">
        <f>+Bretagne!D49+Centre!L49+Nord!O49+Sud!I49</f>
        <v>317828.71000000002</v>
      </c>
      <c r="G49" s="135">
        <f>+Bretagne!E49+Centre!M49+Nord!P49+Sud!J49</f>
        <v>405608.65666666668</v>
      </c>
      <c r="H49" s="113">
        <f>+Bretagne!F49+Centre!N49+Nord!Q49+Sud!K49</f>
        <v>425014.03599999996</v>
      </c>
      <c r="I49" s="161">
        <f>+Bretagne!G49+Centre!O49+Nord!R49+Sud!L49</f>
        <v>425766.76</v>
      </c>
      <c r="J49" s="92">
        <f>+IF((F49)=0,,(G49-F49)/F49)</f>
        <v>0.27618633529572156</v>
      </c>
      <c r="K49" s="271">
        <f>+IF((G49)=0,,(I49-G49)/G49)</f>
        <v>4.9698405105538628E-2</v>
      </c>
      <c r="L49" s="408">
        <f>+Bretagne!J49+Centre!R49+Nord!U49+Sud!O49</f>
        <v>421650.03599999996</v>
      </c>
      <c r="M49" s="113">
        <v>1</v>
      </c>
    </row>
    <row r="50" spans="1:13" s="25" customFormat="1" ht="11.25">
      <c r="A50" s="237"/>
      <c r="B50" s="160"/>
      <c r="C50" s="113"/>
      <c r="D50" s="113"/>
      <c r="E50" s="162"/>
      <c r="F50" s="160"/>
      <c r="G50" s="134"/>
      <c r="I50" s="154"/>
      <c r="J50" s="149"/>
      <c r="K50" s="271"/>
      <c r="L50" s="115">
        <f>+Bretagne!J50+Centre!R50+Nord!U50+Sud!O50</f>
        <v>0</v>
      </c>
      <c r="M50" s="113">
        <v>0</v>
      </c>
    </row>
    <row r="51" spans="1:13" s="2" customFormat="1" ht="15" customHeight="1">
      <c r="A51" s="13" t="s">
        <v>223</v>
      </c>
      <c r="B51" s="163">
        <f t="shared" ref="B51:I51" si="2">+B21-B49</f>
        <v>1385755.24</v>
      </c>
      <c r="C51" s="204">
        <f t="shared" si="2"/>
        <v>8814376</v>
      </c>
      <c r="D51" s="204">
        <f t="shared" si="2"/>
        <v>10280198.647</v>
      </c>
      <c r="E51" s="168">
        <f t="shared" si="2"/>
        <v>8418621</v>
      </c>
      <c r="F51" s="163">
        <f>+F21-F49</f>
        <v>26768511.690000001</v>
      </c>
      <c r="G51" s="136">
        <f>+G21-G49</f>
        <v>26823756.496567864</v>
      </c>
      <c r="H51" s="204">
        <f>+H21-H49</f>
        <v>28899703.611000001</v>
      </c>
      <c r="I51" s="168">
        <f t="shared" si="2"/>
        <v>28898950.886999998</v>
      </c>
      <c r="J51" s="1203"/>
      <c r="K51" s="188"/>
      <c r="L51" s="312">
        <f>+Bretagne!J51+Centre!R51+Nord!U51+Sud!O51</f>
        <v>28749786.5724</v>
      </c>
      <c r="M51" s="17">
        <v>1</v>
      </c>
    </row>
    <row r="52" spans="1:13" s="2" customFormat="1" ht="11.25">
      <c r="A52" s="237"/>
      <c r="B52" s="160"/>
      <c r="C52" s="113"/>
      <c r="D52" s="113"/>
      <c r="E52" s="162"/>
      <c r="F52" s="160"/>
      <c r="G52" s="134"/>
      <c r="H52" s="25"/>
      <c r="I52" s="154"/>
      <c r="J52" s="149"/>
      <c r="K52" s="254"/>
      <c r="L52" s="115">
        <f>+Bretagne!J52+Centre!R52+Nord!U52+Sud!O52</f>
        <v>0</v>
      </c>
      <c r="M52" s="17">
        <v>0</v>
      </c>
    </row>
    <row r="53" spans="1:13" s="2" customFormat="1" ht="15" customHeight="1">
      <c r="A53" s="244" t="s">
        <v>3</v>
      </c>
      <c r="B53" s="169">
        <f>+B51-B44</f>
        <v>995755.24</v>
      </c>
      <c r="C53" s="223">
        <f>+C51-C44</f>
        <v>6929376</v>
      </c>
      <c r="D53" s="223">
        <f>+D51-D44</f>
        <v>3863292.0808428293</v>
      </c>
      <c r="E53" s="170">
        <f>+E51-E44</f>
        <v>3100315.7339391354</v>
      </c>
      <c r="F53" s="169">
        <f>+F51-F44</f>
        <v>10191713.365000002</v>
      </c>
      <c r="G53" s="140"/>
      <c r="H53" s="223"/>
      <c r="I53" s="170"/>
      <c r="J53" s="224"/>
      <c r="K53" s="123"/>
      <c r="L53" s="122"/>
      <c r="M53" s="17">
        <v>0</v>
      </c>
    </row>
    <row r="54" spans="1:13" s="2" customFormat="1" ht="11.25">
      <c r="A54" s="244" t="s">
        <v>4</v>
      </c>
      <c r="B54" s="197">
        <f>+B53/B51</f>
        <v>0.71856501874025025</v>
      </c>
      <c r="C54" s="224">
        <f>+C53/C51</f>
        <v>0.78614481615034348</v>
      </c>
      <c r="D54" s="224">
        <f>+D53/D51</f>
        <v>0.3757993608392215</v>
      </c>
      <c r="E54" s="191">
        <f>+E53/E51</f>
        <v>0.36826883333257732</v>
      </c>
      <c r="F54" s="197">
        <f>+F53/F51</f>
        <v>0.38073515192132829</v>
      </c>
      <c r="G54" s="141"/>
      <c r="H54" s="224"/>
      <c r="I54" s="191"/>
      <c r="J54" s="224"/>
      <c r="K54" s="123"/>
      <c r="L54" s="123"/>
      <c r="M54" s="17">
        <v>0</v>
      </c>
    </row>
    <row r="55" spans="1:13" s="2" customFormat="1" ht="15" customHeight="1">
      <c r="A55" s="237"/>
      <c r="B55" s="160"/>
      <c r="C55" s="113"/>
      <c r="D55" s="113"/>
      <c r="E55" s="162"/>
      <c r="F55" s="160"/>
      <c r="G55" s="134"/>
      <c r="H55" s="25"/>
      <c r="I55" s="154"/>
      <c r="J55" s="149"/>
      <c r="K55" s="271"/>
      <c r="L55" s="115">
        <f>+Bretagne!J55+Centre!R55+Nord!U55+Sud!O55</f>
        <v>0</v>
      </c>
      <c r="M55" s="17">
        <v>0</v>
      </c>
    </row>
    <row r="56" spans="1:13" s="2" customFormat="1" ht="11.25">
      <c r="A56" s="237" t="s">
        <v>290</v>
      </c>
      <c r="B56" s="160">
        <f>+Bretagne!G56</f>
        <v>0</v>
      </c>
      <c r="C56" s="113">
        <f>+Centre!O56</f>
        <v>0</v>
      </c>
      <c r="D56" s="113">
        <f>+Nord!R56</f>
        <v>0</v>
      </c>
      <c r="E56" s="162">
        <f>Sud!L56</f>
        <v>0</v>
      </c>
      <c r="F56" s="160">
        <f>+Bretagne!D56+Centre!L56+Nord!O56+Sud!I56</f>
        <v>3625172.6506000003</v>
      </c>
      <c r="G56" s="134"/>
      <c r="H56" s="113"/>
      <c r="I56" s="161"/>
      <c r="J56" s="149"/>
      <c r="K56" s="271"/>
      <c r="L56" s="115">
        <f>+Bretagne!J56+Centre!R56+Nord!U56+Sud!O56</f>
        <v>0</v>
      </c>
      <c r="M56" s="17">
        <v>0</v>
      </c>
    </row>
    <row r="57" spans="1:13" s="2" customFormat="1" ht="11.25">
      <c r="A57" s="237" t="s">
        <v>100</v>
      </c>
      <c r="B57" s="160">
        <f>+Bretagne!G57</f>
        <v>0</v>
      </c>
      <c r="C57" s="113">
        <f>+Centre!O57</f>
        <v>0</v>
      </c>
      <c r="D57" s="113">
        <f>+Nord!R57</f>
        <v>0</v>
      </c>
      <c r="E57" s="162">
        <f>Sud!L57</f>
        <v>0</v>
      </c>
      <c r="F57" s="160">
        <f>+Bretagne!D57+Centre!L57+Nord!O57+Sud!I57</f>
        <v>3535214.1455999995</v>
      </c>
      <c r="G57" s="134"/>
      <c r="H57" s="113"/>
      <c r="I57" s="161"/>
      <c r="J57" s="149"/>
      <c r="K57" s="271"/>
      <c r="L57" s="115">
        <f>+Bretagne!J57+Centre!R57+Nord!U57+Sud!O57</f>
        <v>0</v>
      </c>
      <c r="M57" s="17">
        <v>0</v>
      </c>
    </row>
    <row r="58" spans="1:13" s="2" customFormat="1" ht="12" thickBot="1">
      <c r="A58" s="238"/>
      <c r="B58" s="171"/>
      <c r="C58" s="205"/>
      <c r="D58" s="205"/>
      <c r="E58" s="172"/>
      <c r="F58" s="171"/>
      <c r="G58" s="142"/>
      <c r="H58" s="337"/>
      <c r="I58" s="198"/>
      <c r="J58" s="236"/>
      <c r="K58" s="275"/>
      <c r="L58" s="124">
        <f>+Bretagne!J58+Centre!R58+Nord!U58+Sud!O58</f>
        <v>0</v>
      </c>
      <c r="M58" s="17">
        <v>0</v>
      </c>
    </row>
    <row r="59" spans="1:13" s="2" customFormat="1" ht="12" thickTop="1">
      <c r="A59" s="237"/>
      <c r="B59" s="160"/>
      <c r="C59" s="113"/>
      <c r="D59" s="113"/>
      <c r="E59" s="162"/>
      <c r="F59" s="160"/>
      <c r="G59" s="134"/>
      <c r="H59" s="25"/>
      <c r="I59" s="154"/>
      <c r="J59" s="149"/>
      <c r="K59" s="254"/>
      <c r="L59" s="115">
        <f>+Bretagne!J59+Centre!R59+Nord!U59+Sud!O59</f>
        <v>0</v>
      </c>
      <c r="M59" s="17">
        <v>0</v>
      </c>
    </row>
    <row r="60" spans="1:13" s="2" customFormat="1" ht="11.25">
      <c r="A60" s="16" t="s">
        <v>295</v>
      </c>
      <c r="B60" s="225">
        <f>+Bretagne!G60</f>
        <v>0.44278479885091393</v>
      </c>
      <c r="C60" s="226">
        <f>+Centre!N60</f>
        <v>0.37758768516341934</v>
      </c>
      <c r="D60" s="226">
        <f>+Nord!R60</f>
        <v>0.37579936083922144</v>
      </c>
      <c r="E60" s="193">
        <f>+Sud!L60</f>
        <v>0.36826883333257737</v>
      </c>
      <c r="F60" s="197">
        <f>+F62/F51</f>
        <v>0.38005236631562478</v>
      </c>
      <c r="G60" s="141">
        <f>+G62/G51</f>
        <v>0.37067331419919847</v>
      </c>
      <c r="H60" s="224">
        <f>+H62/H51</f>
        <v>0.37735331637903291</v>
      </c>
      <c r="I60" s="191">
        <f>+I62/I51</f>
        <v>0.37736314520980363</v>
      </c>
      <c r="J60" s="197"/>
      <c r="K60" s="123"/>
      <c r="L60" s="15">
        <f>+L62/L51</f>
        <v>0.38451684617696136</v>
      </c>
      <c r="M60" s="17">
        <v>1</v>
      </c>
    </row>
    <row r="61" spans="1:13" s="2" customFormat="1" ht="15" customHeight="1">
      <c r="A61" s="590"/>
      <c r="B61" s="1185">
        <f>+Bretagne!G61</f>
        <v>0.46363966675403806</v>
      </c>
      <c r="C61" s="384">
        <f>+Centre!N61</f>
        <v>0</v>
      </c>
      <c r="D61" s="384">
        <f>+Nord!R61</f>
        <v>0</v>
      </c>
      <c r="E61" s="1186">
        <f>+Sud!L61</f>
        <v>0</v>
      </c>
      <c r="F61" s="1185">
        <f>+[1]Conso!$F$60</f>
        <v>0.37602540710062166</v>
      </c>
      <c r="G61" s="318"/>
      <c r="H61" s="339">
        <f>+[1]Conso!$F$60</f>
        <v>0.37602540710062166</v>
      </c>
      <c r="I61" s="1198"/>
      <c r="J61" s="1185"/>
      <c r="K61" s="1205"/>
      <c r="L61" s="592">
        <f>+Bretagne!J61+Centre!R61+Nord!U61+Sud!O61</f>
        <v>0</v>
      </c>
      <c r="M61" s="17">
        <v>1</v>
      </c>
    </row>
    <row r="62" spans="1:13" s="2" customFormat="1" ht="11.25">
      <c r="A62" s="16" t="s">
        <v>296</v>
      </c>
      <c r="B62" s="169">
        <f>+B51*B60</f>
        <v>613591.35519999999</v>
      </c>
      <c r="C62" s="223">
        <f>+C51*C60</f>
        <v>3328199.8299999996</v>
      </c>
      <c r="D62" s="223">
        <f>+D51*D60</f>
        <v>3863292.0808428288</v>
      </c>
      <c r="E62" s="170">
        <f>+E51*E60</f>
        <v>3100315.7339391359</v>
      </c>
      <c r="F62" s="169">
        <f>+Sud!I62+Nord!O62+Centre!L62+Bretagne!D62</f>
        <v>10173436.210531965</v>
      </c>
      <c r="G62" s="140">
        <f>+Sud!J62+Nord!P62+Centre!M62+Bretagne!E62</f>
        <v>9942850.7198550906</v>
      </c>
      <c r="H62" s="223">
        <f>+Sud!K62+Nord!Q62+Centre!N62+Bretagne!F62</f>
        <v>10905398.999981964</v>
      </c>
      <c r="I62" s="170">
        <f>+Sud!L62+Nord!R62+Centre!O62+Bretagne!G62</f>
        <v>10905398.999981964</v>
      </c>
      <c r="J62" s="197">
        <f>+IF((F62)=0,,(G62-F62)/F62)</f>
        <v>-2.2665448124416662E-2</v>
      </c>
      <c r="K62" s="123">
        <f>+IF((G62)=0,,(I62-G62)/G62)</f>
        <v>9.6808079216631523E-2</v>
      </c>
      <c r="L62" s="405">
        <f>+Bretagne!J62+Centre!R62+Nord!U62+Sud!O62</f>
        <v>11054777.261080001</v>
      </c>
      <c r="M62" s="17">
        <v>1</v>
      </c>
    </row>
    <row r="63" spans="1:13" s="2" customFormat="1" ht="15" customHeight="1">
      <c r="A63" s="237"/>
      <c r="B63" s="160"/>
      <c r="C63" s="113"/>
      <c r="D63" s="113"/>
      <c r="E63" s="162"/>
      <c r="F63" s="160"/>
      <c r="G63" s="134"/>
      <c r="H63" s="25"/>
      <c r="I63" s="154"/>
      <c r="J63" s="149"/>
      <c r="K63" s="271"/>
      <c r="L63" s="115"/>
      <c r="M63" s="17">
        <v>0</v>
      </c>
    </row>
    <row r="64" spans="1:13" s="2" customFormat="1" ht="11.25">
      <c r="A64" s="5" t="s">
        <v>104</v>
      </c>
      <c r="B64" s="160">
        <f>+Bretagne!G64</f>
        <v>7804.3110666666671</v>
      </c>
      <c r="C64" s="113">
        <f>+Centre!O64</f>
        <v>43250.90146666667</v>
      </c>
      <c r="D64" s="113">
        <f>+Nord!R64</f>
        <v>32181.992933333335</v>
      </c>
      <c r="E64" s="162">
        <f>Sud!L64</f>
        <v>40610.255066666665</v>
      </c>
      <c r="F64" s="160">
        <f>+Bretagne!D64+Centre!L64+Nord!O64+Sud!I64</f>
        <v>117460.37999999999</v>
      </c>
      <c r="G64" s="135">
        <f>+Bretagne!E64+Centre!M64+Nord!P64+Sud!J64</f>
        <v>115535.35</v>
      </c>
      <c r="H64" s="113">
        <f>+Bretagne!F64+Centre!N64+Nord!Q64+Sud!K64</f>
        <v>123847.46053333333</v>
      </c>
      <c r="I64" s="161">
        <f>+Bretagne!G64+Centre!O64+Nord!R64+Sud!L64</f>
        <v>123847.46053333333</v>
      </c>
      <c r="J64" s="92">
        <f>+IF((F64)=0,,(G64-F64)/F64)</f>
        <v>-1.6388760193011331E-2</v>
      </c>
      <c r="K64" s="271">
        <f>+IF((G64)=0,,(I64-G64)/G64)</f>
        <v>7.1944305646136228E-2</v>
      </c>
      <c r="L64" s="408">
        <f>+Bretagne!J64+Centre!R64+Nord!U64+Sud!O64</f>
        <v>130224.07498728436</v>
      </c>
      <c r="M64" s="17">
        <v>1</v>
      </c>
    </row>
    <row r="65" spans="1:13" s="2" customFormat="1" ht="11.25">
      <c r="A65" s="237" t="s">
        <v>314</v>
      </c>
      <c r="B65" s="160">
        <f>+Bretagne!G65</f>
        <v>0</v>
      </c>
      <c r="C65" s="113">
        <f>+Centre!O65</f>
        <v>3150</v>
      </c>
      <c r="D65" s="113">
        <f>+Nord!R65</f>
        <v>0</v>
      </c>
      <c r="E65" s="162">
        <f>Sud!L65</f>
        <v>0</v>
      </c>
      <c r="F65" s="160">
        <f>+Bretagne!D65+Centre!L65+Nord!O65+Sud!I65</f>
        <v>3411.85</v>
      </c>
      <c r="G65" s="135">
        <f>+Bretagne!E65+Centre!M65+Nord!P65+Sud!J65</f>
        <v>3149.4</v>
      </c>
      <c r="H65" s="113">
        <f>+Bretagne!F65+Centre!N65+Nord!Q65+Sud!K65</f>
        <v>3150</v>
      </c>
      <c r="I65" s="161">
        <f>+Bretagne!G65+Centre!O65+Nord!R65+Sud!L65</f>
        <v>3150</v>
      </c>
      <c r="J65" s="149">
        <f>+IF((F65)=0,,(G65-F65)/F65)</f>
        <v>-7.6923076923076872E-2</v>
      </c>
      <c r="K65" s="271">
        <f>+IF((G65)=0,,(I65-G65)/G65)</f>
        <v>1.9051247856731728E-4</v>
      </c>
      <c r="L65" s="117">
        <f>+Bretagne!J65+Centre!R65+Nord!U65+Sud!O65</f>
        <v>4031.8550999999998</v>
      </c>
      <c r="M65" s="17">
        <v>0</v>
      </c>
    </row>
    <row r="66" spans="1:13" s="2" customFormat="1" ht="11.25">
      <c r="A66" s="5" t="s">
        <v>110</v>
      </c>
      <c r="B66" s="160">
        <f>+Bretagne!G66</f>
        <v>1677.2280000000001</v>
      </c>
      <c r="C66" s="113">
        <f>+Centre!O66</f>
        <v>15335.61</v>
      </c>
      <c r="D66" s="113">
        <f>+Nord!R66</f>
        <v>12800.230866666665</v>
      </c>
      <c r="E66" s="162">
        <f>Sud!L66</f>
        <v>15501.701600000002</v>
      </c>
      <c r="F66" s="160">
        <f>+Bretagne!D66+Centre!L66+Nord!O66+Sud!I66</f>
        <v>37464.729999999996</v>
      </c>
      <c r="G66" s="135">
        <f>+Bretagne!E66+Centre!M66+Nord!P66+Sud!J66</f>
        <v>43093.786666666674</v>
      </c>
      <c r="H66" s="113">
        <f>+Bretagne!F66+Centre!N66+Nord!Q66+Sud!K66</f>
        <v>45314.770466666669</v>
      </c>
      <c r="I66" s="161">
        <f>+Bretagne!G66+Centre!O66+Nord!R66+Sud!L66</f>
        <v>45314.770466666669</v>
      </c>
      <c r="J66" s="92">
        <f>+IF((F66)=0,,(G66-F66)/F66)</f>
        <v>0.15024949243372843</v>
      </c>
      <c r="K66" s="271">
        <f>+IF((G66)=0,,(I66-G66)/G66)</f>
        <v>5.1538376452722821E-2</v>
      </c>
      <c r="L66" s="408">
        <f>+Bretagne!J66+Centre!R66+Nord!U66+Sud!O66</f>
        <v>36190.012791606838</v>
      </c>
      <c r="M66" s="17">
        <v>1</v>
      </c>
    </row>
    <row r="67" spans="1:13" s="2" customFormat="1" ht="15" customHeight="1">
      <c r="A67" s="5" t="s">
        <v>107</v>
      </c>
      <c r="B67" s="160">
        <f>+Bretagne!G67</f>
        <v>2148.0073333333335</v>
      </c>
      <c r="C67" s="113">
        <f>+Centre!O67</f>
        <v>17621.36</v>
      </c>
      <c r="D67" s="113">
        <f>+Nord!R67</f>
        <v>16549.449466666665</v>
      </c>
      <c r="E67" s="162">
        <f>Sud!L67</f>
        <v>18514.213866666665</v>
      </c>
      <c r="F67" s="160">
        <f>+Bretagne!D67+Centre!L67+Nord!O67+Sud!I67</f>
        <v>90322.41</v>
      </c>
      <c r="G67" s="135">
        <f>+Bretagne!E67+Centre!M67+Nord!P67+Sud!J67</f>
        <v>65157.656666666677</v>
      </c>
      <c r="H67" s="113">
        <f>+Bretagne!F67+Centre!N67+Nord!Q67+Sud!K67</f>
        <v>54833.030666666666</v>
      </c>
      <c r="I67" s="161">
        <f>+Bretagne!G67+Centre!O67+Nord!R67+Sud!L67</f>
        <v>54833.030666666666</v>
      </c>
      <c r="J67" s="92">
        <f>+IF((F67)=0,,(G67-F67)/F67)</f>
        <v>-0.27861029542206994</v>
      </c>
      <c r="K67" s="271">
        <f>+IF((G67)=0,,(I67-G67)/G67)</f>
        <v>-0.15845606684136446</v>
      </c>
      <c r="L67" s="408">
        <f>+Bretagne!J67+Centre!R67+Nord!U67+Sud!O67</f>
        <v>70561.738529074384</v>
      </c>
      <c r="M67" s="17">
        <v>1</v>
      </c>
    </row>
    <row r="68" spans="1:13" s="2" customFormat="1" ht="11.25">
      <c r="A68" s="5" t="s">
        <v>125</v>
      </c>
      <c r="B68" s="160">
        <f>+Bretagne!G68</f>
        <v>2203.4721333333337</v>
      </c>
      <c r="C68" s="113">
        <f>+Centre!O68</f>
        <v>30861.668533333333</v>
      </c>
      <c r="D68" s="113">
        <f>+Nord!R68</f>
        <v>28246.816133333334</v>
      </c>
      <c r="E68" s="162">
        <f>Sud!L68</f>
        <v>22960.499066666667</v>
      </c>
      <c r="F68" s="160">
        <f>+Bretagne!D68+Centre!L68+Nord!O68+Sud!I68</f>
        <v>91112.44</v>
      </c>
      <c r="G68" s="135">
        <f>+Bretagne!E68+Centre!M68+Nord!P68+Sud!J68</f>
        <v>83177.650000000009</v>
      </c>
      <c r="H68" s="113">
        <f>+Bretagne!F68+Centre!N68+Nord!Q68+Sud!K68</f>
        <v>84272.455866666671</v>
      </c>
      <c r="I68" s="161">
        <f>+Bretagne!G68+Centre!O68+Nord!R68+Sud!L68</f>
        <v>84272.455866666671</v>
      </c>
      <c r="J68" s="92">
        <f>+IF((F68)=0,,(G68-F68)/F68)</f>
        <v>-8.7087888327872606E-2</v>
      </c>
      <c r="K68" s="271">
        <f>+IF((G68)=0,,(I68-G68)/G68)</f>
        <v>1.3162260134382998E-2</v>
      </c>
      <c r="L68" s="408">
        <f>+Bretagne!J68+Centre!R68+Nord!U68+Sud!O68</f>
        <v>100488.9776593672</v>
      </c>
      <c r="M68" s="17">
        <v>1</v>
      </c>
    </row>
    <row r="69" spans="1:13" s="2" customFormat="1" ht="18.75" customHeight="1">
      <c r="A69" s="237"/>
      <c r="B69" s="160"/>
      <c r="C69" s="113"/>
      <c r="D69" s="113"/>
      <c r="E69" s="162"/>
      <c r="F69" s="160"/>
      <c r="G69" s="143"/>
      <c r="H69" s="149"/>
      <c r="I69" s="187"/>
      <c r="J69" s="149"/>
      <c r="K69" s="271"/>
      <c r="L69" s="115"/>
      <c r="M69" s="17">
        <v>0</v>
      </c>
    </row>
    <row r="70" spans="1:13" s="2" customFormat="1" ht="11.25">
      <c r="A70" s="11" t="s">
        <v>128</v>
      </c>
      <c r="B70" s="173">
        <f t="shared" ref="B70:I70" si="3">SUM(B64:B69)</f>
        <v>13833.018533333336</v>
      </c>
      <c r="C70" s="227">
        <f t="shared" si="3"/>
        <v>110219.54</v>
      </c>
      <c r="D70" s="227">
        <f t="shared" si="3"/>
        <v>89778.489399999991</v>
      </c>
      <c r="E70" s="209">
        <f t="shared" si="3"/>
        <v>97586.669599999994</v>
      </c>
      <c r="F70" s="173">
        <f t="shared" si="3"/>
        <v>339771.81</v>
      </c>
      <c r="G70" s="144">
        <f t="shared" si="3"/>
        <v>310113.84333333338</v>
      </c>
      <c r="H70" s="227">
        <f t="shared" si="3"/>
        <v>311417.71753333334</v>
      </c>
      <c r="I70" s="1199">
        <f t="shared" si="3"/>
        <v>311417.71753333334</v>
      </c>
      <c r="J70" s="1206">
        <f>+IF((F70)=0,,(G70-F70)/F70)</f>
        <v>-8.7287896740658427E-2</v>
      </c>
      <c r="K70" s="279">
        <f>+IF((G70)=0,,(I70-G70)/G70)</f>
        <v>4.2045017596923631E-3</v>
      </c>
      <c r="L70" s="628">
        <f>+Bretagne!J70+Centre!R70+Nord!U70+Sud!O70</f>
        <v>341496.65906733274</v>
      </c>
      <c r="M70" s="17">
        <v>1</v>
      </c>
    </row>
    <row r="71" spans="1:13" s="2" customFormat="1" ht="11.25">
      <c r="A71" s="237"/>
      <c r="B71" s="160"/>
      <c r="C71" s="113"/>
      <c r="D71" s="113"/>
      <c r="E71" s="162"/>
      <c r="F71" s="160"/>
      <c r="G71" s="143"/>
      <c r="H71" s="149"/>
      <c r="I71" s="187"/>
      <c r="J71" s="149"/>
      <c r="K71" s="271"/>
      <c r="L71" s="115"/>
      <c r="M71" s="17">
        <v>0</v>
      </c>
    </row>
    <row r="72" spans="1:13" s="2" customFormat="1" ht="11.25">
      <c r="A72" s="5" t="s">
        <v>1</v>
      </c>
      <c r="B72" s="160">
        <f>+Bretagne!G72</f>
        <v>0</v>
      </c>
      <c r="C72" s="113">
        <f>+Centre!O72</f>
        <v>131.66146666666666</v>
      </c>
      <c r="D72" s="113">
        <f>+Nord!R72</f>
        <v>157.8372</v>
      </c>
      <c r="E72" s="162">
        <f>Sud!L72</f>
        <v>1486.0290666666667</v>
      </c>
      <c r="F72" s="160">
        <f>+Bretagne!D72+Centre!L72+Nord!O72+Sud!I72</f>
        <v>2189.71</v>
      </c>
      <c r="G72" s="135">
        <f>+Bretagne!E72+Centre!M72+Nord!P72+Sud!J72</f>
        <v>1723.8133333333333</v>
      </c>
      <c r="H72" s="113">
        <f>+Bretagne!F72+Centre!N72+Nord!Q72+Sud!K72</f>
        <v>1775.5277333333333</v>
      </c>
      <c r="I72" s="161">
        <f>+Bretagne!G72+Centre!O72+Nord!R72+Sud!L72</f>
        <v>1775.5277333333333</v>
      </c>
      <c r="J72" s="92">
        <f>+IF((F72)=0,,(G72-F72)/F72)</f>
        <v>-0.21276637850065386</v>
      </c>
      <c r="K72" s="271">
        <f>+IF((G72)=0,,(I72-G72)/G72)</f>
        <v>3.0000000000000041E-2</v>
      </c>
      <c r="L72" s="408">
        <f>+Bretagne!J72+Centre!R72+Nord!U72+Sud!O72</f>
        <v>1934.8301454979865</v>
      </c>
      <c r="M72" s="17">
        <v>1</v>
      </c>
    </row>
    <row r="73" spans="1:13" s="2" customFormat="1" ht="11.25">
      <c r="A73" s="5" t="s">
        <v>123</v>
      </c>
      <c r="B73" s="160">
        <f>+Bretagne!G73</f>
        <v>4057.6644000000006</v>
      </c>
      <c r="C73" s="113">
        <f>+Centre!O73</f>
        <v>33150.470466666666</v>
      </c>
      <c r="D73" s="113">
        <f>+Nord!R73</f>
        <v>46798.379599999993</v>
      </c>
      <c r="E73" s="162">
        <f>Sud!L73</f>
        <v>32565.214733333334</v>
      </c>
      <c r="F73" s="160">
        <f>+Bretagne!D73+Centre!L73+Nord!O73+Sud!I73</f>
        <v>109989.19</v>
      </c>
      <c r="G73" s="135">
        <f>+Bretagne!E73+Centre!M73+Nord!P73+Sud!J73</f>
        <v>115226.68000000001</v>
      </c>
      <c r="H73" s="113">
        <f>+Bretagne!F73+Centre!N73+Nord!Q73+Sud!K73</f>
        <v>116571.7292</v>
      </c>
      <c r="I73" s="161">
        <f>+Bretagne!G73+Centre!O73+Nord!R73+Sud!L73</f>
        <v>116571.7292</v>
      </c>
      <c r="J73" s="92">
        <f t="shared" ref="J73:J100" si="4">+IF((F73)=0,,(G73-F73)/F73)</f>
        <v>4.7618225027386829E-2</v>
      </c>
      <c r="K73" s="271">
        <f t="shared" ref="K73:K100" si="5">+IF((G73)=0,,(I73-G73)/G73)</f>
        <v>1.1673070854770734E-2</v>
      </c>
      <c r="L73" s="408">
        <f>+Bretagne!J73+Centre!R73+Nord!U73+Sud!O73</f>
        <v>106244.15866257067</v>
      </c>
      <c r="M73" s="17">
        <v>1</v>
      </c>
    </row>
    <row r="74" spans="1:13" s="2" customFormat="1" ht="11.25">
      <c r="A74" s="5" t="s">
        <v>124</v>
      </c>
      <c r="B74" s="160">
        <f>+Bretagne!G74</f>
        <v>0</v>
      </c>
      <c r="C74" s="113">
        <f>+Centre!O74</f>
        <v>20855.795999999995</v>
      </c>
      <c r="D74" s="113">
        <f>+Nord!R74</f>
        <v>41344.488400000009</v>
      </c>
      <c r="E74" s="162">
        <f>Sud!L74</f>
        <v>19506.339133333331</v>
      </c>
      <c r="F74" s="160">
        <f>+Bretagne!D74+Centre!L74+Nord!O74+Sud!I74</f>
        <v>88214.739999999991</v>
      </c>
      <c r="G74" s="135">
        <f>+Bretagne!E74+Centre!M74+Nord!P74+Sud!J74</f>
        <v>83814.318333333329</v>
      </c>
      <c r="H74" s="113">
        <f>+Bretagne!F74+Centre!N74+Nord!Q74+Sud!K74</f>
        <v>81706.623533333332</v>
      </c>
      <c r="I74" s="161">
        <f>+Bretagne!G74+Centre!O74+Nord!R74+Sud!L74</f>
        <v>81706.623533333332</v>
      </c>
      <c r="J74" s="92">
        <f t="shared" si="4"/>
        <v>-4.9883065649421653E-2</v>
      </c>
      <c r="K74" s="271">
        <f t="shared" si="5"/>
        <v>-2.5147192531204513E-2</v>
      </c>
      <c r="L74" s="408">
        <f>+Bretagne!J74+Centre!R74+Nord!U74+Sud!O74</f>
        <v>82335.524510972071</v>
      </c>
      <c r="M74" s="17">
        <v>1</v>
      </c>
    </row>
    <row r="75" spans="1:13" s="2" customFormat="1" ht="11.25">
      <c r="A75" s="237" t="s">
        <v>360</v>
      </c>
      <c r="B75" s="160">
        <f>+Bretagne!G75</f>
        <v>0</v>
      </c>
      <c r="C75" s="113">
        <f>+Centre!O75</f>
        <v>0</v>
      </c>
      <c r="D75" s="113">
        <f>+Nord!R75</f>
        <v>0</v>
      </c>
      <c r="E75" s="162">
        <f>Sud!L75</f>
        <v>0</v>
      </c>
      <c r="F75" s="160">
        <f>+Bretagne!D75+Centre!L75+Nord!O75+Sud!I75</f>
        <v>147.80000000000001</v>
      </c>
      <c r="G75" s="135">
        <f>+Bretagne!E75+Centre!M75+Nord!P75+Sud!J75</f>
        <v>0</v>
      </c>
      <c r="H75" s="113">
        <f>+Bretagne!F75+Centre!N75+Nord!Q75+Sud!K75</f>
        <v>0</v>
      </c>
      <c r="I75" s="161">
        <f>+Bretagne!G75+Centre!O75+Nord!R75+Sud!L75</f>
        <v>0</v>
      </c>
      <c r="J75" s="149">
        <f t="shared" si="4"/>
        <v>-1</v>
      </c>
      <c r="K75" s="271">
        <f t="shared" si="5"/>
        <v>0</v>
      </c>
      <c r="L75" s="117">
        <f>+Bretagne!J75+Centre!R75+Nord!U75+Sud!O75</f>
        <v>192.12384000000003</v>
      </c>
      <c r="M75" s="17">
        <v>0</v>
      </c>
    </row>
    <row r="76" spans="1:13" s="2" customFormat="1" ht="11.25">
      <c r="A76" s="5" t="s">
        <v>126</v>
      </c>
      <c r="B76" s="160">
        <f>+Bretagne!G76</f>
        <v>541.35426666666672</v>
      </c>
      <c r="C76" s="113">
        <f>+Centre!O76</f>
        <v>942.41566666666677</v>
      </c>
      <c r="D76" s="113">
        <f>+Nord!R76</f>
        <v>807.67106666666677</v>
      </c>
      <c r="E76" s="162">
        <f>Sud!L76</f>
        <v>966.12626666666665</v>
      </c>
      <c r="F76" s="160">
        <f>+Bretagne!D76+Centre!L76+Nord!O76+Sud!I76</f>
        <v>2722.5</v>
      </c>
      <c r="G76" s="135">
        <f>+Bretagne!E76+Centre!M76+Nord!P76+Sud!J76</f>
        <v>3086.8016666666672</v>
      </c>
      <c r="H76" s="113">
        <f>+Bretagne!F76+Centre!N76+Nord!Q76+Sud!K76</f>
        <v>3257.5672666666669</v>
      </c>
      <c r="I76" s="161">
        <f>+Bretagne!G76+Centre!O76+Nord!R76+Sud!L76</f>
        <v>3257.5672666666669</v>
      </c>
      <c r="J76" s="92">
        <f t="shared" si="4"/>
        <v>0.13381144781144799</v>
      </c>
      <c r="K76" s="271">
        <f t="shared" si="5"/>
        <v>5.5321208953603984E-2</v>
      </c>
      <c r="L76" s="408">
        <f>+Bretagne!J76+Centre!R76+Nord!U76+Sud!O76</f>
        <v>4289.5668594114941</v>
      </c>
      <c r="M76" s="17">
        <v>1</v>
      </c>
    </row>
    <row r="77" spans="1:13" s="2" customFormat="1" ht="11.25">
      <c r="A77" s="5" t="s">
        <v>127</v>
      </c>
      <c r="B77" s="160">
        <f>+Bretagne!G77</f>
        <v>3785.6310666666668</v>
      </c>
      <c r="C77" s="113">
        <f>+Centre!O77</f>
        <v>16148.807333333334</v>
      </c>
      <c r="D77" s="113">
        <f>+Nord!R77</f>
        <v>17530.943333333336</v>
      </c>
      <c r="E77" s="162">
        <f>Sud!L77</f>
        <v>23705.0792</v>
      </c>
      <c r="F77" s="160">
        <f>+Bretagne!D77+Centre!L77+Nord!O77+Sud!I77</f>
        <v>72520.570000000007</v>
      </c>
      <c r="G77" s="135">
        <f>+Bretagne!E77+Centre!M77+Nord!P77+Sud!J77</f>
        <v>60225.073333333334</v>
      </c>
      <c r="H77" s="113">
        <f>+Bretagne!F77+Centre!N77+Nord!Q77+Sud!K77</f>
        <v>61170.460933333336</v>
      </c>
      <c r="I77" s="161">
        <f>+Bretagne!G77+Centre!O77+Nord!R77+Sud!L77</f>
        <v>61170.460933333336</v>
      </c>
      <c r="J77" s="92">
        <f t="shared" si="4"/>
        <v>-0.16954495347549906</v>
      </c>
      <c r="K77" s="271">
        <f t="shared" si="5"/>
        <v>1.5697574908169507E-2</v>
      </c>
      <c r="L77" s="408">
        <f>+Bretagne!J77+Centre!R77+Nord!U77+Sud!O77</f>
        <v>65479.136697132257</v>
      </c>
      <c r="M77" s="17">
        <v>1</v>
      </c>
    </row>
    <row r="78" spans="1:13" s="2" customFormat="1" ht="11.25">
      <c r="A78" s="5" t="s">
        <v>101</v>
      </c>
      <c r="B78" s="160">
        <f>+Bretagne!G78</f>
        <v>0</v>
      </c>
      <c r="C78" s="113">
        <f>+Centre!O78</f>
        <v>2033.7830666666666</v>
      </c>
      <c r="D78" s="113">
        <f>+Nord!R78</f>
        <v>1598.1480000000001</v>
      </c>
      <c r="E78" s="162">
        <f>Sud!L78</f>
        <v>2321.1942666666664</v>
      </c>
      <c r="F78" s="160">
        <f>+Bretagne!D78+Centre!L78+Nord!O78+Sud!I78</f>
        <v>10456.030000000001</v>
      </c>
      <c r="G78" s="135">
        <f>+Bretagne!E78+Centre!M78+Nord!P78+Sud!J78</f>
        <v>5912.0333333333328</v>
      </c>
      <c r="H78" s="113">
        <f>+Bretagne!F78+Centre!N78+Nord!Q78+Sud!K78</f>
        <v>5953.1253333333334</v>
      </c>
      <c r="I78" s="161">
        <f>+Bretagne!G78+Centre!O78+Nord!R78+Sud!L78</f>
        <v>5953.1253333333334</v>
      </c>
      <c r="J78" s="92">
        <f t="shared" si="4"/>
        <v>-0.43458144885455258</v>
      </c>
      <c r="K78" s="271">
        <f t="shared" si="5"/>
        <v>6.9505697419388517E-3</v>
      </c>
      <c r="L78" s="408">
        <f>+Bretagne!J78+Centre!R78+Nord!U78+Sud!O78</f>
        <v>20177.52567805778</v>
      </c>
      <c r="M78" s="17">
        <v>1</v>
      </c>
    </row>
    <row r="79" spans="1:13" s="2" customFormat="1" ht="11.25">
      <c r="A79" s="5" t="s">
        <v>102</v>
      </c>
      <c r="B79" s="160">
        <f>+Bretagne!G79</f>
        <v>52823.01430974633</v>
      </c>
      <c r="C79" s="113">
        <f>+Centre!O79</f>
        <v>267947.30165669136</v>
      </c>
      <c r="D79" s="113">
        <f>+Nord!R79</f>
        <v>305931.76468170597</v>
      </c>
      <c r="E79" s="162">
        <f>Sud!L79</f>
        <v>318582.41200906888</v>
      </c>
      <c r="F79" s="160">
        <f>+Bretagne!D79+Centre!L79+Nord!O79+Sud!I79</f>
        <v>894493.34</v>
      </c>
      <c r="G79" s="135">
        <f>+Bretagne!E79+Centre!M79+Nord!P79+Sud!J79</f>
        <v>930803.73963466461</v>
      </c>
      <c r="H79" s="113">
        <f>+Bretagne!F79+Centre!N79+Nord!Q79+Sud!K79</f>
        <v>945284.49265721254</v>
      </c>
      <c r="I79" s="161">
        <f>+Bretagne!G79+Centre!O79+Nord!R79+Sud!L79</f>
        <v>945284.49265721254</v>
      </c>
      <c r="J79" s="92">
        <f t="shared" si="4"/>
        <v>4.0593258787890635E-2</v>
      </c>
      <c r="K79" s="271">
        <f t="shared" si="5"/>
        <v>1.5557257030608347E-2</v>
      </c>
      <c r="L79" s="408">
        <f>+Bretagne!J79+Centre!R79+Nord!U79+Sud!O79</f>
        <v>940818.87989058509</v>
      </c>
      <c r="M79" s="17">
        <v>1</v>
      </c>
    </row>
    <row r="80" spans="1:13" s="2" customFormat="1" ht="11.25">
      <c r="A80" s="5" t="s">
        <v>325</v>
      </c>
      <c r="B80" s="160">
        <f>+Bretagne!G80</f>
        <v>4427.036133333334</v>
      </c>
      <c r="C80" s="113">
        <f>+Centre!O80</f>
        <v>2994.5373333333332</v>
      </c>
      <c r="D80" s="113">
        <f>+Nord!R80</f>
        <v>10361.899566666667</v>
      </c>
      <c r="E80" s="162">
        <f>Sud!L80</f>
        <v>7690.4469333333327</v>
      </c>
      <c r="F80" s="160">
        <f>+Bretagne!D80+Centre!L80+Nord!O80+Sud!I80</f>
        <v>17207.79</v>
      </c>
      <c r="G80" s="135">
        <f>+Bretagne!E80+Centre!M80+Nord!P80+Sud!J80</f>
        <v>23998.589999999997</v>
      </c>
      <c r="H80" s="113">
        <f>+Bretagne!F80+Centre!N80+Nord!Q80+Sud!K80</f>
        <v>25473.919966666668</v>
      </c>
      <c r="I80" s="161">
        <f>+Bretagne!G80+Centre!O80+Nord!R80+Sud!L80</f>
        <v>25473.919966666668</v>
      </c>
      <c r="J80" s="92">
        <f t="shared" si="4"/>
        <v>0.39463522044376387</v>
      </c>
      <c r="K80" s="271">
        <f t="shared" si="5"/>
        <v>6.1475693641446096E-2</v>
      </c>
      <c r="L80" s="408">
        <f>+Bretagne!J80+Centre!R80+Nord!U80+Sud!O80</f>
        <v>18815.783548608273</v>
      </c>
      <c r="M80" s="17">
        <v>1</v>
      </c>
    </row>
    <row r="81" spans="1:14" s="2" customFormat="1" ht="11.25">
      <c r="A81" s="5" t="s">
        <v>103</v>
      </c>
      <c r="B81" s="160">
        <f>+Bretagne!G81</f>
        <v>0</v>
      </c>
      <c r="C81" s="113">
        <f>+Centre!O81</f>
        <v>0</v>
      </c>
      <c r="D81" s="113">
        <f>+Nord!R81</f>
        <v>0</v>
      </c>
      <c r="E81" s="162">
        <f>Sud!L81</f>
        <v>765.79813333333334</v>
      </c>
      <c r="F81" s="160">
        <f>+Bretagne!D81+Centre!L81+Nord!O81+Sud!I81</f>
        <v>-139.29000000000008</v>
      </c>
      <c r="G81" s="135">
        <f>+Bretagne!E81+Centre!M81+Nord!P81+Sud!J81</f>
        <v>743.49333333333334</v>
      </c>
      <c r="H81" s="113">
        <f>+Bretagne!F81+Centre!N81+Nord!Q81+Sud!K81</f>
        <v>765.79813333333334</v>
      </c>
      <c r="I81" s="161">
        <f>+Bretagne!G81+Centre!O81+Nord!R81+Sud!L81</f>
        <v>765.79813333333334</v>
      </c>
      <c r="J81" s="92">
        <f t="shared" si="4"/>
        <v>-6.3377366166511084</v>
      </c>
      <c r="K81" s="271">
        <f t="shared" si="5"/>
        <v>0.03</v>
      </c>
      <c r="L81" s="408">
        <f>+Bretagne!J81+Centre!R81+Nord!U81+Sud!O81</f>
        <v>-478.67131608688436</v>
      </c>
      <c r="M81" s="17">
        <v>1</v>
      </c>
    </row>
    <row r="82" spans="1:14" s="2" customFormat="1" ht="11.25">
      <c r="A82" s="5" t="s">
        <v>105</v>
      </c>
      <c r="B82" s="160">
        <f>+Bretagne!G82</f>
        <v>370.8</v>
      </c>
      <c r="C82" s="113">
        <f>+Centre!O82</f>
        <v>8351.0302666666666</v>
      </c>
      <c r="D82" s="113">
        <f>+Nord!R82</f>
        <v>2330.3406666666669</v>
      </c>
      <c r="E82" s="162">
        <f>Sud!L82</f>
        <v>3868.4877333333334</v>
      </c>
      <c r="F82" s="160">
        <f>+Bretagne!D82+Centre!L82+Nord!O82+Sud!I82</f>
        <v>12268.03</v>
      </c>
      <c r="G82" s="135">
        <f>+Bretagne!E82+Centre!M82+Nord!P82+Sud!J82</f>
        <v>14323.626666666667</v>
      </c>
      <c r="H82" s="113">
        <f>+Bretagne!F82+Centre!N82+Nord!Q82+Sud!K82</f>
        <v>14920.658666666666</v>
      </c>
      <c r="I82" s="161">
        <f>+Bretagne!G82+Centre!O82+Nord!R82+Sud!L82</f>
        <v>14920.658666666666</v>
      </c>
      <c r="J82" s="92">
        <f t="shared" si="4"/>
        <v>0.16755719269244257</v>
      </c>
      <c r="K82" s="271">
        <f t="shared" si="5"/>
        <v>4.1681622531351409E-2</v>
      </c>
      <c r="L82" s="408">
        <f>+Bretagne!J82+Centre!R82+Nord!U82+Sud!O82</f>
        <v>11451.063889897045</v>
      </c>
      <c r="M82" s="17">
        <v>1</v>
      </c>
    </row>
    <row r="83" spans="1:14" s="2" customFormat="1" ht="11.25">
      <c r="A83" s="5" t="s">
        <v>287</v>
      </c>
      <c r="B83" s="160">
        <f>+Bretagne!G83</f>
        <v>383.16</v>
      </c>
      <c r="C83" s="113">
        <f>+Centre!O83</f>
        <v>2632.8036000000002</v>
      </c>
      <c r="D83" s="113">
        <f>+Nord!R83</f>
        <v>4179.1906666666673</v>
      </c>
      <c r="E83" s="162">
        <f>Sud!L83</f>
        <v>12086.374933333334</v>
      </c>
      <c r="F83" s="160">
        <f>+Bretagne!D83+Centre!L83+Nord!O83+Sud!I83</f>
        <v>9982.83</v>
      </c>
      <c r="G83" s="135">
        <f>+Bretagne!E83+Centre!M83+Nord!P83+Sud!J83</f>
        <v>11729.64</v>
      </c>
      <c r="H83" s="113">
        <f>+Bretagne!F83+Centre!N83+Nord!Q83+Sud!K83</f>
        <v>19281.529200000001</v>
      </c>
      <c r="I83" s="161">
        <f>+Bretagne!G83+Centre!O83+Nord!R83+Sud!L83</f>
        <v>19281.529200000001</v>
      </c>
      <c r="J83" s="92">
        <f t="shared" si="4"/>
        <v>0.17498144313786768</v>
      </c>
      <c r="K83" s="271">
        <f t="shared" si="5"/>
        <v>0.64382958044748195</v>
      </c>
      <c r="L83" s="408">
        <f>+Bretagne!J83+Centre!R83+Nord!U83+Sud!O83</f>
        <v>19682.338562800865</v>
      </c>
      <c r="M83" s="17">
        <v>1</v>
      </c>
    </row>
    <row r="84" spans="1:14" s="2" customFormat="1" ht="11.25">
      <c r="A84" s="5" t="s">
        <v>108</v>
      </c>
      <c r="B84" s="160">
        <f>+Bretagne!G84</f>
        <v>1641.6593333333333</v>
      </c>
      <c r="C84" s="113">
        <f>+Centre!O84</f>
        <v>31176.747733333337</v>
      </c>
      <c r="D84" s="113">
        <f>+Nord!R84</f>
        <v>31328.892000000003</v>
      </c>
      <c r="E84" s="162">
        <f>Sud!L84</f>
        <v>39421.299866666668</v>
      </c>
      <c r="F84" s="160">
        <f>+Bretagne!D84+Centre!L84+Nord!O84+Sud!I84</f>
        <v>93289.49000000002</v>
      </c>
      <c r="G84" s="135">
        <f>+Bretagne!E84+Centre!M84+Nord!P84+Sud!J84</f>
        <v>105004.16666666666</v>
      </c>
      <c r="H84" s="113">
        <f>+Bretagne!F84+Centre!N84+Nord!Q84+Sud!K84</f>
        <v>103568.59893333334</v>
      </c>
      <c r="I84" s="161">
        <f>+Bretagne!G84+Centre!O84+Nord!R84+Sud!L84</f>
        <v>103568.59893333334</v>
      </c>
      <c r="J84" s="92">
        <f t="shared" si="4"/>
        <v>0.12557338095284512</v>
      </c>
      <c r="K84" s="271">
        <f t="shared" si="5"/>
        <v>-1.3671531129716903E-2</v>
      </c>
      <c r="L84" s="408">
        <f>+Bretagne!J84+Centre!R84+Nord!U84+Sud!O84</f>
        <v>84690.239368746232</v>
      </c>
      <c r="M84" s="17">
        <v>1</v>
      </c>
    </row>
    <row r="85" spans="1:14" s="2" customFormat="1" ht="11.25">
      <c r="A85" s="5" t="s">
        <v>109</v>
      </c>
      <c r="B85" s="160">
        <f>+Bretagne!G85</f>
        <v>75.162533333333329</v>
      </c>
      <c r="C85" s="113">
        <f>+Centre!O85</f>
        <v>12460.164533333333</v>
      </c>
      <c r="D85" s="113">
        <f>+Nord!R85</f>
        <v>11697.503999999997</v>
      </c>
      <c r="E85" s="162">
        <f>Sud!L85</f>
        <v>5814.494200000001</v>
      </c>
      <c r="F85" s="160">
        <f>+Bretagne!D85+Centre!L85+Nord!O85+Sud!I85</f>
        <v>26636.31</v>
      </c>
      <c r="G85" s="135">
        <f>+Bretagne!E85+Centre!M85+Nord!P85+Sud!J85</f>
        <v>29673.641666666666</v>
      </c>
      <c r="H85" s="113">
        <f>+Bretagne!F85+Centre!N85+Nord!Q85+Sud!K85</f>
        <v>30047.325266666667</v>
      </c>
      <c r="I85" s="161">
        <f>+Bretagne!G85+Centre!O85+Nord!R85+Sud!L85</f>
        <v>30047.325266666667</v>
      </c>
      <c r="J85" s="92">
        <f t="shared" si="4"/>
        <v>0.11402974611223045</v>
      </c>
      <c r="K85" s="271">
        <f t="shared" si="5"/>
        <v>1.2593115607369851E-2</v>
      </c>
      <c r="L85" s="408">
        <f>+Bretagne!J85+Centre!R85+Nord!U85+Sud!O85</f>
        <v>34066.382630082793</v>
      </c>
      <c r="M85" s="17">
        <v>1</v>
      </c>
    </row>
    <row r="86" spans="1:14" s="2" customFormat="1" ht="11.25">
      <c r="A86" s="5" t="s">
        <v>106</v>
      </c>
      <c r="B86" s="160">
        <f>+Bretagne!G86</f>
        <v>2375.482133333333</v>
      </c>
      <c r="C86" s="113">
        <f>+Centre!O86</f>
        <v>7985.9529333333339</v>
      </c>
      <c r="D86" s="113">
        <f>+Nord!R86</f>
        <v>13638.957866666668</v>
      </c>
      <c r="E86" s="162">
        <f>Sud!L86</f>
        <v>11582.295066666666</v>
      </c>
      <c r="F86" s="160">
        <f>+Bretagne!D86+Centre!L86+Nord!O86+Sud!I86</f>
        <v>25559.17</v>
      </c>
      <c r="G86" s="135">
        <f>+Bretagne!E86+Centre!M86+Nord!P86+Sud!J86</f>
        <v>34615.49</v>
      </c>
      <c r="H86" s="113">
        <f>+Bretagne!F86+Centre!N86+Nord!Q86+Sud!K86</f>
        <v>35582.688000000002</v>
      </c>
      <c r="I86" s="161">
        <f>+Bretagne!G86+Centre!O86+Nord!R86+Sud!L86</f>
        <v>35582.688000000002</v>
      </c>
      <c r="J86" s="92">
        <f t="shared" si="4"/>
        <v>0.35432762487983765</v>
      </c>
      <c r="K86" s="271">
        <f t="shared" si="5"/>
        <v>2.7941190490153513E-2</v>
      </c>
      <c r="L86" s="408">
        <f>+Bretagne!J86+Centre!R86+Nord!U86+Sud!O86</f>
        <v>30690.706151722101</v>
      </c>
      <c r="M86" s="17">
        <v>1</v>
      </c>
    </row>
    <row r="87" spans="1:14" s="2" customFormat="1" ht="11.25">
      <c r="A87" s="5" t="s">
        <v>363</v>
      </c>
      <c r="B87" s="160">
        <f>+Bretagne!G87</f>
        <v>0</v>
      </c>
      <c r="C87" s="113">
        <f>+Centre!O87</f>
        <v>0</v>
      </c>
      <c r="D87" s="113">
        <f>+Nord!R87</f>
        <v>0</v>
      </c>
      <c r="E87" s="162">
        <f>Sud!L87</f>
        <v>62.266933333333341</v>
      </c>
      <c r="F87" s="160">
        <f>+Bretagne!D87+Centre!L87+Nord!O87+Sud!I87</f>
        <v>450.44</v>
      </c>
      <c r="G87" s="135">
        <f>+Bretagne!E87+Centre!M87+Nord!P87+Sud!J87</f>
        <v>60.45333333333334</v>
      </c>
      <c r="H87" s="113">
        <f>+Bretagne!F87+Centre!N87+Nord!Q87+Sud!K87</f>
        <v>62.266933333333341</v>
      </c>
      <c r="I87" s="161">
        <f>+Bretagne!G87+Centre!O87+Nord!R87+Sud!L87</f>
        <v>62.266933333333341</v>
      </c>
      <c r="J87" s="92">
        <f t="shared" si="4"/>
        <v>-0.86579048633928313</v>
      </c>
      <c r="K87" s="271">
        <f t="shared" si="5"/>
        <v>3.0000000000000013E-2</v>
      </c>
      <c r="L87" s="408">
        <f>+Bretagne!J87+Centre!R87+Nord!U87+Sud!O87</f>
        <v>863.01081946000011</v>
      </c>
      <c r="M87" s="17">
        <v>1</v>
      </c>
    </row>
    <row r="88" spans="1:14" s="2" customFormat="1" ht="11.25">
      <c r="A88" s="5" t="s">
        <v>111</v>
      </c>
      <c r="B88" s="160">
        <f>+Bretagne!G88</f>
        <v>5309.9487000000008</v>
      </c>
      <c r="C88" s="113">
        <f>+Centre!O88</f>
        <v>28310.409350000002</v>
      </c>
      <c r="D88" s="113">
        <f>+Nord!R88</f>
        <v>34545.777375000005</v>
      </c>
      <c r="E88" s="162">
        <f>Sud!L88</f>
        <v>24781.477450000002</v>
      </c>
      <c r="F88" s="160">
        <f>+Bretagne!D88+Centre!L88+Nord!O88+Sud!I88</f>
        <v>82024.94</v>
      </c>
      <c r="G88" s="135">
        <f>+Bretagne!E88+Centre!M88+Nord!P88+Sud!J88</f>
        <v>94209.795000000013</v>
      </c>
      <c r="H88" s="113">
        <f>+Bretagne!F88+Centre!N88+Nord!Q88+Sud!K88</f>
        <v>92947.612875000021</v>
      </c>
      <c r="I88" s="161">
        <f>+Bretagne!G88+Centre!O88+Nord!R88+Sud!L88</f>
        <v>92947.612875000021</v>
      </c>
      <c r="J88" s="92">
        <f t="shared" si="4"/>
        <v>0.14855061155789948</v>
      </c>
      <c r="K88" s="271">
        <f t="shared" si="5"/>
        <v>-1.3397567896204337E-2</v>
      </c>
      <c r="L88" s="408">
        <f>+Bretagne!J88+Centre!R88+Nord!U88+Sud!O88</f>
        <v>93660.907525000017</v>
      </c>
      <c r="M88" s="17">
        <v>1</v>
      </c>
    </row>
    <row r="89" spans="1:14" s="2" customFormat="1" ht="11.25">
      <c r="A89" s="237" t="s">
        <v>315</v>
      </c>
      <c r="B89" s="160">
        <f>+Bretagne!G89</f>
        <v>0</v>
      </c>
      <c r="C89" s="113">
        <f>+Centre!O89</f>
        <v>0</v>
      </c>
      <c r="D89" s="113">
        <f>+Nord!R89</f>
        <v>0</v>
      </c>
      <c r="E89" s="162">
        <f>Sud!L89</f>
        <v>0</v>
      </c>
      <c r="F89" s="160">
        <f>+Bretagne!D89+Centre!L89+Nord!O89+Sud!I89</f>
        <v>0</v>
      </c>
      <c r="G89" s="135">
        <f>+Bretagne!E89+Centre!M89+Nord!P89+Sud!J89</f>
        <v>0</v>
      </c>
      <c r="H89" s="113">
        <f>+Bretagne!F89+Centre!N89+Nord!Q89+Sud!K89</f>
        <v>0</v>
      </c>
      <c r="I89" s="161">
        <f>+Bretagne!G89+Centre!O89+Nord!R89+Sud!L89</f>
        <v>0</v>
      </c>
      <c r="J89" s="149">
        <f t="shared" si="4"/>
        <v>0</v>
      </c>
      <c r="K89" s="271">
        <f t="shared" si="5"/>
        <v>0</v>
      </c>
      <c r="L89" s="117">
        <f>+Bretagne!J89+Centre!R89+Nord!U89+Sud!O89</f>
        <v>1307.2518542250002</v>
      </c>
      <c r="M89" s="17">
        <v>0</v>
      </c>
    </row>
    <row r="90" spans="1:14" s="2" customFormat="1" ht="11.25">
      <c r="A90" s="5" t="s">
        <v>112</v>
      </c>
      <c r="B90" s="160">
        <f>+Bretagne!G90</f>
        <v>238.94626666666667</v>
      </c>
      <c r="C90" s="113">
        <f>+Centre!O90</f>
        <v>1338.6581333333334</v>
      </c>
      <c r="D90" s="113">
        <f>+Nord!R90</f>
        <v>1895.0764000000004</v>
      </c>
      <c r="E90" s="162">
        <f>Sud!L90</f>
        <v>2164.2085333333334</v>
      </c>
      <c r="F90" s="160">
        <f>+Bretagne!D90+Centre!L90+Nord!O90+Sud!I90</f>
        <v>9051.35</v>
      </c>
      <c r="G90" s="135">
        <f>+Bretagne!E90+Centre!M90+Nord!P90+Sud!J90</f>
        <v>5295.9333333333334</v>
      </c>
      <c r="H90" s="113">
        <f>+Bretagne!F90+Centre!N90+Nord!Q90+Sud!K90</f>
        <v>5636.8893333333335</v>
      </c>
      <c r="I90" s="161">
        <f>+Bretagne!G90+Centre!O90+Nord!R90+Sud!L90</f>
        <v>5636.8893333333335</v>
      </c>
      <c r="J90" s="92">
        <f t="shared" si="4"/>
        <v>-0.41490127623687811</v>
      </c>
      <c r="K90" s="271">
        <f t="shared" si="5"/>
        <v>6.438071979758056E-2</v>
      </c>
      <c r="L90" s="408">
        <f>+Bretagne!J90+Centre!R90+Nord!U90+Sud!O90</f>
        <v>10436.58091222962</v>
      </c>
      <c r="M90" s="17">
        <v>1</v>
      </c>
    </row>
    <row r="91" spans="1:14" s="2" customFormat="1" ht="11.25">
      <c r="A91" s="5" t="s">
        <v>113</v>
      </c>
      <c r="B91" s="160">
        <f>+Bretagne!G91</f>
        <v>2523.5730666666668</v>
      </c>
      <c r="C91" s="113">
        <f>+Centre!O91</f>
        <v>10049.994666666669</v>
      </c>
      <c r="D91" s="113">
        <f>+Nord!R91</f>
        <v>9800.6010666666643</v>
      </c>
      <c r="E91" s="162">
        <f>Sud!L91</f>
        <v>10485.551066666667</v>
      </c>
      <c r="F91" s="160">
        <f>+Bretagne!D91+Centre!L91+Nord!O91+Sud!I91</f>
        <v>17403.260000000002</v>
      </c>
      <c r="G91" s="135">
        <f>+Bretagne!E91+Centre!M91+Nord!P91+Sud!J91</f>
        <v>32437.129999999997</v>
      </c>
      <c r="H91" s="113">
        <f>+Bretagne!F91+Centre!N91+Nord!Q91+Sud!K91</f>
        <v>32859.719866666666</v>
      </c>
      <c r="I91" s="161">
        <f>+Bretagne!G91+Centre!O91+Nord!R91+Sud!L91</f>
        <v>32859.719866666666</v>
      </c>
      <c r="J91" s="92">
        <f t="shared" si="4"/>
        <v>0.86385366879538628</v>
      </c>
      <c r="K91" s="271">
        <f t="shared" si="5"/>
        <v>1.3027967229735461E-2</v>
      </c>
      <c r="L91" s="408">
        <f>+Bretagne!J91+Centre!R91+Nord!U91+Sud!O91</f>
        <v>22018.599988764101</v>
      </c>
      <c r="M91" s="17">
        <v>1</v>
      </c>
    </row>
    <row r="92" spans="1:14" s="2" customFormat="1" ht="11.25">
      <c r="A92" s="237" t="s">
        <v>309</v>
      </c>
      <c r="B92" s="160">
        <f>+Bretagne!G92</f>
        <v>0</v>
      </c>
      <c r="C92" s="113">
        <f>+Centre!O92</f>
        <v>0</v>
      </c>
      <c r="D92" s="113">
        <f>+Nord!R92</f>
        <v>0</v>
      </c>
      <c r="E92" s="162">
        <f>Sud!L92</f>
        <v>0</v>
      </c>
      <c r="F92" s="160">
        <f>+Bretagne!D92+Centre!L92+Nord!O92+Sud!I92</f>
        <v>0</v>
      </c>
      <c r="G92" s="135">
        <f>+Bretagne!E92+Centre!M92+Nord!P92+Sud!J92</f>
        <v>0</v>
      </c>
      <c r="H92" s="113">
        <f>+Bretagne!F92+Centre!N92+Nord!Q92+Sud!K92</f>
        <v>0</v>
      </c>
      <c r="I92" s="161">
        <f>+Bretagne!G92+Centre!O92+Nord!R92+Sud!L92</f>
        <v>0</v>
      </c>
      <c r="J92" s="149">
        <f t="shared" si="4"/>
        <v>0</v>
      </c>
      <c r="K92" s="271">
        <f t="shared" si="5"/>
        <v>0</v>
      </c>
      <c r="L92" s="117">
        <f>+Bretagne!J92+Centre!R92+Nord!U92+Sud!O92</f>
        <v>0</v>
      </c>
      <c r="M92" s="17">
        <v>0</v>
      </c>
    </row>
    <row r="93" spans="1:14" s="2" customFormat="1" ht="11.25">
      <c r="A93" s="5" t="s">
        <v>115</v>
      </c>
      <c r="B93" s="160">
        <f>+Bretagne!G93</f>
        <v>1398.4104</v>
      </c>
      <c r="C93" s="113">
        <f>+Centre!O93</f>
        <v>274.66666666666663</v>
      </c>
      <c r="D93" s="113">
        <f>+Nord!R93</f>
        <v>4394.6666666666661</v>
      </c>
      <c r="E93" s="162">
        <f>Sud!L93</f>
        <v>0</v>
      </c>
      <c r="F93" s="160">
        <f>+Bretagne!D93+Centre!L93+Nord!O93+Sud!I93</f>
        <v>1955.54</v>
      </c>
      <c r="G93" s="135">
        <f>+Bretagne!E93+Centre!M93+Nord!P93+Sud!J93</f>
        <v>9746.0133333333324</v>
      </c>
      <c r="H93" s="113">
        <f>+Bretagne!F93+Centre!N93+Nord!Q93+Sud!K93</f>
        <v>6067.7437333333328</v>
      </c>
      <c r="I93" s="161">
        <f>+Bretagne!G93+Centre!O93+Nord!R93+Sud!L93</f>
        <v>6067.7437333333328</v>
      </c>
      <c r="J93" s="92">
        <f t="shared" si="4"/>
        <v>3.983796462017311</v>
      </c>
      <c r="K93" s="271">
        <f t="shared" si="5"/>
        <v>-0.37741274038889061</v>
      </c>
      <c r="L93" s="408">
        <f>+Bretagne!J93+Centre!R93+Nord!U93+Sud!O93</f>
        <v>9804.0277558660509</v>
      </c>
      <c r="M93" s="17">
        <v>1</v>
      </c>
    </row>
    <row r="94" spans="1:14" s="2" customFormat="1" ht="11.25">
      <c r="A94" s="5" t="s">
        <v>42</v>
      </c>
      <c r="B94" s="160">
        <f>+Bretagne!G94</f>
        <v>0</v>
      </c>
      <c r="C94" s="113">
        <f>+Centre!O94</f>
        <v>0</v>
      </c>
      <c r="D94" s="113">
        <f>+Nord!R94</f>
        <v>0</v>
      </c>
      <c r="E94" s="162">
        <f>Sud!L94</f>
        <v>86.657333333333327</v>
      </c>
      <c r="F94" s="160">
        <f>+Bretagne!D94+Centre!L94+Nord!O94+Sud!I94</f>
        <v>473.63</v>
      </c>
      <c r="G94" s="135">
        <f>+Bretagne!E94+Centre!M94+Nord!P94+Sud!J94</f>
        <v>84.133333333333326</v>
      </c>
      <c r="H94" s="113">
        <f>+Bretagne!F94+Centre!N94+Nord!Q94+Sud!K94</f>
        <v>86.657333333333327</v>
      </c>
      <c r="I94" s="161">
        <f>+Bretagne!G94+Centre!O94+Nord!R94+Sud!L94</f>
        <v>86.657333333333327</v>
      </c>
      <c r="J94" s="92">
        <f t="shared" si="4"/>
        <v>-0.82236485582979679</v>
      </c>
      <c r="K94" s="271">
        <f t="shared" si="5"/>
        <v>3.0000000000000013E-2</v>
      </c>
      <c r="L94" s="408">
        <f>+Bretagne!J94+Centre!R94+Nord!U94+Sud!O94</f>
        <v>559.32135289035625</v>
      </c>
      <c r="M94" s="17">
        <v>1</v>
      </c>
    </row>
    <row r="95" spans="1:14" s="2" customFormat="1" ht="11.25">
      <c r="A95" s="5" t="s">
        <v>117</v>
      </c>
      <c r="B95" s="160">
        <f>+Bretagne!G95</f>
        <v>34233.08</v>
      </c>
      <c r="C95" s="113">
        <f>+Centre!O95</f>
        <v>84626.833599999998</v>
      </c>
      <c r="D95" s="113">
        <f>+Nord!R95</f>
        <v>105271.49014442928</v>
      </c>
      <c r="E95" s="162">
        <f>Sud!L95</f>
        <v>47613.917184782418</v>
      </c>
      <c r="F95" s="160">
        <f>+Bretagne!D95+Centre!L95+Nord!O95+Sud!I95</f>
        <v>276330.91000000003</v>
      </c>
      <c r="G95" s="135">
        <f>+Bretagne!E95+Centre!M95+Nord!P95+Sud!J95</f>
        <v>256887.01999999996</v>
      </c>
      <c r="H95" s="113">
        <f>+Bretagne!F95+Centre!N95+Nord!Q95+Sud!K95</f>
        <v>271745.32092921168</v>
      </c>
      <c r="I95" s="161">
        <f>+Bretagne!G95+Centre!O95+Nord!R95+Sud!L95</f>
        <v>271745.32092921168</v>
      </c>
      <c r="J95" s="92">
        <f t="shared" si="4"/>
        <v>-7.0364513329327041E-2</v>
      </c>
      <c r="K95" s="271">
        <f t="shared" si="5"/>
        <v>5.7839827521109173E-2</v>
      </c>
      <c r="L95" s="408">
        <f>+Bretagne!J95+Centre!R95+Nord!U95+Sud!O95</f>
        <v>277521.29630368564</v>
      </c>
      <c r="M95" s="17">
        <v>1</v>
      </c>
      <c r="N95" s="427">
        <f>+F95/F21</f>
        <v>1.0201854732653363E-2</v>
      </c>
    </row>
    <row r="96" spans="1:14" s="2" customFormat="1" ht="11.25">
      <c r="A96" s="5" t="s">
        <v>118</v>
      </c>
      <c r="B96" s="160">
        <f>+Bretagne!G96</f>
        <v>26000</v>
      </c>
      <c r="C96" s="113">
        <f>+Centre!O96</f>
        <v>86500</v>
      </c>
      <c r="D96" s="113">
        <f>+Nord!R96</f>
        <v>75611.745200000005</v>
      </c>
      <c r="E96" s="162">
        <f>Sud!L96</f>
        <v>61014.016866666672</v>
      </c>
      <c r="F96" s="160">
        <f>+Bretagne!D96+Centre!L96+Nord!O96+Sud!I96</f>
        <v>267121.28000000003</v>
      </c>
      <c r="G96" s="135">
        <f>+Bretagne!E96+Centre!M96+Nord!P96+Sud!J96</f>
        <v>250738.58166666667</v>
      </c>
      <c r="H96" s="113">
        <f>+Bretagne!F96+Centre!N96+Nord!Q96+Sud!K96</f>
        <v>249125.76206666668</v>
      </c>
      <c r="I96" s="161">
        <f>+Bretagne!G96+Centre!O96+Nord!R96+Sud!L96</f>
        <v>249125.76206666668</v>
      </c>
      <c r="J96" s="92">
        <f t="shared" si="4"/>
        <v>-6.1330562407208293E-2</v>
      </c>
      <c r="K96" s="271">
        <f t="shared" si="5"/>
        <v>-6.4322753573842891E-3</v>
      </c>
      <c r="L96" s="408">
        <f>+Bretagne!J96+Centre!R96+Nord!U96+Sud!O96</f>
        <v>263202.63631902664</v>
      </c>
      <c r="M96" s="17">
        <v>1</v>
      </c>
    </row>
    <row r="97" spans="1:14" s="2" customFormat="1" ht="11.25">
      <c r="A97" s="5" t="s">
        <v>7</v>
      </c>
      <c r="B97" s="160">
        <f>+Bretagne!G97</f>
        <v>700</v>
      </c>
      <c r="C97" s="113">
        <f>+Centre!O97</f>
        <v>650</v>
      </c>
      <c r="D97" s="113">
        <f>+Nord!R97</f>
        <v>2078.7048</v>
      </c>
      <c r="E97" s="162">
        <f>Sud!L97</f>
        <v>3619.4817999999996</v>
      </c>
      <c r="F97" s="160">
        <f>+Bretagne!D97+Centre!L97+Nord!O97+Sud!I97</f>
        <v>7039.49</v>
      </c>
      <c r="G97" s="135">
        <f>+Bretagne!E97+Centre!M97+Nord!P97+Sud!J97</f>
        <v>6776.125</v>
      </c>
      <c r="H97" s="113">
        <f>+Bretagne!F97+Centre!N97+Nord!Q97+Sud!K97</f>
        <v>7048.1865999999991</v>
      </c>
      <c r="I97" s="161">
        <f>+Bretagne!G97+Centre!O97+Nord!R97+Sud!L97</f>
        <v>7048.1865999999991</v>
      </c>
      <c r="J97" s="92">
        <f t="shared" si="4"/>
        <v>-3.7412511417730519E-2</v>
      </c>
      <c r="K97" s="271">
        <f t="shared" si="5"/>
        <v>4.0150026748325789E-2</v>
      </c>
      <c r="L97" s="408">
        <f>+Bretagne!J97+Centre!R97+Nord!U97+Sud!O97</f>
        <v>8893.802925613727</v>
      </c>
      <c r="M97" s="17">
        <v>1</v>
      </c>
    </row>
    <row r="98" spans="1:14" s="2" customFormat="1" ht="11.25">
      <c r="A98" s="5" t="s">
        <v>307</v>
      </c>
      <c r="B98" s="160">
        <f>+Bretagne!G98</f>
        <v>1000</v>
      </c>
      <c r="C98" s="113">
        <f>+Centre!O98</f>
        <v>0</v>
      </c>
      <c r="D98" s="113">
        <f>+Nord!R98</f>
        <v>1000</v>
      </c>
      <c r="E98" s="162">
        <f>Sud!L98</f>
        <v>0</v>
      </c>
      <c r="F98" s="160">
        <f>+Bretagne!D98+Centre!L98+Nord!O98+Sud!I98</f>
        <v>855</v>
      </c>
      <c r="G98" s="135">
        <f>+Bretagne!E98+Centre!M98+Nord!P98+Sud!J98</f>
        <v>383.4666666666667</v>
      </c>
      <c r="H98" s="113">
        <f>+Bretagne!F98+Centre!N98+Nord!Q98+Sud!K98</f>
        <v>2000</v>
      </c>
      <c r="I98" s="161">
        <f>+Bretagne!G98+Centre!O98+Nord!R98+Sud!L98</f>
        <v>2000</v>
      </c>
      <c r="J98" s="92">
        <f t="shared" si="4"/>
        <v>-0.55150097465886938</v>
      </c>
      <c r="K98" s="271">
        <f t="shared" si="5"/>
        <v>4.2155771905424197</v>
      </c>
      <c r="L98" s="408">
        <f>+Bretagne!J98+Centre!R98+Nord!U98+Sud!O98</f>
        <v>3453.15</v>
      </c>
      <c r="M98" s="17">
        <v>1</v>
      </c>
    </row>
    <row r="99" spans="1:14" s="2" customFormat="1" ht="11.25">
      <c r="A99" s="5" t="s">
        <v>119</v>
      </c>
      <c r="B99" s="160">
        <f>+Bretagne!G99</f>
        <v>6760.0533333333333</v>
      </c>
      <c r="C99" s="113">
        <f>+Centre!O99</f>
        <v>46232.866666666669</v>
      </c>
      <c r="D99" s="113">
        <f>+Nord!R99</f>
        <v>50103.920000000006</v>
      </c>
      <c r="E99" s="162">
        <f>Sud!L99</f>
        <v>37489.523333333331</v>
      </c>
      <c r="F99" s="160">
        <f>+Bretagne!D99+Centre!L99+Nord!O99+Sud!I99</f>
        <v>142197.71</v>
      </c>
      <c r="G99" s="135">
        <f>+Bretagne!E99+Centre!M99+Nord!P99+Sud!J99</f>
        <v>139819.01999999999</v>
      </c>
      <c r="H99" s="113">
        <f>+Bretagne!F99+Centre!N99+Nord!Q99+Sud!K99</f>
        <v>140586.36333333334</v>
      </c>
      <c r="I99" s="161">
        <f>+Bretagne!G99+Centre!O99+Nord!R99+Sud!L99</f>
        <v>140586.36333333334</v>
      </c>
      <c r="J99" s="92">
        <f t="shared" si="4"/>
        <v>-1.6728047167566922E-2</v>
      </c>
      <c r="K99" s="271">
        <f t="shared" si="5"/>
        <v>5.4881183785535931E-3</v>
      </c>
      <c r="L99" s="408">
        <f>+Bretagne!J99+Centre!R99+Nord!U99+Sud!O99</f>
        <v>154695.59476633376</v>
      </c>
      <c r="M99" s="17">
        <v>1</v>
      </c>
    </row>
    <row r="100" spans="1:14" s="2" customFormat="1" ht="11.25">
      <c r="A100" s="5" t="s">
        <v>120</v>
      </c>
      <c r="B100" s="160">
        <f>+Bretagne!G100</f>
        <v>1066.6130666666668</v>
      </c>
      <c r="C100" s="113">
        <f>+Centre!O100</f>
        <v>10876.587133333333</v>
      </c>
      <c r="D100" s="113">
        <f>+Nord!R100</f>
        <v>18286.977066666666</v>
      </c>
      <c r="E100" s="162">
        <f>Sud!L100</f>
        <v>11024.927733333334</v>
      </c>
      <c r="F100" s="160">
        <f>+Bretagne!D100+Centre!L100+Nord!O100+Sud!I100</f>
        <v>24300.97</v>
      </c>
      <c r="G100" s="135">
        <f>+Bretagne!E100+Centre!M100+Nord!P100+Sud!J100</f>
        <v>40968.964999999997</v>
      </c>
      <c r="H100" s="113">
        <f>+Bretagne!F100+Centre!N100+Nord!Q100+Sud!K100</f>
        <v>41255.104999999996</v>
      </c>
      <c r="I100" s="161">
        <f>+Bretagne!G100+Centre!O100+Nord!R100+Sud!L100</f>
        <v>41255.104999999996</v>
      </c>
      <c r="J100" s="92">
        <f t="shared" si="4"/>
        <v>0.68589834068351985</v>
      </c>
      <c r="K100" s="271">
        <f t="shared" si="5"/>
        <v>6.9843111731038221E-3</v>
      </c>
      <c r="L100" s="408">
        <f>+Bretagne!J100+Centre!R100+Nord!U100+Sud!O100</f>
        <v>27873.759095891786</v>
      </c>
      <c r="M100" s="17">
        <v>1</v>
      </c>
    </row>
    <row r="101" spans="1:14" s="2" customFormat="1" ht="11.25">
      <c r="A101" s="5" t="s">
        <v>121</v>
      </c>
      <c r="B101" s="160">
        <f>+Bretagne!G101</f>
        <v>0</v>
      </c>
      <c r="C101" s="113">
        <f>+Centre!O101</f>
        <v>0</v>
      </c>
      <c r="D101" s="113">
        <f>+Nord!R101</f>
        <v>0</v>
      </c>
      <c r="E101" s="162">
        <f>Sud!L101</f>
        <v>0</v>
      </c>
      <c r="F101" s="160">
        <f>+Bretagne!D101+Centre!L101+Nord!O101+Sud!I101</f>
        <v>0</v>
      </c>
      <c r="G101" s="135">
        <f>+Bretagne!E101+Centre!M101+Nord!P101+Sud!J101</f>
        <v>0</v>
      </c>
      <c r="H101" s="113">
        <f>+Bretagne!F101+Centre!N101+Nord!Q101+Sud!K101</f>
        <v>0</v>
      </c>
      <c r="I101" s="161">
        <f>+Bretagne!G101+Centre!O101+Nord!R101+Sud!L101</f>
        <v>0</v>
      </c>
      <c r="J101" s="92">
        <f>+IF((F101)=0,,(G101-F101)/F101)</f>
        <v>0</v>
      </c>
      <c r="K101" s="271">
        <f>+IF((G101)=0,,(I101-G101)/G101)</f>
        <v>0</v>
      </c>
      <c r="L101" s="408">
        <f>+Bretagne!J101+Centre!R101+Nord!U101+Sud!O101</f>
        <v>602.09127147499999</v>
      </c>
      <c r="M101" s="17">
        <v>1</v>
      </c>
    </row>
    <row r="102" spans="1:14" s="2" customFormat="1" ht="11.25">
      <c r="A102" s="237"/>
      <c r="B102" s="160"/>
      <c r="C102" s="113"/>
      <c r="D102" s="113"/>
      <c r="E102" s="162"/>
      <c r="F102" s="160"/>
      <c r="G102" s="143"/>
      <c r="H102" s="149"/>
      <c r="I102" s="254"/>
      <c r="J102" s="149"/>
      <c r="K102" s="254"/>
      <c r="L102" s="115"/>
      <c r="M102" s="17">
        <v>0</v>
      </c>
    </row>
    <row r="103" spans="1:14" s="2" customFormat="1" ht="11.25">
      <c r="A103" s="243" t="s">
        <v>122</v>
      </c>
      <c r="B103" s="163">
        <f t="shared" ref="B103:I103" si="6">SUM(B72:B102)+B70</f>
        <v>163544.60754307971</v>
      </c>
      <c r="C103" s="204">
        <f t="shared" si="6"/>
        <v>785891.02827335813</v>
      </c>
      <c r="D103" s="204">
        <f t="shared" si="6"/>
        <v>880473.46516780194</v>
      </c>
      <c r="E103" s="168">
        <f t="shared" si="6"/>
        <v>776290.28937718458</v>
      </c>
      <c r="F103" s="163">
        <f t="shared" si="6"/>
        <v>2534514.54</v>
      </c>
      <c r="G103" s="136">
        <f t="shared" si="6"/>
        <v>2568401.5879679974</v>
      </c>
      <c r="H103" s="204">
        <f t="shared" si="6"/>
        <v>2606199.3903614245</v>
      </c>
      <c r="I103" s="118">
        <f t="shared" si="6"/>
        <v>2606199.3903614245</v>
      </c>
      <c r="J103" s="272">
        <f>+IF((F103)=0,,(G103-F103)/F103)</f>
        <v>1.3370232221274762E-2</v>
      </c>
      <c r="K103" s="188">
        <f>+IF((G103)=0,,(I103-G103)/G103)</f>
        <v>1.4716469017343593E-2</v>
      </c>
      <c r="L103" s="118">
        <f>+Bretagne!J103+Centre!R103+Nord!U103+Sud!O103</f>
        <v>2636778.2790777921</v>
      </c>
      <c r="M103" s="17">
        <v>0</v>
      </c>
      <c r="N103" s="427">
        <f>+F103/$F$21</f>
        <v>9.3571686044379765E-2</v>
      </c>
    </row>
    <row r="104" spans="1:14" s="2" customFormat="1" ht="11.25">
      <c r="A104" s="237"/>
      <c r="B104" s="160"/>
      <c r="C104" s="113"/>
      <c r="D104" s="113"/>
      <c r="E104" s="162"/>
      <c r="F104" s="160"/>
      <c r="G104" s="143"/>
      <c r="H104" s="149"/>
      <c r="I104" s="254"/>
      <c r="J104" s="149"/>
      <c r="K104" s="254"/>
      <c r="L104" s="115">
        <f>+Bretagne!J104+Centre!R104+Nord!U104+Sud!O104</f>
        <v>0</v>
      </c>
      <c r="M104" s="17">
        <v>0</v>
      </c>
    </row>
    <row r="105" spans="1:14" s="25" customFormat="1" ht="11.25">
      <c r="A105" s="5" t="s">
        <v>129</v>
      </c>
      <c r="B105" s="160">
        <f>+Bretagne!G105</f>
        <v>2000</v>
      </c>
      <c r="C105" s="113">
        <f>+Centre!O105</f>
        <v>10700</v>
      </c>
      <c r="D105" s="113">
        <f>+Nord!R105</f>
        <v>820.40186666666671</v>
      </c>
      <c r="E105" s="162">
        <f>Sud!L105</f>
        <v>96.133333333333326</v>
      </c>
      <c r="F105" s="160">
        <f>+Bretagne!D105+Centre!L105+Nord!O105+Sud!I105</f>
        <v>22638.509999999995</v>
      </c>
      <c r="G105" s="135">
        <f>+Bretagne!E105+Centre!M105+Nord!P105+Sud!J105</f>
        <v>4093.84</v>
      </c>
      <c r="H105" s="113">
        <f>+Bretagne!F105+Centre!N105+Nord!Q105+Sud!K105</f>
        <v>13616.5352</v>
      </c>
      <c r="I105" s="161">
        <f>+Bretagne!G105+Centre!O105+Nord!R105+Sud!L105</f>
        <v>13616.5352</v>
      </c>
      <c r="J105" s="92">
        <f>+IF((F105)=0,,(G105-F105)/F105)</f>
        <v>-0.81916477718719116</v>
      </c>
      <c r="K105" s="271">
        <f>+IF((G105)=0,,(I105-G105)/G105)</f>
        <v>2.3261034139096788</v>
      </c>
      <c r="L105" s="408">
        <f>+Bretagne!J105+Centre!R105+Nord!U105+Sud!O105</f>
        <v>31634.569000000003</v>
      </c>
      <c r="M105" s="113">
        <v>1</v>
      </c>
    </row>
    <row r="106" spans="1:14" s="25" customFormat="1" ht="11.25">
      <c r="A106" s="237" t="s">
        <v>130</v>
      </c>
      <c r="B106" s="160">
        <f>+Bretagne!G106</f>
        <v>8500</v>
      </c>
      <c r="C106" s="113">
        <f>+Centre!O106</f>
        <v>43500</v>
      </c>
      <c r="D106" s="113">
        <f>+Nord!R106</f>
        <v>58857.134533333337</v>
      </c>
      <c r="E106" s="162">
        <f>Sud!L106</f>
        <v>44997.847733333329</v>
      </c>
      <c r="F106" s="160">
        <f>+Bretagne!D106+Centre!L106+Nord!O106+Sud!I106</f>
        <v>189384.40999999997</v>
      </c>
      <c r="G106" s="135">
        <f>+Bretagne!E106+Centre!M106+Nord!P106+Sud!J106</f>
        <v>198436.69500000004</v>
      </c>
      <c r="H106" s="113">
        <f>+Bretagne!F106+Centre!N106+Nord!Q106+Sud!K106</f>
        <v>155854.98226666666</v>
      </c>
      <c r="I106" s="161">
        <f>+Bretagne!G106+Centre!O106+Nord!R106+Sud!L106</f>
        <v>155854.98226666666</v>
      </c>
      <c r="J106" s="149">
        <f t="shared" ref="J106:J114" si="7">+IF((F106)=0,,(G106-F106)/F106)</f>
        <v>4.7798469789567491E-2</v>
      </c>
      <c r="K106" s="271">
        <f t="shared" ref="K106:K114" si="8">+IF((G106)=0,,(I106-G106)/G106)</f>
        <v>-0.21458587955888586</v>
      </c>
      <c r="L106" s="117">
        <f>+Bretagne!J106+Centre!R106+Nord!U106+Sud!O106</f>
        <v>137336.18550000002</v>
      </c>
      <c r="M106" s="113">
        <v>0</v>
      </c>
    </row>
    <row r="107" spans="1:14" s="25" customFormat="1" ht="11.25">
      <c r="A107" s="5" t="s">
        <v>131</v>
      </c>
      <c r="B107" s="160">
        <f>+Bretagne!G107</f>
        <v>0</v>
      </c>
      <c r="C107" s="113">
        <f>+Centre!O107</f>
        <v>0</v>
      </c>
      <c r="D107" s="113">
        <f>+Nord!R107</f>
        <v>0</v>
      </c>
      <c r="E107" s="162">
        <f>Sud!L107</f>
        <v>0</v>
      </c>
      <c r="F107" s="160">
        <f>+Bretagne!D107+Centre!L107+Nord!O107+Sud!I107</f>
        <v>0</v>
      </c>
      <c r="G107" s="135">
        <f>+Bretagne!E107+Centre!M107+Nord!P107+Sud!J107</f>
        <v>-3544</v>
      </c>
      <c r="H107" s="113">
        <f>+Bretagne!F107+Centre!N107+Nord!Q107+Sud!K107</f>
        <v>0</v>
      </c>
      <c r="I107" s="161">
        <f>+Bretagne!G107+Centre!O107+Nord!R107+Sud!L107</f>
        <v>0</v>
      </c>
      <c r="J107" s="92">
        <f t="shared" si="7"/>
        <v>0</v>
      </c>
      <c r="K107" s="271">
        <f t="shared" si="8"/>
        <v>-1</v>
      </c>
      <c r="L107" s="408">
        <f>+Bretagne!J107+Centre!R107+Nord!U107+Sud!O107</f>
        <v>0</v>
      </c>
      <c r="M107" s="113">
        <v>1</v>
      </c>
    </row>
    <row r="108" spans="1:14" s="25" customFormat="1" ht="11.25">
      <c r="A108" s="5" t="s">
        <v>132</v>
      </c>
      <c r="B108" s="160">
        <f>+Bretagne!G108</f>
        <v>500</v>
      </c>
      <c r="C108" s="113">
        <f>+Centre!O108</f>
        <v>1450</v>
      </c>
      <c r="D108" s="113">
        <f>+Nord!R108</f>
        <v>5400</v>
      </c>
      <c r="E108" s="162">
        <f>Sud!L108</f>
        <v>13556.860933333333</v>
      </c>
      <c r="F108" s="160">
        <f>+Bretagne!D108+Centre!L108+Nord!O108+Sud!I108</f>
        <v>4199.2</v>
      </c>
      <c r="G108" s="135">
        <f>+Bretagne!E108+Centre!M108+Nord!P108+Sud!J108</f>
        <v>41753.551666666666</v>
      </c>
      <c r="H108" s="113">
        <f>+Bretagne!F108+Centre!N108+Nord!Q108+Sud!K108</f>
        <v>20906.860933333333</v>
      </c>
      <c r="I108" s="161">
        <f>+Bretagne!G108+Centre!O108+Nord!R108+Sud!L108</f>
        <v>20906.860933333333</v>
      </c>
      <c r="J108" s="92">
        <f t="shared" si="7"/>
        <v>8.9432157712580178</v>
      </c>
      <c r="K108" s="271">
        <f t="shared" si="8"/>
        <v>-0.49927946009862395</v>
      </c>
      <c r="L108" s="408">
        <f>+Bretagne!J108+Centre!R108+Nord!U108+Sud!O108</f>
        <v>9894.69</v>
      </c>
      <c r="M108" s="113">
        <v>1</v>
      </c>
    </row>
    <row r="109" spans="1:14" s="25" customFormat="1" ht="11.25">
      <c r="A109" s="5" t="s">
        <v>133</v>
      </c>
      <c r="B109" s="160">
        <f>+Bretagne!G109</f>
        <v>8100</v>
      </c>
      <c r="C109" s="113">
        <f>+Centre!O109</f>
        <v>37300</v>
      </c>
      <c r="D109" s="113">
        <f>+Nord!R109</f>
        <v>47141.854400000004</v>
      </c>
      <c r="E109" s="162">
        <f>Sud!L109</f>
        <v>38822.404933333331</v>
      </c>
      <c r="F109" s="160">
        <f>+Bretagne!D109+Centre!L109+Nord!O109+Sud!I109</f>
        <v>68347.87999999999</v>
      </c>
      <c r="G109" s="135">
        <f>+Bretagne!E109+Centre!M109+Nord!P109+Sud!J109</f>
        <v>119903.50333333333</v>
      </c>
      <c r="H109" s="113">
        <f>+Bretagne!F109+Centre!N109+Nord!Q109+Sud!K109</f>
        <v>131364.25933333335</v>
      </c>
      <c r="I109" s="161">
        <f>+Bretagne!G109+Centre!O109+Nord!R109+Sud!L109</f>
        <v>131364.25933333335</v>
      </c>
      <c r="J109" s="92">
        <f t="shared" si="7"/>
        <v>0.75431196012712232</v>
      </c>
      <c r="K109" s="271">
        <f t="shared" si="8"/>
        <v>9.5583162137798175E-2</v>
      </c>
      <c r="L109" s="408">
        <f>+Bretagne!J109+Centre!R109+Nord!U109+Sud!O109</f>
        <v>166416.2519</v>
      </c>
      <c r="M109" s="113">
        <v>1</v>
      </c>
    </row>
    <row r="110" spans="1:14" s="25" customFormat="1" ht="11.25">
      <c r="A110" s="5" t="s">
        <v>134</v>
      </c>
      <c r="B110" s="160">
        <f>+Bretagne!G110</f>
        <v>22000</v>
      </c>
      <c r="C110" s="113">
        <f>+Centre!O110</f>
        <v>114000</v>
      </c>
      <c r="D110" s="113">
        <f>+Nord!R110</f>
        <v>85085.996933333314</v>
      </c>
      <c r="E110" s="162">
        <f>Sud!L110</f>
        <v>105206.10533333334</v>
      </c>
      <c r="F110" s="160">
        <f>+Bretagne!D110+Centre!L110+Nord!O110+Sud!I110</f>
        <v>401690.11</v>
      </c>
      <c r="G110" s="135">
        <f>+Bretagne!E110+Centre!M110+Nord!P110+Sud!J110</f>
        <v>379738.32</v>
      </c>
      <c r="H110" s="113">
        <f>+Bretagne!F110+Centre!N110+Nord!Q110+Sud!K110</f>
        <v>326292.10226666665</v>
      </c>
      <c r="I110" s="161">
        <f>+Bretagne!G110+Centre!O110+Nord!R110+Sud!L110</f>
        <v>326292.10226666665</v>
      </c>
      <c r="J110" s="92">
        <f t="shared" si="7"/>
        <v>-5.464856976438872E-2</v>
      </c>
      <c r="K110" s="271">
        <f t="shared" si="8"/>
        <v>-0.14074486276058037</v>
      </c>
      <c r="L110" s="408">
        <f>+Bretagne!J110+Centre!R110+Nord!U110+Sud!O110</f>
        <v>372109.03200000001</v>
      </c>
      <c r="M110" s="113">
        <v>1</v>
      </c>
    </row>
    <row r="111" spans="1:14" s="25" customFormat="1" ht="11.25">
      <c r="A111" s="5" t="s">
        <v>135</v>
      </c>
      <c r="B111" s="160">
        <f>+Bretagne!G111</f>
        <v>70</v>
      </c>
      <c r="C111" s="113">
        <f>+Centre!O111</f>
        <v>970</v>
      </c>
      <c r="D111" s="113">
        <f>+Nord!R111</f>
        <v>590.5333333333333</v>
      </c>
      <c r="E111" s="162">
        <f>Sud!L111</f>
        <v>100</v>
      </c>
      <c r="F111" s="160">
        <f>+Bretagne!D111+Centre!L111+Nord!O111+Sud!I111</f>
        <v>2122</v>
      </c>
      <c r="G111" s="135">
        <f>+Bretagne!E111+Centre!M111+Nord!P111+Sud!J111</f>
        <v>1603.1333333333334</v>
      </c>
      <c r="H111" s="113">
        <f>+Bretagne!F111+Centre!N111+Nord!Q111+Sud!K111</f>
        <v>1730.5333333333333</v>
      </c>
      <c r="I111" s="161">
        <f>+Bretagne!G111+Centre!O111+Nord!R111+Sud!L111</f>
        <v>1730.5333333333333</v>
      </c>
      <c r="J111" s="92">
        <f t="shared" si="7"/>
        <v>-0.24451775054979574</v>
      </c>
      <c r="K111" s="271">
        <f t="shared" si="8"/>
        <v>7.9469372478895406E-2</v>
      </c>
      <c r="L111" s="408">
        <f>+Bretagne!J111+Centre!R111+Nord!U111+Sud!O111</f>
        <v>2162.4800000000005</v>
      </c>
      <c r="M111" s="113">
        <v>1</v>
      </c>
    </row>
    <row r="112" spans="1:14" s="25" customFormat="1" ht="11.25">
      <c r="A112" s="5" t="s">
        <v>136</v>
      </c>
      <c r="B112" s="160">
        <f>+Bretagne!G112</f>
        <v>2000</v>
      </c>
      <c r="C112" s="113">
        <f>+Centre!O112</f>
        <v>4150</v>
      </c>
      <c r="D112" s="113">
        <f>+Nord!R112</f>
        <v>9474.7090666666736</v>
      </c>
      <c r="E112" s="162">
        <f>Sud!L112</f>
        <v>15890.45</v>
      </c>
      <c r="F112" s="160">
        <f>+Bretagne!D112+Centre!L112+Nord!O112+Sud!I112</f>
        <v>4776.95</v>
      </c>
      <c r="G112" s="135">
        <f>+Bretagne!E112+Centre!M112+Nord!P112+Sud!J112</f>
        <v>55159.80333333333</v>
      </c>
      <c r="H112" s="113">
        <f>+Bretagne!F112+Centre!N112+Nord!Q112+Sud!K112</f>
        <v>31515.159066666674</v>
      </c>
      <c r="I112" s="161">
        <f>+Bretagne!G112+Centre!O112+Nord!R112+Sud!L112</f>
        <v>31515.159066666674</v>
      </c>
      <c r="J112" s="92">
        <f t="shared" si="7"/>
        <v>10.54707571428073</v>
      </c>
      <c r="K112" s="271">
        <f t="shared" si="8"/>
        <v>-0.42865715317694192</v>
      </c>
      <c r="L112" s="408">
        <f>+Bretagne!J112+Centre!R112+Nord!U112+Sud!O112</f>
        <v>28128.007799999999</v>
      </c>
      <c r="M112" s="113">
        <v>1</v>
      </c>
    </row>
    <row r="113" spans="1:13" s="25" customFormat="1" ht="11.25">
      <c r="A113" s="237" t="s">
        <v>137</v>
      </c>
      <c r="B113" s="160">
        <f>+Bretagne!G113</f>
        <v>12800.003499999999</v>
      </c>
      <c r="C113" s="113">
        <f>+Centre!O113</f>
        <v>60869.975599999998</v>
      </c>
      <c r="D113" s="113">
        <f>+Nord!R113</f>
        <v>35000</v>
      </c>
      <c r="E113" s="162">
        <f>Sud!L113</f>
        <v>18000</v>
      </c>
      <c r="F113" s="160">
        <f>+Bretagne!D113+Centre!L113+Nord!O113+Sud!I113</f>
        <v>196778.43</v>
      </c>
      <c r="G113" s="135">
        <f>+Bretagne!E113+Centre!M113+Nord!P113+Sud!J113</f>
        <v>175203.89</v>
      </c>
      <c r="H113" s="113">
        <f>+Bretagne!F113+Centre!N113+Nord!Q113+Sud!K113</f>
        <v>126669.9791</v>
      </c>
      <c r="I113" s="161">
        <f>+Bretagne!G113+Centre!O113+Nord!R113+Sud!L113</f>
        <v>126669.9791</v>
      </c>
      <c r="J113" s="149">
        <f t="shared" si="7"/>
        <v>-0.10963874444978537</v>
      </c>
      <c r="K113" s="271">
        <f t="shared" si="8"/>
        <v>-0.27701388878979805</v>
      </c>
      <c r="L113" s="117">
        <f>+Bretagne!J113+Centre!R113+Nord!U113+Sud!O113</f>
        <v>226399.2549</v>
      </c>
      <c r="M113" s="113">
        <v>0</v>
      </c>
    </row>
    <row r="114" spans="1:13" s="25" customFormat="1" ht="11.25">
      <c r="A114" s="237" t="s">
        <v>138</v>
      </c>
      <c r="B114" s="160">
        <f>+Bretagne!G114</f>
        <v>-687.01</v>
      </c>
      <c r="C114" s="113">
        <f>+Centre!O114</f>
        <v>0</v>
      </c>
      <c r="D114" s="113">
        <f>+Nord!R114</f>
        <v>-3182.7000000000003</v>
      </c>
      <c r="E114" s="162">
        <f>Sud!L114</f>
        <v>-6777.5465333333332</v>
      </c>
      <c r="F114" s="160">
        <f>+Bretagne!D114+Centre!L114+Nord!O114+Sud!I114</f>
        <v>-23659.99</v>
      </c>
      <c r="G114" s="135">
        <f>+Bretagne!E114+Centre!M114+Nord!P114+Sud!J114</f>
        <v>-10482.773333333333</v>
      </c>
      <c r="H114" s="113">
        <f>+Bretagne!F114+Centre!N114+Nord!Q114+Sud!K114</f>
        <v>-10647.256533333333</v>
      </c>
      <c r="I114" s="161">
        <f>+Bretagne!G114+Centre!O114+Nord!R114+Sud!L114</f>
        <v>-10647.256533333333</v>
      </c>
      <c r="J114" s="149">
        <f t="shared" si="7"/>
        <v>-0.55694092291106922</v>
      </c>
      <c r="K114" s="271">
        <f t="shared" si="8"/>
        <v>1.5690809556758573E-2</v>
      </c>
      <c r="L114" s="117">
        <f>+Bretagne!J114+Centre!R114+Nord!U114+Sud!O114</f>
        <v>-8756.5851000000002</v>
      </c>
      <c r="M114" s="113">
        <v>0</v>
      </c>
    </row>
    <row r="115" spans="1:13" s="2" customFormat="1" ht="11.25">
      <c r="A115" s="1074"/>
      <c r="B115" s="1169"/>
      <c r="C115" s="1170"/>
      <c r="D115" s="1170"/>
      <c r="E115" s="371"/>
      <c r="F115" s="1169"/>
      <c r="G115" s="1200"/>
      <c r="H115" s="149"/>
      <c r="I115" s="1201"/>
      <c r="J115" s="1207"/>
      <c r="K115" s="1201"/>
      <c r="L115" s="1177">
        <f>+Bretagne!J115+Centre!R115+Nord!U115+Sud!O115</f>
        <v>0</v>
      </c>
      <c r="M115" s="17">
        <v>0</v>
      </c>
    </row>
    <row r="116" spans="1:13" s="2" customFormat="1" ht="11.25">
      <c r="A116" s="243" t="s">
        <v>133</v>
      </c>
      <c r="B116" s="163">
        <f t="shared" ref="B116:I116" si="9">SUM(B105:B115)</f>
        <v>55282.993499999997</v>
      </c>
      <c r="C116" s="204">
        <f t="shared" si="9"/>
        <v>272939.97560000001</v>
      </c>
      <c r="D116" s="204">
        <f t="shared" si="9"/>
        <v>239187.93013333331</v>
      </c>
      <c r="E116" s="168">
        <f t="shared" si="9"/>
        <v>229892.25573333332</v>
      </c>
      <c r="F116" s="163">
        <f t="shared" si="9"/>
        <v>866277.5</v>
      </c>
      <c r="G116" s="136">
        <f t="shared" si="9"/>
        <v>961865.96333333338</v>
      </c>
      <c r="H116" s="204">
        <f t="shared" si="9"/>
        <v>797303.15496666671</v>
      </c>
      <c r="I116" s="118">
        <f t="shared" si="9"/>
        <v>797303.15496666671</v>
      </c>
      <c r="J116" s="272">
        <f>+IF((F116)=0,,(G116-F116)/F116)</f>
        <v>0.11034392943754556</v>
      </c>
      <c r="K116" s="188">
        <f>+IF((G116)=0,,(I116-G116)/G116)</f>
        <v>-0.17108704813337661</v>
      </c>
      <c r="L116" s="118">
        <f>+Bretagne!J116+Centre!R116+Nord!U116+Sud!O116</f>
        <v>965323.88599999994</v>
      </c>
      <c r="M116" s="17">
        <v>0</v>
      </c>
    </row>
    <row r="117" spans="1:13" s="2" customFormat="1" ht="11.25">
      <c r="A117" s="387"/>
      <c r="B117" s="248"/>
      <c r="C117" s="249"/>
      <c r="D117" s="249"/>
      <c r="E117" s="250"/>
      <c r="F117" s="248"/>
      <c r="G117" s="1181"/>
      <c r="H117" s="113"/>
      <c r="I117" s="1202"/>
      <c r="J117" s="288"/>
      <c r="K117" s="1202"/>
      <c r="L117" s="1178">
        <f>+Bretagne!J117+Centre!R117+Nord!U117+Sud!O117</f>
        <v>0</v>
      </c>
      <c r="M117" s="17">
        <v>0</v>
      </c>
    </row>
    <row r="118" spans="1:13" s="25" customFormat="1" ht="11.25">
      <c r="A118" s="5" t="s">
        <v>139</v>
      </c>
      <c r="B118" s="160">
        <f>+Bretagne!G118</f>
        <v>1189.9999999999998</v>
      </c>
      <c r="C118" s="113">
        <f>+Centre!O118</f>
        <v>6672.3999999999987</v>
      </c>
      <c r="D118" s="113">
        <f>+Nord!R118</f>
        <v>7846.3209999999999</v>
      </c>
      <c r="E118" s="162">
        <f>Sud!L118</f>
        <v>7447.6968000000006</v>
      </c>
      <c r="F118" s="160">
        <f>+Bretagne!D118+Centre!L118+Nord!O118+Sud!I118</f>
        <v>24977.51</v>
      </c>
      <c r="G118" s="135">
        <f>+Bretagne!E118+Centre!M118+Nord!P118+Sud!J118</f>
        <v>59358.943333333329</v>
      </c>
      <c r="H118" s="113">
        <f>+Bretagne!F118+Centre!N118+Nord!Q118+Sud!K118</f>
        <v>23156.417799999999</v>
      </c>
      <c r="I118" s="161">
        <f>+Bretagne!G118+Centre!O118+Nord!R118+Sud!L118</f>
        <v>23156.417799999999</v>
      </c>
      <c r="J118" s="92">
        <f>+IF((F118)=0,,(G118-F118)/F118)</f>
        <v>1.3764956288010028</v>
      </c>
      <c r="K118" s="271">
        <f>+IF((G118)=0,,(I118-G118)/G118)</f>
        <v>-0.60989167765396546</v>
      </c>
      <c r="L118" s="408">
        <f>+Bretagne!J118+Centre!R118+Nord!U118+Sud!O118</f>
        <v>21373.880599999997</v>
      </c>
      <c r="M118" s="113">
        <v>1</v>
      </c>
    </row>
    <row r="119" spans="1:13" s="25" customFormat="1" ht="11.25">
      <c r="A119" s="5" t="s">
        <v>140</v>
      </c>
      <c r="B119" s="160">
        <f>+Bretagne!G119</f>
        <v>765.00000000000011</v>
      </c>
      <c r="C119" s="113">
        <f>+Centre!O119</f>
        <v>4289.4000000000005</v>
      </c>
      <c r="D119" s="113">
        <f>+Nord!R119</f>
        <v>5044.0635000000002</v>
      </c>
      <c r="E119" s="162">
        <f>Sud!L119</f>
        <v>3723.7680000000005</v>
      </c>
      <c r="F119" s="160">
        <f>+Bretagne!D119+Centre!L119+Nord!O119+Sud!I119</f>
        <v>13560</v>
      </c>
      <c r="G119" s="135">
        <f>+Bretagne!E119+Centre!M119+Nord!P119+Sud!J119</f>
        <v>211.50000000000003</v>
      </c>
      <c r="H119" s="113">
        <f>+Bretagne!F119+Centre!N119+Nord!Q119+Sud!K119</f>
        <v>13822.231500000002</v>
      </c>
      <c r="I119" s="161">
        <f>+Bretagne!G119+Centre!O119+Nord!R119+Sud!L119</f>
        <v>13822.231500000002</v>
      </c>
      <c r="J119" s="92">
        <f t="shared" ref="J119:J127" si="10">+IF((F119)=0,,(G119-F119)/F119)</f>
        <v>-0.98440265486725664</v>
      </c>
      <c r="K119" s="271">
        <f t="shared" ref="K119:K127" si="11">+IF((G119)=0,,(I119-G119)/G119)</f>
        <v>64.353340425531911</v>
      </c>
      <c r="L119" s="408">
        <f>+Bretagne!J119+Centre!R119+Nord!U119+Sud!O119</f>
        <v>13492.111500000003</v>
      </c>
      <c r="M119" s="113">
        <v>1</v>
      </c>
    </row>
    <row r="120" spans="1:13" s="25" customFormat="1" ht="11.25">
      <c r="A120" s="5" t="s">
        <v>141</v>
      </c>
      <c r="B120" s="160">
        <f>+Bretagne!G120</f>
        <v>1326</v>
      </c>
      <c r="C120" s="113">
        <f>+Centre!O120</f>
        <v>7434.96</v>
      </c>
      <c r="D120" s="113">
        <f>+Nord!R120</f>
        <v>8743.0434000000005</v>
      </c>
      <c r="E120" s="162">
        <f>Sud!L120</f>
        <v>6454.5312000000004</v>
      </c>
      <c r="F120" s="160">
        <f>+Bretagne!D120+Centre!L120+Nord!O120+Sud!I120</f>
        <v>20230</v>
      </c>
      <c r="G120" s="135">
        <f>+Bretagne!E120+Centre!M120+Nord!P120+Sud!J120</f>
        <v>366.6</v>
      </c>
      <c r="H120" s="113">
        <f>+Bretagne!F120+Centre!N120+Nord!Q120+Sud!K120</f>
        <v>23958.534600000003</v>
      </c>
      <c r="I120" s="161">
        <f>+Bretagne!G120+Centre!O120+Nord!R120+Sud!L120</f>
        <v>23958.534600000003</v>
      </c>
      <c r="J120" s="92">
        <f t="shared" si="10"/>
        <v>-0.98187839841819091</v>
      </c>
      <c r="K120" s="271">
        <f t="shared" si="11"/>
        <v>64.353340425531925</v>
      </c>
      <c r="L120" s="408">
        <f>+Bretagne!J120+Centre!R120+Nord!U120+Sud!O120</f>
        <v>23864.706599999998</v>
      </c>
      <c r="M120" s="113">
        <v>1</v>
      </c>
    </row>
    <row r="121" spans="1:13" s="25" customFormat="1" ht="11.25">
      <c r="A121" s="5" t="s">
        <v>142</v>
      </c>
      <c r="B121" s="160">
        <f>+Bretagne!G121</f>
        <v>6418.65</v>
      </c>
      <c r="C121" s="113">
        <f>+Centre!O121</f>
        <v>12481.366666666667</v>
      </c>
      <c r="D121" s="113">
        <f>+Nord!R121</f>
        <v>24553.200000000001</v>
      </c>
      <c r="E121" s="162">
        <f>Sud!L121</f>
        <v>24542.668500000003</v>
      </c>
      <c r="F121" s="160">
        <f>+Bretagne!D121+Centre!L121+Nord!O121+Sud!I121</f>
        <v>133042</v>
      </c>
      <c r="G121" s="135">
        <f>+Bretagne!E121+Centre!M121+Nord!P121+Sud!J121</f>
        <v>68782.48000000001</v>
      </c>
      <c r="H121" s="113">
        <f>+Bretagne!F121+Centre!N121+Nord!Q121+Sud!K121</f>
        <v>67995.885166666674</v>
      </c>
      <c r="I121" s="161">
        <f>+Bretagne!G121+Centre!O121+Nord!R121+Sud!L121</f>
        <v>67995.885166666674</v>
      </c>
      <c r="J121" s="92">
        <f t="shared" si="10"/>
        <v>-0.48300175884307206</v>
      </c>
      <c r="K121" s="271">
        <f t="shared" si="11"/>
        <v>-1.1435976622729162E-2</v>
      </c>
      <c r="L121" s="408">
        <f>+Bretagne!J121+Centre!R121+Nord!U121+Sud!O121</f>
        <v>170785.65000000002</v>
      </c>
      <c r="M121" s="113">
        <v>1</v>
      </c>
    </row>
    <row r="122" spans="1:13" s="25" customFormat="1" ht="11.25">
      <c r="A122" s="5" t="s">
        <v>143</v>
      </c>
      <c r="B122" s="160">
        <f>+Bretagne!G122</f>
        <v>10015.866000000002</v>
      </c>
      <c r="C122" s="113">
        <f>+Centre!O122</f>
        <v>25251.434666666672</v>
      </c>
      <c r="D122" s="113">
        <f>+Nord!R122</f>
        <v>46172.216999999997</v>
      </c>
      <c r="E122" s="162">
        <f>Sud!L122</f>
        <v>48542.884000000005</v>
      </c>
      <c r="F122" s="160">
        <f>+Bretagne!D122+Centre!L122+Nord!O122+Sud!I122</f>
        <v>113938.60999999999</v>
      </c>
      <c r="G122" s="135">
        <f>+Bretagne!E122+Centre!M122+Nord!P122+Sud!J122</f>
        <v>126384.08</v>
      </c>
      <c r="H122" s="113">
        <f>+Bretagne!F122+Centre!N122+Nord!Q122+Sud!K122</f>
        <v>129982.40166666669</v>
      </c>
      <c r="I122" s="161">
        <f>+Bretagne!G122+Centre!O122+Nord!R122+Sud!L122</f>
        <v>129982.40166666669</v>
      </c>
      <c r="J122" s="92">
        <f t="shared" si="10"/>
        <v>0.10922961057713462</v>
      </c>
      <c r="K122" s="271">
        <f t="shared" si="11"/>
        <v>2.8471320649457472E-2</v>
      </c>
      <c r="L122" s="408">
        <f>+Bretagne!J122+Centre!R122+Nord!U122+Sud!O122</f>
        <v>127997.38734240504</v>
      </c>
      <c r="M122" s="113">
        <v>1</v>
      </c>
    </row>
    <row r="123" spans="1:13" s="25" customFormat="1" ht="11.25">
      <c r="A123" s="5" t="s">
        <v>144</v>
      </c>
      <c r="B123" s="160">
        <f>+Bretagne!G123</f>
        <v>250</v>
      </c>
      <c r="C123" s="113">
        <f>+Centre!O123</f>
        <v>4231.7829999999994</v>
      </c>
      <c r="D123" s="113">
        <f>+Nord!R123</f>
        <v>1729.47955</v>
      </c>
      <c r="E123" s="162">
        <f>Sud!L123</f>
        <v>4647.5400000000009</v>
      </c>
      <c r="F123" s="160">
        <f>+Bretagne!D123+Centre!L123+Nord!O123+Sud!I123</f>
        <v>1559.02</v>
      </c>
      <c r="G123" s="135">
        <f>+Bretagne!E123+Centre!M123+Nord!P123+Sud!J123</f>
        <v>8279.4110000000001</v>
      </c>
      <c r="H123" s="113">
        <f>+Bretagne!F123+Centre!N123+Nord!Q123+Sud!K123</f>
        <v>10858.80255</v>
      </c>
      <c r="I123" s="161">
        <f>+Bretagne!G123+Centre!O123+Nord!R123+Sud!L123</f>
        <v>10858.80255</v>
      </c>
      <c r="J123" s="92">
        <f t="shared" si="10"/>
        <v>4.3106509217328837</v>
      </c>
      <c r="K123" s="271">
        <f t="shared" si="11"/>
        <v>0.31154288028459998</v>
      </c>
      <c r="L123" s="408">
        <f>+Bretagne!J123+Centre!R123+Nord!U123+Sud!O123</f>
        <v>3127.0086000000001</v>
      </c>
      <c r="M123" s="113">
        <v>1</v>
      </c>
    </row>
    <row r="124" spans="1:13" s="25" customFormat="1" ht="11.25">
      <c r="A124" s="5" t="s">
        <v>145</v>
      </c>
      <c r="B124" s="160">
        <f>+Bretagne!G124</f>
        <v>0</v>
      </c>
      <c r="C124" s="113">
        <f>+Centre!O124</f>
        <v>0</v>
      </c>
      <c r="D124" s="113">
        <f>+Nord!R124</f>
        <v>0</v>
      </c>
      <c r="E124" s="162">
        <f>Sud!L124</f>
        <v>350</v>
      </c>
      <c r="F124" s="160">
        <f>+Bretagne!D124+Centre!L124+Nord!O124+Sud!I124</f>
        <v>1062</v>
      </c>
      <c r="G124" s="135">
        <f>+Bretagne!E124+Centre!M124+Nord!P124+Sud!J124</f>
        <v>979.41666666666674</v>
      </c>
      <c r="H124" s="113">
        <f>+Bretagne!F124+Centre!N124+Nord!Q124+Sud!K124</f>
        <v>350</v>
      </c>
      <c r="I124" s="161">
        <f>+Bretagne!G124+Centre!O124+Nord!R124+Sud!L124</f>
        <v>350</v>
      </c>
      <c r="J124" s="92">
        <f t="shared" si="10"/>
        <v>-7.7762084118016245E-2</v>
      </c>
      <c r="K124" s="271">
        <f t="shared" si="11"/>
        <v>-0.64264443120905301</v>
      </c>
      <c r="L124" s="408">
        <f>+Bretagne!J124+Centre!R124+Nord!U124+Sud!O124</f>
        <v>350.6624088308854</v>
      </c>
      <c r="M124" s="113">
        <v>1</v>
      </c>
    </row>
    <row r="125" spans="1:13" s="25" customFormat="1" ht="11.25">
      <c r="A125" s="237" t="s">
        <v>286</v>
      </c>
      <c r="B125" s="160">
        <f>+Bretagne!G125</f>
        <v>0</v>
      </c>
      <c r="C125" s="113">
        <f>+Centre!O125</f>
        <v>0</v>
      </c>
      <c r="D125" s="113">
        <f>+Nord!R125</f>
        <v>0</v>
      </c>
      <c r="E125" s="162">
        <f>Sud!L125</f>
        <v>500</v>
      </c>
      <c r="F125" s="160">
        <f>+Bretagne!D125+Centre!L125+Nord!O125+Sud!I125</f>
        <v>138.6</v>
      </c>
      <c r="G125" s="135">
        <f>+Bretagne!E125+Centre!M125+Nord!P125+Sud!J125</f>
        <v>0</v>
      </c>
      <c r="H125" s="113">
        <f>+Bretagne!F125+Centre!N125+Nord!Q125+Sud!K125</f>
        <v>500</v>
      </c>
      <c r="I125" s="161">
        <f>+Bretagne!G125+Centre!O125+Nord!R125+Sud!L125</f>
        <v>500</v>
      </c>
      <c r="J125" s="149">
        <f t="shared" si="10"/>
        <v>-1</v>
      </c>
      <c r="K125" s="271">
        <f t="shared" si="11"/>
        <v>0</v>
      </c>
      <c r="L125" s="117">
        <f>+Bretagne!J125+Centre!R125+Nord!U125+Sud!O125</f>
        <v>680.61892931972227</v>
      </c>
      <c r="M125" s="113">
        <v>0</v>
      </c>
    </row>
    <row r="126" spans="1:13" s="25" customFormat="1" ht="11.25">
      <c r="A126" s="5" t="s">
        <v>361</v>
      </c>
      <c r="B126" s="160">
        <f>+Bretagne!G126</f>
        <v>0</v>
      </c>
      <c r="C126" s="113">
        <f>+Centre!O126</f>
        <v>0</v>
      </c>
      <c r="D126" s="113">
        <f>+Nord!R126</f>
        <v>0</v>
      </c>
      <c r="E126" s="162">
        <f>Sud!L126</f>
        <v>0</v>
      </c>
      <c r="F126" s="160">
        <f>+Bretagne!D126+Centre!L126+Nord!O126+Sud!I126</f>
        <v>375</v>
      </c>
      <c r="G126" s="135">
        <f>+Bretagne!E126+Centre!M126+Nord!P126+Sud!J126</f>
        <v>578</v>
      </c>
      <c r="H126" s="113">
        <f>+Bretagne!F126+Centre!N126+Nord!Q126+Sud!K126</f>
        <v>0</v>
      </c>
      <c r="I126" s="161">
        <f>+Bretagne!G126+Centre!O126+Nord!R126+Sud!L126</f>
        <v>0</v>
      </c>
      <c r="J126" s="92">
        <f t="shared" si="10"/>
        <v>0.54133333333333333</v>
      </c>
      <c r="K126" s="271">
        <f t="shared" si="11"/>
        <v>-1</v>
      </c>
      <c r="L126" s="408">
        <f>+Bretagne!J126+Centre!R126+Nord!U126+Sud!O126</f>
        <v>0</v>
      </c>
      <c r="M126" s="113">
        <v>1</v>
      </c>
    </row>
    <row r="127" spans="1:13" s="25" customFormat="1" ht="11.25">
      <c r="A127" s="237" t="s">
        <v>146</v>
      </c>
      <c r="B127" s="160">
        <f>+Bretagne!G127</f>
        <v>2217.208384</v>
      </c>
      <c r="C127" s="113">
        <f>+Centre!O127</f>
        <v>14111.001600000001</v>
      </c>
      <c r="D127" s="113">
        <f>+Nord!R127</f>
        <v>21414.977835199996</v>
      </c>
      <c r="E127" s="162">
        <f>Sud!L127</f>
        <v>19240.35135160889</v>
      </c>
      <c r="F127" s="160">
        <f>+Bretagne!D127+Centre!L127+Nord!O127+Sud!I127</f>
        <v>54501.780000000006</v>
      </c>
      <c r="G127" s="135">
        <f>+Bretagne!E127+Centre!M127+Nord!P127+Sud!J127</f>
        <v>60132.245968000003</v>
      </c>
      <c r="H127" s="113">
        <f>+Bretagne!F127+Centre!N127+Nord!Q127+Sud!K127</f>
        <v>56983.539170808886</v>
      </c>
      <c r="I127" s="161">
        <f>+Bretagne!G127+Centre!O127+Nord!R127+Sud!L127</f>
        <v>56983.539170808886</v>
      </c>
      <c r="J127" s="149">
        <f t="shared" si="10"/>
        <v>0.10330792807133998</v>
      </c>
      <c r="K127" s="271">
        <f t="shared" si="11"/>
        <v>-5.236303328611297E-2</v>
      </c>
      <c r="L127" s="117">
        <f>+Bretagne!J127+Centre!R127+Nord!U127+Sud!O127</f>
        <v>56938.258515839996</v>
      </c>
      <c r="M127" s="113">
        <v>0</v>
      </c>
    </row>
    <row r="128" spans="1:13" s="2" customFormat="1" ht="11.25">
      <c r="A128" s="1074"/>
      <c r="B128" s="1169"/>
      <c r="C128" s="1170"/>
      <c r="D128" s="1170"/>
      <c r="E128" s="371"/>
      <c r="F128" s="1169"/>
      <c r="G128" s="1200"/>
      <c r="H128" s="149"/>
      <c r="I128" s="1201"/>
      <c r="J128" s="1207"/>
      <c r="K128" s="1201"/>
      <c r="L128" s="1177">
        <f>+Bretagne!J128+Centre!R128+Nord!U128+Sud!O128</f>
        <v>0</v>
      </c>
      <c r="M128" s="17">
        <v>0</v>
      </c>
    </row>
    <row r="129" spans="1:13" s="2" customFormat="1" ht="11.25">
      <c r="A129" s="243" t="s">
        <v>147</v>
      </c>
      <c r="B129" s="163">
        <f>SUM(B118:B128)</f>
        <v>22182.724384000005</v>
      </c>
      <c r="C129" s="204">
        <f>SUM(C118:C128)</f>
        <v>74472.34593333333</v>
      </c>
      <c r="D129" s="204">
        <f>SUM(D118:D128)</f>
        <v>115503.3022852</v>
      </c>
      <c r="E129" s="168">
        <f>SUM(E118:E128)</f>
        <v>115449.4398516089</v>
      </c>
      <c r="F129" s="163">
        <f>SUM(F117:F128)</f>
        <v>363384.52</v>
      </c>
      <c r="G129" s="136">
        <f>SUM(G117:G128)</f>
        <v>325072.67696800001</v>
      </c>
      <c r="H129" s="204">
        <f>SUM(H117:H128)</f>
        <v>327607.81245414226</v>
      </c>
      <c r="I129" s="118">
        <f>SUM(I117:I128)</f>
        <v>327607.81245414226</v>
      </c>
      <c r="J129" s="272">
        <f>+IF((F129)=0,,(G129-F129)/F129)</f>
        <v>-0.10543058639922252</v>
      </c>
      <c r="K129" s="188">
        <f>+IF((G129)=0,,(I129-G129)/G129)</f>
        <v>7.7986729299669858E-3</v>
      </c>
      <c r="L129" s="118">
        <f>+Bretagne!J129+Centre!R129+Nord!U129+Sud!O129</f>
        <v>418610.28449639562</v>
      </c>
      <c r="M129" s="17">
        <v>0</v>
      </c>
    </row>
    <row r="130" spans="1:13" s="2" customFormat="1" ht="11.25">
      <c r="A130" s="387"/>
      <c r="B130" s="248"/>
      <c r="C130" s="249"/>
      <c r="D130" s="249"/>
      <c r="E130" s="250"/>
      <c r="F130" s="248"/>
      <c r="G130" s="1181"/>
      <c r="H130" s="113"/>
      <c r="I130" s="1202"/>
      <c r="J130" s="288"/>
      <c r="K130" s="1202"/>
      <c r="L130" s="1178">
        <f>+Bretagne!J130+Centre!R130+Nord!U130+Sud!O130</f>
        <v>0</v>
      </c>
      <c r="M130" s="17">
        <v>0</v>
      </c>
    </row>
    <row r="131" spans="1:13" s="25" customFormat="1" ht="11.25">
      <c r="A131" s="237" t="s">
        <v>148</v>
      </c>
      <c r="B131" s="160">
        <f>+Bretagne!G131</f>
        <v>170000</v>
      </c>
      <c r="C131" s="113">
        <f>+Centre!O131</f>
        <v>953200</v>
      </c>
      <c r="D131" s="113">
        <f>+Nord!R131</f>
        <v>1120903</v>
      </c>
      <c r="E131" s="162">
        <f>Sud!L131</f>
        <v>904081</v>
      </c>
      <c r="F131" s="160">
        <f>+Bretagne!D131+Centre!L131+Nord!O131+Sud!I131</f>
        <v>3008243.46</v>
      </c>
      <c r="G131" s="135">
        <f>+Bretagne!E131+Centre!M131+Nord!P131+Sud!J131</f>
        <v>3044309.6466666665</v>
      </c>
      <c r="H131" s="113">
        <f>+Bretagne!F131+Centre!N131+Nord!Q131+Sud!K131</f>
        <v>3148184</v>
      </c>
      <c r="I131" s="161">
        <f>+Bretagne!G131+Centre!O131+Nord!R131+Sud!L131</f>
        <v>3148184</v>
      </c>
      <c r="J131" s="149">
        <f>+IF((F131)=0,,(G131-F131)/F131)</f>
        <v>1.1989118283221176E-2</v>
      </c>
      <c r="K131" s="271">
        <f>+IF((G131)=0,,(I131-G131)/G131)</f>
        <v>3.4120823894201957E-2</v>
      </c>
      <c r="L131" s="117">
        <f>+Bretagne!J131+Centre!R131+Nord!U131+Sud!O131</f>
        <v>3068496.5011999998</v>
      </c>
      <c r="M131" s="113">
        <v>0</v>
      </c>
    </row>
    <row r="132" spans="1:13" s="25" customFormat="1" ht="11.25">
      <c r="A132" s="5" t="s">
        <v>149</v>
      </c>
      <c r="B132" s="160">
        <f>+Bretagne!G132</f>
        <v>0</v>
      </c>
      <c r="C132" s="113">
        <f>+Centre!O132</f>
        <v>0</v>
      </c>
      <c r="D132" s="113">
        <f>+Nord!R132</f>
        <v>0</v>
      </c>
      <c r="E132" s="162">
        <f>Sud!L132</f>
        <v>0</v>
      </c>
      <c r="F132" s="160">
        <f>+Bretagne!D132+Centre!L132+Nord!O132+Sud!I132</f>
        <v>7660.0399999999991</v>
      </c>
      <c r="G132" s="135">
        <f>+Bretagne!E132+Centre!M132+Nord!P132+Sud!J132</f>
        <v>-44103.119999999995</v>
      </c>
      <c r="H132" s="113">
        <f>+Bretagne!F132+Centre!N132+Nord!Q132+Sud!K132</f>
        <v>0</v>
      </c>
      <c r="I132" s="161">
        <f>+Bretagne!G132+Centre!O132+Nord!R132+Sud!L132</f>
        <v>0</v>
      </c>
      <c r="J132" s="92">
        <f t="shared" ref="J132:J152" si="12">+IF((F132)=0,,(G132-F132)/F132)</f>
        <v>-6.7575574017890245</v>
      </c>
      <c r="K132" s="271">
        <f t="shared" ref="K132:K152" si="13">+IF((G132)=0,,(I132-G132)/G132)</f>
        <v>-1</v>
      </c>
      <c r="L132" s="408">
        <f>+Bretagne!J132+Centre!R132+Nord!U132+Sud!O132</f>
        <v>0</v>
      </c>
      <c r="M132" s="113">
        <v>1</v>
      </c>
    </row>
    <row r="133" spans="1:13" s="25" customFormat="1" ht="11.25">
      <c r="A133" s="5" t="s">
        <v>150</v>
      </c>
      <c r="B133" s="160">
        <f>+Bretagne!G133</f>
        <v>0</v>
      </c>
      <c r="C133" s="113">
        <f>+Centre!O133</f>
        <v>0</v>
      </c>
      <c r="D133" s="113">
        <f>+Nord!R133</f>
        <v>0</v>
      </c>
      <c r="E133" s="162">
        <f>Sud!L133</f>
        <v>0</v>
      </c>
      <c r="F133" s="160">
        <f>+Bretagne!D133+Centre!L133+Nord!O133+Sud!I133</f>
        <v>475</v>
      </c>
      <c r="G133" s="135">
        <f>+Bretagne!E133+Centre!M133+Nord!P133+Sud!J133</f>
        <v>15433.306666666664</v>
      </c>
      <c r="H133" s="113">
        <f>+Bretagne!F133+Centre!N133+Nord!Q133+Sud!K133</f>
        <v>0</v>
      </c>
      <c r="I133" s="161">
        <f>+Bretagne!G133+Centre!O133+Nord!R133+Sud!L133</f>
        <v>0</v>
      </c>
      <c r="J133" s="92">
        <f t="shared" si="12"/>
        <v>31.491171929824556</v>
      </c>
      <c r="K133" s="271">
        <f t="shared" si="13"/>
        <v>-1</v>
      </c>
      <c r="L133" s="408">
        <f>+Bretagne!J133+Centre!R133+Nord!U133+Sud!O133</f>
        <v>0</v>
      </c>
      <c r="M133" s="113">
        <v>1</v>
      </c>
    </row>
    <row r="134" spans="1:13" s="25" customFormat="1" ht="11.25">
      <c r="A134" s="5" t="s">
        <v>151</v>
      </c>
      <c r="B134" s="160">
        <f>+Bretagne!G134</f>
        <v>0</v>
      </c>
      <c r="C134" s="113">
        <f>+Centre!O134</f>
        <v>0</v>
      </c>
      <c r="D134" s="113">
        <f>+Nord!R134</f>
        <v>0</v>
      </c>
      <c r="E134" s="162">
        <f>Sud!L134</f>
        <v>0</v>
      </c>
      <c r="F134" s="160">
        <f>+Bretagne!D134+Centre!L134+Nord!O134+Sud!I134</f>
        <v>-22344.1</v>
      </c>
      <c r="G134" s="135">
        <f>+Bretagne!E134+Centre!M134+Nord!P134+Sud!J134</f>
        <v>-3723.1333333333332</v>
      </c>
      <c r="H134" s="113">
        <f>+Bretagne!F134+Centre!N134+Nord!Q134+Sud!K134</f>
        <v>0</v>
      </c>
      <c r="I134" s="161">
        <f>+Bretagne!G134+Centre!O134+Nord!R134+Sud!L134</f>
        <v>0</v>
      </c>
      <c r="J134" s="92">
        <f t="shared" si="12"/>
        <v>-0.8333728665136062</v>
      </c>
      <c r="K134" s="271">
        <f t="shared" si="13"/>
        <v>-1</v>
      </c>
      <c r="L134" s="408">
        <f>+Bretagne!J134+Centre!R134+Nord!U134+Sud!O134</f>
        <v>784.09440000000006</v>
      </c>
      <c r="M134" s="113">
        <v>1</v>
      </c>
    </row>
    <row r="135" spans="1:13" s="25" customFormat="1" ht="11.25">
      <c r="A135" s="5" t="s">
        <v>114</v>
      </c>
      <c r="B135" s="160">
        <f>+Bretagne!G135</f>
        <v>0</v>
      </c>
      <c r="C135" s="113">
        <f>+Centre!O135</f>
        <v>2500</v>
      </c>
      <c r="D135" s="113">
        <f>+Nord!R135</f>
        <v>0</v>
      </c>
      <c r="E135" s="162">
        <f>Sud!L135</f>
        <v>0</v>
      </c>
      <c r="F135" s="160">
        <f>+Bretagne!D135+Centre!L135+Nord!O135+Sud!I135</f>
        <v>41994.39</v>
      </c>
      <c r="G135" s="135">
        <f>+Bretagne!E135+Centre!M135+Nord!P135+Sud!J135</f>
        <v>46197.32</v>
      </c>
      <c r="H135" s="113">
        <f>+Bretagne!F135+Centre!N135+Nord!Q135+Sud!K135</f>
        <v>2500</v>
      </c>
      <c r="I135" s="161">
        <f>+Bretagne!G135+Centre!O135+Nord!R135+Sud!L135</f>
        <v>2500</v>
      </c>
      <c r="J135" s="92">
        <f t="shared" si="12"/>
        <v>0.10008313015143214</v>
      </c>
      <c r="K135" s="271">
        <f t="shared" si="13"/>
        <v>-0.94588430670870083</v>
      </c>
      <c r="L135" s="408">
        <f>+Bretagne!J135+Centre!R135+Nord!U135+Sud!O135</f>
        <v>31127.649771314998</v>
      </c>
      <c r="M135" s="113">
        <v>1</v>
      </c>
    </row>
    <row r="136" spans="1:13" s="25" customFormat="1" ht="11.25">
      <c r="A136" s="237" t="s">
        <v>338</v>
      </c>
      <c r="B136" s="160">
        <f>+Bretagne!G136</f>
        <v>0</v>
      </c>
      <c r="C136" s="113">
        <f>+Centre!O136</f>
        <v>0</v>
      </c>
      <c r="D136" s="113">
        <f>+Nord!R136</f>
        <v>0</v>
      </c>
      <c r="E136" s="162">
        <f>Sud!L136</f>
        <v>0</v>
      </c>
      <c r="F136" s="160">
        <f>+Bretagne!D136+Centre!L136+Nord!O136+Sud!I136</f>
        <v>2358.6200000000003</v>
      </c>
      <c r="G136" s="135">
        <f>+Bretagne!E136+Centre!M136+Nord!P136+Sud!J136</f>
        <v>9200</v>
      </c>
      <c r="H136" s="113">
        <f>+Bretagne!F136+Centre!N136+Nord!Q136+Sud!K136</f>
        <v>0</v>
      </c>
      <c r="I136" s="161">
        <f>+Bretagne!G136+Centre!O136+Nord!R136+Sud!L136</f>
        <v>0</v>
      </c>
      <c r="J136" s="149">
        <f t="shared" si="12"/>
        <v>2.9005859358438402</v>
      </c>
      <c r="K136" s="271">
        <f t="shared" si="13"/>
        <v>-1</v>
      </c>
      <c r="L136" s="117">
        <f>+Bretagne!J136+Centre!R136+Nord!U136+Sud!O136</f>
        <v>2955.1518498512505</v>
      </c>
      <c r="M136" s="113">
        <v>0</v>
      </c>
    </row>
    <row r="137" spans="1:13" s="25" customFormat="1" ht="11.25">
      <c r="A137" s="237" t="s">
        <v>87</v>
      </c>
      <c r="B137" s="160">
        <f>+Bretagne!G137</f>
        <v>0</v>
      </c>
      <c r="C137" s="113">
        <f>+Centre!O137</f>
        <v>-11888.150133333334</v>
      </c>
      <c r="D137" s="113">
        <f>+Nord!R137</f>
        <v>0</v>
      </c>
      <c r="E137" s="162">
        <f>Sud!L137</f>
        <v>0</v>
      </c>
      <c r="F137" s="160">
        <f>+Bretagne!D137+Centre!L137+Nord!O137+Sud!I137</f>
        <v>-44874.73</v>
      </c>
      <c r="G137" s="135">
        <f>+Bretagne!E137+Centre!M137+Nord!P137+Sud!J137</f>
        <v>-47102.759999999995</v>
      </c>
      <c r="H137" s="113">
        <f>+Bretagne!F137+Centre!N137+Nord!Q137+Sud!K137</f>
        <v>-11888.150133333334</v>
      </c>
      <c r="I137" s="161">
        <f>+Bretagne!G137+Centre!O137+Nord!R137+Sud!L137</f>
        <v>-11888.150133333334</v>
      </c>
      <c r="J137" s="149">
        <f t="shared" si="12"/>
        <v>4.9649992323073398E-2</v>
      </c>
      <c r="K137" s="271">
        <f t="shared" si="13"/>
        <v>-0.74761245130150888</v>
      </c>
      <c r="L137" s="117">
        <f>+Bretagne!J137+Centre!R137+Nord!U137+Sud!O137</f>
        <v>-31654.269515</v>
      </c>
      <c r="M137" s="113">
        <v>0</v>
      </c>
    </row>
    <row r="138" spans="1:13" s="25" customFormat="1" ht="11.25">
      <c r="A138" s="237" t="s">
        <v>152</v>
      </c>
      <c r="B138" s="160">
        <f>+Bretagne!G138</f>
        <v>0</v>
      </c>
      <c r="C138" s="113">
        <f>+Centre!O138</f>
        <v>0</v>
      </c>
      <c r="D138" s="113">
        <f>+Nord!R138</f>
        <v>0</v>
      </c>
      <c r="E138" s="162">
        <f>Sud!L138</f>
        <v>0</v>
      </c>
      <c r="F138" s="160">
        <f>+Bretagne!D138+Centre!L138+Nord!O138+Sud!I138</f>
        <v>-8916.92</v>
      </c>
      <c r="G138" s="135">
        <f>+Bretagne!E138+Centre!M138+Nord!P138+Sud!J138</f>
        <v>-1312.7866666666666</v>
      </c>
      <c r="H138" s="113">
        <f>+Bretagne!F138+Centre!N138+Nord!Q138+Sud!K138</f>
        <v>0</v>
      </c>
      <c r="I138" s="161">
        <f>+Bretagne!G138+Centre!O138+Nord!R138+Sud!L138</f>
        <v>0</v>
      </c>
      <c r="J138" s="149">
        <f t="shared" si="12"/>
        <v>-0.852775771604246</v>
      </c>
      <c r="K138" s="271">
        <f t="shared" si="13"/>
        <v>-1</v>
      </c>
      <c r="L138" s="117">
        <f>+Bretagne!J138+Centre!R138+Nord!U138+Sud!O138</f>
        <v>326.19600000000003</v>
      </c>
      <c r="M138" s="113">
        <v>0</v>
      </c>
    </row>
    <row r="139" spans="1:13" s="25" customFormat="1" ht="11.25">
      <c r="A139" s="5" t="s">
        <v>153</v>
      </c>
      <c r="B139" s="160">
        <f>+Bretagne!G139</f>
        <v>0</v>
      </c>
      <c r="C139" s="113">
        <f>+Centre!O139</f>
        <v>0</v>
      </c>
      <c r="D139" s="113">
        <f>+Nord!R139</f>
        <v>0</v>
      </c>
      <c r="E139" s="162">
        <f>Sud!L139</f>
        <v>0</v>
      </c>
      <c r="F139" s="160">
        <f>+Bretagne!D139+Centre!L139+Nord!O139+Sud!I139</f>
        <v>0</v>
      </c>
      <c r="G139" s="135">
        <f>+Bretagne!E139+Centre!M139+Nord!P139+Sud!J139</f>
        <v>0</v>
      </c>
      <c r="H139" s="113">
        <f>+Bretagne!F139+Centre!N139+Nord!Q139+Sud!K139</f>
        <v>0</v>
      </c>
      <c r="I139" s="161">
        <f>+Bretagne!G139+Centre!O139+Nord!R139+Sud!L139</f>
        <v>0</v>
      </c>
      <c r="J139" s="92">
        <f t="shared" si="12"/>
        <v>0</v>
      </c>
      <c r="K139" s="271">
        <f t="shared" si="13"/>
        <v>0</v>
      </c>
      <c r="L139" s="408">
        <f>+Bretagne!J139+Centre!R139+Nord!U139+Sud!O139</f>
        <v>0</v>
      </c>
      <c r="M139" s="113">
        <v>1</v>
      </c>
    </row>
    <row r="140" spans="1:13" s="25" customFormat="1" ht="11.25">
      <c r="A140" s="5" t="s">
        <v>154</v>
      </c>
      <c r="B140" s="160">
        <f>+Bretagne!G140</f>
        <v>0</v>
      </c>
      <c r="C140" s="113">
        <f>+Centre!O140</f>
        <v>0</v>
      </c>
      <c r="D140" s="113">
        <f>+Nord!R140</f>
        <v>0</v>
      </c>
      <c r="E140" s="162">
        <f>Sud!L140</f>
        <v>0</v>
      </c>
      <c r="F140" s="160">
        <f>+Bretagne!D140+Centre!L140+Nord!O140+Sud!I140</f>
        <v>37500.450000000004</v>
      </c>
      <c r="G140" s="135">
        <f>+Bretagne!E140+Centre!M140+Nord!P140+Sud!J140</f>
        <v>15510.71</v>
      </c>
      <c r="H140" s="113">
        <f>+Bretagne!F140+Centre!N140+Nord!Q140+Sud!K140</f>
        <v>0</v>
      </c>
      <c r="I140" s="161">
        <f>+Bretagne!G140+Centre!O140+Nord!R140+Sud!L140</f>
        <v>0</v>
      </c>
      <c r="J140" s="92">
        <f t="shared" si="12"/>
        <v>-0.58638603003430634</v>
      </c>
      <c r="K140" s="271">
        <f t="shared" si="13"/>
        <v>-1</v>
      </c>
      <c r="L140" s="408">
        <f>+Bretagne!J140+Centre!R140+Nord!U140+Sud!O140</f>
        <v>0</v>
      </c>
      <c r="M140" s="113">
        <v>1</v>
      </c>
    </row>
    <row r="141" spans="1:13" s="25" customFormat="1" ht="11.25">
      <c r="A141" s="5" t="s">
        <v>155</v>
      </c>
      <c r="B141" s="160">
        <f>+Bretagne!G141</f>
        <v>41617.892208241967</v>
      </c>
      <c r="C141" s="113">
        <f>+Centre!O141</f>
        <v>245451.67917888585</v>
      </c>
      <c r="D141" s="113">
        <f>+Nord!R141</f>
        <v>269317.40138186375</v>
      </c>
      <c r="E141" s="162">
        <f>Sud!L141</f>
        <v>227902.42424300179</v>
      </c>
      <c r="F141" s="160">
        <f>+Bretagne!D141+Centre!L141+Nord!O141+Sud!I141</f>
        <v>755772.02</v>
      </c>
      <c r="G141" s="135">
        <f>+Bretagne!E141+Centre!M141+Nord!P141+Sud!J141</f>
        <v>750879.73166666669</v>
      </c>
      <c r="H141" s="113">
        <f>+Bretagne!F141+Centre!N141+Nord!Q141+Sud!K141</f>
        <v>784289.39701199322</v>
      </c>
      <c r="I141" s="161">
        <f>+Bretagne!G141+Centre!O141+Nord!R141+Sud!L141</f>
        <v>784289.39701199322</v>
      </c>
      <c r="J141" s="92">
        <f t="shared" si="12"/>
        <v>-6.4732329378022358E-3</v>
      </c>
      <c r="K141" s="271">
        <f t="shared" si="13"/>
        <v>4.4494030050817611E-2</v>
      </c>
      <c r="L141" s="408">
        <f>+Bretagne!J141+Centre!R141+Nord!U141+Sud!O141</f>
        <v>761877.72765645571</v>
      </c>
      <c r="M141" s="113">
        <v>1</v>
      </c>
    </row>
    <row r="142" spans="1:13" s="25" customFormat="1" ht="11.25">
      <c r="A142" s="5" t="s">
        <v>156</v>
      </c>
      <c r="B142" s="160">
        <f>+Bretagne!G142</f>
        <v>5395.9918088007944</v>
      </c>
      <c r="C142" s="113">
        <f>+Centre!O142</f>
        <v>27076.96340867562</v>
      </c>
      <c r="D142" s="113">
        <f>+Nord!R142</f>
        <v>37592.39459271048</v>
      </c>
      <c r="E142" s="162">
        <f>Sud!L142</f>
        <v>24710.335182951934</v>
      </c>
      <c r="F142" s="160">
        <f>+Bretagne!D142+Centre!L142+Nord!O142+Sud!I142</f>
        <v>92435.390000000014</v>
      </c>
      <c r="G142" s="135">
        <f>+Bretagne!E142+Centre!M142+Nord!P142+Sud!J142</f>
        <v>90835.823333333334</v>
      </c>
      <c r="H142" s="113">
        <f>+Bretagne!F142+Centre!N142+Nord!Q142+Sud!K142</f>
        <v>94775.684993138828</v>
      </c>
      <c r="I142" s="161">
        <f>+Bretagne!G142+Centre!O142+Nord!R142+Sud!L142</f>
        <v>94775.684993138828</v>
      </c>
      <c r="J142" s="92">
        <f t="shared" si="12"/>
        <v>-1.7304699711513955E-2</v>
      </c>
      <c r="K142" s="271">
        <f t="shared" si="13"/>
        <v>4.3373434788471971E-2</v>
      </c>
      <c r="L142" s="408">
        <f>+Bretagne!J142+Centre!R142+Nord!U142+Sud!O142</f>
        <v>93361.279366969698</v>
      </c>
      <c r="M142" s="113">
        <v>1</v>
      </c>
    </row>
    <row r="143" spans="1:13" s="25" customFormat="1" ht="11.25">
      <c r="A143" s="5" t="s">
        <v>157</v>
      </c>
      <c r="B143" s="160">
        <f>+Bretagne!G143</f>
        <v>12926.039342317323</v>
      </c>
      <c r="C143" s="113">
        <f>+Centre!O143</f>
        <v>63873.369573098331</v>
      </c>
      <c r="D143" s="113">
        <f>+Nord!R143</f>
        <v>77640.327096820009</v>
      </c>
      <c r="E143" s="162">
        <f>Sud!L143</f>
        <v>57539.041744881921</v>
      </c>
      <c r="F143" s="160">
        <f>+Bretagne!D143+Centre!L143+Nord!O143+Sud!I143</f>
        <v>200894.15</v>
      </c>
      <c r="G143" s="135">
        <f>+Bretagne!E143+Centre!M143+Nord!P143+Sud!J143</f>
        <v>203263.76166666666</v>
      </c>
      <c r="H143" s="113">
        <f>+Bretagne!F143+Centre!N143+Nord!Q143+Sud!K143</f>
        <v>211978.77775711758</v>
      </c>
      <c r="I143" s="161">
        <f>+Bretagne!G143+Centre!O143+Nord!R143+Sud!L143</f>
        <v>211978.77775711758</v>
      </c>
      <c r="J143" s="92">
        <f t="shared" si="12"/>
        <v>1.1795324386830897E-2</v>
      </c>
      <c r="K143" s="271">
        <f t="shared" si="13"/>
        <v>4.2875404936875701E-2</v>
      </c>
      <c r="L143" s="408">
        <f>+Bretagne!J143+Centre!R143+Nord!U143+Sud!O143</f>
        <v>209808.89316227086</v>
      </c>
      <c r="M143" s="113">
        <v>1</v>
      </c>
    </row>
    <row r="144" spans="1:13" s="25" customFormat="1" ht="11.25">
      <c r="A144" s="5" t="s">
        <v>326</v>
      </c>
      <c r="B144" s="160">
        <f>+Bretagne!G144</f>
        <v>360.46401317561396</v>
      </c>
      <c r="C144" s="113">
        <f>+Centre!O144</f>
        <v>344.91442837618121</v>
      </c>
      <c r="D144" s="113">
        <f>+Nord!R144</f>
        <v>343.35248017206607</v>
      </c>
      <c r="E144" s="162">
        <f>Sud!L144</f>
        <v>0</v>
      </c>
      <c r="F144" s="160">
        <f>+Bretagne!D144+Centre!L144+Nord!O144+Sud!I144</f>
        <v>4750.21</v>
      </c>
      <c r="G144" s="135">
        <f>+Bretagne!E144+Centre!M144+Nord!P144+Sud!J144</f>
        <v>1038.5999999999999</v>
      </c>
      <c r="H144" s="113">
        <f>+Bretagne!F144+Centre!N144+Nord!Q144+Sud!K144</f>
        <v>1048.7309217238612</v>
      </c>
      <c r="I144" s="161">
        <f>+Bretagne!G144+Centre!O144+Nord!R144+Sud!L144</f>
        <v>1048.7309217238612</v>
      </c>
      <c r="J144" s="92">
        <f t="shared" si="12"/>
        <v>-0.78135703474162199</v>
      </c>
      <c r="K144" s="271">
        <f t="shared" si="13"/>
        <v>9.754401813846833E-3</v>
      </c>
      <c r="L144" s="408">
        <f>+Bretagne!J144+Centre!R144+Nord!U144+Sud!O144</f>
        <v>1424.1682630460321</v>
      </c>
      <c r="M144" s="113">
        <v>1</v>
      </c>
    </row>
    <row r="145" spans="1:13" s="25" customFormat="1" ht="11.25">
      <c r="A145" s="5" t="s">
        <v>158</v>
      </c>
      <c r="B145" s="160">
        <f>+Bretagne!G145</f>
        <v>7585.0013252855879</v>
      </c>
      <c r="C145" s="113">
        <f>+Centre!O145</f>
        <v>40886.946304022291</v>
      </c>
      <c r="D145" s="113">
        <f>+Nord!R145</f>
        <v>50643.359449690368</v>
      </c>
      <c r="E145" s="162">
        <f>Sud!L145</f>
        <v>38855.746545043075</v>
      </c>
      <c r="F145" s="160">
        <f>+Bretagne!D145+Centre!L145+Nord!O145+Sud!I145</f>
        <v>128114.12</v>
      </c>
      <c r="G145" s="135">
        <f>+Bretagne!E145+Centre!M145+Nord!P145+Sud!J145</f>
        <v>132435.39499999999</v>
      </c>
      <c r="H145" s="113">
        <f>+Bretagne!F145+Centre!N145+Nord!Q145+Sud!K145</f>
        <v>137971.05362404132</v>
      </c>
      <c r="I145" s="161">
        <f>+Bretagne!G145+Centre!O145+Nord!R145+Sud!L145</f>
        <v>137971.05362404132</v>
      </c>
      <c r="J145" s="92">
        <f t="shared" si="12"/>
        <v>3.3729888633665002E-2</v>
      </c>
      <c r="K145" s="271">
        <f t="shared" si="13"/>
        <v>4.1798936183497858E-2</v>
      </c>
      <c r="L145" s="408">
        <f>+Bretagne!J145+Centre!R145+Nord!U145+Sud!O145</f>
        <v>130530.64520952859</v>
      </c>
      <c r="M145" s="113">
        <v>1</v>
      </c>
    </row>
    <row r="146" spans="1:13" s="25" customFormat="1" ht="11.25">
      <c r="A146" s="5" t="s">
        <v>159</v>
      </c>
      <c r="B146" s="160">
        <f>+Bretagne!G146</f>
        <v>0</v>
      </c>
      <c r="C146" s="113">
        <f>+Centre!O146</f>
        <v>607.95970948417539</v>
      </c>
      <c r="D146" s="113">
        <f>+Nord!R146</f>
        <v>459.16039384292401</v>
      </c>
      <c r="E146" s="162">
        <f>Sud!L146</f>
        <v>0</v>
      </c>
      <c r="F146" s="160">
        <f>+Bretagne!D146+Centre!L146+Nord!O146+Sud!I146</f>
        <v>2613.52</v>
      </c>
      <c r="G146" s="135">
        <f>+Bretagne!E146+Centre!M146+Nord!P146+Sud!J146</f>
        <v>1103.1866666666667</v>
      </c>
      <c r="H146" s="113">
        <f>+Bretagne!F146+Centre!N146+Nord!Q146+Sud!K146</f>
        <v>1067.1201033270995</v>
      </c>
      <c r="I146" s="161">
        <f>+Bretagne!G146+Centre!O146+Nord!R146+Sud!L146</f>
        <v>1067.1201033270995</v>
      </c>
      <c r="J146" s="92">
        <f t="shared" si="12"/>
        <v>-0.5778923954411419</v>
      </c>
      <c r="K146" s="271">
        <f t="shared" si="13"/>
        <v>-3.2693074009445856E-2</v>
      </c>
      <c r="L146" s="408">
        <f>+Bretagne!J146+Centre!R146+Nord!U146+Sud!O146</f>
        <v>2912.8479575722754</v>
      </c>
      <c r="M146" s="113">
        <v>1</v>
      </c>
    </row>
    <row r="147" spans="1:13" s="25" customFormat="1" ht="11.25">
      <c r="A147" s="5" t="s">
        <v>160</v>
      </c>
      <c r="B147" s="160">
        <f>+Bretagne!G147</f>
        <v>-1141.4597333333334</v>
      </c>
      <c r="C147" s="113">
        <f>+Centre!O147</f>
        <v>2093.9487999999997</v>
      </c>
      <c r="D147" s="113">
        <f>+Nord!R147</f>
        <v>-408.69026666666628</v>
      </c>
      <c r="E147" s="162">
        <f>Sud!L147</f>
        <v>718.58293333333324</v>
      </c>
      <c r="F147" s="160">
        <f>+Bretagne!D147+Centre!L147+Nord!O147+Sud!I147</f>
        <v>3204.86</v>
      </c>
      <c r="G147" s="135">
        <f>+Bretagne!E147+Centre!M147+Nord!P147+Sud!J147</f>
        <v>938.4733333333337</v>
      </c>
      <c r="H147" s="113">
        <f>+Bretagne!F147+Centre!N147+Nord!Q147+Sud!K147</f>
        <v>1262.3817333333332</v>
      </c>
      <c r="I147" s="161">
        <f>+Bretagne!G147+Centre!O147+Nord!R147+Sud!L147</f>
        <v>1262.3817333333332</v>
      </c>
      <c r="J147" s="92">
        <f t="shared" si="12"/>
        <v>-0.70717181613757429</v>
      </c>
      <c r="K147" s="271">
        <f t="shared" si="13"/>
        <v>0.34514395720709451</v>
      </c>
      <c r="L147" s="408">
        <f>+Bretagne!J147+Centre!R147+Nord!U147+Sud!O147</f>
        <v>7195.8032759325006</v>
      </c>
      <c r="M147" s="113">
        <v>1</v>
      </c>
    </row>
    <row r="148" spans="1:13" s="25" customFormat="1" ht="11.25">
      <c r="A148" s="5" t="s">
        <v>161</v>
      </c>
      <c r="B148" s="160">
        <f>+Bretagne!G148</f>
        <v>0</v>
      </c>
      <c r="C148" s="113">
        <f>+Centre!O148</f>
        <v>49.838266666666669</v>
      </c>
      <c r="D148" s="113">
        <f>+Nord!R148</f>
        <v>0</v>
      </c>
      <c r="E148" s="162">
        <f>Sud!L148</f>
        <v>45.938000000000002</v>
      </c>
      <c r="F148" s="160">
        <f>+Bretagne!D148+Centre!L148+Nord!O148+Sud!I148</f>
        <v>1362.0300000000002</v>
      </c>
      <c r="G148" s="135">
        <f>+Bretagne!E148+Centre!M148+Nord!P148+Sud!J148</f>
        <v>92.986666666666679</v>
      </c>
      <c r="H148" s="113">
        <f>+Bretagne!F148+Centre!N148+Nord!Q148+Sud!K148</f>
        <v>95.776266666666672</v>
      </c>
      <c r="I148" s="161">
        <f>+Bretagne!G148+Centre!O148+Nord!R148+Sud!L148</f>
        <v>95.776266666666672</v>
      </c>
      <c r="J148" s="92">
        <f t="shared" si="12"/>
        <v>-0.9317293549579182</v>
      </c>
      <c r="K148" s="271">
        <f t="shared" si="13"/>
        <v>2.9999999999999919E-2</v>
      </c>
      <c r="L148" s="408">
        <f>+Bretagne!J148+Centre!R148+Nord!U148+Sud!O148</f>
        <v>982.45814637937497</v>
      </c>
      <c r="M148" s="113">
        <v>1</v>
      </c>
    </row>
    <row r="149" spans="1:13" s="25" customFormat="1" ht="11.25">
      <c r="A149" s="5" t="s">
        <v>162</v>
      </c>
      <c r="B149" s="160">
        <f>+Bretagne!G149</f>
        <v>121.22413333333333</v>
      </c>
      <c r="C149" s="113">
        <f>+Centre!O149</f>
        <v>0</v>
      </c>
      <c r="D149" s="113">
        <f>+Nord!R149</f>
        <v>350.61199999999997</v>
      </c>
      <c r="E149" s="162">
        <f>Sud!L149</f>
        <v>165.96733333333336</v>
      </c>
      <c r="F149" s="160">
        <f>+Bretagne!D149+Centre!L149+Nord!O149+Sud!I149</f>
        <v>2319.25</v>
      </c>
      <c r="G149" s="135">
        <f>+Bretagne!E149+Centre!M149+Nord!P149+Sud!J149</f>
        <v>619.22666666666669</v>
      </c>
      <c r="H149" s="113">
        <f>+Bretagne!F149+Centre!N149+Nord!Q149+Sud!K149</f>
        <v>637.80346666666662</v>
      </c>
      <c r="I149" s="161">
        <f>+Bretagne!G149+Centre!O149+Nord!R149+Sud!L149</f>
        <v>637.80346666666662</v>
      </c>
      <c r="J149" s="92">
        <f t="shared" si="12"/>
        <v>-0.73300564119147715</v>
      </c>
      <c r="K149" s="271">
        <f t="shared" si="13"/>
        <v>2.9999999999999895E-2</v>
      </c>
      <c r="L149" s="408">
        <f>+Bretagne!J149+Centre!R149+Nord!U149+Sud!O149</f>
        <v>2059.7334052502083</v>
      </c>
      <c r="M149" s="113">
        <v>1</v>
      </c>
    </row>
    <row r="150" spans="1:13" s="25" customFormat="1" ht="11.25">
      <c r="A150" s="237" t="s">
        <v>163</v>
      </c>
      <c r="B150" s="160">
        <f>+Bretagne!G150</f>
        <v>621.57066666666663</v>
      </c>
      <c r="C150" s="113">
        <f>+Centre!O150</f>
        <v>3102.7262222222225</v>
      </c>
      <c r="D150" s="113">
        <f>+Nord!R150</f>
        <v>4740.0462666666672</v>
      </c>
      <c r="E150" s="162">
        <f>Sud!L150</f>
        <v>3246.793466666667</v>
      </c>
      <c r="F150" s="160">
        <f>+Bretagne!D150+Centre!L150+Nord!O150+Sud!I150</f>
        <v>10332.32</v>
      </c>
      <c r="G150" s="135">
        <f>+Bretagne!E150+Centre!M150+Nord!P150+Sud!J150</f>
        <v>11418.443333333335</v>
      </c>
      <c r="H150" s="113">
        <f>+Bretagne!F150+Centre!N150+Nord!Q150+Sud!K150</f>
        <v>11711.136622222224</v>
      </c>
      <c r="I150" s="161">
        <f>+Bretagne!G150+Centre!O150+Nord!R150+Sud!L150</f>
        <v>11711.136622222224</v>
      </c>
      <c r="J150" s="149">
        <f t="shared" si="12"/>
        <v>0.1051190181230677</v>
      </c>
      <c r="K150" s="271">
        <f t="shared" si="13"/>
        <v>2.5633379292118005E-2</v>
      </c>
      <c r="L150" s="117">
        <f>+Bretagne!J150+Centre!R150+Nord!U150+Sud!O150</f>
        <v>12364.824518042498</v>
      </c>
      <c r="M150" s="113">
        <v>0</v>
      </c>
    </row>
    <row r="151" spans="1:13" s="25" customFormat="1" ht="11.25">
      <c r="A151" s="5" t="s">
        <v>570</v>
      </c>
      <c r="B151" s="160">
        <f>+Bretagne!G151</f>
        <v>0</v>
      </c>
      <c r="C151" s="113">
        <f>+Centre!O151</f>
        <v>0</v>
      </c>
      <c r="D151" s="113">
        <f>+Nord!R151</f>
        <v>0</v>
      </c>
      <c r="E151" s="162">
        <f>Sud!L151</f>
        <v>0</v>
      </c>
      <c r="F151" s="160">
        <f>+Bretagne!D151+Centre!L151+Nord!O151+Sud!I151</f>
        <v>0</v>
      </c>
      <c r="G151" s="135">
        <f>+Bretagne!E151+Centre!M151+Nord!P151+Sud!J151</f>
        <v>0</v>
      </c>
      <c r="H151" s="113">
        <f>+Bretagne!F151+Centre!N151+Nord!Q151+Sud!K151</f>
        <v>0</v>
      </c>
      <c r="I151" s="161">
        <f>+Bretagne!G151+Centre!O151+Nord!R151+Sud!L151</f>
        <v>0</v>
      </c>
      <c r="J151" s="149">
        <f t="shared" si="12"/>
        <v>0</v>
      </c>
      <c r="K151" s="271">
        <f t="shared" si="13"/>
        <v>0</v>
      </c>
      <c r="L151" s="117">
        <f>+Bretagne!J151+Centre!R151+Nord!U151+Sud!O151</f>
        <v>0</v>
      </c>
      <c r="M151" s="113"/>
    </row>
    <row r="152" spans="1:13" s="25" customFormat="1" ht="11.25">
      <c r="A152" s="5" t="s">
        <v>58</v>
      </c>
      <c r="B152" s="160">
        <f>+Bretagne!G152</f>
        <v>0</v>
      </c>
      <c r="C152" s="113">
        <f>+Centre!O152</f>
        <v>0</v>
      </c>
      <c r="D152" s="113">
        <f>+Nord!R152</f>
        <v>0</v>
      </c>
      <c r="E152" s="162">
        <f>Sud!L152</f>
        <v>0</v>
      </c>
      <c r="F152" s="160">
        <f>+Bretagne!D152+Centre!L152+Nord!O152+Sud!I152</f>
        <v>147121.42480000001</v>
      </c>
      <c r="G152" s="135">
        <f>+Bretagne!E152+Centre!M152+Nord!P152+Sud!J152</f>
        <v>0</v>
      </c>
      <c r="H152" s="113">
        <f>+Bretagne!F152+Centre!N152+Nord!Q152+Sud!K152</f>
        <v>0</v>
      </c>
      <c r="I152" s="161">
        <f>+Bretagne!G152+Centre!O152+Nord!R152+Sud!L152</f>
        <v>0</v>
      </c>
      <c r="J152" s="92">
        <f t="shared" si="12"/>
        <v>-1</v>
      </c>
      <c r="K152" s="271">
        <f t="shared" si="13"/>
        <v>0</v>
      </c>
      <c r="L152" s="408">
        <f>+Bretagne!J152+Centre!R152+Nord!U152+Sud!O152</f>
        <v>24061.626780999999</v>
      </c>
      <c r="M152" s="113">
        <v>1</v>
      </c>
    </row>
    <row r="153" spans="1:13" s="2" customFormat="1" ht="11.25">
      <c r="A153" s="237"/>
      <c r="B153" s="160"/>
      <c r="C153" s="113"/>
      <c r="D153" s="113"/>
      <c r="E153" s="162"/>
      <c r="F153" s="160"/>
      <c r="G153" s="143"/>
      <c r="H153" s="149"/>
      <c r="I153" s="254"/>
      <c r="J153" s="149"/>
      <c r="K153" s="254"/>
      <c r="L153" s="117">
        <f>+Bretagne!J153+Centre!R153+Nord!U153+Sud!O153</f>
        <v>0</v>
      </c>
      <c r="M153" s="17">
        <v>0</v>
      </c>
    </row>
    <row r="154" spans="1:13" s="2" customFormat="1" ht="11.25">
      <c r="A154" s="13" t="s">
        <v>164</v>
      </c>
      <c r="B154" s="163">
        <f>SUM(B131:B153)</f>
        <v>237486.72376448795</v>
      </c>
      <c r="C154" s="204">
        <f>SUM(C131:C153)</f>
        <v>1327300.1957580978</v>
      </c>
      <c r="D154" s="204">
        <f>SUM(D131:D153)</f>
        <v>1561580.9633950999</v>
      </c>
      <c r="E154" s="168">
        <f>SUM(E131:E153)</f>
        <v>1257265.8294492122</v>
      </c>
      <c r="F154" s="163">
        <f>SUM(F130:F153)</f>
        <v>4371015.5048000012</v>
      </c>
      <c r="G154" s="136">
        <f>SUM(G130:G153)</f>
        <v>4227034.8116666665</v>
      </c>
      <c r="H154" s="204">
        <f>SUM(H130:H153)</f>
        <v>4383633.7123668995</v>
      </c>
      <c r="I154" s="118">
        <f>SUM(I130:I153)</f>
        <v>4383633.7123668995</v>
      </c>
      <c r="J154" s="1203">
        <f>+IF((F154)=0,,(G154-F154)/F154)</f>
        <v>-3.29398724335851E-2</v>
      </c>
      <c r="K154" s="188">
        <f>+IF((G154)=0,,(I154-G154)/G154)</f>
        <v>3.704698628646684E-2</v>
      </c>
      <c r="L154" s="312">
        <f>+Bretagne!J154+Centre!R154+Nord!U154+Sud!O154</f>
        <v>4318615.3314486146</v>
      </c>
      <c r="M154" s="17">
        <v>1</v>
      </c>
    </row>
    <row r="155" spans="1:13" s="2" customFormat="1" ht="11.25">
      <c r="A155" s="237"/>
      <c r="B155" s="160"/>
      <c r="C155" s="113"/>
      <c r="D155" s="113"/>
      <c r="E155" s="162"/>
      <c r="F155" s="160"/>
      <c r="G155" s="143"/>
      <c r="H155" s="113"/>
      <c r="I155" s="254"/>
      <c r="J155" s="149"/>
      <c r="K155" s="254"/>
      <c r="L155" s="115"/>
      <c r="M155" s="2">
        <v>0</v>
      </c>
    </row>
    <row r="156" spans="1:13" s="25" customFormat="1" ht="11.25">
      <c r="A156" s="237" t="s">
        <v>227</v>
      </c>
      <c r="B156" s="160">
        <f>+Bretagne!G156</f>
        <v>20683.087398000003</v>
      </c>
      <c r="C156" s="113">
        <f>+Centre!O156</f>
        <v>119875.77920664003</v>
      </c>
      <c r="D156" s="113">
        <f>+Nord!R156</f>
        <v>120534.75226773813</v>
      </c>
      <c r="E156" s="162">
        <f>Sud!L156</f>
        <v>105588.15028128002</v>
      </c>
      <c r="F156" s="160">
        <f>+Bretagne!D156+Centre!L156+Nord!O156+Sud!I156</f>
        <v>216091.13</v>
      </c>
      <c r="G156" s="135">
        <f>+Bretagne!E156+Centre!M156+Nord!P156+Sud!J156</f>
        <v>194354.72000000003</v>
      </c>
      <c r="H156" s="113">
        <f>+Bretagne!F156+Centre!N156+Nord!Q156+Sud!K156</f>
        <v>366681.76915365818</v>
      </c>
      <c r="I156" s="161">
        <f>+Bretagne!G156+Centre!O156+Nord!R156+Sud!L156</f>
        <v>366681.76915365818</v>
      </c>
      <c r="J156" s="149">
        <f>+IF((F156)=0,,(G156-F156)/F156)</f>
        <v>-0.1005890894272244</v>
      </c>
      <c r="K156" s="271">
        <f>+IF((G156)=0,,(I156-G156)/G156)</f>
        <v>0.88666253720855415</v>
      </c>
      <c r="L156" s="117">
        <f>+Bretagne!J156+Centre!R156+Nord!U156+Sud!O156</f>
        <v>376336.07528595999</v>
      </c>
      <c r="M156" s="1179">
        <v>1</v>
      </c>
    </row>
    <row r="157" spans="1:13" s="25" customFormat="1" ht="11.25">
      <c r="A157" s="237" t="s">
        <v>165</v>
      </c>
      <c r="B157" s="160">
        <f>+Bretagne!G157</f>
        <v>0</v>
      </c>
      <c r="C157" s="113">
        <f>+Centre!O157</f>
        <v>0</v>
      </c>
      <c r="D157" s="113">
        <f>+Nord!R157</f>
        <v>0</v>
      </c>
      <c r="E157" s="162">
        <f>Sud!L157</f>
        <v>0</v>
      </c>
      <c r="F157" s="160">
        <f>+Bretagne!D157+Centre!L157+Nord!O157+Sud!I157</f>
        <v>-80830.760000000009</v>
      </c>
      <c r="G157" s="135">
        <f>+Bretagne!E157+Centre!M157+Nord!P157+Sud!J157</f>
        <v>-198332.19</v>
      </c>
      <c r="H157" s="113">
        <f>+Bretagne!F157+Centre!N157+Nord!Q157+Sud!K157</f>
        <v>0</v>
      </c>
      <c r="I157" s="161">
        <f>+Bretagne!G157+Centre!O157+Nord!R157+Sud!L157</f>
        <v>0</v>
      </c>
      <c r="J157" s="149">
        <f t="shared" ref="J157:J166" si="14">+IF((F157)=0,,(G157-F157)/F157)</f>
        <v>1.4536722158742537</v>
      </c>
      <c r="K157" s="271">
        <f t="shared" ref="K157:K166" si="15">+IF((G157)=0,,(I157-G157)/G157)</f>
        <v>-1</v>
      </c>
      <c r="L157" s="117">
        <f>+Bretagne!J157+Centre!R157+Nord!U157+Sud!O157</f>
        <v>0</v>
      </c>
      <c r="M157" s="25">
        <v>0</v>
      </c>
    </row>
    <row r="158" spans="1:13" s="25" customFormat="1" ht="11.25">
      <c r="A158" s="5" t="s">
        <v>166</v>
      </c>
      <c r="B158" s="160">
        <f>+Bretagne!G158</f>
        <v>0</v>
      </c>
      <c r="C158" s="113">
        <f>+Centre!O158</f>
        <v>0</v>
      </c>
      <c r="D158" s="113">
        <f>+Nord!R158</f>
        <v>0</v>
      </c>
      <c r="E158" s="162">
        <f>Sud!L158</f>
        <v>0</v>
      </c>
      <c r="F158" s="160">
        <f>+Bretagne!D158+Centre!L158+Nord!O158+Sud!I158</f>
        <v>70227.75</v>
      </c>
      <c r="G158" s="135">
        <f>+Bretagne!E158+Centre!M158+Nord!P158+Sud!J158</f>
        <v>298926.51333333331</v>
      </c>
      <c r="H158" s="113">
        <f>+Bretagne!F158+Centre!N158+Nord!Q158+Sud!K158</f>
        <v>0</v>
      </c>
      <c r="I158" s="161">
        <f>+Bretagne!G158+Centre!O158+Nord!R158+Sud!L158</f>
        <v>0</v>
      </c>
      <c r="J158" s="92">
        <f t="shared" si="14"/>
        <v>3.2565298380388565</v>
      </c>
      <c r="K158" s="271">
        <f t="shared" si="15"/>
        <v>-1</v>
      </c>
      <c r="L158" s="408">
        <f>+Bretagne!J158+Centre!R158+Nord!U158+Sud!O158</f>
        <v>0</v>
      </c>
      <c r="M158" s="25">
        <v>1</v>
      </c>
    </row>
    <row r="159" spans="1:13" s="25" customFormat="1" ht="11.25">
      <c r="A159" s="237" t="s">
        <v>60</v>
      </c>
      <c r="B159" s="160">
        <f>+Bretagne!G159</f>
        <v>0</v>
      </c>
      <c r="C159" s="113">
        <f>+Centre!O159</f>
        <v>0</v>
      </c>
      <c r="D159" s="113">
        <f>+Nord!R159</f>
        <v>0</v>
      </c>
      <c r="E159" s="162">
        <f>Sud!L159</f>
        <v>0</v>
      </c>
      <c r="F159" s="160">
        <f>+Bretagne!D159+Centre!L159+Nord!O159+Sud!I159</f>
        <v>-56710.590000000004</v>
      </c>
      <c r="G159" s="135">
        <f>+Bretagne!E159+Centre!M159+Nord!P159+Sud!J159</f>
        <v>-59645.056666666656</v>
      </c>
      <c r="H159" s="113">
        <f>+Bretagne!F159+Centre!N159+Nord!Q159+Sud!K159</f>
        <v>0</v>
      </c>
      <c r="I159" s="161">
        <f>+Bretagne!G159+Centre!O159+Nord!R159+Sud!L159</f>
        <v>0</v>
      </c>
      <c r="J159" s="149">
        <f t="shared" si="14"/>
        <v>5.1744597731511036E-2</v>
      </c>
      <c r="K159" s="271">
        <f t="shared" si="15"/>
        <v>-1</v>
      </c>
      <c r="L159" s="117">
        <f>+Bretagne!J159+Centre!R159+Nord!U159+Sud!O159</f>
        <v>0</v>
      </c>
      <c r="M159" s="25">
        <v>0</v>
      </c>
    </row>
    <row r="160" spans="1:13" s="25" customFormat="1" ht="11.25">
      <c r="A160" s="5" t="s">
        <v>199</v>
      </c>
      <c r="B160" s="160">
        <f>+Bretagne!G160</f>
        <v>0</v>
      </c>
      <c r="C160" s="113">
        <f>+Centre!O160</f>
        <v>0</v>
      </c>
      <c r="D160" s="113">
        <f>+Nord!R160</f>
        <v>0</v>
      </c>
      <c r="E160" s="162">
        <f>Sud!L160</f>
        <v>-8.2399999999999959E-2</v>
      </c>
      <c r="F160" s="160">
        <f>+Bretagne!D160+Centre!L160+Nord!O160+Sud!I160</f>
        <v>101.44000000000001</v>
      </c>
      <c r="G160" s="135">
        <f>+Bretagne!E160+Centre!M160+Nord!P160+Sud!J160</f>
        <v>242.08000000000018</v>
      </c>
      <c r="H160" s="113">
        <f>+Bretagne!F160+Centre!N160+Nord!Q160+Sud!K160</f>
        <v>-8.2399999999999959E-2</v>
      </c>
      <c r="I160" s="161">
        <f>+Bretagne!G160+Centre!O160+Nord!R160+Sud!L160</f>
        <v>-8.2399999999999959E-2</v>
      </c>
      <c r="J160" s="92">
        <f t="shared" si="14"/>
        <v>1.3864353312302853</v>
      </c>
      <c r="K160" s="271">
        <f t="shared" si="15"/>
        <v>-1.0003403833443489</v>
      </c>
      <c r="L160" s="408">
        <f>+Bretagne!J160+Centre!R160+Nord!U160+Sud!O160</f>
        <v>0</v>
      </c>
      <c r="M160" s="25">
        <v>1</v>
      </c>
    </row>
    <row r="161" spans="1:13" s="25" customFormat="1" ht="11.25">
      <c r="A161" s="5" t="s">
        <v>41</v>
      </c>
      <c r="B161" s="160">
        <f>+Bretagne!G161</f>
        <v>514.21720000000005</v>
      </c>
      <c r="C161" s="113">
        <f>+Centre!O161</f>
        <v>1762.4261333333332</v>
      </c>
      <c r="D161" s="113">
        <f>+Nord!R161</f>
        <v>2510.2061333333336</v>
      </c>
      <c r="E161" s="162">
        <f>Sud!L161</f>
        <v>3695.9190666666668</v>
      </c>
      <c r="F161" s="160">
        <f>+Bretagne!D161+Centre!L161+Nord!O161+Sud!I161</f>
        <v>8300.2199999999993</v>
      </c>
      <c r="G161" s="135">
        <f>+Bretagne!E161+Centre!M161+Nord!P161+Sud!J161</f>
        <v>9904.0633333333317</v>
      </c>
      <c r="H161" s="113">
        <f>+Bretagne!F161+Centre!N161+Nord!Q161+Sud!K161</f>
        <v>8482.7685333333338</v>
      </c>
      <c r="I161" s="161">
        <f>+Bretagne!G161+Centre!O161+Nord!R161+Sud!L161</f>
        <v>8482.7685333333338</v>
      </c>
      <c r="J161" s="92">
        <f t="shared" si="14"/>
        <v>0.19322901481326188</v>
      </c>
      <c r="K161" s="271">
        <f t="shared" si="15"/>
        <v>-0.14350623094426881</v>
      </c>
      <c r="L161" s="408">
        <f>+Bretagne!J161+Centre!R161+Nord!U161+Sud!O161</f>
        <v>6538.153155761891</v>
      </c>
      <c r="M161" s="25">
        <v>1</v>
      </c>
    </row>
    <row r="162" spans="1:13" s="25" customFormat="1" ht="11.25">
      <c r="A162" s="5" t="s">
        <v>355</v>
      </c>
      <c r="B162" s="160">
        <f>+Bretagne!G162</f>
        <v>14.804533333333332</v>
      </c>
      <c r="C162" s="113">
        <f>+Centre!O162</f>
        <v>77.263733333333334</v>
      </c>
      <c r="D162" s="113">
        <f>+Nord!R162</f>
        <v>182.46106666666668</v>
      </c>
      <c r="E162" s="162">
        <f>Sud!L162</f>
        <v>212.62633333333335</v>
      </c>
      <c r="F162" s="160">
        <f>+Bretagne!D162+Centre!L162+Nord!O162+Sud!I162</f>
        <v>307.79999999999995</v>
      </c>
      <c r="G162" s="135">
        <f>+Bretagne!E162+Centre!M162+Nord!P162+Sud!J162</f>
        <v>509.49166666666667</v>
      </c>
      <c r="H162" s="113">
        <f>+Bretagne!F162+Centre!N162+Nord!Q162+Sud!K162</f>
        <v>487.15566666666666</v>
      </c>
      <c r="I162" s="161">
        <f>+Bretagne!G162+Centre!O162+Nord!R162+Sud!L162</f>
        <v>487.15566666666666</v>
      </c>
      <c r="J162" s="92">
        <f t="shared" si="14"/>
        <v>0.65526857266623373</v>
      </c>
      <c r="K162" s="271">
        <f t="shared" si="15"/>
        <v>-4.3839774939073282E-2</v>
      </c>
      <c r="L162" s="408">
        <f>+Bretagne!J162+Centre!R162+Nord!U162+Sud!O162</f>
        <v>316.67702767904444</v>
      </c>
      <c r="M162" s="25">
        <v>1</v>
      </c>
    </row>
    <row r="163" spans="1:13" s="25" customFormat="1" ht="11.25">
      <c r="A163" s="5" t="s">
        <v>200</v>
      </c>
      <c r="B163" s="160">
        <f>+Bretagne!G163</f>
        <v>159.67746666666665</v>
      </c>
      <c r="C163" s="113">
        <f>+Centre!O163</f>
        <v>3071.2127999999998</v>
      </c>
      <c r="D163" s="113">
        <f>+Nord!R163</f>
        <v>2852.3172</v>
      </c>
      <c r="E163" s="162">
        <f>Sud!L163</f>
        <v>6429.2394000000004</v>
      </c>
      <c r="F163" s="160">
        <f>+Bretagne!D163+Centre!L163+Nord!O163+Sud!I163</f>
        <v>12078.310000000001</v>
      </c>
      <c r="G163" s="135">
        <f>+Bretagne!E163+Centre!M163+Nord!P163+Sud!J163</f>
        <v>12642.621666666666</v>
      </c>
      <c r="H163" s="113">
        <f>+Bretagne!F163+Centre!N163+Nord!Q163+Sud!K163</f>
        <v>12512.446866666667</v>
      </c>
      <c r="I163" s="161">
        <f>+Bretagne!G163+Centre!O163+Nord!R163+Sud!L163</f>
        <v>12512.446866666667</v>
      </c>
      <c r="J163" s="92">
        <f t="shared" si="14"/>
        <v>4.6721078252393307E-2</v>
      </c>
      <c r="K163" s="271">
        <f t="shared" si="15"/>
        <v>-1.0296503639210818E-2</v>
      </c>
      <c r="L163" s="408">
        <f>+Bretagne!J163+Centre!R163+Nord!U163+Sud!O163</f>
        <v>12974.230783958752</v>
      </c>
      <c r="M163" s="25">
        <v>1</v>
      </c>
    </row>
    <row r="164" spans="1:13" s="25" customFormat="1" ht="11.25">
      <c r="A164" s="237" t="s">
        <v>271</v>
      </c>
      <c r="B164" s="160">
        <f>+Bretagne!G164</f>
        <v>0</v>
      </c>
      <c r="C164" s="113">
        <f>+Centre!O164</f>
        <v>-109.18</v>
      </c>
      <c r="D164" s="113">
        <f>+Nord!R164</f>
        <v>-314.54826666666668</v>
      </c>
      <c r="E164" s="162">
        <f>Sud!L164</f>
        <v>-334.66759999999999</v>
      </c>
      <c r="F164" s="160">
        <f>+Bretagne!D164+Centre!L164+Nord!O164+Sud!I164</f>
        <v>-1781.81</v>
      </c>
      <c r="G164" s="135">
        <f>+Bretagne!E164+Centre!M164+Nord!P164+Sud!J164</f>
        <v>-797.80666666666662</v>
      </c>
      <c r="H164" s="113">
        <f>+Bretagne!F164+Centre!N164+Nord!Q164+Sud!K164</f>
        <v>-758.39586666666673</v>
      </c>
      <c r="I164" s="161">
        <f>+Bretagne!G164+Centre!O164+Nord!R164+Sud!L164</f>
        <v>-758.39586666666673</v>
      </c>
      <c r="J164" s="149">
        <f t="shared" si="14"/>
        <v>-0.55224930454612631</v>
      </c>
      <c r="K164" s="271">
        <f t="shared" si="15"/>
        <v>-4.939893541459487E-2</v>
      </c>
      <c r="L164" s="117">
        <f>+Bretagne!J164+Centre!R164+Nord!U164+Sud!O164</f>
        <v>-1648.6102560511115</v>
      </c>
      <c r="M164" s="25">
        <v>0</v>
      </c>
    </row>
    <row r="165" spans="1:13" s="25" customFormat="1" ht="11.25">
      <c r="A165" s="5" t="s">
        <v>242</v>
      </c>
      <c r="B165" s="160">
        <f>+Bretagne!G165</f>
        <v>210.12</v>
      </c>
      <c r="C165" s="113">
        <f>+Centre!O165</f>
        <v>1875.5613333333333</v>
      </c>
      <c r="D165" s="113">
        <f>+Nord!R165</f>
        <v>1916.8162666666665</v>
      </c>
      <c r="E165" s="162">
        <f>Sud!L165</f>
        <v>1956.4506666666666</v>
      </c>
      <c r="F165" s="160">
        <f>+Bretagne!D165+Centre!L165+Nord!O165+Sud!I165</f>
        <v>6488.0400000000009</v>
      </c>
      <c r="G165" s="135">
        <f>+Bretagne!E165+Centre!M165+Nord!P165+Sud!J165</f>
        <v>5919.7866666666669</v>
      </c>
      <c r="H165" s="113">
        <f>+Bretagne!F165+Centre!N165+Nord!Q165+Sud!K165</f>
        <v>5958.9482666666663</v>
      </c>
      <c r="I165" s="161">
        <f>+Bretagne!G165+Centre!O165+Nord!R165+Sud!L165</f>
        <v>5958.9482666666663</v>
      </c>
      <c r="J165" s="92">
        <f t="shared" si="14"/>
        <v>-8.7584745675633E-2</v>
      </c>
      <c r="K165" s="271">
        <f t="shared" si="15"/>
        <v>6.6153735269738525E-3</v>
      </c>
      <c r="L165" s="408">
        <f>+Bretagne!J165+Centre!R165+Nord!U165+Sud!O165</f>
        <v>6384.2492709542676</v>
      </c>
      <c r="M165" s="25">
        <v>1</v>
      </c>
    </row>
    <row r="166" spans="1:13" s="25" customFormat="1" ht="11.25">
      <c r="A166" s="237" t="s">
        <v>201</v>
      </c>
      <c r="B166" s="160">
        <f>+Bretagne!G166</f>
        <v>0</v>
      </c>
      <c r="C166" s="113">
        <f>+Centre!O166</f>
        <v>0</v>
      </c>
      <c r="D166" s="113">
        <f>+Nord!R166</f>
        <v>0</v>
      </c>
      <c r="E166" s="162">
        <f>Sud!L166</f>
        <v>0</v>
      </c>
      <c r="F166" s="160">
        <f>+Bretagne!D166+Centre!L166+Nord!O166+Sud!I166</f>
        <v>0</v>
      </c>
      <c r="G166" s="135">
        <f>+Bretagne!E166+Centre!M166+Nord!P166+Sud!J166</f>
        <v>0</v>
      </c>
      <c r="H166" s="113">
        <f>+Bretagne!F166+Centre!N166+Nord!Q166+Sud!K166</f>
        <v>0</v>
      </c>
      <c r="I166" s="161">
        <f>+Bretagne!G166+Centre!O166+Nord!R166+Sud!L166</f>
        <v>0</v>
      </c>
      <c r="J166" s="149">
        <f t="shared" si="14"/>
        <v>0</v>
      </c>
      <c r="K166" s="271">
        <f t="shared" si="15"/>
        <v>0</v>
      </c>
      <c r="L166" s="117">
        <f>+Bretagne!J166+Centre!R166+Nord!U166+Sud!O166</f>
        <v>-10.698208528209376</v>
      </c>
      <c r="M166" s="25">
        <v>0</v>
      </c>
    </row>
    <row r="167" spans="1:13" s="2" customFormat="1" ht="11.25">
      <c r="A167" s="237"/>
      <c r="B167" s="160"/>
      <c r="C167" s="113"/>
      <c r="D167" s="113"/>
      <c r="E167" s="162"/>
      <c r="F167" s="160"/>
      <c r="G167" s="143"/>
      <c r="H167" s="149"/>
      <c r="I167" s="254"/>
      <c r="J167" s="149"/>
      <c r="K167" s="254"/>
      <c r="L167" s="115"/>
      <c r="M167" s="2">
        <v>0</v>
      </c>
    </row>
    <row r="168" spans="1:13" s="2" customFormat="1" ht="11.25">
      <c r="A168" s="13" t="s">
        <v>74</v>
      </c>
      <c r="B168" s="163">
        <f>SUM(B156:B167)</f>
        <v>21581.906598000001</v>
      </c>
      <c r="C168" s="204">
        <f>SUM(C156:C167)</f>
        <v>126553.06320664003</v>
      </c>
      <c r="D168" s="204">
        <f>SUM(D156:D167)</f>
        <v>127682.00466773815</v>
      </c>
      <c r="E168" s="168">
        <f>SUM(E156:E167)</f>
        <v>117547.6357479467</v>
      </c>
      <c r="F168" s="163">
        <f>SUM(F155:F167)</f>
        <v>174271.53</v>
      </c>
      <c r="G168" s="136">
        <f>SUM(G155:G167)</f>
        <v>263724.22333333333</v>
      </c>
      <c r="H168" s="136">
        <f>SUM(H155:H167)</f>
        <v>393364.61022032483</v>
      </c>
      <c r="I168" s="118">
        <f>SUM(I155:I167)</f>
        <v>393364.61022032483</v>
      </c>
      <c r="J168" s="1203">
        <f>+IF((F168)=0,,(G168-F168)/F168)</f>
        <v>0.51329493310429608</v>
      </c>
      <c r="K168" s="188">
        <f>+IF((G168)=0,,(I168-G168)/G168)</f>
        <v>0.4915755756085135</v>
      </c>
      <c r="L168" s="312">
        <f>+Bretagne!J168+Centre!R168+Nord!U168+Sud!O168</f>
        <v>400890.07705973461</v>
      </c>
      <c r="M168" s="2">
        <v>1</v>
      </c>
    </row>
    <row r="169" spans="1:13" s="2" customFormat="1" ht="11.25">
      <c r="A169" s="237"/>
      <c r="B169" s="160"/>
      <c r="C169" s="113"/>
      <c r="D169" s="113"/>
      <c r="E169" s="162"/>
      <c r="F169" s="160"/>
      <c r="G169" s="143"/>
      <c r="H169" s="113"/>
      <c r="I169" s="254"/>
      <c r="J169" s="149"/>
      <c r="K169" s="271"/>
      <c r="L169" s="115"/>
      <c r="M169" s="2">
        <v>0</v>
      </c>
    </row>
    <row r="170" spans="1:13" s="25" customFormat="1" ht="11.25">
      <c r="A170" s="237" t="s">
        <v>167</v>
      </c>
      <c r="B170" s="160">
        <f>+Bretagne!G170</f>
        <v>0</v>
      </c>
      <c r="C170" s="113">
        <f>+Centre!O170</f>
        <v>0</v>
      </c>
      <c r="D170" s="113">
        <f>+Nord!R170</f>
        <v>0</v>
      </c>
      <c r="E170" s="162">
        <f>Sud!L170</f>
        <v>0</v>
      </c>
      <c r="F170" s="160">
        <f>+Bretagne!D170+Centre!L170+Nord!O170+Sud!I170</f>
        <v>0</v>
      </c>
      <c r="G170" s="135">
        <f>+Bretagne!E170+Centre!M170+Nord!P170+Sud!J170</f>
        <v>1667</v>
      </c>
      <c r="H170" s="113">
        <f>+Bretagne!F170+Centre!N170+Nord!Q170+Sud!K170</f>
        <v>0</v>
      </c>
      <c r="I170" s="161">
        <f>+Bretagne!G170+Centre!O170+Nord!R170+Sud!L170</f>
        <v>0</v>
      </c>
      <c r="J170" s="149">
        <f>+IF((F170)=0,,(G170-F170)/F170)</f>
        <v>0</v>
      </c>
      <c r="K170" s="271">
        <f>+IF((G170)=0,,(I170-G170)/G170)</f>
        <v>-1</v>
      </c>
      <c r="L170" s="117">
        <f>+Bretagne!J170+Centre!R170+Nord!U170+Sud!O170</f>
        <v>0</v>
      </c>
      <c r="M170" s="25">
        <v>0</v>
      </c>
    </row>
    <row r="171" spans="1:13" s="25" customFormat="1" ht="11.25">
      <c r="A171" s="5" t="s">
        <v>168</v>
      </c>
      <c r="B171" s="160">
        <f>+Bretagne!G171</f>
        <v>200.13586666666666</v>
      </c>
      <c r="C171" s="113">
        <f>+Centre!O171</f>
        <v>258.74973333333332</v>
      </c>
      <c r="D171" s="113">
        <f>+Nord!R171</f>
        <v>1068.8516</v>
      </c>
      <c r="E171" s="162">
        <f>Sud!L171</f>
        <v>610.40546666666671</v>
      </c>
      <c r="F171" s="160">
        <f>+Bretagne!D171+Centre!L171+Nord!O171+Sud!I171</f>
        <v>2252.15</v>
      </c>
      <c r="G171" s="135">
        <f>+Bretagne!E171+Centre!M171+Nord!P171+Sud!J171</f>
        <v>2075.8666666666668</v>
      </c>
      <c r="H171" s="113">
        <f>+Bretagne!F171+Centre!N171+Nord!Q171+Sud!K171</f>
        <v>2138.1426666666666</v>
      </c>
      <c r="I171" s="161">
        <f>+Bretagne!G171+Centre!O171+Nord!R171+Sud!L171</f>
        <v>2138.1426666666666</v>
      </c>
      <c r="J171" s="92">
        <f t="shared" ref="J171:J183" si="16">+IF((F171)=0,,(G171-F171)/F171)</f>
        <v>-7.8273353610253893E-2</v>
      </c>
      <c r="K171" s="271">
        <f t="shared" ref="K171:K183" si="17">+IF((G171)=0,,(I171-G171)/G171)</f>
        <v>2.9999999999999923E-2</v>
      </c>
      <c r="L171" s="408">
        <f>+Bretagne!J171+Centre!R171+Nord!U171+Sud!O171</f>
        <v>2859.2274529346168</v>
      </c>
      <c r="M171" s="25">
        <v>1</v>
      </c>
    </row>
    <row r="172" spans="1:13" s="25" customFormat="1" ht="11.25">
      <c r="A172" s="237" t="s">
        <v>169</v>
      </c>
      <c r="B172" s="160">
        <f>+Bretagne!G172</f>
        <v>0</v>
      </c>
      <c r="C172" s="113">
        <f>+Centre!O172</f>
        <v>0</v>
      </c>
      <c r="D172" s="113">
        <f>+Nord!R172</f>
        <v>0</v>
      </c>
      <c r="E172" s="162">
        <f>Sud!L172</f>
        <v>0</v>
      </c>
      <c r="F172" s="160">
        <f>+Bretagne!D172+Centre!L172+Nord!O172+Sud!I172</f>
        <v>0</v>
      </c>
      <c r="G172" s="135">
        <f>+Bretagne!E172+Centre!M172+Nord!P172+Sud!J172</f>
        <v>173</v>
      </c>
      <c r="H172" s="113">
        <f>+Bretagne!F172+Centre!N172+Nord!Q172+Sud!K172</f>
        <v>0</v>
      </c>
      <c r="I172" s="161">
        <f>+Bretagne!G172+Centre!O172+Nord!R172+Sud!L172</f>
        <v>0</v>
      </c>
      <c r="J172" s="149">
        <f t="shared" si="16"/>
        <v>0</v>
      </c>
      <c r="K172" s="271">
        <f t="shared" si="17"/>
        <v>-1</v>
      </c>
      <c r="L172" s="117">
        <f>+Bretagne!J172+Centre!R172+Nord!U172+Sud!O172</f>
        <v>25.450991000000002</v>
      </c>
      <c r="M172" s="25">
        <v>0</v>
      </c>
    </row>
    <row r="173" spans="1:13" s="25" customFormat="1" ht="11.25">
      <c r="A173" s="5" t="s">
        <v>170</v>
      </c>
      <c r="B173" s="160">
        <f>+Bretagne!G173</f>
        <v>10.313733333333333</v>
      </c>
      <c r="C173" s="113">
        <f>+Centre!O173</f>
        <v>4766.5241333333333</v>
      </c>
      <c r="D173" s="113">
        <f>+Nord!R173</f>
        <v>4961.2078666666666</v>
      </c>
      <c r="E173" s="162">
        <f>Sud!L173</f>
        <v>9656.6894666666667</v>
      </c>
      <c r="F173" s="160">
        <f>+Bretagne!D173+Centre!L173+Nord!O173+Sud!I173</f>
        <v>80704.739999999991</v>
      </c>
      <c r="G173" s="135">
        <f>+Bretagne!E173+Centre!M173+Nord!P173+Sud!J173</f>
        <v>18944.620000000003</v>
      </c>
      <c r="H173" s="113">
        <f>+Bretagne!F173+Centre!N173+Nord!Q173+Sud!K173</f>
        <v>19394.735199999999</v>
      </c>
      <c r="I173" s="161">
        <f>+Bretagne!G173+Centre!O173+Nord!R173+Sud!L173</f>
        <v>19394.735199999999</v>
      </c>
      <c r="J173" s="92">
        <f t="shared" si="16"/>
        <v>-0.76526013218058808</v>
      </c>
      <c r="K173" s="271">
        <f t="shared" si="17"/>
        <v>2.3759526451308945E-2</v>
      </c>
      <c r="L173" s="408">
        <f>+Bretagne!J173+Centre!R173+Nord!U173+Sud!O173</f>
        <v>31991.720174999999</v>
      </c>
      <c r="M173" s="25">
        <v>1</v>
      </c>
    </row>
    <row r="174" spans="1:13" s="25" customFormat="1" ht="11.25">
      <c r="A174" s="237" t="s">
        <v>171</v>
      </c>
      <c r="B174" s="160">
        <f>+Bretagne!G174</f>
        <v>0</v>
      </c>
      <c r="C174" s="113">
        <f>+Centre!O174</f>
        <v>0</v>
      </c>
      <c r="D174" s="113">
        <f>+Nord!R174</f>
        <v>0</v>
      </c>
      <c r="E174" s="162">
        <f>Sud!L174</f>
        <v>0</v>
      </c>
      <c r="F174" s="160">
        <f>+Bretagne!D174+Centre!L174+Nord!O174+Sud!I174</f>
        <v>0</v>
      </c>
      <c r="G174" s="135">
        <f>+Bretagne!E174+Centre!M174+Nord!P174+Sud!J174</f>
        <v>0</v>
      </c>
      <c r="H174" s="113">
        <f>+Bretagne!F174+Centre!N174+Nord!Q174+Sud!K174</f>
        <v>0</v>
      </c>
      <c r="I174" s="161">
        <f>+Bretagne!G174+Centre!O174+Nord!R174+Sud!L174</f>
        <v>0</v>
      </c>
      <c r="J174" s="149">
        <f t="shared" si="16"/>
        <v>0</v>
      </c>
      <c r="K174" s="271">
        <f t="shared" si="17"/>
        <v>0</v>
      </c>
      <c r="L174" s="117">
        <f>+Bretagne!J174+Centre!R174+Nord!U174+Sud!O174</f>
        <v>0</v>
      </c>
      <c r="M174" s="25">
        <v>0</v>
      </c>
    </row>
    <row r="175" spans="1:13" s="25" customFormat="1" ht="11.25">
      <c r="A175" s="237" t="s">
        <v>308</v>
      </c>
      <c r="B175" s="160">
        <f>+Bretagne!G175</f>
        <v>0</v>
      </c>
      <c r="C175" s="113">
        <f>+Centre!O175</f>
        <v>0</v>
      </c>
      <c r="D175" s="113">
        <f>+Nord!R175</f>
        <v>0</v>
      </c>
      <c r="E175" s="162">
        <f>Sud!L175</f>
        <v>0</v>
      </c>
      <c r="F175" s="160">
        <f>+Bretagne!D175+Centre!L175+Nord!O175+Sud!I175</f>
        <v>0</v>
      </c>
      <c r="G175" s="135">
        <f>+Bretagne!E175+Centre!M175+Nord!P175+Sud!J175</f>
        <v>0</v>
      </c>
      <c r="H175" s="113">
        <f>+Bretagne!F175+Centre!N175+Nord!Q175+Sud!K175</f>
        <v>0</v>
      </c>
      <c r="I175" s="161">
        <f>+Bretagne!G175+Centre!O175+Nord!R175+Sud!L175</f>
        <v>0</v>
      </c>
      <c r="J175" s="149">
        <f t="shared" si="16"/>
        <v>0</v>
      </c>
      <c r="K175" s="271">
        <f t="shared" si="17"/>
        <v>0</v>
      </c>
      <c r="L175" s="117">
        <f>+Bretagne!J175+Centre!R175+Nord!U175+Sud!O175</f>
        <v>0</v>
      </c>
      <c r="M175" s="25">
        <v>0</v>
      </c>
    </row>
    <row r="176" spans="1:13" s="25" customFormat="1" ht="11.25">
      <c r="A176" s="237" t="s">
        <v>172</v>
      </c>
      <c r="B176" s="160">
        <f>+Bretagne!G176</f>
        <v>0</v>
      </c>
      <c r="C176" s="113">
        <f>+Centre!O176</f>
        <v>0</v>
      </c>
      <c r="D176" s="113">
        <f>+Nord!R176</f>
        <v>0</v>
      </c>
      <c r="E176" s="162">
        <f>Sud!L176</f>
        <v>0</v>
      </c>
      <c r="F176" s="160">
        <f>+Bretagne!D176+Centre!L176+Nord!O176+Sud!I176</f>
        <v>366.22</v>
      </c>
      <c r="G176" s="135">
        <f>+Bretagne!E176+Centre!M176+Nord!P176+Sud!J176</f>
        <v>0</v>
      </c>
      <c r="H176" s="113">
        <f>+Bretagne!F176+Centre!N176+Nord!Q176+Sud!K176</f>
        <v>0</v>
      </c>
      <c r="I176" s="161">
        <f>+Bretagne!G176+Centre!O176+Nord!R176+Sud!L176</f>
        <v>0</v>
      </c>
      <c r="J176" s="149">
        <f t="shared" si="16"/>
        <v>-1</v>
      </c>
      <c r="K176" s="271">
        <f t="shared" si="17"/>
        <v>0</v>
      </c>
      <c r="L176" s="117">
        <f>+Bretagne!J176+Centre!R176+Nord!U176+Sud!O176</f>
        <v>0</v>
      </c>
      <c r="M176" s="25">
        <v>0</v>
      </c>
    </row>
    <row r="177" spans="1:13" s="25" customFormat="1" ht="11.25">
      <c r="A177" s="5" t="s">
        <v>173</v>
      </c>
      <c r="B177" s="160">
        <f>+Bretagne!G177</f>
        <v>0</v>
      </c>
      <c r="C177" s="113">
        <f>+Centre!O177</f>
        <v>0</v>
      </c>
      <c r="D177" s="113">
        <f>+Nord!R177</f>
        <v>0</v>
      </c>
      <c r="E177" s="162">
        <f>Sud!L177</f>
        <v>0</v>
      </c>
      <c r="F177" s="160">
        <f>+Bretagne!D177+Centre!L177+Nord!O177+Sud!I177</f>
        <v>29496.379999999997</v>
      </c>
      <c r="G177" s="135">
        <f>+Bretagne!E177+Centre!M177+Nord!P177+Sud!J177</f>
        <v>16712.77</v>
      </c>
      <c r="H177" s="113">
        <f>+Bretagne!F177+Centre!N177+Nord!Q177+Sud!K177</f>
        <v>0</v>
      </c>
      <c r="I177" s="161">
        <f>+Bretagne!G177+Centre!O177+Nord!R177+Sud!L177</f>
        <v>0</v>
      </c>
      <c r="J177" s="92">
        <f t="shared" si="16"/>
        <v>-0.43339589468266948</v>
      </c>
      <c r="K177" s="271">
        <f t="shared" si="17"/>
        <v>-1</v>
      </c>
      <c r="L177" s="408">
        <f>+Bretagne!J177+Centre!R177+Nord!U177+Sud!O177</f>
        <v>0</v>
      </c>
      <c r="M177" s="25">
        <v>1</v>
      </c>
    </row>
    <row r="178" spans="1:13" s="25" customFormat="1" ht="11.25">
      <c r="A178" s="237" t="s">
        <v>174</v>
      </c>
      <c r="B178" s="160">
        <f>+Bretagne!G178</f>
        <v>0</v>
      </c>
      <c r="C178" s="113">
        <f>+Centre!O178</f>
        <v>0</v>
      </c>
      <c r="D178" s="113">
        <f>+Nord!R178</f>
        <v>0</v>
      </c>
      <c r="E178" s="162">
        <f>Sud!L178</f>
        <v>0</v>
      </c>
      <c r="F178" s="160">
        <f>+Bretagne!D178+Centre!L178+Nord!O178+Sud!I178</f>
        <v>539.22</v>
      </c>
      <c r="G178" s="135">
        <f>+Bretagne!E178+Centre!M178+Nord!P178+Sud!J178</f>
        <v>0</v>
      </c>
      <c r="H178" s="113">
        <f>+Bretagne!F178+Centre!N178+Nord!Q178+Sud!K178</f>
        <v>0</v>
      </c>
      <c r="I178" s="161">
        <f>+Bretagne!G178+Centre!O178+Nord!R178+Sud!L178</f>
        <v>0</v>
      </c>
      <c r="J178" s="149">
        <f t="shared" si="16"/>
        <v>-1</v>
      </c>
      <c r="K178" s="271">
        <f t="shared" si="17"/>
        <v>0</v>
      </c>
      <c r="L178" s="117">
        <f>+Bretagne!J178+Centre!R178+Nord!U178+Sud!O178</f>
        <v>0</v>
      </c>
      <c r="M178" s="25">
        <v>0</v>
      </c>
    </row>
    <row r="179" spans="1:13" s="25" customFormat="1" ht="11.25">
      <c r="A179" s="5" t="s">
        <v>175</v>
      </c>
      <c r="B179" s="160">
        <f>+Bretagne!G179</f>
        <v>6789.2899999999991</v>
      </c>
      <c r="C179" s="113">
        <f>+Centre!O179</f>
        <v>72895.150000000009</v>
      </c>
      <c r="D179" s="113">
        <f>+Nord!R179</f>
        <v>92031.419999999984</v>
      </c>
      <c r="E179" s="162">
        <f>Sud!L179</f>
        <v>44403.4</v>
      </c>
      <c r="F179" s="160">
        <f>+Bretagne!D179+Centre!L179+Nord!O179+Sud!I179</f>
        <v>233460.24000000005</v>
      </c>
      <c r="G179" s="135">
        <f>+Bretagne!E179+Centre!M179+Nord!P179+Sud!J179</f>
        <v>200678.52000000002</v>
      </c>
      <c r="H179" s="113">
        <f>+Bretagne!F179+Centre!N179+Nord!Q179+Sud!K179</f>
        <v>216119.25999999998</v>
      </c>
      <c r="I179" s="161">
        <f>+Bretagne!G179+Centre!O179+Nord!R179+Sud!L179</f>
        <v>216119.25999999998</v>
      </c>
      <c r="J179" s="92">
        <f t="shared" si="16"/>
        <v>-0.1404167150689129</v>
      </c>
      <c r="K179" s="271">
        <f t="shared" si="17"/>
        <v>7.694266431703782E-2</v>
      </c>
      <c r="L179" s="408">
        <f>+Bretagne!J179+Centre!R179+Nord!U179+Sud!O179</f>
        <v>225810</v>
      </c>
      <c r="M179" s="25">
        <v>1</v>
      </c>
    </row>
    <row r="180" spans="1:13" s="25" customFormat="1" ht="11.25">
      <c r="A180" s="5" t="s">
        <v>78</v>
      </c>
      <c r="B180" s="160">
        <f>+Bretagne!G180</f>
        <v>0</v>
      </c>
      <c r="C180" s="113">
        <f>+Centre!O180</f>
        <v>0</v>
      </c>
      <c r="D180" s="113">
        <f>+Nord!R180</f>
        <v>0</v>
      </c>
      <c r="E180" s="162">
        <f>Sud!L180</f>
        <v>0</v>
      </c>
      <c r="F180" s="160">
        <f>+Bretagne!D180+Centre!L180+Nord!O180+Sud!I180</f>
        <v>24777.670000000002</v>
      </c>
      <c r="G180" s="135">
        <f>+Bretagne!E180+Centre!M180+Nord!P180+Sud!J180</f>
        <v>11531.04</v>
      </c>
      <c r="H180" s="113">
        <f>+Bretagne!F180+Centre!N180+Nord!Q180+Sud!K180</f>
        <v>0</v>
      </c>
      <c r="I180" s="161">
        <f>+Bretagne!G180+Centre!O180+Nord!R180+Sud!L180</f>
        <v>0</v>
      </c>
      <c r="J180" s="92">
        <f t="shared" si="16"/>
        <v>-0.53461967973582669</v>
      </c>
      <c r="K180" s="271">
        <f t="shared" si="17"/>
        <v>-1</v>
      </c>
      <c r="L180" s="408">
        <f>+Bretagne!J180+Centre!R180+Nord!U180+Sud!O180</f>
        <v>0</v>
      </c>
      <c r="M180" s="25">
        <v>1</v>
      </c>
    </row>
    <row r="181" spans="1:13" s="25" customFormat="1" ht="11.25">
      <c r="A181" s="237" t="s">
        <v>327</v>
      </c>
      <c r="B181" s="160">
        <f>+Bretagne!G181</f>
        <v>0</v>
      </c>
      <c r="C181" s="113">
        <f>+Centre!O181</f>
        <v>0</v>
      </c>
      <c r="D181" s="113">
        <f>+Nord!R181</f>
        <v>0</v>
      </c>
      <c r="E181" s="162">
        <f>Sud!L181</f>
        <v>0</v>
      </c>
      <c r="F181" s="160">
        <f>+Bretagne!D181+Centre!L181+Nord!O181+Sud!I181</f>
        <v>0</v>
      </c>
      <c r="G181" s="135">
        <f>+Bretagne!E181+Centre!M181+Nord!P181+Sud!J181</f>
        <v>0</v>
      </c>
      <c r="H181" s="113">
        <f>+Bretagne!F181+Centre!N181+Nord!Q181+Sud!K181</f>
        <v>0</v>
      </c>
      <c r="I181" s="161">
        <f>+Bretagne!G181+Centre!O181+Nord!R181+Sud!L181</f>
        <v>0</v>
      </c>
      <c r="J181" s="149">
        <f t="shared" si="16"/>
        <v>0</v>
      </c>
      <c r="K181" s="271">
        <f t="shared" si="17"/>
        <v>0</v>
      </c>
      <c r="L181" s="117">
        <f>+Bretagne!J181+Centre!R181+Nord!U181+Sud!O181</f>
        <v>0</v>
      </c>
      <c r="M181" s="25">
        <v>0</v>
      </c>
    </row>
    <row r="182" spans="1:13" s="25" customFormat="1" ht="11.25">
      <c r="A182" s="237" t="s">
        <v>82</v>
      </c>
      <c r="B182" s="160">
        <f>+Bretagne!G182</f>
        <v>0</v>
      </c>
      <c r="C182" s="113">
        <f>+Centre!O182</f>
        <v>0</v>
      </c>
      <c r="D182" s="113">
        <f>+Nord!R182</f>
        <v>0</v>
      </c>
      <c r="E182" s="162">
        <f>Sud!L182</f>
        <v>0</v>
      </c>
      <c r="F182" s="160">
        <f>+Bretagne!D182+Centre!L182+Nord!O182+Sud!I182</f>
        <v>1999.01</v>
      </c>
      <c r="G182" s="135">
        <f>+Bretagne!E182+Centre!M182+Nord!P182+Sud!J182</f>
        <v>0</v>
      </c>
      <c r="H182" s="113">
        <f>+Bretagne!F182+Centre!N182+Nord!Q182+Sud!K182</f>
        <v>0</v>
      </c>
      <c r="I182" s="161">
        <f>+Bretagne!G182+Centre!O182+Nord!R182+Sud!L182</f>
        <v>0</v>
      </c>
      <c r="J182" s="149">
        <f t="shared" si="16"/>
        <v>-1</v>
      </c>
      <c r="K182" s="271">
        <f t="shared" si="17"/>
        <v>0</v>
      </c>
      <c r="L182" s="117">
        <f>+Bretagne!J182+Centre!R182+Nord!U182+Sud!O182</f>
        <v>2041.5968807556251</v>
      </c>
      <c r="M182" s="25">
        <v>0</v>
      </c>
    </row>
    <row r="183" spans="1:13" s="25" customFormat="1" ht="11.25">
      <c r="A183" s="5" t="s">
        <v>331</v>
      </c>
      <c r="B183" s="160">
        <f>+Bretagne!G183</f>
        <v>0</v>
      </c>
      <c r="C183" s="113">
        <f>+Centre!O183</f>
        <v>0</v>
      </c>
      <c r="D183" s="113">
        <f>+Nord!R183</f>
        <v>0</v>
      </c>
      <c r="E183" s="162">
        <f>Sud!L183</f>
        <v>0</v>
      </c>
      <c r="F183" s="160">
        <f>+Bretagne!D183+Centre!L183+Nord!O183+Sud!I183</f>
        <v>94451</v>
      </c>
      <c r="G183" s="135">
        <f>+Bretagne!E183+Centre!M183+Nord!P183+Sud!J183</f>
        <v>0</v>
      </c>
      <c r="H183" s="113">
        <f>+Bretagne!F183+Centre!N183+Nord!Q183+Sud!K183</f>
        <v>0</v>
      </c>
      <c r="I183" s="161">
        <f>+Bretagne!G183+Centre!O183+Nord!R183+Sud!L183</f>
        <v>0</v>
      </c>
      <c r="J183" s="92">
        <f t="shared" si="16"/>
        <v>-1</v>
      </c>
      <c r="K183" s="271">
        <f t="shared" si="17"/>
        <v>0</v>
      </c>
      <c r="L183" s="408">
        <f>+Bretagne!J183+Centre!R183+Nord!U183+Sud!O183</f>
        <v>0</v>
      </c>
      <c r="M183" s="25">
        <v>1</v>
      </c>
    </row>
    <row r="184" spans="1:13" s="2" customFormat="1" ht="11.25">
      <c r="A184" s="237"/>
      <c r="B184" s="160"/>
      <c r="C184" s="113"/>
      <c r="D184" s="113"/>
      <c r="E184" s="162"/>
      <c r="F184" s="160"/>
      <c r="G184" s="143"/>
      <c r="H184" s="149"/>
      <c r="I184" s="254"/>
      <c r="J184" s="149"/>
      <c r="K184" s="254"/>
      <c r="L184" s="115"/>
      <c r="M184" s="2">
        <v>0</v>
      </c>
    </row>
    <row r="185" spans="1:13" s="2" customFormat="1" ht="11.25">
      <c r="A185" s="13" t="s">
        <v>178</v>
      </c>
      <c r="B185" s="163">
        <f>SUM(B170:B184)</f>
        <v>6999.739599999999</v>
      </c>
      <c r="C185" s="204">
        <f>SUM(C170:C184)</f>
        <v>77920.423866666679</v>
      </c>
      <c r="D185" s="204">
        <f>SUM(D170:D184)</f>
        <v>98061.479466666657</v>
      </c>
      <c r="E185" s="168">
        <f>SUM(E170:E184)</f>
        <v>54670.494933333335</v>
      </c>
      <c r="F185" s="163">
        <f>SUM(F169:F184)</f>
        <v>468046.63000000006</v>
      </c>
      <c r="G185" s="136">
        <f>SUM(G169:G184)</f>
        <v>251782.81666666668</v>
      </c>
      <c r="H185" s="136">
        <f>SUM(H169:H184)</f>
        <v>237652.13786666666</v>
      </c>
      <c r="I185" s="118">
        <f>SUM(I169:I184)</f>
        <v>237652.13786666666</v>
      </c>
      <c r="J185" s="1203">
        <f>+IF((F185)=0,,(G185-F185)/F185)</f>
        <v>-0.46205612747031927</v>
      </c>
      <c r="K185" s="188">
        <f>+IF((G185)=0,,(I185-G185)/G185)</f>
        <v>-5.6122490752446859E-2</v>
      </c>
      <c r="L185" s="312">
        <f>+Bretagne!J185+Centre!R185+Nord!U185+Sud!O185</f>
        <v>262727.99549969018</v>
      </c>
      <c r="M185" s="2">
        <v>1</v>
      </c>
    </row>
    <row r="186" spans="1:13" s="2" customFormat="1" ht="11.25">
      <c r="A186" s="237"/>
      <c r="B186" s="160"/>
      <c r="C186" s="113"/>
      <c r="D186" s="113"/>
      <c r="E186" s="162"/>
      <c r="F186" s="160"/>
      <c r="G186" s="143"/>
      <c r="H186" s="113"/>
      <c r="I186" s="254"/>
      <c r="J186" s="149"/>
      <c r="K186" s="271"/>
      <c r="L186" s="115">
        <f>+Bretagne!J186+Centre!R186+Nord!U186+Sud!O186</f>
        <v>0</v>
      </c>
      <c r="M186" s="2">
        <v>0</v>
      </c>
    </row>
    <row r="187" spans="1:13" s="2" customFormat="1" ht="11.25">
      <c r="A187" s="237" t="s">
        <v>179</v>
      </c>
      <c r="B187" s="160">
        <f>+Bretagne!G187</f>
        <v>0</v>
      </c>
      <c r="C187" s="113">
        <f>+Centre!O187</f>
        <v>0</v>
      </c>
      <c r="D187" s="113">
        <f>+Nord!R187</f>
        <v>0</v>
      </c>
      <c r="E187" s="162">
        <f>Sud!L187</f>
        <v>0</v>
      </c>
      <c r="F187" s="160">
        <f>+Bretagne!D187+Centre!L187+Nord!O187+Sud!I187</f>
        <v>12000</v>
      </c>
      <c r="G187" s="135">
        <f>+Bretagne!E187+Centre!M187+Nord!P187+Sud!J187</f>
        <v>11158.866666666667</v>
      </c>
      <c r="H187" s="113">
        <f>+Bretagne!F187+Centre!N187+Nord!Q187+Sud!K187</f>
        <v>0</v>
      </c>
      <c r="I187" s="161">
        <f>+Bretagne!G187+Centre!O187+Nord!R187+Sud!L187</f>
        <v>0</v>
      </c>
      <c r="J187" s="149">
        <f>+IF((F187)=0,,(G187-F187)/F187)</f>
        <v>-7.0094444444444431E-2</v>
      </c>
      <c r="K187" s="271">
        <f>+IF((G187)=0,,(I187-G187)/G187)</f>
        <v>-1</v>
      </c>
      <c r="L187" s="117">
        <f>+Bretagne!J187+Centre!R187+Nord!U187+Sud!O187</f>
        <v>0</v>
      </c>
      <c r="M187" s="2">
        <v>0</v>
      </c>
    </row>
    <row r="188" spans="1:13" s="2" customFormat="1" ht="11.25">
      <c r="A188" s="237" t="s">
        <v>167</v>
      </c>
      <c r="B188" s="160">
        <f>+Bretagne!G188</f>
        <v>0</v>
      </c>
      <c r="C188" s="113">
        <f>+Centre!O188</f>
        <v>0</v>
      </c>
      <c r="D188" s="113">
        <f>+Nord!R188</f>
        <v>0</v>
      </c>
      <c r="E188" s="162">
        <f>Sud!L188</f>
        <v>0</v>
      </c>
      <c r="F188" s="160">
        <f>+Bretagne!D188+Centre!L188+Nord!O188+Sud!I188</f>
        <v>0</v>
      </c>
      <c r="G188" s="135">
        <f>+Bretagne!E188+Centre!M188+Nord!P188+Sud!J188</f>
        <v>0</v>
      </c>
      <c r="H188" s="113">
        <f>+Bretagne!F188+Centre!N188+Nord!Q188+Sud!K188</f>
        <v>0</v>
      </c>
      <c r="I188" s="161">
        <f>+Bretagne!G188+Centre!O188+Nord!R188+Sud!L188</f>
        <v>0</v>
      </c>
      <c r="J188" s="149">
        <f t="shared" ref="J188:J199" si="18">+IF((F188)=0,,(G188-F188)/F188)</f>
        <v>0</v>
      </c>
      <c r="K188" s="271">
        <f t="shared" ref="K188:K199" si="19">+IF((G188)=0,,(I188-G188)/G188)</f>
        <v>0</v>
      </c>
      <c r="L188" s="117">
        <f>+Bretagne!J188+Centre!R188+Nord!U188+Sud!O188</f>
        <v>0</v>
      </c>
      <c r="M188" s="2">
        <v>0</v>
      </c>
    </row>
    <row r="189" spans="1:13" s="2" customFormat="1" ht="11.25">
      <c r="A189" s="237" t="s">
        <v>180</v>
      </c>
      <c r="B189" s="160">
        <f>+Bretagne!G189</f>
        <v>0</v>
      </c>
      <c r="C189" s="113">
        <f>+Centre!O189</f>
        <v>0</v>
      </c>
      <c r="D189" s="113">
        <f>+Nord!R189</f>
        <v>0</v>
      </c>
      <c r="E189" s="162">
        <f>Sud!L189</f>
        <v>0</v>
      </c>
      <c r="F189" s="160">
        <f>+Bretagne!D189+Centre!L189+Nord!O189+Sud!I189</f>
        <v>76080.75</v>
      </c>
      <c r="G189" s="135">
        <f>+Bretagne!E189+Centre!M189+Nord!P189+Sud!J189</f>
        <v>36745.066666666673</v>
      </c>
      <c r="H189" s="113">
        <f>+Bretagne!F189+Centre!N189+Nord!Q189+Sud!K189</f>
        <v>0</v>
      </c>
      <c r="I189" s="161">
        <f>+Bretagne!G189+Centre!O189+Nord!R189+Sud!L189</f>
        <v>0</v>
      </c>
      <c r="J189" s="149">
        <f t="shared" si="18"/>
        <v>-0.51702544117051064</v>
      </c>
      <c r="K189" s="271">
        <f t="shared" si="19"/>
        <v>-1</v>
      </c>
      <c r="L189" s="117">
        <f>+Bretagne!J189+Centre!R189+Nord!U189+Sud!O189</f>
        <v>0</v>
      </c>
      <c r="M189" s="2">
        <v>0</v>
      </c>
    </row>
    <row r="190" spans="1:13" s="2" customFormat="1" ht="11.25">
      <c r="A190" s="237" t="s">
        <v>181</v>
      </c>
      <c r="B190" s="160">
        <f>+Bretagne!G190</f>
        <v>0</v>
      </c>
      <c r="C190" s="113">
        <f>+Centre!O190</f>
        <v>0</v>
      </c>
      <c r="D190" s="113">
        <f>+Nord!R190</f>
        <v>0</v>
      </c>
      <c r="E190" s="162">
        <f>Sud!L190</f>
        <v>0</v>
      </c>
      <c r="F190" s="160">
        <f>+Bretagne!D190+Centre!L190+Nord!O190+Sud!I190</f>
        <v>194.92</v>
      </c>
      <c r="G190" s="135">
        <f>+Bretagne!E190+Centre!M190+Nord!P190+Sud!J190</f>
        <v>0</v>
      </c>
      <c r="H190" s="113">
        <f>+Bretagne!F190+Centre!N190+Nord!Q190+Sud!K190</f>
        <v>0</v>
      </c>
      <c r="I190" s="161">
        <f>+Bretagne!G190+Centre!O190+Nord!R190+Sud!L190</f>
        <v>0</v>
      </c>
      <c r="J190" s="149">
        <f t="shared" si="18"/>
        <v>-1</v>
      </c>
      <c r="K190" s="271">
        <f t="shared" si="19"/>
        <v>0</v>
      </c>
      <c r="L190" s="117">
        <f>+Bretagne!J190+Centre!R190+Nord!U190+Sud!O190</f>
        <v>0</v>
      </c>
      <c r="M190" s="2">
        <v>0</v>
      </c>
    </row>
    <row r="191" spans="1:13" s="2" customFormat="1" ht="11.25">
      <c r="A191" s="237" t="s">
        <v>182</v>
      </c>
      <c r="B191" s="160">
        <f>+Bretagne!G191</f>
        <v>0</v>
      </c>
      <c r="C191" s="113">
        <f>+Centre!O191</f>
        <v>0</v>
      </c>
      <c r="D191" s="113">
        <f>+Nord!R191</f>
        <v>0</v>
      </c>
      <c r="E191" s="162">
        <f>Sud!L191</f>
        <v>0</v>
      </c>
      <c r="F191" s="160">
        <f>+Bretagne!D191+Centre!L191+Nord!O191+Sud!I191</f>
        <v>0</v>
      </c>
      <c r="G191" s="135">
        <f>+Bretagne!E191+Centre!M191+Nord!P191+Sud!J191</f>
        <v>0</v>
      </c>
      <c r="H191" s="113">
        <f>+Bretagne!F191+Centre!N191+Nord!Q191+Sud!K191</f>
        <v>0</v>
      </c>
      <c r="I191" s="161">
        <f>+Bretagne!G191+Centre!O191+Nord!R191+Sud!L191</f>
        <v>0</v>
      </c>
      <c r="J191" s="149">
        <f t="shared" si="18"/>
        <v>0</v>
      </c>
      <c r="K191" s="271">
        <f t="shared" si="19"/>
        <v>0</v>
      </c>
      <c r="L191" s="117">
        <f>+Bretagne!J191+Centre!R191+Nord!U191+Sud!O191</f>
        <v>0</v>
      </c>
      <c r="M191" s="2">
        <v>0</v>
      </c>
    </row>
    <row r="192" spans="1:13" s="2" customFormat="1" ht="11.25">
      <c r="A192" s="237" t="s">
        <v>183</v>
      </c>
      <c r="B192" s="160">
        <f>+Bretagne!G192</f>
        <v>0</v>
      </c>
      <c r="C192" s="113">
        <f>+Centre!O192</f>
        <v>0</v>
      </c>
      <c r="D192" s="113">
        <f>+Nord!R192</f>
        <v>0</v>
      </c>
      <c r="E192" s="162">
        <f>Sud!L192</f>
        <v>0</v>
      </c>
      <c r="F192" s="160">
        <f>+Bretagne!D192+Centre!L192+Nord!O192+Sud!I192</f>
        <v>109.8</v>
      </c>
      <c r="G192" s="135">
        <f>+Bretagne!E192+Centre!M192+Nord!P192+Sud!J192</f>
        <v>0</v>
      </c>
      <c r="H192" s="113">
        <f>+Bretagne!F192+Centre!N192+Nord!Q192+Sud!K192</f>
        <v>0</v>
      </c>
      <c r="I192" s="161">
        <f>+Bretagne!G192+Centre!O192+Nord!R192+Sud!L192</f>
        <v>0</v>
      </c>
      <c r="J192" s="149">
        <f t="shared" si="18"/>
        <v>-1</v>
      </c>
      <c r="K192" s="271">
        <f t="shared" si="19"/>
        <v>0</v>
      </c>
      <c r="L192" s="117">
        <f>+Bretagne!J192+Centre!R192+Nord!U192+Sud!O192</f>
        <v>0</v>
      </c>
      <c r="M192" s="2">
        <v>0</v>
      </c>
    </row>
    <row r="193" spans="1:13" s="2" customFormat="1" ht="11.25">
      <c r="A193" s="237" t="s">
        <v>184</v>
      </c>
      <c r="B193" s="160">
        <f>+Bretagne!G193</f>
        <v>0</v>
      </c>
      <c r="C193" s="113">
        <f>+Centre!O193</f>
        <v>0</v>
      </c>
      <c r="D193" s="113">
        <f>+Nord!R193</f>
        <v>0</v>
      </c>
      <c r="E193" s="162">
        <f>Sud!L193</f>
        <v>0</v>
      </c>
      <c r="F193" s="160">
        <f>+Bretagne!D193+Centre!L193+Nord!O193+Sud!I193</f>
        <v>96252.31</v>
      </c>
      <c r="G193" s="135">
        <f>+Bretagne!E193+Centre!M193+Nord!P193+Sud!J193</f>
        <v>5526.6133333333337</v>
      </c>
      <c r="H193" s="113">
        <f>+Bretagne!F193+Centre!N193+Nord!Q193+Sud!K193</f>
        <v>0</v>
      </c>
      <c r="I193" s="161">
        <f>+Bretagne!G193+Centre!O193+Nord!R193+Sud!L193</f>
        <v>0</v>
      </c>
      <c r="J193" s="149">
        <f t="shared" si="18"/>
        <v>-0.94258201872419134</v>
      </c>
      <c r="K193" s="271">
        <f t="shared" si="19"/>
        <v>-1</v>
      </c>
      <c r="L193" s="117">
        <f>+Bretagne!J193+Centre!R193+Nord!U193+Sud!O193</f>
        <v>0</v>
      </c>
      <c r="M193" s="2">
        <v>0</v>
      </c>
    </row>
    <row r="194" spans="1:13" s="2" customFormat="1" ht="11.25">
      <c r="A194" s="237" t="s">
        <v>342</v>
      </c>
      <c r="B194" s="160">
        <f>+Bretagne!G194</f>
        <v>0</v>
      </c>
      <c r="C194" s="113">
        <f>+Centre!O194</f>
        <v>0</v>
      </c>
      <c r="D194" s="113">
        <f>+Nord!R194</f>
        <v>0</v>
      </c>
      <c r="E194" s="162">
        <f>Sud!L194</f>
        <v>0</v>
      </c>
      <c r="F194" s="160">
        <f>+Bretagne!D194+Centre!L194+Nord!O194+Sud!I194</f>
        <v>27778.719999999998</v>
      </c>
      <c r="G194" s="135">
        <f>+Bretagne!E194+Centre!M194+Nord!P194+Sud!J194</f>
        <v>6.6666666666666666E-2</v>
      </c>
      <c r="H194" s="113">
        <f>+Bretagne!F194+Centre!N194+Nord!Q194+Sud!K194</f>
        <v>0</v>
      </c>
      <c r="I194" s="161">
        <f>+Bretagne!G194+Centre!O194+Nord!R194+Sud!L194</f>
        <v>0</v>
      </c>
      <c r="J194" s="149">
        <f t="shared" si="18"/>
        <v>-0.99999760008140526</v>
      </c>
      <c r="K194" s="271">
        <f t="shared" si="19"/>
        <v>-1</v>
      </c>
      <c r="L194" s="117">
        <f>+Bretagne!J194+Centre!R194+Nord!U194+Sud!O194</f>
        <v>0</v>
      </c>
      <c r="M194" s="2">
        <v>0</v>
      </c>
    </row>
    <row r="195" spans="1:13" s="2" customFormat="1" ht="11.25">
      <c r="A195" s="237" t="s">
        <v>186</v>
      </c>
      <c r="B195" s="160">
        <f>+Bretagne!G195</f>
        <v>0</v>
      </c>
      <c r="C195" s="113">
        <f>+Centre!O195</f>
        <v>0</v>
      </c>
      <c r="D195" s="113">
        <f>+Nord!R195</f>
        <v>0</v>
      </c>
      <c r="E195" s="162">
        <f>Sud!L195</f>
        <v>0</v>
      </c>
      <c r="F195" s="160">
        <f>+Bretagne!D195+Centre!L195+Nord!O195+Sud!I195</f>
        <v>0</v>
      </c>
      <c r="G195" s="135">
        <f>+Bretagne!E195+Centre!M195+Nord!P195+Sud!J195</f>
        <v>0</v>
      </c>
      <c r="H195" s="113">
        <f>+Bretagne!F195+Centre!N195+Nord!Q195+Sud!K195</f>
        <v>0</v>
      </c>
      <c r="I195" s="161">
        <f>+Bretagne!G195+Centre!O195+Nord!R195+Sud!L195</f>
        <v>0</v>
      </c>
      <c r="J195" s="149">
        <f t="shared" si="18"/>
        <v>0</v>
      </c>
      <c r="K195" s="271">
        <f t="shared" si="19"/>
        <v>0</v>
      </c>
      <c r="L195" s="117">
        <f>+Bretagne!J195+Centre!R195+Nord!U195+Sud!O195</f>
        <v>0</v>
      </c>
      <c r="M195" s="2">
        <v>0</v>
      </c>
    </row>
    <row r="196" spans="1:13" s="2" customFormat="1" ht="11.25">
      <c r="A196" s="237" t="s">
        <v>187</v>
      </c>
      <c r="B196" s="160">
        <f>+Bretagne!G196</f>
        <v>0</v>
      </c>
      <c r="C196" s="113">
        <f>+Centre!O196</f>
        <v>0</v>
      </c>
      <c r="D196" s="113">
        <f>+Nord!R196</f>
        <v>0</v>
      </c>
      <c r="E196" s="162">
        <f>Sud!L196</f>
        <v>0</v>
      </c>
      <c r="F196" s="160">
        <f>+Bretagne!D196+Centre!L196+Nord!O196+Sud!I196</f>
        <v>0</v>
      </c>
      <c r="G196" s="135">
        <f>+Bretagne!E196+Centre!M196+Nord!P196+Sud!J196</f>
        <v>933.33333333333326</v>
      </c>
      <c r="H196" s="113">
        <f>+Bretagne!F196+Centre!N196+Nord!Q196+Sud!K196</f>
        <v>0</v>
      </c>
      <c r="I196" s="161">
        <f>+Bretagne!G196+Centre!O196+Nord!R196+Sud!L196</f>
        <v>0</v>
      </c>
      <c r="J196" s="149">
        <f t="shared" si="18"/>
        <v>0</v>
      </c>
      <c r="K196" s="271">
        <f t="shared" si="19"/>
        <v>-1</v>
      </c>
      <c r="L196" s="117">
        <f>+Bretagne!J196+Centre!R196+Nord!U196+Sud!O196</f>
        <v>0</v>
      </c>
      <c r="M196" s="2">
        <v>0</v>
      </c>
    </row>
    <row r="197" spans="1:13" s="2" customFormat="1" ht="11.25">
      <c r="A197" s="237" t="s">
        <v>328</v>
      </c>
      <c r="B197" s="160">
        <f>+Bretagne!G197</f>
        <v>0</v>
      </c>
      <c r="C197" s="113">
        <f>+Centre!O197</f>
        <v>0</v>
      </c>
      <c r="D197" s="113">
        <f>+Nord!R197</f>
        <v>0</v>
      </c>
      <c r="E197" s="162">
        <f>Sud!L197</f>
        <v>0</v>
      </c>
      <c r="F197" s="160">
        <f>+Bretagne!D197+Centre!L197+Nord!O197+Sud!I197</f>
        <v>33777.47</v>
      </c>
      <c r="G197" s="135">
        <f>+Bretagne!E197+Centre!M197+Nord!P197+Sud!J197</f>
        <v>17416.533333333333</v>
      </c>
      <c r="H197" s="113">
        <f>+Bretagne!F197+Centre!N197+Nord!Q197+Sud!K197</f>
        <v>0</v>
      </c>
      <c r="I197" s="161">
        <f>+Bretagne!G197+Centre!O197+Nord!R197+Sud!L197</f>
        <v>0</v>
      </c>
      <c r="J197" s="149">
        <f t="shared" si="18"/>
        <v>-0.4843742490679932</v>
      </c>
      <c r="K197" s="271">
        <f t="shared" si="19"/>
        <v>-1</v>
      </c>
      <c r="L197" s="117">
        <f>+Bretagne!J197+Centre!R197+Nord!U197+Sud!O197</f>
        <v>0</v>
      </c>
      <c r="M197" s="2">
        <v>0</v>
      </c>
    </row>
    <row r="198" spans="1:13" s="2" customFormat="1" ht="11.25">
      <c r="A198" s="237" t="s">
        <v>344</v>
      </c>
      <c r="B198" s="160">
        <f>+Bretagne!G198</f>
        <v>0</v>
      </c>
      <c r="C198" s="113">
        <f>+Centre!O198</f>
        <v>0</v>
      </c>
      <c r="D198" s="113">
        <f>+Nord!R198</f>
        <v>0</v>
      </c>
      <c r="E198" s="162">
        <f>Sud!L198</f>
        <v>0</v>
      </c>
      <c r="F198" s="160">
        <f>+Bretagne!D198+Centre!L198+Nord!O198+Sud!I198</f>
        <v>4582</v>
      </c>
      <c r="G198" s="135">
        <f>+Bretagne!E198+Centre!M198+Nord!P198+Sud!J198</f>
        <v>929.33333333333337</v>
      </c>
      <c r="H198" s="113">
        <f>+Bretagne!F198+Centre!N198+Nord!Q198+Sud!K198</f>
        <v>0</v>
      </c>
      <c r="I198" s="161">
        <f>+Bretagne!G198+Centre!O198+Nord!R198+Sud!L198</f>
        <v>0</v>
      </c>
      <c r="J198" s="149">
        <f t="shared" si="18"/>
        <v>-0.79717736068674516</v>
      </c>
      <c r="K198" s="271">
        <f t="shared" si="19"/>
        <v>-1</v>
      </c>
      <c r="L198" s="117">
        <f>+Bretagne!J198+Centre!R198+Nord!U198+Sud!O198</f>
        <v>0</v>
      </c>
      <c r="M198" s="2">
        <v>0</v>
      </c>
    </row>
    <row r="199" spans="1:13" s="2" customFormat="1" ht="11.25">
      <c r="A199" s="237" t="s">
        <v>77</v>
      </c>
      <c r="B199" s="160">
        <f>+Bretagne!G199</f>
        <v>0</v>
      </c>
      <c r="C199" s="113">
        <f>+Centre!O199</f>
        <v>0</v>
      </c>
      <c r="D199" s="113">
        <f>+Nord!R199</f>
        <v>0</v>
      </c>
      <c r="E199" s="162">
        <f>Sud!L199</f>
        <v>0</v>
      </c>
      <c r="F199" s="160">
        <f>+Bretagne!D199+Centre!L199+Nord!O199+Sud!I199</f>
        <v>40802.959999999999</v>
      </c>
      <c r="G199" s="135">
        <f>+Bretagne!E199+Centre!M199+Nord!P199+Sud!J199</f>
        <v>0</v>
      </c>
      <c r="H199" s="113">
        <f>+Bretagne!F199+Centre!N199+Nord!Q199+Sud!K199</f>
        <v>0</v>
      </c>
      <c r="I199" s="161">
        <f>+Bretagne!G199+Centre!O199+Nord!R199+Sud!L199</f>
        <v>0</v>
      </c>
      <c r="J199" s="149">
        <f t="shared" si="18"/>
        <v>-1</v>
      </c>
      <c r="K199" s="271">
        <f t="shared" si="19"/>
        <v>0</v>
      </c>
      <c r="L199" s="117">
        <f>+Bretagne!J199+Centre!R199+Nord!U199+Sud!O199</f>
        <v>0</v>
      </c>
      <c r="M199" s="2">
        <v>0</v>
      </c>
    </row>
    <row r="200" spans="1:13" s="2" customFormat="1" ht="11.25">
      <c r="A200" s="237"/>
      <c r="B200" s="160"/>
      <c r="C200" s="113"/>
      <c r="D200" s="113"/>
      <c r="E200" s="162"/>
      <c r="F200" s="160"/>
      <c r="G200" s="134"/>
      <c r="H200" s="25"/>
      <c r="I200" s="115"/>
      <c r="J200" s="149"/>
      <c r="K200" s="254"/>
      <c r="L200" s="115">
        <f>+Bretagne!J200+Centre!R200+Nord!U200+Sud!O200</f>
        <v>0</v>
      </c>
      <c r="M200" s="2">
        <v>0</v>
      </c>
    </row>
    <row r="201" spans="1:13" s="2" customFormat="1" ht="11.25">
      <c r="A201" s="13" t="s">
        <v>188</v>
      </c>
      <c r="B201" s="163">
        <f>SUM(B187:B200)</f>
        <v>0</v>
      </c>
      <c r="C201" s="204">
        <f>SUM(C187:C200)</f>
        <v>0</v>
      </c>
      <c r="D201" s="204">
        <f>SUM(D187:D200)</f>
        <v>0</v>
      </c>
      <c r="E201" s="168">
        <f>SUM(E187:E200)</f>
        <v>0</v>
      </c>
      <c r="F201" s="163">
        <f>SUM(F186:F200)</f>
        <v>291578.93</v>
      </c>
      <c r="G201" s="136">
        <f>SUM(G186:G200)</f>
        <v>72709.813333333339</v>
      </c>
      <c r="H201" s="204">
        <f>SUM(H186:H200)</f>
        <v>0</v>
      </c>
      <c r="I201" s="118">
        <f>SUM(I186:I200)</f>
        <v>0</v>
      </c>
      <c r="J201" s="1203">
        <f>+IF((F201)=0,,(G201-F201)/F201)</f>
        <v>-0.75063419934583975</v>
      </c>
      <c r="K201" s="188">
        <f>+IF((G201)=0,,(I201-G201)/G201)</f>
        <v>-1</v>
      </c>
      <c r="L201" s="312">
        <f>+Bretagne!J201+Centre!R201+Nord!U201+Sud!O201</f>
        <v>0</v>
      </c>
      <c r="M201" s="2">
        <v>1</v>
      </c>
    </row>
    <row r="202" spans="1:13" s="2" customFormat="1" ht="11.25">
      <c r="A202" s="237"/>
      <c r="B202" s="160"/>
      <c r="C202" s="113"/>
      <c r="D202" s="113"/>
      <c r="E202" s="162"/>
      <c r="F202" s="160"/>
      <c r="G202" s="134"/>
      <c r="H202" s="113"/>
      <c r="I202" s="154"/>
      <c r="J202" s="149"/>
      <c r="K202" s="254"/>
      <c r="L202" s="115">
        <f>+Bretagne!J202+Centre!R202+Nord!U202+Sud!O202</f>
        <v>0</v>
      </c>
      <c r="M202" s="2">
        <v>0</v>
      </c>
    </row>
    <row r="203" spans="1:13" s="2" customFormat="1" ht="11.25">
      <c r="A203" s="14" t="s">
        <v>189</v>
      </c>
      <c r="B203" s="175">
        <f>+B185+B168+B154+B129+B116+B103-B201</f>
        <v>507078.69538956764</v>
      </c>
      <c r="C203" s="206">
        <f>+C185+C168+C154+C129+C116+C103-C201</f>
        <v>2665077.0326380958</v>
      </c>
      <c r="D203" s="206">
        <f>+D185+D168+D154+D129+D116+D103-D201</f>
        <v>3022489.1451158398</v>
      </c>
      <c r="E203" s="176">
        <f>+E185+E168+E154+E129+E116+E103-E201</f>
        <v>2551115.9450926189</v>
      </c>
      <c r="F203" s="175">
        <f>+F103+F116+F129+F154+F168+F185-F201</f>
        <v>8485931.2948000021</v>
      </c>
      <c r="G203" s="145">
        <f>+G103+G116+G129+G154+G168+G185-G201</f>
        <v>8525172.2666026652</v>
      </c>
      <c r="H203" s="206">
        <f>+H103+H116+H129+H154+H168+H185-H201</f>
        <v>8745760.8182361238</v>
      </c>
      <c r="I203" s="176">
        <f>+I103+I116+I129+I154+I168+I185-I201</f>
        <v>8745760.8182361238</v>
      </c>
      <c r="J203" s="208">
        <f>+IF((F203)=0,,(G203-F203)/F203)</f>
        <v>4.6242386886527218E-3</v>
      </c>
      <c r="K203" s="282">
        <f>+IF((G203)=0,,(I203-G203)/G203)</f>
        <v>2.5874967066368094E-2</v>
      </c>
      <c r="L203" s="641">
        <f>+Bretagne!J203+Centre!R203+Nord!U203+Sud!O203</f>
        <v>9002945.8535822257</v>
      </c>
      <c r="M203" s="2">
        <v>1</v>
      </c>
    </row>
    <row r="204" spans="1:13" s="2" customFormat="1" ht="11.25">
      <c r="A204" s="237"/>
      <c r="B204" s="160"/>
      <c r="C204" s="113"/>
      <c r="D204" s="113"/>
      <c r="E204" s="162"/>
      <c r="F204" s="160"/>
      <c r="G204" s="134"/>
      <c r="H204" s="113"/>
      <c r="I204" s="154"/>
      <c r="J204" s="149"/>
      <c r="K204" s="254"/>
      <c r="L204" s="115">
        <f>+Bretagne!J204+Centre!R204+Nord!U204+Sud!O204</f>
        <v>0</v>
      </c>
      <c r="M204" s="2">
        <v>0</v>
      </c>
    </row>
    <row r="205" spans="1:13" s="2" customFormat="1" ht="11.25">
      <c r="A205" s="12" t="s">
        <v>228</v>
      </c>
      <c r="B205" s="177">
        <f>+B62-B203</f>
        <v>106512.65981043235</v>
      </c>
      <c r="C205" s="228">
        <f>+C62-C203</f>
        <v>663122.79736190382</v>
      </c>
      <c r="D205" s="228">
        <f>+D62-D203</f>
        <v>840802.93572698906</v>
      </c>
      <c r="E205" s="178">
        <f>+E62-E203</f>
        <v>549199.78884651698</v>
      </c>
      <c r="F205" s="177">
        <f>+F53-F203</f>
        <v>1705782.0702</v>
      </c>
      <c r="G205" s="228">
        <f>+G62-G203</f>
        <v>1417678.4532524254</v>
      </c>
      <c r="H205" s="228">
        <f>+H62-H203</f>
        <v>2159638.1817458402</v>
      </c>
      <c r="I205" s="178">
        <f>+I62-I203</f>
        <v>2159638.1817458402</v>
      </c>
      <c r="J205" s="225">
        <f>+IF((F205)=0,,(G205-F205)/F205)</f>
        <v>-0.168898256102431</v>
      </c>
      <c r="K205" s="283">
        <f>+IF((G205)=0,,(I205-G205)/G205)</f>
        <v>0.52336249224301701</v>
      </c>
      <c r="L205" s="645">
        <f>+Bretagne!J205+Centre!R205+Nord!U205+Sud!O205</f>
        <v>2051831.4074977734</v>
      </c>
      <c r="M205" s="2">
        <v>1</v>
      </c>
    </row>
    <row r="206" spans="1:13" s="2" customFormat="1" ht="11.25">
      <c r="A206" s="237"/>
      <c r="B206" s="160"/>
      <c r="C206" s="113"/>
      <c r="D206" s="113"/>
      <c r="E206" s="162"/>
      <c r="F206" s="160"/>
      <c r="G206" s="134"/>
      <c r="H206" s="113"/>
      <c r="I206" s="154"/>
      <c r="J206" s="149"/>
      <c r="K206" s="254"/>
      <c r="L206" s="115">
        <f>+Bretagne!J206+Centre!R206+Nord!U206+Sud!O206</f>
        <v>0</v>
      </c>
      <c r="M206" s="2">
        <v>0</v>
      </c>
    </row>
    <row r="207" spans="1:13" s="2" customFormat="1" ht="11.25">
      <c r="A207" s="63" t="s">
        <v>251</v>
      </c>
      <c r="B207" s="232">
        <f>+Bretagne!G207</f>
        <v>5343.1921113835369</v>
      </c>
      <c r="C207" s="233">
        <f>+Centre!O207</f>
        <v>33793.820214374056</v>
      </c>
      <c r="D207" s="233">
        <f>+Nord!R207</f>
        <v>39336.029376399063</v>
      </c>
      <c r="E207" s="1187">
        <f>Sud!L207</f>
        <v>32526.95829784335</v>
      </c>
      <c r="F207" s="179">
        <f>+Bretagne!D207+Centre!L207+Nord!O207+Sud!I207</f>
        <v>72135.729999999981</v>
      </c>
      <c r="G207" s="150">
        <f>+Bretagne!E207+Centre!M207+Nord!P207+Sud!J207</f>
        <v>82173.077173624595</v>
      </c>
      <c r="H207" s="229">
        <f>+Bretagne!F207+Centre!N207+Nord!Q207+Sud!K207</f>
        <v>111000</v>
      </c>
      <c r="I207" s="128">
        <f>+Bretagne!G207+Centre!O207+Nord!R207+Sud!L207</f>
        <v>111000</v>
      </c>
      <c r="J207" s="101">
        <f>+IF((F207)=0,,(G207-F207)/F207)</f>
        <v>0.139145291433588</v>
      </c>
      <c r="K207" s="194">
        <f>+IF((G207)=0,,(I207-G207)/G207)</f>
        <v>0.35080739115399823</v>
      </c>
      <c r="L207" s="315">
        <f>+Bretagne!J207+Centre!R207+Nord!U207+Sud!O207</f>
        <v>179090.65</v>
      </c>
      <c r="M207" s="2">
        <v>1</v>
      </c>
    </row>
    <row r="208" spans="1:13" s="2" customFormat="1" ht="11.25">
      <c r="A208" s="237"/>
      <c r="B208" s="160"/>
      <c r="C208" s="113"/>
      <c r="D208" s="113"/>
      <c r="E208" s="162"/>
      <c r="F208" s="160"/>
      <c r="G208" s="134"/>
      <c r="H208" s="25"/>
      <c r="I208" s="154"/>
      <c r="J208" s="149"/>
      <c r="K208" s="254"/>
      <c r="L208" s="115">
        <f>+Bretagne!J208+Centre!R208+Nord!U208+Sud!O208</f>
        <v>0</v>
      </c>
      <c r="M208" s="2">
        <v>0</v>
      </c>
    </row>
    <row r="209" spans="1:13" s="2" customFormat="1" ht="11.25">
      <c r="A209" s="12" t="s">
        <v>190</v>
      </c>
      <c r="B209" s="177">
        <f t="shared" ref="B209:I209" si="20">+B205-B207</f>
        <v>101169.46769904881</v>
      </c>
      <c r="C209" s="228">
        <f t="shared" si="20"/>
        <v>629328.97714752972</v>
      </c>
      <c r="D209" s="228">
        <f t="shared" si="20"/>
        <v>801466.90635059006</v>
      </c>
      <c r="E209" s="178">
        <f t="shared" si="20"/>
        <v>516672.83054867364</v>
      </c>
      <c r="F209" s="177">
        <f>+F205-F207</f>
        <v>1633646.3402</v>
      </c>
      <c r="G209" s="146">
        <f>+G205-G207</f>
        <v>1335505.3760788008</v>
      </c>
      <c r="H209" s="228">
        <f>+H205-H207</f>
        <v>2048638.1817458402</v>
      </c>
      <c r="I209" s="178">
        <f t="shared" si="20"/>
        <v>2048638.1817458402</v>
      </c>
      <c r="J209" s="225">
        <f>+IF((F209)=0,,(G209-F209)/F209)</f>
        <v>-0.18250031036992936</v>
      </c>
      <c r="K209" s="283">
        <f>+IF((G209)=0,,(I209-G209)/G209)</f>
        <v>0.53397973414444833</v>
      </c>
      <c r="L209" s="645">
        <f>+Bretagne!J209+Centre!R209+Nord!U209+Sud!O209</f>
        <v>1872740.7574977733</v>
      </c>
      <c r="M209" s="2">
        <v>1</v>
      </c>
    </row>
    <row r="210" spans="1:13" s="2" customFormat="1" ht="11.25">
      <c r="A210" s="237"/>
      <c r="B210" s="160"/>
      <c r="C210" s="113"/>
      <c r="D210" s="113"/>
      <c r="E210" s="162"/>
      <c r="F210" s="160"/>
      <c r="G210" s="134"/>
      <c r="H210" s="25"/>
      <c r="I210" s="154"/>
      <c r="J210" s="149"/>
      <c r="K210" s="254"/>
      <c r="L210" s="115"/>
      <c r="M210" s="2">
        <v>0</v>
      </c>
    </row>
    <row r="211" spans="1:13" s="25" customFormat="1" ht="11.25">
      <c r="A211" s="5" t="s">
        <v>191</v>
      </c>
      <c r="B211" s="160">
        <f>+Bretagne!G211</f>
        <v>19289.369358620956</v>
      </c>
      <c r="C211" s="113">
        <f>+Centre!O211</f>
        <v>96446.846793104778</v>
      </c>
      <c r="D211" s="113">
        <f>+Nord!R211</f>
        <v>115736.21615172573</v>
      </c>
      <c r="E211" s="162">
        <f>Sud!L211</f>
        <v>67512.792755173345</v>
      </c>
      <c r="F211" s="160">
        <f>+Bretagne!D211+Centre!L211+Nord!O211+Sud!I211</f>
        <v>242852.58216000002</v>
      </c>
      <c r="G211" s="135">
        <f>+Bretagne!E211+Centre!M211+Nord!P211+Sud!J211</f>
        <v>274554.77266666666</v>
      </c>
      <c r="H211" s="113">
        <f>+Bretagne!F211+Centre!N211+Nord!Q211+Sud!K211</f>
        <v>298985.22505862481</v>
      </c>
      <c r="I211" s="161">
        <f>+Bretagne!G211+Centre!O211+Nord!R211+Sud!L211</f>
        <v>298985.22505862481</v>
      </c>
      <c r="J211" s="92">
        <f>+IF((F211)=0,,(G211-F211)/F211)</f>
        <v>0.13054088296981786</v>
      </c>
      <c r="K211" s="271">
        <f>+IF((G211)=0,,(I211-G211)/G211)</f>
        <v>8.8982071426668835E-2</v>
      </c>
      <c r="L211" s="408">
        <f>+Bretagne!J211+Centre!R211+Nord!U211+Sud!O211</f>
        <v>270781.11664621526</v>
      </c>
      <c r="M211" s="25">
        <v>1</v>
      </c>
    </row>
    <row r="212" spans="1:13" s="25" customFormat="1" ht="11.25">
      <c r="A212" s="5" t="s">
        <v>192</v>
      </c>
      <c r="B212" s="160">
        <f>+Bretagne!G212</f>
        <v>57568.846701026152</v>
      </c>
      <c r="C212" s="113">
        <f>+Centre!O212</f>
        <v>364102.80873460649</v>
      </c>
      <c r="D212" s="113">
        <f>+Nord!R212</f>
        <v>423815.91336992261</v>
      </c>
      <c r="E212" s="162">
        <f>Sud!L212</f>
        <v>350453.33142894408</v>
      </c>
      <c r="F212" s="160">
        <f>+Bretagne!D212+Centre!L212+Nord!O212+Sud!I212</f>
        <v>971410.32863999973</v>
      </c>
      <c r="G212" s="135">
        <f>+Bretagne!E212+Centre!M212+Nord!P212+Sud!J212</f>
        <v>1098242.7618435374</v>
      </c>
      <c r="H212" s="113">
        <f>+Bretagne!F212+Centre!N212+Nord!Q212+Sud!K212</f>
        <v>1195940.9002344992</v>
      </c>
      <c r="I212" s="161">
        <f>+Bretagne!G212+Centre!O212+Nord!R212+Sud!L212</f>
        <v>1195940.9002344992</v>
      </c>
      <c r="J212" s="92">
        <f>+IF((F212)=0,,(G212-F212)/F212)</f>
        <v>0.13056525081538559</v>
      </c>
      <c r="K212" s="271">
        <f>+IF((G212)=0,,(I212-G212)/G212)</f>
        <v>8.8958599851788042E-2</v>
      </c>
      <c r="L212" s="408">
        <f>+Bretagne!J212+Centre!R212+Nord!U212+Sud!O212</f>
        <v>1083124.4665848608</v>
      </c>
      <c r="M212" s="25">
        <v>1</v>
      </c>
    </row>
    <row r="213" spans="1:13" s="25" customFormat="1" ht="11.25">
      <c r="A213" s="237" t="s">
        <v>193</v>
      </c>
      <c r="B213" s="160">
        <f>+Bretagne!G213</f>
        <v>-15600</v>
      </c>
      <c r="C213" s="113">
        <f>+Centre!O213</f>
        <v>-75400</v>
      </c>
      <c r="D213" s="113">
        <f>+Nord!R213</f>
        <v>-110861.90565567398</v>
      </c>
      <c r="E213" s="162">
        <f>Sud!L213</f>
        <v>-77550.734879800002</v>
      </c>
      <c r="F213" s="160">
        <f>+Bretagne!D213+Centre!L213+Nord!O213+Sud!I213</f>
        <v>-265951.66000000003</v>
      </c>
      <c r="G213" s="135">
        <f>+Bretagne!E213+Centre!M213+Nord!P213+Sud!J213</f>
        <v>-292542.86666666664</v>
      </c>
      <c r="H213" s="113">
        <f>+Bretagne!F213+Centre!N213+Nord!Q213+Sud!K213</f>
        <v>-279412.640535474</v>
      </c>
      <c r="I213" s="161">
        <f>+Bretagne!G213+Centre!O213+Nord!R213+Sud!L213</f>
        <v>-279412.640535474</v>
      </c>
      <c r="J213" s="149">
        <f>+IF((F213)=0,,(G213-F213)/F213)</f>
        <v>9.9985112582740052E-2</v>
      </c>
      <c r="K213" s="271">
        <f>+IF((G213)=0,,(I213-G213)/G213)</f>
        <v>-4.4883084249508196E-2</v>
      </c>
      <c r="L213" s="117">
        <f>+Bretagne!J213+Centre!R213+Nord!U213+Sud!O213</f>
        <v>-266777.07999999996</v>
      </c>
      <c r="M213" s="25">
        <v>0</v>
      </c>
    </row>
    <row r="214" spans="1:13" s="2" customFormat="1" ht="11.25">
      <c r="A214" s="237"/>
      <c r="B214" s="160"/>
      <c r="C214" s="113"/>
      <c r="D214" s="113"/>
      <c r="E214" s="162"/>
      <c r="F214" s="160"/>
      <c r="G214" s="134"/>
      <c r="H214" s="25"/>
      <c r="I214" s="154"/>
      <c r="J214" s="149"/>
      <c r="K214" s="254"/>
      <c r="L214" s="115"/>
      <c r="M214" s="2">
        <v>0</v>
      </c>
    </row>
    <row r="215" spans="1:13" s="2" customFormat="1" ht="11.25">
      <c r="A215" s="20" t="s">
        <v>194</v>
      </c>
      <c r="B215" s="180">
        <f>SUM(B211:B214)</f>
        <v>61258.216059647108</v>
      </c>
      <c r="C215" s="230">
        <f>SUM(C211:C214)</f>
        <v>385149.65552771126</v>
      </c>
      <c r="D215" s="230">
        <f>SUM(D211:D214)</f>
        <v>428690.2238659744</v>
      </c>
      <c r="E215" s="181">
        <f>SUM(E211:E214)</f>
        <v>340415.38930431742</v>
      </c>
      <c r="F215" s="180">
        <f>SUM(F210:F213)</f>
        <v>948311.25079999969</v>
      </c>
      <c r="G215" s="148">
        <f>SUM(G210:G213)</f>
        <v>1080254.6678435374</v>
      </c>
      <c r="H215" s="230">
        <f>SUM(H210:H213)</f>
        <v>1215513.4847576499</v>
      </c>
      <c r="I215" s="181">
        <f>SUM(I210:I213)</f>
        <v>1215513.4847576499</v>
      </c>
      <c r="J215" s="101">
        <f>+IF((F215)=0,,(G215-F215)/F215)</f>
        <v>0.1391351383126897</v>
      </c>
      <c r="K215" s="194">
        <f>+IF((G215)=0,,(I215-G215)/G215)</f>
        <v>0.12521012029887682</v>
      </c>
      <c r="L215" s="652">
        <f>+Bretagne!J215+Centre!R215+Nord!U215+Sud!O215</f>
        <v>1087128.5032310761</v>
      </c>
      <c r="M215" s="2">
        <v>1</v>
      </c>
    </row>
    <row r="216" spans="1:13" s="2" customFormat="1" ht="11.25">
      <c r="A216" s="237"/>
      <c r="B216" s="160"/>
      <c r="C216" s="113"/>
      <c r="D216" s="113"/>
      <c r="E216" s="162"/>
      <c r="F216" s="160"/>
      <c r="G216" s="134"/>
      <c r="H216" s="25"/>
      <c r="I216" s="154"/>
      <c r="J216" s="149"/>
      <c r="K216" s="254"/>
      <c r="L216" s="115"/>
      <c r="M216" s="2">
        <v>0</v>
      </c>
    </row>
    <row r="217" spans="1:13" s="2" customFormat="1" ht="11.25">
      <c r="A217" s="12" t="s">
        <v>332</v>
      </c>
      <c r="B217" s="177">
        <f t="shared" ref="B217:I217" si="21">+B209-B215</f>
        <v>39911.2516394017</v>
      </c>
      <c r="C217" s="228">
        <f t="shared" si="21"/>
        <v>244179.32161981845</v>
      </c>
      <c r="D217" s="228">
        <f t="shared" si="21"/>
        <v>372776.68248461565</v>
      </c>
      <c r="E217" s="178">
        <f t="shared" si="21"/>
        <v>176257.44124435622</v>
      </c>
      <c r="F217" s="177">
        <f>+F209-F215</f>
        <v>685335.08940000029</v>
      </c>
      <c r="G217" s="146">
        <f>+G209-G215</f>
        <v>255250.70823526336</v>
      </c>
      <c r="H217" s="228">
        <f>+H209-H215</f>
        <v>833124.69698819029</v>
      </c>
      <c r="I217" s="178">
        <f t="shared" si="21"/>
        <v>833124.69698819029</v>
      </c>
      <c r="J217" s="225">
        <f>+IF((F217)=0,,(G217-F217)/F217)</f>
        <v>-0.62755342286832094</v>
      </c>
      <c r="K217" s="283">
        <f>+IF((G217)=0,,(I217-G217)/G217)</f>
        <v>2.2639466614929162</v>
      </c>
      <c r="L217" s="645">
        <f>+Bretagne!J217+Centre!R217+Nord!U217+Sud!O217</f>
        <v>785612.25426669721</v>
      </c>
      <c r="M217" s="2">
        <v>1</v>
      </c>
    </row>
    <row r="218" spans="1:13" s="25" customFormat="1" ht="11.25">
      <c r="A218" s="385" t="s">
        <v>45</v>
      </c>
      <c r="B218" s="1180">
        <f>+Bretagne!G218</f>
        <v>39911.251639401715</v>
      </c>
      <c r="C218" s="1180">
        <f>+Centre!O218</f>
        <v>244179.3216198186</v>
      </c>
      <c r="D218" s="1180">
        <f>+Nord!R218</f>
        <v>372776.68248461629</v>
      </c>
      <c r="E218" s="1180">
        <f>Sud!L218</f>
        <v>176257.44124435633</v>
      </c>
      <c r="F218" s="249">
        <f>+Bretagne!D218+Centre!L218+Nord!O218+Sud!I218</f>
        <v>685335.0894000018</v>
      </c>
      <c r="G218" s="347">
        <f>+Bretagne!E218+Centre!M218+Nord!P218+Sud!J218</f>
        <v>255250.7082352658</v>
      </c>
      <c r="H218" s="135">
        <f>+Bretagne!F218+Centre!N218+Nord!Q218+Sud!K218</f>
        <v>864535.85263546021</v>
      </c>
      <c r="I218" s="249">
        <f>+Bretagne!G218+Centre!O218+Nord!R218+Sud!L218</f>
        <v>833124.69698819297</v>
      </c>
      <c r="J218" s="1181"/>
      <c r="K218" s="1181"/>
      <c r="L218" s="249"/>
      <c r="M218" s="25">
        <v>1</v>
      </c>
    </row>
    <row r="219" spans="1:13" s="442" customFormat="1" ht="11.25">
      <c r="B219" s="1182"/>
      <c r="C219" s="1182"/>
      <c r="D219" s="1182"/>
      <c r="E219" s="1182"/>
      <c r="F219" s="340"/>
      <c r="G219" s="340"/>
      <c r="H219" s="340"/>
      <c r="I219" s="1182"/>
      <c r="J219" s="143"/>
      <c r="K219" s="143"/>
      <c r="L219" s="1182"/>
      <c r="M219" s="442">
        <v>1</v>
      </c>
    </row>
    <row r="220" spans="1:13" s="25" customFormat="1" ht="11.25">
      <c r="B220" s="113"/>
      <c r="C220" s="113"/>
      <c r="D220" s="113"/>
      <c r="E220" s="113"/>
      <c r="F220" s="113"/>
      <c r="G220" s="113"/>
      <c r="H220" s="113"/>
      <c r="I220" s="113"/>
      <c r="J220" s="143"/>
      <c r="K220" s="143"/>
      <c r="L220" s="113"/>
      <c r="M220" s="25">
        <v>0</v>
      </c>
    </row>
    <row r="221" spans="1:13" s="2" customFormat="1" ht="11.25">
      <c r="B221" s="113"/>
      <c r="C221" s="113"/>
      <c r="D221" s="113"/>
      <c r="E221" s="113"/>
      <c r="F221" s="113"/>
      <c r="G221" s="113"/>
      <c r="H221" s="113"/>
      <c r="I221" s="113"/>
      <c r="J221" s="143"/>
      <c r="K221" s="149"/>
      <c r="L221" s="17"/>
      <c r="M221" s="2">
        <v>0</v>
      </c>
    </row>
    <row r="222" spans="1:13" s="2" customFormat="1" ht="11.25">
      <c r="B222" s="113"/>
      <c r="C222" s="113"/>
      <c r="D222" s="113"/>
      <c r="E222" s="113"/>
      <c r="F222" s="113"/>
      <c r="G222" s="113"/>
      <c r="H222" s="113"/>
      <c r="I222" s="113"/>
      <c r="J222" s="143"/>
      <c r="K222" s="149"/>
      <c r="L222" s="17"/>
      <c r="M222" s="2">
        <v>0</v>
      </c>
    </row>
    <row r="223" spans="1:13" s="25" customFormat="1" ht="11.25">
      <c r="A223" s="1188" t="s">
        <v>67</v>
      </c>
      <c r="B223" s="1189">
        <f>+(B215+B207+B203)/B60</f>
        <v>1295618.3343452064</v>
      </c>
      <c r="C223" s="1190">
        <f>+(C215+C207+C203)/C60</f>
        <v>8167693.5704230452</v>
      </c>
      <c r="D223" s="1190">
        <f>+(D215+D207+D203)/D60</f>
        <v>9288241.9772171024</v>
      </c>
      <c r="E223" s="1191">
        <f>+(E215+E207+E203)/E60</f>
        <v>7940010.1991636958</v>
      </c>
      <c r="F223" s="1189">
        <f>+(F215+F207+F203)/F54</f>
        <v>24968480.655456565</v>
      </c>
      <c r="G223" s="1190">
        <f>+(G215+G207+G203)/G60</f>
        <v>26135142.83473276</v>
      </c>
      <c r="H223" s="329">
        <f>+(H215+H207+H203)/H60</f>
        <v>26691892.891373634</v>
      </c>
      <c r="I223" s="1191">
        <f>+(I215+I207+I203)/I60</f>
        <v>26691197.672188852</v>
      </c>
      <c r="J223" s="1189"/>
      <c r="K223" s="1191"/>
      <c r="L223" s="1192">
        <f>+(L215+L207+L203)/L60</f>
        <v>26706671.265287694</v>
      </c>
      <c r="M223" s="113">
        <v>1</v>
      </c>
    </row>
    <row r="224" spans="1:13" s="25" customFormat="1" ht="11.25">
      <c r="A224" s="1193" t="s">
        <v>66</v>
      </c>
      <c r="B224" s="1194">
        <f t="shared" ref="B224:I224" si="22">+B223/12</f>
        <v>107968.1945287672</v>
      </c>
      <c r="C224" s="1195">
        <f t="shared" si="22"/>
        <v>680641.13086858706</v>
      </c>
      <c r="D224" s="1195">
        <f t="shared" si="22"/>
        <v>774020.16476809187</v>
      </c>
      <c r="E224" s="1196">
        <f t="shared" si="22"/>
        <v>661667.51659697469</v>
      </c>
      <c r="F224" s="1194">
        <f t="shared" si="22"/>
        <v>2080706.721288047</v>
      </c>
      <c r="G224" s="1195">
        <f t="shared" si="22"/>
        <v>2177928.5695610633</v>
      </c>
      <c r="H224" s="329">
        <f t="shared" si="22"/>
        <v>2224324.4076144695</v>
      </c>
      <c r="I224" s="1196">
        <f t="shared" si="22"/>
        <v>2224266.4726824043</v>
      </c>
      <c r="J224" s="1194"/>
      <c r="K224" s="1196"/>
      <c r="L224" s="1197">
        <f>+L223/12</f>
        <v>2225555.9387739743</v>
      </c>
      <c r="M224" s="113">
        <v>1</v>
      </c>
    </row>
    <row r="225" spans="1:13" s="2" customFormat="1" ht="11.25">
      <c r="B225" s="113"/>
      <c r="C225" s="113"/>
      <c r="D225" s="113"/>
      <c r="E225" s="113"/>
      <c r="F225" s="113"/>
      <c r="G225" s="113"/>
      <c r="H225" s="113"/>
      <c r="I225" s="113"/>
      <c r="J225" s="143"/>
      <c r="K225" s="149"/>
      <c r="L225" s="17"/>
      <c r="M225" s="2">
        <v>0</v>
      </c>
    </row>
    <row r="226" spans="1:13" s="2" customFormat="1" ht="11.25">
      <c r="B226" s="113"/>
      <c r="C226" s="113"/>
      <c r="D226" s="113"/>
      <c r="E226" s="113"/>
      <c r="F226" s="113"/>
      <c r="G226" s="113"/>
      <c r="H226" s="113"/>
      <c r="I226" s="113"/>
      <c r="J226" s="143"/>
      <c r="K226" s="149"/>
      <c r="L226" s="17"/>
      <c r="M226" s="2">
        <v>0</v>
      </c>
    </row>
    <row r="227" spans="1:13">
      <c r="B227" s="322"/>
      <c r="C227" s="322"/>
      <c r="D227" s="322"/>
      <c r="E227" s="322"/>
      <c r="F227" s="335"/>
      <c r="G227" s="335"/>
      <c r="I227" s="322"/>
      <c r="J227" s="149"/>
      <c r="K227" s="149"/>
      <c r="M227">
        <v>0</v>
      </c>
    </row>
    <row r="228" spans="1:13" s="2" customFormat="1">
      <c r="A228" s="239"/>
      <c r="B228" s="155"/>
      <c r="C228" s="211"/>
      <c r="D228" s="211"/>
      <c r="E228" s="200"/>
      <c r="F228" s="267" t="s">
        <v>55</v>
      </c>
      <c r="G228" s="130" t="s">
        <v>364</v>
      </c>
      <c r="H228" s="130" t="s">
        <v>543</v>
      </c>
      <c r="I228" s="104" t="s">
        <v>196</v>
      </c>
      <c r="J228" s="151" t="s">
        <v>225</v>
      </c>
      <c r="K228" s="183" t="s">
        <v>225</v>
      </c>
      <c r="L228" s="104" t="s">
        <v>196</v>
      </c>
      <c r="M228" s="2">
        <v>0</v>
      </c>
    </row>
    <row r="229" spans="1:13" s="2" customFormat="1" ht="18">
      <c r="A229" s="7" t="s">
        <v>252</v>
      </c>
      <c r="B229" s="212" t="s">
        <v>217</v>
      </c>
      <c r="C229" s="213" t="s">
        <v>231</v>
      </c>
      <c r="D229" s="213" t="s">
        <v>233</v>
      </c>
      <c r="E229" s="214" t="s">
        <v>379</v>
      </c>
      <c r="F229" s="260" t="s">
        <v>366</v>
      </c>
      <c r="G229" s="131" t="s">
        <v>366</v>
      </c>
      <c r="H229" s="131" t="s">
        <v>432</v>
      </c>
      <c r="I229" s="105" t="s">
        <v>197</v>
      </c>
      <c r="J229" s="90" t="s">
        <v>55</v>
      </c>
      <c r="K229" s="105" t="s">
        <v>432</v>
      </c>
      <c r="L229" s="9" t="s">
        <v>197</v>
      </c>
      <c r="M229" s="2">
        <v>1</v>
      </c>
    </row>
    <row r="230" spans="1:13" s="2" customFormat="1" ht="18">
      <c r="A230" s="7"/>
      <c r="B230" s="212"/>
      <c r="C230" s="213"/>
      <c r="D230" s="213"/>
      <c r="E230" s="214"/>
      <c r="F230" s="268"/>
      <c r="G230" s="132"/>
      <c r="H230" s="132" t="s">
        <v>433</v>
      </c>
      <c r="I230" s="106"/>
      <c r="J230" s="90"/>
      <c r="K230" s="106" t="s">
        <v>433</v>
      </c>
      <c r="L230" s="10"/>
      <c r="M230" s="2">
        <v>1</v>
      </c>
    </row>
    <row r="231" spans="1:13" s="2" customFormat="1" ht="20.25" customHeight="1">
      <c r="A231" s="68" t="s">
        <v>236</v>
      </c>
      <c r="B231" s="158"/>
      <c r="C231" s="216"/>
      <c r="D231" s="216"/>
      <c r="E231" s="202"/>
      <c r="F231" s="269">
        <v>2008</v>
      </c>
      <c r="G231" s="133">
        <v>2009</v>
      </c>
      <c r="H231" s="133">
        <v>2009</v>
      </c>
      <c r="I231" s="159">
        <v>2010</v>
      </c>
      <c r="J231" s="807" t="s">
        <v>544</v>
      </c>
      <c r="K231" s="185" t="s">
        <v>368</v>
      </c>
      <c r="L231" s="1183"/>
      <c r="M231" s="237">
        <v>1</v>
      </c>
    </row>
    <row r="232" spans="1:13" s="2" customFormat="1" ht="11.25" customHeight="1">
      <c r="B232" s="288"/>
      <c r="C232" s="249"/>
      <c r="D232" s="385"/>
      <c r="E232" s="250"/>
      <c r="F232" s="361"/>
      <c r="G232" s="249"/>
      <c r="H232" s="249"/>
      <c r="I232" s="289"/>
      <c r="J232" s="288"/>
      <c r="K232" s="289"/>
      <c r="L232" s="253"/>
      <c r="M232" s="237">
        <v>0</v>
      </c>
    </row>
    <row r="233" spans="1:13" s="33" customFormat="1" ht="15" customHeight="1">
      <c r="A233" s="14" t="s">
        <v>223</v>
      </c>
      <c r="B233" s="175">
        <f>+B51</f>
        <v>1385755.24</v>
      </c>
      <c r="C233" s="206">
        <f t="shared" ref="C233:I233" si="23">+C51</f>
        <v>8814376</v>
      </c>
      <c r="D233" s="206">
        <f t="shared" si="23"/>
        <v>10280198.647</v>
      </c>
      <c r="E233" s="176">
        <f t="shared" si="23"/>
        <v>8418621</v>
      </c>
      <c r="F233" s="175">
        <f t="shared" si="23"/>
        <v>26768511.690000001</v>
      </c>
      <c r="G233" s="206">
        <f t="shared" si="23"/>
        <v>26823756.496567864</v>
      </c>
      <c r="H233" s="206">
        <f t="shared" si="23"/>
        <v>28899703.611000001</v>
      </c>
      <c r="I233" s="176">
        <f t="shared" si="23"/>
        <v>28898950.886999998</v>
      </c>
      <c r="J233" s="208">
        <f>+IF((F233)=0,,(G233-F233)/F233)</f>
        <v>2.0637982121546419E-3</v>
      </c>
      <c r="K233" s="192">
        <f>+IF((G233)=0,,(I233-G233)/G233)</f>
        <v>7.7364048197263433E-2</v>
      </c>
      <c r="L233" s="313">
        <f>+Bretagne!J233+Centre!R233+Nord!U233+Sud!O233</f>
        <v>28749786.5724</v>
      </c>
      <c r="M233" s="237">
        <v>1</v>
      </c>
    </row>
    <row r="234" spans="1:13" s="2" customFormat="1" ht="11.25" customHeight="1">
      <c r="B234" s="160"/>
      <c r="C234" s="113"/>
      <c r="D234" s="113"/>
      <c r="E234" s="162"/>
      <c r="F234" s="160"/>
      <c r="G234" s="113"/>
      <c r="H234" s="113"/>
      <c r="I234" s="162"/>
      <c r="J234" s="92"/>
      <c r="K234" s="186"/>
      <c r="L234" s="113"/>
      <c r="M234" s="237">
        <v>0</v>
      </c>
    </row>
    <row r="235" spans="1:13" s="33" customFormat="1" ht="15" customHeight="1">
      <c r="A235" s="12" t="s">
        <v>295</v>
      </c>
      <c r="B235" s="197">
        <f>+B60</f>
        <v>0.44278479885091393</v>
      </c>
      <c r="C235" s="224">
        <f t="shared" ref="C235:I235" si="24">+C60</f>
        <v>0.37758768516341934</v>
      </c>
      <c r="D235" s="224">
        <f t="shared" si="24"/>
        <v>0.37579936083922144</v>
      </c>
      <c r="E235" s="191">
        <f t="shared" si="24"/>
        <v>0.36826883333257737</v>
      </c>
      <c r="F235" s="197">
        <f t="shared" si="24"/>
        <v>0.38005236631562478</v>
      </c>
      <c r="G235" s="224">
        <f t="shared" si="24"/>
        <v>0.37067331419919847</v>
      </c>
      <c r="H235" s="224">
        <f t="shared" si="24"/>
        <v>0.37735331637903291</v>
      </c>
      <c r="I235" s="191">
        <f t="shared" si="24"/>
        <v>0.37736314520980363</v>
      </c>
      <c r="J235" s="197">
        <f>+IF((F235)=0,,(G235-F235)/F235)</f>
        <v>-2.4678315273630541E-2</v>
      </c>
      <c r="K235" s="191">
        <f>+IF((G235)=0,,(I235-G235)/G235)</f>
        <v>1.8047781575692479E-2</v>
      </c>
      <c r="L235" s="15">
        <f>+L60</f>
        <v>0.38451684617696136</v>
      </c>
      <c r="M235" s="237">
        <v>1</v>
      </c>
    </row>
    <row r="236" spans="1:13" s="33" customFormat="1" ht="15" customHeight="1">
      <c r="A236" s="12" t="s">
        <v>296</v>
      </c>
      <c r="B236" s="169">
        <f>+B62</f>
        <v>613591.35519999999</v>
      </c>
      <c r="C236" s="223">
        <f t="shared" ref="C236:I236" si="25">+C62</f>
        <v>3328199.8299999996</v>
      </c>
      <c r="D236" s="223">
        <f t="shared" si="25"/>
        <v>3863292.0808428288</v>
      </c>
      <c r="E236" s="170">
        <f t="shared" si="25"/>
        <v>3100315.7339391359</v>
      </c>
      <c r="F236" s="169">
        <f t="shared" si="25"/>
        <v>10173436.210531965</v>
      </c>
      <c r="G236" s="223">
        <f t="shared" si="25"/>
        <v>9942850.7198550906</v>
      </c>
      <c r="H236" s="223">
        <f t="shared" si="25"/>
        <v>10905398.999981964</v>
      </c>
      <c r="I236" s="170">
        <f t="shared" si="25"/>
        <v>10905398.999981964</v>
      </c>
      <c r="J236" s="197">
        <f>+IF((F236)=0,,(G236-F236)/F236)</f>
        <v>-2.2665448124416662E-2</v>
      </c>
      <c r="K236" s="191">
        <f>+IF((G236)=0,,(I236-G236)/G236)</f>
        <v>9.6808079216631523E-2</v>
      </c>
      <c r="L236" s="309">
        <f>+Bretagne!J236+Centre!R236+Nord!U236+Sud!O236</f>
        <v>11054777.261080001</v>
      </c>
      <c r="M236" s="237">
        <v>1</v>
      </c>
    </row>
    <row r="237" spans="1:13" s="25" customFormat="1" ht="11.25" customHeight="1">
      <c r="B237" s="160"/>
      <c r="C237" s="113"/>
      <c r="D237" s="113"/>
      <c r="E237" s="162"/>
      <c r="F237" s="160"/>
      <c r="G237" s="113"/>
      <c r="H237" s="113"/>
      <c r="I237" s="162"/>
      <c r="J237" s="92"/>
      <c r="K237" s="186"/>
      <c r="L237" s="113"/>
      <c r="M237" s="237">
        <v>0</v>
      </c>
    </row>
    <row r="238" spans="1:13" s="298" customFormat="1" ht="15" customHeight="1">
      <c r="A238" s="1184" t="s">
        <v>122</v>
      </c>
      <c r="B238" s="293">
        <f>+B103</f>
        <v>163544.60754307971</v>
      </c>
      <c r="C238" s="295">
        <f t="shared" ref="C238:I238" si="26">+C103</f>
        <v>785891.02827335813</v>
      </c>
      <c r="D238" s="295">
        <f t="shared" si="26"/>
        <v>880473.46516780194</v>
      </c>
      <c r="E238" s="294">
        <f t="shared" si="26"/>
        <v>776290.28937718458</v>
      </c>
      <c r="F238" s="293">
        <f t="shared" si="26"/>
        <v>2534514.54</v>
      </c>
      <c r="G238" s="295">
        <f t="shared" si="26"/>
        <v>2568401.5879679974</v>
      </c>
      <c r="H238" s="295">
        <f t="shared" si="26"/>
        <v>2606199.3903614245</v>
      </c>
      <c r="I238" s="294">
        <f t="shared" si="26"/>
        <v>2606199.3903614245</v>
      </c>
      <c r="J238" s="296">
        <f t="shared" ref="J238:J243" si="27">+IF((F238)=0,,(G238-F238)/F238)</f>
        <v>1.3370232221274762E-2</v>
      </c>
      <c r="K238" s="297">
        <f t="shared" ref="K238:K243" si="28">+IF((G238)=0,,(I238-G238)/G238)</f>
        <v>1.4716469017343593E-2</v>
      </c>
      <c r="L238" s="388">
        <f>+Bretagne!J238+Centre!R238+Nord!U238+Sud!O238</f>
        <v>2636778.2790777921</v>
      </c>
      <c r="M238" s="237">
        <v>1</v>
      </c>
    </row>
    <row r="239" spans="1:13" s="298" customFormat="1" ht="15" customHeight="1">
      <c r="A239" s="1184" t="s">
        <v>133</v>
      </c>
      <c r="B239" s="293">
        <f>+B116</f>
        <v>55282.993499999997</v>
      </c>
      <c r="C239" s="295">
        <f t="shared" ref="C239:I239" si="29">+C116</f>
        <v>272939.97560000001</v>
      </c>
      <c r="D239" s="295">
        <f t="shared" si="29"/>
        <v>239187.93013333331</v>
      </c>
      <c r="E239" s="294">
        <f t="shared" si="29"/>
        <v>229892.25573333332</v>
      </c>
      <c r="F239" s="293">
        <f t="shared" si="29"/>
        <v>866277.5</v>
      </c>
      <c r="G239" s="295">
        <f t="shared" si="29"/>
        <v>961865.96333333338</v>
      </c>
      <c r="H239" s="295">
        <f t="shared" si="29"/>
        <v>797303.15496666671</v>
      </c>
      <c r="I239" s="294">
        <f t="shared" si="29"/>
        <v>797303.15496666671</v>
      </c>
      <c r="J239" s="296">
        <f t="shared" si="27"/>
        <v>0.11034392943754556</v>
      </c>
      <c r="K239" s="297">
        <f t="shared" si="28"/>
        <v>-0.17108704813337661</v>
      </c>
      <c r="L239" s="388">
        <f>+Bretagne!J239+Centre!R239+Nord!U239+Sud!O239</f>
        <v>965323.88599999994</v>
      </c>
      <c r="M239" s="237">
        <v>1</v>
      </c>
    </row>
    <row r="240" spans="1:13" s="298" customFormat="1" ht="15" customHeight="1">
      <c r="A240" s="1184" t="s">
        <v>147</v>
      </c>
      <c r="B240" s="293">
        <f>+B129</f>
        <v>22182.724384000005</v>
      </c>
      <c r="C240" s="295">
        <f t="shared" ref="C240:I240" si="30">+C129</f>
        <v>74472.34593333333</v>
      </c>
      <c r="D240" s="295">
        <f t="shared" si="30"/>
        <v>115503.3022852</v>
      </c>
      <c r="E240" s="294">
        <f t="shared" si="30"/>
        <v>115449.4398516089</v>
      </c>
      <c r="F240" s="293">
        <f t="shared" si="30"/>
        <v>363384.52</v>
      </c>
      <c r="G240" s="295">
        <f t="shared" si="30"/>
        <v>325072.67696800001</v>
      </c>
      <c r="H240" s="295">
        <f t="shared" si="30"/>
        <v>327607.81245414226</v>
      </c>
      <c r="I240" s="294">
        <f t="shared" si="30"/>
        <v>327607.81245414226</v>
      </c>
      <c r="J240" s="296">
        <f t="shared" si="27"/>
        <v>-0.10543058639922252</v>
      </c>
      <c r="K240" s="297">
        <f t="shared" si="28"/>
        <v>7.7986729299669858E-3</v>
      </c>
      <c r="L240" s="388">
        <f>+Bretagne!J240+Centre!R240+Nord!U240+Sud!O240</f>
        <v>418610.28449639562</v>
      </c>
      <c r="M240" s="237">
        <v>1</v>
      </c>
    </row>
    <row r="241" spans="1:13" s="298" customFormat="1" ht="15" customHeight="1">
      <c r="A241" s="1184" t="s">
        <v>164</v>
      </c>
      <c r="B241" s="293">
        <f>+B154</f>
        <v>237486.72376448795</v>
      </c>
      <c r="C241" s="295">
        <f t="shared" ref="C241:I241" si="31">+C154</f>
        <v>1327300.1957580978</v>
      </c>
      <c r="D241" s="295">
        <f t="shared" si="31"/>
        <v>1561580.9633950999</v>
      </c>
      <c r="E241" s="294">
        <f t="shared" si="31"/>
        <v>1257265.8294492122</v>
      </c>
      <c r="F241" s="293">
        <f t="shared" si="31"/>
        <v>4371015.5048000012</v>
      </c>
      <c r="G241" s="295">
        <f t="shared" si="31"/>
        <v>4227034.8116666665</v>
      </c>
      <c r="H241" s="295">
        <f t="shared" si="31"/>
        <v>4383633.7123668995</v>
      </c>
      <c r="I241" s="294">
        <f t="shared" si="31"/>
        <v>4383633.7123668995</v>
      </c>
      <c r="J241" s="296">
        <f t="shared" si="27"/>
        <v>-3.29398724335851E-2</v>
      </c>
      <c r="K241" s="297">
        <f t="shared" si="28"/>
        <v>3.704698628646684E-2</v>
      </c>
      <c r="L241" s="388">
        <f>+Bretagne!J241+Centre!R241+Nord!U241+Sud!O241</f>
        <v>4318615.3314486146</v>
      </c>
      <c r="M241" s="237">
        <v>1</v>
      </c>
    </row>
    <row r="242" spans="1:13" s="298" customFormat="1" ht="15" customHeight="1">
      <c r="A242" s="1184" t="s">
        <v>74</v>
      </c>
      <c r="B242" s="293">
        <f>+B168</f>
        <v>21581.906598000001</v>
      </c>
      <c r="C242" s="295">
        <f t="shared" ref="C242:I242" si="32">+C168</f>
        <v>126553.06320664003</v>
      </c>
      <c r="D242" s="295">
        <f t="shared" si="32"/>
        <v>127682.00466773815</v>
      </c>
      <c r="E242" s="294">
        <f t="shared" si="32"/>
        <v>117547.6357479467</v>
      </c>
      <c r="F242" s="293">
        <f t="shared" si="32"/>
        <v>174271.53</v>
      </c>
      <c r="G242" s="295">
        <f t="shared" si="32"/>
        <v>263724.22333333333</v>
      </c>
      <c r="H242" s="295">
        <f t="shared" si="32"/>
        <v>393364.61022032483</v>
      </c>
      <c r="I242" s="294">
        <f t="shared" si="32"/>
        <v>393364.61022032483</v>
      </c>
      <c r="J242" s="296">
        <f t="shared" si="27"/>
        <v>0.51329493310429608</v>
      </c>
      <c r="K242" s="297">
        <f t="shared" si="28"/>
        <v>0.4915755756085135</v>
      </c>
      <c r="L242" s="388">
        <f>+Bretagne!J242+Centre!R242+Nord!U242+Sud!O242</f>
        <v>400890.07705973461</v>
      </c>
      <c r="M242" s="237">
        <v>1</v>
      </c>
    </row>
    <row r="243" spans="1:13" s="298" customFormat="1" ht="15" customHeight="1">
      <c r="A243" s="1184" t="s">
        <v>369</v>
      </c>
      <c r="B243" s="293">
        <f>+B185-B201</f>
        <v>6999.739599999999</v>
      </c>
      <c r="C243" s="295">
        <f t="shared" ref="C243:I243" si="33">+C185-C201</f>
        <v>77920.423866666679</v>
      </c>
      <c r="D243" s="295">
        <f t="shared" si="33"/>
        <v>98061.479466666657</v>
      </c>
      <c r="E243" s="294">
        <f t="shared" si="33"/>
        <v>54670.494933333335</v>
      </c>
      <c r="F243" s="293">
        <f t="shared" si="33"/>
        <v>176467.70000000007</v>
      </c>
      <c r="G243" s="295">
        <f t="shared" si="33"/>
        <v>179073.00333333336</v>
      </c>
      <c r="H243" s="295">
        <f t="shared" si="33"/>
        <v>237652.13786666666</v>
      </c>
      <c r="I243" s="294">
        <f t="shared" si="33"/>
        <v>237652.13786666666</v>
      </c>
      <c r="J243" s="296">
        <f t="shared" si="27"/>
        <v>1.4763627186920241E-2</v>
      </c>
      <c r="K243" s="297">
        <f t="shared" si="28"/>
        <v>0.3271243204889564</v>
      </c>
      <c r="L243" s="388">
        <f>+Bretagne!J243+Centre!R243+Nord!U243+Sud!O243</f>
        <v>262727.99549969018</v>
      </c>
      <c r="M243" s="237">
        <v>1</v>
      </c>
    </row>
    <row r="244" spans="1:13" s="25" customFormat="1" ht="11.25">
      <c r="B244" s="160"/>
      <c r="C244" s="113"/>
      <c r="D244" s="113"/>
      <c r="E244" s="162"/>
      <c r="F244" s="160"/>
      <c r="G244" s="113"/>
      <c r="H244" s="113"/>
      <c r="I244" s="162"/>
      <c r="J244" s="92"/>
      <c r="K244" s="186"/>
      <c r="L244" s="113"/>
      <c r="M244" s="237">
        <v>0</v>
      </c>
    </row>
    <row r="245" spans="1:13" s="33" customFormat="1" ht="15" customHeight="1">
      <c r="A245" s="14" t="s">
        <v>189</v>
      </c>
      <c r="B245" s="299">
        <f>+B203</f>
        <v>507078.69538956764</v>
      </c>
      <c r="C245" s="301">
        <f t="shared" ref="C245:I245" si="34">+C203</f>
        <v>2665077.0326380958</v>
      </c>
      <c r="D245" s="301">
        <f t="shared" si="34"/>
        <v>3022489.1451158398</v>
      </c>
      <c r="E245" s="300">
        <f t="shared" si="34"/>
        <v>2551115.9450926189</v>
      </c>
      <c r="F245" s="299">
        <f t="shared" si="34"/>
        <v>8485931.2948000021</v>
      </c>
      <c r="G245" s="301">
        <f t="shared" si="34"/>
        <v>8525172.2666026652</v>
      </c>
      <c r="H245" s="301">
        <f t="shared" si="34"/>
        <v>8745760.8182361238</v>
      </c>
      <c r="I245" s="300">
        <f t="shared" si="34"/>
        <v>8745760.8182361238</v>
      </c>
      <c r="J245" s="302">
        <f>+IF((F245)=0,,(G245-F245)/F245)</f>
        <v>4.6242386886527218E-3</v>
      </c>
      <c r="K245" s="303">
        <f>+IF((G245)=0,,(I245-G245)/G245)</f>
        <v>2.5874967066368094E-2</v>
      </c>
      <c r="L245" s="389">
        <f>+Bretagne!J245+Centre!R245+Nord!U245+Sud!O245</f>
        <v>9002945.8535822257</v>
      </c>
      <c r="M245" s="237">
        <v>1</v>
      </c>
    </row>
    <row r="246" spans="1:13" s="2" customFormat="1" ht="11.25">
      <c r="B246" s="160"/>
      <c r="C246" s="113"/>
      <c r="D246" s="113"/>
      <c r="E246" s="162"/>
      <c r="F246" s="160"/>
      <c r="G246" s="113"/>
      <c r="H246" s="113"/>
      <c r="I246" s="162"/>
      <c r="J246" s="92"/>
      <c r="K246" s="186"/>
      <c r="L246" s="113"/>
      <c r="M246" s="237">
        <v>0</v>
      </c>
    </row>
    <row r="247" spans="1:13" s="33" customFormat="1" ht="15" customHeight="1">
      <c r="A247" s="12" t="s">
        <v>228</v>
      </c>
      <c r="B247" s="177">
        <f>+B205</f>
        <v>106512.65981043235</v>
      </c>
      <c r="C247" s="228">
        <f t="shared" ref="C247:I247" si="35">+C205</f>
        <v>663122.79736190382</v>
      </c>
      <c r="D247" s="228">
        <f t="shared" si="35"/>
        <v>840802.93572698906</v>
      </c>
      <c r="E247" s="178">
        <f t="shared" si="35"/>
        <v>549199.78884651698</v>
      </c>
      <c r="F247" s="177">
        <f t="shared" si="35"/>
        <v>1705782.0702</v>
      </c>
      <c r="G247" s="228">
        <f t="shared" si="35"/>
        <v>1417678.4532524254</v>
      </c>
      <c r="H247" s="228">
        <f t="shared" si="35"/>
        <v>2159638.1817458402</v>
      </c>
      <c r="I247" s="178">
        <f t="shared" si="35"/>
        <v>2159638.1817458402</v>
      </c>
      <c r="J247" s="225">
        <f>+IF((F247)=0,,(G247-F247)/F247)</f>
        <v>-0.168898256102431</v>
      </c>
      <c r="K247" s="193">
        <f>+IF((G247)=0,,(I247-G247)/G247)</f>
        <v>0.52336249224301701</v>
      </c>
      <c r="L247" s="314">
        <f>+Bretagne!J247+Centre!R247+Nord!U247+Sud!O247</f>
        <v>2051831.4074977734</v>
      </c>
      <c r="M247" s="237">
        <v>1</v>
      </c>
    </row>
    <row r="248" spans="1:13" s="2" customFormat="1" ht="11.25">
      <c r="B248" s="160"/>
      <c r="C248" s="113"/>
      <c r="D248" s="113"/>
      <c r="E248" s="162"/>
      <c r="F248" s="160"/>
      <c r="G248" s="113"/>
      <c r="H248" s="113"/>
      <c r="I248" s="162"/>
      <c r="J248" s="92"/>
      <c r="K248" s="186"/>
      <c r="L248" s="113"/>
      <c r="M248" s="237">
        <v>0</v>
      </c>
    </row>
    <row r="249" spans="1:13" s="33" customFormat="1" ht="15" customHeight="1">
      <c r="A249" s="20" t="s">
        <v>370</v>
      </c>
      <c r="B249" s="180">
        <f>+B207+B215</f>
        <v>66601.408171030649</v>
      </c>
      <c r="C249" s="230">
        <f t="shared" ref="C249:I249" si="36">+C207+C215</f>
        <v>418943.47574208531</v>
      </c>
      <c r="D249" s="230">
        <f t="shared" si="36"/>
        <v>468026.25324237347</v>
      </c>
      <c r="E249" s="181">
        <f t="shared" si="36"/>
        <v>372942.34760216076</v>
      </c>
      <c r="F249" s="180">
        <f t="shared" si="36"/>
        <v>1020446.9807999997</v>
      </c>
      <c r="G249" s="230">
        <f t="shared" si="36"/>
        <v>1162427.7450171621</v>
      </c>
      <c r="H249" s="230">
        <f t="shared" si="36"/>
        <v>1326513.4847576499</v>
      </c>
      <c r="I249" s="181">
        <f t="shared" si="36"/>
        <v>1326513.4847576499</v>
      </c>
      <c r="J249" s="304">
        <f>+IF((F249)=0,,(G249-F249)/F249)</f>
        <v>0.13913585604011858</v>
      </c>
      <c r="K249" s="195">
        <f>+IF((G249)=0,,(I249-G249)/G249)</f>
        <v>0.14115779707070336</v>
      </c>
      <c r="L249" s="316">
        <f>+Bretagne!J249+Centre!R249+Nord!U249+Sud!O249</f>
        <v>1266219.153231076</v>
      </c>
      <c r="M249" s="237">
        <v>1</v>
      </c>
    </row>
    <row r="250" spans="1:13" s="2" customFormat="1" ht="11.25">
      <c r="B250" s="160"/>
      <c r="C250" s="113"/>
      <c r="D250" s="113"/>
      <c r="E250" s="162"/>
      <c r="F250" s="160"/>
      <c r="G250" s="113"/>
      <c r="H250" s="113"/>
      <c r="I250" s="162"/>
      <c r="J250" s="92"/>
      <c r="K250" s="186"/>
      <c r="L250" s="113"/>
      <c r="M250" s="237">
        <v>0</v>
      </c>
    </row>
    <row r="251" spans="1:13" s="33" customFormat="1" ht="20.100000000000001" customHeight="1">
      <c r="A251" s="12" t="s">
        <v>86</v>
      </c>
      <c r="B251" s="177">
        <f>+B217</f>
        <v>39911.2516394017</v>
      </c>
      <c r="C251" s="228">
        <f t="shared" ref="C251:I251" si="37">+C217</f>
        <v>244179.32161981845</v>
      </c>
      <c r="D251" s="228">
        <f t="shared" si="37"/>
        <v>372776.68248461565</v>
      </c>
      <c r="E251" s="178">
        <f t="shared" si="37"/>
        <v>176257.44124435622</v>
      </c>
      <c r="F251" s="177">
        <f t="shared" si="37"/>
        <v>685335.08940000029</v>
      </c>
      <c r="G251" s="228">
        <f t="shared" si="37"/>
        <v>255250.70823526336</v>
      </c>
      <c r="H251" s="228">
        <f t="shared" si="37"/>
        <v>833124.69698819029</v>
      </c>
      <c r="I251" s="178">
        <f t="shared" si="37"/>
        <v>833124.69698819029</v>
      </c>
      <c r="J251" s="225">
        <f>+IF((F251)=0,,(G251-F251)/F251)</f>
        <v>-0.62755342286832094</v>
      </c>
      <c r="K251" s="193">
        <f>+IF((G251)=0,,(I251-G251)/G251)</f>
        <v>2.2639466614929162</v>
      </c>
      <c r="L251" s="314">
        <f>+Bretagne!J251+Centre!R251+Nord!U251+Sud!O251</f>
        <v>785612.25426669721</v>
      </c>
      <c r="M251" s="237">
        <v>1</v>
      </c>
    </row>
    <row r="252" spans="1:13" s="2" customFormat="1" ht="11.25">
      <c r="B252" s="113"/>
      <c r="C252" s="113"/>
      <c r="D252" s="25"/>
      <c r="E252" s="154"/>
      <c r="F252" s="252"/>
      <c r="G252" s="25"/>
      <c r="H252" s="25"/>
      <c r="I252" s="117"/>
      <c r="J252" s="390"/>
      <c r="K252" s="254"/>
      <c r="L252" s="135"/>
      <c r="M252" s="237">
        <v>0</v>
      </c>
    </row>
    <row r="253" spans="1:13" s="298" customFormat="1" ht="15" customHeight="1">
      <c r="A253" s="1184" t="s">
        <v>95</v>
      </c>
      <c r="B253" s="293">
        <f>+Bretagne!G253</f>
        <v>390000</v>
      </c>
      <c r="C253" s="295">
        <f>+Centre!O253</f>
        <v>1665000</v>
      </c>
      <c r="D253" s="295">
        <f>+Nord!R253</f>
        <v>2771547.6413918501</v>
      </c>
      <c r="E253" s="294">
        <f>+Sud!L253</f>
        <v>1765571.7819950001</v>
      </c>
      <c r="F253" s="293">
        <f>+Bretagne!D253+Centre!L253+Nord!O253+Sud!I253</f>
        <v>6087133.2399999993</v>
      </c>
      <c r="G253" s="295">
        <f>+Bretagne!E253+Centre!M253+Nord!P253+Sud!J253</f>
        <v>0</v>
      </c>
      <c r="H253" s="295">
        <f>+Bretagne!F253+Centre!N253+Nord!Q253+Sud!K253</f>
        <v>16705445.90732011</v>
      </c>
      <c r="I253" s="294">
        <f>+Bretagne!G253+Centre!O253+Nord!R253+Sud!L253</f>
        <v>6592119.4233868504</v>
      </c>
      <c r="J253" s="296">
        <f>+IF((F253)=0,,(G253-F253)/F253)</f>
        <v>-1</v>
      </c>
      <c r="K253" s="297">
        <f>+IF((G253)=0,,(I253-G253)/G253)</f>
        <v>0</v>
      </c>
      <c r="L253" s="388">
        <f>+Bretagne!J253+Centre!R253+Nord!U253+Sud!O253</f>
        <v>4.5735526210489024</v>
      </c>
      <c r="M253" s="237">
        <v>1</v>
      </c>
    </row>
    <row r="254" spans="1:13" s="298" customFormat="1" ht="15" customHeight="1">
      <c r="A254" s="1184" t="s">
        <v>371</v>
      </c>
      <c r="B254" s="293">
        <f>+Bretagne!G254</f>
        <v>1295618.3343452064</v>
      </c>
      <c r="C254" s="295">
        <f>+Centre!O254</f>
        <v>8167693.5704230461</v>
      </c>
      <c r="D254" s="295">
        <f>+Nord!R254</f>
        <v>9288241.9772171024</v>
      </c>
      <c r="E254" s="294">
        <f>+Sud!L254</f>
        <v>7940010.1991636967</v>
      </c>
      <c r="F254" s="293">
        <f>+Bretagne!D254+Centre!L254+Nord!O254+Sud!I254</f>
        <v>24971155.474996693</v>
      </c>
      <c r="G254" s="295">
        <f>+Bretagne!E254+Centre!M254+Nord!P254+Sud!J254</f>
        <v>25861271.345111184</v>
      </c>
      <c r="H254" s="295">
        <f>+Bretagne!F254+Centre!N254+Nord!Q254+Sud!K254</f>
        <v>26386661.444091741</v>
      </c>
      <c r="I254" s="294">
        <f>+Bretagne!G254+Centre!O254+Nord!R254+Sud!L254</f>
        <v>26691564.081149053</v>
      </c>
      <c r="J254" s="296">
        <f>+IF((F254)=0,,(G254-F254)/F254)</f>
        <v>3.5645762207750148E-2</v>
      </c>
      <c r="K254" s="297">
        <f>+IF((G254)=0,,(I254-G254)/G254)</f>
        <v>3.2105642640605433E-2</v>
      </c>
      <c r="L254" s="388">
        <f>+Bretagne!J254+Centre!R254+Nord!U254+Sud!O254</f>
        <v>26714051.463503432</v>
      </c>
      <c r="M254" s="237">
        <v>1</v>
      </c>
    </row>
    <row r="255" spans="1:13" s="298" customFormat="1" ht="15" customHeight="1">
      <c r="A255" s="1184" t="s">
        <v>372</v>
      </c>
      <c r="B255" s="293">
        <f>+Bretagne!G255</f>
        <v>5000</v>
      </c>
      <c r="C255" s="295">
        <f>+Centre!O255</f>
        <v>25000</v>
      </c>
      <c r="D255" s="295">
        <f>+Nord!R255</f>
        <v>88780</v>
      </c>
      <c r="E255" s="294">
        <f>+Sud!L255</f>
        <v>43500</v>
      </c>
      <c r="F255" s="293">
        <f>+Bretagne!D255+Centre!L255+Nord!O255+Sud!I255</f>
        <v>0</v>
      </c>
      <c r="G255" s="295">
        <f>+Bretagne!E255+Centre!M255+Nord!P255+Sud!J255</f>
        <v>0</v>
      </c>
      <c r="H255" s="295">
        <f>+Bretagne!F255+Centre!N255+Nord!Q255+Sud!K255</f>
        <v>0</v>
      </c>
      <c r="I255" s="294">
        <f>+Bretagne!G255+Centre!O255+Nord!R255+Sud!L255</f>
        <v>162280</v>
      </c>
      <c r="J255" s="296"/>
      <c r="K255" s="297"/>
      <c r="L255" s="334">
        <f>+Bretagne!J255+Centre!R255+Nord!U255+Sud!O255</f>
        <v>0</v>
      </c>
      <c r="M255" s="237">
        <v>1</v>
      </c>
    </row>
    <row r="256" spans="1:13" s="2" customFormat="1" ht="11.25">
      <c r="B256" s="24"/>
      <c r="C256" s="17"/>
      <c r="F256" s="58"/>
      <c r="I256" s="376"/>
      <c r="J256" s="376"/>
      <c r="L256" s="17"/>
      <c r="M256" s="237"/>
    </row>
    <row r="257" spans="2:11">
      <c r="B257" s="109"/>
      <c r="D257"/>
      <c r="E257"/>
      <c r="F257" s="391"/>
      <c r="G257" s="39"/>
      <c r="H257" s="392"/>
      <c r="J257" s="376"/>
      <c r="K257" s="393"/>
    </row>
  </sheetData>
  <autoFilter ref="M1:M258"/>
  <phoneticPr fontId="0" type="noConversion"/>
  <hyperlinks>
    <hyperlink ref="F1" location="Sommaire!A1" display="Retour au sommaire"/>
  </hyperlinks>
  <printOptions horizontalCentered="1" verticalCentered="1"/>
  <pageMargins left="0" right="0" top="0" bottom="0" header="0.51181102362204722" footer="0.51181102362204722"/>
  <pageSetup paperSize="9" scale="75" fitToHeight="3" orientation="landscape" horizontalDpi="4294967293" r:id="rId1"/>
  <headerFooter alignWithMargins="0"/>
  <rowBreaks count="2" manualBreakCount="2">
    <brk id="117" max="16383" man="1"/>
    <brk id="226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tabColor theme="0"/>
  </sheetPr>
  <dimension ref="A1:N63"/>
  <sheetViews>
    <sheetView workbookViewId="0">
      <selection sqref="A1:IV65536"/>
    </sheetView>
  </sheetViews>
  <sheetFormatPr baseColWidth="10" defaultRowHeight="12.75"/>
  <cols>
    <col min="1" max="1" width="16.28515625" customWidth="1"/>
    <col min="7" max="7" width="13.7109375" style="39" customWidth="1"/>
    <col min="12" max="12" width="11.7109375" bestFit="1" customWidth="1"/>
  </cols>
  <sheetData>
    <row r="1" spans="1:14">
      <c r="A1" s="1" t="s">
        <v>476</v>
      </c>
      <c r="F1" s="45" t="s">
        <v>299</v>
      </c>
    </row>
    <row r="2" spans="1:14">
      <c r="A2" s="41"/>
      <c r="F2" s="45"/>
    </row>
    <row r="3" spans="1:14" s="2" customFormat="1" ht="11.25">
      <c r="A3" s="61" t="s">
        <v>348</v>
      </c>
      <c r="B3" s="62" t="s">
        <v>349</v>
      </c>
      <c r="C3" s="62"/>
      <c r="D3" s="33"/>
      <c r="E3" s="33"/>
      <c r="F3" s="60"/>
      <c r="G3" s="33"/>
    </row>
    <row r="4" spans="1:14" s="2" customFormat="1" ht="11.25">
      <c r="A4" s="61"/>
      <c r="B4" s="62" t="s">
        <v>350</v>
      </c>
      <c r="C4" s="62"/>
      <c r="D4" s="33"/>
      <c r="E4" s="33"/>
      <c r="F4" s="60"/>
      <c r="G4" s="33"/>
    </row>
    <row r="5" spans="1:14" s="2" customFormat="1" ht="11.25">
      <c r="A5" s="61"/>
      <c r="B5" s="62" t="s">
        <v>353</v>
      </c>
      <c r="C5" s="62"/>
      <c r="D5" s="33"/>
      <c r="E5" s="33"/>
      <c r="F5" s="60"/>
      <c r="G5" s="33"/>
    </row>
    <row r="6" spans="1:14" s="2" customFormat="1" ht="11.25">
      <c r="A6" s="61"/>
      <c r="B6" s="62"/>
      <c r="C6" s="62"/>
      <c r="D6" s="33"/>
      <c r="E6" s="33"/>
      <c r="F6" s="60"/>
      <c r="G6" s="33"/>
    </row>
    <row r="7" spans="1:14" s="2" customFormat="1" ht="11.25">
      <c r="A7" s="59"/>
      <c r="B7" s="33"/>
      <c r="C7" s="33"/>
      <c r="D7" s="33"/>
      <c r="E7" s="33"/>
      <c r="F7" s="60"/>
      <c r="G7" s="33"/>
    </row>
    <row r="8" spans="1:14" s="2" customFormat="1" ht="11.25">
      <c r="A8" s="59"/>
      <c r="B8" s="33"/>
      <c r="C8" s="33"/>
      <c r="D8" s="33"/>
      <c r="E8" s="33"/>
      <c r="F8" s="60"/>
      <c r="G8" s="33"/>
    </row>
    <row r="9" spans="1:14">
      <c r="A9" s="25"/>
      <c r="B9" s="29"/>
      <c r="C9" s="29"/>
      <c r="D9" s="29"/>
      <c r="E9" s="29" t="s">
        <v>254</v>
      </c>
      <c r="F9" s="30"/>
      <c r="G9" s="31"/>
      <c r="H9" s="31"/>
      <c r="I9" s="30"/>
      <c r="J9" s="32"/>
      <c r="K9" s="32"/>
      <c r="L9" s="32"/>
    </row>
    <row r="10" spans="1:14">
      <c r="A10" s="2"/>
      <c r="B10" s="30"/>
      <c r="C10" s="30"/>
      <c r="D10" s="30"/>
      <c r="E10" s="31" t="s">
        <v>256</v>
      </c>
      <c r="F10" s="30"/>
      <c r="G10" s="31" t="s">
        <v>256</v>
      </c>
      <c r="H10" s="31"/>
      <c r="I10" s="31" t="s">
        <v>284</v>
      </c>
      <c r="J10" s="32"/>
      <c r="K10" s="31" t="s">
        <v>351</v>
      </c>
      <c r="L10" s="32"/>
    </row>
    <row r="11" spans="1:14">
      <c r="A11" s="2"/>
      <c r="B11" s="2"/>
      <c r="C11" s="2"/>
      <c r="D11" s="2"/>
      <c r="E11" s="31" t="s">
        <v>282</v>
      </c>
      <c r="F11" s="2"/>
      <c r="G11" s="31" t="s">
        <v>283</v>
      </c>
      <c r="H11" s="33"/>
      <c r="I11" s="33" t="s">
        <v>285</v>
      </c>
      <c r="K11" s="33"/>
    </row>
    <row r="12" spans="1:14">
      <c r="A12" s="2"/>
      <c r="B12" s="2"/>
      <c r="C12" s="2"/>
      <c r="D12" s="2"/>
      <c r="E12" s="33"/>
      <c r="F12" s="2"/>
      <c r="G12" s="31" t="s">
        <v>330</v>
      </c>
      <c r="H12" s="33"/>
      <c r="I12" s="33"/>
      <c r="K12" s="33"/>
    </row>
    <row r="13" spans="1:14">
      <c r="A13" s="2"/>
      <c r="B13" s="2"/>
      <c r="C13" s="2"/>
      <c r="D13" s="2"/>
      <c r="E13" s="258" t="s">
        <v>387</v>
      </c>
      <c r="F13" s="2"/>
      <c r="G13" s="31"/>
      <c r="H13" s="33"/>
      <c r="I13" s="259">
        <v>9</v>
      </c>
      <c r="K13" s="2">
        <f>30*I13</f>
        <v>270</v>
      </c>
    </row>
    <row r="14" spans="1:14">
      <c r="A14" s="2"/>
      <c r="B14" s="2"/>
      <c r="C14" s="2"/>
      <c r="D14" s="2"/>
      <c r="E14" s="30">
        <v>2010</v>
      </c>
      <c r="F14" s="2"/>
      <c r="G14" s="33"/>
      <c r="H14" s="33"/>
      <c r="I14" s="40">
        <v>9</v>
      </c>
      <c r="K14" s="40"/>
    </row>
    <row r="15" spans="1:14">
      <c r="A15" s="33" t="s">
        <v>347</v>
      </c>
      <c r="B15" s="2"/>
      <c r="C15" s="2"/>
      <c r="D15" s="2"/>
      <c r="E15" s="31"/>
      <c r="F15" s="2"/>
      <c r="G15" s="33"/>
      <c r="H15" s="33"/>
      <c r="I15" s="2"/>
      <c r="K15" s="33" t="s">
        <v>352</v>
      </c>
    </row>
    <row r="16" spans="1:14" ht="15">
      <c r="A16" s="2" t="s">
        <v>257</v>
      </c>
      <c r="B16" s="352" t="s">
        <v>478</v>
      </c>
      <c r="C16" s="34"/>
      <c r="D16" s="34"/>
      <c r="E16" s="35"/>
      <c r="F16" s="34"/>
      <c r="G16" s="35"/>
      <c r="H16" s="35"/>
      <c r="I16" s="34"/>
      <c r="K16" s="356">
        <v>155696.60999999999</v>
      </c>
      <c r="M16" s="354"/>
      <c r="N16" s="354"/>
    </row>
    <row r="17" spans="1:14" ht="15">
      <c r="A17" s="2" t="s">
        <v>258</v>
      </c>
      <c r="B17" s="352" t="s">
        <v>479</v>
      </c>
      <c r="C17" s="34"/>
      <c r="D17" s="34"/>
      <c r="E17" s="35"/>
      <c r="F17" s="34"/>
      <c r="G17" s="35"/>
      <c r="H17" s="35"/>
      <c r="I17" s="35"/>
      <c r="K17" s="356">
        <v>318898.03999999998</v>
      </c>
      <c r="M17" s="354"/>
      <c r="N17" s="354"/>
    </row>
    <row r="18" spans="1:14" ht="15">
      <c r="A18" s="2" t="s">
        <v>259</v>
      </c>
      <c r="B18" s="352" t="s">
        <v>480</v>
      </c>
      <c r="C18" s="34"/>
      <c r="D18" s="34"/>
      <c r="E18" s="35"/>
      <c r="F18" s="34"/>
      <c r="G18" s="35"/>
      <c r="H18" s="35"/>
      <c r="I18" s="35"/>
      <c r="K18" s="356">
        <v>2404.91</v>
      </c>
      <c r="M18" s="354"/>
      <c r="N18" s="354"/>
    </row>
    <row r="19" spans="1:14" ht="15">
      <c r="A19" s="2" t="s">
        <v>260</v>
      </c>
      <c r="B19" s="352" t="s">
        <v>481</v>
      </c>
      <c r="C19" s="34"/>
      <c r="D19" s="34"/>
      <c r="E19" s="35"/>
      <c r="F19" s="34"/>
      <c r="G19" s="35"/>
      <c r="H19" s="35"/>
      <c r="I19" s="35"/>
      <c r="K19" s="356">
        <v>221908.59</v>
      </c>
      <c r="M19" s="354"/>
      <c r="N19" s="354"/>
    </row>
    <row r="20" spans="1:14" ht="15">
      <c r="A20" s="2" t="s">
        <v>261</v>
      </c>
      <c r="B20" s="352" t="s">
        <v>482</v>
      </c>
      <c r="C20" s="34"/>
      <c r="D20" s="34"/>
      <c r="E20" s="35"/>
      <c r="F20" s="34"/>
      <c r="G20" s="35"/>
      <c r="H20" s="35"/>
      <c r="I20" s="34"/>
      <c r="K20" s="356">
        <v>109635.92</v>
      </c>
      <c r="M20" s="354"/>
      <c r="N20" s="354"/>
    </row>
    <row r="21" spans="1:14" ht="15">
      <c r="A21" s="2" t="s">
        <v>262</v>
      </c>
      <c r="B21" s="352" t="s">
        <v>483</v>
      </c>
      <c r="C21" s="34"/>
      <c r="D21" s="34"/>
      <c r="E21" s="35"/>
      <c r="F21" s="34"/>
      <c r="G21" s="35"/>
      <c r="H21" s="35"/>
      <c r="I21" s="34"/>
      <c r="K21" s="356">
        <v>622397.6</v>
      </c>
      <c r="M21" s="354"/>
      <c r="N21" s="354"/>
    </row>
    <row r="22" spans="1:14" ht="15">
      <c r="A22" s="2" t="s">
        <v>263</v>
      </c>
      <c r="B22" s="352" t="s">
        <v>484</v>
      </c>
      <c r="C22" s="34"/>
      <c r="D22" s="34"/>
      <c r="E22" s="35"/>
      <c r="F22" s="34"/>
      <c r="G22" s="35"/>
      <c r="H22" s="35"/>
      <c r="I22" s="34"/>
      <c r="K22" s="356">
        <v>278137.3</v>
      </c>
      <c r="M22" s="354"/>
      <c r="N22" s="354"/>
    </row>
    <row r="23" spans="1:14" ht="15">
      <c r="A23" s="2" t="s">
        <v>264</v>
      </c>
      <c r="B23" s="352" t="s">
        <v>485</v>
      </c>
      <c r="C23" s="34"/>
      <c r="D23" s="34"/>
      <c r="E23" s="35"/>
      <c r="F23" s="34"/>
      <c r="G23" s="35"/>
      <c r="H23" s="35"/>
      <c r="I23" s="34"/>
      <c r="J23" s="19"/>
      <c r="K23" s="356">
        <v>186082.23</v>
      </c>
      <c r="L23" s="19"/>
      <c r="M23" s="354"/>
      <c r="N23" s="354"/>
    </row>
    <row r="24" spans="1:14" ht="15">
      <c r="A24" s="2" t="s">
        <v>275</v>
      </c>
      <c r="B24" s="352" t="s">
        <v>486</v>
      </c>
      <c r="C24" s="34"/>
      <c r="D24" s="34"/>
      <c r="E24" s="35"/>
      <c r="F24" s="34"/>
      <c r="G24" s="35"/>
      <c r="H24" s="35"/>
      <c r="I24" s="34"/>
      <c r="J24" s="19"/>
      <c r="K24" s="356">
        <v>227399.67999999999</v>
      </c>
      <c r="M24" s="354"/>
      <c r="N24" s="354"/>
    </row>
    <row r="25" spans="1:14" ht="15">
      <c r="A25" s="2" t="s">
        <v>276</v>
      </c>
      <c r="B25" s="352" t="s">
        <v>487</v>
      </c>
      <c r="C25" s="34"/>
      <c r="D25" s="34"/>
      <c r="E25" s="35"/>
      <c r="F25" s="34"/>
      <c r="G25" s="35"/>
      <c r="H25" s="35"/>
      <c r="I25" s="34"/>
      <c r="K25" s="356">
        <v>174593.02</v>
      </c>
      <c r="M25" s="354"/>
      <c r="N25" s="354"/>
    </row>
    <row r="26" spans="1:14" ht="15">
      <c r="A26" s="2" t="s">
        <v>277</v>
      </c>
      <c r="B26" s="352" t="s">
        <v>488</v>
      </c>
      <c r="C26" s="34"/>
      <c r="D26" s="34"/>
      <c r="E26" s="35"/>
      <c r="F26" s="34"/>
      <c r="G26" s="35"/>
      <c r="H26" s="35"/>
      <c r="I26" s="34"/>
      <c r="K26" s="356">
        <v>171581.34</v>
      </c>
      <c r="M26" s="354"/>
      <c r="N26" s="354"/>
    </row>
    <row r="27" spans="1:14" ht="15">
      <c r="A27" s="2" t="s">
        <v>80</v>
      </c>
      <c r="B27" s="352" t="s">
        <v>489</v>
      </c>
      <c r="C27" s="34"/>
      <c r="D27" s="34"/>
      <c r="E27" s="35"/>
      <c r="F27" s="34"/>
      <c r="G27" s="35"/>
      <c r="H27" s="35"/>
      <c r="I27" s="34"/>
      <c r="K27" s="356">
        <v>204875.48</v>
      </c>
      <c r="M27" s="354"/>
      <c r="N27" s="354"/>
    </row>
    <row r="28" spans="1:14" ht="15">
      <c r="A28" s="2" t="s">
        <v>278</v>
      </c>
      <c r="B28" s="352" t="s">
        <v>490</v>
      </c>
      <c r="C28" s="34"/>
      <c r="D28" s="34"/>
      <c r="E28" s="35"/>
      <c r="F28" s="34"/>
      <c r="G28" s="35"/>
      <c r="H28" s="35"/>
      <c r="I28" s="34"/>
      <c r="K28" s="356">
        <v>331436.95</v>
      </c>
      <c r="M28" s="354"/>
      <c r="N28" s="354"/>
    </row>
    <row r="29" spans="1:14" ht="15">
      <c r="A29" s="2" t="s">
        <v>279</v>
      </c>
      <c r="B29" s="352" t="s">
        <v>491</v>
      </c>
      <c r="C29" s="34"/>
      <c r="D29" s="34"/>
      <c r="E29" s="35"/>
      <c r="F29" s="34"/>
      <c r="G29" s="35"/>
      <c r="H29" s="35"/>
      <c r="I29" s="34"/>
      <c r="K29" s="356">
        <v>385696.78</v>
      </c>
      <c r="M29" s="354"/>
      <c r="N29" s="354"/>
    </row>
    <row r="30" spans="1:14" ht="15">
      <c r="A30" s="2" t="s">
        <v>280</v>
      </c>
      <c r="B30" s="352" t="s">
        <v>492</v>
      </c>
      <c r="C30" s="34"/>
      <c r="D30" s="34"/>
      <c r="E30" s="35"/>
      <c r="F30" s="34"/>
      <c r="G30" s="35"/>
      <c r="H30" s="35"/>
      <c r="I30" s="34"/>
      <c r="J30" s="2"/>
      <c r="K30" s="356">
        <v>556475.25</v>
      </c>
      <c r="M30" s="354"/>
      <c r="N30" s="354"/>
    </row>
    <row r="31" spans="1:14" ht="15">
      <c r="A31" s="2" t="s">
        <v>281</v>
      </c>
      <c r="B31" s="352" t="s">
        <v>493</v>
      </c>
      <c r="C31" s="34"/>
      <c r="D31" s="34"/>
      <c r="E31" s="35"/>
      <c r="F31" s="34"/>
      <c r="G31" s="35"/>
      <c r="H31" s="35"/>
      <c r="I31" s="34"/>
      <c r="J31" s="2"/>
      <c r="K31" s="356">
        <v>478163.46</v>
      </c>
      <c r="L31" s="19"/>
      <c r="M31" s="354"/>
      <c r="N31" s="354"/>
    </row>
    <row r="32" spans="1:14" ht="15">
      <c r="A32" s="2" t="s">
        <v>311</v>
      </c>
      <c r="B32" s="352" t="s">
        <v>494</v>
      </c>
      <c r="C32" s="34"/>
      <c r="D32" s="34"/>
      <c r="E32" s="35"/>
      <c r="F32" s="34"/>
      <c r="G32" s="35"/>
      <c r="H32" s="35"/>
      <c r="I32" s="34"/>
      <c r="J32" s="2"/>
      <c r="K32" s="356">
        <v>148298.76</v>
      </c>
      <c r="M32" s="354"/>
      <c r="N32" s="354"/>
    </row>
    <row r="33" spans="1:14" ht="15">
      <c r="A33" s="2" t="s">
        <v>323</v>
      </c>
      <c r="B33" s="352" t="s">
        <v>495</v>
      </c>
      <c r="C33" s="34"/>
      <c r="D33" s="34"/>
      <c r="E33" s="35"/>
      <c r="F33" s="34"/>
      <c r="G33" s="35"/>
      <c r="H33" s="35"/>
      <c r="I33" s="34"/>
      <c r="J33" s="2"/>
      <c r="K33" s="356">
        <v>181265.89</v>
      </c>
      <c r="M33" s="354"/>
      <c r="N33" s="354"/>
    </row>
    <row r="34" spans="1:14" ht="15">
      <c r="A34" s="2" t="s">
        <v>357</v>
      </c>
      <c r="B34" s="352" t="s">
        <v>496</v>
      </c>
      <c r="C34" s="34"/>
      <c r="D34" s="34"/>
      <c r="E34" s="35"/>
      <c r="F34" s="34"/>
      <c r="G34" s="35"/>
      <c r="H34" s="35"/>
      <c r="I34" s="34"/>
      <c r="J34" s="2"/>
      <c r="K34" s="356">
        <v>163045.79</v>
      </c>
      <c r="L34" s="26"/>
      <c r="M34" s="354"/>
      <c r="N34" s="354"/>
    </row>
    <row r="35" spans="1:14" ht="15">
      <c r="A35" s="2" t="s">
        <v>5</v>
      </c>
      <c r="B35" s="352" t="s">
        <v>497</v>
      </c>
      <c r="C35" s="34"/>
      <c r="D35" s="34"/>
      <c r="E35" s="35"/>
      <c r="F35" s="34"/>
      <c r="G35" s="35"/>
      <c r="H35" s="35"/>
      <c r="I35" s="34"/>
      <c r="J35" s="2"/>
      <c r="K35" s="356">
        <v>336182</v>
      </c>
      <c r="L35" s="26"/>
      <c r="M35" s="354"/>
      <c r="N35" s="354"/>
    </row>
    <row r="36" spans="1:14" ht="15">
      <c r="A36" s="2" t="s">
        <v>15</v>
      </c>
      <c r="B36" s="352" t="s">
        <v>498</v>
      </c>
      <c r="C36" s="34"/>
      <c r="D36" s="34"/>
      <c r="E36" s="35"/>
      <c r="F36" s="34"/>
      <c r="G36" s="35"/>
      <c r="H36" s="35"/>
      <c r="I36" s="34"/>
      <c r="J36" s="2"/>
      <c r="K36" s="356">
        <v>135598.35999999999</v>
      </c>
      <c r="L36" s="26"/>
      <c r="M36" s="354"/>
      <c r="N36" s="354"/>
    </row>
    <row r="37" spans="1:14" ht="15">
      <c r="A37" s="2" t="s">
        <v>16</v>
      </c>
      <c r="B37" s="352" t="s">
        <v>499</v>
      </c>
      <c r="C37" s="34"/>
      <c r="D37" s="34"/>
      <c r="E37" s="35"/>
      <c r="F37" s="34"/>
      <c r="G37" s="35"/>
      <c r="H37" s="35"/>
      <c r="I37" s="34"/>
      <c r="J37" s="2"/>
      <c r="K37" s="356">
        <v>305938.68</v>
      </c>
      <c r="L37" s="26"/>
      <c r="M37" s="354"/>
      <c r="N37" s="354"/>
    </row>
    <row r="38" spans="1:14" ht="15">
      <c r="A38" s="2" t="s">
        <v>18</v>
      </c>
      <c r="B38" s="352" t="s">
        <v>500</v>
      </c>
      <c r="C38" s="34"/>
      <c r="D38" s="34"/>
      <c r="E38" s="35"/>
      <c r="F38" s="34"/>
      <c r="G38" s="35"/>
      <c r="H38" s="35"/>
      <c r="I38" s="34"/>
      <c r="J38" s="2"/>
      <c r="K38" s="356">
        <v>271953.84999999998</v>
      </c>
      <c r="L38" s="26"/>
      <c r="M38" s="354"/>
      <c r="N38" s="354"/>
    </row>
    <row r="39" spans="1:14" ht="15">
      <c r="A39" s="2" t="s">
        <v>19</v>
      </c>
      <c r="B39" s="352" t="s">
        <v>501</v>
      </c>
      <c r="C39" s="34"/>
      <c r="D39" s="34"/>
      <c r="E39" s="35"/>
      <c r="F39" s="34"/>
      <c r="G39" s="35"/>
      <c r="H39" s="35"/>
      <c r="I39" s="34"/>
      <c r="J39" s="2"/>
      <c r="K39" s="356">
        <v>47284.9</v>
      </c>
      <c r="L39" s="26"/>
      <c r="M39" s="354"/>
      <c r="N39" s="354"/>
    </row>
    <row r="40" spans="1:14" ht="15">
      <c r="A40" s="2" t="s">
        <v>23</v>
      </c>
      <c r="B40" s="352" t="s">
        <v>502</v>
      </c>
      <c r="C40" s="34"/>
      <c r="D40" s="34"/>
      <c r="E40" s="35"/>
      <c r="F40" s="34"/>
      <c r="G40" s="35"/>
      <c r="H40" s="35"/>
      <c r="I40" s="34"/>
      <c r="J40" s="2"/>
      <c r="K40" s="356">
        <v>95919.81</v>
      </c>
      <c r="L40" s="26"/>
      <c r="M40" s="354"/>
      <c r="N40" s="354"/>
    </row>
    <row r="41" spans="1:14" ht="15">
      <c r="A41" s="2" t="s">
        <v>375</v>
      </c>
      <c r="B41" s="352" t="s">
        <v>503</v>
      </c>
      <c r="C41" s="34"/>
      <c r="D41" s="34"/>
      <c r="E41" s="35"/>
      <c r="F41" s="34"/>
      <c r="G41" s="35"/>
      <c r="H41" s="35"/>
      <c r="I41" s="34"/>
      <c r="J41" s="2"/>
      <c r="K41" s="356">
        <v>252383.75</v>
      </c>
      <c r="L41" s="26"/>
      <c r="M41" s="354"/>
      <c r="N41" s="354"/>
    </row>
    <row r="42" spans="1:14" ht="15">
      <c r="A42" s="2" t="s">
        <v>49</v>
      </c>
      <c r="B42" s="352" t="s">
        <v>504</v>
      </c>
      <c r="C42" s="34"/>
      <c r="D42" s="34"/>
      <c r="E42" s="35"/>
      <c r="F42" s="34"/>
      <c r="G42" s="35"/>
      <c r="H42" s="35"/>
      <c r="I42" s="34"/>
      <c r="J42" s="2"/>
      <c r="K42" s="356">
        <v>44457.31</v>
      </c>
      <c r="L42" s="26"/>
      <c r="M42" s="354"/>
      <c r="N42" s="354"/>
    </row>
    <row r="43" spans="1:14" ht="15">
      <c r="A43" s="2" t="s">
        <v>416</v>
      </c>
      <c r="B43" s="352" t="s">
        <v>505</v>
      </c>
      <c r="C43" s="34"/>
      <c r="D43" s="34"/>
      <c r="E43" s="35"/>
      <c r="F43" s="34"/>
      <c r="G43" s="35"/>
      <c r="H43" s="35"/>
      <c r="I43" s="34"/>
      <c r="J43" s="34"/>
      <c r="K43" s="356">
        <v>171126.94</v>
      </c>
      <c r="L43" s="26"/>
      <c r="M43" s="354"/>
      <c r="N43" s="354"/>
    </row>
    <row r="44" spans="1:14" ht="15">
      <c r="A44" s="2" t="s">
        <v>420</v>
      </c>
      <c r="B44" s="352" t="s">
        <v>506</v>
      </c>
      <c r="C44" s="34"/>
      <c r="D44" s="34"/>
      <c r="E44" s="35"/>
      <c r="F44" s="34"/>
      <c r="G44" s="35"/>
      <c r="H44" s="35"/>
      <c r="I44" s="34"/>
      <c r="J44" s="34"/>
      <c r="K44" s="356">
        <v>61536.35</v>
      </c>
      <c r="L44" s="26"/>
      <c r="M44" s="354"/>
      <c r="N44" s="354"/>
    </row>
    <row r="45" spans="1:14" ht="15">
      <c r="A45" s="2" t="s">
        <v>421</v>
      </c>
      <c r="B45" s="352" t="s">
        <v>507</v>
      </c>
      <c r="C45" s="34"/>
      <c r="D45" s="34"/>
      <c r="E45" s="35"/>
      <c r="F45" s="34"/>
      <c r="G45" s="35"/>
      <c r="H45" s="35"/>
      <c r="I45" s="34"/>
      <c r="J45" s="34"/>
      <c r="K45" s="356">
        <v>44990.17</v>
      </c>
      <c r="L45" s="26"/>
      <c r="M45" s="355" t="s">
        <v>509</v>
      </c>
      <c r="N45">
        <v>-89.78</v>
      </c>
    </row>
    <row r="46" spans="1:14" ht="15">
      <c r="A46" s="2" t="s">
        <v>425</v>
      </c>
      <c r="B46" s="352" t="s">
        <v>508</v>
      </c>
      <c r="C46" s="34"/>
      <c r="D46" s="34"/>
      <c r="E46" s="35"/>
      <c r="F46" s="34"/>
      <c r="G46" s="35"/>
      <c r="H46" s="35"/>
      <c r="I46" s="34"/>
      <c r="J46" s="34"/>
      <c r="K46" s="356">
        <v>319874.65000000002</v>
      </c>
      <c r="L46" s="26"/>
      <c r="M46" s="354" t="s">
        <v>510</v>
      </c>
      <c r="N46" s="354">
        <v>156083.93</v>
      </c>
    </row>
    <row r="47" spans="1:14" ht="15">
      <c r="A47" s="2"/>
      <c r="B47" s="36"/>
      <c r="C47" s="36"/>
      <c r="D47" s="36"/>
      <c r="E47" s="36"/>
      <c r="F47" s="37"/>
      <c r="G47" s="36"/>
      <c r="H47" s="37"/>
      <c r="I47" s="37"/>
      <c r="K47" s="326"/>
      <c r="M47" s="354" t="s">
        <v>511</v>
      </c>
      <c r="N47" s="354">
        <v>4544.2</v>
      </c>
    </row>
    <row r="48" spans="1:14" ht="15">
      <c r="A48" s="2"/>
      <c r="B48" s="34">
        <f>SUM(B16:B47)</f>
        <v>0</v>
      </c>
      <c r="C48" s="34"/>
      <c r="D48" s="34"/>
      <c r="E48" s="34">
        <f>SUM(E16:E47)</f>
        <v>0</v>
      </c>
      <c r="F48" s="34"/>
      <c r="G48" s="34">
        <f>SUM(G16:G47)</f>
        <v>0</v>
      </c>
      <c r="H48" s="35"/>
      <c r="I48" s="34"/>
      <c r="K48" s="27">
        <f>SUM(K16:K47)</f>
        <v>7005240.3699999992</v>
      </c>
      <c r="M48" s="354" t="s">
        <v>512</v>
      </c>
      <c r="N48" s="354">
        <v>-43.96</v>
      </c>
    </row>
    <row r="49" spans="1:14" ht="15">
      <c r="A49" s="2"/>
      <c r="B49" s="34"/>
      <c r="C49" s="34"/>
      <c r="D49" s="34"/>
      <c r="E49" s="34"/>
      <c r="F49" s="34"/>
      <c r="G49" s="35"/>
      <c r="H49" s="34"/>
      <c r="I49" s="34"/>
      <c r="K49" s="27">
        <v>7165808.0199999996</v>
      </c>
      <c r="L49" s="64" t="s">
        <v>443</v>
      </c>
      <c r="M49" s="354" t="s">
        <v>513</v>
      </c>
      <c r="N49" s="354">
        <v>73.22</v>
      </c>
    </row>
    <row r="50" spans="1:14">
      <c r="A50" s="2"/>
      <c r="B50" s="2"/>
      <c r="C50" s="2"/>
      <c r="D50" s="2"/>
      <c r="E50" s="38"/>
      <c r="F50" s="34"/>
      <c r="G50" s="33"/>
      <c r="H50" s="33"/>
      <c r="I50" s="38"/>
      <c r="J50" s="26"/>
      <c r="K50" s="27">
        <f>+K49-K48</f>
        <v>160567.65000000037</v>
      </c>
      <c r="L50" s="26"/>
      <c r="N50">
        <f>SUM(N45:N49)</f>
        <v>160567.61000000002</v>
      </c>
    </row>
    <row r="51" spans="1:14">
      <c r="A51" s="2"/>
      <c r="B51" s="2"/>
      <c r="C51" s="2"/>
      <c r="D51" s="2"/>
      <c r="E51" s="2"/>
      <c r="F51" s="2"/>
      <c r="G51" s="33"/>
      <c r="H51" s="2"/>
      <c r="I51" s="2"/>
      <c r="K51" s="263"/>
    </row>
    <row r="52" spans="1:14">
      <c r="A52" s="2"/>
      <c r="B52" s="2"/>
      <c r="C52" s="2"/>
      <c r="D52" s="2"/>
      <c r="E52" s="2"/>
      <c r="F52" s="2"/>
      <c r="G52" s="33"/>
      <c r="H52" s="2"/>
      <c r="I52" s="2"/>
      <c r="K52" s="27"/>
    </row>
    <row r="53" spans="1:14">
      <c r="A53" s="2"/>
      <c r="B53" s="2"/>
      <c r="C53" s="2"/>
      <c r="D53" s="2"/>
      <c r="E53" s="2"/>
      <c r="F53" s="2"/>
      <c r="G53" s="33"/>
      <c r="H53" s="2"/>
      <c r="I53" s="2"/>
      <c r="K53" s="27"/>
    </row>
    <row r="54" spans="1:14">
      <c r="A54" s="2"/>
      <c r="B54" s="2"/>
      <c r="C54" s="2"/>
      <c r="D54" s="2"/>
      <c r="E54" s="2"/>
      <c r="F54" s="2"/>
      <c r="G54" s="33"/>
      <c r="H54" s="2"/>
      <c r="I54" s="2"/>
      <c r="K54" s="33"/>
    </row>
    <row r="55" spans="1:14">
      <c r="A55" s="2"/>
      <c r="B55" s="2"/>
      <c r="C55" s="2"/>
      <c r="D55" s="2"/>
      <c r="E55" s="2"/>
      <c r="F55" s="2"/>
      <c r="G55" s="33"/>
      <c r="H55" s="2"/>
      <c r="I55" s="2"/>
      <c r="K55" s="33"/>
    </row>
    <row r="56" spans="1:14">
      <c r="A56" s="2"/>
      <c r="B56" s="2"/>
      <c r="C56" s="2"/>
      <c r="D56" s="2"/>
      <c r="E56" s="2"/>
      <c r="F56" s="2"/>
      <c r="G56" s="33"/>
      <c r="H56" s="2"/>
      <c r="I56" s="2"/>
      <c r="K56" s="33"/>
    </row>
    <row r="57" spans="1:14">
      <c r="A57" s="2"/>
      <c r="B57" s="2"/>
      <c r="C57" s="2"/>
      <c r="D57" s="2"/>
      <c r="E57" s="2"/>
      <c r="F57" s="2"/>
      <c r="G57" s="33"/>
      <c r="H57" s="2"/>
      <c r="I57" s="2"/>
      <c r="K57" s="33"/>
    </row>
    <row r="58" spans="1:14">
      <c r="A58" s="2"/>
      <c r="B58" s="2"/>
      <c r="C58" s="2"/>
      <c r="D58" s="2"/>
      <c r="E58" s="2"/>
      <c r="F58" s="2"/>
      <c r="G58" s="33"/>
      <c r="H58" s="2"/>
      <c r="I58" s="2"/>
      <c r="K58" s="33"/>
    </row>
    <row r="59" spans="1:14">
      <c r="A59" s="2"/>
      <c r="B59" s="2"/>
      <c r="C59" s="2"/>
      <c r="D59" s="2"/>
      <c r="E59" s="2"/>
      <c r="F59" s="2"/>
      <c r="G59" s="33"/>
      <c r="H59" s="2"/>
      <c r="I59" s="2"/>
    </row>
    <row r="60" spans="1:14">
      <c r="A60" s="2"/>
      <c r="B60" s="2"/>
      <c r="C60" s="2"/>
      <c r="D60" s="2"/>
      <c r="E60" s="2"/>
      <c r="F60" s="2"/>
      <c r="G60" s="33"/>
      <c r="H60" s="2"/>
      <c r="I60" s="2"/>
    </row>
    <row r="61" spans="1:14">
      <c r="A61" s="2"/>
      <c r="B61" s="2"/>
      <c r="C61" s="2"/>
      <c r="D61" s="2"/>
      <c r="E61" s="2"/>
      <c r="F61" s="2"/>
      <c r="G61" s="33"/>
      <c r="H61" s="2"/>
      <c r="I61" s="2"/>
    </row>
    <row r="62" spans="1:14">
      <c r="A62" s="2"/>
      <c r="B62" s="2"/>
      <c r="C62" s="2"/>
      <c r="D62" s="2"/>
      <c r="E62" s="2"/>
      <c r="F62" s="2"/>
      <c r="G62" s="33"/>
      <c r="H62" s="2"/>
      <c r="I62" s="2"/>
    </row>
    <row r="63" spans="1:14">
      <c r="A63" s="2"/>
    </row>
  </sheetData>
  <phoneticPr fontId="0" type="noConversion"/>
  <hyperlinks>
    <hyperlink ref="F1" location="Sommaire!A1" display="Retour au sommaire"/>
  </hyperlink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6"/>
  <sheetViews>
    <sheetView topLeftCell="A13" workbookViewId="0">
      <selection sqref="A1:IV65536"/>
    </sheetView>
  </sheetViews>
  <sheetFormatPr baseColWidth="10" defaultRowHeight="12.75"/>
  <cols>
    <col min="7" max="9" width="11.7109375" style="19" bestFit="1" customWidth="1"/>
  </cols>
  <sheetData>
    <row r="1" spans="1:14">
      <c r="A1" s="1" t="s">
        <v>476</v>
      </c>
      <c r="B1">
        <v>1</v>
      </c>
      <c r="C1">
        <v>1</v>
      </c>
      <c r="D1">
        <v>1</v>
      </c>
      <c r="E1">
        <v>1</v>
      </c>
      <c r="F1">
        <v>1</v>
      </c>
      <c r="G1" s="19">
        <v>1</v>
      </c>
      <c r="H1" s="19">
        <v>0</v>
      </c>
      <c r="I1" s="19">
        <v>0</v>
      </c>
      <c r="J1">
        <v>0</v>
      </c>
      <c r="K1">
        <v>0</v>
      </c>
      <c r="L1">
        <v>0</v>
      </c>
      <c r="M1">
        <v>0</v>
      </c>
      <c r="N1">
        <f>SUM(B1:M1)</f>
        <v>6</v>
      </c>
    </row>
    <row r="2" spans="1:14">
      <c r="B2" t="s">
        <v>380</v>
      </c>
      <c r="C2" t="s">
        <v>381</v>
      </c>
      <c r="D2" t="s">
        <v>376</v>
      </c>
      <c r="E2" t="s">
        <v>382</v>
      </c>
      <c r="F2" t="s">
        <v>383</v>
      </c>
      <c r="G2" s="19" t="s">
        <v>384</v>
      </c>
      <c r="H2" s="19" t="s">
        <v>385</v>
      </c>
      <c r="I2" s="19" t="s">
        <v>386</v>
      </c>
      <c r="J2" t="s">
        <v>387</v>
      </c>
      <c r="K2" t="s">
        <v>388</v>
      </c>
      <c r="L2" t="s">
        <v>389</v>
      </c>
      <c r="M2" t="s">
        <v>390</v>
      </c>
      <c r="N2" t="s">
        <v>444</v>
      </c>
    </row>
    <row r="3" spans="1:14">
      <c r="A3" t="s">
        <v>445</v>
      </c>
      <c r="B3">
        <v>64857.13</v>
      </c>
      <c r="C3">
        <v>77146.77</v>
      </c>
      <c r="D3">
        <v>75254.47</v>
      </c>
      <c r="E3">
        <v>84348.800000000003</v>
      </c>
      <c r="F3">
        <v>82203.3</v>
      </c>
      <c r="G3" s="19">
        <v>66532</v>
      </c>
      <c r="H3" s="19">
        <v>63502.96</v>
      </c>
      <c r="I3" s="19">
        <v>60855.73</v>
      </c>
      <c r="J3">
        <v>67534.94</v>
      </c>
      <c r="N3">
        <f>SUM(B3:M3)/$N$1</f>
        <v>107039.35000000002</v>
      </c>
    </row>
    <row r="4" spans="1:14">
      <c r="A4" t="s">
        <v>446</v>
      </c>
      <c r="B4">
        <v>165084.34</v>
      </c>
      <c r="C4">
        <v>151231.34</v>
      </c>
      <c r="D4">
        <v>136478.31</v>
      </c>
      <c r="E4">
        <v>119182.09</v>
      </c>
      <c r="F4">
        <v>127109.84</v>
      </c>
      <c r="G4" s="19">
        <v>121879</v>
      </c>
      <c r="H4" s="19">
        <v>129573.05</v>
      </c>
      <c r="I4" s="19">
        <v>128875.67</v>
      </c>
      <c r="J4">
        <v>144374.15</v>
      </c>
      <c r="N4">
        <f t="shared" ref="N4:N41" si="0">SUM(B4:M4)/$N$1</f>
        <v>203964.63166666662</v>
      </c>
    </row>
    <row r="5" spans="1:14">
      <c r="A5" t="s">
        <v>468</v>
      </c>
      <c r="B5">
        <v>-188987.72</v>
      </c>
      <c r="C5">
        <v>-219178.45</v>
      </c>
      <c r="D5">
        <v>-250274.75</v>
      </c>
      <c r="E5">
        <v>-299686.61</v>
      </c>
      <c r="F5">
        <v>-326534.14</v>
      </c>
      <c r="G5" s="19">
        <v>-346420</v>
      </c>
      <c r="H5" s="19">
        <v>0</v>
      </c>
      <c r="I5" s="19">
        <v>0</v>
      </c>
      <c r="J5">
        <v>0</v>
      </c>
      <c r="N5">
        <f t="shared" si="0"/>
        <v>-271846.94500000001</v>
      </c>
    </row>
    <row r="6" spans="1:14">
      <c r="A6" t="s">
        <v>26</v>
      </c>
      <c r="B6">
        <v>63021.96</v>
      </c>
      <c r="C6">
        <v>66764.929999999993</v>
      </c>
      <c r="D6">
        <v>66173.88</v>
      </c>
      <c r="E6">
        <v>73750.77</v>
      </c>
      <c r="F6">
        <v>75565.73</v>
      </c>
      <c r="G6" s="19">
        <v>68765</v>
      </c>
      <c r="H6" s="19">
        <v>72637.8</v>
      </c>
      <c r="I6" s="19">
        <v>72655.81</v>
      </c>
      <c r="J6">
        <v>62813</v>
      </c>
      <c r="N6">
        <f t="shared" si="0"/>
        <v>103691.47999999998</v>
      </c>
    </row>
    <row r="7" spans="1:14">
      <c r="A7" t="s">
        <v>447</v>
      </c>
      <c r="B7">
        <v>228048.11</v>
      </c>
      <c r="C7">
        <v>244591.18</v>
      </c>
      <c r="D7">
        <v>274837.34000000003</v>
      </c>
      <c r="E7">
        <v>235974.88</v>
      </c>
      <c r="F7">
        <v>269426.65999999997</v>
      </c>
      <c r="G7" s="19">
        <v>258549</v>
      </c>
      <c r="H7" s="19">
        <v>290882.42</v>
      </c>
      <c r="I7" s="19">
        <v>270598.23</v>
      </c>
      <c r="J7">
        <v>249396.78</v>
      </c>
      <c r="N7">
        <f t="shared" si="0"/>
        <v>387050.7666666666</v>
      </c>
    </row>
    <row r="8" spans="1:14">
      <c r="A8" t="s">
        <v>27</v>
      </c>
      <c r="B8">
        <v>27873.31</v>
      </c>
      <c r="C8">
        <v>27751.27</v>
      </c>
      <c r="D8">
        <v>27740.83</v>
      </c>
      <c r="E8">
        <v>28950.71</v>
      </c>
      <c r="F8">
        <v>27855.27</v>
      </c>
      <c r="G8" s="19">
        <v>27336</v>
      </c>
      <c r="H8" s="19">
        <v>28124.9</v>
      </c>
      <c r="I8" s="19">
        <v>28423.69</v>
      </c>
      <c r="J8">
        <v>32938.980000000003</v>
      </c>
      <c r="N8">
        <f t="shared" si="0"/>
        <v>42832.493333333332</v>
      </c>
    </row>
    <row r="9" spans="1:14">
      <c r="A9" t="s">
        <v>12</v>
      </c>
      <c r="B9">
        <v>81517.98</v>
      </c>
      <c r="C9">
        <v>117109.35</v>
      </c>
      <c r="D9">
        <v>104419.75</v>
      </c>
      <c r="E9">
        <v>112572.87</v>
      </c>
      <c r="F9">
        <v>112693.92</v>
      </c>
      <c r="G9" s="19">
        <v>114605</v>
      </c>
      <c r="H9" s="19">
        <v>106847.96</v>
      </c>
      <c r="I9" s="19">
        <v>103715.72</v>
      </c>
      <c r="J9">
        <v>93184.74</v>
      </c>
      <c r="N9">
        <f t="shared" si="0"/>
        <v>157777.88166666665</v>
      </c>
    </row>
    <row r="10" spans="1:14">
      <c r="A10" t="s">
        <v>448</v>
      </c>
      <c r="B10">
        <v>82354.69</v>
      </c>
      <c r="C10">
        <v>102297.01</v>
      </c>
      <c r="D10">
        <v>100220.54</v>
      </c>
      <c r="E10">
        <v>119587.63</v>
      </c>
      <c r="F10">
        <v>116949.54</v>
      </c>
      <c r="G10" s="19">
        <v>101772</v>
      </c>
      <c r="H10" s="19">
        <v>102329.78</v>
      </c>
      <c r="I10" s="19">
        <v>101073.52</v>
      </c>
      <c r="J10">
        <v>98152.74</v>
      </c>
      <c r="N10">
        <f t="shared" si="0"/>
        <v>154122.90833333333</v>
      </c>
    </row>
    <row r="11" spans="1:14">
      <c r="A11" t="s">
        <v>449</v>
      </c>
      <c r="B11">
        <v>83352.55</v>
      </c>
      <c r="C11">
        <v>88951.89</v>
      </c>
      <c r="D11">
        <v>88490.59</v>
      </c>
      <c r="E11">
        <v>83946.96</v>
      </c>
      <c r="F11">
        <v>80760.69</v>
      </c>
      <c r="G11" s="19">
        <v>88064</v>
      </c>
      <c r="H11" s="19">
        <v>95568.83</v>
      </c>
      <c r="I11" s="19">
        <v>95615.53</v>
      </c>
      <c r="J11">
        <v>92610.72</v>
      </c>
      <c r="N11">
        <f t="shared" si="0"/>
        <v>132893.62666666668</v>
      </c>
    </row>
    <row r="12" spans="1:14">
      <c r="A12" t="s">
        <v>470</v>
      </c>
      <c r="B12">
        <v>73845.429999999993</v>
      </c>
      <c r="C12">
        <v>75053.259999999995</v>
      </c>
      <c r="D12">
        <v>79962.649999999994</v>
      </c>
      <c r="E12">
        <v>78887.83</v>
      </c>
      <c r="F12">
        <v>70901.31</v>
      </c>
      <c r="G12" s="19">
        <v>69201</v>
      </c>
      <c r="H12" s="19">
        <v>80209.25</v>
      </c>
      <c r="I12" s="19">
        <v>72547.17</v>
      </c>
      <c r="J12">
        <v>75552.460000000006</v>
      </c>
      <c r="N12">
        <f t="shared" si="0"/>
        <v>112693.39333333333</v>
      </c>
    </row>
    <row r="13" spans="1:14">
      <c r="A13" t="s">
        <v>450</v>
      </c>
      <c r="B13">
        <v>109303.92</v>
      </c>
      <c r="C13">
        <v>128848.78</v>
      </c>
      <c r="D13">
        <v>118064.22</v>
      </c>
      <c r="E13">
        <v>123566.06</v>
      </c>
      <c r="F13">
        <v>115634.73</v>
      </c>
      <c r="G13" s="19">
        <v>123938</v>
      </c>
      <c r="H13" s="19">
        <v>139950.75</v>
      </c>
      <c r="I13" s="19">
        <v>128330.49</v>
      </c>
      <c r="J13">
        <v>114377.4</v>
      </c>
      <c r="N13">
        <f t="shared" si="0"/>
        <v>183669.05833333335</v>
      </c>
    </row>
    <row r="14" spans="1:14">
      <c r="A14" t="s">
        <v>451</v>
      </c>
      <c r="B14">
        <v>155681.49</v>
      </c>
      <c r="C14">
        <v>161266.96</v>
      </c>
      <c r="D14">
        <v>154105.38</v>
      </c>
      <c r="E14">
        <v>169576.41</v>
      </c>
      <c r="F14">
        <v>175781.27</v>
      </c>
      <c r="G14" s="19">
        <v>180206</v>
      </c>
      <c r="H14" s="19">
        <v>180417.87</v>
      </c>
      <c r="I14" s="19">
        <v>166487.43</v>
      </c>
      <c r="J14">
        <v>172113.91</v>
      </c>
      <c r="N14">
        <f t="shared" si="0"/>
        <v>252606.11999999997</v>
      </c>
    </row>
    <row r="15" spans="1:14">
      <c r="A15" t="s">
        <v>452</v>
      </c>
      <c r="B15">
        <v>113764.08</v>
      </c>
      <c r="C15">
        <v>123257.49</v>
      </c>
      <c r="D15">
        <v>129017.84</v>
      </c>
      <c r="E15">
        <v>116849.92</v>
      </c>
      <c r="F15">
        <v>128766.8</v>
      </c>
      <c r="G15" s="19">
        <v>123375</v>
      </c>
      <c r="H15" s="19">
        <v>156263.17000000001</v>
      </c>
      <c r="I15" s="19">
        <v>147379.9</v>
      </c>
      <c r="J15">
        <f>92203.59+30000</f>
        <v>122203.59</v>
      </c>
      <c r="N15">
        <f t="shared" si="0"/>
        <v>193479.63166666668</v>
      </c>
    </row>
    <row r="16" spans="1:14">
      <c r="A16" t="s">
        <v>419</v>
      </c>
      <c r="B16">
        <v>106158.05</v>
      </c>
      <c r="C16">
        <v>110176.53</v>
      </c>
      <c r="D16">
        <v>113002</v>
      </c>
      <c r="E16">
        <v>113464.2</v>
      </c>
      <c r="F16">
        <v>109442.32</v>
      </c>
      <c r="G16" s="19">
        <v>107070</v>
      </c>
      <c r="H16" s="19">
        <v>101812.62</v>
      </c>
      <c r="I16" s="19">
        <v>123077.57</v>
      </c>
      <c r="J16">
        <v>121600.05</v>
      </c>
      <c r="N16">
        <f t="shared" si="0"/>
        <v>167633.89000000001</v>
      </c>
    </row>
    <row r="17" spans="1:14">
      <c r="A17" t="s">
        <v>334</v>
      </c>
      <c r="B17">
        <v>222209.81</v>
      </c>
      <c r="C17">
        <v>230826.83</v>
      </c>
      <c r="D17">
        <v>231850.14</v>
      </c>
      <c r="E17">
        <v>251451.12</v>
      </c>
      <c r="F17">
        <v>248163.18</v>
      </c>
      <c r="G17" s="19">
        <v>234884</v>
      </c>
      <c r="H17" s="19">
        <v>260413.49</v>
      </c>
      <c r="I17" s="19">
        <v>243300.75</v>
      </c>
      <c r="J17">
        <v>225685.25</v>
      </c>
      <c r="N17">
        <f t="shared" si="0"/>
        <v>358130.76166666672</v>
      </c>
    </row>
    <row r="18" spans="1:14">
      <c r="A18" t="s">
        <v>453</v>
      </c>
      <c r="B18">
        <v>83201.899999999994</v>
      </c>
      <c r="C18">
        <v>99190.31</v>
      </c>
      <c r="D18">
        <v>106723.18</v>
      </c>
      <c r="E18">
        <v>98666.16</v>
      </c>
      <c r="F18">
        <v>87616.6</v>
      </c>
      <c r="G18" s="19">
        <v>96181</v>
      </c>
      <c r="H18" s="19">
        <v>97370.69</v>
      </c>
      <c r="I18" s="19">
        <v>99159.76</v>
      </c>
      <c r="J18">
        <v>94366.69</v>
      </c>
      <c r="N18">
        <f t="shared" si="0"/>
        <v>143746.04833333334</v>
      </c>
    </row>
    <row r="19" spans="1:14">
      <c r="A19" t="s">
        <v>472</v>
      </c>
      <c r="B19">
        <v>44757.97</v>
      </c>
      <c r="C19">
        <v>47048.54</v>
      </c>
      <c r="D19">
        <v>42848.12</v>
      </c>
      <c r="E19">
        <v>40922.49</v>
      </c>
      <c r="F19">
        <v>51456.65</v>
      </c>
      <c r="G19" s="19">
        <v>38057</v>
      </c>
      <c r="H19" s="19">
        <v>31400.48</v>
      </c>
      <c r="I19" s="19">
        <v>27466.51</v>
      </c>
      <c r="J19">
        <v>33953.03</v>
      </c>
      <c r="N19">
        <f t="shared" si="0"/>
        <v>59651.79833333334</v>
      </c>
    </row>
    <row r="20" spans="1:14">
      <c r="A20" t="s">
        <v>454</v>
      </c>
      <c r="B20">
        <v>211400.06</v>
      </c>
      <c r="C20">
        <v>205552.61</v>
      </c>
      <c r="D20">
        <v>247067.53</v>
      </c>
      <c r="E20">
        <v>181692.33</v>
      </c>
      <c r="F20">
        <v>123585.3</v>
      </c>
      <c r="G20" s="19">
        <v>274417</v>
      </c>
      <c r="H20" s="19">
        <v>248601.63</v>
      </c>
      <c r="I20" s="19">
        <v>249479.69</v>
      </c>
      <c r="J20">
        <v>258467.73</v>
      </c>
      <c r="N20">
        <f t="shared" si="0"/>
        <v>333377.3133333333</v>
      </c>
    </row>
    <row r="21" spans="1:14">
      <c r="A21" t="s">
        <v>28</v>
      </c>
      <c r="B21">
        <v>72542.28</v>
      </c>
      <c r="C21">
        <v>74207.88</v>
      </c>
      <c r="D21">
        <v>76813.240000000005</v>
      </c>
      <c r="E21">
        <v>88890.92</v>
      </c>
      <c r="F21">
        <v>83043.05</v>
      </c>
      <c r="G21" s="19">
        <v>72028</v>
      </c>
      <c r="H21" s="19">
        <v>74072.429999999993</v>
      </c>
      <c r="I21" s="19">
        <v>65227.41</v>
      </c>
      <c r="J21">
        <v>75551.91</v>
      </c>
      <c r="N21">
        <f t="shared" si="0"/>
        <v>113729.52000000002</v>
      </c>
    </row>
    <row r="22" spans="1:14">
      <c r="A22" t="s">
        <v>455</v>
      </c>
      <c r="B22">
        <v>317416.01</v>
      </c>
      <c r="C22">
        <v>322292.40000000002</v>
      </c>
      <c r="D22">
        <v>330243.27</v>
      </c>
      <c r="E22">
        <v>309009.17</v>
      </c>
      <c r="F22">
        <v>348607.28</v>
      </c>
      <c r="G22" s="19">
        <v>354996</v>
      </c>
      <c r="H22" s="19">
        <v>347861.33</v>
      </c>
      <c r="I22" s="19">
        <v>330761.12</v>
      </c>
      <c r="J22">
        <v>314991.71000000002</v>
      </c>
      <c r="N22">
        <f t="shared" si="0"/>
        <v>496029.71500000003</v>
      </c>
    </row>
    <row r="23" spans="1:14">
      <c r="A23" t="s">
        <v>29</v>
      </c>
      <c r="B23">
        <v>113854.46</v>
      </c>
      <c r="C23">
        <v>124442.24000000001</v>
      </c>
      <c r="D23">
        <v>113069.23</v>
      </c>
      <c r="E23">
        <v>120832.56</v>
      </c>
      <c r="F23">
        <v>113352.7</v>
      </c>
      <c r="G23" s="19">
        <v>103111</v>
      </c>
      <c r="H23" s="19">
        <v>103048.18</v>
      </c>
      <c r="I23" s="19">
        <v>127189.32</v>
      </c>
      <c r="J23">
        <v>122597.31</v>
      </c>
      <c r="N23">
        <f t="shared" si="0"/>
        <v>173582.83333333334</v>
      </c>
    </row>
    <row r="24" spans="1:14">
      <c r="A24" t="s">
        <v>456</v>
      </c>
      <c r="B24">
        <v>135198.76999999999</v>
      </c>
      <c r="C24">
        <v>137122.32</v>
      </c>
      <c r="D24">
        <v>129964.01</v>
      </c>
      <c r="E24">
        <v>117822.86</v>
      </c>
      <c r="F24">
        <v>133138.38</v>
      </c>
      <c r="G24" s="19">
        <v>113211</v>
      </c>
      <c r="H24" s="19">
        <v>144024.98000000001</v>
      </c>
      <c r="I24" s="19">
        <v>154834.56</v>
      </c>
      <c r="J24">
        <v>126837.91</v>
      </c>
      <c r="N24">
        <f t="shared" si="0"/>
        <v>198692.46499999997</v>
      </c>
    </row>
    <row r="25" spans="1:14">
      <c r="A25" t="s">
        <v>464</v>
      </c>
      <c r="B25">
        <v>105816.14</v>
      </c>
      <c r="C25">
        <v>117372.42</v>
      </c>
      <c r="D25">
        <v>121479.48</v>
      </c>
      <c r="E25">
        <v>118300.18</v>
      </c>
      <c r="F25">
        <v>118015.36</v>
      </c>
      <c r="G25" s="19">
        <v>132549</v>
      </c>
      <c r="H25" s="19">
        <v>132890.87</v>
      </c>
      <c r="I25" s="19">
        <v>139999.38</v>
      </c>
      <c r="J25">
        <v>122021.05</v>
      </c>
      <c r="N25">
        <f t="shared" si="0"/>
        <v>184740.64666666664</v>
      </c>
    </row>
    <row r="26" spans="1:14">
      <c r="A26" t="s">
        <v>457</v>
      </c>
      <c r="B26">
        <v>108351.41</v>
      </c>
      <c r="C26">
        <v>110130.56</v>
      </c>
      <c r="D26">
        <v>111368.26</v>
      </c>
      <c r="E26">
        <v>136582.89000000001</v>
      </c>
      <c r="F26">
        <v>122928.33</v>
      </c>
      <c r="G26" s="19">
        <v>119921</v>
      </c>
      <c r="H26" s="19">
        <v>115076.56</v>
      </c>
      <c r="I26" s="19">
        <v>104202.33</v>
      </c>
      <c r="J26">
        <v>119161.86</v>
      </c>
      <c r="N26">
        <f t="shared" si="0"/>
        <v>174620.53333333333</v>
      </c>
    </row>
    <row r="27" spans="1:14">
      <c r="A27" t="s">
        <v>466</v>
      </c>
      <c r="B27">
        <v>40468.74</v>
      </c>
      <c r="C27">
        <v>39868.949999999997</v>
      </c>
      <c r="D27">
        <v>42286.14</v>
      </c>
      <c r="E27">
        <v>40076.620000000003</v>
      </c>
      <c r="F27">
        <v>42152.86</v>
      </c>
      <c r="G27" s="19">
        <v>44062</v>
      </c>
      <c r="H27" s="19">
        <v>45944.39</v>
      </c>
      <c r="I27" s="19">
        <v>48440.21</v>
      </c>
      <c r="J27">
        <v>46652.44</v>
      </c>
      <c r="N27">
        <f t="shared" si="0"/>
        <v>64992.058333333342</v>
      </c>
    </row>
    <row r="28" spans="1:14">
      <c r="A28" t="s">
        <v>474</v>
      </c>
      <c r="B28">
        <v>378925</v>
      </c>
      <c r="C28">
        <v>356089</v>
      </c>
      <c r="D28">
        <v>343028</v>
      </c>
      <c r="E28">
        <v>342193</v>
      </c>
      <c r="F28">
        <v>330201</v>
      </c>
      <c r="G28" s="19">
        <v>324152</v>
      </c>
      <c r="H28" s="19">
        <v>308976</v>
      </c>
      <c r="I28" s="19">
        <v>314085</v>
      </c>
      <c r="J28">
        <v>315967</v>
      </c>
      <c r="N28">
        <f t="shared" si="0"/>
        <v>502269.33333333331</v>
      </c>
    </row>
    <row r="29" spans="1:14">
      <c r="A29" t="s">
        <v>458</v>
      </c>
      <c r="B29">
        <v>99355.44</v>
      </c>
      <c r="C29">
        <v>100391.17</v>
      </c>
      <c r="D29">
        <v>97462.19</v>
      </c>
      <c r="E29">
        <v>101017.56</v>
      </c>
      <c r="F29">
        <v>97639.1</v>
      </c>
      <c r="G29" s="19">
        <v>93504</v>
      </c>
      <c r="H29" s="19">
        <v>94180.12</v>
      </c>
      <c r="I29" s="19">
        <v>83368.489999999947</v>
      </c>
      <c r="J29">
        <v>92949.75</v>
      </c>
      <c r="N29">
        <f t="shared" si="0"/>
        <v>143311.30333333332</v>
      </c>
    </row>
    <row r="30" spans="1:14">
      <c r="A30" t="s">
        <v>459</v>
      </c>
      <c r="B30">
        <v>173089.29</v>
      </c>
      <c r="C30">
        <v>171909.57</v>
      </c>
      <c r="D30">
        <v>182239.97</v>
      </c>
      <c r="E30">
        <v>195707.84</v>
      </c>
      <c r="F30">
        <v>209221.01</v>
      </c>
      <c r="G30" s="19">
        <v>190495</v>
      </c>
      <c r="H30" s="19">
        <v>200768.81</v>
      </c>
      <c r="I30" s="19">
        <v>171789.34</v>
      </c>
      <c r="J30">
        <v>202480.68</v>
      </c>
      <c r="N30">
        <f t="shared" si="0"/>
        <v>282950.25166666665</v>
      </c>
    </row>
    <row r="31" spans="1:14">
      <c r="A31" t="s">
        <v>460</v>
      </c>
      <c r="B31">
        <v>181789.1</v>
      </c>
      <c r="C31">
        <v>238224.29</v>
      </c>
      <c r="D31">
        <v>237279.26</v>
      </c>
      <c r="E31">
        <v>235250.54</v>
      </c>
      <c r="F31">
        <v>222314.42</v>
      </c>
      <c r="G31" s="19">
        <v>256218</v>
      </c>
      <c r="H31" s="19">
        <v>221281.55</v>
      </c>
      <c r="I31" s="19">
        <v>219902.26</v>
      </c>
      <c r="J31">
        <v>225108.01</v>
      </c>
      <c r="N31">
        <f t="shared" si="0"/>
        <v>339561.23833333334</v>
      </c>
    </row>
    <row r="32" spans="1:14">
      <c r="A32" t="s">
        <v>471</v>
      </c>
      <c r="B32">
        <v>65175.5</v>
      </c>
      <c r="C32">
        <v>72960.53</v>
      </c>
      <c r="D32">
        <v>74827.72</v>
      </c>
      <c r="E32">
        <v>83596.160000000003</v>
      </c>
      <c r="F32">
        <v>76322.27</v>
      </c>
      <c r="G32" s="19">
        <v>77771</v>
      </c>
      <c r="H32" s="19">
        <v>79652.59</v>
      </c>
      <c r="I32" s="19">
        <v>80074.490000000005</v>
      </c>
      <c r="J32">
        <f>29980.84-29980.84+76297.53</f>
        <v>76297.53</v>
      </c>
      <c r="N32">
        <f t="shared" si="0"/>
        <v>114446.29833333334</v>
      </c>
    </row>
    <row r="33" spans="1:14">
      <c r="A33" t="s">
        <v>473</v>
      </c>
      <c r="B33">
        <v>41387.86</v>
      </c>
      <c r="C33">
        <v>44632.13</v>
      </c>
      <c r="D33">
        <v>147549.54</v>
      </c>
      <c r="E33">
        <v>157738.04999999999</v>
      </c>
      <c r="F33">
        <v>149119.85999999999</v>
      </c>
      <c r="G33" s="19">
        <v>164415</v>
      </c>
      <c r="H33" s="19">
        <v>160474.87</v>
      </c>
      <c r="I33" s="19">
        <v>164314.07</v>
      </c>
      <c r="J33">
        <v>159003.73000000001</v>
      </c>
      <c r="N33">
        <f t="shared" si="0"/>
        <v>198105.85166666665</v>
      </c>
    </row>
    <row r="34" spans="1:14">
      <c r="A34" t="s">
        <v>467</v>
      </c>
      <c r="B34">
        <v>65141.02</v>
      </c>
      <c r="C34">
        <v>66746.080000000002</v>
      </c>
      <c r="D34">
        <v>67043.19</v>
      </c>
      <c r="E34">
        <v>71870.429999999993</v>
      </c>
      <c r="F34">
        <v>73652.84</v>
      </c>
      <c r="G34" s="19">
        <v>87312</v>
      </c>
      <c r="H34" s="19">
        <v>90550.16</v>
      </c>
      <c r="I34" s="19">
        <v>76279.070000000007</v>
      </c>
      <c r="J34">
        <v>80649.47</v>
      </c>
      <c r="N34">
        <f t="shared" si="0"/>
        <v>113207.37666666666</v>
      </c>
    </row>
    <row r="35" spans="1:14">
      <c r="A35" t="s">
        <v>469</v>
      </c>
      <c r="B35">
        <v>61637.15</v>
      </c>
      <c r="C35">
        <v>61168.11</v>
      </c>
      <c r="D35">
        <v>66791.429999999993</v>
      </c>
      <c r="E35">
        <v>66128.39</v>
      </c>
      <c r="F35">
        <v>64234.81</v>
      </c>
      <c r="G35" s="19">
        <v>63558</v>
      </c>
      <c r="H35" s="19">
        <v>64181.97</v>
      </c>
      <c r="I35" s="19">
        <v>62260.43</v>
      </c>
      <c r="J35">
        <v>63016.07</v>
      </c>
      <c r="N35">
        <f t="shared" si="0"/>
        <v>95496.06</v>
      </c>
    </row>
    <row r="36" spans="1:14">
      <c r="A36" t="s">
        <v>461</v>
      </c>
      <c r="B36">
        <v>128279.99</v>
      </c>
      <c r="C36">
        <v>140937.60999999999</v>
      </c>
      <c r="D36">
        <v>136421.99</v>
      </c>
      <c r="E36">
        <v>150871.47</v>
      </c>
      <c r="F36">
        <v>139955.34</v>
      </c>
      <c r="G36" s="19">
        <v>135971</v>
      </c>
      <c r="H36" s="19">
        <v>124938.78</v>
      </c>
      <c r="I36" s="19">
        <v>119083.89</v>
      </c>
      <c r="J36">
        <v>117089.28</v>
      </c>
      <c r="N36">
        <f t="shared" si="0"/>
        <v>198924.89166666663</v>
      </c>
    </row>
    <row r="37" spans="1:14">
      <c r="A37" t="s">
        <v>465</v>
      </c>
      <c r="B37">
        <v>184964.5</v>
      </c>
      <c r="C37">
        <v>199270.45</v>
      </c>
      <c r="D37">
        <v>184499.07</v>
      </c>
      <c r="E37">
        <v>185072.19</v>
      </c>
      <c r="F37">
        <v>161290.56</v>
      </c>
      <c r="G37" s="19">
        <v>172757</v>
      </c>
      <c r="H37" s="19">
        <v>170147.05</v>
      </c>
      <c r="I37" s="19">
        <v>159426.03</v>
      </c>
      <c r="J37">
        <v>170368.96</v>
      </c>
      <c r="N37">
        <f t="shared" si="0"/>
        <v>264632.63500000001</v>
      </c>
    </row>
    <row r="38" spans="1:14">
      <c r="A38" t="s">
        <v>53</v>
      </c>
      <c r="B38">
        <v>109865.62</v>
      </c>
      <c r="C38">
        <v>108243.98</v>
      </c>
      <c r="D38">
        <v>117156.25</v>
      </c>
      <c r="E38">
        <v>130761.18</v>
      </c>
      <c r="F38">
        <v>117096.23</v>
      </c>
      <c r="G38" s="19">
        <v>97670</v>
      </c>
      <c r="H38" s="19">
        <v>107710.45</v>
      </c>
      <c r="I38" s="19">
        <v>104907.01</v>
      </c>
      <c r="J38">
        <v>106899.08</v>
      </c>
      <c r="N38">
        <f t="shared" si="0"/>
        <v>166718.29999999999</v>
      </c>
    </row>
    <row r="39" spans="1:14">
      <c r="A39" t="s">
        <v>462</v>
      </c>
      <c r="B39">
        <v>165784.89000000001</v>
      </c>
      <c r="C39">
        <v>326075.26</v>
      </c>
      <c r="D39">
        <v>188025.69</v>
      </c>
      <c r="E39">
        <v>203134.76</v>
      </c>
      <c r="F39">
        <v>187530.45</v>
      </c>
      <c r="G39" s="19">
        <v>172974</v>
      </c>
      <c r="H39" s="19">
        <v>168566.22</v>
      </c>
      <c r="I39" s="19">
        <v>167187.44</v>
      </c>
      <c r="J39">
        <v>159586.81</v>
      </c>
      <c r="N39">
        <f t="shared" si="0"/>
        <v>289810.92</v>
      </c>
    </row>
    <row r="40" spans="1:14">
      <c r="A40" t="s">
        <v>463</v>
      </c>
      <c r="B40">
        <v>13005.75</v>
      </c>
      <c r="C40">
        <v>26011.5</v>
      </c>
      <c r="D40">
        <v>13005.75</v>
      </c>
      <c r="E40">
        <v>13005.75</v>
      </c>
      <c r="F40">
        <v>13005.75</v>
      </c>
      <c r="G40" s="19">
        <v>13006</v>
      </c>
      <c r="H40" s="19">
        <v>13005.75</v>
      </c>
      <c r="I40" s="19">
        <v>13005.75</v>
      </c>
      <c r="J40">
        <v>13005.75</v>
      </c>
      <c r="N40">
        <f t="shared" si="0"/>
        <v>21676.291666666668</v>
      </c>
    </row>
    <row r="41" spans="1:14">
      <c r="A41" t="s">
        <v>475</v>
      </c>
      <c r="B41">
        <f t="shared" ref="B41:J41" si="1">SUM(B3:B40)</f>
        <v>4289493.9800000004</v>
      </c>
      <c r="C41">
        <f t="shared" si="1"/>
        <v>4675983.05</v>
      </c>
      <c r="D41">
        <f t="shared" si="1"/>
        <v>4626535.7000000011</v>
      </c>
      <c r="E41">
        <f t="shared" si="1"/>
        <v>4601567.1400000006</v>
      </c>
      <c r="F41">
        <f t="shared" si="1"/>
        <v>4480200.57</v>
      </c>
      <c r="G41" s="19">
        <f t="shared" si="1"/>
        <v>4538092</v>
      </c>
      <c r="H41" s="19">
        <f t="shared" si="1"/>
        <v>4953260.71</v>
      </c>
      <c r="I41" s="19">
        <f t="shared" si="1"/>
        <v>4825380.7699999996</v>
      </c>
      <c r="J41" s="19">
        <f t="shared" si="1"/>
        <v>4769562.47</v>
      </c>
      <c r="K41">
        <v>0</v>
      </c>
      <c r="L41">
        <v>0</v>
      </c>
      <c r="M41">
        <v>0</v>
      </c>
      <c r="N41">
        <f t="shared" si="0"/>
        <v>6960012.7316666665</v>
      </c>
    </row>
    <row r="43" spans="1:14">
      <c r="B43">
        <f>+B41-B40-B34-B28-B27-B22-B19-B18-B12-B5</f>
        <v>3461719.8800000008</v>
      </c>
      <c r="C43">
        <f>+C41-C40-C34-C28-C27-C22-C19-C18-C12-C5</f>
        <v>3862861.46</v>
      </c>
      <c r="D43">
        <f>+D41-D40-D34-D28-D27-D22-D19-D18-D12-D5</f>
        <v>3851670.1500000004</v>
      </c>
      <c r="E43">
        <f t="shared" ref="E43:J43" si="2">+E41-E40-E34-E27-E22-E19-E18-E12-E5</f>
        <v>4248815.3000000007</v>
      </c>
      <c r="F43">
        <f t="shared" si="2"/>
        <v>4119341.42</v>
      </c>
      <c r="G43" s="19">
        <f t="shared" si="2"/>
        <v>4181697</v>
      </c>
      <c r="H43" s="19">
        <f t="shared" si="2"/>
        <v>4246918.6599999992</v>
      </c>
      <c r="I43" s="19">
        <f t="shared" si="2"/>
        <v>4157721.1799999997</v>
      </c>
      <c r="J43" s="19">
        <f t="shared" si="2"/>
        <v>4110390.9199999995</v>
      </c>
    </row>
    <row r="44" spans="1:14">
      <c r="E44" s="26"/>
      <c r="F44" s="26"/>
      <c r="J44" s="19">
        <f>+J43-Conso!$F$57</f>
        <v>575176.77439999999</v>
      </c>
    </row>
    <row r="46" spans="1:14">
      <c r="J46">
        <f>SUM(B32:I32)/8</f>
        <v>76297.532500000001</v>
      </c>
    </row>
  </sheetData>
  <phoneticPr fontId="0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208"/>
  <sheetViews>
    <sheetView workbookViewId="0">
      <pane xSplit="3030" activePane="topRight"/>
      <selection sqref="A1:IV65536"/>
      <selection pane="topRight" activeCell="G3" sqref="G3"/>
    </sheetView>
  </sheetViews>
  <sheetFormatPr baseColWidth="10" defaultRowHeight="12.75"/>
  <cols>
    <col min="1" max="1" width="24.7109375" style="26" customWidth="1"/>
    <col min="2" max="3" width="10.42578125" style="553" customWidth="1"/>
    <col min="4" max="4" width="10.140625" style="553" bestFit="1" customWidth="1"/>
    <col min="5" max="6" width="13.28515625" style="26" customWidth="1"/>
    <col min="7" max="16384" width="11.42578125" style="463"/>
  </cols>
  <sheetData>
    <row r="1" spans="1:7" s="455" customFormat="1" ht="13.5" customHeight="1" thickBot="1">
      <c r="A1" s="454"/>
      <c r="B1" s="1454" t="s">
        <v>694</v>
      </c>
      <c r="C1" s="1455"/>
      <c r="D1" s="1455"/>
      <c r="E1" s="319" t="s">
        <v>389</v>
      </c>
      <c r="F1" s="319" t="s">
        <v>390</v>
      </c>
      <c r="G1" s="480" t="s">
        <v>697</v>
      </c>
    </row>
    <row r="2" spans="1:7" s="455" customFormat="1" ht="13.5" customHeight="1" thickBot="1">
      <c r="A2" s="320"/>
      <c r="B2" s="456" t="s">
        <v>695</v>
      </c>
      <c r="C2" s="457" t="s">
        <v>696</v>
      </c>
      <c r="D2" s="458" t="s">
        <v>391</v>
      </c>
      <c r="E2" s="321" t="s">
        <v>391</v>
      </c>
      <c r="F2" s="321" t="s">
        <v>391</v>
      </c>
      <c r="G2" s="480" t="s">
        <v>698</v>
      </c>
    </row>
    <row r="3" spans="1:7" ht="13.5" customHeight="1">
      <c r="A3" s="459" t="s">
        <v>204</v>
      </c>
      <c r="B3" s="460">
        <v>936987.84000000008</v>
      </c>
      <c r="C3" s="461">
        <v>951531.55</v>
      </c>
      <c r="D3" s="462">
        <v>977550</v>
      </c>
      <c r="E3" s="460">
        <v>85500</v>
      </c>
      <c r="F3" s="460">
        <v>76950</v>
      </c>
      <c r="G3" s="460">
        <f>+B3+((E3+F3)/D3)*B3</f>
        <v>1092697.1895043734</v>
      </c>
    </row>
    <row r="4" spans="1:7" ht="13.5" hidden="1" customHeight="1" thickBot="1">
      <c r="A4" s="464" t="s">
        <v>578</v>
      </c>
      <c r="B4" s="465">
        <v>303126.50000000006</v>
      </c>
      <c r="C4" s="466">
        <v>427802.9</v>
      </c>
      <c r="D4" s="467">
        <v>488775</v>
      </c>
      <c r="E4" s="465">
        <v>42750</v>
      </c>
      <c r="F4" s="465">
        <v>38475</v>
      </c>
      <c r="G4" s="465">
        <f t="shared" ref="G4:G67" si="0">+B4+((E4+F4)/D4)*B4</f>
        <v>353500.29154518957</v>
      </c>
    </row>
    <row r="5" spans="1:7" ht="13.5" hidden="1" customHeight="1" thickBot="1">
      <c r="A5" s="464" t="s">
        <v>579</v>
      </c>
      <c r="B5" s="465">
        <v>4675.8999999999996</v>
      </c>
      <c r="C5" s="466">
        <v>2354.7000000000003</v>
      </c>
      <c r="D5" s="467">
        <v>8575</v>
      </c>
      <c r="E5" s="465">
        <v>750</v>
      </c>
      <c r="F5" s="465">
        <v>675</v>
      </c>
      <c r="G5" s="465">
        <f t="shared" si="0"/>
        <v>5452.9446064139938</v>
      </c>
    </row>
    <row r="6" spans="1:7" ht="13.5" hidden="1" customHeight="1" thickBot="1">
      <c r="A6" s="464" t="s">
        <v>580</v>
      </c>
      <c r="B6" s="465">
        <v>402097.3</v>
      </c>
      <c r="C6" s="466">
        <v>392381.2</v>
      </c>
      <c r="D6" s="467">
        <v>325850</v>
      </c>
      <c r="E6" s="465">
        <v>28500</v>
      </c>
      <c r="F6" s="465">
        <v>25650</v>
      </c>
      <c r="G6" s="465">
        <f t="shared" si="0"/>
        <v>468918.13411078718</v>
      </c>
    </row>
    <row r="7" spans="1:7" ht="13.5" hidden="1" customHeight="1" thickBot="1">
      <c r="A7" s="468" t="s">
        <v>581</v>
      </c>
      <c r="B7" s="465">
        <v>118557.9</v>
      </c>
      <c r="C7" s="466">
        <v>122748.9</v>
      </c>
      <c r="D7" s="467">
        <v>157500</v>
      </c>
      <c r="E7" s="465">
        <v>12600</v>
      </c>
      <c r="F7" s="465">
        <v>9900</v>
      </c>
      <c r="G7" s="465">
        <f t="shared" si="0"/>
        <v>135494.74285714285</v>
      </c>
    </row>
    <row r="8" spans="1:7" ht="13.5" customHeight="1">
      <c r="A8" s="469" t="s">
        <v>205</v>
      </c>
      <c r="B8" s="465">
        <v>1060899.26</v>
      </c>
      <c r="C8" s="466">
        <v>1046488.1900000001</v>
      </c>
      <c r="D8" s="467">
        <v>1089025</v>
      </c>
      <c r="E8" s="465">
        <v>95250</v>
      </c>
      <c r="F8" s="465">
        <v>85725</v>
      </c>
      <c r="G8" s="465">
        <f t="shared" si="0"/>
        <v>1237200.303206997</v>
      </c>
    </row>
    <row r="9" spans="1:7" ht="13.5" hidden="1" customHeight="1" thickBot="1">
      <c r="A9" s="470" t="s">
        <v>582</v>
      </c>
      <c r="B9" s="465">
        <v>105104.40000000001</v>
      </c>
      <c r="C9" s="466">
        <v>98662.5</v>
      </c>
      <c r="D9" s="467">
        <v>102900</v>
      </c>
      <c r="E9" s="465">
        <v>9000</v>
      </c>
      <c r="F9" s="465">
        <v>8100</v>
      </c>
      <c r="G9" s="465">
        <f t="shared" si="0"/>
        <v>122570.72886297377</v>
      </c>
    </row>
    <row r="10" spans="1:7" ht="13.5" hidden="1" customHeight="1" thickBot="1">
      <c r="A10" s="470" t="s">
        <v>583</v>
      </c>
      <c r="B10" s="465">
        <v>362287.8</v>
      </c>
      <c r="C10" s="466">
        <v>391365.8</v>
      </c>
      <c r="D10" s="467">
        <v>454475</v>
      </c>
      <c r="E10" s="465">
        <v>39750</v>
      </c>
      <c r="F10" s="465">
        <v>35775</v>
      </c>
      <c r="G10" s="465">
        <f t="shared" si="0"/>
        <v>422493.06122448976</v>
      </c>
    </row>
    <row r="11" spans="1:7" ht="13.5" hidden="1" customHeight="1" thickBot="1">
      <c r="A11" s="470" t="s">
        <v>584</v>
      </c>
      <c r="B11" s="465">
        <v>278777.2</v>
      </c>
      <c r="C11" s="466">
        <v>307691.39999999997</v>
      </c>
      <c r="D11" s="467">
        <v>308700</v>
      </c>
      <c r="E11" s="465">
        <v>27000</v>
      </c>
      <c r="F11" s="465">
        <v>24300</v>
      </c>
      <c r="G11" s="465">
        <f t="shared" si="0"/>
        <v>325104.60641399416</v>
      </c>
    </row>
    <row r="12" spans="1:7" ht="13.5" hidden="1" customHeight="1" thickTop="1" thickBot="1">
      <c r="A12" s="470" t="s">
        <v>585</v>
      </c>
      <c r="B12" s="465">
        <v>170</v>
      </c>
      <c r="C12" s="466">
        <v>3350.7000000000003</v>
      </c>
      <c r="D12" s="467">
        <v>0</v>
      </c>
      <c r="E12" s="465">
        <v>0</v>
      </c>
      <c r="F12" s="465">
        <v>0</v>
      </c>
      <c r="G12" s="465" t="e">
        <f t="shared" si="0"/>
        <v>#DIV/0!</v>
      </c>
    </row>
    <row r="13" spans="1:7" ht="13.5" hidden="1" customHeight="1" thickBot="1">
      <c r="A13" s="470" t="s">
        <v>586</v>
      </c>
      <c r="B13" s="465">
        <v>3333.8999999999996</v>
      </c>
      <c r="C13" s="466">
        <v>3674.2</v>
      </c>
      <c r="D13" s="467">
        <v>0</v>
      </c>
      <c r="E13" s="465">
        <v>0</v>
      </c>
      <c r="F13" s="465">
        <v>0</v>
      </c>
      <c r="G13" s="465" t="e">
        <f t="shared" si="0"/>
        <v>#DIV/0!</v>
      </c>
    </row>
    <row r="14" spans="1:7" ht="13.5" hidden="1" customHeight="1" thickBot="1">
      <c r="A14" s="468" t="s">
        <v>587</v>
      </c>
      <c r="B14" s="465">
        <v>179375.4</v>
      </c>
      <c r="C14" s="466">
        <v>218370.30000000002</v>
      </c>
      <c r="D14" s="467">
        <v>227500</v>
      </c>
      <c r="E14" s="465">
        <v>18200</v>
      </c>
      <c r="F14" s="465">
        <v>14300</v>
      </c>
      <c r="G14" s="465">
        <f t="shared" si="0"/>
        <v>205000.45714285714</v>
      </c>
    </row>
    <row r="15" spans="1:7" ht="13.5" customHeight="1">
      <c r="A15" s="471" t="s">
        <v>206</v>
      </c>
      <c r="B15" s="465">
        <v>775374.17000000016</v>
      </c>
      <c r="C15" s="466">
        <v>707728.84</v>
      </c>
      <c r="D15" s="467">
        <v>797475</v>
      </c>
      <c r="E15" s="465">
        <v>69750</v>
      </c>
      <c r="F15" s="465">
        <v>62775</v>
      </c>
      <c r="G15" s="465">
        <f t="shared" si="0"/>
        <v>904226.43731778441</v>
      </c>
    </row>
    <row r="16" spans="1:7" ht="13.5" hidden="1" customHeight="1" thickTop="1" thickBot="1">
      <c r="A16" s="472" t="s">
        <v>588</v>
      </c>
      <c r="B16" s="465">
        <v>93453</v>
      </c>
      <c r="C16" s="466">
        <v>112191.19999999998</v>
      </c>
      <c r="D16" s="467">
        <v>137200</v>
      </c>
      <c r="E16" s="465">
        <v>12000</v>
      </c>
      <c r="F16" s="465">
        <v>10800</v>
      </c>
      <c r="G16" s="465">
        <f t="shared" si="0"/>
        <v>108983.09037900875</v>
      </c>
    </row>
    <row r="17" spans="1:7" ht="13.5" hidden="1" customHeight="1" thickBot="1">
      <c r="A17" s="472" t="s">
        <v>589</v>
      </c>
      <c r="B17" s="465">
        <v>49533.4</v>
      </c>
      <c r="C17" s="466">
        <v>51590.5</v>
      </c>
      <c r="D17" s="467">
        <v>68600</v>
      </c>
      <c r="E17" s="465">
        <v>6000</v>
      </c>
      <c r="F17" s="465">
        <v>5400</v>
      </c>
      <c r="G17" s="465">
        <f t="shared" si="0"/>
        <v>57764.897959183676</v>
      </c>
    </row>
    <row r="18" spans="1:7" ht="13.5" hidden="1" customHeight="1" thickBot="1">
      <c r="A18" s="468" t="s">
        <v>590</v>
      </c>
      <c r="B18" s="465">
        <v>226204.59999999998</v>
      </c>
      <c r="C18" s="466">
        <v>201073.69999999998</v>
      </c>
      <c r="D18" s="467">
        <v>201250</v>
      </c>
      <c r="E18" s="465">
        <v>16100</v>
      </c>
      <c r="F18" s="465">
        <v>12650</v>
      </c>
      <c r="G18" s="465">
        <f t="shared" si="0"/>
        <v>258519.54285714283</v>
      </c>
    </row>
    <row r="19" spans="1:7" ht="13.5" hidden="1" customHeight="1" thickBot="1">
      <c r="A19" s="472" t="s">
        <v>591</v>
      </c>
      <c r="B19" s="465">
        <v>310507.3</v>
      </c>
      <c r="C19" s="466">
        <v>341560.69999999995</v>
      </c>
      <c r="D19" s="467">
        <v>394450</v>
      </c>
      <c r="E19" s="465">
        <v>34500</v>
      </c>
      <c r="F19" s="465">
        <v>31050</v>
      </c>
      <c r="G19" s="465">
        <f t="shared" si="0"/>
        <v>362107.63848396501</v>
      </c>
    </row>
    <row r="20" spans="1:7" ht="13.5" customHeight="1">
      <c r="A20" s="469" t="s">
        <v>207</v>
      </c>
      <c r="B20" s="465">
        <v>386058.5</v>
      </c>
      <c r="C20" s="466">
        <v>384172.12</v>
      </c>
      <c r="D20" s="467">
        <v>486204</v>
      </c>
      <c r="E20" s="465">
        <v>42525</v>
      </c>
      <c r="F20" s="465">
        <v>38273</v>
      </c>
      <c r="G20" s="465">
        <f t="shared" si="0"/>
        <v>450214.19325427187</v>
      </c>
    </row>
    <row r="21" spans="1:7" ht="13.5" hidden="1" customHeight="1" thickBot="1">
      <c r="A21" s="468" t="s">
        <v>592</v>
      </c>
      <c r="B21" s="465">
        <v>38776.400000000001</v>
      </c>
      <c r="C21" s="466">
        <v>49407.899999999994</v>
      </c>
      <c r="D21" s="467">
        <v>56875</v>
      </c>
      <c r="E21" s="465">
        <v>4550</v>
      </c>
      <c r="F21" s="465">
        <v>3575</v>
      </c>
      <c r="G21" s="465">
        <f t="shared" si="0"/>
        <v>44315.885714285716</v>
      </c>
    </row>
    <row r="22" spans="1:7" ht="13.5" hidden="1" customHeight="1" thickBot="1">
      <c r="A22" s="472" t="s">
        <v>593</v>
      </c>
      <c r="B22" s="465">
        <v>0</v>
      </c>
      <c r="C22" s="466">
        <v>0</v>
      </c>
      <c r="D22" s="467">
        <v>0</v>
      </c>
      <c r="E22" s="465">
        <v>0</v>
      </c>
      <c r="F22" s="465">
        <v>0</v>
      </c>
      <c r="G22" s="465" t="e">
        <f t="shared" si="0"/>
        <v>#DIV/0!</v>
      </c>
    </row>
    <row r="23" spans="1:7" s="473" customFormat="1" ht="13.5" hidden="1" customHeight="1" thickBot="1">
      <c r="A23" s="464" t="s">
        <v>594</v>
      </c>
      <c r="B23" s="465">
        <v>317129.40000000002</v>
      </c>
      <c r="C23" s="466">
        <v>330924.79999999999</v>
      </c>
      <c r="D23" s="467">
        <v>430465</v>
      </c>
      <c r="E23" s="465">
        <v>37650</v>
      </c>
      <c r="F23" s="465">
        <v>33885</v>
      </c>
      <c r="G23" s="465">
        <f t="shared" si="0"/>
        <v>369830.20408163266</v>
      </c>
    </row>
    <row r="24" spans="1:7" ht="13.5" customHeight="1">
      <c r="A24" s="469" t="s">
        <v>322</v>
      </c>
      <c r="B24" s="465">
        <v>788450.82999999984</v>
      </c>
      <c r="C24" s="466">
        <v>637441.24</v>
      </c>
      <c r="D24" s="467">
        <v>725618</v>
      </c>
      <c r="E24" s="465">
        <v>63465</v>
      </c>
      <c r="F24" s="465">
        <v>57119</v>
      </c>
      <c r="G24" s="465">
        <f t="shared" si="0"/>
        <v>919476.45902893785</v>
      </c>
    </row>
    <row r="25" spans="1:7" ht="13.5" hidden="1" customHeight="1" thickBot="1">
      <c r="A25" s="470" t="s">
        <v>595</v>
      </c>
      <c r="B25" s="465">
        <v>292451.90000000002</v>
      </c>
      <c r="C25" s="466">
        <v>333821.3</v>
      </c>
      <c r="D25" s="467">
        <v>334425</v>
      </c>
      <c r="E25" s="465">
        <v>29250</v>
      </c>
      <c r="F25" s="465">
        <v>26325</v>
      </c>
      <c r="G25" s="465">
        <f t="shared" si="0"/>
        <v>341051.77842565603</v>
      </c>
    </row>
    <row r="26" spans="1:7" ht="13.5" hidden="1" customHeight="1" thickBot="1">
      <c r="A26" s="464" t="s">
        <v>596</v>
      </c>
      <c r="B26" s="465">
        <v>205745.8</v>
      </c>
      <c r="C26" s="466">
        <v>97430.9</v>
      </c>
      <c r="D26" s="467">
        <v>171500</v>
      </c>
      <c r="E26" s="465">
        <v>15000</v>
      </c>
      <c r="F26" s="465">
        <v>13500</v>
      </c>
      <c r="G26" s="465">
        <f t="shared" si="0"/>
        <v>239936.79300291545</v>
      </c>
    </row>
    <row r="27" spans="1:7" ht="13.5" hidden="1" customHeight="1" thickBot="1">
      <c r="A27" s="464" t="s">
        <v>597</v>
      </c>
      <c r="B27" s="465">
        <v>48104.6</v>
      </c>
      <c r="C27" s="466">
        <v>28074.399999999998</v>
      </c>
      <c r="D27" s="467">
        <v>33614</v>
      </c>
      <c r="E27" s="465">
        <v>2940</v>
      </c>
      <c r="F27" s="465">
        <v>2646</v>
      </c>
      <c r="G27" s="465">
        <f t="shared" si="0"/>
        <v>56098.658892128282</v>
      </c>
    </row>
    <row r="28" spans="1:7" ht="13.5" hidden="1" customHeight="1" thickBot="1">
      <c r="A28" s="468" t="s">
        <v>598</v>
      </c>
      <c r="B28" s="465">
        <v>137435.29999999999</v>
      </c>
      <c r="C28" s="466">
        <v>178041.8</v>
      </c>
      <c r="D28" s="467">
        <v>190050</v>
      </c>
      <c r="E28" s="465">
        <v>15204</v>
      </c>
      <c r="F28" s="465">
        <v>11946</v>
      </c>
      <c r="G28" s="465">
        <f t="shared" si="0"/>
        <v>157068.91428571427</v>
      </c>
    </row>
    <row r="29" spans="1:7" ht="13.5" customHeight="1">
      <c r="A29" s="471" t="s">
        <v>50</v>
      </c>
      <c r="B29" s="465">
        <v>609774.17999999993</v>
      </c>
      <c r="C29" s="466">
        <v>626814.61</v>
      </c>
      <c r="D29" s="467">
        <v>724589</v>
      </c>
      <c r="E29" s="465">
        <v>63375</v>
      </c>
      <c r="F29" s="465">
        <v>57038</v>
      </c>
      <c r="G29" s="465">
        <f t="shared" si="0"/>
        <v>711107.12645149173</v>
      </c>
    </row>
    <row r="30" spans="1:7" ht="13.5" hidden="1" customHeight="1" thickBot="1">
      <c r="A30" s="472" t="s">
        <v>599</v>
      </c>
      <c r="B30" s="465">
        <v>469535</v>
      </c>
      <c r="C30" s="466">
        <v>530030.89999999991</v>
      </c>
      <c r="D30" s="467">
        <v>625975</v>
      </c>
      <c r="E30" s="465">
        <v>54750</v>
      </c>
      <c r="F30" s="465">
        <v>49275</v>
      </c>
      <c r="G30" s="465">
        <f t="shared" si="0"/>
        <v>547562.68221574347</v>
      </c>
    </row>
    <row r="31" spans="1:7" ht="13.5" hidden="1" customHeight="1" thickTop="1" thickBot="1">
      <c r="A31" s="468" t="s">
        <v>600</v>
      </c>
      <c r="B31" s="465">
        <v>38208.699999999997</v>
      </c>
      <c r="C31" s="466">
        <v>64263.799999999996</v>
      </c>
      <c r="D31" s="467">
        <v>61250</v>
      </c>
      <c r="E31" s="465">
        <v>4900</v>
      </c>
      <c r="F31" s="465">
        <v>3850</v>
      </c>
      <c r="G31" s="465">
        <f t="shared" si="0"/>
        <v>43667.085714285713</v>
      </c>
    </row>
    <row r="32" spans="1:7" ht="13.5" hidden="1" customHeight="1" thickBot="1">
      <c r="A32" s="472" t="s">
        <v>601</v>
      </c>
      <c r="B32" s="465">
        <v>21846.5</v>
      </c>
      <c r="C32" s="466">
        <v>22280.600000000002</v>
      </c>
      <c r="D32" s="467">
        <v>17150</v>
      </c>
      <c r="E32" s="465">
        <v>1500</v>
      </c>
      <c r="F32" s="465">
        <v>1350</v>
      </c>
      <c r="G32" s="465">
        <f t="shared" si="0"/>
        <v>25476.967930029154</v>
      </c>
    </row>
    <row r="33" spans="1:7" ht="13.5" customHeight="1">
      <c r="A33" s="469" t="s">
        <v>392</v>
      </c>
      <c r="B33" s="465">
        <v>1219207.03</v>
      </c>
      <c r="C33" s="466">
        <v>1245146.1400000001</v>
      </c>
      <c r="D33" s="467">
        <v>1311975</v>
      </c>
      <c r="E33" s="465">
        <v>114750</v>
      </c>
      <c r="F33" s="465">
        <v>103275</v>
      </c>
      <c r="G33" s="465">
        <f t="shared" si="0"/>
        <v>1421815.778425656</v>
      </c>
    </row>
    <row r="34" spans="1:7" ht="13.5" hidden="1" customHeight="1" thickBot="1">
      <c r="A34" s="470" t="s">
        <v>602</v>
      </c>
      <c r="B34" s="465">
        <v>292690.10000000003</v>
      </c>
      <c r="C34" s="466">
        <v>364963.7</v>
      </c>
      <c r="D34" s="467">
        <v>407314</v>
      </c>
      <c r="E34" s="465">
        <v>35625</v>
      </c>
      <c r="F34" s="465">
        <v>32063</v>
      </c>
      <c r="G34" s="465">
        <f t="shared" si="0"/>
        <v>341329.74285244313</v>
      </c>
    </row>
    <row r="35" spans="1:7" ht="13.5" hidden="1" customHeight="1" thickBot="1">
      <c r="A35" s="470" t="s">
        <v>603</v>
      </c>
      <c r="B35" s="465">
        <v>544312.80000000005</v>
      </c>
      <c r="C35" s="466">
        <v>558078.69999999995</v>
      </c>
      <c r="D35" s="467">
        <v>540225</v>
      </c>
      <c r="E35" s="465">
        <v>47250</v>
      </c>
      <c r="F35" s="465">
        <v>42525</v>
      </c>
      <c r="G35" s="465">
        <f t="shared" si="0"/>
        <v>634767.11370262399</v>
      </c>
    </row>
    <row r="36" spans="1:7" ht="13.5" hidden="1" customHeight="1" thickBot="1">
      <c r="A36" s="474" t="s">
        <v>604</v>
      </c>
      <c r="B36" s="465">
        <v>146309.4</v>
      </c>
      <c r="C36" s="466">
        <v>142126</v>
      </c>
      <c r="D36" s="467">
        <v>131250</v>
      </c>
      <c r="E36" s="465">
        <v>10500</v>
      </c>
      <c r="F36" s="465">
        <v>8250</v>
      </c>
      <c r="G36" s="465">
        <f t="shared" si="0"/>
        <v>167210.74285714285</v>
      </c>
    </row>
    <row r="37" spans="1:7" ht="13.5" hidden="1" customHeight="1" thickBot="1">
      <c r="A37" s="470" t="s">
        <v>605</v>
      </c>
      <c r="B37" s="465">
        <v>86936.2</v>
      </c>
      <c r="C37" s="466">
        <v>152360.80000000002</v>
      </c>
      <c r="D37" s="467">
        <v>214375</v>
      </c>
      <c r="E37" s="465">
        <v>18750</v>
      </c>
      <c r="F37" s="465">
        <v>16875</v>
      </c>
      <c r="G37" s="465">
        <f t="shared" si="0"/>
        <v>101383.32361516035</v>
      </c>
    </row>
    <row r="38" spans="1:7" ht="13.5" customHeight="1">
      <c r="A38" s="471" t="s">
        <v>393</v>
      </c>
      <c r="B38" s="465">
        <v>676380.17</v>
      </c>
      <c r="C38" s="466">
        <v>636072.80000000005</v>
      </c>
      <c r="D38" s="467">
        <v>703150</v>
      </c>
      <c r="E38" s="465">
        <v>61500</v>
      </c>
      <c r="F38" s="465">
        <v>55350</v>
      </c>
      <c r="G38" s="465">
        <f t="shared" si="0"/>
        <v>788781.53935860062</v>
      </c>
    </row>
    <row r="39" spans="1:7" ht="13.5" hidden="1" customHeight="1" thickTop="1" thickBot="1">
      <c r="A39" s="472" t="s">
        <v>606</v>
      </c>
      <c r="B39" s="465">
        <v>354821.8</v>
      </c>
      <c r="C39" s="466">
        <v>373284.69999999995</v>
      </c>
      <c r="D39" s="467">
        <v>407872</v>
      </c>
      <c r="E39" s="465">
        <v>35674</v>
      </c>
      <c r="F39" s="465">
        <v>32106</v>
      </c>
      <c r="G39" s="465">
        <f t="shared" si="0"/>
        <v>413785.93973991839</v>
      </c>
    </row>
    <row r="40" spans="1:7" ht="13.5" hidden="1" customHeight="1" thickBot="1">
      <c r="A40" s="472" t="s">
        <v>607</v>
      </c>
      <c r="B40" s="465">
        <v>152452.5</v>
      </c>
      <c r="C40" s="466">
        <v>162904.6</v>
      </c>
      <c r="D40" s="467">
        <v>195555</v>
      </c>
      <c r="E40" s="465">
        <v>17104</v>
      </c>
      <c r="F40" s="465">
        <v>15393</v>
      </c>
      <c r="G40" s="465">
        <f t="shared" si="0"/>
        <v>177786.79926363428</v>
      </c>
    </row>
    <row r="41" spans="1:7" s="475" customFormat="1" ht="13.5" hidden="1" customHeight="1" thickBot="1">
      <c r="A41" s="472" t="s">
        <v>608</v>
      </c>
      <c r="B41" s="465">
        <v>2965.2</v>
      </c>
      <c r="C41" s="466">
        <v>13360.1</v>
      </c>
      <c r="D41" s="467">
        <v>17150</v>
      </c>
      <c r="E41" s="465">
        <v>1500</v>
      </c>
      <c r="F41" s="465">
        <v>1350</v>
      </c>
      <c r="G41" s="465">
        <f t="shared" si="0"/>
        <v>3457.9591836734689</v>
      </c>
    </row>
    <row r="42" spans="1:7" ht="13.5" hidden="1" customHeight="1" thickBot="1">
      <c r="A42" s="468" t="s">
        <v>609</v>
      </c>
      <c r="B42" s="465">
        <v>44900.200000000004</v>
      </c>
      <c r="C42" s="466">
        <v>73014.5</v>
      </c>
      <c r="D42" s="467">
        <v>84264</v>
      </c>
      <c r="E42" s="465">
        <v>6741</v>
      </c>
      <c r="F42" s="465">
        <v>5297</v>
      </c>
      <c r="G42" s="465">
        <f t="shared" si="0"/>
        <v>51314.666529004084</v>
      </c>
    </row>
    <row r="43" spans="1:7" s="480" customFormat="1" ht="13.5" customHeight="1" thickBot="1">
      <c r="A43" s="476" t="s">
        <v>418</v>
      </c>
      <c r="B43" s="477">
        <v>206448.84999999998</v>
      </c>
      <c r="C43" s="478">
        <v>239581.68</v>
      </c>
      <c r="D43" s="479">
        <v>325850</v>
      </c>
      <c r="E43" s="477">
        <v>28500</v>
      </c>
      <c r="F43" s="477">
        <v>25650</v>
      </c>
      <c r="G43" s="477">
        <f t="shared" si="0"/>
        <v>240756.67638483964</v>
      </c>
    </row>
    <row r="44" spans="1:7" s="480" customFormat="1" ht="13.5" hidden="1" customHeight="1" thickBot="1">
      <c r="A44" s="481" t="s">
        <v>610</v>
      </c>
      <c r="B44" s="482">
        <v>91163.9</v>
      </c>
      <c r="C44" s="483">
        <v>131798.20000000001</v>
      </c>
      <c r="D44" s="484">
        <v>205800</v>
      </c>
      <c r="E44" s="482">
        <v>18000</v>
      </c>
      <c r="F44" s="482">
        <v>16200</v>
      </c>
      <c r="G44" s="482">
        <f t="shared" si="0"/>
        <v>106313.5860058309</v>
      </c>
    </row>
    <row r="45" spans="1:7" ht="13.5" hidden="1" customHeight="1" thickBot="1">
      <c r="A45" s="485" t="s">
        <v>611</v>
      </c>
      <c r="B45" s="486">
        <v>13450.099999999999</v>
      </c>
      <c r="C45" s="487">
        <v>20081.899999999998</v>
      </c>
      <c r="D45" s="488">
        <v>25725</v>
      </c>
      <c r="E45" s="486">
        <v>2250</v>
      </c>
      <c r="F45" s="486">
        <v>2025</v>
      </c>
      <c r="G45" s="486">
        <f t="shared" si="0"/>
        <v>15685.247813411077</v>
      </c>
    </row>
    <row r="46" spans="1:7" ht="13.5" hidden="1" customHeight="1" thickBot="1">
      <c r="A46" s="489" t="s">
        <v>612</v>
      </c>
      <c r="B46" s="490">
        <v>79008.100000000006</v>
      </c>
      <c r="C46" s="491">
        <v>87759.8</v>
      </c>
      <c r="D46" s="492">
        <v>96250</v>
      </c>
      <c r="E46" s="490">
        <v>7700</v>
      </c>
      <c r="F46" s="490">
        <v>6050</v>
      </c>
      <c r="G46" s="490">
        <f t="shared" si="0"/>
        <v>90294.971428571429</v>
      </c>
    </row>
    <row r="47" spans="1:7" s="353" customFormat="1" ht="13.5" customHeight="1" thickTop="1" thickBot="1">
      <c r="A47" s="323" t="s">
        <v>394</v>
      </c>
      <c r="B47" s="493">
        <v>6659580.830000001</v>
      </c>
      <c r="C47" s="494">
        <v>6474977.1699999999</v>
      </c>
      <c r="D47" s="495">
        <v>7141436</v>
      </c>
      <c r="E47" s="493">
        <v>624615</v>
      </c>
      <c r="F47" s="493">
        <v>562155</v>
      </c>
      <c r="G47" s="493">
        <f t="shared" si="0"/>
        <v>7766275.721842356</v>
      </c>
    </row>
    <row r="48" spans="1:7" s="473" customFormat="1" ht="13.5" customHeight="1" thickBot="1">
      <c r="A48"/>
      <c r="B48" s="496"/>
      <c r="C48" s="496"/>
      <c r="D48" s="496"/>
      <c r="E48" s="496"/>
      <c r="F48" s="496"/>
      <c r="G48" s="496"/>
    </row>
    <row r="49" spans="1:7" s="473" customFormat="1" ht="13.5" customHeight="1">
      <c r="A49" s="459" t="s">
        <v>202</v>
      </c>
      <c r="B49" s="460">
        <v>697719.14999999991</v>
      </c>
      <c r="C49" s="461">
        <v>773735.83000000007</v>
      </c>
      <c r="D49" s="462">
        <v>798677</v>
      </c>
      <c r="E49" s="460">
        <v>69855</v>
      </c>
      <c r="F49" s="460">
        <v>62870</v>
      </c>
      <c r="G49" s="460">
        <f t="shared" si="0"/>
        <v>813666.86626546143</v>
      </c>
    </row>
    <row r="50" spans="1:7" s="473" customFormat="1" ht="13.5" hidden="1" customHeight="1" thickBot="1">
      <c r="A50" s="464" t="s">
        <v>613</v>
      </c>
      <c r="B50" s="465">
        <v>430161.4</v>
      </c>
      <c r="C50" s="466">
        <v>518519.6</v>
      </c>
      <c r="D50" s="467">
        <v>533451</v>
      </c>
      <c r="E50" s="465">
        <v>46658</v>
      </c>
      <c r="F50" s="465">
        <v>41992</v>
      </c>
      <c r="G50" s="465">
        <f t="shared" si="0"/>
        <v>501646.51880191435</v>
      </c>
    </row>
    <row r="51" spans="1:7" ht="13.5" hidden="1" customHeight="1" thickBot="1">
      <c r="A51" s="468" t="s">
        <v>614</v>
      </c>
      <c r="B51" s="465">
        <v>65145.700000000004</v>
      </c>
      <c r="C51" s="466">
        <v>93031.599999999991</v>
      </c>
      <c r="D51" s="467">
        <v>91875</v>
      </c>
      <c r="E51" s="465">
        <v>7350</v>
      </c>
      <c r="F51" s="465">
        <v>5775</v>
      </c>
      <c r="G51" s="465">
        <f t="shared" si="0"/>
        <v>74452.228571428568</v>
      </c>
    </row>
    <row r="52" spans="1:7" s="497" customFormat="1" ht="13.5" hidden="1" customHeight="1" thickBot="1">
      <c r="A52" s="464" t="s">
        <v>615</v>
      </c>
      <c r="B52" s="465">
        <v>25541.499999999996</v>
      </c>
      <c r="C52" s="466">
        <v>33702.600000000006</v>
      </c>
      <c r="D52" s="467">
        <v>43304</v>
      </c>
      <c r="E52" s="465">
        <v>3788</v>
      </c>
      <c r="F52" s="465">
        <v>3409</v>
      </c>
      <c r="G52" s="465">
        <f t="shared" si="0"/>
        <v>29786.423690652129</v>
      </c>
    </row>
    <row r="53" spans="1:7" s="480" customFormat="1" ht="13.5" hidden="1" customHeight="1" thickBot="1">
      <c r="A53" s="464" t="s">
        <v>259</v>
      </c>
      <c r="B53" s="465">
        <v>110171.20000000001</v>
      </c>
      <c r="C53" s="466">
        <v>128545.40000000001</v>
      </c>
      <c r="D53" s="467">
        <v>131885</v>
      </c>
      <c r="E53" s="465">
        <v>11535</v>
      </c>
      <c r="F53" s="465">
        <v>10382</v>
      </c>
      <c r="G53" s="465">
        <f t="shared" si="0"/>
        <v>128479.74297607766</v>
      </c>
    </row>
    <row r="54" spans="1:7" s="498" customFormat="1" ht="13.5" customHeight="1" thickBot="1">
      <c r="A54" s="476" t="s">
        <v>203</v>
      </c>
      <c r="B54" s="477">
        <v>394756.56</v>
      </c>
      <c r="C54" s="478">
        <v>471074.66000000003</v>
      </c>
      <c r="D54" s="479">
        <v>486204</v>
      </c>
      <c r="E54" s="477">
        <v>42525</v>
      </c>
      <c r="F54" s="477">
        <v>38273</v>
      </c>
      <c r="G54" s="477">
        <f t="shared" si="0"/>
        <v>460357.70794382604</v>
      </c>
    </row>
    <row r="55" spans="1:7" s="473" customFormat="1" ht="13.5" hidden="1" customHeight="1" thickBot="1">
      <c r="A55" s="499" t="s">
        <v>616</v>
      </c>
      <c r="B55" s="482">
        <v>306001.89999999997</v>
      </c>
      <c r="C55" s="483">
        <v>409927.50000000006</v>
      </c>
      <c r="D55" s="484">
        <v>421890</v>
      </c>
      <c r="E55" s="482">
        <v>36900</v>
      </c>
      <c r="F55" s="482">
        <v>33210</v>
      </c>
      <c r="G55" s="482">
        <f t="shared" si="0"/>
        <v>356853.52769679297</v>
      </c>
    </row>
    <row r="56" spans="1:7" s="473" customFormat="1" ht="13.5" hidden="1" customHeight="1" thickBot="1">
      <c r="A56" s="500" t="s">
        <v>617</v>
      </c>
      <c r="B56" s="486">
        <v>11531.9</v>
      </c>
      <c r="C56" s="487">
        <v>5529.2000000000007</v>
      </c>
      <c r="D56" s="488">
        <v>37730</v>
      </c>
      <c r="E56" s="486">
        <v>3300</v>
      </c>
      <c r="F56" s="486">
        <v>2970</v>
      </c>
      <c r="G56" s="486">
        <f t="shared" si="0"/>
        <v>13448.279883381923</v>
      </c>
    </row>
    <row r="57" spans="1:7" s="473" customFormat="1" ht="13.5" hidden="1" customHeight="1" thickBot="1">
      <c r="A57" s="501" t="s">
        <v>618</v>
      </c>
      <c r="B57" s="490">
        <v>30274.32</v>
      </c>
      <c r="C57" s="491">
        <v>54115.200000000004</v>
      </c>
      <c r="D57" s="492">
        <v>27125</v>
      </c>
      <c r="E57" s="490">
        <v>2170</v>
      </c>
      <c r="F57" s="490">
        <v>1705</v>
      </c>
      <c r="G57" s="490">
        <f t="shared" si="0"/>
        <v>34599.222857142857</v>
      </c>
    </row>
    <row r="58" spans="1:7" s="473" customFormat="1" ht="13.5" customHeight="1" thickTop="1" thickBot="1">
      <c r="A58" s="324" t="s">
        <v>395</v>
      </c>
      <c r="B58" s="493">
        <v>1092475.71</v>
      </c>
      <c r="C58" s="494">
        <v>1244810.49</v>
      </c>
      <c r="D58" s="495">
        <v>1284881</v>
      </c>
      <c r="E58" s="493">
        <v>112380</v>
      </c>
      <c r="F58" s="493">
        <v>101143</v>
      </c>
      <c r="G58" s="493">
        <f t="shared" si="0"/>
        <v>1274024.5779701311</v>
      </c>
    </row>
    <row r="59" spans="1:7" s="473" customFormat="1" ht="13.5" customHeight="1" thickBot="1">
      <c r="A59"/>
      <c r="B59" s="496"/>
      <c r="C59" s="496"/>
      <c r="D59" s="496"/>
      <c r="E59" s="496"/>
      <c r="F59" s="496"/>
      <c r="G59" s="496"/>
    </row>
    <row r="60" spans="1:7" s="473" customFormat="1" ht="13.5" customHeight="1">
      <c r="A60" s="459" t="s">
        <v>208</v>
      </c>
      <c r="B60" s="460">
        <v>1938466.6599999997</v>
      </c>
      <c r="C60" s="461">
        <v>1724791.15</v>
      </c>
      <c r="D60" s="462">
        <v>1858153</v>
      </c>
      <c r="E60" s="460">
        <v>162521</v>
      </c>
      <c r="F60" s="460">
        <v>146268</v>
      </c>
      <c r="G60" s="460">
        <f t="shared" si="0"/>
        <v>2260602.2330527785</v>
      </c>
    </row>
    <row r="61" spans="1:7" s="473" customFormat="1" ht="13.5" hidden="1" customHeight="1" thickBot="1">
      <c r="A61" s="468" t="s">
        <v>619</v>
      </c>
      <c r="B61" s="465">
        <v>312822.3</v>
      </c>
      <c r="C61" s="466">
        <v>298826.3</v>
      </c>
      <c r="D61" s="467">
        <v>301875</v>
      </c>
      <c r="E61" s="465">
        <v>24150</v>
      </c>
      <c r="F61" s="465">
        <v>18975</v>
      </c>
      <c r="G61" s="465">
        <f t="shared" si="0"/>
        <v>357511.19999999995</v>
      </c>
    </row>
    <row r="62" spans="1:7" s="473" customFormat="1" ht="13.5" hidden="1" customHeight="1" thickBot="1">
      <c r="A62" s="464" t="s">
        <v>620</v>
      </c>
      <c r="B62" s="465">
        <v>439161.69999999995</v>
      </c>
      <c r="C62" s="466">
        <v>401490.39999999997</v>
      </c>
      <c r="D62" s="467">
        <v>431198</v>
      </c>
      <c r="E62" s="465">
        <v>37714</v>
      </c>
      <c r="F62" s="465">
        <v>33943</v>
      </c>
      <c r="G62" s="465">
        <f t="shared" si="0"/>
        <v>512142.11720253801</v>
      </c>
    </row>
    <row r="63" spans="1:7" s="473" customFormat="1" ht="13.5" hidden="1" customHeight="1" thickBot="1">
      <c r="A63" s="464" t="s">
        <v>621</v>
      </c>
      <c r="B63" s="465">
        <v>803387.00000000012</v>
      </c>
      <c r="C63" s="466">
        <v>769549.8</v>
      </c>
      <c r="D63" s="467">
        <v>827924</v>
      </c>
      <c r="E63" s="465">
        <v>72413</v>
      </c>
      <c r="F63" s="465">
        <v>65172</v>
      </c>
      <c r="G63" s="465">
        <f t="shared" si="0"/>
        <v>936894.42386378476</v>
      </c>
    </row>
    <row r="64" spans="1:7" s="473" customFormat="1" ht="13.5" hidden="1" customHeight="1" thickBot="1">
      <c r="A64" s="464" t="s">
        <v>622</v>
      </c>
      <c r="B64" s="465">
        <v>159429.29999999999</v>
      </c>
      <c r="C64" s="466">
        <v>230071.59999999998</v>
      </c>
      <c r="D64" s="467">
        <v>285755</v>
      </c>
      <c r="E64" s="465">
        <v>24993</v>
      </c>
      <c r="F64" s="465">
        <v>22494</v>
      </c>
      <c r="G64" s="465">
        <f t="shared" si="0"/>
        <v>185923.39168378504</v>
      </c>
    </row>
    <row r="65" spans="1:7" s="473" customFormat="1" ht="13.5" hidden="1" customHeight="1" thickBot="1">
      <c r="A65" s="464" t="s">
        <v>623</v>
      </c>
      <c r="B65" s="465">
        <v>4269.4000000000005</v>
      </c>
      <c r="C65" s="466">
        <v>16407.8</v>
      </c>
      <c r="D65" s="467">
        <v>17009</v>
      </c>
      <c r="E65" s="465">
        <v>1488</v>
      </c>
      <c r="F65" s="465">
        <v>1339</v>
      </c>
      <c r="G65" s="465">
        <f t="shared" si="0"/>
        <v>4979.0004350637901</v>
      </c>
    </row>
    <row r="66" spans="1:7" s="473" customFormat="1" ht="13.5" hidden="1" customHeight="1" thickBot="1">
      <c r="A66" s="464" t="s">
        <v>624</v>
      </c>
      <c r="B66" s="465">
        <v>21540.7</v>
      </c>
      <c r="C66" s="466">
        <v>8774.6</v>
      </c>
      <c r="D66" s="467">
        <v>429</v>
      </c>
      <c r="E66" s="465">
        <v>38</v>
      </c>
      <c r="F66" s="465">
        <v>34</v>
      </c>
      <c r="G66" s="465">
        <f t="shared" si="0"/>
        <v>25155.922377622377</v>
      </c>
    </row>
    <row r="67" spans="1:7" s="473" customFormat="1" ht="13.5" customHeight="1">
      <c r="A67" s="469" t="s">
        <v>210</v>
      </c>
      <c r="B67" s="465">
        <v>368436.91000000003</v>
      </c>
      <c r="C67" s="466">
        <v>331821.90999999997</v>
      </c>
      <c r="D67" s="467">
        <v>458550</v>
      </c>
      <c r="E67" s="465">
        <v>40106</v>
      </c>
      <c r="F67" s="465">
        <v>36096</v>
      </c>
      <c r="G67" s="465">
        <f t="shared" si="0"/>
        <v>429663.88506448589</v>
      </c>
    </row>
    <row r="68" spans="1:7" ht="13.5" hidden="1" customHeight="1" thickBot="1">
      <c r="A68" s="474" t="s">
        <v>625</v>
      </c>
      <c r="B68" s="465">
        <v>67967.3</v>
      </c>
      <c r="C68" s="466">
        <v>53413.1</v>
      </c>
      <c r="D68" s="467">
        <v>57190</v>
      </c>
      <c r="E68" s="465">
        <v>4575</v>
      </c>
      <c r="F68" s="465">
        <v>3595</v>
      </c>
      <c r="G68" s="465">
        <f t="shared" ref="G68:G131" si="1">+B68+((E68+F68)/D68)*B68</f>
        <v>77676.914285714287</v>
      </c>
    </row>
    <row r="69" spans="1:7" s="473" customFormat="1" ht="13.5" hidden="1" customHeight="1" thickBot="1">
      <c r="A69" s="470" t="s">
        <v>626</v>
      </c>
      <c r="B69" s="465">
        <v>81195.999999999985</v>
      </c>
      <c r="C69" s="466">
        <v>138443.5</v>
      </c>
      <c r="D69" s="467">
        <v>150242</v>
      </c>
      <c r="E69" s="465">
        <v>13141</v>
      </c>
      <c r="F69" s="465">
        <v>11826</v>
      </c>
      <c r="G69" s="465">
        <f t="shared" si="1"/>
        <v>94689.034783881987</v>
      </c>
    </row>
    <row r="70" spans="1:7" s="473" customFormat="1" ht="13.5" hidden="1" customHeight="1" thickBot="1">
      <c r="A70" s="470" t="s">
        <v>627</v>
      </c>
      <c r="B70" s="465">
        <v>164962.70000000001</v>
      </c>
      <c r="C70" s="466">
        <v>132010.4</v>
      </c>
      <c r="D70" s="467">
        <v>252260</v>
      </c>
      <c r="E70" s="465">
        <v>22064</v>
      </c>
      <c r="F70" s="465">
        <v>19857</v>
      </c>
      <c r="G70" s="465">
        <f t="shared" si="1"/>
        <v>192376.48477245701</v>
      </c>
    </row>
    <row r="71" spans="1:7" s="473" customFormat="1" ht="13.5" customHeight="1">
      <c r="A71" s="469" t="s">
        <v>209</v>
      </c>
      <c r="B71" s="465">
        <v>605487.30999999994</v>
      </c>
      <c r="C71" s="466">
        <v>637088.18999999994</v>
      </c>
      <c r="D71" s="467">
        <v>692337</v>
      </c>
      <c r="E71" s="465">
        <v>60554</v>
      </c>
      <c r="F71" s="465">
        <v>54499</v>
      </c>
      <c r="G71" s="465">
        <f t="shared" si="1"/>
        <v>706107.5736540152</v>
      </c>
    </row>
    <row r="72" spans="1:7" s="473" customFormat="1" ht="13.5" hidden="1" customHeight="1" thickTop="1" thickBot="1">
      <c r="A72" s="464" t="s">
        <v>628</v>
      </c>
      <c r="B72" s="465">
        <v>472869.89999999997</v>
      </c>
      <c r="C72" s="466">
        <v>559663.69999999995</v>
      </c>
      <c r="D72" s="467">
        <v>621304</v>
      </c>
      <c r="E72" s="465">
        <v>54341</v>
      </c>
      <c r="F72" s="465">
        <v>48907</v>
      </c>
      <c r="G72" s="465">
        <f t="shared" si="1"/>
        <v>551451.19262840727</v>
      </c>
    </row>
    <row r="73" spans="1:7" s="473" customFormat="1" ht="13.5" hidden="1" customHeight="1">
      <c r="A73" s="464" t="s">
        <v>624</v>
      </c>
      <c r="B73" s="465">
        <v>5956.4</v>
      </c>
      <c r="C73" s="466">
        <v>9984.5999999999985</v>
      </c>
      <c r="D73" s="467">
        <v>3209</v>
      </c>
      <c r="E73" s="465">
        <v>281</v>
      </c>
      <c r="F73" s="465">
        <v>252</v>
      </c>
      <c r="G73" s="465">
        <f t="shared" si="1"/>
        <v>6945.7303832969765</v>
      </c>
    </row>
    <row r="74" spans="1:7" s="473" customFormat="1" ht="13.5" hidden="1" customHeight="1">
      <c r="A74" s="464" t="s">
        <v>629</v>
      </c>
      <c r="B74" s="465">
        <v>9182.1</v>
      </c>
      <c r="C74" s="466">
        <v>18904.5</v>
      </c>
      <c r="D74" s="467">
        <v>18567</v>
      </c>
      <c r="E74" s="465">
        <v>1624</v>
      </c>
      <c r="F74" s="465">
        <v>1461</v>
      </c>
      <c r="G74" s="465">
        <f t="shared" si="1"/>
        <v>10707.751882371951</v>
      </c>
    </row>
    <row r="75" spans="1:7" s="473" customFormat="1" ht="13.5" hidden="1" customHeight="1">
      <c r="A75" s="468" t="s">
        <v>630</v>
      </c>
      <c r="B75" s="465">
        <v>41347.199999999997</v>
      </c>
      <c r="C75" s="466">
        <v>47959.299999999996</v>
      </c>
      <c r="D75" s="467">
        <v>50270</v>
      </c>
      <c r="E75" s="465">
        <v>4022</v>
      </c>
      <c r="F75" s="465">
        <v>3160</v>
      </c>
      <c r="G75" s="465">
        <f t="shared" si="1"/>
        <v>47254.412858563752</v>
      </c>
    </row>
    <row r="76" spans="1:7" s="473" customFormat="1" ht="13.5" customHeight="1">
      <c r="A76" s="469" t="s">
        <v>211</v>
      </c>
      <c r="B76" s="465">
        <v>494512.27</v>
      </c>
      <c r="C76" s="466">
        <v>597968.82999999996</v>
      </c>
      <c r="D76" s="467">
        <v>607976</v>
      </c>
      <c r="E76" s="465">
        <v>53176</v>
      </c>
      <c r="F76" s="465">
        <v>47858</v>
      </c>
      <c r="G76" s="465">
        <f t="shared" si="1"/>
        <v>576690.76501819154</v>
      </c>
    </row>
    <row r="77" spans="1:7" s="473" customFormat="1" ht="13.5" hidden="1" customHeight="1">
      <c r="A77" s="470" t="s">
        <v>631</v>
      </c>
      <c r="B77" s="465">
        <v>225287.90000000002</v>
      </c>
      <c r="C77" s="466">
        <v>309918.8</v>
      </c>
      <c r="D77" s="467">
        <v>323707</v>
      </c>
      <c r="E77" s="465">
        <v>28313</v>
      </c>
      <c r="F77" s="465">
        <v>25481</v>
      </c>
      <c r="G77" s="465">
        <f t="shared" si="1"/>
        <v>262726.50124309951</v>
      </c>
    </row>
    <row r="78" spans="1:7" s="473" customFormat="1" ht="13.5" hidden="1" customHeight="1">
      <c r="A78" s="474" t="s">
        <v>632</v>
      </c>
      <c r="B78" s="465">
        <v>186568.8</v>
      </c>
      <c r="C78" s="466">
        <v>241103.69999999998</v>
      </c>
      <c r="D78" s="467">
        <v>249375</v>
      </c>
      <c r="E78" s="465">
        <v>19950</v>
      </c>
      <c r="F78" s="465">
        <v>15675</v>
      </c>
      <c r="G78" s="465">
        <f t="shared" si="1"/>
        <v>213221.48571428569</v>
      </c>
    </row>
    <row r="79" spans="1:7" s="502" customFormat="1" ht="13.5" hidden="1" customHeight="1">
      <c r="A79" s="470" t="s">
        <v>633</v>
      </c>
      <c r="B79" s="465">
        <v>36315</v>
      </c>
      <c r="C79" s="466">
        <v>41628.600000000006</v>
      </c>
      <c r="D79" s="467">
        <v>39883</v>
      </c>
      <c r="E79" s="465">
        <v>3488</v>
      </c>
      <c r="F79" s="465">
        <v>3139</v>
      </c>
      <c r="G79" s="465">
        <f t="shared" si="1"/>
        <v>42349.137477120581</v>
      </c>
    </row>
    <row r="80" spans="1:7" s="502" customFormat="1" ht="13.5" customHeight="1">
      <c r="A80" s="469" t="s">
        <v>324</v>
      </c>
      <c r="B80" s="465">
        <v>595972.28</v>
      </c>
      <c r="C80" s="466">
        <v>498638.44</v>
      </c>
      <c r="D80" s="467">
        <v>549340</v>
      </c>
      <c r="E80" s="465">
        <v>48047</v>
      </c>
      <c r="F80" s="465">
        <v>43243</v>
      </c>
      <c r="G80" s="465">
        <f t="shared" si="1"/>
        <v>695011.68991225841</v>
      </c>
    </row>
    <row r="81" spans="1:7" s="502" customFormat="1" ht="13.5" hidden="1" customHeight="1">
      <c r="A81" s="470" t="s">
        <v>634</v>
      </c>
      <c r="B81" s="465">
        <v>315857.09999999992</v>
      </c>
      <c r="C81" s="466">
        <v>263903.89999999997</v>
      </c>
      <c r="D81" s="467">
        <v>312816</v>
      </c>
      <c r="E81" s="465">
        <v>27360</v>
      </c>
      <c r="F81" s="465">
        <v>24624</v>
      </c>
      <c r="G81" s="465">
        <f t="shared" si="1"/>
        <v>368346.47230320692</v>
      </c>
    </row>
    <row r="82" spans="1:7" s="502" customFormat="1" ht="13.5" hidden="1" customHeight="1">
      <c r="A82" s="474" t="s">
        <v>635</v>
      </c>
      <c r="B82" s="465">
        <v>131626</v>
      </c>
      <c r="C82" s="466">
        <v>128024.3</v>
      </c>
      <c r="D82" s="467">
        <v>140000</v>
      </c>
      <c r="E82" s="465">
        <v>11200</v>
      </c>
      <c r="F82" s="465">
        <v>8800</v>
      </c>
      <c r="G82" s="465">
        <f t="shared" si="1"/>
        <v>150429.71428571429</v>
      </c>
    </row>
    <row r="83" spans="1:7" s="502" customFormat="1" ht="13.5" hidden="1" customHeight="1">
      <c r="A83" s="470" t="s">
        <v>636</v>
      </c>
      <c r="B83" s="465">
        <v>32849</v>
      </c>
      <c r="C83" s="466">
        <v>32465.4</v>
      </c>
      <c r="D83" s="467">
        <v>27467</v>
      </c>
      <c r="E83" s="465">
        <v>2402</v>
      </c>
      <c r="F83" s="465">
        <v>2162</v>
      </c>
      <c r="G83" s="465">
        <f t="shared" si="1"/>
        <v>38307.28943823497</v>
      </c>
    </row>
    <row r="84" spans="1:7" s="502" customFormat="1" ht="13.5" hidden="1" customHeight="1">
      <c r="A84" s="470" t="s">
        <v>631</v>
      </c>
      <c r="B84" s="465">
        <v>46218.7</v>
      </c>
      <c r="C84" s="466">
        <v>67751.199999999997</v>
      </c>
      <c r="D84" s="467">
        <v>71860</v>
      </c>
      <c r="E84" s="465">
        <v>6285</v>
      </c>
      <c r="F84" s="465">
        <v>5657</v>
      </c>
      <c r="G84" s="465">
        <f t="shared" si="1"/>
        <v>53899.519863623711</v>
      </c>
    </row>
    <row r="85" spans="1:7" s="502" customFormat="1" ht="13.5" customHeight="1">
      <c r="A85" s="469" t="s">
        <v>334</v>
      </c>
      <c r="B85" s="465">
        <v>1020981.48</v>
      </c>
      <c r="C85" s="466">
        <v>1117818.01</v>
      </c>
      <c r="D85" s="467">
        <v>1160258</v>
      </c>
      <c r="E85" s="465">
        <v>101480</v>
      </c>
      <c r="F85" s="465">
        <v>91332</v>
      </c>
      <c r="G85" s="465">
        <f t="shared" si="1"/>
        <v>1190648.4688264162</v>
      </c>
    </row>
    <row r="86" spans="1:7" s="502" customFormat="1" ht="13.5" hidden="1" customHeight="1">
      <c r="A86" s="474" t="s">
        <v>637</v>
      </c>
      <c r="B86" s="465">
        <v>607475.70000000019</v>
      </c>
      <c r="C86" s="466">
        <v>738928.59999999986</v>
      </c>
      <c r="D86" s="467">
        <v>780500</v>
      </c>
      <c r="E86" s="465">
        <v>62440</v>
      </c>
      <c r="F86" s="465">
        <v>49060</v>
      </c>
      <c r="G86" s="465">
        <f t="shared" si="1"/>
        <v>694257.942857143</v>
      </c>
    </row>
    <row r="87" spans="1:7" s="502" customFormat="1" ht="13.5" hidden="1" customHeight="1">
      <c r="A87" s="470" t="s">
        <v>638</v>
      </c>
      <c r="B87" s="465">
        <v>289086.59999999998</v>
      </c>
      <c r="C87" s="466">
        <v>364405.10000000003</v>
      </c>
      <c r="D87" s="467">
        <v>351016</v>
      </c>
      <c r="E87" s="465">
        <v>33860</v>
      </c>
      <c r="F87" s="465">
        <v>30474</v>
      </c>
      <c r="G87" s="465">
        <f t="shared" si="1"/>
        <v>342070.21705563279</v>
      </c>
    </row>
    <row r="88" spans="1:7" s="502" customFormat="1" ht="13.5" hidden="1" customHeight="1">
      <c r="A88" s="470" t="s">
        <v>627</v>
      </c>
      <c r="B88" s="465">
        <v>8253.6</v>
      </c>
      <c r="C88" s="466">
        <v>6179.3999999999987</v>
      </c>
      <c r="D88" s="467">
        <v>8232</v>
      </c>
      <c r="E88" s="465">
        <v>720</v>
      </c>
      <c r="F88" s="465">
        <v>648</v>
      </c>
      <c r="G88" s="465">
        <f t="shared" si="1"/>
        <v>9625.1895043731784</v>
      </c>
    </row>
    <row r="89" spans="1:7" s="503" customFormat="1" ht="13.5" hidden="1" customHeight="1">
      <c r="A89" s="470" t="s">
        <v>624</v>
      </c>
      <c r="B89" s="465">
        <v>6789.5000000000009</v>
      </c>
      <c r="C89" s="466">
        <v>4864.2</v>
      </c>
      <c r="D89" s="467">
        <v>0</v>
      </c>
      <c r="E89" s="465">
        <v>0</v>
      </c>
      <c r="F89" s="465">
        <v>0</v>
      </c>
      <c r="G89" s="465" t="e">
        <f t="shared" si="1"/>
        <v>#DIV/0!</v>
      </c>
    </row>
    <row r="90" spans="1:7" s="473" customFormat="1" ht="13.5" customHeight="1">
      <c r="A90" s="469" t="s">
        <v>6</v>
      </c>
      <c r="B90" s="465">
        <v>943854.46</v>
      </c>
      <c r="C90" s="466">
        <v>917418.60999999987</v>
      </c>
      <c r="D90" s="467">
        <v>892419</v>
      </c>
      <c r="E90" s="465">
        <v>78054</v>
      </c>
      <c r="F90" s="465">
        <v>70249</v>
      </c>
      <c r="G90" s="465">
        <f t="shared" si="1"/>
        <v>1100705.0514613874</v>
      </c>
    </row>
    <row r="91" spans="1:7" ht="13.5" hidden="1" customHeight="1">
      <c r="A91" s="470" t="s">
        <v>639</v>
      </c>
      <c r="B91" s="465">
        <v>633668.49999999988</v>
      </c>
      <c r="C91" s="466">
        <v>706341.2</v>
      </c>
      <c r="D91" s="467">
        <v>677750</v>
      </c>
      <c r="E91" s="465">
        <v>59278</v>
      </c>
      <c r="F91" s="465">
        <v>53350</v>
      </c>
      <c r="G91" s="465">
        <f t="shared" si="1"/>
        <v>738971.0685252673</v>
      </c>
    </row>
    <row r="92" spans="1:7" ht="13.5" hidden="1" customHeight="1">
      <c r="A92" s="470" t="s">
        <v>624</v>
      </c>
      <c r="B92" s="465">
        <v>3198.3</v>
      </c>
      <c r="C92" s="466">
        <v>3111.4</v>
      </c>
      <c r="D92" s="467">
        <v>0</v>
      </c>
      <c r="E92" s="465">
        <v>0</v>
      </c>
      <c r="F92" s="465">
        <v>0</v>
      </c>
      <c r="G92" s="465" t="e">
        <f t="shared" si="1"/>
        <v>#DIV/0!</v>
      </c>
    </row>
    <row r="93" spans="1:7" ht="13.5" hidden="1" customHeight="1">
      <c r="A93" s="470" t="s">
        <v>640</v>
      </c>
      <c r="B93" s="465">
        <v>126404.9</v>
      </c>
      <c r="C93" s="466">
        <v>122083.39999999998</v>
      </c>
      <c r="D93" s="467">
        <v>119889</v>
      </c>
      <c r="E93" s="465">
        <v>10486</v>
      </c>
      <c r="F93" s="465">
        <v>9437</v>
      </c>
      <c r="G93" s="465">
        <f t="shared" si="1"/>
        <v>147410.70389109926</v>
      </c>
    </row>
    <row r="94" spans="1:7" ht="12.75" hidden="1" customHeight="1">
      <c r="A94" s="474" t="s">
        <v>641</v>
      </c>
      <c r="B94" s="465">
        <v>86948.599999999991</v>
      </c>
      <c r="C94" s="466">
        <v>89193</v>
      </c>
      <c r="D94" s="467">
        <v>96717</v>
      </c>
      <c r="E94" s="465">
        <v>7737</v>
      </c>
      <c r="F94" s="465">
        <v>6079</v>
      </c>
      <c r="G94" s="465">
        <f t="shared" si="1"/>
        <v>99369.186428445872</v>
      </c>
    </row>
    <row r="95" spans="1:7" ht="13.5" customHeight="1">
      <c r="A95" s="469" t="s">
        <v>17</v>
      </c>
      <c r="B95" s="465">
        <v>338027.18999999994</v>
      </c>
      <c r="C95" s="466">
        <v>377032.12999999995</v>
      </c>
      <c r="D95" s="467">
        <v>433295</v>
      </c>
      <c r="E95" s="465">
        <v>37898</v>
      </c>
      <c r="F95" s="465">
        <v>34108</v>
      </c>
      <c r="G95" s="465">
        <f t="shared" si="1"/>
        <v>394201.35735281958</v>
      </c>
    </row>
    <row r="96" spans="1:7" ht="13.5" hidden="1" customHeight="1">
      <c r="A96" s="470" t="s">
        <v>642</v>
      </c>
      <c r="B96" s="465">
        <v>101115.9</v>
      </c>
      <c r="C96" s="466">
        <v>130524.59999999999</v>
      </c>
      <c r="D96" s="467">
        <v>350203</v>
      </c>
      <c r="E96" s="465">
        <v>30630</v>
      </c>
      <c r="F96" s="465">
        <v>27567</v>
      </c>
      <c r="G96" s="465">
        <f t="shared" si="1"/>
        <v>117919.41690962098</v>
      </c>
    </row>
    <row r="97" spans="1:7" ht="13.5" hidden="1" customHeight="1">
      <c r="A97" s="470" t="s">
        <v>643</v>
      </c>
      <c r="B97" s="465">
        <v>138162.79999999999</v>
      </c>
      <c r="C97" s="466">
        <v>157650.30000000002</v>
      </c>
      <c r="D97" s="467">
        <v>0</v>
      </c>
      <c r="E97" s="465">
        <v>0</v>
      </c>
      <c r="F97" s="465">
        <v>0</v>
      </c>
      <c r="G97" s="465" t="e">
        <f t="shared" si="1"/>
        <v>#DIV/0!</v>
      </c>
    </row>
    <row r="98" spans="1:7" ht="12.75" hidden="1" customHeight="1">
      <c r="A98" s="474" t="s">
        <v>644</v>
      </c>
      <c r="B98" s="465">
        <v>52005.2</v>
      </c>
      <c r="C98" s="466">
        <v>58476.600000000006</v>
      </c>
      <c r="D98" s="467">
        <v>61250</v>
      </c>
      <c r="E98" s="465">
        <v>4900</v>
      </c>
      <c r="F98" s="465">
        <v>3850</v>
      </c>
      <c r="G98" s="465">
        <f t="shared" si="1"/>
        <v>59434.514285714278</v>
      </c>
    </row>
    <row r="99" spans="1:7" ht="13.5" hidden="1" customHeight="1">
      <c r="A99" s="470" t="s">
        <v>645</v>
      </c>
      <c r="B99" s="465">
        <v>14189.5</v>
      </c>
      <c r="C99" s="466">
        <v>23433.399999999998</v>
      </c>
      <c r="D99" s="467">
        <v>23067</v>
      </c>
      <c r="E99" s="465">
        <v>2018</v>
      </c>
      <c r="F99" s="465">
        <v>1816</v>
      </c>
      <c r="G99" s="465">
        <f t="shared" si="1"/>
        <v>16547.957666796723</v>
      </c>
    </row>
    <row r="100" spans="1:7" ht="13.5" customHeight="1">
      <c r="A100" s="469" t="s">
        <v>69</v>
      </c>
      <c r="B100" s="465">
        <v>786125.18000000017</v>
      </c>
      <c r="C100" s="466">
        <v>868843.57000000007</v>
      </c>
      <c r="D100" s="467">
        <v>814996</v>
      </c>
      <c r="E100" s="465">
        <v>71282</v>
      </c>
      <c r="F100" s="465">
        <v>64154</v>
      </c>
      <c r="G100" s="465">
        <f t="shared" si="1"/>
        <v>916763.42838217632</v>
      </c>
    </row>
    <row r="101" spans="1:7" ht="13.5" hidden="1" customHeight="1">
      <c r="A101" s="470" t="s">
        <v>643</v>
      </c>
      <c r="B101" s="465">
        <v>342139.6</v>
      </c>
      <c r="C101" s="466">
        <v>487781</v>
      </c>
      <c r="D101" s="467">
        <v>444929</v>
      </c>
      <c r="E101" s="465">
        <v>38915</v>
      </c>
      <c r="F101" s="465">
        <v>35024</v>
      </c>
      <c r="G101" s="465">
        <f t="shared" si="1"/>
        <v>398996.89607285656</v>
      </c>
    </row>
    <row r="102" spans="1:7" ht="13.5" hidden="1" customHeight="1">
      <c r="A102" s="470" t="s">
        <v>646</v>
      </c>
      <c r="B102" s="465">
        <v>51094.700000000004</v>
      </c>
      <c r="C102" s="466">
        <v>118768.40000000001</v>
      </c>
      <c r="D102" s="467">
        <v>133360</v>
      </c>
      <c r="E102" s="465">
        <v>11664</v>
      </c>
      <c r="F102" s="465">
        <v>10498</v>
      </c>
      <c r="G102" s="465">
        <f t="shared" si="1"/>
        <v>59585.707359028202</v>
      </c>
    </row>
    <row r="103" spans="1:7" ht="13.5" hidden="1" customHeight="1">
      <c r="A103" s="470" t="s">
        <v>647</v>
      </c>
      <c r="B103" s="465">
        <v>16358.6</v>
      </c>
      <c r="C103" s="466">
        <v>25795.200000000001</v>
      </c>
      <c r="D103" s="467">
        <v>21745</v>
      </c>
      <c r="E103" s="465">
        <v>1902</v>
      </c>
      <c r="F103" s="465">
        <v>1712</v>
      </c>
      <c r="G103" s="465">
        <f t="shared" si="1"/>
        <v>19077.385026442862</v>
      </c>
    </row>
    <row r="104" spans="1:7" ht="13.5" hidden="1" customHeight="1">
      <c r="A104" s="470" t="s">
        <v>624</v>
      </c>
      <c r="B104" s="465">
        <v>25001.9</v>
      </c>
      <c r="C104" s="466">
        <v>29037.600000000002</v>
      </c>
      <c r="D104" s="467">
        <v>7949</v>
      </c>
      <c r="E104" s="465">
        <v>695</v>
      </c>
      <c r="F104" s="465">
        <v>626</v>
      </c>
      <c r="G104" s="465">
        <f t="shared" si="1"/>
        <v>29156.826393257015</v>
      </c>
    </row>
    <row r="105" spans="1:7" ht="12.75" hidden="1" customHeight="1">
      <c r="A105" s="470" t="s">
        <v>642</v>
      </c>
      <c r="B105" s="465">
        <v>161032.4</v>
      </c>
      <c r="C105" s="466">
        <v>127277.50000000001</v>
      </c>
      <c r="D105" s="467">
        <v>155559</v>
      </c>
      <c r="E105" s="465">
        <v>13606</v>
      </c>
      <c r="F105" s="465">
        <v>12245</v>
      </c>
      <c r="G105" s="465">
        <f t="shared" si="1"/>
        <v>187792.97683837</v>
      </c>
    </row>
    <row r="106" spans="1:7" ht="13.5" hidden="1" customHeight="1">
      <c r="A106" s="474" t="s">
        <v>648</v>
      </c>
      <c r="B106" s="465">
        <v>56092.800000000003</v>
      </c>
      <c r="C106" s="466">
        <v>42616</v>
      </c>
      <c r="D106" s="467">
        <v>52500</v>
      </c>
      <c r="E106" s="465">
        <v>4200</v>
      </c>
      <c r="F106" s="465">
        <v>3300</v>
      </c>
      <c r="G106" s="465">
        <f t="shared" si="1"/>
        <v>64106.057142857142</v>
      </c>
    </row>
    <row r="107" spans="1:7" ht="13.5" customHeight="1">
      <c r="A107" s="469" t="s">
        <v>20</v>
      </c>
      <c r="B107" s="465">
        <v>194425.61</v>
      </c>
      <c r="C107" s="466">
        <v>224871.97</v>
      </c>
      <c r="D107" s="467">
        <v>330357</v>
      </c>
      <c r="E107" s="465">
        <v>28894</v>
      </c>
      <c r="F107" s="465">
        <v>26005</v>
      </c>
      <c r="G107" s="465">
        <f t="shared" si="1"/>
        <v>226735.41897450332</v>
      </c>
    </row>
    <row r="108" spans="1:7" ht="13.5" hidden="1" customHeight="1">
      <c r="A108" s="470" t="s">
        <v>649</v>
      </c>
      <c r="B108" s="465">
        <v>49443.5</v>
      </c>
      <c r="C108" s="466">
        <v>35852.400000000001</v>
      </c>
      <c r="D108" s="467">
        <v>34122</v>
      </c>
      <c r="E108" s="465">
        <v>2985</v>
      </c>
      <c r="F108" s="465">
        <v>2686</v>
      </c>
      <c r="G108" s="465">
        <f t="shared" si="1"/>
        <v>57660.898994783427</v>
      </c>
    </row>
    <row r="109" spans="1:7" ht="13.5" hidden="1" customHeight="1">
      <c r="A109" s="470" t="s">
        <v>642</v>
      </c>
      <c r="B109" s="465">
        <v>46403.6</v>
      </c>
      <c r="C109" s="466">
        <v>78879.8</v>
      </c>
      <c r="D109" s="467">
        <v>85285</v>
      </c>
      <c r="E109" s="465">
        <v>7460</v>
      </c>
      <c r="F109" s="465">
        <v>6714</v>
      </c>
      <c r="G109" s="465">
        <f t="shared" si="1"/>
        <v>54115.678635164448</v>
      </c>
    </row>
    <row r="110" spans="1:7" ht="13.5" hidden="1" customHeight="1">
      <c r="A110" s="474" t="s">
        <v>650</v>
      </c>
      <c r="B110" s="465">
        <v>78775.899999999994</v>
      </c>
      <c r="C110" s="466">
        <v>102438.6</v>
      </c>
      <c r="D110" s="467">
        <v>215250</v>
      </c>
      <c r="E110" s="465">
        <v>17220</v>
      </c>
      <c r="F110" s="465">
        <v>13530</v>
      </c>
      <c r="G110" s="465">
        <f t="shared" si="1"/>
        <v>90029.599999999991</v>
      </c>
    </row>
    <row r="111" spans="1:7" ht="13.5" customHeight="1">
      <c r="A111" s="469" t="s">
        <v>22</v>
      </c>
      <c r="B111" s="465">
        <v>308226.01</v>
      </c>
      <c r="C111" s="466">
        <v>266459.44</v>
      </c>
      <c r="D111" s="467">
        <v>313770</v>
      </c>
      <c r="E111" s="465">
        <v>27444</v>
      </c>
      <c r="F111" s="465">
        <v>24699</v>
      </c>
      <c r="G111" s="465">
        <f t="shared" si="1"/>
        <v>359447.69734879053</v>
      </c>
    </row>
    <row r="112" spans="1:7" ht="13.5" hidden="1" customHeight="1">
      <c r="A112" s="470" t="s">
        <v>624</v>
      </c>
      <c r="B112" s="465">
        <v>1646.8000000000002</v>
      </c>
      <c r="C112" s="466">
        <v>1399.5</v>
      </c>
      <c r="D112" s="467">
        <v>361</v>
      </c>
      <c r="E112" s="465">
        <v>32</v>
      </c>
      <c r="F112" s="465">
        <v>28</v>
      </c>
      <c r="G112" s="465">
        <f t="shared" si="1"/>
        <v>1920.5063711911359</v>
      </c>
    </row>
    <row r="113" spans="1:7" ht="12.75" hidden="1" customHeight="1">
      <c r="A113" s="470" t="s">
        <v>651</v>
      </c>
      <c r="B113" s="465">
        <v>161136.30000000002</v>
      </c>
      <c r="C113" s="466">
        <v>163471.40000000002</v>
      </c>
      <c r="D113" s="467">
        <v>208494</v>
      </c>
      <c r="E113" s="465">
        <v>18236</v>
      </c>
      <c r="F113" s="465">
        <v>16412</v>
      </c>
      <c r="G113" s="465">
        <f t="shared" si="1"/>
        <v>187914.29132061356</v>
      </c>
    </row>
    <row r="114" spans="1:7" ht="13.5" hidden="1" customHeight="1">
      <c r="A114" s="474" t="s">
        <v>652</v>
      </c>
      <c r="B114" s="465">
        <v>60668.7</v>
      </c>
      <c r="C114" s="466">
        <v>55252.899999999994</v>
      </c>
      <c r="D114" s="467">
        <v>61250</v>
      </c>
      <c r="E114" s="465">
        <v>4900</v>
      </c>
      <c r="F114" s="465">
        <v>3850</v>
      </c>
      <c r="G114" s="465">
        <f t="shared" si="1"/>
        <v>69335.657142857133</v>
      </c>
    </row>
    <row r="115" spans="1:7" ht="13.5" hidden="1" customHeight="1">
      <c r="A115" s="470" t="s">
        <v>653</v>
      </c>
      <c r="B115" s="465">
        <v>45510.6</v>
      </c>
      <c r="C115" s="466">
        <v>39985.300000000003</v>
      </c>
      <c r="D115" s="467">
        <v>44892</v>
      </c>
      <c r="E115" s="465">
        <v>3926</v>
      </c>
      <c r="F115" s="465">
        <v>3534</v>
      </c>
      <c r="G115" s="465">
        <f t="shared" si="1"/>
        <v>53073.396845763164</v>
      </c>
    </row>
    <row r="116" spans="1:7" ht="13.5" customHeight="1">
      <c r="A116" s="471" t="s">
        <v>14</v>
      </c>
      <c r="B116" s="465">
        <v>243204.90999999997</v>
      </c>
      <c r="C116" s="466">
        <v>390090.35000000009</v>
      </c>
      <c r="D116" s="467">
        <v>417841</v>
      </c>
      <c r="E116" s="465">
        <v>0</v>
      </c>
      <c r="F116" s="465">
        <v>0</v>
      </c>
      <c r="G116" s="465">
        <f t="shared" si="1"/>
        <v>243204.90999999997</v>
      </c>
    </row>
    <row r="117" spans="1:7" ht="13.5" hidden="1" customHeight="1">
      <c r="A117" s="504" t="s">
        <v>654</v>
      </c>
      <c r="B117" s="465">
        <v>22379.099999999995</v>
      </c>
      <c r="C117" s="466">
        <v>47791.700000000012</v>
      </c>
      <c r="D117" s="467">
        <v>42853</v>
      </c>
      <c r="E117" s="465">
        <v>3748</v>
      </c>
      <c r="F117" s="465">
        <v>3373</v>
      </c>
      <c r="G117" s="465">
        <f t="shared" si="1"/>
        <v>26097.896142627116</v>
      </c>
    </row>
    <row r="118" spans="1:7" ht="13.5" hidden="1" customHeight="1">
      <c r="A118" s="504" t="s">
        <v>655</v>
      </c>
      <c r="B118" s="465">
        <v>136022.60000000003</v>
      </c>
      <c r="C118" s="466">
        <v>240528.19999999998</v>
      </c>
      <c r="D118" s="467">
        <v>270372</v>
      </c>
      <c r="E118" s="465">
        <v>23648</v>
      </c>
      <c r="F118" s="465">
        <v>21283</v>
      </c>
      <c r="G118" s="465">
        <f t="shared" si="1"/>
        <v>158627.12798588615</v>
      </c>
    </row>
    <row r="119" spans="1:7" ht="12.75" hidden="1" customHeight="1">
      <c r="A119" s="474" t="s">
        <v>656</v>
      </c>
      <c r="B119" s="465">
        <v>56042.9</v>
      </c>
      <c r="C119" s="466">
        <v>94335.6</v>
      </c>
      <c r="D119" s="467">
        <v>106750</v>
      </c>
      <c r="E119" s="465">
        <v>8540</v>
      </c>
      <c r="F119" s="465">
        <v>6710</v>
      </c>
      <c r="G119" s="465">
        <f t="shared" si="1"/>
        <v>64049.028571428571</v>
      </c>
    </row>
    <row r="120" spans="1:7" ht="13.5" customHeight="1" thickBot="1">
      <c r="A120" s="505" t="s">
        <v>424</v>
      </c>
      <c r="B120" s="477">
        <v>546724.14999999991</v>
      </c>
      <c r="C120" s="478">
        <v>639094.19999999995</v>
      </c>
      <c r="D120" s="479">
        <v>713422</v>
      </c>
      <c r="E120" s="477">
        <v>62399</v>
      </c>
      <c r="F120" s="477">
        <v>56159</v>
      </c>
      <c r="G120" s="477">
        <f t="shared" si="1"/>
        <v>637579.94331125182</v>
      </c>
    </row>
    <row r="121" spans="1:7" ht="13.5" hidden="1" customHeight="1">
      <c r="A121" s="506" t="s">
        <v>657</v>
      </c>
      <c r="B121" s="507">
        <v>128429.80000000002</v>
      </c>
      <c r="C121" s="508">
        <v>140178.4</v>
      </c>
      <c r="D121" s="509">
        <v>198922</v>
      </c>
      <c r="E121" s="507">
        <v>17399</v>
      </c>
      <c r="F121" s="507">
        <v>15659</v>
      </c>
      <c r="G121" s="507">
        <f t="shared" si="1"/>
        <v>149773.00149807465</v>
      </c>
    </row>
    <row r="122" spans="1:7" ht="13.5" hidden="1" customHeight="1">
      <c r="A122" s="510" t="s">
        <v>658</v>
      </c>
      <c r="B122" s="511">
        <v>373041.9</v>
      </c>
      <c r="C122" s="512">
        <v>495900.8</v>
      </c>
      <c r="D122" s="513">
        <v>525000</v>
      </c>
      <c r="E122" s="511">
        <v>42000</v>
      </c>
      <c r="F122" s="511">
        <v>33000</v>
      </c>
      <c r="G122" s="511">
        <f t="shared" si="1"/>
        <v>426333.60000000003</v>
      </c>
    </row>
    <row r="123" spans="1:7" ht="13.5" hidden="1" customHeight="1">
      <c r="A123" s="514" t="s">
        <v>624</v>
      </c>
      <c r="B123" s="515">
        <v>2396.7000000000003</v>
      </c>
      <c r="C123" s="516">
        <v>2107.1999999999998</v>
      </c>
      <c r="D123" s="517">
        <v>0</v>
      </c>
      <c r="E123" s="515">
        <v>0</v>
      </c>
      <c r="F123" s="515">
        <v>0</v>
      </c>
      <c r="G123" s="515" t="e">
        <f t="shared" si="1"/>
        <v>#DIV/0!</v>
      </c>
    </row>
    <row r="124" spans="1:7" ht="13.5" customHeight="1" thickTop="1" thickBot="1">
      <c r="A124" s="518" t="s">
        <v>396</v>
      </c>
      <c r="B124" s="519">
        <v>8384444.4200000009</v>
      </c>
      <c r="C124" s="520">
        <v>8591936.8000000007</v>
      </c>
      <c r="D124" s="521">
        <v>9242714</v>
      </c>
      <c r="E124" s="519">
        <v>808401</v>
      </c>
      <c r="F124" s="519">
        <v>727561</v>
      </c>
      <c r="G124" s="519">
        <f t="shared" si="1"/>
        <v>9777778.4580576587</v>
      </c>
    </row>
    <row r="125" spans="1:7" s="475" customFormat="1" ht="12.75" customHeight="1" thickBot="1">
      <c r="A125" s="522"/>
      <c r="B125" s="523"/>
      <c r="C125" s="523"/>
      <c r="D125" s="523"/>
      <c r="E125" s="523"/>
      <c r="F125" s="523"/>
      <c r="G125" s="523"/>
    </row>
    <row r="126" spans="1:7" ht="12.75" customHeight="1">
      <c r="A126" s="459" t="s">
        <v>212</v>
      </c>
      <c r="B126" s="460">
        <v>1180689.74</v>
      </c>
      <c r="C126" s="461">
        <v>1301964.71</v>
      </c>
      <c r="D126" s="462">
        <v>1330982</v>
      </c>
      <c r="E126" s="460">
        <v>116412</v>
      </c>
      <c r="F126" s="460">
        <v>104771</v>
      </c>
      <c r="G126" s="460">
        <f t="shared" si="1"/>
        <v>1376897.1257966673</v>
      </c>
    </row>
    <row r="127" spans="1:7" ht="12.75" hidden="1" customHeight="1">
      <c r="A127" s="470" t="s">
        <v>659</v>
      </c>
      <c r="B127" s="465">
        <v>429030.10000000003</v>
      </c>
      <c r="C127" s="466">
        <v>577818.70000000007</v>
      </c>
      <c r="D127" s="467">
        <v>599604</v>
      </c>
      <c r="E127" s="465">
        <v>52444</v>
      </c>
      <c r="F127" s="465">
        <v>47199</v>
      </c>
      <c r="G127" s="465">
        <f t="shared" si="1"/>
        <v>500326.89964493236</v>
      </c>
    </row>
    <row r="128" spans="1:7" ht="13.5" hidden="1" customHeight="1">
      <c r="A128" s="474" t="s">
        <v>660</v>
      </c>
      <c r="B128" s="465">
        <v>368021.4</v>
      </c>
      <c r="C128" s="466">
        <v>417918.30000000005</v>
      </c>
      <c r="D128" s="467">
        <v>420000</v>
      </c>
      <c r="E128" s="465">
        <v>33600</v>
      </c>
      <c r="F128" s="465">
        <v>26400</v>
      </c>
      <c r="G128" s="465">
        <f t="shared" si="1"/>
        <v>420595.88571428572</v>
      </c>
    </row>
    <row r="129" spans="1:7" ht="13.5" hidden="1" customHeight="1">
      <c r="A129" s="470" t="s">
        <v>661</v>
      </c>
      <c r="B129" s="465">
        <v>15225.599999999999</v>
      </c>
      <c r="C129" s="466">
        <v>19401.100000000002</v>
      </c>
      <c r="D129" s="467">
        <v>25039</v>
      </c>
      <c r="E129" s="465">
        <v>2190</v>
      </c>
      <c r="F129" s="465">
        <v>1971</v>
      </c>
      <c r="G129" s="465">
        <f t="shared" si="1"/>
        <v>17755.801749271137</v>
      </c>
    </row>
    <row r="130" spans="1:7" ht="13.5" hidden="1" customHeight="1">
      <c r="A130" s="470" t="s">
        <v>662</v>
      </c>
      <c r="B130" s="465">
        <v>24336.400000000001</v>
      </c>
      <c r="C130" s="466">
        <v>38557.599999999999</v>
      </c>
      <c r="D130" s="467">
        <v>52126</v>
      </c>
      <c r="E130" s="465">
        <v>4559</v>
      </c>
      <c r="F130" s="465">
        <v>4103</v>
      </c>
      <c r="G130" s="465">
        <f t="shared" si="1"/>
        <v>28380.483505352418</v>
      </c>
    </row>
    <row r="131" spans="1:7" ht="13.5" hidden="1" customHeight="1">
      <c r="A131" s="470" t="s">
        <v>663</v>
      </c>
      <c r="B131" s="465">
        <v>13504.899999999998</v>
      </c>
      <c r="C131" s="466">
        <v>26298.899999999994</v>
      </c>
      <c r="D131" s="467">
        <v>41081</v>
      </c>
      <c r="E131" s="465">
        <v>3593</v>
      </c>
      <c r="F131" s="465">
        <v>3234</v>
      </c>
      <c r="G131" s="465">
        <f t="shared" si="1"/>
        <v>15749.196689467148</v>
      </c>
    </row>
    <row r="132" spans="1:7" ht="12.75" hidden="1" customHeight="1">
      <c r="A132" s="470" t="s">
        <v>664</v>
      </c>
      <c r="B132" s="465">
        <v>128639.7</v>
      </c>
      <c r="C132" s="466">
        <v>119134.2</v>
      </c>
      <c r="D132" s="467">
        <v>124421</v>
      </c>
      <c r="E132" s="465">
        <v>10882</v>
      </c>
      <c r="F132" s="465">
        <v>9794</v>
      </c>
      <c r="G132" s="465">
        <f t="shared" ref="G132:G195" si="2">+B132+((E132+F132)/D132)*B132</f>
        <v>150016.75401178258</v>
      </c>
    </row>
    <row r="133" spans="1:7" ht="13.5" hidden="1" customHeight="1">
      <c r="A133" s="470" t="s">
        <v>665</v>
      </c>
      <c r="B133" s="465">
        <v>69958.2</v>
      </c>
      <c r="C133" s="466">
        <v>83093.599999999991</v>
      </c>
      <c r="D133" s="467">
        <v>77117</v>
      </c>
      <c r="E133" s="465">
        <v>6745</v>
      </c>
      <c r="F133" s="465">
        <v>6070</v>
      </c>
      <c r="G133" s="465">
        <f t="shared" si="2"/>
        <v>81583.578749173335</v>
      </c>
    </row>
    <row r="134" spans="1:7" ht="13.5" customHeight="1">
      <c r="A134" s="469" t="s">
        <v>213</v>
      </c>
      <c r="B134" s="465">
        <v>667118.88</v>
      </c>
      <c r="C134" s="466">
        <v>702247.64000000013</v>
      </c>
      <c r="D134" s="467">
        <v>762079</v>
      </c>
      <c r="E134" s="465">
        <v>66654</v>
      </c>
      <c r="F134" s="465">
        <v>59989</v>
      </c>
      <c r="G134" s="465">
        <f t="shared" si="2"/>
        <v>777981.31856587052</v>
      </c>
    </row>
    <row r="135" spans="1:7" ht="13.5" hidden="1" customHeight="1">
      <c r="A135" s="474" t="s">
        <v>666</v>
      </c>
      <c r="B135" s="465">
        <v>64364.6</v>
      </c>
      <c r="C135" s="466">
        <v>56680.800000000003</v>
      </c>
      <c r="D135" s="467">
        <v>65625</v>
      </c>
      <c r="E135" s="465">
        <v>5250</v>
      </c>
      <c r="F135" s="465">
        <v>4125</v>
      </c>
      <c r="G135" s="465">
        <f t="shared" si="2"/>
        <v>73559.542857142849</v>
      </c>
    </row>
    <row r="136" spans="1:7" ht="13.5" hidden="1" customHeight="1">
      <c r="A136" s="470" t="s">
        <v>667</v>
      </c>
      <c r="B136" s="465">
        <v>278402.70000000007</v>
      </c>
      <c r="C136" s="466">
        <v>324592.69999999995</v>
      </c>
      <c r="D136" s="467">
        <v>329786</v>
      </c>
      <c r="E136" s="465">
        <v>28844</v>
      </c>
      <c r="F136" s="465">
        <v>25960</v>
      </c>
      <c r="G136" s="465">
        <f t="shared" si="2"/>
        <v>324667.79788408248</v>
      </c>
    </row>
    <row r="137" spans="1:7" ht="12.75" hidden="1" customHeight="1">
      <c r="A137" s="470" t="s">
        <v>624</v>
      </c>
      <c r="B137" s="465">
        <v>1311.2000000000003</v>
      </c>
      <c r="C137" s="466">
        <v>5442.1</v>
      </c>
      <c r="D137" s="467">
        <v>0</v>
      </c>
      <c r="E137" s="465">
        <v>0</v>
      </c>
      <c r="F137" s="465">
        <v>0</v>
      </c>
      <c r="G137" s="465" t="e">
        <f t="shared" si="2"/>
        <v>#DIV/0!</v>
      </c>
    </row>
    <row r="138" spans="1:7" ht="13.5" hidden="1" customHeight="1">
      <c r="A138" s="470" t="s">
        <v>668</v>
      </c>
      <c r="B138" s="465">
        <v>5114.2</v>
      </c>
      <c r="C138" s="466">
        <v>11544.5</v>
      </c>
      <c r="D138" s="467">
        <v>2219</v>
      </c>
      <c r="E138" s="465">
        <v>194</v>
      </c>
      <c r="F138" s="465">
        <v>175</v>
      </c>
      <c r="G138" s="465">
        <f t="shared" si="2"/>
        <v>5964.6460567823342</v>
      </c>
    </row>
    <row r="139" spans="1:7" ht="13.5" hidden="1" customHeight="1">
      <c r="A139" s="470" t="s">
        <v>669</v>
      </c>
      <c r="B139" s="465">
        <v>248452.90000000002</v>
      </c>
      <c r="C139" s="466">
        <v>303923.89999999997</v>
      </c>
      <c r="D139" s="467">
        <v>365760</v>
      </c>
      <c r="E139" s="465">
        <v>31990</v>
      </c>
      <c r="F139" s="465">
        <v>28791</v>
      </c>
      <c r="G139" s="465">
        <f t="shared" si="2"/>
        <v>289740.12581720256</v>
      </c>
    </row>
    <row r="140" spans="1:7" ht="13.5" customHeight="1">
      <c r="A140" s="469" t="s">
        <v>214</v>
      </c>
      <c r="B140" s="465">
        <v>1776975.3</v>
      </c>
      <c r="C140" s="466">
        <v>1842496.6600000001</v>
      </c>
      <c r="D140" s="467">
        <v>1718440</v>
      </c>
      <c r="E140" s="465">
        <v>150301</v>
      </c>
      <c r="F140" s="465">
        <v>135271</v>
      </c>
      <c r="G140" s="465">
        <f t="shared" si="2"/>
        <v>2072274.7520446451</v>
      </c>
    </row>
    <row r="141" spans="1:7" ht="13.5" hidden="1" customHeight="1">
      <c r="A141" s="470" t="s">
        <v>624</v>
      </c>
      <c r="B141" s="465">
        <v>5640.4</v>
      </c>
      <c r="C141" s="466">
        <v>11788.7</v>
      </c>
      <c r="D141" s="467">
        <v>0</v>
      </c>
      <c r="E141" s="465">
        <v>0</v>
      </c>
      <c r="F141" s="465">
        <v>0</v>
      </c>
      <c r="G141" s="465" t="e">
        <f t="shared" si="2"/>
        <v>#DIV/0!</v>
      </c>
    </row>
    <row r="142" spans="1:7" ht="13.5" hidden="1" customHeight="1">
      <c r="A142" s="470" t="s">
        <v>670</v>
      </c>
      <c r="B142" s="465">
        <v>603828.79999999993</v>
      </c>
      <c r="C142" s="466">
        <v>693866.20000000007</v>
      </c>
      <c r="D142" s="467">
        <v>605911</v>
      </c>
      <c r="E142" s="465">
        <v>52995</v>
      </c>
      <c r="F142" s="465">
        <v>47696</v>
      </c>
      <c r="G142" s="465">
        <f t="shared" si="2"/>
        <v>704173.77756403154</v>
      </c>
    </row>
    <row r="143" spans="1:7" ht="12.75" hidden="1" customHeight="1">
      <c r="A143" s="470" t="s">
        <v>671</v>
      </c>
      <c r="B143" s="465">
        <v>206950.7</v>
      </c>
      <c r="C143" s="466">
        <v>220204.59999999998</v>
      </c>
      <c r="D143" s="467">
        <v>240768</v>
      </c>
      <c r="E143" s="465">
        <v>21059</v>
      </c>
      <c r="F143" s="465">
        <v>18953</v>
      </c>
      <c r="G143" s="465">
        <f t="shared" si="2"/>
        <v>241342.77622441523</v>
      </c>
    </row>
    <row r="144" spans="1:7" ht="13.5" hidden="1" customHeight="1">
      <c r="A144" s="470" t="s">
        <v>672</v>
      </c>
      <c r="B144" s="465">
        <v>469332.60000000003</v>
      </c>
      <c r="C144" s="466">
        <v>585334.80000000005</v>
      </c>
      <c r="D144" s="467">
        <v>533365</v>
      </c>
      <c r="E144" s="465">
        <v>46650</v>
      </c>
      <c r="F144" s="465">
        <v>41985</v>
      </c>
      <c r="G144" s="465">
        <f t="shared" si="2"/>
        <v>547326.64723032073</v>
      </c>
    </row>
    <row r="145" spans="1:7" ht="13.5" hidden="1" customHeight="1">
      <c r="A145" s="474" t="s">
        <v>673</v>
      </c>
      <c r="B145" s="465">
        <v>288679.90000000002</v>
      </c>
      <c r="C145" s="466">
        <v>329007.10000000003</v>
      </c>
      <c r="D145" s="467">
        <v>345303</v>
      </c>
      <c r="E145" s="465">
        <v>27624</v>
      </c>
      <c r="F145" s="465">
        <v>21705</v>
      </c>
      <c r="G145" s="465">
        <f t="shared" si="2"/>
        <v>329919.88571428572</v>
      </c>
    </row>
    <row r="146" spans="1:7" ht="12.75" customHeight="1">
      <c r="A146" s="469" t="s">
        <v>62</v>
      </c>
      <c r="B146" s="465">
        <v>217936.91000000003</v>
      </c>
      <c r="C146" s="466">
        <v>263501.31</v>
      </c>
      <c r="D146" s="467">
        <v>262373</v>
      </c>
      <c r="E146" s="465">
        <v>22948</v>
      </c>
      <c r="F146" s="465">
        <v>20653</v>
      </c>
      <c r="G146" s="465">
        <f t="shared" si="2"/>
        <v>254153.54514504166</v>
      </c>
    </row>
    <row r="147" spans="1:7" ht="13.5" hidden="1" customHeight="1">
      <c r="A147" s="468" t="s">
        <v>674</v>
      </c>
      <c r="B147" s="465">
        <v>110061.9</v>
      </c>
      <c r="C147" s="466">
        <v>137554.49999999997</v>
      </c>
      <c r="D147" s="467">
        <v>144375</v>
      </c>
      <c r="E147" s="465">
        <v>11550</v>
      </c>
      <c r="F147" s="465">
        <v>9075</v>
      </c>
      <c r="G147" s="465">
        <f t="shared" si="2"/>
        <v>125785.02857142856</v>
      </c>
    </row>
    <row r="148" spans="1:7" ht="13.5" hidden="1" customHeight="1">
      <c r="A148" s="464" t="s">
        <v>675</v>
      </c>
      <c r="B148" s="465">
        <v>49616.2</v>
      </c>
      <c r="C148" s="466">
        <v>66317.7</v>
      </c>
      <c r="D148" s="467">
        <v>56014</v>
      </c>
      <c r="E148" s="465">
        <v>4899</v>
      </c>
      <c r="F148" s="465">
        <v>4409</v>
      </c>
      <c r="G148" s="465">
        <f t="shared" si="2"/>
        <v>57861.060027850181</v>
      </c>
    </row>
    <row r="149" spans="1:7" s="475" customFormat="1" ht="12.75" hidden="1" customHeight="1">
      <c r="A149" s="464" t="s">
        <v>671</v>
      </c>
      <c r="B149" s="465">
        <v>32858.199999999997</v>
      </c>
      <c r="C149" s="466">
        <v>59479.7</v>
      </c>
      <c r="D149" s="467">
        <v>64872</v>
      </c>
      <c r="E149" s="465">
        <v>5674</v>
      </c>
      <c r="F149" s="465">
        <v>5106</v>
      </c>
      <c r="G149" s="465">
        <f t="shared" si="2"/>
        <v>38318.358404242201</v>
      </c>
    </row>
    <row r="150" spans="1:7" ht="12.75" customHeight="1">
      <c r="A150" s="469" t="s">
        <v>365</v>
      </c>
      <c r="B150" s="465">
        <v>737607.27</v>
      </c>
      <c r="C150" s="466">
        <v>824771.73</v>
      </c>
      <c r="D150" s="467">
        <v>855383</v>
      </c>
      <c r="E150" s="465">
        <v>74815</v>
      </c>
      <c r="F150" s="465">
        <v>67333</v>
      </c>
      <c r="G150" s="465">
        <f t="shared" si="2"/>
        <v>860183.23680780421</v>
      </c>
    </row>
    <row r="151" spans="1:7" s="475" customFormat="1" ht="12.75" hidden="1" customHeight="1">
      <c r="A151" s="470" t="s">
        <v>676</v>
      </c>
      <c r="B151" s="465">
        <v>24346.7</v>
      </c>
      <c r="C151" s="466">
        <v>37443.9</v>
      </c>
      <c r="D151" s="467">
        <v>36862</v>
      </c>
      <c r="E151" s="465">
        <v>3224</v>
      </c>
      <c r="F151" s="465">
        <v>2901</v>
      </c>
      <c r="G151" s="465">
        <f t="shared" si="2"/>
        <v>28392.154329661986</v>
      </c>
    </row>
    <row r="152" spans="1:7" ht="12.75" hidden="1" customHeight="1">
      <c r="A152" s="470" t="s">
        <v>677</v>
      </c>
      <c r="B152" s="465">
        <v>405612</v>
      </c>
      <c r="C152" s="466">
        <v>528968.19999999995</v>
      </c>
      <c r="D152" s="467">
        <v>561575</v>
      </c>
      <c r="E152" s="465">
        <v>49117</v>
      </c>
      <c r="F152" s="465">
        <v>44205</v>
      </c>
      <c r="G152" s="465">
        <f t="shared" si="2"/>
        <v>473016.21682589146</v>
      </c>
    </row>
    <row r="153" spans="1:7" ht="13.5" hidden="1" customHeight="1">
      <c r="A153" s="470" t="s">
        <v>624</v>
      </c>
      <c r="B153" s="465">
        <v>1389.2999999999997</v>
      </c>
      <c r="C153" s="466">
        <v>18097</v>
      </c>
      <c r="D153" s="467">
        <v>0</v>
      </c>
      <c r="E153" s="465">
        <v>0</v>
      </c>
      <c r="F153" s="465">
        <v>0</v>
      </c>
      <c r="G153" s="465" t="e">
        <f t="shared" si="2"/>
        <v>#DIV/0!</v>
      </c>
    </row>
    <row r="154" spans="1:7" ht="13.5" hidden="1" customHeight="1">
      <c r="A154" s="470" t="s">
        <v>678</v>
      </c>
      <c r="B154" s="465">
        <v>51726.5</v>
      </c>
      <c r="C154" s="466">
        <v>26114.300000000003</v>
      </c>
      <c r="D154" s="467">
        <v>27440</v>
      </c>
      <c r="E154" s="465">
        <v>2400</v>
      </c>
      <c r="F154" s="465">
        <v>2160</v>
      </c>
      <c r="G154" s="465">
        <f t="shared" si="2"/>
        <v>60322.448979591834</v>
      </c>
    </row>
    <row r="155" spans="1:7" ht="13.5" hidden="1" customHeight="1">
      <c r="A155" s="470" t="s">
        <v>628</v>
      </c>
      <c r="B155" s="465">
        <v>11710.1</v>
      </c>
      <c r="C155" s="466">
        <v>23860.199999999997</v>
      </c>
      <c r="D155" s="467">
        <v>34859</v>
      </c>
      <c r="E155" s="465">
        <v>3049</v>
      </c>
      <c r="F155" s="465">
        <v>2744</v>
      </c>
      <c r="G155" s="465">
        <f t="shared" si="2"/>
        <v>13656.128552167303</v>
      </c>
    </row>
    <row r="156" spans="1:7" ht="13.5" hidden="1" customHeight="1">
      <c r="A156" s="474" t="s">
        <v>679</v>
      </c>
      <c r="B156" s="465">
        <v>153679.5</v>
      </c>
      <c r="C156" s="466">
        <v>188050.2</v>
      </c>
      <c r="D156" s="467">
        <v>70370</v>
      </c>
      <c r="E156" s="465">
        <v>0</v>
      </c>
      <c r="F156" s="465">
        <v>0</v>
      </c>
      <c r="G156" s="465">
        <f t="shared" si="2"/>
        <v>153679.5</v>
      </c>
    </row>
    <row r="157" spans="1:7" ht="13.5" customHeight="1">
      <c r="A157" s="469" t="s">
        <v>400</v>
      </c>
      <c r="B157" s="465">
        <v>1922620.89</v>
      </c>
      <c r="C157" s="466">
        <v>1954927.8900000001</v>
      </c>
      <c r="D157" s="467">
        <v>2116355</v>
      </c>
      <c r="E157" s="465">
        <v>185104</v>
      </c>
      <c r="F157" s="465">
        <v>166593</v>
      </c>
      <c r="G157" s="465">
        <f t="shared" si="2"/>
        <v>2242123.0525154239</v>
      </c>
    </row>
    <row r="158" spans="1:7" ht="13.5" hidden="1" customHeight="1">
      <c r="A158" s="470" t="s">
        <v>680</v>
      </c>
      <c r="B158" s="465">
        <v>323140.88999999996</v>
      </c>
      <c r="C158" s="466">
        <v>377113.2</v>
      </c>
      <c r="D158" s="467">
        <v>435998</v>
      </c>
      <c r="E158" s="465">
        <v>38134</v>
      </c>
      <c r="F158" s="465">
        <v>34320</v>
      </c>
      <c r="G158" s="465">
        <f t="shared" si="2"/>
        <v>376840.3336764847</v>
      </c>
    </row>
    <row r="159" spans="1:7" ht="12.75" hidden="1" customHeight="1">
      <c r="A159" s="470" t="s">
        <v>681</v>
      </c>
      <c r="B159" s="465">
        <v>595529.88</v>
      </c>
      <c r="C159" s="466">
        <v>601848.70000000007</v>
      </c>
      <c r="D159" s="467">
        <v>624946</v>
      </c>
      <c r="E159" s="465">
        <v>54660</v>
      </c>
      <c r="F159" s="465">
        <v>49194</v>
      </c>
      <c r="G159" s="465">
        <f t="shared" si="2"/>
        <v>694495.48688046646</v>
      </c>
    </row>
    <row r="160" spans="1:7" ht="13.5" hidden="1" customHeight="1">
      <c r="A160" s="470" t="s">
        <v>682</v>
      </c>
      <c r="B160" s="465">
        <v>25933.609999999997</v>
      </c>
      <c r="C160" s="466">
        <v>88212.700000000012</v>
      </c>
      <c r="D160" s="467">
        <v>83349</v>
      </c>
      <c r="E160" s="465">
        <v>7290</v>
      </c>
      <c r="F160" s="465">
        <v>6561</v>
      </c>
      <c r="G160" s="465">
        <f t="shared" si="2"/>
        <v>30243.276967930025</v>
      </c>
    </row>
    <row r="161" spans="1:7" ht="13.5" hidden="1" customHeight="1">
      <c r="A161" s="470" t="s">
        <v>683</v>
      </c>
      <c r="B161" s="465">
        <v>280336.93</v>
      </c>
      <c r="C161" s="466">
        <v>431032.1</v>
      </c>
      <c r="D161" s="467">
        <v>432866</v>
      </c>
      <c r="E161" s="465">
        <v>37860</v>
      </c>
      <c r="F161" s="465">
        <v>34074</v>
      </c>
      <c r="G161" s="465">
        <f t="shared" si="2"/>
        <v>326923.5335276968</v>
      </c>
    </row>
    <row r="162" spans="1:7" ht="13.5" hidden="1" customHeight="1">
      <c r="A162" s="470" t="s">
        <v>684</v>
      </c>
      <c r="B162" s="465">
        <v>6392.28</v>
      </c>
      <c r="C162" s="466">
        <v>4704.3999999999996</v>
      </c>
      <c r="D162" s="467">
        <v>74431</v>
      </c>
      <c r="E162" s="465">
        <v>6510</v>
      </c>
      <c r="F162" s="465">
        <v>5859</v>
      </c>
      <c r="G162" s="465">
        <f t="shared" si="2"/>
        <v>7454.5539358600581</v>
      </c>
    </row>
    <row r="163" spans="1:7" ht="13.5" hidden="1" customHeight="1">
      <c r="A163" s="474" t="s">
        <v>685</v>
      </c>
      <c r="B163" s="465">
        <v>420110.5</v>
      </c>
      <c r="C163" s="466">
        <v>451501.73</v>
      </c>
      <c r="D163" s="467">
        <v>474250</v>
      </c>
      <c r="E163" s="465">
        <v>37940</v>
      </c>
      <c r="F163" s="465">
        <v>29810</v>
      </c>
      <c r="G163" s="465">
        <f t="shared" si="2"/>
        <v>480126.28571428568</v>
      </c>
    </row>
    <row r="164" spans="1:7" ht="13.5" customHeight="1" thickBot="1">
      <c r="A164" s="476" t="s">
        <v>552</v>
      </c>
      <c r="B164" s="477">
        <v>293079.82</v>
      </c>
      <c r="C164" s="478">
        <v>0</v>
      </c>
      <c r="D164" s="479">
        <v>0</v>
      </c>
      <c r="E164" s="477">
        <v>0</v>
      </c>
      <c r="F164" s="477">
        <v>0</v>
      </c>
      <c r="G164" s="465">
        <f>+B164</f>
        <v>293079.82</v>
      </c>
    </row>
    <row r="165" spans="1:7" ht="12.75" hidden="1" customHeight="1">
      <c r="A165" s="524" t="s">
        <v>686</v>
      </c>
      <c r="B165" s="482">
        <v>55876.599999999991</v>
      </c>
      <c r="C165" s="483">
        <v>0</v>
      </c>
      <c r="D165" s="484">
        <v>0</v>
      </c>
      <c r="E165" s="482">
        <v>0</v>
      </c>
      <c r="F165" s="482">
        <v>0</v>
      </c>
      <c r="G165" s="482" t="e">
        <f t="shared" si="2"/>
        <v>#DIV/0!</v>
      </c>
    </row>
    <row r="166" spans="1:7" ht="12.75" hidden="1" customHeight="1">
      <c r="A166" s="485" t="s">
        <v>687</v>
      </c>
      <c r="B166" s="486">
        <v>167928.7</v>
      </c>
      <c r="C166" s="487">
        <v>0</v>
      </c>
      <c r="D166" s="488">
        <v>0</v>
      </c>
      <c r="E166" s="486">
        <v>0</v>
      </c>
      <c r="F166" s="486">
        <v>0</v>
      </c>
      <c r="G166" s="486" t="e">
        <f t="shared" si="2"/>
        <v>#DIV/0!</v>
      </c>
    </row>
    <row r="167" spans="1:7" ht="12.75" hidden="1" customHeight="1">
      <c r="A167" s="525" t="s">
        <v>688</v>
      </c>
      <c r="B167" s="526">
        <v>23543.200000000001</v>
      </c>
      <c r="C167" s="527">
        <v>0</v>
      </c>
      <c r="D167" s="528">
        <v>0</v>
      </c>
      <c r="E167" s="526">
        <v>0</v>
      </c>
      <c r="F167" s="526">
        <v>0</v>
      </c>
      <c r="G167" s="526" t="e">
        <f t="shared" si="2"/>
        <v>#DIV/0!</v>
      </c>
    </row>
    <row r="168" spans="1:7" ht="12.75" customHeight="1" thickTop="1" thickBot="1">
      <c r="A168" s="529" t="s">
        <v>397</v>
      </c>
      <c r="B168" s="493">
        <v>6796028.8100000005</v>
      </c>
      <c r="C168" s="494">
        <v>6889909.9399999995</v>
      </c>
      <c r="D168" s="495">
        <v>7045612</v>
      </c>
      <c r="E168" s="493">
        <v>616234</v>
      </c>
      <c r="F168" s="493">
        <v>554610</v>
      </c>
      <c r="G168" s="493">
        <f t="shared" si="2"/>
        <v>7925396.9267818555</v>
      </c>
    </row>
    <row r="169" spans="1:7" ht="12.75" customHeight="1" thickBot="1">
      <c r="A169" s="522"/>
      <c r="B169" s="523"/>
      <c r="C169" s="523"/>
      <c r="D169" s="523"/>
      <c r="E169" s="523"/>
      <c r="F169" s="523"/>
      <c r="G169" s="523"/>
    </row>
    <row r="170" spans="1:7" ht="13.5" customHeight="1" thickBot="1">
      <c r="A170" s="325" t="s">
        <v>398</v>
      </c>
      <c r="B170" s="530">
        <v>22932529.770000003</v>
      </c>
      <c r="C170" s="531">
        <v>23201634.399999999</v>
      </c>
      <c r="D170" s="532">
        <v>24714643</v>
      </c>
      <c r="E170" s="530">
        <v>2161630</v>
      </c>
      <c r="F170" s="530">
        <v>1945469</v>
      </c>
      <c r="G170" s="530">
        <f t="shared" si="2"/>
        <v>26743475.778236385</v>
      </c>
    </row>
    <row r="171" spans="1:7" ht="12.75" customHeight="1" thickBot="1">
      <c r="A171"/>
      <c r="B171" s="533"/>
      <c r="C171" s="534"/>
      <c r="D171" s="535"/>
      <c r="E171" s="533"/>
      <c r="F171" s="533"/>
      <c r="G171" s="533"/>
    </row>
    <row r="172" spans="1:7" ht="12.75" customHeight="1">
      <c r="A172" s="459" t="s">
        <v>399</v>
      </c>
      <c r="B172" s="460">
        <v>902907.60999999987</v>
      </c>
      <c r="C172" s="461">
        <v>940458.45999999985</v>
      </c>
      <c r="D172" s="462">
        <v>922488</v>
      </c>
      <c r="E172" s="460">
        <v>80684</v>
      </c>
      <c r="F172" s="460">
        <v>72616</v>
      </c>
      <c r="G172" s="460">
        <f t="shared" si="2"/>
        <v>1052953.720749408</v>
      </c>
    </row>
    <row r="173" spans="1:7" ht="12.75" hidden="1" customHeight="1">
      <c r="A173" s="474" t="s">
        <v>571</v>
      </c>
      <c r="B173" s="465">
        <v>61299.5</v>
      </c>
      <c r="C173" s="466">
        <v>77516.7</v>
      </c>
      <c r="D173" s="467">
        <v>81114</v>
      </c>
      <c r="E173" s="465">
        <v>6489</v>
      </c>
      <c r="F173" s="465">
        <v>5099</v>
      </c>
      <c r="G173" s="465">
        <f t="shared" si="2"/>
        <v>70056.787348669779</v>
      </c>
    </row>
    <row r="174" spans="1:7" ht="12.75" hidden="1" customHeight="1">
      <c r="A174" s="470" t="s">
        <v>572</v>
      </c>
      <c r="B174" s="465">
        <v>353251.10000000003</v>
      </c>
      <c r="C174" s="466">
        <v>439486.80000000005</v>
      </c>
      <c r="D174" s="467">
        <v>467725</v>
      </c>
      <c r="E174" s="465">
        <v>40909</v>
      </c>
      <c r="F174" s="465">
        <v>36818</v>
      </c>
      <c r="G174" s="465">
        <f t="shared" si="2"/>
        <v>411954.71483713726</v>
      </c>
    </row>
    <row r="175" spans="1:7" ht="13.5" hidden="1" customHeight="1">
      <c r="A175" s="470" t="s">
        <v>573</v>
      </c>
      <c r="B175" s="465">
        <v>329952.2</v>
      </c>
      <c r="C175" s="466">
        <v>347007.89999999997</v>
      </c>
      <c r="D175" s="467">
        <v>356482</v>
      </c>
      <c r="E175" s="465">
        <v>31179</v>
      </c>
      <c r="F175" s="465">
        <v>28061</v>
      </c>
      <c r="G175" s="465">
        <f t="shared" si="2"/>
        <v>384783.49113952462</v>
      </c>
    </row>
    <row r="176" spans="1:7" ht="12.75" hidden="1" customHeight="1">
      <c r="A176" s="504" t="s">
        <v>689</v>
      </c>
      <c r="B176" s="465">
        <v>25629.4</v>
      </c>
      <c r="C176" s="466">
        <v>38438.1</v>
      </c>
      <c r="D176" s="467">
        <v>18791</v>
      </c>
      <c r="E176" s="465">
        <v>1644</v>
      </c>
      <c r="F176" s="465">
        <v>1479</v>
      </c>
      <c r="G176" s="465">
        <f t="shared" si="2"/>
        <v>29888.918716406792</v>
      </c>
    </row>
    <row r="177" spans="1:7" ht="12.75" customHeight="1">
      <c r="A177" s="469" t="s">
        <v>401</v>
      </c>
      <c r="B177" s="465">
        <v>1081369.08</v>
      </c>
      <c r="C177" s="466">
        <v>1095385.4300000002</v>
      </c>
      <c r="D177" s="467">
        <v>1050695</v>
      </c>
      <c r="E177" s="465">
        <v>91898</v>
      </c>
      <c r="F177" s="465">
        <v>82708</v>
      </c>
      <c r="G177" s="465">
        <f t="shared" si="2"/>
        <v>1261072.5425485799</v>
      </c>
    </row>
    <row r="178" spans="1:7" ht="12.75" hidden="1" customHeight="1">
      <c r="A178" s="470" t="s">
        <v>402</v>
      </c>
      <c r="B178" s="465">
        <v>303612.3</v>
      </c>
      <c r="C178" s="466">
        <v>286611.8</v>
      </c>
      <c r="D178" s="467">
        <v>270970</v>
      </c>
      <c r="E178" s="465">
        <v>23700</v>
      </c>
      <c r="F178" s="465">
        <v>21330</v>
      </c>
      <c r="G178" s="465">
        <f t="shared" si="2"/>
        <v>354066.82215743442</v>
      </c>
    </row>
    <row r="179" spans="1:7" ht="12.75" hidden="1" customHeight="1">
      <c r="A179" s="470" t="s">
        <v>403</v>
      </c>
      <c r="B179" s="465">
        <v>407062.49999999994</v>
      </c>
      <c r="C179" s="466">
        <v>580113.69999999995</v>
      </c>
      <c r="D179" s="467">
        <v>558234</v>
      </c>
      <c r="E179" s="465">
        <v>48825</v>
      </c>
      <c r="F179" s="465">
        <v>43943</v>
      </c>
      <c r="G179" s="465">
        <f t="shared" si="2"/>
        <v>474708.63764120417</v>
      </c>
    </row>
    <row r="180" spans="1:7" s="475" customFormat="1" ht="12.75" hidden="1" customHeight="1">
      <c r="A180" s="474" t="s">
        <v>574</v>
      </c>
      <c r="B180" s="465">
        <v>90357</v>
      </c>
      <c r="C180" s="466">
        <v>118860.40000000001</v>
      </c>
      <c r="D180" s="467">
        <v>131250</v>
      </c>
      <c r="E180" s="465">
        <v>10500</v>
      </c>
      <c r="F180" s="465">
        <v>8250</v>
      </c>
      <c r="G180" s="465">
        <f t="shared" si="2"/>
        <v>103265.14285714286</v>
      </c>
    </row>
    <row r="181" spans="1:7" ht="12.75" hidden="1" customHeight="1">
      <c r="A181" s="470" t="s">
        <v>404</v>
      </c>
      <c r="B181" s="465">
        <v>3395.5</v>
      </c>
      <c r="C181" s="466">
        <v>6868.4</v>
      </c>
      <c r="D181" s="467">
        <v>69201</v>
      </c>
      <c r="E181" s="465">
        <v>6053</v>
      </c>
      <c r="F181" s="465">
        <v>5447</v>
      </c>
      <c r="G181" s="465">
        <f t="shared" si="2"/>
        <v>3959.7729151312842</v>
      </c>
    </row>
    <row r="182" spans="1:7" s="475" customFormat="1" ht="12.75" hidden="1" customHeight="1">
      <c r="A182" s="470" t="s">
        <v>427</v>
      </c>
      <c r="B182" s="465">
        <v>140071.5</v>
      </c>
      <c r="C182" s="466">
        <v>74812.899999999994</v>
      </c>
      <c r="D182" s="467">
        <v>9004</v>
      </c>
      <c r="E182" s="465">
        <v>788</v>
      </c>
      <c r="F182" s="465">
        <v>709</v>
      </c>
      <c r="G182" s="465">
        <f t="shared" si="2"/>
        <v>163359.70918480674</v>
      </c>
    </row>
    <row r="183" spans="1:7" ht="12.75" hidden="1" customHeight="1">
      <c r="A183" s="470" t="s">
        <v>405</v>
      </c>
      <c r="B183" s="465">
        <v>4338.1000000000004</v>
      </c>
      <c r="C183" s="466">
        <v>20464.900000000001</v>
      </c>
      <c r="D183" s="467">
        <v>14664</v>
      </c>
      <c r="E183" s="465">
        <v>1283</v>
      </c>
      <c r="F183" s="465">
        <v>1154</v>
      </c>
      <c r="G183" s="465">
        <f t="shared" si="2"/>
        <v>5059.0458333333336</v>
      </c>
    </row>
    <row r="184" spans="1:7" ht="12.75" customHeight="1">
      <c r="A184" s="469" t="s">
        <v>406</v>
      </c>
      <c r="B184" s="465">
        <v>303177.92000000004</v>
      </c>
      <c r="C184" s="466">
        <v>187744.37</v>
      </c>
      <c r="D184" s="467">
        <v>200998</v>
      </c>
      <c r="E184" s="465">
        <v>17580</v>
      </c>
      <c r="F184" s="465">
        <v>15822</v>
      </c>
      <c r="G184" s="465">
        <f t="shared" si="2"/>
        <v>353560.25655976683</v>
      </c>
    </row>
    <row r="185" spans="1:7" ht="12.75" hidden="1" customHeight="1">
      <c r="A185" s="470" t="s">
        <v>402</v>
      </c>
      <c r="B185" s="465">
        <v>49259.199999999997</v>
      </c>
      <c r="C185" s="466">
        <v>37689.19999999999</v>
      </c>
      <c r="D185" s="467">
        <v>41932</v>
      </c>
      <c r="E185" s="465">
        <v>3668</v>
      </c>
      <c r="F185" s="465">
        <v>3301</v>
      </c>
      <c r="G185" s="465">
        <f t="shared" si="2"/>
        <v>57445.963445578549</v>
      </c>
    </row>
    <row r="186" spans="1:7" ht="12.75" hidden="1" customHeight="1">
      <c r="A186" s="470" t="s">
        <v>403</v>
      </c>
      <c r="B186" s="465">
        <v>9721.5999999999985</v>
      </c>
      <c r="C186" s="466">
        <v>3681</v>
      </c>
      <c r="D186" s="467">
        <v>3430</v>
      </c>
      <c r="E186" s="465">
        <v>300</v>
      </c>
      <c r="F186" s="465">
        <v>270</v>
      </c>
      <c r="G186" s="465">
        <f t="shared" si="2"/>
        <v>11337.142857142855</v>
      </c>
    </row>
    <row r="187" spans="1:7" ht="12.75" hidden="1" customHeight="1">
      <c r="A187" s="474" t="s">
        <v>575</v>
      </c>
      <c r="B187" s="465">
        <v>91254.5</v>
      </c>
      <c r="C187" s="466">
        <v>88884.3</v>
      </c>
      <c r="D187" s="467">
        <v>105000</v>
      </c>
      <c r="E187" s="465">
        <v>8400</v>
      </c>
      <c r="F187" s="465">
        <v>6600</v>
      </c>
      <c r="G187" s="465">
        <f t="shared" si="2"/>
        <v>104290.85714285714</v>
      </c>
    </row>
    <row r="188" spans="1:7" ht="12.75" hidden="1" customHeight="1">
      <c r="A188" s="470" t="s">
        <v>576</v>
      </c>
      <c r="B188" s="465">
        <v>103215.4</v>
      </c>
      <c r="C188" s="466">
        <v>57017.200000000004</v>
      </c>
      <c r="D188" s="467">
        <v>52737</v>
      </c>
      <c r="E188" s="465">
        <v>4613</v>
      </c>
      <c r="F188" s="465">
        <v>4151</v>
      </c>
      <c r="G188" s="465">
        <f t="shared" si="2"/>
        <v>120368.05877088192</v>
      </c>
    </row>
    <row r="189" spans="1:7">
      <c r="A189" s="469" t="s">
        <v>426</v>
      </c>
      <c r="B189" s="465">
        <v>22888.79</v>
      </c>
      <c r="C189" s="466">
        <v>155387.10999999996</v>
      </c>
      <c r="D189" s="467">
        <v>123566</v>
      </c>
      <c r="E189" s="465">
        <v>10808</v>
      </c>
      <c r="F189" s="465">
        <v>9727</v>
      </c>
      <c r="G189" s="465">
        <f t="shared" si="2"/>
        <v>26692.597703170777</v>
      </c>
    </row>
    <row r="190" spans="1:7" hidden="1">
      <c r="A190" s="470" t="s">
        <v>405</v>
      </c>
      <c r="B190" s="465">
        <v>17542.2</v>
      </c>
      <c r="C190" s="466">
        <v>13749.9</v>
      </c>
      <c r="D190" s="467">
        <v>4289</v>
      </c>
      <c r="E190" s="465">
        <v>375</v>
      </c>
      <c r="F190" s="465">
        <v>338</v>
      </c>
      <c r="G190" s="465">
        <f t="shared" si="2"/>
        <v>20458.401585451156</v>
      </c>
    </row>
    <row r="191" spans="1:7" hidden="1">
      <c r="A191" s="470" t="s">
        <v>427</v>
      </c>
      <c r="B191" s="465">
        <v>3105.9</v>
      </c>
      <c r="C191" s="466">
        <v>15654.3</v>
      </c>
      <c r="D191" s="467">
        <v>10719</v>
      </c>
      <c r="E191" s="465">
        <v>938</v>
      </c>
      <c r="F191" s="465">
        <v>844</v>
      </c>
      <c r="G191" s="465">
        <f t="shared" si="2"/>
        <v>3622.2460957178841</v>
      </c>
    </row>
    <row r="192" spans="1:7" hidden="1">
      <c r="A192" s="470" t="s">
        <v>402</v>
      </c>
      <c r="B192" s="465">
        <v>2158.2999999999997</v>
      </c>
      <c r="C192" s="466">
        <v>80653.899999999994</v>
      </c>
      <c r="D192" s="467">
        <v>0</v>
      </c>
      <c r="E192" s="465"/>
      <c r="F192" s="465"/>
      <c r="G192" s="465" t="e">
        <f t="shared" si="2"/>
        <v>#DIV/0!</v>
      </c>
    </row>
    <row r="193" spans="1:7" hidden="1">
      <c r="A193" s="474" t="s">
        <v>577</v>
      </c>
      <c r="B193" s="465">
        <v>0</v>
      </c>
      <c r="C193" s="466">
        <v>8576.2000000000007</v>
      </c>
      <c r="D193" s="467">
        <v>0</v>
      </c>
      <c r="E193" s="465">
        <v>0</v>
      </c>
      <c r="F193" s="465">
        <v>0</v>
      </c>
      <c r="G193" s="465" t="e">
        <f t="shared" si="2"/>
        <v>#DIV/0!</v>
      </c>
    </row>
    <row r="194" spans="1:7">
      <c r="A194" s="469" t="s">
        <v>690</v>
      </c>
      <c r="B194" s="465">
        <v>1025512.08</v>
      </c>
      <c r="C194" s="466">
        <v>854688</v>
      </c>
      <c r="D194" s="467">
        <v>0</v>
      </c>
      <c r="E194" s="465">
        <v>0</v>
      </c>
      <c r="F194" s="465">
        <v>0</v>
      </c>
      <c r="G194" s="465"/>
    </row>
    <row r="195" spans="1:7" hidden="1">
      <c r="A195" s="470" t="s">
        <v>427</v>
      </c>
      <c r="B195" s="465">
        <v>6556.1</v>
      </c>
      <c r="C195" s="466">
        <v>0</v>
      </c>
      <c r="D195" s="467">
        <v>0</v>
      </c>
      <c r="E195" s="465">
        <v>0</v>
      </c>
      <c r="F195" s="465">
        <v>0</v>
      </c>
      <c r="G195" s="465" t="e">
        <f t="shared" si="2"/>
        <v>#DIV/0!</v>
      </c>
    </row>
    <row r="196" spans="1:7" hidden="1">
      <c r="A196" s="470" t="s">
        <v>691</v>
      </c>
      <c r="B196" s="465">
        <v>565224.29999999993</v>
      </c>
      <c r="C196" s="466">
        <v>0</v>
      </c>
      <c r="D196" s="467">
        <v>0</v>
      </c>
      <c r="E196" s="465">
        <v>0</v>
      </c>
      <c r="F196" s="465">
        <v>0</v>
      </c>
      <c r="G196" s="465" t="e">
        <f t="shared" ref="G196:G208" si="3">+B196+((E196+F196)/D196)*B196</f>
        <v>#DIV/0!</v>
      </c>
    </row>
    <row r="197" spans="1:7" hidden="1">
      <c r="A197" s="474" t="s">
        <v>692</v>
      </c>
      <c r="B197" s="465">
        <v>18230.099999999999</v>
      </c>
      <c r="C197" s="466">
        <v>0</v>
      </c>
      <c r="D197" s="467">
        <v>0</v>
      </c>
      <c r="E197" s="465">
        <v>0</v>
      </c>
      <c r="F197" s="465">
        <v>0</v>
      </c>
      <c r="G197" s="465" t="e">
        <f t="shared" si="3"/>
        <v>#DIV/0!</v>
      </c>
    </row>
    <row r="198" spans="1:7">
      <c r="A198" s="469" t="s">
        <v>407</v>
      </c>
      <c r="B198" s="536">
        <v>2044333.92</v>
      </c>
      <c r="C198" s="537">
        <v>2232742.0499999998</v>
      </c>
      <c r="D198" s="538">
        <v>2246650</v>
      </c>
      <c r="E198" s="536">
        <v>196500</v>
      </c>
      <c r="F198" s="536">
        <v>176850</v>
      </c>
      <c r="G198" s="536">
        <f t="shared" si="3"/>
        <v>2384062.8804664724</v>
      </c>
    </row>
    <row r="199" spans="1:7" hidden="1">
      <c r="A199" s="539" t="s">
        <v>408</v>
      </c>
      <c r="B199" s="536">
        <v>450497.7</v>
      </c>
      <c r="C199" s="537">
        <v>581404.4</v>
      </c>
      <c r="D199" s="538">
        <v>622102.7080000001</v>
      </c>
      <c r="E199" s="536">
        <v>41224.425000000003</v>
      </c>
      <c r="F199" s="536">
        <v>40966.233999999997</v>
      </c>
      <c r="G199" s="536">
        <f t="shared" si="3"/>
        <v>510016.33312092238</v>
      </c>
    </row>
    <row r="200" spans="1:7" hidden="1">
      <c r="A200" s="540" t="s">
        <v>409</v>
      </c>
      <c r="B200" s="465">
        <v>787421</v>
      </c>
      <c r="C200" s="466">
        <v>862564.4</v>
      </c>
      <c r="D200" s="467">
        <v>922943.90800000005</v>
      </c>
      <c r="E200" s="465">
        <v>114928.379</v>
      </c>
      <c r="F200" s="465">
        <v>67292.513999999996</v>
      </c>
      <c r="G200" s="465">
        <f t="shared" si="3"/>
        <v>942885.00658072601</v>
      </c>
    </row>
    <row r="201" spans="1:7" hidden="1">
      <c r="A201" s="541" t="s">
        <v>410</v>
      </c>
      <c r="B201" s="536">
        <v>249671.89999999997</v>
      </c>
      <c r="C201" s="537">
        <v>222151.2</v>
      </c>
      <c r="D201" s="538">
        <v>237701.78400000001</v>
      </c>
      <c r="E201" s="536">
        <v>16383.305</v>
      </c>
      <c r="F201" s="536">
        <v>18214.61</v>
      </c>
      <c r="G201" s="536">
        <f t="shared" si="3"/>
        <v>286012.0865510967</v>
      </c>
    </row>
    <row r="202" spans="1:7" hidden="1">
      <c r="A202" s="542" t="s">
        <v>411</v>
      </c>
      <c r="B202" s="536">
        <v>138095.4</v>
      </c>
      <c r="C202" s="537">
        <v>251751.9</v>
      </c>
      <c r="D202" s="538">
        <v>269374.533</v>
      </c>
      <c r="E202" s="536">
        <v>16242.279000000002</v>
      </c>
      <c r="F202" s="536">
        <v>17071.100999999999</v>
      </c>
      <c r="G202" s="536">
        <f t="shared" si="3"/>
        <v>155173.57173812788</v>
      </c>
    </row>
    <row r="203" spans="1:7" hidden="1">
      <c r="A203" s="543" t="s">
        <v>412</v>
      </c>
      <c r="B203" s="536">
        <v>134320.6</v>
      </c>
      <c r="C203" s="537">
        <v>306895.5</v>
      </c>
      <c r="D203" s="538">
        <v>328378.18500000006</v>
      </c>
      <c r="E203" s="536">
        <v>17766.921999999999</v>
      </c>
      <c r="F203" s="536">
        <v>14527.175999999999</v>
      </c>
      <c r="G203" s="536">
        <f t="shared" si="3"/>
        <v>147530.25526324107</v>
      </c>
    </row>
    <row r="204" spans="1:7">
      <c r="A204" s="544" t="s">
        <v>693</v>
      </c>
      <c r="B204" s="536">
        <v>143113.61000000002</v>
      </c>
      <c r="C204" s="537">
        <v>0</v>
      </c>
      <c r="D204" s="538">
        <v>0</v>
      </c>
      <c r="E204" s="536">
        <v>0</v>
      </c>
      <c r="F204" s="536">
        <v>0</v>
      </c>
      <c r="G204" s="536"/>
    </row>
    <row r="205" spans="1:7" ht="13.5" thickBot="1">
      <c r="A205" s="545" t="s">
        <v>413</v>
      </c>
      <c r="B205" s="546">
        <v>333551.96000000008</v>
      </c>
      <c r="C205" s="547">
        <v>404671.02</v>
      </c>
      <c r="D205" s="548">
        <v>343000</v>
      </c>
      <c r="E205" s="546">
        <v>30000</v>
      </c>
      <c r="F205" s="546">
        <v>27000</v>
      </c>
      <c r="G205" s="546">
        <f t="shared" si="3"/>
        <v>388981.87755102047</v>
      </c>
    </row>
    <row r="206" spans="1:7" ht="14.25" thickTop="1" thickBot="1">
      <c r="A206" s="549" t="s">
        <v>414</v>
      </c>
      <c r="B206" s="550">
        <v>5856854.9700000007</v>
      </c>
      <c r="C206" s="551">
        <v>5871076.4399999995</v>
      </c>
      <c r="D206" s="552">
        <v>4887397</v>
      </c>
      <c r="E206" s="550">
        <v>427470</v>
      </c>
      <c r="F206" s="550">
        <v>384723</v>
      </c>
      <c r="G206" s="550">
        <f t="shared" si="3"/>
        <v>6830153.5599547783</v>
      </c>
    </row>
    <row r="207" spans="1:7" ht="13.5" thickBot="1">
      <c r="E207" s="553"/>
      <c r="F207" s="553"/>
      <c r="G207" s="553"/>
    </row>
    <row r="208" spans="1:7" ht="13.5" thickBot="1">
      <c r="A208" s="554" t="s">
        <v>428</v>
      </c>
      <c r="B208" s="555">
        <v>28789384.740000002</v>
      </c>
      <c r="C208" s="556">
        <v>29072710.839999992</v>
      </c>
      <c r="D208" s="557">
        <v>29602040</v>
      </c>
      <c r="E208" s="460">
        <v>2589100</v>
      </c>
      <c r="F208" s="460">
        <v>2330192</v>
      </c>
      <c r="G208" s="460">
        <f t="shared" si="3"/>
        <v>33573629.002773926</v>
      </c>
    </row>
  </sheetData>
  <mergeCells count="1">
    <mergeCell ref="B1:D1"/>
  </mergeCells>
  <phoneticPr fontId="33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 enableFormatConditionsCalculation="0">
    <tabColor indexed="42"/>
    <pageSetUpPr fitToPage="1"/>
  </sheetPr>
  <dimension ref="A1:O257"/>
  <sheetViews>
    <sheetView topLeftCell="G1" workbookViewId="0">
      <selection activeCell="M2" sqref="M2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204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/>
      <c r="E6" s="158">
        <f>+C6-1</f>
        <v>2009</v>
      </c>
      <c r="F6" s="133">
        <v>2009</v>
      </c>
      <c r="G6" s="133">
        <v>2010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-IF(ISNA(VLOOKUP("ORL707130000",Balance!C:G,5,FALSE))=TRUE,0,VLOOKUP("ORL707130000",Balance!C:G,5,FALSE))</f>
        <v>830348.78999999992</v>
      </c>
      <c r="D8" s="117">
        <f>+[2]Orléans!$H8</f>
        <v>1140000</v>
      </c>
      <c r="E8" s="160">
        <f>-IF(ISNA(VLOOKUP("ORL707130000",Balanceanp!C:G,5,FALSE))=TRUE,0,VLOOKUP("ORL707130000",Balanceanp!C:G,5,FALSE))</f>
        <v>949574.95000000007</v>
      </c>
      <c r="F8" s="368">
        <v>1095000</v>
      </c>
      <c r="G8" s="570">
        <v>1100050</v>
      </c>
      <c r="H8" s="401"/>
      <c r="I8" s="149">
        <f>+IF((E8)=0,,(F8-E8)/E8)</f>
        <v>0.1531475214252439</v>
      </c>
      <c r="J8" s="271">
        <f>+IF((F8)=0,,(G8-F8)/F8)</f>
        <v>4.6118721461187217E-3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1100050</v>
      </c>
    </row>
    <row r="9" spans="1:15" ht="12.75">
      <c r="A9" s="5" t="s">
        <v>422</v>
      </c>
      <c r="B9" s="92"/>
      <c r="C9" s="160">
        <f>-IF(ISNA(VLOOKUP("ORL707131000",Balance!C:G,5,FALSE))=TRUE,0,VLOOKUP("ORL707131000",Balance!C:G,5,FALSE))</f>
        <v>0</v>
      </c>
      <c r="D9" s="117">
        <f>+[2]Orléans!$H9</f>
        <v>0</v>
      </c>
      <c r="E9" s="160">
        <f>-IF(ISNA(VLOOKUP("ORL707131000",Balanceanp!C:G,5,FALSE))=TRUE,0,VLOOKUP("ORL707131000",Balanceanp!C:G,5,FALSE))</f>
        <v>158234.74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-IF(ISNA(VLOOKUP("ORL707300000",Balance!C:G,5,FALSE))=TRUE,0,VLOOKUP("ORL707300000",Balance!C:G,5,FALSE))</f>
        <v>0</v>
      </c>
      <c r="D10" s="117">
        <f>+[2]Orléans!$H10</f>
        <v>0</v>
      </c>
      <c r="E10" s="160">
        <f>-IF(ISNA(VLOOKUP("ORL707300000",Balanceanp!C:G,5,FALSE))=TRUE,0,VLOOKUP("ORL707300000",Balanceanp!C:G,5,FALSE))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-IF(ISNA(VLOOKUP("ORL707110000",Balance!C:G,5,FALSE))=TRUE,0,VLOOKUP("ORL707110000",Balance!C:G,5,FALSE))</f>
        <v>168.57</v>
      </c>
      <c r="D11" s="117">
        <f>+[2]Orléans!$H11</f>
        <v>0</v>
      </c>
      <c r="E11" s="160">
        <f>-IF(ISNA(VLOOKUP("ORL707110000",Balanceanp!C:G,5,FALSE))=TRUE,0,VLOOKUP("ORL707110000",Balanceanp!C:G,5,FALSE))</f>
        <v>235.70000000000002</v>
      </c>
      <c r="F11" s="368">
        <f t="shared" si="2"/>
        <v>168.57</v>
      </c>
      <c r="G11" s="570">
        <v>0</v>
      </c>
      <c r="H11" s="401"/>
      <c r="I11" s="149">
        <f t="shared" si="1"/>
        <v>-0.28481120067882909</v>
      </c>
      <c r="J11" s="271">
        <f t="shared" si="1"/>
        <v>-1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-IF(ISNA(VLOOKUP("ORL707120000",Balance!C:G,5,FALSE))=TRUE,0,VLOOKUP("ORL707120000",Balance!C:G,5,FALSE))</f>
        <v>0</v>
      </c>
      <c r="D12" s="117">
        <f>+[2]Orléans!$H12</f>
        <v>0</v>
      </c>
      <c r="E12" s="160">
        <f>-IF(ISNA(VLOOKUP("ORL707120000",Balanceanp!C:G,5,FALSE))=TRUE,0,VLOOKUP("ORL707120000",Balanceanp!C:G,5,FALSE))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-IF(ISNA(VLOOKUP("ORL707230000",Balance!C:G,5,FALSE))=TRUE,0,VLOOKUP("ORL707230000",Balance!C:G,5,FALSE))</f>
        <v>0</v>
      </c>
      <c r="D13" s="117">
        <f>+[2]Orléans!$H13</f>
        <v>0</v>
      </c>
      <c r="E13" s="160">
        <f>-IF(ISNA(VLOOKUP("ORL707230000",Balanceanp!C:G,5,FALSE))=TRUE,0,VLOOKUP("ORL707230000",Balanceanp!C:G,5,FALSE))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-IF(ISNA(VLOOKUP("ORL708820000",Balance!C:G,5,FALSE))=TRUE,0,VLOOKUP("ORL708820000",Balance!C:G,5,FALSE))</f>
        <v>1314.83</v>
      </c>
      <c r="D14" s="117">
        <f>+[2]Orléans!$H14</f>
        <v>0</v>
      </c>
      <c r="E14" s="160">
        <f>-IF(ISNA(VLOOKUP("ORL708820000",Balanceanp!C:G,5,FALSE))=TRUE,0,VLOOKUP("ORL708820000",Balanceanp!C:G,5,FALSE))</f>
        <v>313.08999999999997</v>
      </c>
      <c r="F14" s="368">
        <f t="shared" si="2"/>
        <v>1314.83</v>
      </c>
      <c r="G14" s="570">
        <v>0</v>
      </c>
      <c r="H14" s="401"/>
      <c r="I14" s="149">
        <f t="shared" si="1"/>
        <v>3.1995272924718137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-IF(ISNA(VLOOKUP("ORL708500000",Balance!C:G,5,FALSE))=TRUE,0,VLOOKUP("ORL708500000",Balance!C:G,5,FALSE))</f>
        <v>1281</v>
      </c>
      <c r="D15" s="117">
        <f>+[2]Orléans!$H15</f>
        <v>0</v>
      </c>
      <c r="E15" s="160">
        <f>-IF(ISNA(VLOOKUP("ORL708500000",Balanceanp!C:G,5,FALSE))=TRUE,0,VLOOKUP("ORL708500000",Balanceanp!C:G,5,FALSE))</f>
        <v>1587</v>
      </c>
      <c r="F15" s="368">
        <f t="shared" si="2"/>
        <v>1281</v>
      </c>
      <c r="G15" s="570">
        <v>0</v>
      </c>
      <c r="H15" s="401"/>
      <c r="I15" s="149">
        <f t="shared" si="1"/>
        <v>-0.19281663516068054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IF(ISNA(VLOOKUP("ORL706000000",Balance!C:G,5,FALSE))=TRUE,0,-VLOOKUP("ORL706000000",Balance!C:G,5,FALSE))+IF(ISNA(VLOOKUP("ORL706010000",Balance!C:G,5,FALSE))=TRUE,0,-VLOOKUP("ORL706010000",Balance!C:G,5,FALSE))</f>
        <v>0</v>
      </c>
      <c r="D16" s="117">
        <f>+[2]Orléans!$H16</f>
        <v>0</v>
      </c>
      <c r="E16" s="160">
        <f>IF(ISNA(VLOOKUP("ORL706000000",Balanceanp!C:G,5,FALSE))=TRUE,0,-VLOOKUP("ORL706000000",Balanceanp!C:G,5,FALSE))+IF(ISNA(VLOOKUP("ORL706010000",Balanceanp!C:G,5,FALSE))=TRUE,0,-VLOOKUP("ORL706010000",Balanceanp!C:G,5,FALSE))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IF(ISNA(VLOOKUP("ORL707500000",Balance!C:G,5,FALSE))=TRUE,0,-VLOOKUP("ORL707500000",Balance!C:G,5,FALSE))</f>
        <v>0</v>
      </c>
      <c r="D17" s="117">
        <f>+[2]Orléans!$H17</f>
        <v>0</v>
      </c>
      <c r="E17" s="160">
        <f>IF(ISNA(VLOOKUP("ORL707500000",Balanceanp!C:G,5,FALSE))=TRUE,0,-VLOOKUP("ORL707500000",Balanceanp!C:G,5,FALSE))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IF(ISNA(VLOOKUP("ORL707510000",Balance!C:G,5,FALSE))=TRUE,0,-VLOOKUP("ORL707510000",Balance!C:G,5,FALSE))</f>
        <v>0</v>
      </c>
      <c r="D18" s="117">
        <f>+[2]Orléans!$H18</f>
        <v>0</v>
      </c>
      <c r="E18" s="160">
        <f>IF(ISNA(VLOOKUP("ORL707510000",Balanceanp!C:G,5,FALSE))=TRUE,0,-VLOOKUP("ORL707510000",Balanceanp!C:G,5,FALSE))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IF(ISNA(VLOOKUP("ORL708300000",Balance!C:G,5,FALSE))=TRUE,0,-VLOOKUP("ORL708300000",Balance!C:G,5,FALSE))</f>
        <v>0</v>
      </c>
      <c r="D19" s="117">
        <f>+[2]Orléans!$H19</f>
        <v>0</v>
      </c>
      <c r="E19" s="160">
        <f>IF(ISNA(VLOOKUP("ORL708300000",Balanceanp!C:G,5,FALSE))=TRUE,0,-VLOOKUP("ORL708300000",Balanceanp!C:G,5,FALSE))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833113.18999999983</v>
      </c>
      <c r="D21" s="118">
        <f>SUM(D7:D20)</f>
        <v>1140000</v>
      </c>
      <c r="E21" s="163">
        <f>SUM(E7:E20)</f>
        <v>1109945.48</v>
      </c>
      <c r="F21" s="136">
        <f>SUM(F7:F20)</f>
        <v>1097764.4000000001</v>
      </c>
      <c r="G21" s="136">
        <f>SUM(G7:G20)</f>
        <v>1100050</v>
      </c>
      <c r="H21" s="312"/>
      <c r="I21" s="272">
        <f>+IF((E21)=0,,(F21-E21)/E21)</f>
        <v>-1.0974484981009915E-2</v>
      </c>
      <c r="J21" s="188">
        <f>+IF((F21)=0,,(G21-F21)/F21)</f>
        <v>2.0820496638439541E-3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IF(ISNA(VLOOKUP("ORL602650000",Balance!C:G,5,FALSE))=TRUE,0,VLOOKUP("ORL602650000",Balance!C:G,5,FALSE))</f>
        <v>0</v>
      </c>
      <c r="D23" s="115"/>
      <c r="E23" s="160">
        <f>IF(ISNA(VLOOKUP("ORL602650000",Balanceanp!C:G,5,FALSE))=TRUE,0,VLOOKUP("ORL602650000",Balanceanp!C:G,5,FALSE))</f>
        <v>144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IF(ISNA(VLOOKUP("orl607100000",Balance!C:G,5,FALSE))=TRUE,0,VLOOKUP("orl607100000",Balance!C:G,5,FALSE))</f>
        <v>282246.03999999998</v>
      </c>
      <c r="D24" s="115"/>
      <c r="E24" s="160">
        <f>IF(ISNA(VLOOKUP("orl607100000",Balanceanp!C:G,5,FALSE))=TRUE,0,VLOOKUP("orl607100000",Balanceanp!C:G,5,FALSE))</f>
        <v>381323.26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IF(ISNA(VLOOKUP("orl607110000",Balance!C:G,5,FALSE))=TRUE,0,VLOOKUP("orl607110000",Balance!C:G,5,FALSE))+IF(ISNA(VLOOKUP("orl607120000",Balance!C:G,5,FALSE))=TRUE,0,VLOOKUP("orl607120000",Balance!C:G,5,FALSE))</f>
        <v>15968.650000000001</v>
      </c>
      <c r="D25" s="115"/>
      <c r="E25" s="160">
        <f>IF(ISNA(VLOOKUP("orl607110000",Balanceanp!C:G,5,FALSE))=TRUE,0,VLOOKUP("orl607110000",Balanceanp!C:G,5,FALSE))+IF(ISNA(VLOOKUP("orl607120000",Balanceanp!C:G,5,FALSE))=TRUE,0,VLOOKUP("orl607120000",Balanceanp!C:G,5,FALSE))</f>
        <v>14501.419999999998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IF(ISNA(VLOOKUP("orl607130000",Balance!C:G,5,FALSE))=TRUE,0,VLOOKUP("orl607130000",Balance!C:G,5,FALSE))</f>
        <v>56740.639999999999</v>
      </c>
      <c r="D26" s="115"/>
      <c r="E26" s="160">
        <f>IF(ISNA(VLOOKUP("orl607130000",Balanceanp!C:G,5,FALSE))=TRUE,0,VLOOKUP("orl607130000",Balanceanp!C:G,5,FALSE))</f>
        <v>56438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IF(ISNA(VLOOKUP("orl607140000",Balance!C:G,5,FALSE))=TRUE,0,VLOOKUP("orl607140000",Balance!C:G,5,FALSE))</f>
        <v>-24721.1</v>
      </c>
      <c r="D27" s="115"/>
      <c r="E27" s="160">
        <f>IF(ISNA(VLOOKUP("orl607140000",Balanceanp!C:G,5,FALSE))=TRUE,0,VLOOKUP("orl607140000",Balanceanp!C:G,5,FALSE))</f>
        <v>-37127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IF(ISNA(VLOOKUP("ORL607200000",Balance!C:G,5,FALSE))=TRUE,0,VLOOKUP("ORL607200000",Balance!C:G,5,FALSE))</f>
        <v>204759.84</v>
      </c>
      <c r="D28" s="115"/>
      <c r="E28" s="160">
        <f>IF(ISNA(VLOOKUP("ORL607200000",Balanceanp!C:G,5,FALSE))=TRUE,0,VLOOKUP("ORL607200000",Balanceanp!C:G,5,FALSE))</f>
        <v>247997.54</v>
      </c>
      <c r="F28" s="134"/>
      <c r="G28" s="1161">
        <v>250000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250000</v>
      </c>
    </row>
    <row r="29" spans="1:13" ht="12.75">
      <c r="A29" s="5" t="s">
        <v>293</v>
      </c>
      <c r="B29" s="92"/>
      <c r="C29" s="160">
        <f>IF(ISNA(VLOOKUP("ORL607150000",Balance!C:G,5,FALSE))=TRUE,0,VLOOKUP("ORL607150000",Balance!C:G,5,FALSE))</f>
        <v>0</v>
      </c>
      <c r="D29" s="115"/>
      <c r="E29" s="357">
        <f>IF(ISNA(VLOOKUP("ORL607150000",Balanceanp!C:G,5,FALSE))=TRUE,0,VLOOKUP("ORL607150000",Balanceanp!C:G,5,FALSE))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534994.07000000007</v>
      </c>
      <c r="D30" s="119"/>
      <c r="E30" s="164">
        <f>SUM(E23:E29)</f>
        <v>663277.22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328605.70999999973</v>
      </c>
      <c r="D32" s="120"/>
      <c r="E32" s="166">
        <f>+E21-E30-E38</f>
        <v>444785.25660000002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0.39443104963924508</v>
      </c>
      <c r="D33" s="120"/>
      <c r="E33" s="196">
        <f>+E32/E21</f>
        <v>0.40072712093930957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IF(ISNA(VLOOKUP("ORL607400000",Balance!C:G,5,FALSE))=TRUE,0,VLOOKUP("ORL607400000",Balance!C:G,5,FALSE))</f>
        <v>7709.22</v>
      </c>
      <c r="D35" s="115"/>
      <c r="E35" s="160">
        <f>IF(ISNA(VLOOKUP("ORL607400000",Balanceanp!C:G,5,FALSE))=TRUE,0,VLOOKUP("ORL607400000",Balanceanp!C:G,5,FALSE))</f>
        <v>7381.07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IF(ISNA(VLOOKUP("ORL608000000",Balance!C:G,5,FALSE))=TRUE,0,VLOOKUP("ORL608000000",Balance!C:G,5,FALSE))</f>
        <v>3017.89</v>
      </c>
      <c r="D36" s="115"/>
      <c r="E36" s="160">
        <f>IF(ISNA(VLOOKUP("ORL608000000",Balanceanp!C:G,5,FALSE))=TRUE,0,VLOOKUP("ORL608000000",Balanceanp!C:G,5,FALSE))</f>
        <v>5804.6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IF(ISNA(VLOOKUP("ORL608100000",Balance!C:G,5,FALSE))=TRUE,0,VLOOKUP("ORL608100000",Balance!C:G,5,FALSE))</f>
        <v>0</v>
      </c>
      <c r="D37" s="115"/>
      <c r="E37" s="160">
        <f>IF(ISNA(VLOOKUP("ORL608100000",Balanceanp!C:G,5,FALSE))=TRUE,0,VLOOKUP("ORL608100000",Balanceanp!C:G,5,FALSE))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-30486.589999999997</v>
      </c>
      <c r="D38" s="115"/>
      <c r="E38" s="160">
        <f>+E56-E57</f>
        <v>1883.0034000000014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IF(ISNA(VLOOKUP("ORL681730000",Balance!C:G,5,FALSE))=TRUE,0,VLOOKUP("ORL681730000",Balance!C:G,5,FALSE))</f>
        <v>0</v>
      </c>
      <c r="D39" s="115"/>
      <c r="E39" s="160">
        <f>IF(ISNA(VLOOKUP("ORL681730000",Balanceanp!C:G,5,FALSE))=TRUE,0,VLOOKUP("ORL681730000",Balanceanp!C:G,5,FALSE))</f>
        <v>5221.9799999999996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IF(ISNA(VLOOKUP("ORL781730000",Balance!C:G,5,FALSE))=TRUE,0,VLOOKUP("ORL781730000",Balance!C:G,5,FALSE))</f>
        <v>-2283.67</v>
      </c>
      <c r="D40" s="115"/>
      <c r="E40" s="160">
        <f>IF(ISNA(VLOOKUP("ORL781730000",Balanceanp!C:G,5,FALSE))=TRUE,0,VLOOKUP("ORL781730000",Balanceanp!C:G,5,FALSE))</f>
        <v>-4280.58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IF(ISNA(VLOOKUP("orl609110000",Balance!C:G,5,FALSE))=TRUE,0,VLOOKUP("orl609110000",Balance!C:G,5,FALSE))</f>
        <v>-202.53</v>
      </c>
      <c r="D41" s="115"/>
      <c r="E41" s="160">
        <f>IF(ISNA(VLOOKUP("orl609110000",Balanceanp!C:G,5,FALSE))=TRUE,0,VLOOKUP("orl609110000",Balanceanp!C:G,5,FALSE))</f>
        <v>-12162.43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IF(ISNA(VLOOKUP("orl609120000",Balance!C:G,5,FALSE))=TRUE,0,VLOOKUP("orl609120000",Balance!C:G,5,FALSE))</f>
        <v>-15347.22</v>
      </c>
      <c r="D42" s="115"/>
      <c r="E42" s="160">
        <f>IF(ISNA(VLOOKUP("orl609120000",Balanceanp!C:G,5,FALSE))=TRUE,0,VLOOKUP("orl609120000",Balanceanp!C:G,5,FALSE))</f>
        <v>-17442.25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497401.17000000004</v>
      </c>
      <c r="D44" s="121"/>
      <c r="E44" s="163">
        <f>+E30+SUM(E34:E43)</f>
        <v>649682.61340000003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335712.01999999979</v>
      </c>
      <c r="D46" s="120"/>
      <c r="E46" s="166">
        <f>+E21-E44</f>
        <v>460262.86659999995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0.40296087498026512</v>
      </c>
      <c r="D47" s="120"/>
      <c r="E47" s="196">
        <f>+E46/E21</f>
        <v>0.41467159864464692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1.3503567264371366E-2</v>
      </c>
      <c r="C49" s="160">
        <f>IF(ISNA(VLOOKUP("ORL709700000",Balance!C:G,5,FALSE))=TRUE,0,VLOOKUP("ORL709700000",Balance!C:G,5,FALSE))</f>
        <v>11250</v>
      </c>
      <c r="D49" s="117">
        <f>+[2]Orléans!$H49</f>
        <v>15000</v>
      </c>
      <c r="E49" s="160">
        <f>IF(ISNA(VLOOKUP("ORL709700000",Balanceanp!C:G,5,FALSE))=TRUE,0,VLOOKUP("ORL709700000",Balanceanp!C:G,5,FALSE))</f>
        <v>13527.79</v>
      </c>
      <c r="F49" s="135">
        <f>+C49+C49/9*(12-Clients!$I$14)</f>
        <v>15000</v>
      </c>
      <c r="G49" s="425">
        <v>15000</v>
      </c>
      <c r="H49" s="419"/>
      <c r="I49" s="149">
        <f>+IF((E49)=0,,(F49-E49)/E49)</f>
        <v>0.10882856697213654</v>
      </c>
      <c r="J49" s="271">
        <f>+IF((F49)=0,,(G49-F49)/F49)</f>
        <v>0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15000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821863.18999999983</v>
      </c>
      <c r="D51" s="118">
        <f>+D21-D49</f>
        <v>1125000</v>
      </c>
      <c r="E51" s="163">
        <f>+E21-E49</f>
        <v>1096417.69</v>
      </c>
      <c r="F51" s="136">
        <f>+F21-F49</f>
        <v>1082764.4000000001</v>
      </c>
      <c r="G51" s="136">
        <f>+G21-G49</f>
        <v>1085050</v>
      </c>
      <c r="H51" s="312"/>
      <c r="I51" s="272">
        <f>+IF((E51)=0,,(F51-E51)/E51)</f>
        <v>-1.245263563742738E-2</v>
      </c>
      <c r="J51" s="188">
        <f>+IF((F51)=0,,(G51-F51)/F51)</f>
        <v>2.1108931915381221E-3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324462.01999999979</v>
      </c>
      <c r="D53" s="122"/>
      <c r="E53" s="169">
        <f>+E51-E44</f>
        <v>446735.07659999991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0.39478835887515518</v>
      </c>
      <c r="D54" s="123"/>
      <c r="E54" s="197">
        <f>+E53/E51</f>
        <v>0.40744971617522874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+[2]Orléans!$C56</f>
        <v>104794.41</v>
      </c>
      <c r="D56" s="115"/>
      <c r="E56" s="160">
        <f>+[1]Orléans!$G56</f>
        <v>102391.2546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+[2]Orléans!$C57</f>
        <v>135281</v>
      </c>
      <c r="D57" s="115"/>
      <c r="E57" s="160">
        <f>+[1]Orléans!$G57</f>
        <v>100508.2512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+[2]Orléans!$C60</f>
        <v>0.4</v>
      </c>
      <c r="D60" s="123">
        <f>+[2]Orléans!$H60</f>
        <v>0.41</v>
      </c>
      <c r="E60" s="197">
        <v>0.4</v>
      </c>
      <c r="F60" s="141">
        <f>+C60</f>
        <v>0.4</v>
      </c>
      <c r="G60" s="141">
        <v>0.41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+[2]Orléans!$C61</f>
        <v>0.36499999999999999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328745.27599999995</v>
      </c>
      <c r="D62" s="122">
        <f>D51*D60</f>
        <v>461250</v>
      </c>
      <c r="E62" s="169">
        <f>+E51*E60</f>
        <v>438567.076</v>
      </c>
      <c r="F62" s="140">
        <f>+F51*F60</f>
        <v>433105.76000000007</v>
      </c>
      <c r="G62" s="140">
        <f>+G51*G60</f>
        <v>444870.5</v>
      </c>
      <c r="H62" s="405"/>
      <c r="I62" s="224">
        <f>+IF((E62)=0,,(F62-E62)/E62)</f>
        <v>-1.2452635637427406E-2</v>
      </c>
      <c r="J62" s="123">
        <f>+IF((F62)=0,,(G62-F62)/F62)</f>
        <v>2.7163665521326548E-2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IF(ISNA(VLOOKUP("ORL613520000",Balance!C:G,5,FALSE))=TRUE,0,VLOOKUP("ORL613520000",Balance!C:G,5,FALSE))</f>
        <v>2977.88</v>
      </c>
      <c r="D64" s="117">
        <f>+[2]Orléans!$H64</f>
        <v>6614.1780000000008</v>
      </c>
      <c r="E64" s="160">
        <f>IF(ISNA(VLOOKUP("ORL613520000",Balanceanp!C:G,5,FALSE))=TRUE,0,VLOOKUP("ORL613520000",Balanceanp!C:G,5,FALSE))</f>
        <v>6256.76</v>
      </c>
      <c r="F64" s="368">
        <f>+C64+C64/9*(12-Clients!$I$14)</f>
        <v>3970.5066666666671</v>
      </c>
      <c r="G64" s="570">
        <f>+F64*1.05</f>
        <v>4169.0320000000011</v>
      </c>
      <c r="H64" s="401"/>
      <c r="I64" s="149">
        <f t="shared" ref="I64:J68" si="4">+IF((E64)=0,,(F64-E64)/E64)</f>
        <v>-0.36540531094901085</v>
      </c>
      <c r="J64" s="271">
        <f t="shared" si="4"/>
        <v>5.0000000000000148E-2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4169.0320000000011</v>
      </c>
    </row>
    <row r="65" spans="1:13" ht="12.75">
      <c r="A65" s="5" t="s">
        <v>314</v>
      </c>
      <c r="B65" s="92"/>
      <c r="C65" s="160"/>
      <c r="D65" s="117">
        <f>+[2]Orléans!$H65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IF(ISNA(VLOOKUP("ORL616120000",Balance!C:G,5,FALSE))=TRUE,0,VLOOKUP("ORL616120000",Balance!C:G,5,FALSE))</f>
        <v>1578.83</v>
      </c>
      <c r="D66" s="117">
        <f>+[2]Orléans!$H66</f>
        <v>1994.6535000000001</v>
      </c>
      <c r="E66" s="160">
        <f>IF(ISNA(VLOOKUP("ORL616120000",Balanceanp!C:G,5,FALSE))=TRUE,0,VLOOKUP("ORL616120000",Balanceanp!C:G,5,FALSE))</f>
        <v>1550.84</v>
      </c>
      <c r="F66" s="368">
        <f>+C66+C66/9*(12-Clients!$I$14)</f>
        <v>2105.1066666666666</v>
      </c>
      <c r="G66" s="570">
        <f>+F66*1.05</f>
        <v>2210.3620000000001</v>
      </c>
      <c r="H66" s="401"/>
      <c r="I66" s="149">
        <f t="shared" si="4"/>
        <v>0.35739771134782872</v>
      </c>
      <c r="J66" s="271">
        <f t="shared" si="4"/>
        <v>5.0000000000000086E-2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2210.3620000000001</v>
      </c>
    </row>
    <row r="67" spans="1:13" ht="12.75">
      <c r="A67" s="5" t="s">
        <v>107</v>
      </c>
      <c r="B67" s="92"/>
      <c r="C67" s="160">
        <f>IF(ISNA(VLOOKUP("ORL615520000",Balance!C:G,5,FALSE))=TRUE,0,VLOOKUP("ORL615520000",Balance!C:G,5,FALSE))</f>
        <v>3731.47</v>
      </c>
      <c r="D67" s="117">
        <f>+[2]Orléans!$H67</f>
        <v>2000</v>
      </c>
      <c r="E67" s="160">
        <f>IF(ISNA(VLOOKUP("ORL615520000",Balanceanp!C:G,5,FALSE))=TRUE,0,VLOOKUP("ORL615520000",Balanceanp!C:G,5,FALSE))</f>
        <v>2129.86</v>
      </c>
      <c r="F67" s="368">
        <f>+C67+C67/9*(12-Clients!$I$14)</f>
        <v>4975.2933333333331</v>
      </c>
      <c r="G67" s="570">
        <v>2000</v>
      </c>
      <c r="H67" s="401"/>
      <c r="I67" s="149">
        <f t="shared" si="4"/>
        <v>1.3359720044196957</v>
      </c>
      <c r="J67" s="271">
        <f t="shared" si="4"/>
        <v>-0.59801365145639651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2000</v>
      </c>
    </row>
    <row r="68" spans="1:13" ht="12.75">
      <c r="A68" s="5" t="s">
        <v>125</v>
      </c>
      <c r="B68" s="92"/>
      <c r="C68" s="160">
        <f>IF(ISNA(VLOOKUP("ORL606130000",Balance!C:G,5,FALSE))=TRUE,0,VLOOKUP("ORL606130000",Balance!C:G,5,FALSE))</f>
        <v>2884.39</v>
      </c>
      <c r="D68" s="117">
        <f>+[2]Orléans!$H68</f>
        <v>2751.3875000000003</v>
      </c>
      <c r="E68" s="160">
        <f>IF(ISNA(VLOOKUP("ORL606130000",Balanceanp!C:G,5,FALSE))=TRUE,0,VLOOKUP("ORL606130000",Balanceanp!C:G,5,FALSE))</f>
        <v>2841.61</v>
      </c>
      <c r="F68" s="368">
        <f>+C68+C68/9*(12-Clients!$I$14)</f>
        <v>3845.853333333333</v>
      </c>
      <c r="G68" s="368">
        <f>+F68*1.03</f>
        <v>3961.2289333333333</v>
      </c>
      <c r="H68" s="410"/>
      <c r="I68" s="149">
        <f t="shared" si="4"/>
        <v>0.35340646089130207</v>
      </c>
      <c r="J68" s="271">
        <f t="shared" si="4"/>
        <v>3.0000000000000082E-2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3961.2289333333333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11172.57</v>
      </c>
      <c r="D70" s="125">
        <f>SUM(D64:D69)</f>
        <v>13360.219000000001</v>
      </c>
      <c r="E70" s="276">
        <f>SUM(E64:E69)</f>
        <v>12779.070000000002</v>
      </c>
      <c r="F70" s="370">
        <f>SUM(F64:F69)</f>
        <v>14896.759999999998</v>
      </c>
      <c r="G70" s="359">
        <f>SUM(G64:G69)</f>
        <v>12340.622933333334</v>
      </c>
      <c r="H70" s="412"/>
      <c r="I70" s="384">
        <f>+IF((E70)=0,,(F70-E70)/E70)</f>
        <v>0.16571550198879861</v>
      </c>
      <c r="J70" s="279">
        <f>+IF((F70)=0,,(G70-F70)/F70)</f>
        <v>-0.17159013548359944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IF(ISNA(VLOOKUP("orl602220000",Balance!C:G,5,FALSE))=TRUE,0,VLOOKUP("orl602220000",Balance!C:G,5,FALSE))</f>
        <v>0</v>
      </c>
      <c r="D72" s="117">
        <f>+[2]Orléans!$H72</f>
        <v>0</v>
      </c>
      <c r="E72" s="160">
        <f>IF(ISNA(VLOOKUP("orl602220000",Balanceanp!C:G,5,FALSE))=TRUE,0,VLOOKUP("orl602220000",Balanceanp!C:G,5,FALSE))</f>
        <v>0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0</v>
      </c>
      <c r="J72" s="271">
        <f t="shared" si="5"/>
        <v>0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0</v>
      </c>
    </row>
    <row r="73" spans="1:13" ht="12.75">
      <c r="A73" s="5" t="s">
        <v>123</v>
      </c>
      <c r="B73" s="92"/>
      <c r="C73" s="160">
        <f>IF(ISNA(VLOOKUP("ORL606100000",Balance!C:G,5,FALSE))=TRUE,0,VLOOKUP("ORL606100000",Balance!C:G,5,FALSE))</f>
        <v>1056.18</v>
      </c>
      <c r="D73" s="117">
        <f>+[2]Orléans!$H73</f>
        <v>5016.5326000000005</v>
      </c>
      <c r="E73" s="160">
        <f>IF(ISNA(VLOOKUP("ORL606100000",Balanceanp!C:G,5,FALSE))=TRUE,0,VLOOKUP("ORL606100000",Balanceanp!C:G,5,FALSE))</f>
        <v>3931.85</v>
      </c>
      <c r="F73" s="368">
        <v>4000</v>
      </c>
      <c r="G73" s="396">
        <v>4250</v>
      </c>
      <c r="H73" s="409"/>
      <c r="I73" s="149">
        <f t="shared" si="5"/>
        <v>1.7332807711382705E-2</v>
      </c>
      <c r="J73" s="271">
        <f t="shared" si="5"/>
        <v>6.25E-2</v>
      </c>
      <c r="K73" s="2" t="s">
        <v>715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4250</v>
      </c>
    </row>
    <row r="74" spans="1:13" ht="12.75">
      <c r="A74" s="5" t="s">
        <v>124</v>
      </c>
      <c r="B74" s="92"/>
      <c r="C74" s="160">
        <f>IF(ISNA(VLOOKUP("ORL606110000",Balance!C:G,5,FALSE))=TRUE,0,VLOOKUP("ORL606110000",Balance!C:G,5,FALSE))</f>
        <v>0</v>
      </c>
      <c r="D74" s="117">
        <f>+[2]Orléans!$H74</f>
        <v>0</v>
      </c>
      <c r="E74" s="160">
        <f>IF(ISNA(VLOOKUP("ORL606110000",Balanceanp!C:G,5,FALSE))=TRUE,0,VLOOKUP("ORL606110000",Balanceanp!C:G,5,FALSE))</f>
        <v>0</v>
      </c>
      <c r="F74" s="368">
        <f>+C74+C74/9*(12-Clients!$I$14)</f>
        <v>0</v>
      </c>
      <c r="G74" s="396">
        <f t="shared" ref="G74:G100" si="6">+F74*1.03</f>
        <v>0</v>
      </c>
      <c r="H74" s="409"/>
      <c r="I74" s="149">
        <f t="shared" si="5"/>
        <v>0</v>
      </c>
      <c r="J74" s="271">
        <f t="shared" si="5"/>
        <v>0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0</v>
      </c>
    </row>
    <row r="75" spans="1:13" ht="12.75">
      <c r="A75" s="5" t="s">
        <v>360</v>
      </c>
      <c r="B75" s="92"/>
      <c r="C75" s="160">
        <f>IF(ISNA(VLOOKUP("orl606140000",Balance!C:G,5,FALSE))=TRUE,0,VLOOKUP("orl606140000",Balance!C:G,5,FALSE))</f>
        <v>0</v>
      </c>
      <c r="D75" s="117">
        <f>+[2]Orléans!$H75</f>
        <v>0</v>
      </c>
      <c r="E75" s="160">
        <f>IF(ISNA(VLOOKUP("orl606140000",Balanceanp!C:G,5,FALSE))=TRUE,0,VLOOKUP("orl606140000",Balanceanp!C:G,5,FALSE))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IF(ISNA(VLOOKUP("ORL606310000",Balance!C:G,5,FALSE))=TRUE,0,VLOOKUP("ORL606310000",Balance!C:G,5,FALSE))</f>
        <v>173.9</v>
      </c>
      <c r="D76" s="117">
        <f>+[2]Orléans!$H76</f>
        <v>7.9735844201388897</v>
      </c>
      <c r="E76" s="160">
        <f>IF(ISNA(VLOOKUP("ORL606310000",Balanceanp!C:G,5,FALSE))=TRUE,0,VLOOKUP("ORL606310000",Balanceanp!C:G,5,FALSE))</f>
        <v>10</v>
      </c>
      <c r="F76" s="368">
        <f>+C76+C76/9*(12-Clients!$I$14)</f>
        <v>231.86666666666667</v>
      </c>
      <c r="G76" s="396">
        <f t="shared" si="6"/>
        <v>238.82266666666669</v>
      </c>
      <c r="H76" s="409"/>
      <c r="I76" s="149">
        <f t="shared" si="5"/>
        <v>22.186666666666667</v>
      </c>
      <c r="J76" s="271">
        <f t="shared" si="5"/>
        <v>3.0000000000000075E-2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238.82266666666669</v>
      </c>
    </row>
    <row r="77" spans="1:13" ht="12.75">
      <c r="A77" s="5" t="s">
        <v>127</v>
      </c>
      <c r="B77" s="92"/>
      <c r="C77" s="160">
        <f>IF(ISNA(VLOOKUP("ORL606410000",Balance!C:G,5,FALSE))=TRUE,0,VLOOKUP("ORL606410000",Balance!C:G,5,FALSE))</f>
        <v>2090.71</v>
      </c>
      <c r="D77" s="117">
        <f>+[2]Orléans!$H77</f>
        <v>1625.3915</v>
      </c>
      <c r="E77" s="160">
        <f>IF(ISNA(VLOOKUP("ORL606410000",Balanceanp!C:G,5,FALSE))=TRUE,0,VLOOKUP("ORL606410000",Balanceanp!C:G,5,FALSE))</f>
        <v>1854.84</v>
      </c>
      <c r="F77" s="368">
        <f>+C77+C77/9*(12-Clients!$I$14)</f>
        <v>2787.6133333333332</v>
      </c>
      <c r="G77" s="396">
        <f t="shared" si="6"/>
        <v>2871.2417333333333</v>
      </c>
      <c r="H77" s="409"/>
      <c r="I77" s="149">
        <f t="shared" si="5"/>
        <v>0.50288614291978462</v>
      </c>
      <c r="J77" s="271">
        <f t="shared" si="5"/>
        <v>3.000000000000002E-2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2871.2417333333333</v>
      </c>
    </row>
    <row r="78" spans="1:13" ht="12.75">
      <c r="A78" s="5" t="s">
        <v>101</v>
      </c>
      <c r="B78" s="92"/>
      <c r="C78" s="160">
        <f>IF(ISNA(VLOOKUP("ORL611000000",Balance!C:G,5,FALSE))=TRUE,0,VLOOKUP("ORL611000000",Balance!C:G,5,FALSE))</f>
        <v>0</v>
      </c>
      <c r="D78" s="117">
        <f>+[2]Orléans!$H78</f>
        <v>288.94434764633644</v>
      </c>
      <c r="E78" s="160">
        <f>IF(ISNA(VLOOKUP("ORL611000000",Balanceanp!C:G,5,FALSE))=TRUE,0,VLOOKUP("ORL611000000",Balanceanp!C:G,5,FALSE))</f>
        <v>280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-1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IF(ISNA(VLOOKUP("ORL613200000",Balance!C:G,5,FALSE))=TRUE,0,VLOOKUP("ORL613200000",Balance!C:G,5,FALSE))</f>
        <v>25578.81</v>
      </c>
      <c r="D79" s="117">
        <f>+[2]Orléans!$H79</f>
        <v>34105.0962</v>
      </c>
      <c r="E79" s="160">
        <f>IF(ISNA(VLOOKUP("ORL613200000",Balanceanp!C:G,5,FALSE))=TRUE,0,VLOOKUP("ORL613200000",Balanceanp!C:G,5,FALSE))</f>
        <v>33060.54</v>
      </c>
      <c r="F79" s="425">
        <f>8400.27*2+8312.02*2</f>
        <v>33424.58</v>
      </c>
      <c r="G79" s="425">
        <f>8312.02*2+8312.02*2*1.05</f>
        <v>34079.282000000007</v>
      </c>
      <c r="H79" s="413"/>
      <c r="I79" s="149">
        <f t="shared" si="5"/>
        <v>1.101131439474373E-2</v>
      </c>
      <c r="J79" s="271">
        <f t="shared" si="5"/>
        <v>1.9587441338081279E-2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34079.282000000007</v>
      </c>
    </row>
    <row r="80" spans="1:13" ht="12.75">
      <c r="A80" s="5" t="s">
        <v>325</v>
      </c>
      <c r="B80" s="92"/>
      <c r="C80" s="160">
        <f>IF(ISNA(VLOOKUP("orl614000000",Balance!C:G,5,FALSE))=TRUE,0,VLOOKUP("orl614000000",Balance!C:G,5,FALSE))</f>
        <v>0</v>
      </c>
      <c r="D80" s="117">
        <f>+[2]Orléans!$H80</f>
        <v>0</v>
      </c>
      <c r="E80" s="160">
        <f>IF(ISNA(VLOOKUP("orl614000000",Balanceanp!C:G,5,FALSE))=TRUE,0,VLOOKUP("orl614000000",Balanceanp!C:G,5,FALSE))</f>
        <v>0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0</v>
      </c>
      <c r="J80" s="271">
        <f t="shared" si="5"/>
        <v>0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0</v>
      </c>
    </row>
    <row r="81" spans="1:13" ht="12.75">
      <c r="A81" s="5" t="s">
        <v>103</v>
      </c>
      <c r="B81" s="92"/>
      <c r="C81" s="160">
        <f>IF(ISNA(VLOOKUP("ORL613510000",Balance!C:G,5,FALSE))=TRUE,0,VLOOKUP("ORL613510000",Balance!C:G,5,FALSE))</f>
        <v>0</v>
      </c>
      <c r="D81" s="117">
        <f>+[2]Orléans!$H81</f>
        <v>0</v>
      </c>
      <c r="E81" s="160">
        <f>IF(ISNA(VLOOKUP("ORL613510000",Balanceanp!C:G,5,FALSE))=TRUE,0,VLOOKUP("ORL613510000",Balanceanp!C:G,5,FALSE))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IF(ISNA(VLOOKUP("ORL613530000",Balance!C:G,5,FALSE))=TRUE,0,VLOOKUP("ORL613530000",Balance!C:G,5,FALSE))</f>
        <v>135</v>
      </c>
      <c r="D82" s="117">
        <f>+[2]Orléans!$H82</f>
        <v>189.19741687499999</v>
      </c>
      <c r="E82" s="160">
        <f>IF(ISNA(VLOOKUP("ORL613530000",Balanceanp!C:G,5,FALSE))=TRUE,0,VLOOKUP("ORL613530000",Balanceanp!C:G,5,FALSE))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IF(ISNA(VLOOKUP("orl613540000",Balance!C:G,5,FALSE))=TRUE,0,VLOOKUP("orl613540000",Balance!C:G,5,FALSE))</f>
        <v>0</v>
      </c>
      <c r="D83" s="117">
        <f>+[2]Orléans!$H83</f>
        <v>284.09466008333334</v>
      </c>
      <c r="E83" s="160">
        <f>IF(ISNA(VLOOKUP("orl613540000",Balanceanp!C:G,5,FALSE))=TRUE,0,VLOOKUP("orl613540000",Balanceanp!C:G,5,FALSE))</f>
        <v>254.56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-1</v>
      </c>
      <c r="J83" s="271">
        <f t="shared" si="5"/>
        <v>0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0</v>
      </c>
    </row>
    <row r="84" spans="1:13" ht="12.75">
      <c r="A84" s="5" t="s">
        <v>108</v>
      </c>
      <c r="B84" s="92"/>
      <c r="C84" s="160">
        <f>IF(ISNA(VLOOKUP("ORL615200000",Balance!C:G,5,FALSE))=TRUE,0,VLOOKUP("ORL615200000",Balance!C:G,5,FALSE))</f>
        <v>5541.23</v>
      </c>
      <c r="D84" s="117">
        <f>+[2]Orléans!$H84</f>
        <v>3201.5619496106251</v>
      </c>
      <c r="E84" s="160">
        <f>IF(ISNA(VLOOKUP("ORL615200000",Balanceanp!C:G,5,FALSE))=TRUE,0,VLOOKUP("ORL615200000",Balanceanp!C:G,5,FALSE))</f>
        <v>4098.62</v>
      </c>
      <c r="F84" s="368">
        <f>+C84+C84/9*(12-Clients!$I$14)</f>
        <v>7388.3066666666664</v>
      </c>
      <c r="G84" s="396">
        <f t="shared" si="6"/>
        <v>7609.9558666666662</v>
      </c>
      <c r="H84" s="409"/>
      <c r="I84" s="149">
        <f t="shared" si="5"/>
        <v>0.80263275606586282</v>
      </c>
      <c r="J84" s="271">
        <f t="shared" si="5"/>
        <v>2.9999999999999978E-2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7609.9558666666662</v>
      </c>
    </row>
    <row r="85" spans="1:13" ht="12.75">
      <c r="A85" s="5" t="s">
        <v>109</v>
      </c>
      <c r="B85" s="92"/>
      <c r="C85" s="160">
        <f>IF(ISNA(VLOOKUP("ORL615500000",Balance!C:G,5,FALSE))=TRUE,0,VLOOKUP("ORL615500000",Balance!C:G,5,FALSE))</f>
        <v>0</v>
      </c>
      <c r="D85" s="117">
        <f>+[2]Orléans!$H85</f>
        <v>667.74319884687498</v>
      </c>
      <c r="E85" s="160">
        <f>IF(ISNA(VLOOKUP("ORL615500000",Balanceanp!C:G,5,FALSE))=TRUE,0,VLOOKUP("ORL615500000",Balanceanp!C:G,5,FALSE))</f>
        <v>571.58000000000004</v>
      </c>
      <c r="F85" s="368">
        <f>+C85+C85/9*(12-Clients!$I$14)</f>
        <v>0</v>
      </c>
      <c r="G85" s="396">
        <f t="shared" si="6"/>
        <v>0</v>
      </c>
      <c r="H85" s="409"/>
      <c r="I85" s="149">
        <f t="shared" si="5"/>
        <v>-1</v>
      </c>
      <c r="J85" s="271">
        <f t="shared" si="5"/>
        <v>0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0</v>
      </c>
    </row>
    <row r="86" spans="1:13" ht="12.75">
      <c r="A86" s="5" t="s">
        <v>106</v>
      </c>
      <c r="B86" s="92"/>
      <c r="C86" s="160">
        <f>IF(ISNA(VLOOKUP("ORL615510000",Balance!C:G,5,FALSE))=TRUE,0,VLOOKUP("ORL615510000",Balance!C:G,5,FALSE))</f>
        <v>713.49</v>
      </c>
      <c r="D86" s="117">
        <f>+[2]Orléans!$H86</f>
        <v>629.23011963957322</v>
      </c>
      <c r="E86" s="160">
        <f>IF(ISNA(VLOOKUP("ORL615510000",Balanceanp!C:G,5,FALSE))=TRUE,0,VLOOKUP("ORL615510000",Balanceanp!C:G,5,FALSE))</f>
        <v>676.58</v>
      </c>
      <c r="F86" s="368">
        <f>+C86+C86/9*(12-Clients!$I$14)</f>
        <v>951.32</v>
      </c>
      <c r="G86" s="396">
        <f t="shared" si="6"/>
        <v>979.85960000000011</v>
      </c>
      <c r="H86" s="409"/>
      <c r="I86" s="149">
        <f t="shared" si="5"/>
        <v>0.40607171361849298</v>
      </c>
      <c r="J86" s="271">
        <f t="shared" si="5"/>
        <v>3.0000000000000065E-2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979.85960000000011</v>
      </c>
    </row>
    <row r="87" spans="1:13" ht="12.75">
      <c r="A87" s="5" t="s">
        <v>363</v>
      </c>
      <c r="B87" s="92"/>
      <c r="C87" s="160">
        <f>IF(ISNA(VLOOKUP("orl615530000",Balance!C:G,5,FALSE))=TRUE,0,VLOOKUP("orl615530000",Balance!C:G,5,FALSE))</f>
        <v>0</v>
      </c>
      <c r="D87" s="117">
        <f>+[2]Orléans!$H87</f>
        <v>0</v>
      </c>
      <c r="E87" s="160">
        <f>IF(ISNA(VLOOKUP("orl615530000",Balanceanp!C:G,5,FALSE))=TRUE,0,VLOOKUP("orl615530000",Balanceanp!C:G,5,FALSE))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IF(ISNA(VLOOKUP("ORL616130000",Balance!C:G,5,FALSE))=TRUE,0,VLOOKUP("ORL616130000",Balance!C:G,5,FALSE))</f>
        <v>2250</v>
      </c>
      <c r="D88" s="117">
        <f>+[2]Orléans!$H88</f>
        <v>3000</v>
      </c>
      <c r="E88" s="160">
        <f>IF(ISNA(VLOOKUP("ORL616130000",Balanceanp!C:G,5,FALSE))=TRUE,0,VLOOKUP("ORL616130000",Balanceanp!C:G,5,FALSE))</f>
        <v>2187.5300000000002</v>
      </c>
      <c r="F88" s="368">
        <f>+C88+C88/9*(12-Clients!$I$14)</f>
        <v>3000</v>
      </c>
      <c r="G88" s="570">
        <v>3000</v>
      </c>
      <c r="H88" s="413"/>
      <c r="I88" s="149">
        <f t="shared" ref="I88:I101" si="7">+IF((E88)=0,,(F88-E88)/E88)</f>
        <v>0.37140976352324301</v>
      </c>
      <c r="J88" s="271">
        <f t="shared" ref="J88:J101" si="8">+IF((F88)=0,,(G88-F88)/F88)</f>
        <v>0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3000</v>
      </c>
    </row>
    <row r="89" spans="1:13" ht="12.75">
      <c r="A89" s="5" t="s">
        <v>315</v>
      </c>
      <c r="B89" s="92"/>
      <c r="C89" s="160"/>
      <c r="D89" s="117">
        <f>+[2]Orléans!$H89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IF(ISNA(VLOOKUP("ORL618100000",Balance!C:G,5,FALSE))=TRUE,0,VLOOKUP("ORL618100000",Balance!C:G,5,FALSE))</f>
        <v>244.86</v>
      </c>
      <c r="D90" s="117">
        <f>+[2]Orléans!$H90</f>
        <v>441.33235556587499</v>
      </c>
      <c r="E90" s="160">
        <f>IF(ISNA(VLOOKUP("ORL618100000",Balanceanp!C:G,5,FALSE))=TRUE,0,VLOOKUP("ORL618100000",Balanceanp!C:G,5,FALSE))</f>
        <v>357.06</v>
      </c>
      <c r="F90" s="368">
        <f>+C90+C90/9*(12-Clients!$I$14)</f>
        <v>326.48</v>
      </c>
      <c r="G90" s="396">
        <f t="shared" si="6"/>
        <v>336.27440000000001</v>
      </c>
      <c r="H90" s="409"/>
      <c r="I90" s="149">
        <f t="shared" si="7"/>
        <v>-8.5643869377695581E-2</v>
      </c>
      <c r="J90" s="271">
        <f t="shared" si="8"/>
        <v>2.9999999999999985E-2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336.27440000000001</v>
      </c>
    </row>
    <row r="91" spans="1:13" ht="12.75">
      <c r="A91" s="5" t="s">
        <v>113</v>
      </c>
      <c r="B91" s="92"/>
      <c r="C91" s="160">
        <f>IF(ISNA(VLOOKUP("ORL618500000",Balance!C:G,5,FALSE))=TRUE,0,VLOOKUP("ORL618500000",Balance!C:G,5,FALSE))</f>
        <v>656.46</v>
      </c>
      <c r="D91" s="117">
        <f>+[2]Orléans!$H91</f>
        <v>966.59320000000002</v>
      </c>
      <c r="E91" s="160">
        <f>IF(ISNA(VLOOKUP("ORL618500000",Balanceanp!C:G,5,FALSE))=TRUE,0,VLOOKUP("ORL618500000",Balanceanp!C:G,5,FALSE))</f>
        <v>438.44</v>
      </c>
      <c r="F91" s="368">
        <f>+C91+C91/9*(12-Clients!$I$14)</f>
        <v>875.28</v>
      </c>
      <c r="G91" s="396">
        <f t="shared" si="6"/>
        <v>901.53840000000002</v>
      </c>
      <c r="H91" s="409"/>
      <c r="I91" s="149">
        <f t="shared" si="7"/>
        <v>0.99635069792902098</v>
      </c>
      <c r="J91" s="271">
        <f t="shared" si="8"/>
        <v>3.0000000000000061E-2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901.53840000000002</v>
      </c>
    </row>
    <row r="92" spans="1:13" ht="12.75">
      <c r="A92" s="5" t="s">
        <v>309</v>
      </c>
      <c r="B92" s="92"/>
      <c r="C92" s="160">
        <f>IF(ISNA(VLOOKUP("ORL622200000",Balance!C:G,5,FALSE))=TRUE,0,VLOOKUP("ORL622200000",Balance!C:G,5,FALSE))</f>
        <v>0</v>
      </c>
      <c r="D92" s="117">
        <f>+[2]Orléans!$H92</f>
        <v>0</v>
      </c>
      <c r="E92" s="160">
        <f>IF(ISNA(VLOOKUP("ORL622200000",Balanceanp!C:G,5,FALSE))=TRUE,0,VLOOKUP("ORL622200000",Balanceanp!C:G,5,FALSE))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IF(ISNA(VLOOKUP("ORL622600000",Balance!C:G,5,FALSE))=TRUE,0,VLOOKUP("ORL622600000",Balance!C:G,5,FALSE))</f>
        <v>0</v>
      </c>
      <c r="D93" s="117">
        <f>+[2]Orléans!$H93</f>
        <v>0.5862025052083335</v>
      </c>
      <c r="E93" s="160">
        <f>IF(ISNA(VLOOKUP("ORL622600000",Balanceanp!C:G,5,FALSE))=TRUE,0,VLOOKUP("ORL622600000",Balanceanp!C:G,5,FALSE))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0</v>
      </c>
    </row>
    <row r="94" spans="1:13" ht="12.75">
      <c r="A94" s="5" t="s">
        <v>42</v>
      </c>
      <c r="B94" s="92"/>
      <c r="C94" s="160">
        <f>IF(ISNA(VLOOKUP("ORL622710000",Balance!C:G,5,FALSE))=TRUE,0,VLOOKUP("ORL622710000",Balance!C:G,5,FALSE))</f>
        <v>0</v>
      </c>
      <c r="D94" s="117">
        <f>+[2]Orléans!$H94</f>
        <v>64.993000000000009</v>
      </c>
      <c r="E94" s="160">
        <f>IF(ISNA(VLOOKUP("ORL622710000",Balanceanp!C:G,5,FALSE))=TRUE,0,VLOOKUP("ORL622710000",Balanceanp!C:G,5,FALSE))</f>
        <v>63.1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-1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6.8568833966006484E-3</v>
      </c>
      <c r="C95" s="160">
        <f>IF(ISNA(VLOOKUP("ORL624200000",Balance!C:G,5,FALSE))=TRUE,0,VLOOKUP("ORL624200000",Balance!C:G,5,FALSE))</f>
        <v>5712.56</v>
      </c>
      <c r="D95" s="117">
        <f>+[2]Orléans!$H95</f>
        <v>10453.696600000001</v>
      </c>
      <c r="E95" s="160">
        <f>IF(ISNA(VLOOKUP("ORL624200000",Balanceanp!C:G,5,FALSE))=TRUE,0,VLOOKUP("ORL624200000",Balanceanp!C:G,5,FALSE))</f>
        <v>12126.85</v>
      </c>
      <c r="F95" s="368">
        <f>+C95+C95/9*(12-Clients!$I$14)</f>
        <v>7616.7466666666678</v>
      </c>
      <c r="G95" s="396">
        <f t="shared" si="6"/>
        <v>7845.2490666666681</v>
      </c>
      <c r="H95" s="420">
        <f>+G95/$G$21</f>
        <v>7.1317204369498368E-3</v>
      </c>
      <c r="I95" s="149">
        <f t="shared" si="7"/>
        <v>-0.37191054011003127</v>
      </c>
      <c r="J95" s="271">
        <f t="shared" si="8"/>
        <v>3.0000000000000037E-2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7845.2490666666681</v>
      </c>
    </row>
    <row r="96" spans="1:13" ht="12.75">
      <c r="A96" s="5" t="s">
        <v>118</v>
      </c>
      <c r="B96" s="92"/>
      <c r="C96" s="160">
        <f>IF(ISNA(VLOOKUP("ORL625100000",Balance!C:G,5,FALSE))=TRUE,0,VLOOKUP("ORL625100000",Balance!C:G,5,FALSE))</f>
        <v>10492.76</v>
      </c>
      <c r="D96" s="117">
        <f>+[2]Orléans!$H96</f>
        <v>16000</v>
      </c>
      <c r="E96" s="160">
        <f>IF(ISNA(VLOOKUP("ORL625100000",Balanceanp!C:G,5,FALSE))=TRUE,0,VLOOKUP("ORL625100000",Balanceanp!C:G,5,FALSE))</f>
        <v>16816.93</v>
      </c>
      <c r="F96" s="368">
        <f>+C96+C96/9*(12-Clients!$I$14)</f>
        <v>13990.346666666668</v>
      </c>
      <c r="G96" s="570">
        <v>14000</v>
      </c>
      <c r="H96" s="401"/>
      <c r="I96" s="149">
        <f t="shared" si="7"/>
        <v>-0.16807962769264853</v>
      </c>
      <c r="J96" s="271">
        <f t="shared" si="8"/>
        <v>6.899995806631307E-4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14000</v>
      </c>
    </row>
    <row r="97" spans="1:13" ht="12.75">
      <c r="A97" s="5" t="s">
        <v>7</v>
      </c>
      <c r="B97" s="92"/>
      <c r="C97" s="160">
        <f>IF(ISNA(VLOOKUP("ORL625200000",Balance!C:G,5,FALSE))=TRUE,0,VLOOKUP("ORL625200000",Balance!C:G,5,FALSE))</f>
        <v>0</v>
      </c>
      <c r="D97" s="117">
        <f>+[2]Orléans!$H97</f>
        <v>0</v>
      </c>
      <c r="E97" s="160">
        <f>IF(ISNA(VLOOKUP("ORL625200000",Balanceanp!C:G,5,FALSE))=TRUE,0,VLOOKUP("ORL625200000",Balanceanp!C:G,5,FALSE))</f>
        <v>0.98</v>
      </c>
      <c r="F97" s="368">
        <f>+C97+C97/9*(12-Clients!$I$14)</f>
        <v>0</v>
      </c>
      <c r="G97" s="395">
        <v>0</v>
      </c>
      <c r="H97" s="401"/>
      <c r="I97" s="149">
        <f t="shared" si="7"/>
        <v>-1</v>
      </c>
      <c r="J97" s="271">
        <f t="shared" si="8"/>
        <v>0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0</v>
      </c>
    </row>
    <row r="98" spans="1:13" ht="12.75">
      <c r="A98" s="5" t="s">
        <v>307</v>
      </c>
      <c r="B98" s="92"/>
      <c r="C98" s="160">
        <f>IF(ISNA(VLOOKUP("orl625510000",Balance!C:G,5,FALSE))=TRUE,0,VLOOKUP("orl625510000",Balance!C:G,5,FALSE))</f>
        <v>0</v>
      </c>
      <c r="D98" s="117">
        <f>+[2]Orléans!$H98</f>
        <v>0</v>
      </c>
      <c r="E98" s="160">
        <f>IF(ISNA(VLOOKUP("orl625510000",Balanceanp!C:G,5,FALSE))=TRUE,0,VLOOKUP("orl625510000",Balanceanp!C:G,5,FALSE))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IF(ISNA(VLOOKUP("ORL626000000",Balance!C:G,5,FALSE))=TRUE,0,VLOOKUP("ORL626000000",Balance!C:G,5,FALSE))</f>
        <v>4411.93</v>
      </c>
      <c r="D99" s="117">
        <f>+[2]Orléans!$H99</f>
        <v>5867.0860000000002</v>
      </c>
      <c r="E99" s="160">
        <f>IF(ISNA(VLOOKUP("ORL626000000",Balanceanp!C:G,5,FALSE))=TRUE,0,VLOOKUP("ORL626000000",Balanceanp!C:G,5,FALSE))</f>
        <v>5840.79</v>
      </c>
      <c r="F99" s="368">
        <f>+C99+C99/9*(12-Clients!$I$14)</f>
        <v>5882.5733333333337</v>
      </c>
      <c r="G99" s="396">
        <f>+F99</f>
        <v>5882.5733333333337</v>
      </c>
      <c r="H99" s="409"/>
      <c r="I99" s="149">
        <f t="shared" si="7"/>
        <v>7.1537126541672885E-3</v>
      </c>
      <c r="J99" s="271">
        <f t="shared" si="8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5882.5733333333337</v>
      </c>
    </row>
    <row r="100" spans="1:13" ht="12.75">
      <c r="A100" s="5" t="s">
        <v>120</v>
      </c>
      <c r="B100" s="92"/>
      <c r="C100" s="160">
        <f>IF(ISNA(VLOOKUP("ORL626100000",Balance!C:G,5,FALSE))=TRUE,0,VLOOKUP("ORL626100000",Balance!C:G,5,FALSE))</f>
        <v>662.46</v>
      </c>
      <c r="D100" s="117">
        <f>+[2]Orléans!$H100</f>
        <v>1044.3511251756979</v>
      </c>
      <c r="E100" s="160">
        <f>IF(ISNA(VLOOKUP("ORL626100000",Balanceanp!C:G,5,FALSE))=TRUE,0,VLOOKUP("ORL626100000",Balanceanp!C:G,5,FALSE))</f>
        <v>940.75</v>
      </c>
      <c r="F100" s="368">
        <f>+C100+C100/9*(12-Clients!$I$14)</f>
        <v>883.28</v>
      </c>
      <c r="G100" s="396">
        <f t="shared" si="6"/>
        <v>909.77840000000003</v>
      </c>
      <c r="H100" s="409"/>
      <c r="I100" s="149">
        <f t="shared" si="7"/>
        <v>-6.1089556205155493E-2</v>
      </c>
      <c r="J100" s="271">
        <f t="shared" si="8"/>
        <v>3.0000000000000068E-2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909.77840000000003</v>
      </c>
    </row>
    <row r="101" spans="1:13" ht="12.75">
      <c r="A101" s="5" t="s">
        <v>121</v>
      </c>
      <c r="B101" s="92"/>
      <c r="C101" s="160">
        <f>IF(ISNA(VLOOKUP("ORL628400000",Balance!C:G,5,FALSE))=TRUE,0,VLOOKUP("ORL628400000",Balance!C:G,5,FALSE))</f>
        <v>0</v>
      </c>
      <c r="D101" s="117">
        <f>+[2]Orléans!$H101</f>
        <v>0</v>
      </c>
      <c r="E101" s="160">
        <f>IF(ISNA(VLOOKUP("ORL628400000",Balanceanp!C:G,5,FALSE))=TRUE,0,VLOOKUP("ORL628400000",Balanceanp!C:G,5,FALSE))</f>
        <v>0</v>
      </c>
      <c r="F101" s="368">
        <f>+C101+C101/9*(12-Clients!$I$14)</f>
        <v>0</v>
      </c>
      <c r="G101" s="396"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8.5093983447795382E-2</v>
      </c>
      <c r="C103" s="163">
        <f>SUM(C70:C102)</f>
        <v>70892.92</v>
      </c>
      <c r="D103" s="118">
        <f>SUM(D70:D102)</f>
        <v>97214.623060368656</v>
      </c>
      <c r="E103" s="163">
        <f>SUM(E70:E102)</f>
        <v>96470.07</v>
      </c>
      <c r="F103" s="136">
        <f>SUM(F70:F102)</f>
        <v>96435.153333333321</v>
      </c>
      <c r="G103" s="136">
        <f>SUM(G70:G102)</f>
        <v>95430.598400000017</v>
      </c>
      <c r="H103" s="421">
        <f>+G103/$G$21</f>
        <v>8.6751146220626352E-2</v>
      </c>
      <c r="I103" s="272">
        <f>+IF((E103)=0,,(F103-E103)/E103)</f>
        <v>-3.6194300125091716E-4</v>
      </c>
      <c r="J103" s="188">
        <f>+IF((F103)=0,,(G103-F103)/F103)</f>
        <v>-1.0416895692186078E-2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IF(ISNA(VLOOKUP("ORL623100000",Balance!C:G,5,FALSE))=TRUE,0,VLOOKUP("ORL623100000",Balance!C:G,5,FALSE))</f>
        <v>0</v>
      </c>
      <c r="D105" s="117">
        <f>+[2]Orléans!$H105</f>
        <v>1000</v>
      </c>
      <c r="E105" s="160">
        <f>IF(ISNA(VLOOKUP("ORL623100000",Balanceanp!C:G,5,FALSE))=TRUE,0,VLOOKUP("ORL623100000",Balanceanp!C:G,5,FALSE))</f>
        <v>774.2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IF(ISNA(VLOOKUP("ORL623200000",Balance!C:G,5,FALSE))=TRUE,0,VLOOKUP("ORL623200000",Balance!C:G,5,FALSE))</f>
        <v>6144.87</v>
      </c>
      <c r="D106" s="117">
        <f>+[2]Orléans!$H106</f>
        <v>3000</v>
      </c>
      <c r="E106" s="160">
        <f>IF(ISNA(VLOOKUP("ORL623200000",Balanceanp!C:G,5,FALSE))=TRUE,0,VLOOKUP("ORL623200000",Balanceanp!C:G,5,FALSE))</f>
        <v>8334.92</v>
      </c>
      <c r="F106" s="368">
        <f>+C106+C106/9*(12-Clients!$I$14)</f>
        <v>8193.16</v>
      </c>
      <c r="G106" s="570">
        <v>5000</v>
      </c>
      <c r="H106" s="401"/>
      <c r="I106" s="149">
        <f t="shared" si="9"/>
        <v>-1.7007961684095373E-2</v>
      </c>
      <c r="J106" s="271">
        <f t="shared" si="9"/>
        <v>-0.38973485199849628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5000</v>
      </c>
    </row>
    <row r="107" spans="1:13" ht="12.75">
      <c r="A107" s="5" t="s">
        <v>131</v>
      </c>
      <c r="B107" s="92"/>
      <c r="C107" s="160">
        <f>IF(ISNA(VLOOKUP("ORL629000000",Balance!C:G,5,FALSE))=TRUE,0,VLOOKUP("ORL629000000",Balance!C:G,5,FALSE))</f>
        <v>0</v>
      </c>
      <c r="D107" s="117">
        <f>+[2]Orléans!$H107</f>
        <v>0</v>
      </c>
      <c r="E107" s="160">
        <f>IF(ISNA(VLOOKUP("ORL629000000",Balanceanp!C:G,5,FALSE))=TRUE,0,VLOOKUP("ORL629000000",Balanceanp!C:G,5,FALSE))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IF(ISNA(VLOOKUP("ORL623300000",Balance!C:G,5,FALSE))=TRUE,0,VLOOKUP("ORL623300000",Balance!C:G,5,FALSE))</f>
        <v>628.5</v>
      </c>
      <c r="D108" s="117">
        <f>+[2]Orléans!$H108</f>
        <v>0</v>
      </c>
      <c r="E108" s="160">
        <f>IF(ISNA(VLOOKUP("ORL623300000",Balanceanp!C:G,5,FALSE))=TRUE,0,VLOOKUP("ORL623300000",Balanceanp!C:G,5,FALSE))</f>
        <v>0</v>
      </c>
      <c r="F108" s="368">
        <f>+C108+C108/9*(12-Clients!$I$14)</f>
        <v>838</v>
      </c>
      <c r="G108" s="570">
        <v>0</v>
      </c>
      <c r="H108" s="401"/>
      <c r="I108" s="149">
        <f t="shared" si="9"/>
        <v>0</v>
      </c>
      <c r="J108" s="271">
        <f t="shared" si="9"/>
        <v>-1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0</v>
      </c>
    </row>
    <row r="109" spans="1:13" ht="12.75">
      <c r="A109" s="5" t="s">
        <v>133</v>
      </c>
      <c r="B109" s="92"/>
      <c r="C109" s="160">
        <f>IF(ISNA(VLOOKUP("ORL623700000",Balance!C:G,5,FALSE))=TRUE,0,VLOOKUP("ORL623700000",Balance!C:G,5,FALSE))</f>
        <v>3900.39</v>
      </c>
      <c r="D109" s="117">
        <f>+[2]Orléans!$H109</f>
        <v>6500</v>
      </c>
      <c r="E109" s="160">
        <f>IF(ISNA(VLOOKUP("ORL623700000",Balanceanp!C:G,5,FALSE))=TRUE,0,VLOOKUP("ORL623700000",Balanceanp!C:G,5,FALSE))</f>
        <v>1403.1499999999999</v>
      </c>
      <c r="F109" s="368">
        <f>+C109+C109/9*(12-Clients!$I$14)</f>
        <v>5200.5200000000004</v>
      </c>
      <c r="G109" s="570">
        <v>5500</v>
      </c>
      <c r="H109" s="401"/>
      <c r="I109" s="149">
        <f t="shared" si="9"/>
        <v>2.7063179275202232</v>
      </c>
      <c r="J109" s="271">
        <f t="shared" si="9"/>
        <v>5.7586549037403865E-2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5500</v>
      </c>
    </row>
    <row r="110" spans="1:13" ht="12.75">
      <c r="A110" s="5" t="s">
        <v>134</v>
      </c>
      <c r="B110" s="92"/>
      <c r="C110" s="160">
        <f>IF(ISNA(VLOOKUP("ORL623410000",Balance!C:G,5,FALSE))=TRUE,0,VLOOKUP("ORL623410000",Balance!C:G,5,FALSE))+IF(ISNA(VLOOKUP("ORL623420000",Balance!C:G,5,FALSE))=TRUE,0,VLOOKUP("ORL623420000",Balance!C:G,5,FALSE))</f>
        <v>14710.8</v>
      </c>
      <c r="D110" s="117">
        <f>+[2]Orléans!$H110</f>
        <v>20000</v>
      </c>
      <c r="E110" s="160">
        <f>IF(ISNA(VLOOKUP("orl623410000",Balanceanp!C:G,5,FALSE))=TRUE,0,VLOOKUP("orl623410000",Balanceanp!C:G,5,FALSE))+IF(ISNA(VLOOKUP("orl623420000",Balanceanp!C:G,5,FALSE))=TRUE,0,VLOOKUP("orl623420000",Balanceanp!C:G,5,FALSE))</f>
        <v>22164.13</v>
      </c>
      <c r="F110" s="368">
        <f>+C110+C110/9*(12-Clients!$I$14)</f>
        <v>19614.400000000001</v>
      </c>
      <c r="G110" s="570">
        <v>20000</v>
      </c>
      <c r="H110" s="401"/>
      <c r="I110" s="149">
        <f t="shared" si="9"/>
        <v>-0.11503857809893731</v>
      </c>
      <c r="J110" s="271">
        <f t="shared" si="9"/>
        <v>1.9659026021698268E-2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20000</v>
      </c>
    </row>
    <row r="111" spans="1:13" ht="12.75">
      <c r="A111" s="5" t="s">
        <v>135</v>
      </c>
      <c r="B111" s="92"/>
      <c r="C111" s="160">
        <f>IF(ISNA(VLOOKUP("ORL623800000",Balance!C:G,5,FALSE))=TRUE,0,VLOOKUP("ORL623800000",Balance!C:G,5,FALSE))+IF(ISNA(VLOOKUP("ORL623820000",Balance!C:G,5,FALSE))=TRUE,0,VLOOKUP("ORL623820000",Balance!C:G,5,FALSE))</f>
        <v>235</v>
      </c>
      <c r="D111" s="117">
        <f>+[2]Orléans!$H111</f>
        <v>150</v>
      </c>
      <c r="E111" s="160">
        <f>IF(ISNA(VLOOKUP("ORL623800000",Balanceanp!C:G,5,FALSE))=TRUE,0,VLOOKUP("ORL623800000",Balanceanp!C:G,5,FALSE))</f>
        <v>345</v>
      </c>
      <c r="F111" s="368">
        <f>+C111+C111/9*(12-Clients!$I$14)</f>
        <v>313.33333333333331</v>
      </c>
      <c r="G111" s="570">
        <v>150</v>
      </c>
      <c r="H111" s="401"/>
      <c r="I111" s="149">
        <f t="shared" si="9"/>
        <v>-9.1787439613526631E-2</v>
      </c>
      <c r="J111" s="271">
        <f t="shared" si="9"/>
        <v>-0.52127659574468077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150</v>
      </c>
    </row>
    <row r="112" spans="1:13" ht="12.75">
      <c r="A112" s="5" t="s">
        <v>136</v>
      </c>
      <c r="B112" s="92"/>
      <c r="C112" s="160">
        <f>IF(ISNA(VLOOKUP("ORL625600000",Balance!C:G,5,FALSE))=TRUE,0,VLOOKUP("ORL625600000",Balance!C:G,5,FALSE))</f>
        <v>750</v>
      </c>
      <c r="D112" s="117">
        <f>+[2]Orléans!$H112</f>
        <v>1000</v>
      </c>
      <c r="E112" s="160">
        <f>IF(ISNA(VLOOKUP("ORL625600000",Balanceanp!C:G,5,FALSE))=TRUE,0,VLOOKUP("ORL625600000",Balanceanp!C:G,5,FALSE))</f>
        <v>25.23</v>
      </c>
      <c r="F112" s="368">
        <f>+C112+C112/9*(12-Clients!$I$14)</f>
        <v>1000</v>
      </c>
      <c r="G112" s="570">
        <v>1000</v>
      </c>
      <c r="H112" s="401"/>
      <c r="I112" s="149">
        <f t="shared" si="9"/>
        <v>38.635354736424887</v>
      </c>
      <c r="J112" s="271">
        <f t="shared" si="9"/>
        <v>0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1000</v>
      </c>
    </row>
    <row r="113" spans="1:13" ht="12.75">
      <c r="A113" s="5" t="s">
        <v>137</v>
      </c>
      <c r="B113" s="92"/>
      <c r="C113" s="160">
        <f>IF(ISNA(VLOOKUP("orl625700000",Balance!C:G,5,FALSE))=TRUE,0,VLOOKUP("orl625700000",Balance!C:G,5,FALSE))+IF(ISNA(VLOOKUP("orl625710000",Balance!C:G,5,FALSE))=TRUE,0,VLOOKUP("orl625710000",Balance!C:G,5,FALSE))</f>
        <v>-1466.0300000000002</v>
      </c>
      <c r="D113" s="117">
        <f>+[2]Orléans!$H113</f>
        <v>5500</v>
      </c>
      <c r="E113" s="160">
        <f>IF(ISNA(VLOOKUP("orl625700000",Balanceanp!C:G,5,FALSE))=TRUE,0,VLOOKUP("orl625700000",Balanceanp!C:G,5,FALSE))+IF(ISNA(VLOOKUP("orl625710000",Balanceanp!C:G,5,FALSE))=TRUE,0,VLOOKUP("orl625710000",Balanceanp!C:G,5,FALSE))</f>
        <v>9618.9700000000012</v>
      </c>
      <c r="F113" s="368">
        <v>7046.03</v>
      </c>
      <c r="G113" s="570">
        <v>7200</v>
      </c>
      <c r="H113" s="401"/>
      <c r="I113" s="149">
        <f t="shared" si="9"/>
        <v>-0.2674860198129323</v>
      </c>
      <c r="J113" s="271">
        <f t="shared" si="9"/>
        <v>2.1852021634878118E-2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7200</v>
      </c>
    </row>
    <row r="114" spans="1:13" ht="12.75">
      <c r="A114" s="5" t="s">
        <v>138</v>
      </c>
      <c r="B114" s="92"/>
      <c r="C114" s="160">
        <f>IF(ISNA(VLOOKUP("ORL623810000",Balance!C:G,5,FALSE))=TRUE,0,VLOOKUP("ORL623810000",Balance!C:G,5,FALSE))</f>
        <v>0</v>
      </c>
      <c r="D114" s="117">
        <f>+[2]Orléans!$H114</f>
        <v>0</v>
      </c>
      <c r="E114" s="160">
        <f>IF(ISNA(VLOOKUP("ORL623810000",Balanceanp!C:G,5,FALSE))=TRUE,0,VLOOKUP("ORL623810000",Balanceanp!C:G,5,FALSE))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2.9892132664470245E-2</v>
      </c>
      <c r="C116" s="163">
        <f>SUM(C104:C115)</f>
        <v>24903.53</v>
      </c>
      <c r="D116" s="118">
        <f>SUM(D104:D115)</f>
        <v>37150</v>
      </c>
      <c r="E116" s="163">
        <f>SUM(E104:E115)</f>
        <v>42665.600000000006</v>
      </c>
      <c r="F116" s="136">
        <f>SUM(F104:F115)</f>
        <v>42205.443333333336</v>
      </c>
      <c r="G116" s="136">
        <f>SUM(G104:G115)</f>
        <v>39850</v>
      </c>
      <c r="H116" s="421">
        <f>+G116/$G$21</f>
        <v>3.6225626107904189E-2</v>
      </c>
      <c r="I116" s="272">
        <f>+IF((E116)=0,,(F116-E116)/E116)</f>
        <v>-1.0785191504787683E-2</v>
      </c>
      <c r="J116" s="188">
        <f>+IF((F116)=0,,(G116-F116)/F116)</f>
        <v>-5.5808993989953815E-2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IF(ISNA(VLOOKUP("ORL633300000",Balance!C:G,5,FALSE))=TRUE,0,VLOOKUP("ORL633300000",Balance!C:G,5,FALSE))</f>
        <v>1243.77</v>
      </c>
      <c r="D118" s="117">
        <f>+[2]Orléans!$H118</f>
        <v>685.99999999999989</v>
      </c>
      <c r="E118" s="160">
        <f>IF(ISNA(VLOOKUP("ORL633300000",Balanceanp!C:G,5,FALSE))=TRUE,0,VLOOKUP("ORL633300000",Balanceanp!C:G,5,FALSE))</f>
        <v>666</v>
      </c>
      <c r="F118" s="368">
        <f>+C118+C118/9*(12-Clients!$I$14)</f>
        <v>1658.36</v>
      </c>
      <c r="G118" s="396">
        <f>G131*(0.2+0.5)%</f>
        <v>734.99999999999989</v>
      </c>
      <c r="H118" s="409"/>
      <c r="I118" s="149">
        <f t="shared" ref="I118:J127" si="10">+IF((E118)=0,,(F118-E118)/E118)</f>
        <v>1.49003003003003</v>
      </c>
      <c r="J118" s="271">
        <f t="shared" si="10"/>
        <v>-0.55679104657613554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734.99999999999989</v>
      </c>
    </row>
    <row r="119" spans="1:13" ht="12.75">
      <c r="A119" s="5" t="s">
        <v>140</v>
      </c>
      <c r="B119" s="92"/>
      <c r="C119" s="160">
        <f>IF(ISNA(VLOOKUP("ORL633400000",Balance!C:G,5,FALSE))=TRUE,0,VLOOKUP("ORL633400000",Balance!C:G,5,FALSE))</f>
        <v>0</v>
      </c>
      <c r="D119" s="117">
        <f>+[2]Orléans!$H119</f>
        <v>441.00000000000006</v>
      </c>
      <c r="E119" s="160">
        <f>IF(ISNA(VLOOKUP("ORL633400000",Balanceanp!C:G,5,FALSE))=TRUE,0,VLOOKUP("ORL633400000",Balanceanp!C:G,5,FALSE))</f>
        <v>367</v>
      </c>
      <c r="F119" s="368">
        <f>+C119+C119/9*(12-Clients!$I$14)</f>
        <v>0</v>
      </c>
      <c r="G119" s="396">
        <f>+G131*0.45%</f>
        <v>472.50000000000006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472.50000000000006</v>
      </c>
    </row>
    <row r="120" spans="1:13" ht="12.75">
      <c r="A120" s="5" t="s">
        <v>141</v>
      </c>
      <c r="B120" s="92"/>
      <c r="C120" s="160">
        <f>IF(ISNA(VLOOKUP("ORL633500000",Balance!C:G,5,FALSE))=TRUE,0,VLOOKUP("ORL633500000",Balance!C:G,5,FALSE))</f>
        <v>0</v>
      </c>
      <c r="D120" s="117">
        <f>+[2]Orléans!$H120</f>
        <v>764.40000000000009</v>
      </c>
      <c r="E120" s="160">
        <f>IF(ISNA(VLOOKUP("ORL633500000",Balanceanp!C:G,5,FALSE))=TRUE,0,VLOOKUP("ORL633500000",Balanceanp!C:G,5,FALSE))</f>
        <v>555</v>
      </c>
      <c r="F120" s="368">
        <f>+C120+C120/9*(12-Clients!$I$14)</f>
        <v>0</v>
      </c>
      <c r="G120" s="396">
        <f>+G131*(0.6+0.18)%</f>
        <v>819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819</v>
      </c>
    </row>
    <row r="121" spans="1:13" ht="12.75">
      <c r="A121" s="5" t="s">
        <v>706</v>
      </c>
      <c r="B121" s="92"/>
      <c r="C121" s="160">
        <f>IF(ISNA(VLOOKUP("ORL635110000",Balance!C:G,5,FALSE))=TRUE,0,VLOOKUP("ORL635110000",Balance!C:G,5,FALSE))</f>
        <v>3727.26</v>
      </c>
      <c r="D121" s="117">
        <f>+[2]Orléans!$H121</f>
        <v>4969.6500000000005</v>
      </c>
      <c r="E121" s="160">
        <f>IF(ISNA(VLOOKUP("ORL635110000",Balanceanp!C:G,5,FALSE))=TRUE,0,VLOOKUP("ORL635110000",Balanceanp!C:G,5,FALSE))</f>
        <v>1513</v>
      </c>
      <c r="F121" s="570">
        <v>1311</v>
      </c>
      <c r="G121" s="570">
        <f>+F121*1.05</f>
        <v>1376.55</v>
      </c>
      <c r="H121" s="413"/>
      <c r="I121" s="149">
        <f t="shared" si="10"/>
        <v>-0.13350958360872439</v>
      </c>
      <c r="J121" s="271">
        <f t="shared" si="10"/>
        <v>4.9999999999999968E-2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1376.55</v>
      </c>
    </row>
    <row r="122" spans="1:13" ht="12.75">
      <c r="A122" s="5" t="s">
        <v>143</v>
      </c>
      <c r="B122" s="92"/>
      <c r="C122" s="160">
        <f>IF(ISNA(VLOOKUP("ORL635120000",Balance!C:G,5,FALSE))=TRUE,0,VLOOKUP("ORL635120000",Balance!C:G,5,FALSE))</f>
        <v>4632.75</v>
      </c>
      <c r="D122" s="117">
        <f>+[2]Orléans!$H122</f>
        <v>6177.0240000000003</v>
      </c>
      <c r="E122" s="160">
        <f>IF(ISNA(VLOOKUP("ORL635120000",Balanceanp!C:G,5,FALSE))=TRUE,0,VLOOKUP("ORL635120000",Balanceanp!C:G,5,FALSE))</f>
        <v>5882.87</v>
      </c>
      <c r="F122" s="425">
        <v>5964</v>
      </c>
      <c r="G122" s="425">
        <f>+F122*1.05</f>
        <v>6262.2</v>
      </c>
      <c r="H122" s="413"/>
      <c r="I122" s="149">
        <f t="shared" si="10"/>
        <v>1.3790887780964073E-2</v>
      </c>
      <c r="J122" s="271">
        <f t="shared" si="10"/>
        <v>4.9999999999999968E-2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6262.2</v>
      </c>
    </row>
    <row r="123" spans="1:13" ht="12.75">
      <c r="A123" s="5" t="s">
        <v>144</v>
      </c>
      <c r="B123" s="92"/>
      <c r="C123" s="160">
        <f>IF(ISNA(VLOOKUP("ORL635130000",Balance!C:G,5,FALSE))=TRUE,0,VLOOKUP("ORL635130000",Balance!C:G,5,FALSE))</f>
        <v>0</v>
      </c>
      <c r="D123" s="117">
        <f>+[2]Orléans!$H123</f>
        <v>50</v>
      </c>
      <c r="E123" s="160">
        <f>IF(ISNA(VLOOKUP("ORL635130000",Balanceanp!C:G,5,FALSE))=TRUE,0,VLOOKUP("ORL635130000",Balanceanp!C:G,5,FALSE))</f>
        <v>0</v>
      </c>
      <c r="F123" s="368"/>
      <c r="G123" s="570">
        <v>200</v>
      </c>
      <c r="H123" s="413"/>
      <c r="I123" s="149">
        <f t="shared" si="10"/>
        <v>0</v>
      </c>
      <c r="J123" s="271">
        <f t="shared" si="10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200</v>
      </c>
    </row>
    <row r="124" spans="1:13" ht="12.75">
      <c r="A124" s="5" t="s">
        <v>145</v>
      </c>
      <c r="B124" s="92"/>
      <c r="C124" s="160">
        <f>IF(ISNA(VLOOKUP("ORL635140000",Balance!C:G,5,FALSE))=TRUE,0,VLOOKUP("ORL635140000",Balance!C:G,5,FALSE))</f>
        <v>264.5</v>
      </c>
      <c r="D124" s="117">
        <f>+[2]Orléans!$H124</f>
        <v>0</v>
      </c>
      <c r="E124" s="160">
        <f>IF(ISNA(VLOOKUP("ORL635140000",Balanceanp!C:G,5,FALSE))=TRUE,0,VLOOKUP("ORL635140000",Balanceanp!C:G,5,FALSE))</f>
        <v>36</v>
      </c>
      <c r="F124" s="368">
        <f>+C124+C124/9*(12-Clients!$I$14)</f>
        <v>352.66666666666669</v>
      </c>
      <c r="G124" s="397">
        <v>0</v>
      </c>
      <c r="H124" s="413"/>
      <c r="I124" s="149">
        <f t="shared" si="10"/>
        <v>8.7962962962962976</v>
      </c>
      <c r="J124" s="271">
        <f t="shared" si="10"/>
        <v>-1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IF(ISNA(VLOOKUP("ORL635300000",Balance!C:G,5,FALSE))=TRUE,0,VLOOKUP("ORL635300000",Balance!C:G,5,FALSE))</f>
        <v>0</v>
      </c>
      <c r="D125" s="117">
        <f>+[2]Orléans!$H125</f>
        <v>0</v>
      </c>
      <c r="E125" s="160">
        <f>IF(ISNA(VLOOKUP("ORL635300000",Balanceanp!C:G,5,FALSE))=TRUE,0,VLOOKUP("ORL635300000",Balanceanp!C:G,5,FALSE))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IF(ISNA(VLOOKUP("orl635400000",Balance!C:G,5,FALSE))=TRUE,0,VLOOKUP("orl635400000",Balance!C:G,5,FALSE))</f>
        <v>0</v>
      </c>
      <c r="D126" s="117">
        <f>+[2]Orléans!$H126</f>
        <v>0</v>
      </c>
      <c r="E126" s="160">
        <f>IF(ISNA(VLOOKUP("orl635400000",Balanceanp!C:G,5,FALSE))=TRUE,0,VLOOKUP("orl635400000",Balanceanp!C:G,5,FALSE))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IF(ISNA(VLOOKUP("ORL637100000",Balance!C:G,5,FALSE))=TRUE,0,VLOOKUP("ORL637100000",Balance!C:G,5,FALSE))</f>
        <v>1470.35</v>
      </c>
      <c r="D127" s="117">
        <f>+[2]Orléans!$H127</f>
        <v>1800</v>
      </c>
      <c r="E127" s="160">
        <f>IF(ISNA(VLOOKUP("ORL637100000",Balanceanp!C:G,5,FALSE))=TRUE,0,VLOOKUP("ORL637100000",Balanceanp!C:G,5,FALSE))</f>
        <v>1754.27</v>
      </c>
      <c r="F127" s="368">
        <f>+C127+C127/9*(12-Clients!$I$14)</f>
        <v>1960.4666666666665</v>
      </c>
      <c r="G127" s="396">
        <f>+G51*0.16%</f>
        <v>1736.0800000000002</v>
      </c>
      <c r="H127" s="409"/>
      <c r="I127" s="149">
        <f t="shared" si="10"/>
        <v>0.11753986938536627</v>
      </c>
      <c r="J127" s="271">
        <f t="shared" si="10"/>
        <v>-0.11445574183017632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1736.08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1.360995136807281E-2</v>
      </c>
      <c r="C129" s="163">
        <f>SUM(C117:C128)</f>
        <v>11338.630000000001</v>
      </c>
      <c r="D129" s="118">
        <f>SUM(D117:D128)</f>
        <v>14888.074000000001</v>
      </c>
      <c r="E129" s="163">
        <f>SUM(E117:E128)</f>
        <v>10774.14</v>
      </c>
      <c r="F129" s="136">
        <f>SUM(F117:F128)</f>
        <v>11246.493333333334</v>
      </c>
      <c r="G129" s="136">
        <f>SUM(G117:G128)</f>
        <v>11601.33</v>
      </c>
      <c r="H129" s="421">
        <f>+G129/$G$21</f>
        <v>1.0546184264351621E-2</v>
      </c>
      <c r="I129" s="272">
        <f>+IF((E129)=0,,(F129-E129)/E129)</f>
        <v>4.3841395539071744E-2</v>
      </c>
      <c r="J129" s="188">
        <f>+IF((F129)=0,,(G129-F129)/F129)</f>
        <v>3.155087156055749E-2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11601.33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IF(ISNA(VLOOKUP("ORL641100000",Balance!C:G,5,FALSE))=TRUE,0,VLOOKUP("ORL641100000",Balance!C:G,5,FALSE))</f>
        <v>71689.919999999998</v>
      </c>
      <c r="D131" s="117">
        <f>+[2]Orléans!$H131</f>
        <v>98000</v>
      </c>
      <c r="E131" s="160">
        <f>IF(ISNA(VLOOKUP("ORL641100000",Balanceanp!C:G,5,FALSE))=TRUE,0,VLOOKUP("ORL641100000",Balanceanp!C:G,5,FALSE))</f>
        <v>89379.07</v>
      </c>
      <c r="F131" s="368">
        <f>+C131+C131/9*(12-Clients!$I$14)</f>
        <v>95586.559999999998</v>
      </c>
      <c r="G131" s="570">
        <v>105000</v>
      </c>
      <c r="H131" s="401"/>
      <c r="I131" s="149">
        <f t="shared" ref="I131:J146" si="11">+IF((E131)=0,,(F131-E131)/E131)</f>
        <v>6.9451270862406489E-2</v>
      </c>
      <c r="J131" s="271">
        <f t="shared" si="11"/>
        <v>9.8480790604871679E-2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105000</v>
      </c>
    </row>
    <row r="132" spans="1:13" ht="12.75">
      <c r="A132" s="5" t="s">
        <v>149</v>
      </c>
      <c r="B132" s="92"/>
      <c r="C132" s="160">
        <f>IF(ISNA(VLOOKUP("ORL641110000",Balance!C:G,5,FALSE))=TRUE,0,VLOOKUP("ORL641110000",Balance!C:G,5,FALSE))</f>
        <v>-400</v>
      </c>
      <c r="D132" s="117">
        <f>+[2]Orléans!$H132</f>
        <v>0</v>
      </c>
      <c r="E132" s="160">
        <f>IF(ISNA(VLOOKUP("ORL641110000",Balanceanp!C:G,5,FALSE))=TRUE,0,VLOOKUP("ORL641110000",Balanceanp!C:G,5,FALSE))</f>
        <v>-50</v>
      </c>
      <c r="F132" s="368">
        <f>+C132+C132/9*(12-Clients!$I$14)</f>
        <v>-533.33333333333326</v>
      </c>
      <c r="G132" s="570">
        <v>0</v>
      </c>
      <c r="H132" s="401"/>
      <c r="I132" s="149">
        <f t="shared" si="11"/>
        <v>9.6666666666666643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IF(ISNA(VLOOKUP("ORL641111000",Balance!C:G,5,FALSE))=TRUE,0,VLOOKUP("ORL641111000",Balance!C:G,5,FALSE))</f>
        <v>0</v>
      </c>
      <c r="D133" s="117">
        <f>+[2]Orléans!$H133</f>
        <v>0</v>
      </c>
      <c r="E133" s="160">
        <f>IF(ISNA(VLOOKUP("ORL641111000",Balanceanp!C:G,5,FALSE))=TRUE,0,VLOOKUP("ORL641111000",Balanceanp!C:G,5,FALSE))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IF(ISNA(VLOOKUP("ORL641200000",Balance!C:G,5,FALSE))=TRUE,0,VLOOKUP("ORL641200000",Balance!C:G,5,FALSE))</f>
        <v>0</v>
      </c>
      <c r="D134" s="117">
        <f>+[2]Orléans!$H134</f>
        <v>0</v>
      </c>
      <c r="E134" s="160">
        <f>IF(ISNA(VLOOKUP("ORL641200000",Balanceanp!C:G,5,FALSE))=TRUE,0,VLOOKUP("ORL641200000",Balanceanp!C:G,5,FALSE))</f>
        <v>226.18000000000029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IF(ISNA(VLOOKUP("ORL621100000",Balance!C:G,5,FALSE))=TRUE,0,VLOOKUP("ORL621100000",Balance!C:G,5,FALSE))</f>
        <v>2524.06</v>
      </c>
      <c r="D135" s="117">
        <f>+[2]Orléans!$H135</f>
        <v>0</v>
      </c>
      <c r="E135" s="160">
        <f>IF(ISNA(VLOOKUP("ORL621100000",Balanceanp!C:G,5,FALSE))=TRUE,0,VLOOKUP("ORL621100000",Balanceanp!C:G,5,FALSE))</f>
        <v>353.85</v>
      </c>
      <c r="F135" s="368">
        <f>+C135+C135/9*(12-Clients!$I$14)</f>
        <v>3365.4133333333334</v>
      </c>
      <c r="G135" s="570">
        <v>0</v>
      </c>
      <c r="H135" s="401"/>
      <c r="I135" s="149">
        <f t="shared" si="11"/>
        <v>8.5108473458621834</v>
      </c>
      <c r="J135" s="271">
        <f t="shared" si="11"/>
        <v>-1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IF(ISNA(VLOOKUP("ORL621200000",Balance!C:G,5,FALSE))=TRUE,0,VLOOKUP("ORL621200000",Balance!C:G,5,FALSE))</f>
        <v>0</v>
      </c>
      <c r="D136" s="117">
        <f>+[2]Orléans!$H136</f>
        <v>0</v>
      </c>
      <c r="E136" s="160">
        <f>IF(ISNA(VLOOKUP("ORL621200000",Balanceanp!C:G,5,FALSE))=TRUE,0,VLOOKUP("ORL621200000",Balanceanp!C:G,5,FALSE))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IF(ISNA(VLOOKUP("ORL706100000",Balance!C:G,5,FALSE))=TRUE,0,-VLOOKUP("ORL706100000",Balance!C:G,5,FALSE))</f>
        <v>0</v>
      </c>
      <c r="D137" s="117">
        <f>+[2]Orléans!$H137</f>
        <v>0</v>
      </c>
      <c r="E137" s="160">
        <f>IF(ISNA(VLOOKUP("ORL706100000",Balanceanp!C:G,5,FALSE))=TRUE,0,-VLOOKUP("ORL706100000",Balanceanp!C:G,5,FALSE))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IF(ISNA(VLOOKUP("ORL641210000",Balance!C:G,5,FALSE))=TRUE,0,VLOOKUP("ORL641210000",Balance!C:G,5,FALSE))</f>
        <v>0</v>
      </c>
      <c r="D138" s="117">
        <f>+[2]Orléans!$H138</f>
        <v>0</v>
      </c>
      <c r="E138" s="160">
        <f>IF(ISNA(VLOOKUP("ORL641210000",Balanceanp!C:G,5,FALSE))=TRUE,0,VLOOKUP("ORL641210000",Balanceanp!C:G,5,FALSE))</f>
        <v>9.4499999999998181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IF(ISNA(VLOOKUP("ORL641400000",Balance!C:G,5,FALSE))=TRUE,0,VLOOKUP("ORL641400000",Balance!C:G,5,FALSE))</f>
        <v>0</v>
      </c>
      <c r="D139" s="117">
        <f>+[2]Orléans!$H139</f>
        <v>0</v>
      </c>
      <c r="E139" s="160">
        <f>IF(ISNA(VLOOKUP("ORL641400000",Balanceanp!C:G,5,FALSE))=TRUE,0,VLOOKUP("ORL641400000",Balanceanp!C:G,5,FALSE))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IF(ISNA(VLOOKUP("ORL641600000",Balance!C:G,5,FALSE))=TRUE,0,VLOOKUP("ORL641600000",Balance!C:G,5,FALSE))</f>
        <v>0</v>
      </c>
      <c r="D140" s="117">
        <f>+[2]Orléans!$H140</f>
        <v>0</v>
      </c>
      <c r="E140" s="160">
        <f>IF(ISNA(VLOOKUP("ORL641600000",Balanceanp!C:G,5,FALSE))=TRUE,0,VLOOKUP("ORL641600000",Balanceanp!C:G,5,FALSE))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IF(ISNA(VLOOKUP("ORL645100000",Balance!C:G,5,FALSE))=TRUE,0,VLOOKUP("ORL645100000",Balance!C:G,5,FALSE))</f>
        <v>17290.72</v>
      </c>
      <c r="D141" s="117">
        <f>+[2]Orléans!$H141</f>
        <v>28217.114454180752</v>
      </c>
      <c r="E141" s="160">
        <f>IF(ISNA(VLOOKUP("ORL645100000",Balanceanp!C:G,5,FALSE))=TRUE,0,VLOOKUP("ORL645100000",Balanceanp!C:G,5,FALSE))</f>
        <v>24484.880000000001</v>
      </c>
      <c r="F141" s="368">
        <f>+C141+C141/9*(12-Clients!$I$14)</f>
        <v>23054.293333333335</v>
      </c>
      <c r="G141" s="396">
        <f t="shared" ref="G141:G146" si="13">+($G$131/$C$131*C141)*1.01</f>
        <v>25577.945351312992</v>
      </c>
      <c r="H141" s="409"/>
      <c r="I141" s="149">
        <f t="shared" si="11"/>
        <v>-5.8427350539053735E-2</v>
      </c>
      <c r="J141" s="271">
        <f t="shared" si="11"/>
        <v>0.10946559851092047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25577.945351312992</v>
      </c>
    </row>
    <row r="142" spans="1:13" ht="12.75">
      <c r="A142" s="5" t="s">
        <v>156</v>
      </c>
      <c r="B142" s="92"/>
      <c r="C142" s="160">
        <f>IF(ISNA(VLOOKUP("ORL645200000",Balance!C:G,5,FALSE))=TRUE,0,VLOOKUP("ORL645200000",Balance!C:G,5,FALSE))</f>
        <v>2507.81</v>
      </c>
      <c r="D142" s="117">
        <f>+[2]Orléans!$H142</f>
        <v>2872.1691829894721</v>
      </c>
      <c r="E142" s="160">
        <f>IF(ISNA(VLOOKUP("ORL645200000",Balanceanp!C:G,5,FALSE))=TRUE,0,VLOOKUP("ORL645200000",Balanceanp!C:G,5,FALSE))</f>
        <v>2747.89</v>
      </c>
      <c r="F142" s="368">
        <f>+C142+C142/9*(12-Clients!$I$14)</f>
        <v>3343.7466666666669</v>
      </c>
      <c r="G142" s="396">
        <f t="shared" si="13"/>
        <v>3709.7718968022282</v>
      </c>
      <c r="H142" s="409"/>
      <c r="I142" s="149">
        <f t="shared" si="11"/>
        <v>0.2168415281058074</v>
      </c>
      <c r="J142" s="271">
        <f t="shared" si="11"/>
        <v>0.10946559851092026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3709.7718968022282</v>
      </c>
    </row>
    <row r="143" spans="1:13" ht="12.75">
      <c r="A143" s="5" t="s">
        <v>157</v>
      </c>
      <c r="B143" s="92"/>
      <c r="C143" s="160">
        <f>IF(ISNA(VLOOKUP("ORL645300000",Balance!C:G,5,FALSE))=TRUE,0,VLOOKUP("ORL645300000",Balance!C:G,5,FALSE))</f>
        <v>4528.1400000000003</v>
      </c>
      <c r="D143" s="117">
        <f>+[2]Orléans!$H143</f>
        <v>6407.7099840852052</v>
      </c>
      <c r="E143" s="160">
        <f>IF(ISNA(VLOOKUP("ORL645300000",Balanceanp!C:G,5,FALSE))=TRUE,0,VLOOKUP("ORL645300000",Balanceanp!C:G,5,FALSE))</f>
        <v>5698.88</v>
      </c>
      <c r="F143" s="368">
        <f>+C143+C143/9*(12-Clients!$I$14)</f>
        <v>6037.52</v>
      </c>
      <c r="G143" s="396">
        <f t="shared" si="13"/>
        <v>6698.4207403216533</v>
      </c>
      <c r="H143" s="409"/>
      <c r="I143" s="149">
        <f t="shared" si="11"/>
        <v>5.94222022572857E-2</v>
      </c>
      <c r="J143" s="271">
        <f t="shared" si="11"/>
        <v>0.10946559851092051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6698.4207403216533</v>
      </c>
    </row>
    <row r="144" spans="1:13" ht="12.75">
      <c r="A144" s="5" t="s">
        <v>326</v>
      </c>
      <c r="B144" s="92"/>
      <c r="C144" s="160">
        <f>IF(ISNA(VLOOKUP("ORL645310000",Balance!C:G,5,FALSE))=TRUE,0,VLOOKUP("ORL645310000",Balance!C:G,5,FALSE))</f>
        <v>0</v>
      </c>
      <c r="D144" s="117">
        <f>+[2]Orléans!$H144</f>
        <v>0</v>
      </c>
      <c r="E144" s="160">
        <f>IF(ISNA(VLOOKUP("ORL645310000",Balanceanp!C:G,5,FALSE))=TRUE,0,VLOOKUP("ORL645310000",Balanceanp!C:G,5,FALSE))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0</v>
      </c>
    </row>
    <row r="145" spans="1:13" ht="12.75">
      <c r="A145" s="5" t="s">
        <v>158</v>
      </c>
      <c r="B145" s="92"/>
      <c r="C145" s="160">
        <f>IF(ISNA(VLOOKUP("ORL645400000",Balance!C:G,5,FALSE))=TRUE,0,VLOOKUP("ORL645400000",Balance!C:G,5,FALSE))</f>
        <v>2883.86</v>
      </c>
      <c r="D145" s="117">
        <f>+[2]Orléans!$H145</f>
        <v>3824.594010068211</v>
      </c>
      <c r="E145" s="160">
        <f>IF(ISNA(VLOOKUP("ORL645400000",Balanceanp!C:G,5,FALSE))=TRUE,0,VLOOKUP("ORL645400000",Balanceanp!C:G,5,FALSE))</f>
        <v>3470.61</v>
      </c>
      <c r="F145" s="368">
        <f>+C145+C145/9*(12-Clients!$I$14)</f>
        <v>3845.1466666666665</v>
      </c>
      <c r="G145" s="396">
        <f t="shared" si="13"/>
        <v>4266.0579478956042</v>
      </c>
      <c r="H145" s="409"/>
      <c r="I145" s="149">
        <f t="shared" si="11"/>
        <v>0.10791666786722404</v>
      </c>
      <c r="J145" s="271">
        <f t="shared" si="11"/>
        <v>0.10946559851092053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4266.0579478956042</v>
      </c>
    </row>
    <row r="146" spans="1:13" ht="12.75">
      <c r="A146" s="5" t="s">
        <v>159</v>
      </c>
      <c r="B146" s="92"/>
      <c r="C146" s="160">
        <f>IF(ISNA(VLOOKUP("ORL645800000",Balance!C:G,5,FALSE))=TRUE,0,VLOOKUP("ORL645800000",Balance!C:G,5,FALSE))</f>
        <v>0</v>
      </c>
      <c r="D146" s="117">
        <f>+[2]Orléans!$H146</f>
        <v>0</v>
      </c>
      <c r="E146" s="160">
        <f>IF(ISNA(VLOOKUP("ORL645800000",Balanceanp!C:G,5,FALSE))=TRUE,0,VLOOKUP("ORL645800000",Balanceanp!C:G,5,FALSE))</f>
        <v>-138.34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-1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IF(ISNA(VLOOKUP("ORL645900000",Balance!C:G,5,FALSE))=TRUE,0,VLOOKUP("ORL645900000",Balance!C:G,5,FALSE))</f>
        <v>129.1</v>
      </c>
      <c r="D147" s="117">
        <f>+[2]Orléans!$H147</f>
        <v>-75.591302548750008</v>
      </c>
      <c r="E147" s="160">
        <f>IF(ISNA(VLOOKUP("ORL645900000",Balanceanp!C:G,5,FALSE))=TRUE,0,VLOOKUP("ORL645900000",Balanceanp!C:G,5,FALSE))</f>
        <v>-25.52</v>
      </c>
      <c r="F147" s="368">
        <f>+C147+C147/9*(12-Clients!$I$14)</f>
        <v>172.13333333333333</v>
      </c>
      <c r="G147" s="396">
        <f>+F147*1.03</f>
        <v>177.29733333333334</v>
      </c>
      <c r="H147" s="409"/>
      <c r="I147" s="149">
        <f t="shared" ref="I147:J152" si="14">+IF((E147)=0,,(F147-E147)/E147)</f>
        <v>-7.7450365726227801</v>
      </c>
      <c r="J147" s="271">
        <f t="shared" si="14"/>
        <v>3.0000000000000093E-2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177.29733333333334</v>
      </c>
    </row>
    <row r="148" spans="1:13" ht="12.75">
      <c r="A148" s="5" t="s">
        <v>161</v>
      </c>
      <c r="B148" s="92"/>
      <c r="C148" s="160">
        <f>IF(ISNA(VLOOKUP("ORL647100000",Balance!C:G,5,FALSE))=TRUE,0,VLOOKUP("ORL647100000",Balance!C:G,5,FALSE))</f>
        <v>0</v>
      </c>
      <c r="D148" s="117">
        <f>+[2]Orléans!$H148</f>
        <v>41.900245500000004</v>
      </c>
      <c r="E148" s="160">
        <f>IF(ISNA(VLOOKUP("ORL647100000",Balanceanp!C:G,5,FALSE))=TRUE,0,VLOOKUP("ORL647100000",Balanceanp!C:G,5,FALSE))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0</v>
      </c>
    </row>
    <row r="149" spans="1:13" ht="12.75">
      <c r="A149" s="5" t="s">
        <v>162</v>
      </c>
      <c r="B149" s="92"/>
      <c r="C149" s="160">
        <f>IF(ISNA(VLOOKUP("ORL647400000",Balance!C:G,5,FALSE))=TRUE,0,VLOOKUP("ORL647400000",Balance!C:G,5,FALSE))</f>
        <v>0</v>
      </c>
      <c r="D149" s="117">
        <f>+[2]Orléans!$H149</f>
        <v>50.777326250000002</v>
      </c>
      <c r="E149" s="160">
        <f>IF(ISNA(VLOOKUP("ORL647400000",Balanceanp!C:G,5,FALSE))=TRUE,0,VLOOKUP("ORL647400000",Balanceanp!C:G,5,FALSE))</f>
        <v>0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0</v>
      </c>
      <c r="J149" s="271">
        <f t="shared" si="14"/>
        <v>0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0</v>
      </c>
    </row>
    <row r="150" spans="1:13" ht="12.75">
      <c r="A150" s="5" t="s">
        <v>163</v>
      </c>
      <c r="B150" s="92"/>
      <c r="C150" s="160">
        <f>IF(ISNA(VLOOKUP("ORL647500000",Balance!C:G,5,FALSE))=TRUE,0,VLOOKUP("ORL647500000",Balance!C:G,5,FALSE))</f>
        <v>100</v>
      </c>
      <c r="D150" s="117">
        <f>+[2]Orléans!$H150</f>
        <v>43.261733833333338</v>
      </c>
      <c r="E150" s="160">
        <f>IF(ISNA(VLOOKUP("ORL647500000",Balanceanp!C:G,5,FALSE))=TRUE,0,VLOOKUP("ORL647500000",Balanceanp!C:G,5,FALSE))</f>
        <v>118</v>
      </c>
      <c r="F150" s="368">
        <f>+C150+C150/9*(12-Clients!$I$14)</f>
        <v>133.33333333333331</v>
      </c>
      <c r="G150" s="396">
        <f>+F150*1.03</f>
        <v>137.33333333333331</v>
      </c>
      <c r="H150" s="409"/>
      <c r="I150" s="149">
        <f t="shared" si="14"/>
        <v>0.12994350282485859</v>
      </c>
      <c r="J150" s="271">
        <f t="shared" si="14"/>
        <v>3.0000000000000006E-2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137.33333333333331</v>
      </c>
    </row>
    <row r="151" spans="1:13" ht="12.75">
      <c r="A151" s="5" t="s">
        <v>570</v>
      </c>
      <c r="B151" s="92"/>
      <c r="C151" s="160"/>
      <c r="D151" s="117">
        <f>+[2]Orléans!$H151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IF(ISNA(VLOOKUP("ORL648000000",Balance!C:G,5,FALSE))=TRUE,0,VLOOKUP("ORL648000000",Balance!C:G,5,FALSE))</f>
        <v>0</v>
      </c>
      <c r="D152" s="117">
        <f>+[2]Orléans!$H152</f>
        <v>2041.7646740000002</v>
      </c>
      <c r="E152" s="160">
        <f>IF(ISNA(VLOOKUP("ORL648000000",Balanceanp!C:G,5,FALSE))=TRUE,0,VLOOKUP("ORL648000000",Balanceanp!C:G,5,FALSE))</f>
        <v>7263.2748000000001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0.1215364385240378</v>
      </c>
      <c r="C154" s="163">
        <f>SUM(C130:C153)</f>
        <v>101253.61</v>
      </c>
      <c r="D154" s="118">
        <f>SUM(D130:D153)</f>
        <v>141423.70030835827</v>
      </c>
      <c r="E154" s="163">
        <f>SUM(E130:E153)</f>
        <v>133577.82480000003</v>
      </c>
      <c r="F154" s="136">
        <f>SUM(F130:F153)</f>
        <v>135004.81333333335</v>
      </c>
      <c r="G154" s="136">
        <f>SUM(G130:G153)</f>
        <v>145566.82660299915</v>
      </c>
      <c r="H154" s="421">
        <f>+G154/$G$21</f>
        <v>0.13232746384527899</v>
      </c>
      <c r="I154" s="272">
        <f>+IF((E154)=0,,(F154-E154)/E154)</f>
        <v>1.0682825053259303E-2</v>
      </c>
      <c r="J154" s="188">
        <f>+IF((F154)=0,,(G154-F154)/F154)</f>
        <v>7.8234345938375388E-2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0.86480000000000001</v>
      </c>
      <c r="C156" s="160">
        <f>IF(ISNA(VLOOKUP("ORL681740000",Balance!C:G,5,FALSE))=TRUE,0,VLOOKUP("ORL681740000",Balance!C:G,5,FALSE))</f>
        <v>9070.5499999999993</v>
      </c>
      <c r="D156" s="117">
        <f>+[2]Orléans!$H156</f>
        <v>15742.2258</v>
      </c>
      <c r="E156" s="160">
        <f>IF(ISNA(VLOOKUP("ORL681740000",Balanceanp!C:G,5,FALSE))=TRUE,0,VLOOKUP("ORL681740000",Balanceanp!C:G,5,FALSE))</f>
        <v>4020.06</v>
      </c>
      <c r="F156" s="368">
        <f>+C156+C156/9*(12-Clients!$I$14)</f>
        <v>12094.066666666666</v>
      </c>
      <c r="G156" s="570">
        <f>+G21*B156*1.62%</f>
        <v>15411.436488000003</v>
      </c>
      <c r="H156" s="413"/>
      <c r="I156" s="149">
        <f t="shared" ref="I156:J166" si="15">+IF((E156)=0,,(F156-E156)/E156)</f>
        <v>2.0084293932594703</v>
      </c>
      <c r="J156" s="271">
        <f t="shared" si="15"/>
        <v>0.274297299061248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IF(ISNA(VLOOKUP("ORL781740000",Balance!C:G,5,FALSE))=TRUE,0,VLOOKUP("ORL781740000",Balance!C:G,5,FALSE))</f>
        <v>-69.3</v>
      </c>
      <c r="D157" s="117">
        <f>+[2]Orléans!$H157</f>
        <v>0</v>
      </c>
      <c r="E157" s="160">
        <f>IF(ISNA(VLOOKUP("ORL781740000",Balanceanp!C:G,5,FALSE))=TRUE,0,VLOOKUP("ORL781740000",Balanceanp!C:G,5,FALSE))</f>
        <v>-269.57</v>
      </c>
      <c r="F157" s="368">
        <f>+C157+C157/9*(12-Clients!$I$14)</f>
        <v>-92.399999999999991</v>
      </c>
      <c r="G157" s="396">
        <v>0</v>
      </c>
      <c r="H157" s="409"/>
      <c r="I157" s="149">
        <f t="shared" si="15"/>
        <v>-0.65723188782134523</v>
      </c>
      <c r="J157" s="271">
        <f t="shared" si="15"/>
        <v>-1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IF(ISNA(VLOOKUP("ORL654400000",Balance!C:G,5,FALSE))=TRUE,0,VLOOKUP("ORL654400000",Balance!C:G,5,FALSE))</f>
        <v>69.3</v>
      </c>
      <c r="D158" s="117">
        <f>+[2]Orléans!$H158</f>
        <v>0</v>
      </c>
      <c r="E158" s="160">
        <f>IF(ISNA(VLOOKUP("ORL654400000",Balanceanp!C:G,5,FALSE))=TRUE,0,VLOOKUP("ORL654400000",Balanceanp!C:G,5,FALSE))</f>
        <v>0</v>
      </c>
      <c r="F158" s="368">
        <f>+C158+C158/9*(12-Clients!$I$14)</f>
        <v>92.399999999999991</v>
      </c>
      <c r="G158" s="396">
        <v>0</v>
      </c>
      <c r="H158" s="409"/>
      <c r="I158" s="149">
        <f t="shared" si="15"/>
        <v>0</v>
      </c>
      <c r="J158" s="271">
        <f t="shared" si="15"/>
        <v>-1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IF(ISNA(VLOOKUP("ORL791100000",Balance!C:G,5,FALSE))=TRUE,0,VLOOKUP("ORL791100000",Balance!C:G,5,FALSE))</f>
        <v>0</v>
      </c>
      <c r="D159" s="117">
        <f>+[2]Orléans!$H159</f>
        <v>0</v>
      </c>
      <c r="E159" s="160">
        <f>IF(ISNA(VLOOKUP("ORL791100000",Balanceanp!C:G,5,FALSE))=TRUE,0,VLOOKUP("ORL791100000",Balanceanp!C:G,5,FALSE))</f>
        <v>-2750.2</v>
      </c>
      <c r="F159" s="368">
        <f>+C159+C159/9*(12-Clients!$I$14)</f>
        <v>0</v>
      </c>
      <c r="G159" s="396">
        <v>0</v>
      </c>
      <c r="H159" s="409"/>
      <c r="I159" s="149">
        <f t="shared" si="15"/>
        <v>-1</v>
      </c>
      <c r="J159" s="271">
        <f t="shared" si="15"/>
        <v>0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IF(ISNA(VLOOKUP("ORL654100000",Balance!C:G,5,FALSE))=TRUE,0,VLOOKUP("ORL654100000",Balance!C:G,5,FALSE))</f>
        <v>1.7699999999999998</v>
      </c>
      <c r="D160" s="117">
        <f>+[2]Orléans!$H160</f>
        <v>0</v>
      </c>
      <c r="E160" s="160">
        <f>IF(ISNA(VLOOKUP("ORL654100000",Balanceanp!C:G,5,FALSE))=TRUE,0,VLOOKUP("ORL654100000",Balanceanp!C:G,5,FALSE))</f>
        <v>3.63</v>
      </c>
      <c r="F160" s="368">
        <f>+C160+C160/9*(12-Clients!$I$14)</f>
        <v>2.36</v>
      </c>
      <c r="G160" s="396">
        <v>0</v>
      </c>
      <c r="H160" s="409"/>
      <c r="I160" s="149">
        <f t="shared" si="15"/>
        <v>-0.34986225895316808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IF(ISNA(VLOOKUP("ORL622700000",Balance!C:G,5,FALSE))=TRUE,0,VLOOKUP("ORL622700000",Balance!C:G,5,FALSE))</f>
        <v>83.93</v>
      </c>
      <c r="D161" s="117">
        <f>+[2]Orléans!$H161</f>
        <v>269.61961862821772</v>
      </c>
      <c r="E161" s="160">
        <f>IF(ISNA(VLOOKUP("ORL622700000",Balanceanp!C:G,5,FALSE))=TRUE,0,VLOOKUP("ORL622700000",Balanceanp!C:G,5,FALSE))</f>
        <v>156.26</v>
      </c>
      <c r="F161" s="368">
        <f>+C161+C161/9*(12-Clients!$I$14)</f>
        <v>111.90666666666668</v>
      </c>
      <c r="G161" s="396">
        <f t="shared" ref="G161:G166" si="16">+F161*1.03</f>
        <v>115.26386666666669</v>
      </c>
      <c r="H161" s="409"/>
      <c r="I161" s="149">
        <f t="shared" si="15"/>
        <v>-0.28384316737062149</v>
      </c>
      <c r="J161" s="271">
        <f t="shared" si="15"/>
        <v>3.0000000000000051E-2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115.26386666666669</v>
      </c>
    </row>
    <row r="162" spans="1:13" ht="12.75">
      <c r="A162" s="5" t="s">
        <v>355</v>
      </c>
      <c r="B162" s="92"/>
      <c r="C162" s="160">
        <f>IF(ISNA(VLOOKUP("orl654200000",Balance!C:G,5,FALSE))=TRUE,0,VLOOKUP("orl654200000",Balance!C:G,5,FALSE))</f>
        <v>3.59</v>
      </c>
      <c r="D162" s="117">
        <f>+[2]Orléans!$H162</f>
        <v>-3.6707918481152779</v>
      </c>
      <c r="E162" s="160">
        <f>IF(ISNA(VLOOKUP("orl654200000",Balanceanp!C:G,5,FALSE))=TRUE,0,VLOOKUP("orl654200000",Balanceanp!C:G,5,FALSE))</f>
        <v>-3.59</v>
      </c>
      <c r="F162" s="368">
        <f>+C162+C162/9*(12-Clients!$I$14)</f>
        <v>4.7866666666666662</v>
      </c>
      <c r="G162" s="396">
        <f t="shared" si="16"/>
        <v>4.9302666666666664</v>
      </c>
      <c r="H162" s="409"/>
      <c r="I162" s="149">
        <f t="shared" si="15"/>
        <v>-2.333333333333333</v>
      </c>
      <c r="J162" s="271">
        <f t="shared" si="15"/>
        <v>3.0000000000000041E-2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4.9302666666666664</v>
      </c>
    </row>
    <row r="163" spans="1:13" ht="12.75">
      <c r="A163" s="5" t="s">
        <v>200</v>
      </c>
      <c r="B163" s="92"/>
      <c r="C163" s="160">
        <f>IF(ISNA(VLOOKUP("ORL665000000",Balance!C:G,5,FALSE))=TRUE,0,VLOOKUP("ORL665000000",Balance!C:G,5,FALSE))+IF(ISNA(VLOOKUP("ORL665100000",Balance!C:G,5,FALSE))=TRUE,0,VLOOKUP("ORL665100000",Balance!C:G,5,FALSE))</f>
        <v>627.02</v>
      </c>
      <c r="D163" s="117">
        <f>+[2]Orléans!$H163</f>
        <v>2019.9346533326823</v>
      </c>
      <c r="E163" s="160">
        <f>IF(ISNA(VLOOKUP("ORL665000000",Balanceanp!C:G,5,FALSE))=TRUE,0,VLOOKUP("ORL665000000",Balanceanp!C:G,5,FALSE))+IF(ISNA(VLOOKUP("ORL665100000",Balanceanp!C:G,5,FALSE))=TRUE,0,VLOOKUP("ORL665100000",Balanceanp!C:G,5,FALSE))</f>
        <v>1947.52</v>
      </c>
      <c r="F163" s="368">
        <f>+C163+C163/9*(12-Clients!$I$14)</f>
        <v>836.02666666666664</v>
      </c>
      <c r="G163" s="396">
        <f t="shared" si="16"/>
        <v>861.10746666666671</v>
      </c>
      <c r="H163" s="409"/>
      <c r="I163" s="149">
        <f t="shared" si="15"/>
        <v>-0.57072242304743126</v>
      </c>
      <c r="J163" s="271">
        <f t="shared" si="15"/>
        <v>3.0000000000000082E-2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861.10746666666671</v>
      </c>
    </row>
    <row r="164" spans="1:13" ht="12.75">
      <c r="A164" s="5" t="s">
        <v>271</v>
      </c>
      <c r="B164" s="92"/>
      <c r="C164" s="160">
        <f>IF(ISNA(VLOOKUP("ORL763000000",Balance!C:G,5,FALSE))=TRUE,0,VLOOKUP("ORL763000000",Balance!C:G,5,FALSE))</f>
        <v>-9</v>
      </c>
      <c r="D164" s="117">
        <f>+[2]Orléans!$H164</f>
        <v>-18.619947440820837</v>
      </c>
      <c r="E164" s="160">
        <f>IF(ISNA(VLOOKUP("ORL763000000",Balanceanp!C:G,5,FALSE))=TRUE,0,VLOOKUP("ORL763000000",Balanceanp!C:G,5,FALSE))</f>
        <v>-9</v>
      </c>
      <c r="F164" s="368">
        <f>+C164+C164/9*(12-Clients!$I$14)</f>
        <v>-12</v>
      </c>
      <c r="G164" s="396">
        <f t="shared" si="16"/>
        <v>-12.36</v>
      </c>
      <c r="H164" s="409"/>
      <c r="I164" s="149">
        <f t="shared" si="15"/>
        <v>0.33333333333333331</v>
      </c>
      <c r="J164" s="271">
        <f t="shared" si="15"/>
        <v>2.9999999999999954E-2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-12.36</v>
      </c>
    </row>
    <row r="165" spans="1:13" ht="12.75">
      <c r="A165" s="5" t="s">
        <v>242</v>
      </c>
      <c r="B165" s="92"/>
      <c r="C165" s="160">
        <f>IF(ISNA(VLOOKUP("ORL627520000",Balance!C:G,5,FALSE))=TRUE,0,VLOOKUP("ORL627520000",Balance!C:G,5,FALSE))</f>
        <v>292.5</v>
      </c>
      <c r="D165" s="117">
        <f>+[2]Orléans!$H165</f>
        <v>104.99773263835833</v>
      </c>
      <c r="E165" s="160">
        <f>IF(ISNA(VLOOKUP("ORL627520000",Balanceanp!C:G,5,FALSE))=TRUE,0,VLOOKUP("ORL627520000",Balanceanp!C:G,5,FALSE))</f>
        <v>170.3</v>
      </c>
      <c r="F165" s="368">
        <f>+C165+C165/9*(12-Clients!$I$14)</f>
        <v>390</v>
      </c>
      <c r="G165" s="396">
        <f t="shared" si="16"/>
        <v>401.7</v>
      </c>
      <c r="H165" s="409"/>
      <c r="I165" s="149">
        <f t="shared" si="15"/>
        <v>1.2900763358778624</v>
      </c>
      <c r="J165" s="271">
        <f t="shared" si="15"/>
        <v>2.9999999999999971E-2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401.7</v>
      </c>
    </row>
    <row r="166" spans="1:13" ht="12.75">
      <c r="A166" s="5" t="s">
        <v>201</v>
      </c>
      <c r="B166" s="92"/>
      <c r="C166" s="160">
        <f>IF(ISNA(VLOOKUP("ORL763100000",Balance!C:G,5,FALSE))=TRUE,0,VLOOKUP("ORL763100000",Balance!C:G,5,FALSE))</f>
        <v>0</v>
      </c>
      <c r="D166" s="117">
        <f>+[2]Orléans!$H166</f>
        <v>0</v>
      </c>
      <c r="E166" s="160">
        <f>IF(ISNA(VLOOKUP("ORL763100000",Balanceanp!C:G,5,FALSE))=TRUE,0,VLOOKUP("ORL763100000",Balanceanp!C:G,5,FALSE))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1.2087625212127541E-2</v>
      </c>
      <c r="C168" s="163">
        <f>SUM(C155:C167)</f>
        <v>10070.36</v>
      </c>
      <c r="D168" s="118">
        <f>SUM(D155:D167)</f>
        <v>18114.487065310324</v>
      </c>
      <c r="E168" s="163">
        <f>SUM(E155:E167)</f>
        <v>3265.41</v>
      </c>
      <c r="F168" s="136">
        <f>SUM(F155:F167)</f>
        <v>13427.146666666666</v>
      </c>
      <c r="G168" s="136">
        <f>SUM(G155:G167)</f>
        <v>16782.078088000002</v>
      </c>
      <c r="H168" s="421">
        <f>+G168/$G$21</f>
        <v>1.5255741182673517E-2</v>
      </c>
      <c r="I168" s="272">
        <f>+IF((E168)=0,,(F168-E168)/E168)</f>
        <v>3.1119328558026913</v>
      </c>
      <c r="J168" s="188">
        <f>+IF((F168)=0,,(G168-F168)/F168)</f>
        <v>0.24986182877275515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IF(ISNA(VLOOKUP("ORL651100000",Balance!C:G,5,FALSE))=TRUE,0,VLOOKUP("ORL651100000",Balance!C:G,5,FALSE))</f>
        <v>0</v>
      </c>
      <c r="D170" s="117">
        <f>+[2]Orléans!$H170</f>
        <v>0</v>
      </c>
      <c r="E170" s="160">
        <f>IF(ISNA(VLOOKUP("ORL651100000",Balanceanp!C:G,5,FALSE))=TRUE,0,VLOOKUP("ORL651100000",Balanceanp!C:G,5,FALSE))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IF(ISNA(VLOOKUP("ORL651600000",Balance!C:G,5,FALSE))=TRUE,0,VLOOKUP("ORL651600000",Balance!C:G,5,FALSE))</f>
        <v>0</v>
      </c>
      <c r="D171" s="117">
        <f>+[2]Orléans!$H171</f>
        <v>0</v>
      </c>
      <c r="E171" s="160">
        <f>IF(ISNA(VLOOKUP("ORL651600000",Balanceanp!C:G,5,FALSE))=TRUE,0,VLOOKUP("ORL651600000",Balanceanp!C:G,5,FALSE))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0</v>
      </c>
    </row>
    <row r="172" spans="1:13" ht="12.75">
      <c r="A172" s="5" t="s">
        <v>169</v>
      </c>
      <c r="B172" s="92"/>
      <c r="C172" s="160">
        <f>IF(ISNA(VLOOKUP("ORL671200000",Balance!C:G,5,FALSE))=TRUE,0,VLOOKUP("ORL671200000",Balance!C:G,5,FALSE))</f>
        <v>0</v>
      </c>
      <c r="D172" s="117">
        <f>+[2]Orléans!$H172</f>
        <v>0</v>
      </c>
      <c r="E172" s="160">
        <f>IF(ISNA(VLOOKUP("ORL671200000",Balanceanp!C:G,5,FALSE))=TRUE,0,VLOOKUP("ORL671200000",Balanceanp!C:G,5,FALSE))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IF(ISNA(VLOOKUP("ORL671800000",Balance!C:G,5,FALSE))=TRUE,0,VLOOKUP("ORL671800000",Balance!C:G,5,FALSE))</f>
        <v>3421.66</v>
      </c>
      <c r="D173" s="117">
        <f>+[2]Orléans!$H173</f>
        <v>0</v>
      </c>
      <c r="E173" s="160">
        <f>IF(ISNA(VLOOKUP("ORL671800000",Balanceanp!C:G,5,FALSE))=TRUE,0,VLOOKUP("ORL671800000",Balanceanp!C:G,5,FALSE))</f>
        <v>392.07</v>
      </c>
      <c r="F173" s="368">
        <f>+C173+C173/9*(12-Clients!$I$14)</f>
        <v>4562.2133333333331</v>
      </c>
      <c r="G173" s="396">
        <f t="shared" si="17"/>
        <v>4699.079733333333</v>
      </c>
      <c r="H173" s="409"/>
      <c r="I173" s="149">
        <f t="shared" si="18"/>
        <v>10.636221423045205</v>
      </c>
      <c r="J173" s="271">
        <f t="shared" si="18"/>
        <v>2.9999999999999975E-2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4699.079733333333</v>
      </c>
    </row>
    <row r="174" spans="1:13" ht="12.75">
      <c r="A174" s="5" t="s">
        <v>171</v>
      </c>
      <c r="B174" s="92"/>
      <c r="C174" s="160">
        <f>IF(ISNA(VLOOKUP("ORL672000000",Balance!C:G,5,FALSE))=TRUE,0,VLOOKUP("ORL672000000",Balance!C:G,5,FALSE))</f>
        <v>0</v>
      </c>
      <c r="D174" s="117">
        <f>+[2]Orléans!$H174</f>
        <v>0</v>
      </c>
      <c r="E174" s="160">
        <f>IF(ISNA(VLOOKUP("ORL672000000",Balanceanp!C:G,5,FALSE))=TRUE,0,VLOOKUP("ORL672000000",Balanceanp!C:G,5,FALSE))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IF(ISNA(VLOOKUP("ORL691100000",Balance!C:G,5,FALSE))=TRUE,0,VLOOKUP("ORL691100000",Balance!C:G,5,FALSE))</f>
        <v>0</v>
      </c>
      <c r="D175" s="117">
        <f>+[2]Orléans!$H175</f>
        <v>0</v>
      </c>
      <c r="E175" s="160">
        <f>IF(ISNA(VLOOKUP("ORL691100000",Balanceanp!C:G,5,FALSE))=TRUE,0,VLOOKUP("ORL691100000",Balanceanp!C:G,5,FALSE))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IF(ISNA(VLOOKUP("ORL675100000",Balance!C:G,5,FALSE))=TRUE,0,VLOOKUP("ORL675100000",Balance!C:G,5,FALSE))</f>
        <v>0</v>
      </c>
      <c r="D176" s="117">
        <f>+[2]Orléans!$H176</f>
        <v>0</v>
      </c>
      <c r="E176" s="160">
        <f>IF(ISNA(VLOOKUP("ORL675100000",Balanceanp!C:G,5,FALSE))=TRUE,0,VLOOKUP("ORL675100000",Balanceanp!C:G,5,FALSE))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IF(ISNA(VLOOKUP("ORL675200000",Balance!C:G,5,FALSE))=TRUE,0,VLOOKUP("ORL675200000",Balance!C:G,5,FALSE))</f>
        <v>0</v>
      </c>
      <c r="D177" s="117">
        <f>+[2]Orléans!$H177</f>
        <v>0</v>
      </c>
      <c r="E177" s="160">
        <f>IF(ISNA(VLOOKUP("ORL675200000",Balanceanp!C:G,5,FALSE))=TRUE,0,VLOOKUP("ORL675200000",Balanceanp!C:G,5,FALSE))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IF(ISNA(VLOOKUP("ORL681110000",Balance!C:G,5,FALSE))=TRUE,0,VLOOKUP("ORL681110000",Balance!C:G,5,FALSE))</f>
        <v>0</v>
      </c>
      <c r="D178" s="117">
        <f>+[2]Orléans!$H178</f>
        <v>0</v>
      </c>
      <c r="E178" s="160">
        <f>IF(ISNA(VLOOKUP("ORL681110000",Balanceanp!C:G,5,FALSE))=TRUE,0,VLOOKUP("ORL681110000",Balanceanp!C:G,5,FALSE))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IF(ISNA(VLOOKUP("ORL681120000",Balance!C:G,5,FALSE))=TRUE,0,VLOOKUP("ORL681120000",Balance!C:G,5,FALSE))</f>
        <v>13425.03</v>
      </c>
      <c r="D179" s="117">
        <f>+[2]Orléans!$H179</f>
        <v>17900</v>
      </c>
      <c r="E179" s="160">
        <f>IF(ISNA(VLOOKUP("ORL681120000",Balanceanp!C:G,5,FALSE))=TRUE,0,VLOOKUP("ORL681120000",Balanceanp!C:G,5,FALSE))</f>
        <v>17866.07</v>
      </c>
      <c r="F179" s="425">
        <v>17625.86</v>
      </c>
      <c r="G179" s="570">
        <f>17781.55+500+G255/10</f>
        <v>18281.55</v>
      </c>
      <c r="H179" s="413"/>
      <c r="I179" s="149">
        <f t="shared" si="18"/>
        <v>-1.3445038556324873E-2</v>
      </c>
      <c r="J179" s="271">
        <f t="shared" si="18"/>
        <v>3.7200454332441006E-2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18281.55</v>
      </c>
    </row>
    <row r="180" spans="1:13" ht="12.75">
      <c r="A180" s="5" t="s">
        <v>78</v>
      </c>
      <c r="B180" s="92"/>
      <c r="C180" s="160">
        <f>IF(ISNA(VLOOKUP("ORL687250000",Balance!C:G,5,FALSE))=TRUE,0,+VLOOKUP("ORL687250000",Balance!C:G,5,FALSE))</f>
        <v>0</v>
      </c>
      <c r="D180" s="117">
        <f>+[2]Orléans!$H180</f>
        <v>0</v>
      </c>
      <c r="E180" s="160">
        <f>IF(ISNA(VLOOKUP("ORL687250000",Balanceanp!C:G,5,FALSE))=TRUE,0,+VLOOKUP("ORL687250000",Balanceanp!C:G,5,FALSE))</f>
        <v>1135.45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IF(ISNA(VLOOKUP("ORL661880000",Balance!C:G,5,FALSE))=TRUE,0,+VLOOKUP("ORL661880000",Balance!C:G,5,FALSE))</f>
        <v>0</v>
      </c>
      <c r="D181" s="117">
        <f>+[2]Orléans!$H181</f>
        <v>0</v>
      </c>
      <c r="E181" s="160">
        <f>IF(ISNA(VLOOKUP("ORL661880000",Balanceanp!C:G,5,FALSE))=TRUE,0,+VLOOKUP("ORL661880000",Balanceanp!C:G,5,FALSE))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/>
      <c r="D182" s="117">
        <f>+[2]Orléans!$H182</f>
        <v>0</v>
      </c>
      <c r="E182" s="160"/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0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IF(ISNA(VLOOKUP("orl681500000",Balance!C:G,5,FALSE))=TRUE,0,VLOOKUP("orl681500000",Balance!C:G,5,FALSE))</f>
        <v>0</v>
      </c>
      <c r="D183" s="117">
        <f>+[2]Orléans!$H183</f>
        <v>0</v>
      </c>
      <c r="E183" s="160">
        <f>IF(ISNA(VLOOKUP("orl681500000",Balanceanp!C:G,5,FALSE))=TRUE,0,VLOOKUP("orl681500000",Balanceanp!C:G,5,FALSE))</f>
        <v>15821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-1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16846.690000000002</v>
      </c>
      <c r="D185" s="118">
        <f>SUM(D169:D184)</f>
        <v>17900</v>
      </c>
      <c r="E185" s="280">
        <f>SUM(E169:E184)</f>
        <v>35214.589999999997</v>
      </c>
      <c r="F185" s="136">
        <f>SUM(F169:F184)</f>
        <v>22188.073333333334</v>
      </c>
      <c r="G185" s="136">
        <f>SUM(G169:G184)</f>
        <v>22980.629733333331</v>
      </c>
      <c r="H185" s="421"/>
      <c r="I185" s="272">
        <f>+IF((E185)=0,,(F185-E185)/E185)</f>
        <v>-0.36991816933454752</v>
      </c>
      <c r="J185" s="188">
        <f>+IF((F185)=0,,(G185-F185)/F185)</f>
        <v>3.5719928814609302E-2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IF(ISNA(VLOOKUP("ORL740000000",Balance!C:G,5,FALSE))=TRUE,0,-VLOOKUP("ORL740000000",Balance!C:G,5,FALSE))</f>
        <v>0</v>
      </c>
      <c r="D187" s="117">
        <f>+[2]Orléans!$H187</f>
        <v>0</v>
      </c>
      <c r="E187" s="160">
        <f>IF(ISNA(VLOOKUP("ORL740000000",Balanceanp!C:G,5,FALSE))=TRUE,0,-VLOOKUP("ORL740000000",Balanceanp!C:G,5,FALSE))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IF(ISNA(VLOOKUP("ORL751100000",Balance!C:G,5,FALSE))=TRUE,0,-VLOOKUP("ORL751100000",Balance!C:G,5,FALSE))</f>
        <v>0</v>
      </c>
      <c r="D188" s="117">
        <f>+[2]Orléans!$H188</f>
        <v>0</v>
      </c>
      <c r="E188" s="160">
        <f>IF(ISNA(VLOOKUP("ORL751100000",Balanceanp!C:G,5,FALSE))=TRUE,0,-VLOOKUP("ORL751100000",Balanceanp!C:G,5,FALSE))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IF(ISNA(VLOOKUP("ORL758100000",Balance!C:G,5,FALSE))=TRUE,0,-VLOOKUP("ORL758100000",Balance!C:G,5,FALSE))</f>
        <v>1847</v>
      </c>
      <c r="D189" s="117">
        <f>+[2]Orléans!$H189</f>
        <v>0</v>
      </c>
      <c r="E189" s="160">
        <f>IF(ISNA(VLOOKUP("ORL758100000",Balanceanp!C:G,5,FALSE))=TRUE,0,-VLOOKUP("ORL758100000",Balanceanp!C:G,5,FALSE))</f>
        <v>0</v>
      </c>
      <c r="F189" s="368">
        <f>+C189+C189/9*(12-Clients!$I$14)</f>
        <v>2462.666666666667</v>
      </c>
      <c r="G189" s="368">
        <v>0</v>
      </c>
      <c r="H189" s="410"/>
      <c r="I189" s="149">
        <f t="shared" si="19"/>
        <v>0</v>
      </c>
      <c r="J189" s="271">
        <f t="shared" si="19"/>
        <v>-1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IF(ISNA(VLOOKUP("ORL763800000",Balance!C:G,5,FALSE))=TRUE,0,-VLOOKUP("ORL763800000",Balance!C:G,5,FALSE))</f>
        <v>0</v>
      </c>
      <c r="D190" s="117">
        <f>+[2]Orléans!$H190</f>
        <v>0</v>
      </c>
      <c r="E190" s="160">
        <f>IF(ISNA(VLOOKUP("ORL763800000",Balanceanp!C:G,5,FALSE))=TRUE,0,-VLOOKUP("ORL763800000",Balanceanp!C:G,5,FALSE))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IF(ISNA(VLOOKUP("ORL765000000",Balance!C:G,5,FALSE))=TRUE,0,-VLOOKUP("ORL765000000",Balance!C:G,5,FALSE))</f>
        <v>0</v>
      </c>
      <c r="D191" s="117">
        <f>+[2]Orléans!$H191</f>
        <v>0</v>
      </c>
      <c r="E191" s="160">
        <f>IF(ISNA(VLOOKUP("ORL765000000",Balanceanp!C:G,5,FALSE))=TRUE,0,-VLOOKUP("ORL765000000",Balanceanp!C:G,5,FALSE))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IF(ISNA(VLOOKUP("ORL771400000",Balance!C:G,5,FALSE))=TRUE,0,-VLOOKUP("ORL771400000",Balance!C:G,5,FALSE))</f>
        <v>0</v>
      </c>
      <c r="D192" s="117">
        <f>+[2]Orléans!$H192</f>
        <v>0</v>
      </c>
      <c r="E192" s="160">
        <f>IF(ISNA(VLOOKUP("ORL771400000",Balanceanp!C:G,5,FALSE))=TRUE,0,-VLOOKUP("ORL771400000",Balanceanp!C:G,5,FALSE))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IF(ISNA(VLOOKUP("ORL771800000",Balance!C:G,5,FALSE))=TRUE,0,-VLOOKUP("ORL771800000",Balance!C:G,5,FALSE))</f>
        <v>4.8099999999999996</v>
      </c>
      <c r="D193" s="117">
        <f>+[2]Orléans!$H193</f>
        <v>0</v>
      </c>
      <c r="E193" s="160">
        <f>IF(ISNA(VLOOKUP("ORL771800000",Balanceanp!C:G,5,FALSE))=TRUE,0,-VLOOKUP("ORL771800000",Balanceanp!C:G,5,FALSE))</f>
        <v>1320</v>
      </c>
      <c r="F193" s="368">
        <f>+C193+C193/9*(12-Clients!$I$14)</f>
        <v>6.4133333333333322</v>
      </c>
      <c r="G193" s="368">
        <v>0</v>
      </c>
      <c r="H193" s="410"/>
      <c r="I193" s="149">
        <f t="shared" si="19"/>
        <v>-0.9951414141414141</v>
      </c>
      <c r="J193" s="271">
        <f t="shared" si="19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IF(ISNA(VLOOKUP("ORL758000000",Balance!C:G,5,FALSE))=TRUE,0,-VLOOKUP("ORL758000000",Balance!C:G,5,FALSE))</f>
        <v>0</v>
      </c>
      <c r="D194" s="117">
        <f>+[2]Orléans!$H194</f>
        <v>0</v>
      </c>
      <c r="E194" s="160">
        <f>IF(ISNA(VLOOKUP("ORL758000000",Balanceanp!C:G,5,FALSE))=TRUE,0,-VLOOKUP("ORL758000000",Balanceanp!C:G,5,FALSE))</f>
        <v>973.61</v>
      </c>
      <c r="F194" s="368">
        <f>+C194+C194/9*(12-Clients!$I$14)</f>
        <v>0</v>
      </c>
      <c r="G194" s="368">
        <v>0</v>
      </c>
      <c r="H194" s="410"/>
      <c r="I194" s="149">
        <f t="shared" si="19"/>
        <v>-1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IF(ISNA(VLOOKUP("ORL775100000",Balance!C:G,5,FALSE))=TRUE,0,-VLOOKUP("ORL775100000",Balance!C:G,5,FALSE))</f>
        <v>0</v>
      </c>
      <c r="D195" s="117">
        <f>+[2]Orléans!$H195</f>
        <v>0</v>
      </c>
      <c r="E195" s="160">
        <f>IF(ISNA(VLOOKUP("ORL775100000",Balanceanp!C:G,5,FALSE))=TRUE,0,-VLOOKUP("ORL775100000",Balanceanp!C:G,5,FALSE))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IF(ISNA(VLOOKUP("ORL775200000",Balance!C:G,5,FALSE))=TRUE,0,-VLOOKUP("ORL775200000",Balance!C:G,5,FALSE))</f>
        <v>0</v>
      </c>
      <c r="D196" s="117">
        <f>+[2]Orléans!$H196</f>
        <v>0</v>
      </c>
      <c r="E196" s="160">
        <f>IF(ISNA(VLOOKUP("ORL775200000",Balanceanp!C:G,5,FALSE))=TRUE,0,-VLOOKUP("ORL775200000",Balanceanp!C:G,5,FALSE))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IF(ISNA(VLOOKUP("ORL791000000",Balance!C:G,5,FALSE))=TRUE,0,-VLOOKUP("ORL791000000",Balance!C:G,5,FALSE))</f>
        <v>0</v>
      </c>
      <c r="D197" s="117">
        <f>+[2]Orléans!$H197</f>
        <v>0</v>
      </c>
      <c r="E197" s="160">
        <f>IF(ISNA(VLOOKUP("ORL791000000",Balanceanp!C:G,5,FALSE))=TRUE,0,-VLOOKUP("ORL791000000",Balanceanp!C:G,5,FALSE))</f>
        <v>-3590</v>
      </c>
      <c r="F197" s="368">
        <f>+C197+C197/9*(12-Clients!$I$14)</f>
        <v>0</v>
      </c>
      <c r="G197" s="368">
        <v>0</v>
      </c>
      <c r="H197" s="410"/>
      <c r="I197" s="149">
        <f t="shared" si="19"/>
        <v>-1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IF(ISNA(VLOOKUP("orl781500000",Balance!C:G,5,FALSE))=TRUE,0,-VLOOKUP("orl781500000",Balance!C:G,5,FALSE))</f>
        <v>0</v>
      </c>
      <c r="D198" s="117">
        <f>+[2]Orléans!$H198</f>
        <v>0</v>
      </c>
      <c r="E198" s="160">
        <f>IF(ISNA(VLOOKUP("orl781500000",Balanceanp!C:G,5,FALSE))=TRUE,0,-VLOOKUP("orl781500000",Balanceanp!C:G,5,FALSE))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IF(ISNA(VLOOKUP("orl787250000",Balance!C:G,5,FALSE))=TRUE,0,-VLOOKUP("orl787250000",Balance!C:G,5,FALSE))</f>
        <v>0</v>
      </c>
      <c r="D199" s="117">
        <f>+[2]Orléans!$H199</f>
        <v>0</v>
      </c>
      <c r="E199" s="160">
        <f>IF(ISNA(VLOOKUP("orl787250000",Balanceanp!C:G,5,FALSE))=TRUE,0,-VLOOKUP("orl787250000",Balanceanp!C:G,5,FALSE))</f>
        <v>10.17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1851.81</v>
      </c>
      <c r="D201" s="118">
        <f>SUM(D186:D200)</f>
        <v>0</v>
      </c>
      <c r="E201" s="163">
        <f>SUM(E186:E200)</f>
        <v>-1286.2199999999998</v>
      </c>
      <c r="F201" s="136">
        <f>SUM(F186:F200)</f>
        <v>2469.0800000000004</v>
      </c>
      <c r="G201" s="136">
        <f>SUM(G186:G200)</f>
        <v>0</v>
      </c>
      <c r="H201" s="421"/>
      <c r="I201" s="272">
        <f>+IF((E201)=0,,(F201-E201)/E201)</f>
        <v>-2.9196404969600853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0.28021874194549728</v>
      </c>
      <c r="C203" s="175">
        <f>+C103+C116+C129+C154+C168+C185-C201</f>
        <v>233453.93</v>
      </c>
      <c r="D203" s="126">
        <f>+D103+D116+D129+D154+D168+D185-D201</f>
        <v>326690.8844340372</v>
      </c>
      <c r="E203" s="175">
        <f>+E103+E116+E129+E154+E168+E185-E201</f>
        <v>323253.85479999997</v>
      </c>
      <c r="F203" s="145">
        <f>+F103+F116+F129+F154+F168+F185-F201</f>
        <v>318038.04333333328</v>
      </c>
      <c r="G203" s="145">
        <f>+G103+G116+G129+G154+G168+G185-G201</f>
        <v>332211.46282433247</v>
      </c>
      <c r="H203" s="422">
        <f>+G203/$G$21</f>
        <v>0.30199669362695558</v>
      </c>
      <c r="I203" s="281">
        <f>+IF((E203)=0,,(F203-E203)/E203)</f>
        <v>-1.6135341896831405E-2</v>
      </c>
      <c r="J203" s="282">
        <f>+IF((F203)=0,,(G203-F203)/F203)</f>
        <v>4.456517007351897E-2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0.1143798311487542</v>
      </c>
      <c r="C205" s="177">
        <f>+C62-C203</f>
        <v>95291.345999999961</v>
      </c>
      <c r="D205" s="127">
        <f>+D62-D203</f>
        <v>134559.1155659628</v>
      </c>
      <c r="E205" s="177">
        <f>+E53-E203</f>
        <v>123481.22179999994</v>
      </c>
      <c r="F205" s="146">
        <f>+F62-F203</f>
        <v>115067.71666666679</v>
      </c>
      <c r="G205" s="146">
        <f>+G62-G203</f>
        <v>112659.03717566753</v>
      </c>
      <c r="H205" s="406">
        <f>+G205/$G$21</f>
        <v>0.1024126514028158</v>
      </c>
      <c r="I205" s="226">
        <f>+IF((E205)=0,,(F205-E205)/E205)</f>
        <v>-6.8135907716886185E-2</v>
      </c>
      <c r="J205" s="283">
        <f>+IF((F205)=0,,(G205-F205)/F205)</f>
        <v>-2.0932713021297091E-2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2.6535837574548217E-3</v>
      </c>
      <c r="C207" s="179">
        <f>+[2]Orléans!$C207</f>
        <v>2210.7356291053725</v>
      </c>
      <c r="D207" s="128">
        <f>+[2]Orléans!$H207</f>
        <v>6797.5157649782104</v>
      </c>
      <c r="E207" s="284">
        <f>+[1]Orléans!$G$207</f>
        <v>2593.6816584039821</v>
      </c>
      <c r="F207" s="150">
        <f>+Repart!K9</f>
        <v>2945.8561585044467</v>
      </c>
      <c r="G207" s="150">
        <f>+Repart!Q9</f>
        <v>4163.9122145986539</v>
      </c>
      <c r="H207" s="423">
        <f>+G207/$G$21</f>
        <v>3.785202685876691E-3</v>
      </c>
      <c r="I207" s="281">
        <f>+IF((E207)=0,,(F207-E207)/E207)</f>
        <v>0.13578169817385172</v>
      </c>
      <c r="J207" s="282">
        <f>+IF((F207)=0,,(G207-F207)/F207)</f>
        <v>0.41348117170547466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0.11172624739129938</v>
      </c>
      <c r="C209" s="177">
        <f>+C205-C207</f>
        <v>93080.610370894588</v>
      </c>
      <c r="D209" s="127">
        <f>+D205-D207</f>
        <v>127761.59980098459</v>
      </c>
      <c r="E209" s="177">
        <f>+E205-E207</f>
        <v>120887.54014159596</v>
      </c>
      <c r="F209" s="146">
        <f>+F205-F207</f>
        <v>112121.86050816234</v>
      </c>
      <c r="G209" s="146">
        <f>+G205-G207</f>
        <v>108495.12496106888</v>
      </c>
      <c r="H209" s="406">
        <f>+G209/$G$21</f>
        <v>9.8627448716939126E-2</v>
      </c>
      <c r="I209" s="226">
        <f>+IF((E209)=0,,(F209-E209)/E209)</f>
        <v>-7.2511026555477559E-2</v>
      </c>
      <c r="J209" s="283">
        <f>+IF((F209)=0,,(G209-F209)/F209)</f>
        <v>-3.2346373228701771E-2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7.844147107255426E-3</v>
      </c>
      <c r="C211" s="160">
        <f>+[2]Orléans!$C211</f>
        <v>6535.0624193548392</v>
      </c>
      <c r="D211" s="117">
        <f>+[2]Orléans!$H211</f>
        <v>9026.0372215405096</v>
      </c>
      <c r="E211" s="160">
        <f>+[1]Orléans!$G211</f>
        <v>8095.0860719999991</v>
      </c>
      <c r="F211" s="368">
        <f>+Repart!I9</f>
        <v>8997.9607634408567</v>
      </c>
      <c r="G211" s="368">
        <f>+Repart!O9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3.9013781054222756E-2</v>
      </c>
      <c r="C212" s="160">
        <f>+[2]Orléans!$C212</f>
        <v>32502.895588045074</v>
      </c>
      <c r="D212" s="117">
        <f>+[2]Orléans!$H212</f>
        <v>43055.880918387178</v>
      </c>
      <c r="E212" s="160">
        <f>+[1]Orléans!$G212</f>
        <v>39806.503483921442</v>
      </c>
      <c r="F212" s="368">
        <f>+Repart!J9</f>
        <v>44833.811266307035</v>
      </c>
      <c r="G212" s="368">
        <f>+Repart!P9</f>
        <v>44862.999301121999</v>
      </c>
      <c r="H212" s="410"/>
      <c r="I212" s="149">
        <f t="shared" si="20"/>
        <v>0.12629362898995167</v>
      </c>
      <c r="J212" s="271">
        <f t="shared" si="20"/>
        <v>6.5102729370008702E-4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+[2]Orléans!$C213</f>
        <v>-8769.84</v>
      </c>
      <c r="D213" s="117">
        <f>+[2]Orléans!$H213</f>
        <v>-10000</v>
      </c>
      <c r="E213" s="160">
        <f>+[1]Orléans!$G213</f>
        <v>-9967</v>
      </c>
      <c r="F213" s="368">
        <f>+C213+C213/9*(12-Clients!$I$14)</f>
        <v>-11693.12</v>
      </c>
      <c r="G213" s="368">
        <f>+G253*-4%</f>
        <v>-10000</v>
      </c>
      <c r="H213" s="410"/>
      <c r="I213" s="149">
        <f t="shared" si="20"/>
        <v>0.17318350556837572</v>
      </c>
      <c r="J213" s="271">
        <f t="shared" si="20"/>
        <v>-0.14479625626009146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3.6331339331453764E-2</v>
      </c>
      <c r="C215" s="180">
        <f>SUM(C210:C213)</f>
        <v>30268.118007399909</v>
      </c>
      <c r="D215" s="129">
        <f>SUM(D210:D213)</f>
        <v>42081.918139927686</v>
      </c>
      <c r="E215" s="180">
        <f>SUM(E210:E213)</f>
        <v>37934.58955592144</v>
      </c>
      <c r="F215" s="148">
        <f>SUM(F210:F213)</f>
        <v>42138.652029747893</v>
      </c>
      <c r="G215" s="148">
        <f>SUM(G210:G213)</f>
        <v>44507.683980432477</v>
      </c>
      <c r="H215" s="424">
        <f>+G215/$G$21</f>
        <v>4.0459691814401601E-2</v>
      </c>
      <c r="I215" s="281">
        <f>+IF((E215)=0,,(F215-E215)/E215)</f>
        <v>0.11082398736986505</v>
      </c>
      <c r="J215" s="282">
        <f>+IF((F215)=0,,(G215-F215)/F215)</f>
        <v>5.6219927230044285E-2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7.5394908059845611E-2</v>
      </c>
      <c r="C217" s="177">
        <f>+C209-C215</f>
        <v>62812.492363494675</v>
      </c>
      <c r="D217" s="127">
        <f>+D209-D215</f>
        <v>85679.681661056908</v>
      </c>
      <c r="E217" s="177">
        <f>+E209-E215</f>
        <v>82952.950585674524</v>
      </c>
      <c r="F217" s="146">
        <f>+F209-F215</f>
        <v>69983.208478414454</v>
      </c>
      <c r="G217" s="146">
        <f>+G209-G215</f>
        <v>63987.440980636406</v>
      </c>
      <c r="H217" s="406">
        <f>+G217/$G$21</f>
        <v>5.8167756902537525E-2</v>
      </c>
      <c r="I217" s="226">
        <f>+IF((E217)=0,,(F217-E217)/E217)</f>
        <v>-0.15635058205512303</v>
      </c>
      <c r="J217" s="283">
        <f>+IF((F217)=0,,(G217-F217)/F217)</f>
        <v>-8.5674372869420187E-2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62812.492363494588</v>
      </c>
      <c r="D218" s="117">
        <f>+[2]Orléans!$H$217</f>
        <v>85679.681661056908</v>
      </c>
      <c r="E218" s="17">
        <f>+[1]Orléans!$G$217</f>
        <v>82952.950585674524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73.433421959984528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+B220/(C21*1.196)*Clients!K16</f>
        <v>42.189825671630679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886442.61212168424</v>
      </c>
      <c r="D222" s="265">
        <f>+(D215+D207+D203)/D60</f>
        <v>916025.16668034915</v>
      </c>
      <c r="E222" s="265">
        <f>+(E215+E207+E203)/E60/Clients!$I$13*12</f>
        <v>1212607.0867144179</v>
      </c>
      <c r="F222" s="265">
        <f>+(F215+F207+F203)/F60</f>
        <v>907806.37880396401</v>
      </c>
      <c r="G222" s="265">
        <f>+(G215+G207+G203)/G60</f>
        <v>928983.07077893568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73870.21767680702</v>
      </c>
      <c r="D223" s="265">
        <f>+(D215+D207+D203)/D60/12</f>
        <v>76335.430556695763</v>
      </c>
      <c r="E223" s="265">
        <f>+(E215+E207+E203)/E60/Clients!$I$13</f>
        <v>101050.59055953483</v>
      </c>
      <c r="F223" s="265">
        <f>+(F215+F207+F203)/F60/9</f>
        <v>100867.37542266266</v>
      </c>
      <c r="G223" s="265">
        <f>+(G215+G207+G203)/G60/12</f>
        <v>77415.255898244635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826076.97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756785.63000000024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ORLEANS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821863.18999999983</v>
      </c>
      <c r="D233" s="176">
        <f t="shared" si="21"/>
        <v>1125000</v>
      </c>
      <c r="E233" s="175">
        <f t="shared" si="21"/>
        <v>1096417.69</v>
      </c>
      <c r="F233" s="206">
        <f t="shared" si="21"/>
        <v>1082764.4000000001</v>
      </c>
      <c r="G233" s="206">
        <f t="shared" si="21"/>
        <v>1085050</v>
      </c>
      <c r="H233" s="313"/>
      <c r="I233" s="281">
        <f>+I51</f>
        <v>-1.245263563742738E-2</v>
      </c>
      <c r="J233" s="192">
        <f t="shared" si="21"/>
        <v>2.1108931915381221E-3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0.4</v>
      </c>
      <c r="D235" s="191">
        <f>+D60</f>
        <v>0.41</v>
      </c>
      <c r="E235" s="197">
        <f>+E60</f>
        <v>0.4</v>
      </c>
      <c r="F235" s="224">
        <f>+F60</f>
        <v>0.4</v>
      </c>
      <c r="G235" s="224">
        <f>+G60</f>
        <v>0.41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328745.27599999995</v>
      </c>
      <c r="D236" s="170">
        <f>+D62</f>
        <v>461250</v>
      </c>
      <c r="E236" s="169">
        <f>+E62</f>
        <v>438567.076</v>
      </c>
      <c r="F236" s="223">
        <f>+F62</f>
        <v>433105.76000000007</v>
      </c>
      <c r="G236" s="223">
        <f>+G62</f>
        <v>444870.5</v>
      </c>
      <c r="H236" s="309"/>
      <c r="I236" s="226">
        <f>+IF((E236)=0,,(F236-E236)/E236)</f>
        <v>-1.2452635637427406E-2</v>
      </c>
      <c r="J236" s="283">
        <f>+IF((F236)=0,,(G236-F236)/F236)</f>
        <v>2.7163665521326548E-2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70892.92</v>
      </c>
      <c r="D238" s="294">
        <f>+D103</f>
        <v>97214.623060368656</v>
      </c>
      <c r="E238" s="293">
        <f>+E103</f>
        <v>96470.07</v>
      </c>
      <c r="F238" s="295">
        <f>+F103</f>
        <v>96435.153333333321</v>
      </c>
      <c r="G238" s="295">
        <f>+G103</f>
        <v>95430.598400000017</v>
      </c>
      <c r="H238" s="388"/>
      <c r="I238" s="415">
        <f t="shared" ref="I238:J243" si="22">+IF((E238)=0,,(F238-E238)/E238)</f>
        <v>-3.6194300125091716E-4</v>
      </c>
      <c r="J238" s="297">
        <f t="shared" si="22"/>
        <v>-1.0416895692186078E-2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24903.53</v>
      </c>
      <c r="D239" s="294">
        <f>+D116</f>
        <v>37150</v>
      </c>
      <c r="E239" s="293">
        <f>+E116</f>
        <v>42665.600000000006</v>
      </c>
      <c r="F239" s="295">
        <f>+F116</f>
        <v>42205.443333333336</v>
      </c>
      <c r="G239" s="295">
        <f>+G116</f>
        <v>39850</v>
      </c>
      <c r="H239" s="388"/>
      <c r="I239" s="415">
        <f t="shared" si="22"/>
        <v>-1.0785191504787683E-2</v>
      </c>
      <c r="J239" s="297">
        <f t="shared" si="22"/>
        <v>-5.5808993989953815E-2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11338.630000000001</v>
      </c>
      <c r="D240" s="294">
        <f>+D129</f>
        <v>14888.074000000001</v>
      </c>
      <c r="E240" s="293">
        <f>+E129</f>
        <v>10774.14</v>
      </c>
      <c r="F240" s="295">
        <f>+F129</f>
        <v>11246.493333333334</v>
      </c>
      <c r="G240" s="295">
        <f>+G129</f>
        <v>11601.33</v>
      </c>
      <c r="H240" s="388"/>
      <c r="I240" s="415">
        <f t="shared" si="22"/>
        <v>4.3841395539071744E-2</v>
      </c>
      <c r="J240" s="297">
        <f t="shared" si="22"/>
        <v>3.155087156055749E-2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101253.61</v>
      </c>
      <c r="D241" s="294">
        <f>+D154</f>
        <v>141423.70030835827</v>
      </c>
      <c r="E241" s="293">
        <f>+E154</f>
        <v>133577.82480000003</v>
      </c>
      <c r="F241" s="295">
        <f>+F154</f>
        <v>135004.81333333335</v>
      </c>
      <c r="G241" s="295">
        <f>+G154</f>
        <v>145566.82660299915</v>
      </c>
      <c r="H241" s="388"/>
      <c r="I241" s="415">
        <f t="shared" si="22"/>
        <v>1.0682825053259303E-2</v>
      </c>
      <c r="J241" s="297">
        <f t="shared" si="22"/>
        <v>7.8234345938375388E-2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10070.36</v>
      </c>
      <c r="D242" s="294">
        <f>+D168</f>
        <v>18114.487065310324</v>
      </c>
      <c r="E242" s="293">
        <f>+E168</f>
        <v>3265.41</v>
      </c>
      <c r="F242" s="295">
        <f>+F168</f>
        <v>13427.146666666666</v>
      </c>
      <c r="G242" s="295">
        <f>+G168</f>
        <v>16782.078088000002</v>
      </c>
      <c r="H242" s="388"/>
      <c r="I242" s="415">
        <f t="shared" si="22"/>
        <v>3.1119328558026913</v>
      </c>
      <c r="J242" s="297">
        <f t="shared" si="22"/>
        <v>0.24986182877275515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14994.880000000003</v>
      </c>
      <c r="D243" s="294">
        <f>+D185-D201</f>
        <v>17900</v>
      </c>
      <c r="E243" s="293">
        <f>+E185-E201</f>
        <v>36500.81</v>
      </c>
      <c r="F243" s="295">
        <f>+F185-F201</f>
        <v>19718.993333333332</v>
      </c>
      <c r="G243" s="295">
        <f>+G185-G201</f>
        <v>22980.629733333331</v>
      </c>
      <c r="H243" s="388"/>
      <c r="I243" s="415">
        <f t="shared" si="22"/>
        <v>-0.45976559606942058</v>
      </c>
      <c r="J243" s="297">
        <f t="shared" si="22"/>
        <v>0.16540582700469156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233453.93</v>
      </c>
      <c r="D245" s="300">
        <f>+D203</f>
        <v>326690.8844340372</v>
      </c>
      <c r="E245" s="299">
        <f>+E203</f>
        <v>323253.85479999997</v>
      </c>
      <c r="F245" s="301">
        <f>+F203</f>
        <v>318038.04333333328</v>
      </c>
      <c r="G245" s="301">
        <f>+G203</f>
        <v>332211.46282433247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95291.345999999961</v>
      </c>
      <c r="D247" s="178">
        <f>+D205</f>
        <v>134559.1155659628</v>
      </c>
      <c r="E247" s="177">
        <f>+E205</f>
        <v>123481.22179999994</v>
      </c>
      <c r="F247" s="228">
        <f>+F205</f>
        <v>115067.71666666679</v>
      </c>
      <c r="G247" s="228">
        <f>+G205</f>
        <v>112659.03717566753</v>
      </c>
      <c r="H247" s="314"/>
      <c r="I247" s="226">
        <f>+IF((E247)=0,,(F247-E247)/E247)</f>
        <v>-6.8135907716886185E-2</v>
      </c>
      <c r="J247" s="283">
        <f>+IF((F247)=0,,(G247-F247)/F247)</f>
        <v>-2.0932713021297091E-2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32478.853636505282</v>
      </c>
      <c r="D249" s="181">
        <f>+D207+D215</f>
        <v>48879.433904905898</v>
      </c>
      <c r="E249" s="180">
        <f>+E207+E215</f>
        <v>40528.271214325425</v>
      </c>
      <c r="F249" s="230">
        <f>+F207+F215</f>
        <v>45084.508188252337</v>
      </c>
      <c r="G249" s="230">
        <f>+G207+G215</f>
        <v>48671.596195031132</v>
      </c>
      <c r="H249" s="316"/>
      <c r="I249" s="281">
        <f>+I67</f>
        <v>1.3359720044196957</v>
      </c>
      <c r="J249" s="192">
        <f>+J67</f>
        <v>-0.59801365145639651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62812.492363494675</v>
      </c>
      <c r="D251" s="178">
        <f>+D217</f>
        <v>85679.681661056908</v>
      </c>
      <c r="E251" s="177">
        <f>+E217</f>
        <v>82952.950585674524</v>
      </c>
      <c r="F251" s="228">
        <f>+F217</f>
        <v>69983.208478414454</v>
      </c>
      <c r="G251" s="228">
        <f>+G217</f>
        <v>63987.440980636406</v>
      </c>
      <c r="H251" s="314"/>
      <c r="I251" s="226">
        <f>+IF((E251)=0,,(F251-E251)/E251)</f>
        <v>-0.15635058205512303</v>
      </c>
      <c r="J251" s="283">
        <f>+IF((F251)=0,,(G251-F251)/F251)</f>
        <v>-8.5674372869420187E-2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204759.84</v>
      </c>
      <c r="D253" s="294">
        <v>260000</v>
      </c>
      <c r="E253" s="293">
        <f>+E28</f>
        <v>247997.54</v>
      </c>
      <c r="F253" s="295"/>
      <c r="G253" s="1162">
        <f>+G28</f>
        <v>250000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886442.61212168424</v>
      </c>
      <c r="D254" s="294">
        <f>+D222</f>
        <v>916025.16668034915</v>
      </c>
      <c r="E254" s="293">
        <f>+E222</f>
        <v>1212607.0867144179</v>
      </c>
      <c r="F254" s="295">
        <f>+F222</f>
        <v>907806.37880396401</v>
      </c>
      <c r="G254" s="295">
        <f>+G222</f>
        <v>928983.07077893568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 enableFormatConditionsCalculation="0">
    <tabColor indexed="42"/>
    <pageSetUpPr fitToPage="1"/>
  </sheetPr>
  <dimension ref="A1:O257"/>
  <sheetViews>
    <sheetView topLeftCell="H1" workbookViewId="0">
      <selection activeCell="M2" sqref="M2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205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-IF(ISNA(VLOOKUP("ANG707130000",Balance!C:G,5,FALSE))=TRUE,0,VLOOKUP("ANG707130000",Balance!C:G,5,FALSE))</f>
        <v>929660.06</v>
      </c>
      <c r="D8" s="117">
        <f>+[2]Angers!$H8</f>
        <v>1270000</v>
      </c>
      <c r="E8" s="160">
        <f>-IF(ISNA(VLOOKUP("ANG707130000",Balanceanp!C:G,5,FALSE))=TRUE,0,VLOOKUP("ANG707130000",Balanceanp!C:G,5,FALSE))</f>
        <v>951862.96000000008</v>
      </c>
      <c r="F8" s="368">
        <v>1260000</v>
      </c>
      <c r="G8" s="570">
        <v>1268860</v>
      </c>
      <c r="H8" s="401"/>
      <c r="I8" s="149">
        <f>+IF((E8)=0,,(F8-E8)/E8)</f>
        <v>0.32371996069686321</v>
      </c>
      <c r="J8" s="271">
        <f>+IF((F8)=0,,(G8-F8)/F8)</f>
        <v>7.0317460317460313E-3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1268860</v>
      </c>
    </row>
    <row r="9" spans="1:15" ht="12.75">
      <c r="A9" s="5" t="s">
        <v>422</v>
      </c>
      <c r="B9" s="92"/>
      <c r="C9" s="160">
        <f>-IF(ISNA(VLOOKUP("ANG707131000",Balance!C:G,5,FALSE))=TRUE,0,VLOOKUP("ANG707131000",Balance!C:G,5,FALSE))</f>
        <v>0</v>
      </c>
      <c r="D9" s="117">
        <f>+[2]Angers!$H9</f>
        <v>0</v>
      </c>
      <c r="E9" s="160">
        <f>-IF(ISNA(VLOOKUP("ANG707131000",Balanceanp!C:G,5,FALSE))=TRUE,0,VLOOKUP("ANG707131000",Balanceanp!C:G,5,FALSE))</f>
        <v>265656.78999999998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-IF(ISNA(VLOOKUP("ANG707300000",Balance!C:G,5,FALSE))=TRUE,0,VLOOKUP("ANG707300000",Balance!C:G,5,FALSE))</f>
        <v>0</v>
      </c>
      <c r="D10" s="117">
        <f>+[2]Angers!$H10</f>
        <v>0</v>
      </c>
      <c r="E10" s="160">
        <f>-IF(ISNA(VLOOKUP("ANG707300000",Balanceanp!C:G,5,FALSE))=TRUE,0,VLOOKUP("ANG707300000",Balanceanp!C:G,5,FALSE))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-IF(ISNA(VLOOKUP("ANG707110000",Balance!C:G,5,FALSE))=TRUE,0,VLOOKUP("ANG707110000",Balance!C:G,5,FALSE))</f>
        <v>279.53999999999996</v>
      </c>
      <c r="D11" s="117">
        <f>+[2]Angers!$H11</f>
        <v>0</v>
      </c>
      <c r="E11" s="160">
        <f>-IF(ISNA(VLOOKUP("ANG707110000",Balanceanp!C:G,5,FALSE))=TRUE,0,VLOOKUP("ANG707110000",Balanceanp!C:G,5,FALSE))</f>
        <v>672.07999999999993</v>
      </c>
      <c r="F11" s="368">
        <f t="shared" si="2"/>
        <v>279.53999999999996</v>
      </c>
      <c r="G11" s="570">
        <v>0</v>
      </c>
      <c r="H11" s="401"/>
      <c r="I11" s="149">
        <f t="shared" si="1"/>
        <v>-0.58406737293179389</v>
      </c>
      <c r="J11" s="271">
        <f t="shared" si="1"/>
        <v>-1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-IF(ISNA(VLOOKUP("ANG707120000",Balance!C:G,5,FALSE))=TRUE,0,VLOOKUP("ANG707120000",Balance!C:G,5,FALSE))</f>
        <v>0</v>
      </c>
      <c r="D12" s="117">
        <f>+[2]Angers!$H12</f>
        <v>0</v>
      </c>
      <c r="E12" s="160">
        <f>-IF(ISNA(VLOOKUP("ANG707120000",Balanceanp!C:G,5,FALSE))=TRUE,0,VLOOKUP("ANG707120000",Balanceanp!C:G,5,FALSE))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-IF(ISNA(VLOOKUP("ANG707230000",Balance!C:G,5,FALSE))=TRUE,0,VLOOKUP("ANG707230000",Balance!C:G,5,FALSE))</f>
        <v>0</v>
      </c>
      <c r="D13" s="117">
        <f>+[2]Angers!$H13</f>
        <v>0</v>
      </c>
      <c r="E13" s="160">
        <f>-IF(ISNA(VLOOKUP("ANG707230000",Balanceanp!C:G,5,FALSE))=TRUE,0,VLOOKUP("ANG707230000",Balanceanp!C:G,5,FALSE))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-IF(ISNA(VLOOKUP("ANG708820000",Balance!C:G,5,FALSE))=TRUE,0,VLOOKUP("ANG708820000",Balance!C:G,5,FALSE))</f>
        <v>385.59</v>
      </c>
      <c r="D14" s="117">
        <f>+[2]Angers!$H14</f>
        <v>0</v>
      </c>
      <c r="E14" s="160">
        <f>-IF(ISNA(VLOOKUP("ANG708820000",Balanceanp!C:G,5,FALSE))=TRUE,0,VLOOKUP("ANG708820000",Balanceanp!C:G,5,FALSE))</f>
        <v>586.33000000000004</v>
      </c>
      <c r="F14" s="368">
        <f t="shared" si="2"/>
        <v>385.59</v>
      </c>
      <c r="G14" s="570">
        <v>0</v>
      </c>
      <c r="H14" s="401"/>
      <c r="I14" s="149">
        <f t="shared" si="1"/>
        <v>-0.34236692647485212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-IF(ISNA(VLOOKUP("ANG708500000",Balance!C:G,5,FALSE))=TRUE,0,VLOOKUP("ANG708500000",Balance!C:G,5,FALSE))</f>
        <v>1101</v>
      </c>
      <c r="D15" s="117">
        <f>+[2]Angers!$H15</f>
        <v>0</v>
      </c>
      <c r="E15" s="160">
        <f>-IF(ISNA(VLOOKUP("ANG708500000",Balanceanp!C:G,5,FALSE))=TRUE,0,VLOOKUP("ANG708500000",Balanceanp!C:G,5,FALSE))</f>
        <v>1416</v>
      </c>
      <c r="F15" s="368">
        <f t="shared" si="2"/>
        <v>1101</v>
      </c>
      <c r="G15" s="570">
        <v>0</v>
      </c>
      <c r="H15" s="401"/>
      <c r="I15" s="149">
        <f t="shared" si="1"/>
        <v>-0.22245762711864406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IF(ISNA(VLOOKUP("ANG706000000",Balance!C:G,5,FALSE))=TRUE,0,-VLOOKUP("ANG706000000",Balance!C:G,5,FALSE))+IF(ISNA(VLOOKUP("ANG706010000",Balance!C:G,5,FALSE))=TRUE,0,-VLOOKUP("ANG706010000",Balance!C:G,5,FALSE))</f>
        <v>0</v>
      </c>
      <c r="D16" s="117">
        <f>+[2]Angers!$H16</f>
        <v>0</v>
      </c>
      <c r="E16" s="160">
        <f>IF(ISNA(VLOOKUP("ANG706000000",Balanceanp!C:G,5,FALSE))=TRUE,0,-VLOOKUP("ANG706000000",Balanceanp!C:G,5,FALSE))+IF(ISNA(VLOOKUP("ANG706010000",Balanceanp!C:G,5,FALSE))=TRUE,0,-VLOOKUP("ANG706010000",Balanceanp!C:G,5,FALSE))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IF(ISNA(VLOOKUP("ANG707500000",Balance!C:G,5,FALSE))=TRUE,0,-VLOOKUP("ANG707500000",Balance!C:G,5,FALSE))</f>
        <v>0</v>
      </c>
      <c r="D17" s="117">
        <f>+[2]Angers!$H17</f>
        <v>0</v>
      </c>
      <c r="E17" s="160">
        <f>IF(ISNA(VLOOKUP("ANG707500000",Balanceanp!C:G,5,FALSE))=TRUE,0,-VLOOKUP("ANG707500000",Balanceanp!C:G,5,FALSE))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IF(ISNA(VLOOKUP("ANG707510000",Balance!C:G,5,FALSE))=TRUE,0,-VLOOKUP("ANG707510000",Balance!C:G,5,FALSE))</f>
        <v>0</v>
      </c>
      <c r="D18" s="117">
        <f>+[2]Angers!$H18</f>
        <v>0</v>
      </c>
      <c r="E18" s="160">
        <f>IF(ISNA(VLOOKUP("ANG707510000",Balanceanp!C:G,5,FALSE))=TRUE,0,-VLOOKUP("ANG707510000",Balanceanp!C:G,5,FALSE))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IF(ISNA(VLOOKUP("ANG708300000",Balance!C:G,5,FALSE))=TRUE,0,-VLOOKUP("ANG708300000",Balance!C:G,5,FALSE))</f>
        <v>0</v>
      </c>
      <c r="D19" s="117">
        <f>+[2]Angers!$H19</f>
        <v>0</v>
      </c>
      <c r="E19" s="160">
        <f>IF(ISNA(VLOOKUP("ANG708300000",Balanceanp!C:G,5,FALSE))=TRUE,0,-VLOOKUP("ANG708300000",Balanceanp!C:G,5,FALSE))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931426.19000000006</v>
      </c>
      <c r="D21" s="118">
        <f>SUM(D7:D20)</f>
        <v>1270000</v>
      </c>
      <c r="E21" s="163">
        <f>SUM(E7:E20)</f>
        <v>1220194.1600000001</v>
      </c>
      <c r="F21" s="136">
        <f>SUM(F7:F20)</f>
        <v>1261766.1300000001</v>
      </c>
      <c r="G21" s="136">
        <f>SUM(G7:G20)</f>
        <v>1268860</v>
      </c>
      <c r="H21" s="312"/>
      <c r="I21" s="272">
        <f>+IF((E21)=0,,(F21-E21)/E21)</f>
        <v>3.4069963095053633E-2</v>
      </c>
      <c r="J21" s="188">
        <f>+IF((F21)=0,,(G21-F21)/F21)</f>
        <v>5.6221750063935212E-3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IF(ISNA(VLOOKUP("ANG602650000",Balance!C:G,5,FALSE))=TRUE,0,VLOOKUP("ANG602650000",Balance!C:G,5,FALSE))</f>
        <v>0</v>
      </c>
      <c r="D23" s="115"/>
      <c r="E23" s="160">
        <f>IF(ISNA(VLOOKUP("ANG602650000",Balanceanp!C:G,5,FALSE))=TRUE,0,VLOOKUP("ANG602650000",Balanceanp!C:G,5,FALSE))</f>
        <v>174.8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IF(ISNA(VLOOKUP("ang607100000",Balance!C:G,5,FALSE))=TRUE,0,VLOOKUP("ang607100000",Balance!C:G,5,FALSE))</f>
        <v>371459.29000000004</v>
      </c>
      <c r="D24" s="115"/>
      <c r="E24" s="160">
        <f>IF(ISNA(VLOOKUP("ang607100000",Balanceanp!C:G,5,FALSE))=TRUE,0,VLOOKUP("ang607100000",Balanceanp!C:G,5,FALSE))</f>
        <v>446569.55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IF(ISNA(VLOOKUP("ang607110000",Balance!C:G,5,FALSE))=TRUE,0,VLOOKUP("ang607110000",Balance!C:G,5,FALSE))+IF(ISNA(VLOOKUP("ang607120000",Balance!C:G,5,FALSE))=TRUE,0,VLOOKUP("ang607120000",Balance!C:G,5,FALSE))</f>
        <v>81733.710000000006</v>
      </c>
      <c r="D25" s="115"/>
      <c r="E25" s="160">
        <f>IF(ISNA(VLOOKUP("ang607110000",Balanceanp!C:G,5,FALSE))=TRUE,0,VLOOKUP("ang607110000",Balanceanp!C:G,5,FALSE))+IF(ISNA(VLOOKUP("ang607120000",Balanceanp!C:G,5,FALSE))=TRUE,0,VLOOKUP("ang607120000",Balanceanp!C:G,5,FALSE))</f>
        <v>120345.29999999999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IF(ISNA(VLOOKUP("ang607130000",Balance!C:G,5,FALSE))=TRUE,0,VLOOKUP("ang607130000",Balance!C:G,5,FALSE))</f>
        <v>56409.41</v>
      </c>
      <c r="D26" s="115"/>
      <c r="E26" s="160">
        <f>IF(ISNA(VLOOKUP("ang607130000",Balanceanp!C:G,5,FALSE))=TRUE,0,VLOOKUP("ang607130000",Balanceanp!C:G,5,FALSE))</f>
        <v>77627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IF(ISNA(VLOOKUP("ang607140000",Balance!C:G,5,FALSE))=TRUE,0,VLOOKUP("ang607140000",Balance!C:G,5,FALSE))</f>
        <v>-117073.42</v>
      </c>
      <c r="D27" s="115"/>
      <c r="E27" s="160">
        <f>IF(ISNA(VLOOKUP("ang607140000",Balanceanp!C:G,5,FALSE))=TRUE,0,VLOOKUP("ang607140000",Balanceanp!C:G,5,FALSE))</f>
        <v>-141139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IF(ISNA(VLOOKUP("ANG607200000",Balance!C:G,5,FALSE))=TRUE,0,VLOOKUP("ANG607200000",Balance!C:G,5,FALSE))</f>
        <v>226621.93</v>
      </c>
      <c r="D28" s="115"/>
      <c r="E28" s="160">
        <f>IF(ISNA(VLOOKUP("ANG607200000",Balanceanp!C:G,5,FALSE))=TRUE,0,VLOOKUP("ANG607200000",Balanceanp!C:G,5,FALSE))</f>
        <v>250635.77</v>
      </c>
      <c r="F28" s="134"/>
      <c r="G28" s="1161">
        <v>250000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250000</v>
      </c>
    </row>
    <row r="29" spans="1:13" ht="12.75">
      <c r="A29" s="5" t="s">
        <v>293</v>
      </c>
      <c r="B29" s="92"/>
      <c r="C29" s="160">
        <f>IF(ISNA(VLOOKUP("ANG607150000",Balance!C:G,5,FALSE))=TRUE,0,VLOOKUP("ANG607150000",Balance!C:G,5,FALSE))</f>
        <v>0</v>
      </c>
      <c r="D29" s="115"/>
      <c r="E29" s="357">
        <f>IF(ISNA(VLOOKUP("ANG607150000",Balanceanp!C:G,5,FALSE))=TRUE,0,VLOOKUP("ANG607150000",Balanceanp!C:G,5,FALSE))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619150.92000000004</v>
      </c>
      <c r="D30" s="119"/>
      <c r="E30" s="164">
        <f>SUM(E23:E29)</f>
        <v>754213.41999999993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340502.01</v>
      </c>
      <c r="D32" s="120"/>
      <c r="E32" s="166">
        <f>+E21-E30-E38</f>
        <v>448109.99750000023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0.36557057731004966</v>
      </c>
      <c r="D33" s="120"/>
      <c r="E33" s="196">
        <f>+E32/E21</f>
        <v>0.36724483052762702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IF(ISNA(VLOOKUP("ANG607400000",Balance!C:G,5,FALSE))=TRUE,0,VLOOKUP("ANG607400000",Balance!C:G,5,FALSE))</f>
        <v>7177.95</v>
      </c>
      <c r="D35" s="115"/>
      <c r="E35" s="160">
        <f>IF(ISNA(VLOOKUP("ANG607400000",Balanceanp!C:G,5,FALSE))=TRUE,0,VLOOKUP("ANG607400000",Balanceanp!C:G,5,FALSE))</f>
        <v>8429.15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IF(ISNA(VLOOKUP("ANG608000000",Balance!C:G,5,FALSE))=TRUE,0,VLOOKUP("ANG608000000",Balance!C:G,5,FALSE))</f>
        <v>2953.49</v>
      </c>
      <c r="D36" s="115"/>
      <c r="E36" s="160">
        <f>IF(ISNA(VLOOKUP("ANG608000000",Balanceanp!C:G,5,FALSE))=TRUE,0,VLOOKUP("ANG608000000",Balanceanp!C:G,5,FALSE))</f>
        <v>4175.1499999999996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IF(ISNA(VLOOKUP("ANG608100000",Balance!C:G,5,FALSE))=TRUE,0,VLOOKUP("ANG608100000",Balance!C:G,5,FALSE))</f>
        <v>0</v>
      </c>
      <c r="D37" s="115"/>
      <c r="E37" s="160">
        <f>IF(ISNA(VLOOKUP("ANG608100000",Balanceanp!C:G,5,FALSE))=TRUE,0,VLOOKUP("ANG608100000",Balanceanp!C:G,5,FALSE))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-28226.740000000005</v>
      </c>
      <c r="D38" s="115"/>
      <c r="E38" s="160">
        <f>+E56-E57</f>
        <v>17870.742500000008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IF(ISNA(VLOOKUP("ANG681730000",Balance!C:G,5,FALSE))=TRUE,0,VLOOKUP("ANG681730000",Balance!C:G,5,FALSE))</f>
        <v>0</v>
      </c>
      <c r="D39" s="115"/>
      <c r="E39" s="160">
        <f>IF(ISNA(VLOOKUP("ANG681730000",Balanceanp!C:G,5,FALSE))=TRUE,0,VLOOKUP("ANG681730000",Balanceanp!C:G,5,FALSE))</f>
        <v>7452.48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IF(ISNA(VLOOKUP("ANG781730000",Balance!C:G,5,FALSE))=TRUE,0,VLOOKUP("ANG781730000",Balance!C:G,5,FALSE))</f>
        <v>-3771.34</v>
      </c>
      <c r="D40" s="115"/>
      <c r="E40" s="160">
        <f>IF(ISNA(VLOOKUP("ANG781730000",Balanceanp!C:G,5,FALSE))=TRUE,0,VLOOKUP("ANG781730000",Balanceanp!C:G,5,FALSE))</f>
        <v>-9253.44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IF(ISNA(VLOOKUP("ang609110000",Balance!C:G,5,FALSE))=TRUE,0,VLOOKUP("ang609110000",Balance!C:G,5,FALSE))</f>
        <v>-533.48</v>
      </c>
      <c r="D41" s="115"/>
      <c r="E41" s="160">
        <f>IF(ISNA(VLOOKUP("ang609110000",Balanceanp!C:G,5,FALSE))=TRUE,0,VLOOKUP("ang609110000",Balanceanp!C:G,5,FALSE))</f>
        <v>-12340.32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IF(ISNA(VLOOKUP("ang609120000",Balance!C:G,5,FALSE))=TRUE,0,VLOOKUP("ang609120000",Balance!C:G,5,FALSE))</f>
        <v>-15894.27</v>
      </c>
      <c r="D42" s="115"/>
      <c r="E42" s="160">
        <f>IF(ISNA(VLOOKUP("ang609120000",Balanceanp!C:G,5,FALSE))=TRUE,0,VLOOKUP("ang609120000",Balanceanp!C:G,5,FALSE))</f>
        <v>-16798.79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580856.53</v>
      </c>
      <c r="D44" s="121"/>
      <c r="E44" s="163">
        <f>+E30+SUM(E34:E43)</f>
        <v>753748.39249999996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350569.66000000003</v>
      </c>
      <c r="D46" s="120"/>
      <c r="E46" s="166">
        <f>+E21-E44</f>
        <v>466445.76750000019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0.37637943163268794</v>
      </c>
      <c r="D47" s="120"/>
      <c r="E47" s="196">
        <f>+E46/E21</f>
        <v>0.38227175870109076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8.8573846092946992E-3</v>
      </c>
      <c r="C49" s="160">
        <f>IF(ISNA(VLOOKUP("ANG709700000",Balance!C:G,5,FALSE))=TRUE,0,VLOOKUP("ANG709700000",Balance!C:G,5,FALSE))</f>
        <v>8250</v>
      </c>
      <c r="D49" s="117">
        <f>+[2]Angers!$H49</f>
        <v>11000</v>
      </c>
      <c r="E49" s="160">
        <f>IF(ISNA(VLOOKUP("ANG709700000",Balanceanp!C:G,5,FALSE))=TRUE,0,VLOOKUP("ANG709700000",Balanceanp!C:G,5,FALSE))</f>
        <v>11885.859999999999</v>
      </c>
      <c r="F49" s="135">
        <f>+C49+C49/9*(12-Clients!$I$14)</f>
        <v>11000</v>
      </c>
      <c r="G49" s="425">
        <v>11000</v>
      </c>
      <c r="H49" s="419"/>
      <c r="I49" s="149">
        <f>+IF((E49)=0,,(F49-E49)/E49)</f>
        <v>-7.4530576668410939E-2</v>
      </c>
      <c r="J49" s="271">
        <f>+IF((F49)=0,,(G49-F49)/F49)</f>
        <v>0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11000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923176.19000000006</v>
      </c>
      <c r="D51" s="118">
        <f>+D21-D49</f>
        <v>1259000</v>
      </c>
      <c r="E51" s="163">
        <f>+E21-E49</f>
        <v>1208308.3</v>
      </c>
      <c r="F51" s="136">
        <f>+F21-F49</f>
        <v>1250766.1300000001</v>
      </c>
      <c r="G51" s="136">
        <f>+G21-G49</f>
        <v>1257860</v>
      </c>
      <c r="H51" s="312"/>
      <c r="I51" s="272">
        <f>+IF((E51)=0,,(F51-E51)/E51)</f>
        <v>3.5138242450209169E-2</v>
      </c>
      <c r="J51" s="188">
        <f>+IF((F51)=0,,(G51-F51)/F51)</f>
        <v>5.6716198415125603E-3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342319.66000000003</v>
      </c>
      <c r="D53" s="122"/>
      <c r="E53" s="169">
        <f>+E51-E44</f>
        <v>454559.90750000009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0.37080642211970394</v>
      </c>
      <c r="D54" s="123"/>
      <c r="E54" s="197">
        <f>+E53/E51</f>
        <v>0.37619530338407842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+[2]Angers!$C56</f>
        <v>120213.26</v>
      </c>
      <c r="D56" s="115"/>
      <c r="E56" s="160">
        <f>+[1]Angers!$G56</f>
        <v>135102.7991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+[2]Angers!$C57</f>
        <v>148440</v>
      </c>
      <c r="D57" s="115"/>
      <c r="E57" s="160">
        <f>+[1]Angers!$G57</f>
        <v>117232.0566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+[2]Angers!$C60</f>
        <v>0.375</v>
      </c>
      <c r="D60" s="123">
        <f>+[2]Angers!$H60</f>
        <v>0.375</v>
      </c>
      <c r="E60" s="197">
        <v>0.36</v>
      </c>
      <c r="F60" s="141">
        <f>+C60</f>
        <v>0.375</v>
      </c>
      <c r="G60" s="141">
        <v>0.375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+[2]Angers!$C61</f>
        <v>0.36599999999999999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346191.07125000004</v>
      </c>
      <c r="D62" s="122">
        <f>D51*D60</f>
        <v>472125</v>
      </c>
      <c r="E62" s="169">
        <f>+E51*E60</f>
        <v>434990.98800000001</v>
      </c>
      <c r="F62" s="140">
        <f>+F51*F60</f>
        <v>469037.29875000007</v>
      </c>
      <c r="G62" s="140">
        <f>+G51*G60</f>
        <v>471697.5</v>
      </c>
      <c r="H62" s="405"/>
      <c r="I62" s="224">
        <f>+IF((E62)=0,,(F62-E62)/E62)</f>
        <v>7.8269002552301292E-2</v>
      </c>
      <c r="J62" s="123">
        <f>+IF((F62)=0,,(G62-F62)/F62)</f>
        <v>5.6716198415124978E-3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IF(ISNA(VLOOKUP("ANG613520000",Balance!C:G,5,FALSE))=TRUE,0,VLOOKUP("ANG613520000",Balance!C:G,5,FALSE))</f>
        <v>5080.2299999999996</v>
      </c>
      <c r="D64" s="117">
        <f>+[2]Angers!$H64</f>
        <v>7150</v>
      </c>
      <c r="E64" s="160">
        <f>IF(ISNA(VLOOKUP("ANG613520000",Balanceanp!C:G,5,FALSE))=TRUE,0,VLOOKUP("ANG613520000",Balanceanp!C:G,5,FALSE))</f>
        <v>7118.94</v>
      </c>
      <c r="F64" s="368">
        <f>+C64+C64/9*(12-Clients!$I$14)</f>
        <v>6773.6399999999994</v>
      </c>
      <c r="G64" s="570">
        <v>7150</v>
      </c>
      <c r="H64" s="401"/>
      <c r="I64" s="149">
        <f t="shared" ref="I64:J68" si="4">+IF((E64)=0,,(F64-E64)/E64)</f>
        <v>-4.8504412173722519E-2</v>
      </c>
      <c r="J64" s="271">
        <f t="shared" si="4"/>
        <v>5.5562445007411171E-2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7150</v>
      </c>
    </row>
    <row r="65" spans="1:13" ht="12.75">
      <c r="A65" s="5" t="s">
        <v>314</v>
      </c>
      <c r="B65" s="92"/>
      <c r="C65" s="160"/>
      <c r="D65" s="117">
        <f>+[2]Angers!$H65</f>
        <v>0</v>
      </c>
      <c r="E65" s="160"/>
      <c r="F65" s="368">
        <f>+C65+C65/9*(12-Clients!$I$14)</f>
        <v>0</v>
      </c>
      <c r="G65" s="570">
        <v>3150</v>
      </c>
      <c r="H65" s="409"/>
      <c r="I65" s="149">
        <f t="shared" si="4"/>
        <v>0</v>
      </c>
      <c r="J65" s="271">
        <f t="shared" si="4"/>
        <v>0</v>
      </c>
      <c r="K65" s="2" t="s">
        <v>716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3150</v>
      </c>
    </row>
    <row r="66" spans="1:13" ht="12.75">
      <c r="A66" s="5" t="s">
        <v>110</v>
      </c>
      <c r="B66" s="92"/>
      <c r="C66" s="160">
        <f>IF(ISNA(VLOOKUP("ANG616120000",Balance!C:G,5,FALSE))=TRUE,0,VLOOKUP("ANG616120000",Balance!C:G,5,FALSE))</f>
        <v>1480.68</v>
      </c>
      <c r="D66" s="117">
        <f>+[2]Angers!$H66</f>
        <v>1849.3545000000001</v>
      </c>
      <c r="E66" s="160">
        <f>IF(ISNA(VLOOKUP("ANG616120000",Balanceanp!C:G,5,FALSE))=TRUE,0,VLOOKUP("ANG616120000",Balanceanp!C:G,5,FALSE))</f>
        <v>1730.9</v>
      </c>
      <c r="F66" s="368">
        <f>+C66+C66/9*(12-Clients!$I$14)</f>
        <v>1974.2400000000002</v>
      </c>
      <c r="G66" s="570">
        <v>2700</v>
      </c>
      <c r="H66" s="401"/>
      <c r="I66" s="149">
        <f t="shared" si="4"/>
        <v>0.14058582240452952</v>
      </c>
      <c r="J66" s="271">
        <f t="shared" si="4"/>
        <v>0.36761487964989042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2700</v>
      </c>
    </row>
    <row r="67" spans="1:13" ht="12.75">
      <c r="A67" s="5" t="s">
        <v>107</v>
      </c>
      <c r="B67" s="92"/>
      <c r="C67" s="160">
        <f>IF(ISNA(VLOOKUP("ANG615520000",Balance!C:G,5,FALSE))=TRUE,0,VLOOKUP("ANG615520000",Balance!C:G,5,FALSE))</f>
        <v>1233.68</v>
      </c>
      <c r="D67" s="117">
        <f>+[2]Angers!$H67</f>
        <v>2082.66</v>
      </c>
      <c r="E67" s="160">
        <f>IF(ISNA(VLOOKUP("ANG615520000",Balanceanp!C:G,5,FALSE))=TRUE,0,VLOOKUP("ANG615520000",Balanceanp!C:G,5,FALSE))</f>
        <v>2054.06</v>
      </c>
      <c r="F67" s="368">
        <f>+C67+C67/9*(12-Clients!$I$14)</f>
        <v>1644.9066666666668</v>
      </c>
      <c r="G67" s="570">
        <v>1700</v>
      </c>
      <c r="H67" s="401"/>
      <c r="I67" s="149">
        <f t="shared" si="4"/>
        <v>-0.19919249356558874</v>
      </c>
      <c r="J67" s="271">
        <f t="shared" si="4"/>
        <v>3.3493288372997809E-2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1700</v>
      </c>
    </row>
    <row r="68" spans="1:13" ht="12.75">
      <c r="A68" s="5" t="s">
        <v>125</v>
      </c>
      <c r="B68" s="92"/>
      <c r="C68" s="160">
        <f>IF(ISNA(VLOOKUP("ANG606130000",Balance!C:G,5,FALSE))=TRUE,0,VLOOKUP("ANG606130000",Balance!C:G,5,FALSE))</f>
        <v>1947.64</v>
      </c>
      <c r="D68" s="117">
        <f>+[2]Angers!$H68</f>
        <v>4547.9856000000009</v>
      </c>
      <c r="E68" s="160">
        <f>IF(ISNA(VLOOKUP("ANG606130000",Balanceanp!C:G,5,FALSE))=TRUE,0,VLOOKUP("ANG606130000",Balanceanp!C:G,5,FALSE))</f>
        <v>4671.47</v>
      </c>
      <c r="F68" s="368">
        <f>+C68+C68/9*(12-Clients!$I$14)</f>
        <v>2596.8533333333335</v>
      </c>
      <c r="G68" s="368">
        <f>+F68*1.03</f>
        <v>2674.7589333333335</v>
      </c>
      <c r="H68" s="410"/>
      <c r="I68" s="149">
        <f t="shared" si="4"/>
        <v>-0.4441036047896415</v>
      </c>
      <c r="J68" s="271">
        <f t="shared" si="4"/>
        <v>3.0000000000000016E-2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2674.7589333333335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9742.23</v>
      </c>
      <c r="D70" s="125">
        <f>SUM(D64:D69)</f>
        <v>15630.000100000001</v>
      </c>
      <c r="E70" s="276">
        <f>SUM(E64:E69)</f>
        <v>15575.369999999999</v>
      </c>
      <c r="F70" s="370">
        <f>SUM(F64:F69)</f>
        <v>12989.64</v>
      </c>
      <c r="G70" s="359">
        <f>SUM(G64:G69)</f>
        <v>17374.758933333334</v>
      </c>
      <c r="H70" s="412"/>
      <c r="I70" s="384">
        <f>+IF((E70)=0,,(F70-E70)/E70)</f>
        <v>-0.16601403369550768</v>
      </c>
      <c r="J70" s="279">
        <f>+IF((F70)=0,,(G70-F70)/F70)</f>
        <v>0.33758587099668158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IF(ISNA(VLOOKUP("ang602220000",Balance!C:G,5,FALSE))=TRUE,0,VLOOKUP("ang602220000",Balance!C:G,5,FALSE))</f>
        <v>0</v>
      </c>
      <c r="D72" s="117">
        <f>+[2]Angers!$H72</f>
        <v>7.1482816890854171</v>
      </c>
      <c r="E72" s="160">
        <f>IF(ISNA(VLOOKUP("ang602220000",Balanceanp!C:G,5,FALSE))=TRUE,0,VLOOKUP("ang602220000",Balanceanp!C:G,5,FALSE))</f>
        <v>4.76</v>
      </c>
      <c r="F72" s="368">
        <f>+C72+C72/9*(12-Clients!$I$14)</f>
        <v>0</v>
      </c>
      <c r="G72" s="396">
        <f>+F72*1.03</f>
        <v>0</v>
      </c>
      <c r="H72" s="409"/>
      <c r="I72" s="149">
        <f t="shared" ref="I72:J87" si="5">+IF((E72)=0,,(F72-E72)/E72)</f>
        <v>-1</v>
      </c>
      <c r="J72" s="271">
        <f t="shared" si="5"/>
        <v>0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0</v>
      </c>
    </row>
    <row r="73" spans="1:13" ht="12.75">
      <c r="A73" s="5" t="s">
        <v>123</v>
      </c>
      <c r="B73" s="92"/>
      <c r="C73" s="160">
        <f>IF(ISNA(VLOOKUP("ANG606100000",Balance!C:G,5,FALSE))=TRUE,0,VLOOKUP("ANG606100000",Balance!C:G,5,FALSE))</f>
        <v>2452.59</v>
      </c>
      <c r="D73" s="117">
        <f>+[2]Angers!$H73</f>
        <v>2672.4800649435729</v>
      </c>
      <c r="E73" s="160">
        <f>IF(ISNA(VLOOKUP("ANG606100000",Balanceanp!C:G,5,FALSE))=TRUE,0,VLOOKUP("ANG606100000",Balanceanp!C:G,5,FALSE))</f>
        <v>3070.98</v>
      </c>
      <c r="F73" s="368">
        <f>+C73+C73/9*(12-Clients!$I$14)</f>
        <v>3270.12</v>
      </c>
      <c r="G73" s="396">
        <f t="shared" ref="G73:G101" si="6">+F73*1.03</f>
        <v>3368.2235999999998</v>
      </c>
      <c r="H73" s="409"/>
      <c r="I73" s="149">
        <f t="shared" si="5"/>
        <v>6.4845749565285313E-2</v>
      </c>
      <c r="J73" s="271">
        <f t="shared" si="5"/>
        <v>2.9999999999999975E-2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3368.2235999999998</v>
      </c>
    </row>
    <row r="74" spans="1:13" ht="12.75">
      <c r="A74" s="5" t="s">
        <v>124</v>
      </c>
      <c r="B74" s="92"/>
      <c r="C74" s="160">
        <f>IF(ISNA(VLOOKUP("ANG606110000",Balance!C:G,5,FALSE))=TRUE,0,VLOOKUP("ANG606110000",Balance!C:G,5,FALSE))</f>
        <v>2449.04</v>
      </c>
      <c r="D74" s="117">
        <f>+[2]Angers!$H74</f>
        <v>4505.7309584087507</v>
      </c>
      <c r="E74" s="160">
        <f>IF(ISNA(VLOOKUP("ANG606110000",Balanceanp!C:G,5,FALSE))=TRUE,0,VLOOKUP("ANG606110000",Balanceanp!C:G,5,FALSE))</f>
        <v>4248.3900000000003</v>
      </c>
      <c r="F74" s="368">
        <f>+C74+C74/9*(12-Clients!$I$14)</f>
        <v>3265.3866666666663</v>
      </c>
      <c r="G74" s="396">
        <f t="shared" si="6"/>
        <v>3363.3482666666664</v>
      </c>
      <c r="H74" s="409"/>
      <c r="I74" s="149">
        <f t="shared" si="5"/>
        <v>-0.23138255511695818</v>
      </c>
      <c r="J74" s="271">
        <f t="shared" si="5"/>
        <v>3.000000000000003E-2</v>
      </c>
      <c r="K74" s="2" t="s">
        <v>725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3363.3482666666664</v>
      </c>
    </row>
    <row r="75" spans="1:13" ht="12.75">
      <c r="A75" s="5" t="s">
        <v>360</v>
      </c>
      <c r="B75" s="92"/>
      <c r="C75" s="160">
        <f>IF(ISNA(VLOOKUP("ang606140000",Balance!C:G,5,FALSE))=TRUE,0,VLOOKUP("ang606140000",Balance!C:G,5,FALSE))</f>
        <v>0</v>
      </c>
      <c r="D75" s="117">
        <f>+[2]Angers!$H75</f>
        <v>0</v>
      </c>
      <c r="E75" s="160">
        <f>IF(ISNA(VLOOKUP("ang606140000",Balanceanp!C:G,5,FALSE))=TRUE,0,VLOOKUP("ang606140000",Balanceanp!C:G,5,FALSE))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IF(ISNA(VLOOKUP("ANG606310000",Balance!C:G,5,FALSE))=TRUE,0,VLOOKUP("ANG606310000",Balance!C:G,5,FALSE))</f>
        <v>70.11</v>
      </c>
      <c r="D76" s="117">
        <f>+[2]Angers!$H76</f>
        <v>27.032218216363891</v>
      </c>
      <c r="E76" s="160">
        <f>IF(ISNA(VLOOKUP("ANG606310000",Balanceanp!C:G,5,FALSE))=TRUE,0,VLOOKUP("ANG606310000",Balanceanp!C:G,5,FALSE))</f>
        <v>2.75</v>
      </c>
      <c r="F76" s="368">
        <f>+C76+C76/9*(12-Clients!$I$14)</f>
        <v>93.48</v>
      </c>
      <c r="G76" s="396">
        <f t="shared" si="6"/>
        <v>96.284400000000005</v>
      </c>
      <c r="H76" s="409"/>
      <c r="I76" s="149">
        <f t="shared" si="5"/>
        <v>32.992727272727272</v>
      </c>
      <c r="J76" s="271">
        <f t="shared" si="5"/>
        <v>3.0000000000000009E-2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96.284400000000005</v>
      </c>
    </row>
    <row r="77" spans="1:13" ht="12.75">
      <c r="A77" s="5" t="s">
        <v>127</v>
      </c>
      <c r="B77" s="92"/>
      <c r="C77" s="160">
        <f>IF(ISNA(VLOOKUP("ANG606410000",Balance!C:G,5,FALSE))=TRUE,0,VLOOKUP("ANG606410000",Balance!C:G,5,FALSE))</f>
        <v>786.01</v>
      </c>
      <c r="D77" s="117">
        <f>+[2]Angers!$H77</f>
        <v>924.08328854443596</v>
      </c>
      <c r="E77" s="160">
        <f>IF(ISNA(VLOOKUP("ANG606410000",Balanceanp!C:G,5,FALSE))=TRUE,0,VLOOKUP("ANG606410000",Balanceanp!C:G,5,FALSE))</f>
        <v>980.99</v>
      </c>
      <c r="F77" s="368">
        <f>+C77+C77/9*(12-Clients!$I$14)</f>
        <v>1048.0133333333333</v>
      </c>
      <c r="G77" s="396">
        <f t="shared" si="6"/>
        <v>1079.4537333333333</v>
      </c>
      <c r="H77" s="409"/>
      <c r="I77" s="149">
        <f t="shared" si="5"/>
        <v>6.8322137160759341E-2</v>
      </c>
      <c r="J77" s="271">
        <f t="shared" si="5"/>
        <v>2.9999999999999957E-2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1079.4537333333333</v>
      </c>
    </row>
    <row r="78" spans="1:13" ht="12.75">
      <c r="A78" s="5" t="s">
        <v>101</v>
      </c>
      <c r="B78" s="92"/>
      <c r="C78" s="160">
        <f>IF(ISNA(VLOOKUP("ANG611000000",Balance!C:G,5,FALSE))=TRUE,0,VLOOKUP("ANG611000000",Balance!C:G,5,FALSE))</f>
        <v>0</v>
      </c>
      <c r="D78" s="117">
        <f>+[2]Angers!$H78</f>
        <v>2340.7015634275867</v>
      </c>
      <c r="E78" s="160">
        <f>IF(ISNA(VLOOKUP("ANG611000000",Balanceanp!C:G,5,FALSE))=TRUE,0,VLOOKUP("ANG611000000",Balanceanp!C:G,5,FALSE))</f>
        <v>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0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IF(ISNA(VLOOKUP("ANG613200000",Balance!C:G,5,FALSE))=TRUE,0,VLOOKUP("ANG613200000",Balance!C:G,5,FALSE))</f>
        <v>17592.84</v>
      </c>
      <c r="D79" s="117">
        <f>+[2]Angers!$H79</f>
        <v>23457.16</v>
      </c>
      <c r="E79" s="160">
        <f>IF(ISNA(VLOOKUP("ANG613200000",Balanceanp!C:G,5,FALSE))=TRUE,0,VLOOKUP("ANG613200000",Balanceanp!C:G,5,FALSE))</f>
        <v>27059.31</v>
      </c>
      <c r="F79" s="425">
        <f>5864.29*4</f>
        <v>23457.16</v>
      </c>
      <c r="G79" s="425">
        <f>+F79/1498*1517</f>
        <v>23754.680720961282</v>
      </c>
      <c r="H79" s="413"/>
      <c r="I79" s="149">
        <f t="shared" si="5"/>
        <v>-0.13312054150678643</v>
      </c>
      <c r="J79" s="271">
        <f t="shared" si="5"/>
        <v>1.2683578104138855E-2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23754.680720961282</v>
      </c>
    </row>
    <row r="80" spans="1:13" ht="12.75">
      <c r="A80" s="5" t="s">
        <v>325</v>
      </c>
      <c r="B80" s="92"/>
      <c r="C80" s="160">
        <f>IF(ISNA(VLOOKUP("ang614000000",Balance!C:G,5,FALSE))=TRUE,0,VLOOKUP("ang614000000",Balance!C:G,5,FALSE))</f>
        <v>240.1</v>
      </c>
      <c r="D80" s="117">
        <f>+[2]Angers!$H80</f>
        <v>31.553818250000003</v>
      </c>
      <c r="E80" s="160">
        <f>IF(ISNA(VLOOKUP("ang614000000",Balanceanp!C:G,5,FALSE))=TRUE,0,VLOOKUP("ang614000000",Balanceanp!C:G,5,FALSE))</f>
        <v>0</v>
      </c>
      <c r="F80" s="368">
        <f>+C80+C80/9*(12-Clients!$I$14)</f>
        <v>320.13333333333333</v>
      </c>
      <c r="G80" s="396">
        <f t="shared" si="6"/>
        <v>329.73733333333331</v>
      </c>
      <c r="H80" s="409"/>
      <c r="I80" s="149">
        <f t="shared" si="5"/>
        <v>0</v>
      </c>
      <c r="J80" s="271">
        <f t="shared" si="5"/>
        <v>2.9999999999999954E-2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329.73733333333331</v>
      </c>
    </row>
    <row r="81" spans="1:13" ht="12.75">
      <c r="A81" s="5" t="s">
        <v>103</v>
      </c>
      <c r="B81" s="92"/>
      <c r="C81" s="160">
        <f>IF(ISNA(VLOOKUP("ANG613510000",Balance!C:G,5,FALSE))=TRUE,0,VLOOKUP("ANG613510000",Balance!C:G,5,FALSE))</f>
        <v>0</v>
      </c>
      <c r="D81" s="117">
        <f>+[2]Angers!$H81</f>
        <v>0</v>
      </c>
      <c r="E81" s="160">
        <f>IF(ISNA(VLOOKUP("ANG613510000",Balanceanp!C:G,5,FALSE))=TRUE,0,VLOOKUP("ANG613510000",Balanceanp!C:G,5,FALSE))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IF(ISNA(VLOOKUP("ANG613530000",Balance!C:G,5,FALSE))=TRUE,0,VLOOKUP("ANG613530000",Balance!C:G,5,FALSE))</f>
        <v>135</v>
      </c>
      <c r="D82" s="117">
        <f>+[2]Angers!$H82</f>
        <v>791.82326281333337</v>
      </c>
      <c r="E82" s="160">
        <f>IF(ISNA(VLOOKUP("ANG613530000",Balanceanp!C:G,5,FALSE))=TRUE,0,VLOOKUP("ANG613530000",Balanceanp!C:G,5,FALSE))</f>
        <v>581.66999999999996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-0.69054618598174222</v>
      </c>
      <c r="J82" s="271">
        <f t="shared" si="5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IF(ISNA(VLOOKUP("ang613540000",Balance!C:G,5,FALSE))=TRUE,0,VLOOKUP("ang613540000",Balance!C:G,5,FALSE))</f>
        <v>1005.96</v>
      </c>
      <c r="D83" s="117">
        <f>+[2]Angers!$H83</f>
        <v>319.57535333333334</v>
      </c>
      <c r="E83" s="160">
        <f>IF(ISNA(VLOOKUP("ang613540000",Balanceanp!C:G,5,FALSE))=TRUE,0,VLOOKUP("ang613540000",Balanceanp!C:G,5,FALSE))</f>
        <v>362.58000000000004</v>
      </c>
      <c r="F83" s="368">
        <f>+C83+C83/9*(12-Clients!$I$14)</f>
        <v>1341.2800000000002</v>
      </c>
      <c r="G83" s="396">
        <f t="shared" si="6"/>
        <v>1381.5184000000002</v>
      </c>
      <c r="H83" s="409"/>
      <c r="I83" s="149">
        <f t="shared" si="5"/>
        <v>2.6992663688013683</v>
      </c>
      <c r="J83" s="271">
        <f t="shared" si="5"/>
        <v>2.9999999999999964E-2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1381.5184000000002</v>
      </c>
    </row>
    <row r="84" spans="1:13" ht="12.75">
      <c r="A84" s="5" t="s">
        <v>108</v>
      </c>
      <c r="B84" s="92"/>
      <c r="C84" s="160">
        <f>IF(ISNA(VLOOKUP("ANG615200000",Balance!C:G,5,FALSE))=TRUE,0,VLOOKUP("ANG615200000",Balance!C:G,5,FALSE))</f>
        <v>2127.4</v>
      </c>
      <c r="D84" s="117">
        <f>+[2]Angers!$H84</f>
        <v>2490.9045863210745</v>
      </c>
      <c r="E84" s="160">
        <f>IF(ISNA(VLOOKUP("ANG615200000",Balanceanp!C:G,5,FALSE))=TRUE,0,VLOOKUP("ANG615200000",Balanceanp!C:G,5,FALSE))</f>
        <v>2211.65</v>
      </c>
      <c r="F84" s="368">
        <f>+C84+C84/9*(12-Clients!$I$14)</f>
        <v>2836.5333333333338</v>
      </c>
      <c r="G84" s="396">
        <f t="shared" si="6"/>
        <v>2921.6293333333338</v>
      </c>
      <c r="H84" s="409"/>
      <c r="I84" s="149">
        <f t="shared" si="5"/>
        <v>0.28254169210016666</v>
      </c>
      <c r="J84" s="271">
        <f t="shared" si="5"/>
        <v>2.9999999999999995E-2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2921.6293333333338</v>
      </c>
    </row>
    <row r="85" spans="1:13" ht="12.75">
      <c r="A85" s="5" t="s">
        <v>109</v>
      </c>
      <c r="B85" s="92"/>
      <c r="C85" s="160">
        <f>IF(ISNA(VLOOKUP("ANG615500000",Balance!C:G,5,FALSE))=TRUE,0,VLOOKUP("ANG615500000",Balance!C:G,5,FALSE))</f>
        <v>2.59</v>
      </c>
      <c r="D85" s="117">
        <f>+[2]Angers!$H85</f>
        <v>667.85702457604168</v>
      </c>
      <c r="E85" s="160">
        <f>IF(ISNA(VLOOKUP("ANG615500000",Balanceanp!C:G,5,FALSE))=TRUE,0,VLOOKUP("ANG615500000",Balanceanp!C:G,5,FALSE))</f>
        <v>571.58000000000004</v>
      </c>
      <c r="F85" s="368">
        <f>+C85+C85/9*(12-Clients!$I$14)</f>
        <v>3.4533333333333331</v>
      </c>
      <c r="G85" s="396">
        <f t="shared" si="6"/>
        <v>3.5569333333333333</v>
      </c>
      <c r="H85" s="409"/>
      <c r="I85" s="149">
        <f t="shared" si="5"/>
        <v>-0.99395826772571927</v>
      </c>
      <c r="J85" s="271">
        <f t="shared" si="5"/>
        <v>3.0000000000000041E-2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3.5569333333333328</v>
      </c>
    </row>
    <row r="86" spans="1:13" ht="12.75">
      <c r="A86" s="5" t="s">
        <v>106</v>
      </c>
      <c r="B86" s="92"/>
      <c r="C86" s="160">
        <f>IF(ISNA(VLOOKUP("ANG615510000",Balance!C:G,5,FALSE))=TRUE,0,VLOOKUP("ANG615510000",Balance!C:G,5,FALSE))</f>
        <v>1834.61</v>
      </c>
      <c r="D86" s="117">
        <f>+[2]Angers!$H86</f>
        <v>348.67884066886495</v>
      </c>
      <c r="E86" s="160">
        <f>IF(ISNA(VLOOKUP("ANG615510000",Balanceanp!C:G,5,FALSE))=TRUE,0,VLOOKUP("ANG615510000",Balanceanp!C:G,5,FALSE))</f>
        <v>209.83</v>
      </c>
      <c r="F86" s="368">
        <f>+C86+C86/9*(12-Clients!$I$14)</f>
        <v>2446.1466666666665</v>
      </c>
      <c r="G86" s="396">
        <f t="shared" si="6"/>
        <v>2519.5310666666664</v>
      </c>
      <c r="H86" s="409"/>
      <c r="I86" s="149">
        <f t="shared" si="5"/>
        <v>10.657754690304849</v>
      </c>
      <c r="J86" s="271">
        <f t="shared" si="5"/>
        <v>2.9999999999999968E-2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2519.5310666666664</v>
      </c>
    </row>
    <row r="87" spans="1:13" ht="12.75">
      <c r="A87" s="5" t="s">
        <v>363</v>
      </c>
      <c r="B87" s="92"/>
      <c r="C87" s="160">
        <f>IF(ISNA(VLOOKUP("ang615530000",Balance!C:G,5,FALSE))=TRUE,0,VLOOKUP("ang615530000",Balance!C:G,5,FALSE))</f>
        <v>0</v>
      </c>
      <c r="D87" s="117">
        <f>+[2]Angers!$H87</f>
        <v>0</v>
      </c>
      <c r="E87" s="160">
        <f>IF(ISNA(VLOOKUP("ang615530000",Balanceanp!C:G,5,FALSE))=TRUE,0,VLOOKUP("ang615530000",Balanceanp!C:G,5,FALSE))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IF(ISNA(VLOOKUP("ANG616130000",Balance!C:G,5,FALSE))=TRUE,0,VLOOKUP("ANG616130000",Balance!C:G,5,FALSE))</f>
        <v>2299.5</v>
      </c>
      <c r="D88" s="117">
        <f>+[2]Angers!$H88</f>
        <v>3065.9422500000005</v>
      </c>
      <c r="E88" s="160">
        <f>IF(ISNA(VLOOKUP("ANG616130000",Balanceanp!C:G,5,FALSE))=TRUE,0,VLOOKUP("ANG616130000",Balanceanp!C:G,5,FALSE))</f>
        <v>2778.82</v>
      </c>
      <c r="F88" s="368">
        <f>+C88+C88/9*(12-Clients!$I$14)</f>
        <v>3066</v>
      </c>
      <c r="G88" s="397">
        <f>+E88*1.05*1.05</f>
        <v>3063.6490500000004</v>
      </c>
      <c r="H88" s="413"/>
      <c r="I88" s="149">
        <f t="shared" ref="I88:I101" si="7">+IF((E88)=0,,(F88-E88)/E88)</f>
        <v>0.10334602457158068</v>
      </c>
      <c r="J88" s="271">
        <f t="shared" ref="J88:J101" si="8">+IF((F88)=0,,(G88-F88)/F88)</f>
        <v>-7.667808219176637E-4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3063.6490500000004</v>
      </c>
    </row>
    <row r="89" spans="1:13" ht="12.75">
      <c r="A89" s="5" t="s">
        <v>315</v>
      </c>
      <c r="B89" s="92"/>
      <c r="C89" s="160"/>
      <c r="D89" s="117">
        <f>+[2]Angers!$H89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IF(ISNA(VLOOKUP("ANG618100000",Balance!C:G,5,FALSE))=TRUE,0,VLOOKUP("ANG618100000",Balance!C:G,5,FALSE))</f>
        <v>0</v>
      </c>
      <c r="D90" s="117">
        <f>+[2]Angers!$H90</f>
        <v>115.6050801670139</v>
      </c>
      <c r="E90" s="160">
        <f>IF(ISNA(VLOOKUP("ANG618100000",Balanceanp!C:G,5,FALSE))=TRUE,0,VLOOKUP("ANG618100000",Balanceanp!C:G,5,FALSE))</f>
        <v>112.2</v>
      </c>
      <c r="F90" s="368">
        <f>+C90+C90/9*(12-Clients!$I$14)</f>
        <v>0</v>
      </c>
      <c r="G90" s="396">
        <f t="shared" si="6"/>
        <v>0</v>
      </c>
      <c r="H90" s="409"/>
      <c r="I90" s="149">
        <f t="shared" si="7"/>
        <v>-1</v>
      </c>
      <c r="J90" s="271">
        <f t="shared" si="8"/>
        <v>0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0</v>
      </c>
    </row>
    <row r="91" spans="1:13" ht="12.75">
      <c r="A91" s="5" t="s">
        <v>113</v>
      </c>
      <c r="B91" s="92"/>
      <c r="C91" s="160">
        <f>IF(ISNA(VLOOKUP("ANG618500000",Balance!C:G,5,FALSE))=TRUE,0,VLOOKUP("ANG618500000",Balance!C:G,5,FALSE))</f>
        <v>1597.85</v>
      </c>
      <c r="D91" s="117">
        <f>+[2]Angers!$H91</f>
        <v>1260.8127000000002</v>
      </c>
      <c r="E91" s="160">
        <f>IF(ISNA(VLOOKUP("ANG618500000",Balanceanp!C:G,5,FALSE))=TRUE,0,VLOOKUP("ANG618500000",Balanceanp!C:G,5,FALSE))</f>
        <v>874.09</v>
      </c>
      <c r="F91" s="368">
        <f>+C91+C91/9*(12-Clients!$I$14)</f>
        <v>2130.4666666666667</v>
      </c>
      <c r="G91" s="396">
        <f t="shared" si="6"/>
        <v>2194.3806666666669</v>
      </c>
      <c r="H91" s="409"/>
      <c r="I91" s="149">
        <f t="shared" si="7"/>
        <v>1.4373538956705447</v>
      </c>
      <c r="J91" s="271">
        <f t="shared" si="8"/>
        <v>3.00000000000001E-2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2194.3806666666669</v>
      </c>
    </row>
    <row r="92" spans="1:13" ht="12.75">
      <c r="A92" s="5" t="s">
        <v>309</v>
      </c>
      <c r="B92" s="92"/>
      <c r="C92" s="160">
        <f>IF(ISNA(VLOOKUP("ANG622200000",Balance!C:G,5,FALSE))=TRUE,0,VLOOKUP("ANG622200000",Balance!C:G,5,FALSE))</f>
        <v>0</v>
      </c>
      <c r="D92" s="117">
        <f>+[2]Angers!$H92</f>
        <v>0</v>
      </c>
      <c r="E92" s="160">
        <f>IF(ISNA(VLOOKUP("ANG622200000",Balanceanp!C:G,5,FALSE))=TRUE,0,VLOOKUP("ANG622200000",Balanceanp!C:G,5,FALSE))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IF(ISNA(VLOOKUP("ANG622600000",Balance!C:G,5,FALSE))=TRUE,0,VLOOKUP("ANG622600000",Balance!C:G,5,FALSE))</f>
        <v>0</v>
      </c>
      <c r="D93" s="117">
        <f>+[2]Angers!$H93</f>
        <v>5.2758225468750002</v>
      </c>
      <c r="E93" s="160">
        <f>IF(ISNA(VLOOKUP("ANG622600000",Balanceanp!C:G,5,FALSE))=TRUE,0,VLOOKUP("ANG622600000",Balanceanp!C:G,5,FALSE))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0</v>
      </c>
    </row>
    <row r="94" spans="1:13" ht="12.75">
      <c r="A94" s="5" t="s">
        <v>42</v>
      </c>
      <c r="B94" s="92"/>
      <c r="C94" s="160">
        <f>IF(ISNA(VLOOKUP("ANG622710000",Balance!C:G,5,FALSE))=TRUE,0,VLOOKUP("ANG622710000",Balance!C:G,5,FALSE))</f>
        <v>0</v>
      </c>
      <c r="D94" s="117">
        <f>+[2]Angers!$H94</f>
        <v>0</v>
      </c>
      <c r="E94" s="160">
        <f>IF(ISNA(VLOOKUP("ANG622710000",Balanceanp!C:G,5,FALSE))=TRUE,0,VLOOKUP("ANG622710000",Balanceanp!C:G,5,FALSE))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8.4309525374200618E-3</v>
      </c>
      <c r="C95" s="160">
        <f>IF(ISNA(VLOOKUP("ANG624200000",Balance!C:G,5,FALSE))=TRUE,0,VLOOKUP("ANG624200000",Balance!C:G,5,FALSE))</f>
        <v>7852.81</v>
      </c>
      <c r="D95" s="117">
        <f>+[2]Angers!$H95</f>
        <v>13449.292181749999</v>
      </c>
      <c r="E95" s="160">
        <f>IF(ISNA(VLOOKUP("ANG624200000",Balanceanp!C:G,5,FALSE))=TRUE,0,VLOOKUP("ANG624200000",Balanceanp!C:G,5,FALSE))</f>
        <v>12797.66</v>
      </c>
      <c r="F95" s="368">
        <f>+C95+C95/9*(12-Clients!$I$14)</f>
        <v>10470.413333333334</v>
      </c>
      <c r="G95" s="396">
        <f t="shared" si="6"/>
        <v>10784.525733333334</v>
      </c>
      <c r="H95" s="420">
        <f>+G95/$G$21</f>
        <v>8.499381912372787E-3</v>
      </c>
      <c r="I95" s="149">
        <f t="shared" si="7"/>
        <v>-0.18184939017497465</v>
      </c>
      <c r="J95" s="271">
        <f t="shared" si="8"/>
        <v>2.9999999999999995E-2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10784.525733333334</v>
      </c>
    </row>
    <row r="96" spans="1:13" ht="12.75">
      <c r="A96" s="5" t="s">
        <v>118</v>
      </c>
      <c r="B96" s="92"/>
      <c r="C96" s="160">
        <f>IF(ISNA(VLOOKUP("ANG625100000",Balance!C:G,5,FALSE))=TRUE,0,VLOOKUP("ANG625100000",Balance!C:G,5,FALSE))</f>
        <v>7005.82</v>
      </c>
      <c r="D96" s="117">
        <f>+[2]Angers!$H96</f>
        <v>11000</v>
      </c>
      <c r="E96" s="160">
        <f>IF(ISNA(VLOOKUP("ANG625100000",Balanceanp!C:G,5,FALSE))=TRUE,0,VLOOKUP("ANG625100000",Balanceanp!C:G,5,FALSE))</f>
        <v>10653.349999999999</v>
      </c>
      <c r="F96" s="368">
        <f>+C96+C96/9*(12-Clients!$I$14)</f>
        <v>9341.0933333333323</v>
      </c>
      <c r="G96" s="570">
        <v>10000</v>
      </c>
      <c r="H96" s="401"/>
      <c r="I96" s="149">
        <f t="shared" si="7"/>
        <v>-0.12317784233754325</v>
      </c>
      <c r="J96" s="271">
        <f t="shared" si="8"/>
        <v>7.0538495136900581E-2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10000</v>
      </c>
    </row>
    <row r="97" spans="1:13" ht="12.75">
      <c r="A97" s="5" t="s">
        <v>7</v>
      </c>
      <c r="B97" s="92"/>
      <c r="C97" s="160">
        <f>IF(ISNA(VLOOKUP("ANG625200000",Balance!C:G,5,FALSE))=TRUE,0,VLOOKUP("ANG625200000",Balance!C:G,5,FALSE))</f>
        <v>0</v>
      </c>
      <c r="D97" s="117">
        <f>+[2]Angers!$H97</f>
        <v>0</v>
      </c>
      <c r="E97" s="160">
        <f>IF(ISNA(VLOOKUP("ANG625200000",Balanceanp!C:G,5,FALSE))=TRUE,0,VLOOKUP("ANG625200000",Balanceanp!C:G,5,FALSE))</f>
        <v>89.36</v>
      </c>
      <c r="F97" s="368">
        <f>+C97+C97/9*(12-Clients!$I$14)</f>
        <v>0</v>
      </c>
      <c r="G97" s="395">
        <v>0</v>
      </c>
      <c r="H97" s="401"/>
      <c r="I97" s="149">
        <f t="shared" si="7"/>
        <v>-1</v>
      </c>
      <c r="J97" s="271">
        <f t="shared" si="8"/>
        <v>0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0</v>
      </c>
    </row>
    <row r="98" spans="1:13" ht="12.75">
      <c r="A98" s="5" t="s">
        <v>307</v>
      </c>
      <c r="B98" s="92"/>
      <c r="C98" s="160">
        <f>IF(ISNA(VLOOKUP("ang625510000",Balance!C:G,5,FALSE))=TRUE,0,VLOOKUP("ang625510000",Balance!C:G,5,FALSE))</f>
        <v>0</v>
      </c>
      <c r="D98" s="117">
        <f>+[2]Angers!$H98</f>
        <v>0</v>
      </c>
      <c r="E98" s="160">
        <f>IF(ISNA(VLOOKUP("ang625510000",Balanceanp!C:G,5,FALSE))=TRUE,0,VLOOKUP("ang625510000",Balanceanp!C:G,5,FALSE))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IF(ISNA(VLOOKUP("ANG626000000",Balance!C:G,5,FALSE))=TRUE,0,VLOOKUP("ANG626000000",Balance!C:G,5,FALSE))</f>
        <v>3865.26</v>
      </c>
      <c r="D99" s="117">
        <f>+[2]Angers!$H99</f>
        <v>5317.5206696510659</v>
      </c>
      <c r="E99" s="160">
        <f>IF(ISNA(VLOOKUP("ANG626000000",Balanceanp!C:G,5,FALSE))=TRUE,0,VLOOKUP("ANG626000000",Balanceanp!C:G,5,FALSE))</f>
        <v>5092.8</v>
      </c>
      <c r="F99" s="368">
        <f>+C99+C99/9*(12-Clients!$I$14)</f>
        <v>5153.68</v>
      </c>
      <c r="G99" s="396">
        <f>+F99</f>
        <v>5153.68</v>
      </c>
      <c r="H99" s="409"/>
      <c r="I99" s="149">
        <f t="shared" si="7"/>
        <v>1.1954131322651608E-2</v>
      </c>
      <c r="J99" s="271">
        <f t="shared" si="8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5153.68</v>
      </c>
    </row>
    <row r="100" spans="1:13" ht="12.75">
      <c r="A100" s="5" t="s">
        <v>120</v>
      </c>
      <c r="B100" s="92"/>
      <c r="C100" s="160">
        <f>IF(ISNA(VLOOKUP("ANG626100000",Balance!C:G,5,FALSE))=TRUE,0,VLOOKUP("ANG626100000",Balance!C:G,5,FALSE))</f>
        <v>890.04</v>
      </c>
      <c r="D100" s="117">
        <f>+[2]Angers!$H100</f>
        <v>1173.1305044632768</v>
      </c>
      <c r="E100" s="160">
        <f>IF(ISNA(VLOOKUP("ANG626100000",Balanceanp!C:G,5,FALSE))=TRUE,0,VLOOKUP("ANG626100000",Balanceanp!C:G,5,FALSE))</f>
        <v>1012.48</v>
      </c>
      <c r="F100" s="368">
        <f>+C100+C100/9*(12-Clients!$I$14)</f>
        <v>1186.72</v>
      </c>
      <c r="G100" s="396">
        <f t="shared" si="6"/>
        <v>1222.3216</v>
      </c>
      <c r="H100" s="409"/>
      <c r="I100" s="149">
        <f t="shared" si="7"/>
        <v>0.17209228824273073</v>
      </c>
      <c r="J100" s="271">
        <f t="shared" si="8"/>
        <v>2.9999999999999968E-2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1222.3216</v>
      </c>
    </row>
    <row r="101" spans="1:13" ht="12.75">
      <c r="A101" s="5" t="s">
        <v>121</v>
      </c>
      <c r="B101" s="92"/>
      <c r="C101" s="160">
        <f>IF(ISNA(VLOOKUP("ANG628400000",Balance!C:G,5,FALSE))=TRUE,0,VLOOKUP("ANG628400000",Balance!C:G,5,FALSE))</f>
        <v>0</v>
      </c>
      <c r="D101" s="117">
        <f>+[2]Angers!$H101</f>
        <v>0</v>
      </c>
      <c r="E101" s="160">
        <f>IF(ISNA(VLOOKUP("ANG628400000",Balanceanp!C:G,5,FALSE))=TRUE,0,VLOOKUP("ANG628400000",Balanceanp!C:G,5,FALSE))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6.6510648578606099E-2</v>
      </c>
      <c r="C103" s="163">
        <f>SUM(C70:C102)</f>
        <v>61949.759999999995</v>
      </c>
      <c r="D103" s="118">
        <f>SUM(D70:D102)</f>
        <v>89602.308569770685</v>
      </c>
      <c r="E103" s="163">
        <f>SUM(E70:E102)</f>
        <v>88290.62000000001</v>
      </c>
      <c r="F103" s="136">
        <f>SUM(F70:F102)</f>
        <v>82599.72</v>
      </c>
      <c r="G103" s="136">
        <f>SUM(G70:G102)</f>
        <v>88796.679770961287</v>
      </c>
      <c r="H103" s="421">
        <f>+G103/$G$21</f>
        <v>6.9981463495548193E-2</v>
      </c>
      <c r="I103" s="272">
        <f>+IF((E103)=0,,(F103-E103)/E103)</f>
        <v>-6.4456450753205816E-2</v>
      </c>
      <c r="J103" s="188">
        <f>+IF((F103)=0,,(G103-F103)/F103)</f>
        <v>7.502398035927102E-2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IF(ISNA(VLOOKUP("ANG623100000",Balance!C:G,5,FALSE))=TRUE,0,VLOOKUP("ANG623100000",Balance!C:G,5,FALSE))</f>
        <v>0</v>
      </c>
      <c r="D105" s="117">
        <f>+[2]Angers!$H105</f>
        <v>1000</v>
      </c>
      <c r="E105" s="160">
        <f>IF(ISNA(VLOOKUP("ANG623100000",Balanceanp!C:G,5,FALSE))=TRUE,0,VLOOKUP("ANG623100000",Balanceanp!C:G,5,FALSE))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IF(ISNA(VLOOKUP("ANG623200000",Balance!C:G,5,FALSE))=TRUE,0,VLOOKUP("ANG623200000",Balance!C:G,5,FALSE))</f>
        <v>8018.17</v>
      </c>
      <c r="D106" s="117">
        <f>+[2]Angers!$H106</f>
        <v>5000</v>
      </c>
      <c r="E106" s="160">
        <f>IF(ISNA(VLOOKUP("ANG623200000",Balanceanp!C:G,5,FALSE))=TRUE,0,VLOOKUP("ANG623200000",Balanceanp!C:G,5,FALSE))</f>
        <v>8613.6</v>
      </c>
      <c r="F106" s="368">
        <f>+C106+C106/9*(12-Clients!$I$14)</f>
        <v>10690.893333333333</v>
      </c>
      <c r="G106" s="570">
        <v>8000</v>
      </c>
      <c r="H106" s="401"/>
      <c r="I106" s="149">
        <f t="shared" si="9"/>
        <v>0.24116436023652515</v>
      </c>
      <c r="J106" s="271">
        <f t="shared" si="9"/>
        <v>-0.25169957733497794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8000</v>
      </c>
    </row>
    <row r="107" spans="1:13" ht="12.75">
      <c r="A107" s="5" t="s">
        <v>131</v>
      </c>
      <c r="B107" s="92"/>
      <c r="C107" s="160">
        <f>IF(ISNA(VLOOKUP("ANG629000000",Balance!C:G,5,FALSE))=TRUE,0,VLOOKUP("ANG629000000",Balance!C:G,5,FALSE))</f>
        <v>0</v>
      </c>
      <c r="D107" s="117">
        <f>+[2]Angers!$H107</f>
        <v>0</v>
      </c>
      <c r="E107" s="160">
        <f>IF(ISNA(VLOOKUP("ANG629000000",Balanceanp!C:G,5,FALSE))=TRUE,0,VLOOKUP("ANG629000000",Balanceanp!C:G,5,FALSE))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IF(ISNA(VLOOKUP("ANG623300000",Balance!C:G,5,FALSE))=TRUE,0,VLOOKUP("ANG623300000",Balance!C:G,5,FALSE))</f>
        <v>-3060.51</v>
      </c>
      <c r="D108" s="117">
        <f>+[2]Angers!$H108</f>
        <v>500</v>
      </c>
      <c r="E108" s="160">
        <f>IF(ISNA(VLOOKUP("ANG623300000",Balanceanp!C:G,5,FALSE))=TRUE,0,VLOOKUP("ANG623300000",Balanceanp!C:G,5,FALSE))</f>
        <v>0</v>
      </c>
      <c r="F108" s="368">
        <f>+C108+C108/9*(12-Clients!$I$14)</f>
        <v>-4080.6800000000003</v>
      </c>
      <c r="G108" s="570">
        <v>500</v>
      </c>
      <c r="H108" s="401"/>
      <c r="I108" s="149">
        <f t="shared" si="9"/>
        <v>0</v>
      </c>
      <c r="J108" s="271">
        <f t="shared" si="9"/>
        <v>-1.1225285981748141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500</v>
      </c>
    </row>
    <row r="109" spans="1:13" ht="12.75">
      <c r="A109" s="5" t="s">
        <v>133</v>
      </c>
      <c r="B109" s="92"/>
      <c r="C109" s="160">
        <f>IF(ISNA(VLOOKUP("ANG623700000",Balance!C:G,5,FALSE))=TRUE,0,VLOOKUP("ANG623700000",Balance!C:G,5,FALSE))</f>
        <v>2671.38</v>
      </c>
      <c r="D109" s="117">
        <f>+[2]Angers!$H109</f>
        <v>5500</v>
      </c>
      <c r="E109" s="160">
        <f>IF(ISNA(VLOOKUP("ANG623700000",Balanceanp!C:G,5,FALSE))=TRUE,0,VLOOKUP("ANG623700000",Balanceanp!C:G,5,FALSE))</f>
        <v>1937.5700000000002</v>
      </c>
      <c r="F109" s="368">
        <f>+C109+C109/9*(12-Clients!$I$14)</f>
        <v>3561.84</v>
      </c>
      <c r="G109" s="570">
        <v>4500</v>
      </c>
      <c r="H109" s="401"/>
      <c r="I109" s="149">
        <f t="shared" si="9"/>
        <v>0.83830261616354496</v>
      </c>
      <c r="J109" s="271">
        <f t="shared" si="9"/>
        <v>0.2633919547200323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4500</v>
      </c>
    </row>
    <row r="110" spans="1:13" ht="12.75">
      <c r="A110" s="5" t="s">
        <v>134</v>
      </c>
      <c r="B110" s="92"/>
      <c r="C110" s="160">
        <f>IF(ISNA(VLOOKUP("ANG623410000",Balance!C:G,5,FALSE))=TRUE,0,VLOOKUP("ANG623410000",Balance!C:G,5,FALSE))+IF(ISNA(VLOOKUP("ANG623420000",Balance!C:G,5,FALSE))=TRUE,0,VLOOKUP("ANG623420000",Balance!C:G,5,FALSE))</f>
        <v>4974.5200000000004</v>
      </c>
      <c r="D110" s="117">
        <f>+[2]Angers!$H110</f>
        <v>7000</v>
      </c>
      <c r="E110" s="160">
        <f>IF(ISNA(VLOOKUP("ANG623410000",Balanceanp!C:G,5,FALSE))=TRUE,0,VLOOKUP("ANG623410000",Balanceanp!C:G,5,FALSE))+IF(ISNA(VLOOKUP("ANG623420000",Balanceanp!C:G,5,FALSE))=TRUE,0,VLOOKUP("ANG623420000",Balanceanp!C:G,5,FALSE))</f>
        <v>8927.23</v>
      </c>
      <c r="F110" s="368">
        <f>+C110+C110/9*(12-Clients!$I$14)</f>
        <v>6632.6933333333345</v>
      </c>
      <c r="G110" s="570">
        <v>7000</v>
      </c>
      <c r="H110" s="401"/>
      <c r="I110" s="149">
        <f t="shared" si="9"/>
        <v>-0.25702672236143409</v>
      </c>
      <c r="J110" s="271">
        <f t="shared" si="9"/>
        <v>5.5378207344628033E-2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7000</v>
      </c>
    </row>
    <row r="111" spans="1:13" ht="12.75">
      <c r="A111" s="5" t="s">
        <v>135</v>
      </c>
      <c r="B111" s="92"/>
      <c r="C111" s="160">
        <f>IF(ISNA(VLOOKUP("ANG623800000",Balance!C:G,5,FALSE))=TRUE,0,VLOOKUP("ANG623800000",Balance!C:G,5,FALSE))+IF(ISNA(VLOOKUP("ANG623820000",Balance!C:G,5,FALSE))=TRUE,0,VLOOKUP("ANG623820000",Balance!C:G,5,FALSE))</f>
        <v>0</v>
      </c>
      <c r="D111" s="117">
        <f>+[2]Angers!$H111</f>
        <v>100</v>
      </c>
      <c r="E111" s="160">
        <f>IF(ISNA(VLOOKUP("ANG623800000",Balanceanp!C:G,5,FALSE))=TRUE,0,VLOOKUP("ANG623800000",Balanceanp!C:G,5,FALSE))</f>
        <v>20</v>
      </c>
      <c r="F111" s="368">
        <f>+C111+C111/9*(12-Clients!$I$14)</f>
        <v>0</v>
      </c>
      <c r="G111" s="570">
        <v>100</v>
      </c>
      <c r="H111" s="401"/>
      <c r="I111" s="149">
        <f t="shared" si="9"/>
        <v>-1</v>
      </c>
      <c r="J111" s="271">
        <f t="shared" si="9"/>
        <v>0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100</v>
      </c>
    </row>
    <row r="112" spans="1:13" ht="12.75">
      <c r="A112" s="5" t="s">
        <v>136</v>
      </c>
      <c r="B112" s="92"/>
      <c r="C112" s="160">
        <f>IF(ISNA(VLOOKUP("ANG625600000",Balance!C:G,5,FALSE))=TRUE,0,VLOOKUP("ANG625600000",Balance!C:G,5,FALSE))</f>
        <v>1500</v>
      </c>
      <c r="D112" s="117">
        <f>+[2]Angers!$H112</f>
        <v>2000</v>
      </c>
      <c r="E112" s="160">
        <f>IF(ISNA(VLOOKUP("ANG625600000",Balanceanp!C:G,5,FALSE))=TRUE,0,VLOOKUP("ANG625600000",Balanceanp!C:G,5,FALSE))</f>
        <v>775.24</v>
      </c>
      <c r="F112" s="368">
        <f>+C112+C112/9*(12-Clients!$I$14)</f>
        <v>2000</v>
      </c>
      <c r="G112" s="570">
        <v>1000</v>
      </c>
      <c r="H112" s="401"/>
      <c r="I112" s="149">
        <f t="shared" si="9"/>
        <v>1.5798462411640266</v>
      </c>
      <c r="J112" s="271">
        <f t="shared" si="9"/>
        <v>-0.5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1000</v>
      </c>
    </row>
    <row r="113" spans="1:13" ht="12.75">
      <c r="A113" s="5" t="s">
        <v>137</v>
      </c>
      <c r="B113" s="92"/>
      <c r="C113" s="160">
        <f>IF(ISNA(VLOOKUP("ANG625700000",Balance!C:G,5,FALSE))=TRUE,0,VLOOKUP("ANG625700000",Balance!C:G,5,FALSE))+IF(ISNA(VLOOKUP("ANG625710000",Balance!C:G,5,FALSE))=TRUE,0,VLOOKUP("ANG625710000",Balance!C:G,5,FALSE))</f>
        <v>5157.1100000000006</v>
      </c>
      <c r="D113" s="117">
        <f>+[2]Angers!$H113</f>
        <v>7000</v>
      </c>
      <c r="E113" s="160">
        <f>IF(ISNA(VLOOKUP("ANG625700000",Balanceanp!C:G,5,FALSE))=TRUE,0,VLOOKUP("ANG625700000",Balanceanp!C:G,5,FALSE))+IF(ISNA(VLOOKUP("ANG625710000",Balanceanp!C:G,5,FALSE))=TRUE,0,VLOOKUP("ANG625710000",Balanceanp!C:G,5,FALSE))</f>
        <v>7396.76</v>
      </c>
      <c r="F113" s="368">
        <v>4539.6000000000004</v>
      </c>
      <c r="G113" s="570">
        <v>5000</v>
      </c>
      <c r="H113" s="401"/>
      <c r="I113" s="149">
        <f t="shared" si="9"/>
        <v>-0.38627182712430846</v>
      </c>
      <c r="J113" s="271">
        <f t="shared" si="9"/>
        <v>0.10141862719182299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5000</v>
      </c>
    </row>
    <row r="114" spans="1:13" ht="12.75">
      <c r="A114" s="5" t="s">
        <v>138</v>
      </c>
      <c r="B114" s="92"/>
      <c r="C114" s="160">
        <f>IF(ISNA(VLOOKUP("ANG623810000",Balance!C:G,5,FALSE))=TRUE,0,VLOOKUP("ANG623810000",Balance!C:G,5,FALSE))</f>
        <v>0</v>
      </c>
      <c r="D114" s="117">
        <f>+[2]Angers!$H114</f>
        <v>0</v>
      </c>
      <c r="E114" s="160">
        <f>IF(ISNA(VLOOKUP("ANG623810000",Balanceanp!C:G,5,FALSE))=TRUE,0,VLOOKUP("ANG623810000",Balanceanp!C:G,5,FALSE))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2.0678686305782318E-2</v>
      </c>
      <c r="C116" s="163">
        <f>SUM(C104:C115)</f>
        <v>19260.670000000002</v>
      </c>
      <c r="D116" s="118">
        <f>SUM(D104:D115)</f>
        <v>28100</v>
      </c>
      <c r="E116" s="163">
        <f>SUM(E104:E115)</f>
        <v>28444.699999999997</v>
      </c>
      <c r="F116" s="136">
        <f>SUM(F104:F115)</f>
        <v>23344.346666666665</v>
      </c>
      <c r="G116" s="136">
        <f>SUM(G104:G115)</f>
        <v>27100</v>
      </c>
      <c r="H116" s="421">
        <f>+G116/$G$21</f>
        <v>2.1357754204561576E-2</v>
      </c>
      <c r="I116" s="272">
        <f>+IF((E116)=0,,(F116-E116)/E116)</f>
        <v>-0.17930768590750942</v>
      </c>
      <c r="J116" s="188">
        <f>+IF((F116)=0,,(G116-F116)/F116)</f>
        <v>0.16088063576848879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IF(ISNA(VLOOKUP("ANG633300000",Balance!C:G,5,FALSE))=TRUE,0,VLOOKUP("ANG633300000",Balance!C:G,5,FALSE))</f>
        <v>2104</v>
      </c>
      <c r="D118" s="117">
        <f>+[2]Angers!$H118</f>
        <v>895.99999999999989</v>
      </c>
      <c r="E118" s="160">
        <f>IF(ISNA(VLOOKUP("ANG633300000",Balanceanp!C:G,5,FALSE))=TRUE,0,VLOOKUP("ANG633300000",Balanceanp!C:G,5,FALSE))</f>
        <v>1111</v>
      </c>
      <c r="F118" s="368">
        <f>+C118+C118/9*(12-Clients!$I$14)</f>
        <v>2805.333333333333</v>
      </c>
      <c r="G118" s="396">
        <f>G131*(0.2+0.5)%</f>
        <v>944.99999999999989</v>
      </c>
      <c r="H118" s="409"/>
      <c r="I118" s="149">
        <f t="shared" ref="I118:J127" si="10">+IF((E118)=0,,(F118-E118)/E118)</f>
        <v>1.5250525052505248</v>
      </c>
      <c r="J118" s="271">
        <f t="shared" si="10"/>
        <v>-0.66314163498098855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944.99999999999989</v>
      </c>
    </row>
    <row r="119" spans="1:13" ht="12.75">
      <c r="A119" s="5" t="s">
        <v>140</v>
      </c>
      <c r="B119" s="92"/>
      <c r="C119" s="160">
        <f>IF(ISNA(VLOOKUP("ANG633400000",Balance!C:G,5,FALSE))=TRUE,0,VLOOKUP("ANG633400000",Balance!C:G,5,FALSE))</f>
        <v>0</v>
      </c>
      <c r="D119" s="117">
        <f>+[2]Angers!$H119</f>
        <v>576.00000000000011</v>
      </c>
      <c r="E119" s="160">
        <f>IF(ISNA(VLOOKUP("ANG633400000",Balanceanp!C:G,5,FALSE))=TRUE,0,VLOOKUP("ANG633400000",Balanceanp!C:G,5,FALSE))</f>
        <v>612</v>
      </c>
      <c r="F119" s="368">
        <f>+C119+C119/9*(12-Clients!$I$14)</f>
        <v>0</v>
      </c>
      <c r="G119" s="396">
        <f>+G131*0.45%</f>
        <v>607.50000000000011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607.50000000000011</v>
      </c>
    </row>
    <row r="120" spans="1:13" ht="12.75">
      <c r="A120" s="5" t="s">
        <v>141</v>
      </c>
      <c r="B120" s="92"/>
      <c r="C120" s="160">
        <f>IF(ISNA(VLOOKUP("ANG633500000",Balance!C:G,5,FALSE))=TRUE,0,VLOOKUP("ANG633500000",Balance!C:G,5,FALSE))</f>
        <v>0</v>
      </c>
      <c r="D120" s="117">
        <f>+[2]Angers!$H120</f>
        <v>998.40000000000009</v>
      </c>
      <c r="E120" s="160">
        <f>IF(ISNA(VLOOKUP("ANG633500000",Balanceanp!C:G,5,FALSE))=TRUE,0,VLOOKUP("ANG633500000",Balanceanp!C:G,5,FALSE))</f>
        <v>925</v>
      </c>
      <c r="F120" s="368">
        <f>+C120+C120/9*(12-Clients!$I$14)</f>
        <v>0</v>
      </c>
      <c r="G120" s="396">
        <f>+G131*(0.6+0.18)%</f>
        <v>1053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1053</v>
      </c>
    </row>
    <row r="121" spans="1:13" ht="12.75">
      <c r="A121" s="5" t="s">
        <v>706</v>
      </c>
      <c r="B121" s="92"/>
      <c r="C121" s="160">
        <f>IF(ISNA(VLOOKUP("ANG635110000",Balance!C:G,5,FALSE))=TRUE,0,VLOOKUP("ANG635110000",Balance!C:G,5,FALSE))</f>
        <v>3665.79</v>
      </c>
      <c r="D121" s="117">
        <f>+[2]Angers!$H121</f>
        <v>4887.75</v>
      </c>
      <c r="E121" s="160">
        <f>IF(ISNA(VLOOKUP("ANG635110000",Balanceanp!C:G,5,FALSE))=TRUE,0,VLOOKUP("ANG635110000",Balanceanp!C:G,5,FALSE))</f>
        <v>4655</v>
      </c>
      <c r="F121" s="570">
        <v>1198</v>
      </c>
      <c r="G121" s="570">
        <f>+F121*1.05</f>
        <v>1257.9000000000001</v>
      </c>
      <c r="H121" s="413"/>
      <c r="I121" s="149">
        <f t="shared" si="10"/>
        <v>-0.74264232008592912</v>
      </c>
      <c r="J121" s="271">
        <f t="shared" si="10"/>
        <v>5.0000000000000079E-2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1257.9000000000001</v>
      </c>
    </row>
    <row r="122" spans="1:13" ht="12.75">
      <c r="A122" s="5" t="s">
        <v>143</v>
      </c>
      <c r="B122" s="92"/>
      <c r="C122" s="160">
        <f>IF(ISNA(VLOOKUP("ANG635120000",Balance!C:G,5,FALSE))=TRUE,0,VLOOKUP("ANG635120000",Balance!C:G,5,FALSE))</f>
        <v>2002.59</v>
      </c>
      <c r="D122" s="117">
        <f>+[2]Angers!$H122</f>
        <v>2670.15</v>
      </c>
      <c r="E122" s="160">
        <f>IF(ISNA(VLOOKUP("ANG635120000",Balanceanp!C:G,5,FALSE))=TRUE,0,VLOOKUP("ANG635120000",Balanceanp!C:G,5,FALSE))</f>
        <v>2543</v>
      </c>
      <c r="F122" s="397">
        <v>2543</v>
      </c>
      <c r="G122" s="397">
        <f>+F122*1.05</f>
        <v>2670.15</v>
      </c>
      <c r="H122" s="413"/>
      <c r="I122" s="149">
        <f t="shared" si="10"/>
        <v>0</v>
      </c>
      <c r="J122" s="271">
        <f t="shared" si="10"/>
        <v>5.0000000000000037E-2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2670.15</v>
      </c>
    </row>
    <row r="123" spans="1:13" ht="12.75">
      <c r="A123" s="5" t="s">
        <v>144</v>
      </c>
      <c r="B123" s="92"/>
      <c r="C123" s="160">
        <f>IF(ISNA(VLOOKUP("ANG635130000",Balance!C:G,5,FALSE))=TRUE,0,VLOOKUP("ANG635130000",Balance!C:G,5,FALSE))</f>
        <v>0</v>
      </c>
      <c r="D123" s="117">
        <f>+[2]Angers!$H123</f>
        <v>21.218000000000004</v>
      </c>
      <c r="E123" s="160">
        <f>IF(ISNA(VLOOKUP("ANG635130000",Balanceanp!C:G,5,FALSE))=TRUE,0,VLOOKUP("ANG635130000",Balanceanp!C:G,5,FALSE))</f>
        <v>0</v>
      </c>
      <c r="F123" s="425">
        <v>20.6</v>
      </c>
      <c r="G123" s="425">
        <f>+F123*1.03</f>
        <v>21.218000000000004</v>
      </c>
      <c r="H123" s="413"/>
      <c r="I123" s="149">
        <f t="shared" si="10"/>
        <v>0</v>
      </c>
      <c r="J123" s="271">
        <f t="shared" si="10"/>
        <v>3.00000000000001E-2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21.218000000000004</v>
      </c>
    </row>
    <row r="124" spans="1:13" ht="12.75">
      <c r="A124" s="5" t="s">
        <v>145</v>
      </c>
      <c r="B124" s="92"/>
      <c r="C124" s="160">
        <f>IF(ISNA(VLOOKUP("ANG635140000",Balance!C:G,5,FALSE))=TRUE,0,VLOOKUP("ANG635140000",Balance!C:G,5,FALSE))</f>
        <v>0</v>
      </c>
      <c r="D124" s="117">
        <f>+[2]Angers!$H124</f>
        <v>0</v>
      </c>
      <c r="E124" s="160">
        <f>IF(ISNA(VLOOKUP("ANG635140000",Balanceanp!C:G,5,FALSE))=TRUE,0,VLOOKUP("ANG635140000",Balanceanp!C:G,5,FALSE))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0"/>
        <v>0</v>
      </c>
      <c r="J124" s="271">
        <f t="shared" si="10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IF(ISNA(VLOOKUP("ANG635300000",Balance!C:G,5,FALSE))=TRUE,0,VLOOKUP("ANG635300000",Balance!C:G,5,FALSE))</f>
        <v>0</v>
      </c>
      <c r="D125" s="117">
        <f>+[2]Angers!$H125</f>
        <v>0</v>
      </c>
      <c r="E125" s="160">
        <f>IF(ISNA(VLOOKUP("ANG635300000",Balanceanp!C:G,5,FALSE))=TRUE,0,VLOOKUP("ANG635300000",Balanceanp!C:G,5,FALSE))</f>
        <v>20.6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-1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IF(ISNA(VLOOKUP("ang635400000",Balance!C:G,5,FALSE))=TRUE,0,VLOOKUP("ang635400000",Balance!C:G,5,FALSE))</f>
        <v>0</v>
      </c>
      <c r="D126" s="117">
        <f>+[2]Angers!$H126</f>
        <v>0</v>
      </c>
      <c r="E126" s="160">
        <f>IF(ISNA(VLOOKUP("ang635400000",Balanceanp!C:G,5,FALSE))=TRUE,0,VLOOKUP("ang635400000",Balanceanp!C:G,5,FALSE))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IF(ISNA(VLOOKUP("ANG637100000",Balance!C:G,5,FALSE))=TRUE,0,VLOOKUP("ANG637100000",Balance!C:G,5,FALSE))</f>
        <v>1618.81</v>
      </c>
      <c r="D127" s="117">
        <f>+[2]Angers!$H127</f>
        <v>2014.4</v>
      </c>
      <c r="E127" s="160">
        <f>IF(ISNA(VLOOKUP("ANG637100000",Balanceanp!C:G,5,FALSE))=TRUE,0,VLOOKUP("ANG637100000",Balanceanp!C:G,5,FALSE))</f>
        <v>1935.85</v>
      </c>
      <c r="F127" s="368">
        <f>+C127+C127/9*(12-Clients!$I$14)</f>
        <v>2158.4133333333334</v>
      </c>
      <c r="G127" s="396">
        <f>+G51*0.16%</f>
        <v>2012.576</v>
      </c>
      <c r="H127" s="409"/>
      <c r="I127" s="149">
        <f t="shared" si="10"/>
        <v>0.11496930719494461</v>
      </c>
      <c r="J127" s="271">
        <f t="shared" si="10"/>
        <v>-6.7566916438618521E-2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2012.576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1.0082591729571187E-2</v>
      </c>
      <c r="C129" s="163">
        <f>SUM(C117:C128)</f>
        <v>9391.19</v>
      </c>
      <c r="D129" s="118">
        <f>SUM(D117:D128)</f>
        <v>12063.918</v>
      </c>
      <c r="E129" s="163">
        <f>SUM(E117:E128)</f>
        <v>11802.45</v>
      </c>
      <c r="F129" s="136">
        <f>SUM(F117:F128)</f>
        <v>8725.3466666666664</v>
      </c>
      <c r="G129" s="136">
        <f>SUM(G117:G128)</f>
        <v>8567.344000000001</v>
      </c>
      <c r="H129" s="421">
        <f>+G129/$G$21</f>
        <v>6.7520010087795349E-3</v>
      </c>
      <c r="I129" s="272">
        <f>+IF((E129)=0,,(F129-E129)/E129)</f>
        <v>-0.26071733693710492</v>
      </c>
      <c r="J129" s="188">
        <f>+IF((F129)=0,,(G129-F129)/F129)</f>
        <v>-1.8108468660652879E-2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8567.344000000001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IF(ISNA(VLOOKUP("ANG641100000",Balance!C:G,5,FALSE))=TRUE,0,VLOOKUP("ANG641100000",Balance!C:G,5,FALSE))</f>
        <v>99045.91</v>
      </c>
      <c r="D131" s="117">
        <f>+[2]Angers!$H131</f>
        <v>128000</v>
      </c>
      <c r="E131" s="160">
        <f>IF(ISNA(VLOOKUP("ANG641100000",Balanceanp!C:G,5,FALSE))=TRUE,0,VLOOKUP("ANG641100000",Balanceanp!C:G,5,FALSE))</f>
        <v>118574.73</v>
      </c>
      <c r="F131" s="368">
        <f>+C131+C131/9*(12-Clients!$I$14)</f>
        <v>132061.21333333332</v>
      </c>
      <c r="G131" s="570">
        <v>135000</v>
      </c>
      <c r="H131" s="401"/>
      <c r="I131" s="149">
        <f t="shared" ref="I131:J146" si="11">+IF((E131)=0,,(F131-E131)/E131)</f>
        <v>0.11373825884598955</v>
      </c>
      <c r="J131" s="271">
        <f t="shared" si="11"/>
        <v>2.2253215705726883E-2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135000</v>
      </c>
    </row>
    <row r="132" spans="1:13" ht="12.75">
      <c r="A132" s="5" t="s">
        <v>149</v>
      </c>
      <c r="B132" s="92"/>
      <c r="C132" s="160">
        <f>IF(ISNA(VLOOKUP("ANG641110000",Balance!C:G,5,FALSE))=TRUE,0,VLOOKUP("ANG641110000",Balance!C:G,5,FALSE))</f>
        <v>-1000</v>
      </c>
      <c r="D132" s="117">
        <f>+[2]Angers!$H132</f>
        <v>0</v>
      </c>
      <c r="E132" s="160">
        <f>IF(ISNA(VLOOKUP("ANG641110000",Balanceanp!C:G,5,FALSE))=TRUE,0,VLOOKUP("ANG641110000",Balanceanp!C:G,5,FALSE))</f>
        <v>450</v>
      </c>
      <c r="F132" s="368">
        <f>+C132+C132/9*(12-Clients!$I$14)</f>
        <v>-1333.3333333333335</v>
      </c>
      <c r="G132" s="570">
        <v>0</v>
      </c>
      <c r="H132" s="401"/>
      <c r="I132" s="149">
        <f t="shared" si="11"/>
        <v>-3.9629629629629632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IF(ISNA(VLOOKUP("ANG641111000",Balance!C:G,5,FALSE))=TRUE,0,VLOOKUP("ANG641111000",Balance!C:G,5,FALSE))</f>
        <v>0</v>
      </c>
      <c r="D133" s="117">
        <f>+[2]Angers!$H133</f>
        <v>0</v>
      </c>
      <c r="E133" s="160">
        <f>IF(ISNA(VLOOKUP("ANG641111000",Balanceanp!C:G,5,FALSE))=TRUE,0,VLOOKUP("ANG641111000",Balanceanp!C:G,5,FALSE))</f>
        <v>200</v>
      </c>
      <c r="F133" s="368">
        <f>+C133+C133/9*(12-Clients!$I$14)</f>
        <v>0</v>
      </c>
      <c r="G133" s="570">
        <f t="shared" ref="G133:G139" si="12">+F133*1.03</f>
        <v>0</v>
      </c>
      <c r="H133" s="401"/>
      <c r="I133" s="149">
        <f t="shared" si="11"/>
        <v>-1</v>
      </c>
      <c r="J133" s="271">
        <f t="shared" si="11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IF(ISNA(VLOOKUP("ANG641200000",Balance!C:G,5,FALSE))=TRUE,0,VLOOKUP("ANG641200000",Balance!C:G,5,FALSE))</f>
        <v>0</v>
      </c>
      <c r="D134" s="117">
        <f>+[2]Angers!$H134</f>
        <v>0</v>
      </c>
      <c r="E134" s="160">
        <f>IF(ISNA(VLOOKUP("ANG641200000",Balanceanp!C:G,5,FALSE))=TRUE,0,VLOOKUP("ANG641200000",Balanceanp!C:G,5,FALSE))</f>
        <v>346.26000000000022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IF(ISNA(VLOOKUP("ANG621100000",Balance!C:G,5,FALSE))=TRUE,0,VLOOKUP("ANG621100000",Balance!C:G,5,FALSE))</f>
        <v>0</v>
      </c>
      <c r="D135" s="117">
        <f>+[2]Angers!$H135</f>
        <v>0</v>
      </c>
      <c r="E135" s="160">
        <f>IF(ISNA(VLOOKUP("ANG621100000",Balanceanp!C:G,5,FALSE))=TRUE,0,VLOOKUP("ANG621100000",Balanceanp!C:G,5,FALSE))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IF(ISNA(VLOOKUP("ANG621200000",Balance!C:G,5,FALSE))=TRUE,0,VLOOKUP("ANG621200000",Balance!C:G,5,FALSE))</f>
        <v>0</v>
      </c>
      <c r="D136" s="117">
        <f>+[2]Angers!$H136</f>
        <v>0</v>
      </c>
      <c r="E136" s="160">
        <f>IF(ISNA(VLOOKUP("ANG621200000",Balanceanp!C:G,5,FALSE))=TRUE,0,VLOOKUP("ANG621200000",Balanceanp!C:G,5,FALSE))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IF(ISNA(VLOOKUP("ANG706100000",Balance!C:G,5,FALSE))=TRUE,0,-VLOOKUP("ANG706100000",Balance!C:G,5,FALSE))</f>
        <v>0</v>
      </c>
      <c r="D137" s="117">
        <f>+[2]Angers!$H137</f>
        <v>0</v>
      </c>
      <c r="E137" s="160">
        <f>IF(ISNA(VLOOKUP("ANG706100000",Balanceanp!C:G,5,FALSE))=TRUE,0,-VLOOKUP("ANG706100000",Balanceanp!C:G,5,FALSE))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IF(ISNA(VLOOKUP("ANG641210000",Balance!C:G,5,FALSE))=TRUE,0,VLOOKUP("ANG641210000",Balance!C:G,5,FALSE))</f>
        <v>0</v>
      </c>
      <c r="D138" s="117">
        <f>+[2]Angers!$H138</f>
        <v>0</v>
      </c>
      <c r="E138" s="160">
        <f>IF(ISNA(VLOOKUP("ANG641210000",Balanceanp!C:G,5,FALSE))=TRUE,0,VLOOKUP("ANG641210000",Balanceanp!C:G,5,FALSE))</f>
        <v>190.26000000000022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IF(ISNA(VLOOKUP("ANG641400000",Balance!C:G,5,FALSE))=TRUE,0,VLOOKUP("ANG641400000",Balance!C:G,5,FALSE))</f>
        <v>0</v>
      </c>
      <c r="D139" s="117">
        <f>+[2]Angers!$H139</f>
        <v>0</v>
      </c>
      <c r="E139" s="160">
        <f>IF(ISNA(VLOOKUP("ANG641400000",Balanceanp!C:G,5,FALSE))=TRUE,0,VLOOKUP("ANG641400000",Balanceanp!C:G,5,FALSE))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IF(ISNA(VLOOKUP("ANG641600000",Balance!C:G,5,FALSE))=TRUE,0,VLOOKUP("ANG641600000",Balance!C:G,5,FALSE))++IF(ISNA(VLOOKUP("ANG641420000",Balance!C:G,5,FALSE))=TRUE,0,VLOOKUP("ANG641420000",Balance!C:G,5,FALSE))</f>
        <v>3624.5</v>
      </c>
      <c r="D140" s="117">
        <f>+[2]Angers!$H140</f>
        <v>0</v>
      </c>
      <c r="E140" s="160">
        <f>IF(ISNA(VLOOKUP("ANG641600000",Balanceanp!C:G,5,FALSE))=TRUE,0,VLOOKUP("ANG641600000",Balanceanp!C:G,5,FALSE))+IF(ISNA(VLOOKUP("ANG641420000",Balanceanp!C:G,5,FALSE))=TRUE,0,VLOOKUP("ANG641420000",Balanceanp!C:G,5,FALSE))</f>
        <v>17.5</v>
      </c>
      <c r="F140" s="368">
        <f>+C140+C140/9*(12-Clients!$I$14)</f>
        <v>4832.666666666667</v>
      </c>
      <c r="G140" s="570">
        <v>0</v>
      </c>
      <c r="H140" s="401"/>
      <c r="I140" s="149">
        <f t="shared" si="11"/>
        <v>275.15238095238095</v>
      </c>
      <c r="J140" s="271">
        <f t="shared" si="11"/>
        <v>-1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IF(ISNA(VLOOKUP("ANG645100000",Balance!C:G,5,FALSE))=TRUE,0,VLOOKUP("ANG645100000",Balance!C:G,5,FALSE))</f>
        <v>24872.710000000003</v>
      </c>
      <c r="D141" s="117">
        <f>+[2]Angers!$H141</f>
        <v>31274.856917459267</v>
      </c>
      <c r="E141" s="160">
        <f>IF(ISNA(VLOOKUP("ANG645100000",Balanceanp!C:G,5,FALSE))=TRUE,0,VLOOKUP("ANG645100000",Balanceanp!C:G,5,FALSE))</f>
        <v>28267.380000000005</v>
      </c>
      <c r="F141" s="368">
        <f>+C141+C141/9*(12-Clients!$I$14)</f>
        <v>33163.613333333342</v>
      </c>
      <c r="G141" s="396">
        <f t="shared" ref="G141:G146" si="13">+($G$131/$C$131*C141)*1.01</f>
        <v>34240.626478165534</v>
      </c>
      <c r="H141" s="409"/>
      <c r="I141" s="149">
        <f t="shared" si="11"/>
        <v>0.17321143074927128</v>
      </c>
      <c r="J141" s="271">
        <f t="shared" si="11"/>
        <v>3.2475747862783892E-2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34240.626478165534</v>
      </c>
    </row>
    <row r="142" spans="1:13" ht="12.75">
      <c r="A142" s="5" t="s">
        <v>156</v>
      </c>
      <c r="B142" s="92"/>
      <c r="C142" s="160">
        <f>IF(ISNA(VLOOKUP("ANG645200000",Balance!C:G,5,FALSE))=TRUE,0,VLOOKUP("ANG645200000",Balance!C:G,5,FALSE))</f>
        <v>2921.67</v>
      </c>
      <c r="D142" s="117">
        <f>+[2]Angers!$H142</f>
        <v>3788.7705458025289</v>
      </c>
      <c r="E142" s="160">
        <f>IF(ISNA(VLOOKUP("ANG645200000",Balanceanp!C:G,5,FALSE))=TRUE,0,VLOOKUP("ANG645200000",Balanceanp!C:G,5,FALSE))</f>
        <v>3421.56</v>
      </c>
      <c r="F142" s="368">
        <f>+C142+C142/9*(12-Clients!$I$14)</f>
        <v>3895.56</v>
      </c>
      <c r="G142" s="396">
        <f t="shared" si="13"/>
        <v>4022.0712243443468</v>
      </c>
      <c r="H142" s="409"/>
      <c r="I142" s="149">
        <f t="shared" si="11"/>
        <v>0.13853330059972643</v>
      </c>
      <c r="J142" s="271">
        <f t="shared" si="11"/>
        <v>3.2475747862783996E-2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4022.0712243443468</v>
      </c>
    </row>
    <row r="143" spans="1:13" ht="12.75">
      <c r="A143" s="5" t="s">
        <v>157</v>
      </c>
      <c r="B143" s="92"/>
      <c r="C143" s="160">
        <f>IF(ISNA(VLOOKUP("ANG645300000",Balance!C:G,5,FALSE))=TRUE,0,VLOOKUP("ANG645300000",Balance!C:G,5,FALSE))</f>
        <v>6695.42</v>
      </c>
      <c r="D143" s="117">
        <f>+[2]Angers!$H143</f>
        <v>9226.0352765420412</v>
      </c>
      <c r="E143" s="160">
        <f>IF(ISNA(VLOOKUP("ANG645300000",Balanceanp!C:G,5,FALSE))=TRUE,0,VLOOKUP("ANG645300000",Balanceanp!C:G,5,FALSE))</f>
        <v>8494.76</v>
      </c>
      <c r="F143" s="368">
        <f>+C143+C143/9*(12-Clients!$I$14)</f>
        <v>8927.2266666666656</v>
      </c>
      <c r="G143" s="396">
        <f t="shared" si="13"/>
        <v>9217.1450290072553</v>
      </c>
      <c r="H143" s="409"/>
      <c r="I143" s="149">
        <f t="shared" si="11"/>
        <v>5.0909815776627627E-2</v>
      </c>
      <c r="J143" s="271">
        <f t="shared" si="11"/>
        <v>3.2475747862784163E-2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9217.1450290072553</v>
      </c>
    </row>
    <row r="144" spans="1:13" ht="12.75">
      <c r="A144" s="5" t="s">
        <v>326</v>
      </c>
      <c r="B144" s="92"/>
      <c r="C144" s="160">
        <f>IF(ISNA(VLOOKUP("ANG645310000",Balance!C:G,5,FALSE))=TRUE,0,VLOOKUP("ANG645310000",Balance!C:G,5,FALSE))</f>
        <v>0</v>
      </c>
      <c r="D144" s="117">
        <f>+[2]Angers!$H144</f>
        <v>0</v>
      </c>
      <c r="E144" s="160">
        <f>IF(ISNA(VLOOKUP("ANG645310000",Balanceanp!C:G,5,FALSE))=TRUE,0,VLOOKUP("ANG645310000",Balanceanp!C:G,5,FALSE))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0</v>
      </c>
    </row>
    <row r="145" spans="1:13" ht="12.75">
      <c r="A145" s="5" t="s">
        <v>158</v>
      </c>
      <c r="B145" s="92"/>
      <c r="C145" s="160">
        <f>IF(ISNA(VLOOKUP("ANG645400000",Balance!C:G,5,FALSE))=TRUE,0,VLOOKUP("ANG645400000",Balance!C:G,5,FALSE))</f>
        <v>4714.22</v>
      </c>
      <c r="D145" s="117">
        <f>+[2]Angers!$H145</f>
        <v>6239.3088298105222</v>
      </c>
      <c r="E145" s="160">
        <f>IF(ISNA(VLOOKUP("ANG645400000",Balanceanp!C:G,5,FALSE))=TRUE,0,VLOOKUP("ANG645400000",Balanceanp!C:G,5,FALSE))</f>
        <v>5787.88</v>
      </c>
      <c r="F145" s="368">
        <f>+C145+C145/9*(12-Clients!$I$14)</f>
        <v>6285.626666666667</v>
      </c>
      <c r="G145" s="396">
        <f t="shared" si="13"/>
        <v>6489.7570934529249</v>
      </c>
      <c r="H145" s="409"/>
      <c r="I145" s="149">
        <f t="shared" si="11"/>
        <v>8.5998097173173402E-2</v>
      </c>
      <c r="J145" s="271">
        <f t="shared" si="11"/>
        <v>3.2475747862783962E-2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6489.7570934529249</v>
      </c>
    </row>
    <row r="146" spans="1:13" ht="12.75">
      <c r="A146" s="5" t="s">
        <v>159</v>
      </c>
      <c r="B146" s="92"/>
      <c r="C146" s="160">
        <f>IF(ISNA(VLOOKUP("ANG645800000",Balance!C:G,5,FALSE))=TRUE,0,VLOOKUP("ANG645800000",Balance!C:G,5,FALSE))</f>
        <v>0</v>
      </c>
      <c r="D146" s="117">
        <f>+[2]Angers!$H146</f>
        <v>0</v>
      </c>
      <c r="E146" s="160">
        <f>IF(ISNA(VLOOKUP("ANG645800000",Balanceanp!C:G,5,FALSE))=TRUE,0,VLOOKUP("ANG645800000",Balanceanp!C:G,5,FALSE))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IF(ISNA(VLOOKUP("ANG645900000",Balance!C:G,5,FALSE))=TRUE,0,VLOOKUP("ANG645900000",Balance!C:G,5,FALSE))</f>
        <v>-113.37</v>
      </c>
      <c r="D147" s="117">
        <f>+[2]Angers!$H147</f>
        <v>69.504400000000004</v>
      </c>
      <c r="E147" s="160">
        <f>IF(ISNA(VLOOKUP("ANG645900000",Balanceanp!C:G,5,FALSE))=TRUE,0,VLOOKUP("ANG645900000",Balanceanp!C:G,5,FALSE))</f>
        <v>180.85</v>
      </c>
      <c r="F147" s="368">
        <f>+C147+C147/9*(12-Clients!$I$14)</f>
        <v>-151.16000000000003</v>
      </c>
      <c r="G147" s="396">
        <f>+F147*1.03</f>
        <v>-155.69480000000004</v>
      </c>
      <c r="H147" s="409"/>
      <c r="I147" s="149">
        <f t="shared" ref="I147:J152" si="14">+IF((E147)=0,,(F147-E147)/E147)</f>
        <v>-1.8358307990047</v>
      </c>
      <c r="J147" s="271">
        <f t="shared" si="14"/>
        <v>3.0000000000000117E-2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-155.69480000000004</v>
      </c>
    </row>
    <row r="148" spans="1:13" ht="12.75">
      <c r="A148" s="5" t="s">
        <v>161</v>
      </c>
      <c r="B148" s="92"/>
      <c r="C148" s="160">
        <f>IF(ISNA(VLOOKUP("ANG647100000",Balance!C:G,5,FALSE))=TRUE,0,VLOOKUP("ANG647100000",Balance!C:G,5,FALSE))</f>
        <v>28.81</v>
      </c>
      <c r="D148" s="117">
        <f>+[2]Angers!$H148</f>
        <v>50.726933499999994</v>
      </c>
      <c r="E148" s="160">
        <f>IF(ISNA(VLOOKUP("ANG647100000",Balanceanp!C:G,5,FALSE))=TRUE,0,VLOOKUP("ANG647100000",Balanceanp!C:G,5,FALSE))</f>
        <v>39.6</v>
      </c>
      <c r="F148" s="368">
        <f>+C148+C148/9*(12-Clients!$I$14)</f>
        <v>38.413333333333334</v>
      </c>
      <c r="G148" s="396">
        <f>+F148*1.03</f>
        <v>39.565733333333334</v>
      </c>
      <c r="H148" s="409"/>
      <c r="I148" s="149">
        <f t="shared" si="14"/>
        <v>-2.9966329966329985E-2</v>
      </c>
      <c r="J148" s="271">
        <f t="shared" si="14"/>
        <v>3.0000000000000002E-2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39.565733333333334</v>
      </c>
    </row>
    <row r="149" spans="1:13" ht="12.75">
      <c r="A149" s="5" t="s">
        <v>162</v>
      </c>
      <c r="B149" s="92"/>
      <c r="C149" s="160">
        <f>IF(ISNA(VLOOKUP("ANG647400000",Balance!C:G,5,FALSE))=TRUE,0,VLOOKUP("ANG647400000",Balance!C:G,5,FALSE))</f>
        <v>0</v>
      </c>
      <c r="D149" s="117">
        <f>+[2]Angers!$H149</f>
        <v>115.78884049999999</v>
      </c>
      <c r="E149" s="160">
        <f>IF(ISNA(VLOOKUP("ANG647400000",Balanceanp!C:G,5,FALSE))=TRUE,0,VLOOKUP("ANG647400000",Balanceanp!C:G,5,FALSE))</f>
        <v>51.6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0</v>
      </c>
    </row>
    <row r="150" spans="1:13" ht="12.75">
      <c r="A150" s="5" t="s">
        <v>163</v>
      </c>
      <c r="B150" s="92"/>
      <c r="C150" s="160">
        <f>IF(ISNA(VLOOKUP("ANG647500000",Balance!C:G,5,FALSE))=TRUE,0,VLOOKUP("ANG647500000",Balance!C:G,5,FALSE))</f>
        <v>258.05</v>
      </c>
      <c r="D150" s="117">
        <f>+[2]Angers!$H150</f>
        <v>333.63947108508927</v>
      </c>
      <c r="E150" s="160">
        <f>IF(ISNA(VLOOKUP("ANG647500000",Balanceanp!C:G,5,FALSE))=TRUE,0,VLOOKUP("ANG647500000",Balanceanp!C:G,5,FALSE))</f>
        <v>482.41</v>
      </c>
      <c r="F150" s="368">
        <f>+C150+C150/9*(12-Clients!$I$14)</f>
        <v>344.06666666666672</v>
      </c>
      <c r="G150" s="396">
        <f>+F150*1.03</f>
        <v>354.38866666666672</v>
      </c>
      <c r="H150" s="409"/>
      <c r="I150" s="149">
        <f t="shared" si="14"/>
        <v>-0.28677542615893803</v>
      </c>
      <c r="J150" s="271">
        <f t="shared" si="14"/>
        <v>3.0000000000000002E-2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354.38866666666672</v>
      </c>
    </row>
    <row r="151" spans="1:13" ht="12.75">
      <c r="A151" s="5" t="s">
        <v>570</v>
      </c>
      <c r="B151" s="92"/>
      <c r="C151" s="160"/>
      <c r="D151" s="117">
        <f>+[2]Angers!$H151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IF(ISNA(VLOOKUP("ANG648000000",Balance!C:G,5,FALSE))=TRUE,0,VLOOKUP("ANG648000000",Balance!C:G,5,FALSE))</f>
        <v>0</v>
      </c>
      <c r="D152" s="117">
        <f>+[2]Angers!$H152</f>
        <v>1779.7569820000001</v>
      </c>
      <c r="E152" s="160">
        <f>IF(ISNA(VLOOKUP("ANG648000000",Balanceanp!C:G,5,FALSE))=TRUE,0,VLOOKUP("ANG648000000",Balanceanp!C:G,5,FALSE))</f>
        <v>8983.2284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0.15143220312497332</v>
      </c>
      <c r="C154" s="163">
        <f>SUM(C130:C153)</f>
        <v>141047.92000000001</v>
      </c>
      <c r="D154" s="118">
        <f>SUM(D130:D153)</f>
        <v>180878.38819669944</v>
      </c>
      <c r="E154" s="163">
        <f>SUM(E130:E153)</f>
        <v>175488.01840000003</v>
      </c>
      <c r="F154" s="136">
        <f>SUM(F130:F153)</f>
        <v>188063.89333333334</v>
      </c>
      <c r="G154" s="136">
        <f>SUM(G130:G153)</f>
        <v>189207.85942497005</v>
      </c>
      <c r="H154" s="421">
        <f>+G154/$G$21</f>
        <v>0.14911641900995387</v>
      </c>
      <c r="I154" s="272">
        <f>+IF((E154)=0,,(F154-E154)/E154)</f>
        <v>7.1662299500518542E-2</v>
      </c>
      <c r="J154" s="188">
        <f>+IF((F154)=0,,(G154-F154)/F154)</f>
        <v>6.0828587101995927E-3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0.81559999999999999</v>
      </c>
      <c r="C156" s="160">
        <f>IF(ISNA(VLOOKUP("ANG681740000",Balance!C:G,5,FALSE))=TRUE,0,VLOOKUP("ANG681740000",Balance!C:G,5,FALSE))</f>
        <v>4140.72</v>
      </c>
      <c r="D156" s="117">
        <f>+[2]Angers!$H156</f>
        <v>16232.873300000001</v>
      </c>
      <c r="E156" s="160">
        <f>IF(ISNA(VLOOKUP("ANG681740000",Balanceanp!C:G,5,FALSE))=TRUE,0,VLOOKUP("ANG681740000",Balanceanp!C:G,5,FALSE))</f>
        <v>1763.08</v>
      </c>
      <c r="F156" s="368">
        <f>+C156+C156/9*(12-Clients!$I$14)</f>
        <v>5520.9600000000009</v>
      </c>
      <c r="G156" s="570">
        <f>+G21*B156*1.62%</f>
        <v>16765.091899200004</v>
      </c>
      <c r="H156" s="413"/>
      <c r="I156" s="149">
        <f t="shared" ref="I156:J166" si="15">+IF((E156)=0,,(F156-E156)/E156)</f>
        <v>2.1314290900015886</v>
      </c>
      <c r="J156" s="271">
        <f t="shared" si="15"/>
        <v>2.0366262206572774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IF(ISNA(VLOOKUP("ANG781740000",Balance!C:G,5,FALSE))=TRUE,0,VLOOKUP("ANG781740000",Balance!C:G,5,FALSE))</f>
        <v>-32.49</v>
      </c>
      <c r="D157" s="117">
        <f>+[2]Angers!$H157</f>
        <v>0</v>
      </c>
      <c r="E157" s="160">
        <f>IF(ISNA(VLOOKUP("ANG781740000",Balanceanp!C:G,5,FALSE))=TRUE,0,VLOOKUP("ANG781740000",Balanceanp!C:G,5,FALSE))</f>
        <v>-105.89</v>
      </c>
      <c r="F157" s="368">
        <f>+C157+C157/9*(12-Clients!$I$14)</f>
        <v>-43.320000000000007</v>
      </c>
      <c r="G157" s="396">
        <v>0</v>
      </c>
      <c r="H157" s="409"/>
      <c r="I157" s="149">
        <f t="shared" si="15"/>
        <v>-0.5908962130512796</v>
      </c>
      <c r="J157" s="271">
        <f t="shared" si="15"/>
        <v>-1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IF(ISNA(VLOOKUP("ANG654400000",Balance!C:G,5,FALSE))=TRUE,0,VLOOKUP("ANG654400000",Balance!C:G,5,FALSE))</f>
        <v>32.49</v>
      </c>
      <c r="D158" s="117">
        <f>+[2]Angers!$H158</f>
        <v>0</v>
      </c>
      <c r="E158" s="160">
        <f>IF(ISNA(VLOOKUP("ANG654400000",Balanceanp!C:G,5,FALSE))=TRUE,0,VLOOKUP("ANG654400000",Balanceanp!C:G,5,FALSE))</f>
        <v>0</v>
      </c>
      <c r="F158" s="368">
        <f>+C158+C158/9*(12-Clients!$I$14)</f>
        <v>43.320000000000007</v>
      </c>
      <c r="G158" s="396">
        <v>0</v>
      </c>
      <c r="H158" s="409"/>
      <c r="I158" s="149">
        <f t="shared" si="15"/>
        <v>0</v>
      </c>
      <c r="J158" s="271">
        <f t="shared" si="15"/>
        <v>-1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IF(ISNA(VLOOKUP("ANG791100000",Balance!C:G,5,FALSE))=TRUE,0,VLOOKUP("ANG791100000",Balance!C:G,5,FALSE))</f>
        <v>0</v>
      </c>
      <c r="D159" s="117">
        <f>+[2]Angers!$H159</f>
        <v>0</v>
      </c>
      <c r="E159" s="160">
        <f>IF(ISNA(VLOOKUP("ANG791100000",Balanceanp!C:G,5,FALSE))=TRUE,0,VLOOKUP("ANG791100000",Balanceanp!C:G,5,FALSE))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5"/>
        <v>0</v>
      </c>
      <c r="J159" s="271">
        <f t="shared" si="15"/>
        <v>0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IF(ISNA(VLOOKUP("ANG654100000",Balance!C:G,5,FALSE))=TRUE,0,VLOOKUP("ANG654100000",Balance!C:G,5,FALSE))</f>
        <v>-0.42</v>
      </c>
      <c r="D160" s="117">
        <f>+[2]Angers!$H160</f>
        <v>0</v>
      </c>
      <c r="E160" s="160">
        <f>IF(ISNA(VLOOKUP("ANG654100000",Balanceanp!C:G,5,FALSE))=TRUE,0,VLOOKUP("ANG654100000",Balanceanp!C:G,5,FALSE))</f>
        <v>-1.0200000000000005</v>
      </c>
      <c r="F160" s="368">
        <f>+C160+C160/9*(12-Clients!$I$14)</f>
        <v>-0.55999999999999994</v>
      </c>
      <c r="G160" s="396">
        <v>0</v>
      </c>
      <c r="H160" s="409"/>
      <c r="I160" s="149">
        <f t="shared" si="15"/>
        <v>-0.45098039215686303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IF(ISNA(VLOOKUP("ANG622700000",Balance!C:G,5,FALSE))=TRUE,0,VLOOKUP("ANG622700000",Balance!C:G,5,FALSE))</f>
        <v>74.03</v>
      </c>
      <c r="D161" s="117">
        <f>+[2]Angers!$H161</f>
        <v>182.89219517833891</v>
      </c>
      <c r="E161" s="160">
        <f>IF(ISNA(VLOOKUP("ANG622700000",Balanceanp!C:G,5,FALSE))=TRUE,0,VLOOKUP("ANG622700000",Balanceanp!C:G,5,FALSE))</f>
        <v>160.53</v>
      </c>
      <c r="F161" s="368">
        <f>+C161+C161/9*(12-Clients!$I$14)</f>
        <v>98.706666666666663</v>
      </c>
      <c r="G161" s="396">
        <f t="shared" ref="G161:G166" si="16">+F161*1.03</f>
        <v>101.66786666666667</v>
      </c>
      <c r="H161" s="409"/>
      <c r="I161" s="149">
        <f t="shared" si="15"/>
        <v>-0.38512012292614051</v>
      </c>
      <c r="J161" s="271">
        <f t="shared" si="15"/>
        <v>3.0000000000000054E-2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101.66786666666667</v>
      </c>
    </row>
    <row r="162" spans="1:13" ht="12.75">
      <c r="A162" s="5" t="s">
        <v>355</v>
      </c>
      <c r="B162" s="92"/>
      <c r="C162" s="160">
        <f>IF(ISNA(VLOOKUP("ang654200000",Balance!C:G,5,FALSE))=TRUE,0,VLOOKUP("ang654200000",Balance!C:G,5,FALSE))</f>
        <v>28.74</v>
      </c>
      <c r="D162" s="117">
        <f>+[2]Angers!$H162</f>
        <v>0</v>
      </c>
      <c r="E162" s="160">
        <f>IF(ISNA(VLOOKUP("ang654200000",Balanceanp!C:G,5,FALSE))=TRUE,0,VLOOKUP("ang654200000",Balanceanp!C:G,5,FALSE))</f>
        <v>3.59</v>
      </c>
      <c r="F162" s="368">
        <f>+C162+C162/9*(12-Clients!$I$14)</f>
        <v>38.32</v>
      </c>
      <c r="G162" s="396">
        <v>0</v>
      </c>
      <c r="H162" s="409"/>
      <c r="I162" s="149">
        <f t="shared" si="15"/>
        <v>9.6740947075208936</v>
      </c>
      <c r="J162" s="271">
        <f t="shared" si="15"/>
        <v>-1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0</v>
      </c>
    </row>
    <row r="163" spans="1:13" ht="12.75">
      <c r="A163" s="5" t="s">
        <v>200</v>
      </c>
      <c r="B163" s="92"/>
      <c r="C163" s="160">
        <f>IF(ISNA(VLOOKUP("ANG665000000",Balance!C:G,5,FALSE))=TRUE,0,VLOOKUP("ANG665000000",Balance!C:G,5,FALSE))+IF(ISNA(VLOOKUP("ANG665100000",Balance!C:G,5,FALSE))=TRUE,0,VLOOKUP("ANG665100000",Balance!C:G,5,FALSE))</f>
        <v>1325.59</v>
      </c>
      <c r="D163" s="117">
        <f>+[2]Angers!$H163</f>
        <v>2122.4866356145631</v>
      </c>
      <c r="E163" s="160">
        <f>IF(ISNA(VLOOKUP("ANG665000000",Balanceanp!C:G,5,FALSE))=TRUE,0,VLOOKUP("ANG665000000",Balanceanp!C:G,5,FALSE))+IF(ISNA(VLOOKUP("ANG665100000",Balanceanp!C:G,5,FALSE))=TRUE,0,VLOOKUP("ANG665100000",Balanceanp!C:G,5,FALSE))</f>
        <v>2058.44</v>
      </c>
      <c r="F163" s="368">
        <f>+C163+C163/9*(12-Clients!$I$14)</f>
        <v>1767.4533333333331</v>
      </c>
      <c r="G163" s="396">
        <f t="shared" si="16"/>
        <v>1820.4769333333331</v>
      </c>
      <c r="H163" s="409"/>
      <c r="I163" s="149">
        <f t="shared" si="15"/>
        <v>-0.14136271480668219</v>
      </c>
      <c r="J163" s="271">
        <f t="shared" si="15"/>
        <v>2.9999999999999995E-2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1820.4769333333331</v>
      </c>
    </row>
    <row r="164" spans="1:13" ht="12.75">
      <c r="A164" s="5" t="s">
        <v>271</v>
      </c>
      <c r="B164" s="92"/>
      <c r="C164" s="160">
        <f>IF(ISNA(VLOOKUP("ANG763000000",Balance!C:G,5,FALSE))=TRUE,0,VLOOKUP("ANG763000000",Balance!C:G,5,FALSE))</f>
        <v>-18</v>
      </c>
      <c r="D164" s="117">
        <f>+[2]Angers!$H164</f>
        <v>0</v>
      </c>
      <c r="E164" s="160">
        <f>IF(ISNA(VLOOKUP("ANG763000000",Balanceanp!C:G,5,FALSE))=TRUE,0,VLOOKUP("ANG763000000",Balanceanp!C:G,5,FALSE))</f>
        <v>-9</v>
      </c>
      <c r="F164" s="368">
        <f>+C164+C164/9*(12-Clients!$I$14)</f>
        <v>-24</v>
      </c>
      <c r="G164" s="396">
        <v>0</v>
      </c>
      <c r="H164" s="409"/>
      <c r="I164" s="149">
        <f t="shared" si="15"/>
        <v>1.6666666666666667</v>
      </c>
      <c r="J164" s="271">
        <f t="shared" si="15"/>
        <v>-1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0</v>
      </c>
    </row>
    <row r="165" spans="1:13" ht="12.75">
      <c r="A165" s="5" t="s">
        <v>242</v>
      </c>
      <c r="B165" s="92"/>
      <c r="C165" s="160">
        <f>IF(ISNA(VLOOKUP("ANG627520000",Balance!C:G,5,FALSE))=TRUE,0,VLOOKUP("ANG627520000",Balance!C:G,5,FALSE))</f>
        <v>144</v>
      </c>
      <c r="D165" s="117">
        <f>+[2]Angers!$H165</f>
        <v>125.69409049817291</v>
      </c>
      <c r="E165" s="160">
        <f>IF(ISNA(VLOOKUP("ANG627520000",Balanceanp!C:G,5,FALSE))=TRUE,0,VLOOKUP("ANG627520000",Balanceanp!C:G,5,FALSE))</f>
        <v>162</v>
      </c>
      <c r="F165" s="368">
        <f>+C165+C165/9*(12-Clients!$I$14)</f>
        <v>192</v>
      </c>
      <c r="G165" s="396">
        <f t="shared" si="16"/>
        <v>197.76</v>
      </c>
      <c r="H165" s="409"/>
      <c r="I165" s="149">
        <f t="shared" si="15"/>
        <v>0.18518518518518517</v>
      </c>
      <c r="J165" s="271">
        <f t="shared" si="15"/>
        <v>2.9999999999999954E-2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197.76</v>
      </c>
    </row>
    <row r="166" spans="1:13" ht="12.75">
      <c r="A166" s="5" t="s">
        <v>201</v>
      </c>
      <c r="B166" s="92"/>
      <c r="C166" s="160">
        <f>IF(ISNA(VLOOKUP("ANG763100000",Balance!C:G,5,FALSE))=TRUE,0,VLOOKUP("ANG763100000",Balance!C:G,5,FALSE))</f>
        <v>0</v>
      </c>
      <c r="D166" s="117">
        <f>+[2]Angers!$H166</f>
        <v>0</v>
      </c>
      <c r="E166" s="160">
        <f>IF(ISNA(VLOOKUP("ANG763100000",Balanceanp!C:G,5,FALSE))=TRUE,0,VLOOKUP("ANG763100000",Balanceanp!C:G,5,FALSE))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6.1139144047474116E-3</v>
      </c>
      <c r="C168" s="163">
        <f>SUM(C155:C167)</f>
        <v>5694.66</v>
      </c>
      <c r="D168" s="118">
        <f>SUM(D155:D167)</f>
        <v>18663.946221291077</v>
      </c>
      <c r="E168" s="163">
        <f>SUM(E155:E167)</f>
        <v>4031.7299999999996</v>
      </c>
      <c r="F168" s="136">
        <f>SUM(F155:F167)</f>
        <v>7592.88</v>
      </c>
      <c r="G168" s="136">
        <f>SUM(G155:G167)</f>
        <v>18884.996699200001</v>
      </c>
      <c r="H168" s="421">
        <f>+G168/$G$21</f>
        <v>1.4883436075847611E-2</v>
      </c>
      <c r="I168" s="272">
        <f>+IF((E168)=0,,(F168-E168)/E168)</f>
        <v>0.88328087446331993</v>
      </c>
      <c r="J168" s="188">
        <f>+IF((F168)=0,,(G168-F168)/F168)</f>
        <v>1.4871980986397784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272</v>
      </c>
      <c r="B170" s="92"/>
      <c r="C170" s="160">
        <f>IF(ISNA(VLOOKUP("ANG651100000",Balance!C:G,5,FALSE))=TRUE,0,VLOOKUP("ANG651100000",Balance!C:G,5,FALSE))</f>
        <v>0</v>
      </c>
      <c r="D170" s="117">
        <f>+[2]Angers!$H170</f>
        <v>0</v>
      </c>
      <c r="E170" s="160">
        <f>IF(ISNA(VLOOKUP("ANG651100000",Balanceanp!C:G,5,FALSE))=TRUE,0,VLOOKUP("ANG651100000",Balanceanp!C:G,5,FALSE))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IF(ISNA(VLOOKUP("ANG651600000",Balance!C:G,5,FALSE))=TRUE,0,VLOOKUP("ANG651600000",Balance!C:G,5,FALSE))</f>
        <v>188.41</v>
      </c>
      <c r="D171" s="117">
        <f>+[2]Angers!$H171</f>
        <v>224.49998421986146</v>
      </c>
      <c r="E171" s="160">
        <f>IF(ISNA(VLOOKUP("ANG651600000",Balanceanp!C:G,5,FALSE))=TRUE,0,VLOOKUP("ANG651600000",Balanceanp!C:G,5,FALSE))</f>
        <v>155.85</v>
      </c>
      <c r="F171" s="368">
        <f>+C171+C171/9*(12-Clients!$I$14)</f>
        <v>251.21333333333334</v>
      </c>
      <c r="G171" s="396">
        <f t="shared" si="17"/>
        <v>258.74973333333332</v>
      </c>
      <c r="H171" s="409"/>
      <c r="I171" s="149">
        <f t="shared" si="18"/>
        <v>0.61189177628061175</v>
      </c>
      <c r="J171" s="271">
        <f t="shared" si="18"/>
        <v>2.9999999999999943E-2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258.74973333333332</v>
      </c>
    </row>
    <row r="172" spans="1:13" ht="12.75">
      <c r="A172" s="5" t="s">
        <v>169</v>
      </c>
      <c r="B172" s="92"/>
      <c r="C172" s="160">
        <f>IF(ISNA(VLOOKUP("ANG671200000",Balance!C:G,5,FALSE))=TRUE,0,VLOOKUP("ANG671200000",Balance!C:G,5,FALSE))</f>
        <v>0</v>
      </c>
      <c r="D172" s="117">
        <f>+[2]Angers!$H172</f>
        <v>0</v>
      </c>
      <c r="E172" s="160">
        <f>IF(ISNA(VLOOKUP("ANG671200000",Balanceanp!C:G,5,FALSE))=TRUE,0,VLOOKUP("ANG671200000",Balanceanp!C:G,5,FALSE))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IF(ISNA(VLOOKUP("ANG671800000",Balance!C:G,5,FALSE))=TRUE,0,VLOOKUP("ANG671800000",Balance!C:G,5,FALSE))</f>
        <v>15</v>
      </c>
      <c r="D173" s="117">
        <f>+[2]Angers!$H173</f>
        <v>0</v>
      </c>
      <c r="E173" s="160">
        <f>IF(ISNA(VLOOKUP("ANG671800000",Balanceanp!C:G,5,FALSE))=TRUE,0,VLOOKUP("ANG671800000",Balanceanp!C:G,5,FALSE))+IF(ISNA(VLOOKUP("ANG658000000",Balanceanp!C:G,5,FALSE))=TRUE,0,VLOOKUP("ANG658000000",Balanceanp!C:G,5,FALSE))</f>
        <v>2361.0099999999998</v>
      </c>
      <c r="F173" s="368">
        <f>+C173+C173/9*(12-Clients!$I$14)</f>
        <v>20</v>
      </c>
      <c r="G173" s="396">
        <v>0</v>
      </c>
      <c r="H173" s="409"/>
      <c r="I173" s="149">
        <f t="shared" si="18"/>
        <v>-0.99152904900868699</v>
      </c>
      <c r="J173" s="271">
        <f t="shared" si="18"/>
        <v>-1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0</v>
      </c>
    </row>
    <row r="174" spans="1:13" ht="12.75">
      <c r="A174" s="5" t="s">
        <v>171</v>
      </c>
      <c r="B174" s="92"/>
      <c r="C174" s="160">
        <f>IF(ISNA(VLOOKUP("ANG672000000",Balance!C:G,5,FALSE))=TRUE,0,VLOOKUP("ANG672000000",Balance!C:G,5,FALSE))</f>
        <v>0</v>
      </c>
      <c r="D174" s="117">
        <f>+[2]Angers!$H174</f>
        <v>0</v>
      </c>
      <c r="E174" s="160">
        <f>IF(ISNA(VLOOKUP("ANG672000000",Balanceanp!C:G,5,FALSE))=TRUE,0,VLOOKUP("ANG672000000",Balanceanp!C:G,5,FALSE))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IF(ISNA(VLOOKUP("ANG691100000",Balance!C:G,5,FALSE))=TRUE,0,VLOOKUP("ANG691100000",Balance!C:G,5,FALSE))</f>
        <v>0</v>
      </c>
      <c r="D175" s="117">
        <f>+[2]Angers!$H175</f>
        <v>0</v>
      </c>
      <c r="E175" s="160">
        <f>IF(ISNA(VLOOKUP("ANG691100000",Balanceanp!C:G,5,FALSE))=TRUE,0,VLOOKUP("ANG691100000",Balanceanp!C:G,5,FALSE))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IF(ISNA(VLOOKUP("ANG675100000",Balance!C:G,5,FALSE))=TRUE,0,VLOOKUP("ANG675100000",Balance!C:G,5,FALSE))</f>
        <v>0</v>
      </c>
      <c r="D176" s="117">
        <f>+[2]Angers!$H176</f>
        <v>0</v>
      </c>
      <c r="E176" s="160">
        <f>IF(ISNA(VLOOKUP("ANG675100000",Balanceanp!C:G,5,FALSE))=TRUE,0,VLOOKUP("ANG675100000",Balanceanp!C:G,5,FALSE))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IF(ISNA(VLOOKUP("ANG675200000",Balance!C:G,5,FALSE))=TRUE,0,VLOOKUP("ANG675200000",Balance!C:G,5,FALSE))</f>
        <v>0</v>
      </c>
      <c r="D177" s="117">
        <f>+[2]Angers!$H177</f>
        <v>0</v>
      </c>
      <c r="E177" s="160">
        <f>IF(ISNA(VLOOKUP("ANG675200000",Balanceanp!C:G,5,FALSE))=TRUE,0,VLOOKUP("ANG675200000",Balanceanp!C:G,5,FALSE))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IF(ISNA(VLOOKUP("ANG681110000",Balance!C:G,5,FALSE))=TRUE,0,VLOOKUP("ANG681110000",Balance!C:G,5,FALSE))</f>
        <v>0</v>
      </c>
      <c r="D178" s="117">
        <f>+[2]Angers!$H178</f>
        <v>0</v>
      </c>
      <c r="E178" s="160">
        <f>IF(ISNA(VLOOKUP("ANG681110000",Balanceanp!C:G,5,FALSE))=TRUE,0,VLOOKUP("ANG681110000",Balanceanp!C:G,5,FALSE))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IF(ISNA(VLOOKUP("ANG681120000",Balance!C:G,5,FALSE))=TRUE,0,VLOOKUP("ANG681120000",Balance!C:G,5,FALSE))</f>
        <v>9749.9699999999993</v>
      </c>
      <c r="D179" s="117">
        <f>+[2]Angers!$H179</f>
        <v>13000</v>
      </c>
      <c r="E179" s="160">
        <f>IF(ISNA(VLOOKUP("ANG681120000",Balanceanp!C:G,5,FALSE))=TRUE,0,VLOOKUP("ANG681120000",Balanceanp!C:G,5,FALSE))</f>
        <v>10401.540000000001</v>
      </c>
      <c r="F179" s="425">
        <v>11394.3</v>
      </c>
      <c r="G179" s="570">
        <f>10729.81+500+G255/10</f>
        <v>11229.81</v>
      </c>
      <c r="H179" s="413"/>
      <c r="I179" s="149">
        <f t="shared" si="18"/>
        <v>9.544355931910066E-2</v>
      </c>
      <c r="J179" s="271">
        <f t="shared" si="18"/>
        <v>-1.4436165451146607E-2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11229.81</v>
      </c>
    </row>
    <row r="180" spans="1:13" ht="12.75">
      <c r="A180" s="5" t="s">
        <v>78</v>
      </c>
      <c r="B180" s="92"/>
      <c r="C180" s="160">
        <f>IF(ISNA(VLOOKUP("ANG687250000",Balance!C:G,5,FALSE))=TRUE,0,VLOOKUP("ANG687250000",Balance!C:G,5,FALSE))</f>
        <v>0</v>
      </c>
      <c r="D180" s="117">
        <f>+[2]Angers!$H180</f>
        <v>0</v>
      </c>
      <c r="E180" s="160">
        <f>IF(ISNA(VLOOKUP("ANG687250000",Balanceanp!C:G,5,FALSE))=TRUE,0,VLOOKUP("ANG687250000",Balanceanp!C:G,5,FALSE))</f>
        <v>840.09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IF(ISNA(VLOOKUP("ANG661880000",Balance!C:G,5,FALSE))=TRUE,0,VLOOKUP("ANG661880000",Balance!C:G,5,FALSE))</f>
        <v>0</v>
      </c>
      <c r="D181" s="117">
        <f>+[2]Angers!$H181</f>
        <v>0</v>
      </c>
      <c r="E181" s="160">
        <f>IF(ISNA(VLOOKUP("ANG661880000",Balanceanp!C:G,5,FALSE))=TRUE,0,VLOOKUP("ANG661880000",Balanceanp!C:G,5,FALSE))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>
        <f>IF(ISNA(VLOOKUP("ANG661610000",Balance!C:G,5,FALSE))=TRUE,0,VLOOKUP("ANG661610000",Balance!C:G,5,FALSE))</f>
        <v>0</v>
      </c>
      <c r="D182" s="117">
        <f>+[2]Angers!$H182</f>
        <v>321.42180000000002</v>
      </c>
      <c r="E182" s="160">
        <f>IF(ISNA(VLOOKUP("ANG661610000",Balanceanp!C:G,5,FALSE))=TRUE,0,VLOOKUP("ANG661610000",Balanceanp!C:G,5,FALSE))</f>
        <v>312.06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-1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IF(ISNA(VLOOKUP("ang681500000",Balance!C:G,5,FALSE))=TRUE,0,VLOOKUP("ang681500000",Balance!C:G,5,FALSE))</f>
        <v>0</v>
      </c>
      <c r="D183" s="117">
        <f>+[2]Angers!$H183</f>
        <v>0</v>
      </c>
      <c r="E183" s="160">
        <f>IF(ISNA(VLOOKUP("ang681500000",Balanceanp!C:G,5,FALSE))=TRUE,0,VLOOKUP("ang681500000",Balanceanp!C:G,5,FALSE))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9953.3799999999992</v>
      </c>
      <c r="D185" s="118">
        <f>SUM(D169:D184)</f>
        <v>13545.921784219861</v>
      </c>
      <c r="E185" s="280">
        <f>SUM(E169:E184)</f>
        <v>14070.550000000001</v>
      </c>
      <c r="F185" s="136">
        <f>SUM(F169:F184)</f>
        <v>11665.513333333332</v>
      </c>
      <c r="G185" s="136">
        <f>SUM(G169:G184)</f>
        <v>11488.559733333333</v>
      </c>
      <c r="H185" s="421"/>
      <c r="I185" s="272">
        <f>+IF((E185)=0,,(F185-E185)/E185)</f>
        <v>-0.17092698342756099</v>
      </c>
      <c r="J185" s="188">
        <f>+IF((F185)=0,,(G185-F185)/F185)</f>
        <v>-1.5168950987726124E-2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IF(ISNA(VLOOKUP("ANG740000000",Balance!C:G,5,FALSE))=TRUE,0,-VLOOKUP("ANG740000000",Balance!C:G,5,FALSE))</f>
        <v>0</v>
      </c>
      <c r="D187" s="117">
        <f>+[2]Angers!$H187</f>
        <v>0</v>
      </c>
      <c r="E187" s="160">
        <f>IF(ISNA(VLOOKUP("ANG740000000",Balanceanp!C:G,5,FALSE))=TRUE,0,-VLOOKUP("ANG740000000",Balanceanp!C:G,5,FALSE))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IF(ISNA(VLOOKUP("ANG751100000",Balance!C:G,5,FALSE))=TRUE,0,-VLOOKUP("ANG751100000",Balance!C:G,5,FALSE))</f>
        <v>0</v>
      </c>
      <c r="D188" s="117">
        <f>+[2]Angers!$H188</f>
        <v>0</v>
      </c>
      <c r="E188" s="160">
        <f>IF(ISNA(VLOOKUP("ANG751100000",Balanceanp!C:G,5,FALSE))=TRUE,0,-VLOOKUP("ANG751100000",Balanceanp!C:G,5,FALSE))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IF(ISNA(VLOOKUP("ANG758100000",Balance!C:G,5,FALSE))=TRUE,0,-VLOOKUP("ANG758100000",Balance!C:G,5,FALSE))</f>
        <v>0</v>
      </c>
      <c r="D189" s="117">
        <f>+[2]Angers!$H189</f>
        <v>0</v>
      </c>
      <c r="E189" s="160">
        <f>IF(ISNA(VLOOKUP("ANG758100000",Balanceanp!C:G,5,FALSE))=TRUE,0,-VLOOKUP("ANG758100000",Balanceanp!C:G,5,FALSE))</f>
        <v>319.57</v>
      </c>
      <c r="F189" s="368">
        <f>+C189+C189/9*(12-Clients!$I$14)</f>
        <v>0</v>
      </c>
      <c r="G189" s="368">
        <v>0</v>
      </c>
      <c r="H189" s="410"/>
      <c r="I189" s="149">
        <f t="shared" si="19"/>
        <v>-1</v>
      </c>
      <c r="J189" s="271">
        <f t="shared" si="19"/>
        <v>0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IF(ISNA(VLOOKUP("ANG763800000",Balance!C:G,5,FALSE))=TRUE,0,-VLOOKUP("ANG763800000",Balance!C:G,5,FALSE))</f>
        <v>0</v>
      </c>
      <c r="D190" s="117">
        <f>+[2]Angers!$H190</f>
        <v>0</v>
      </c>
      <c r="E190" s="160">
        <f>IF(ISNA(VLOOKUP("ANG763800000",Balanceanp!C:G,5,FALSE))=TRUE,0,-VLOOKUP("ANG763800000",Balanceanp!C:G,5,FALSE))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IF(ISNA(VLOOKUP("ANG765000000",Balance!C:G,5,FALSE))=TRUE,0,-VLOOKUP("ANG765000000",Balance!C:G,5,FALSE))</f>
        <v>0</v>
      </c>
      <c r="D191" s="117">
        <f>+[2]Angers!$H191</f>
        <v>0</v>
      </c>
      <c r="E191" s="160">
        <f>IF(ISNA(VLOOKUP("ANG765000000",Balanceanp!C:G,5,FALSE))=TRUE,0,-VLOOKUP("ANG765000000",Balanceanp!C:G,5,FALSE))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IF(ISNA(VLOOKUP("ANG771400000",Balance!C:G,5,FALSE))=TRUE,0,-VLOOKUP("ANG771400000",Balance!C:G,5,FALSE))</f>
        <v>0</v>
      </c>
      <c r="D192" s="117">
        <f>+[2]Angers!$H192</f>
        <v>0</v>
      </c>
      <c r="E192" s="160">
        <f>IF(ISNA(VLOOKUP("ANG771400000",Balanceanp!C:G,5,FALSE))=TRUE,0,-VLOOKUP("ANG771400000",Balanceanp!C:G,5,FALSE))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IF(ISNA(VLOOKUP("ANG771800000",Balance!C:G,5,FALSE))=TRUE,0,-VLOOKUP("ANG771800000",Balance!C:G,5,FALSE))</f>
        <v>86.05</v>
      </c>
      <c r="D193" s="117">
        <f>+[2]Angers!$H193</f>
        <v>0</v>
      </c>
      <c r="E193" s="160">
        <f>IF(ISNA(VLOOKUP("ANG771800000",Balanceanp!C:G,5,FALSE))=TRUE,0,-VLOOKUP("ANG771800000",Balanceanp!C:G,5,FALSE))</f>
        <v>141</v>
      </c>
      <c r="F193" s="368">
        <f>+C193+C193/9*(12-Clients!$I$14)</f>
        <v>114.73333333333332</v>
      </c>
      <c r="G193" s="368">
        <v>0</v>
      </c>
      <c r="H193" s="410"/>
      <c r="I193" s="149">
        <f t="shared" si="19"/>
        <v>-0.18628841607565022</v>
      </c>
      <c r="J193" s="271">
        <f t="shared" si="19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IF(ISNA(VLOOKUP("ANG758000000",Balance!C:G,5,FALSE))=TRUE,0,-VLOOKUP("ANG758000000",Balance!C:G,5,FALSE))</f>
        <v>0</v>
      </c>
      <c r="D194" s="117">
        <f>+[2]Angers!$H194</f>
        <v>0</v>
      </c>
      <c r="E194" s="160">
        <f>IF(ISNA(VLOOKUP("ANG758000000",Balanceanp!C:G,5,FALSE))=TRUE,0,-VLOOKUP("ANG758000000",Balanceanp!C:G,5,FALSE))</f>
        <v>1730.59</v>
      </c>
      <c r="F194" s="368">
        <f>+C194+C194/9*(12-Clients!$I$14)</f>
        <v>0</v>
      </c>
      <c r="G194" s="368">
        <v>0</v>
      </c>
      <c r="H194" s="410"/>
      <c r="I194" s="149">
        <f t="shared" si="19"/>
        <v>-1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IF(ISNA(VLOOKUP("ANG775100000",Balance!C:G,5,FALSE))=TRUE,0,-VLOOKUP("ANG775100000",Balance!C:G,5,FALSE))</f>
        <v>0</v>
      </c>
      <c r="D195" s="117">
        <f>+[2]Angers!$H195</f>
        <v>0</v>
      </c>
      <c r="E195" s="160">
        <f>IF(ISNA(VLOOKUP("ANG775100000",Balanceanp!C:G,5,FALSE))=TRUE,0,-VLOOKUP("ANG775100000",Balanceanp!C:G,5,FALSE))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IF(ISNA(VLOOKUP("ANG775200000",Balance!C:G,5,FALSE))=TRUE,0,-VLOOKUP("ANG775200000",Balance!C:G,5,FALSE))</f>
        <v>0</v>
      </c>
      <c r="D196" s="117">
        <f>+[2]Angers!$H196</f>
        <v>0</v>
      </c>
      <c r="E196" s="160">
        <f>IF(ISNA(VLOOKUP("ANG775200000",Balanceanp!C:G,5,FALSE))=TRUE,0,-VLOOKUP("ANG775200000",Balanceanp!C:G,5,FALSE))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IF(ISNA(VLOOKUP("ANG791000000",Balance!C:G,5,FALSE))=TRUE,0,-VLOOKUP("ANG791000000",Balance!C:G,5,FALSE))</f>
        <v>0</v>
      </c>
      <c r="D197" s="117">
        <f>+[2]Angers!$H197</f>
        <v>0</v>
      </c>
      <c r="E197" s="160">
        <f>IF(ISNA(VLOOKUP("ANG791000000",Balanceanp!C:G,5,FALSE))=TRUE,0,-VLOOKUP("ANG791000000",Balanceanp!C:G,5,FALSE))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IF(ISNA(VLOOKUP("ang781500000",Balance!C:G,5,FALSE))=TRUE,0,-VLOOKUP("ang781500000",Balance!C:G,5,FALSE))</f>
        <v>0</v>
      </c>
      <c r="D198" s="117">
        <f>+[2]Angers!$H198</f>
        <v>0</v>
      </c>
      <c r="E198" s="160">
        <f>IF(ISNA(VLOOKUP("ang781500000",Balanceanp!C:G,5,FALSE))=TRUE,0,-VLOOKUP("ang781500000",Balanceanp!C:G,5,FALSE))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IF(ISNA(VLOOKUP("ang787250000",Balance!C:G,5,FALSE))=TRUE,0,-VLOOKUP("ang787250000",Balance!C:G,5,FALSE))</f>
        <v>0</v>
      </c>
      <c r="D199" s="117">
        <f>+[2]Angers!$H199</f>
        <v>0</v>
      </c>
      <c r="E199" s="160">
        <f>IF(ISNA(VLOOKUP("ang787250000",Balanceanp!C:G,5,FALSE))=TRUE,0,-VLOOKUP("ang787250000",Balanceanp!C:G,5,FALSE))</f>
        <v>421.84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86.05</v>
      </c>
      <c r="D201" s="118">
        <f>SUM(D186:D200)</f>
        <v>0</v>
      </c>
      <c r="E201" s="163">
        <f>SUM(E186:E200)</f>
        <v>2613</v>
      </c>
      <c r="F201" s="136">
        <f>SUM(F186:F200)</f>
        <v>114.73333333333332</v>
      </c>
      <c r="G201" s="136">
        <f>SUM(G186:G200)</f>
        <v>0</v>
      </c>
      <c r="H201" s="421"/>
      <c r="I201" s="272">
        <f>+IF((E201)=0,,(F201-E201)/E201)</f>
        <v>-0.95609133818089054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0.26541183043178118</v>
      </c>
      <c r="C203" s="175">
        <f>+C103+C116+C129+C154+C168+C185-C201</f>
        <v>247211.53000000003</v>
      </c>
      <c r="D203" s="126">
        <f>+D103+D116+D129+D154+D168+D185-D201</f>
        <v>342854.4827719811</v>
      </c>
      <c r="E203" s="175">
        <f>+E103+E116+E129+E154+E168+E185-E201</f>
        <v>319515.06839999999</v>
      </c>
      <c r="F203" s="145">
        <f>+F103+F116+F129+F154+F168+F185-F201</f>
        <v>321876.96666666662</v>
      </c>
      <c r="G203" s="145">
        <f>+G103+G116+G129+G154+G168+G185-G201</f>
        <v>344045.43962846469</v>
      </c>
      <c r="H203" s="422">
        <f>+G203/$G$21</f>
        <v>0.27114531124668184</v>
      </c>
      <c r="I203" s="281">
        <f>+IF((E203)=0,,(F203-E203)/E203)</f>
        <v>7.3921342066715096E-3</v>
      </c>
      <c r="J203" s="282">
        <f>+IF((F203)=0,,(G203-F203)/F203)</f>
        <v>6.8872504893323361E-2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0.10626665033973332</v>
      </c>
      <c r="C205" s="177">
        <f>+C62-C203</f>
        <v>98979.541250000009</v>
      </c>
      <c r="D205" s="127">
        <f>+D62-D203</f>
        <v>129270.5172280189</v>
      </c>
      <c r="E205" s="177">
        <f>+E53-E203</f>
        <v>135044.8391000001</v>
      </c>
      <c r="F205" s="146">
        <f>+F62-F203</f>
        <v>147160.33208333346</v>
      </c>
      <c r="G205" s="146">
        <f>+G62-G203</f>
        <v>127652.06037153531</v>
      </c>
      <c r="H205" s="406">
        <f>+G205/$G$21</f>
        <v>0.10060373908195963</v>
      </c>
      <c r="I205" s="226">
        <f>+IF((E205)=0,,(F205-E205)/E205)</f>
        <v>8.9714594530797956E-2</v>
      </c>
      <c r="J205" s="283">
        <f>+IF((F205)=0,,(G205-F205)/F205)</f>
        <v>-0.13256474374324648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2.6512189220550889E-3</v>
      </c>
      <c r="C207" s="179">
        <f>+[2]Angers!$C207</f>
        <v>2469.4147394256784</v>
      </c>
      <c r="D207" s="128">
        <f>+[2]Angers!$H207</f>
        <v>7572.6710715108138</v>
      </c>
      <c r="E207" s="284">
        <f>+[1]Angers!$G$207</f>
        <v>2851.3069060686244</v>
      </c>
      <c r="F207" s="150">
        <f>+Repart!K10</f>
        <v>3386.9985720273057</v>
      </c>
      <c r="G207" s="150">
        <f>+Repart!Q10</f>
        <v>4802.892280001498</v>
      </c>
      <c r="H207" s="423">
        <f>+G207/$G$21</f>
        <v>3.785202685876691E-3</v>
      </c>
      <c r="I207" s="281">
        <f>+IF((E207)=0,,(F207-E207)/E207)</f>
        <v>0.18787583504902033</v>
      </c>
      <c r="J207" s="282">
        <f>+IF((F207)=0,,(G207-F207)/F207)</f>
        <v>0.41803788158277894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0.10361543141767823</v>
      </c>
      <c r="C209" s="177">
        <f>+C205-C207</f>
        <v>96510.126510574337</v>
      </c>
      <c r="D209" s="127">
        <f>+D205-D207</f>
        <v>121697.84615650808</v>
      </c>
      <c r="E209" s="177">
        <f>+E205-E207</f>
        <v>132193.53219393149</v>
      </c>
      <c r="F209" s="146">
        <f>+F205-F207</f>
        <v>143773.33351130615</v>
      </c>
      <c r="G209" s="146">
        <f>+G205-G207</f>
        <v>122849.16809153381</v>
      </c>
      <c r="H209" s="406">
        <f>+G209/$G$21</f>
        <v>9.6818536396082941E-2</v>
      </c>
      <c r="I209" s="226">
        <f>+IF((E209)=0,,(F209-E209)/E209)</f>
        <v>8.7597336459599079E-2</v>
      </c>
      <c r="J209" s="283">
        <f>+IF((F209)=0,,(G209-F209)/F209)</f>
        <v>-0.14553578823521465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7.0161892477543916E-3</v>
      </c>
      <c r="C211" s="160">
        <f>+[2]Angers!$C211</f>
        <v>6535.0624193548392</v>
      </c>
      <c r="D211" s="117">
        <f>+[2]Angers!$H211</f>
        <v>9026.0372215405096</v>
      </c>
      <c r="E211" s="160">
        <f>+[1]Angers!$G211</f>
        <v>8095.0860719999991</v>
      </c>
      <c r="F211" s="368">
        <f>+Repart!I10</f>
        <v>8997.9607634408567</v>
      </c>
      <c r="G211" s="368">
        <f>+Repart!O10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3.8897067840570176E-2</v>
      </c>
      <c r="C212" s="160">
        <f>+[2]Angers!$C212</f>
        <v>36229.747700913809</v>
      </c>
      <c r="D212" s="117">
        <f>+[2]Angers!$H212</f>
        <v>47965.762075747116</v>
      </c>
      <c r="E212" s="160">
        <f>+[1]Angers!$G212</f>
        <v>43760.404412927201</v>
      </c>
      <c r="F212" s="368">
        <f>+Repart!J10</f>
        <v>51621.303799607304</v>
      </c>
      <c r="G212" s="368">
        <f>+Repart!P10</f>
        <v>51747.525379047911</v>
      </c>
      <c r="H212" s="410"/>
      <c r="I212" s="149">
        <f t="shared" si="20"/>
        <v>0.17963498034670644</v>
      </c>
      <c r="J212" s="271">
        <f t="shared" si="20"/>
        <v>2.445145127108697E-3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+[2]Angers!$C213</f>
        <v>-9082.44</v>
      </c>
      <c r="D213" s="117">
        <f>+[2]Angers!$H213</f>
        <v>-10000</v>
      </c>
      <c r="E213" s="160">
        <f>+[1]Angers!$G213</f>
        <v>-9599.31</v>
      </c>
      <c r="F213" s="368">
        <f>+C213+C213/9*(12-Clients!$I$14)</f>
        <v>-12109.920000000002</v>
      </c>
      <c r="G213" s="368">
        <f>+G253*-4%</f>
        <v>-10000</v>
      </c>
      <c r="H213" s="410"/>
      <c r="I213" s="149">
        <f t="shared" si="20"/>
        <v>0.26154067323588909</v>
      </c>
      <c r="J213" s="271">
        <f t="shared" si="20"/>
        <v>-0.17423071333254073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3.616214626761638E-2</v>
      </c>
      <c r="C215" s="180">
        <f>SUM(C210:C213)</f>
        <v>33682.37012026865</v>
      </c>
      <c r="D215" s="129">
        <f>SUM(D210:D213)</f>
        <v>46991.799297287624</v>
      </c>
      <c r="E215" s="180">
        <f>SUM(E210:E213)</f>
        <v>42256.180484927201</v>
      </c>
      <c r="F215" s="148">
        <f>SUM(F210:F213)</f>
        <v>48509.344563048158</v>
      </c>
      <c r="G215" s="148">
        <f>SUM(G210:G213)</f>
        <v>51392.210058358389</v>
      </c>
      <c r="H215" s="424">
        <f>+G215/$G$21</f>
        <v>4.0502663854450761E-2</v>
      </c>
      <c r="I215" s="281">
        <f>+IF((E215)=0,,(F215-E215)/E215)</f>
        <v>0.14798223612168315</v>
      </c>
      <c r="J215" s="282">
        <f>+IF((F215)=0,,(G215-F215)/F215)</f>
        <v>5.9429075393161349E-2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6.745328515006184E-2</v>
      </c>
      <c r="C217" s="177">
        <f>+C209-C215</f>
        <v>62827.756390305687</v>
      </c>
      <c r="D217" s="127">
        <f>+D209-D215</f>
        <v>74706.046859220456</v>
      </c>
      <c r="E217" s="177">
        <f>+E209-E215</f>
        <v>89937.351709004288</v>
      </c>
      <c r="F217" s="146">
        <f>+F209-F215</f>
        <v>95263.988948257989</v>
      </c>
      <c r="G217" s="146">
        <f>+G209-G215</f>
        <v>71456.958033175411</v>
      </c>
      <c r="H217" s="406">
        <f>+G217/$G$21</f>
        <v>5.631587254163218E-2</v>
      </c>
      <c r="I217" s="226">
        <f>+IF((E217)=0,,(F217-E217)/E217)</f>
        <v>5.922608502514326E-2</v>
      </c>
      <c r="J217" s="283">
        <f>+IF((F217)=0,,(G217-F217)/F217)</f>
        <v>-0.24990587920912288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62827.756390305774</v>
      </c>
      <c r="D218" s="117">
        <f>+[2]Angers!$H$217</f>
        <v>74706.046859220456</v>
      </c>
      <c r="E218" s="17">
        <f>+[1]Angers!$G$217</f>
        <v>89937.351709004288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68.99948254003445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+B220/(C21*1.196)*Clients!K17</f>
        <v>77.292256986537566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1007514.0083900243</v>
      </c>
      <c r="D222" s="265">
        <f>+(D215+D207+D203)/D60</f>
        <v>1059783.8750420788</v>
      </c>
      <c r="E222" s="265">
        <f>+(E215+E207+E203)/E60/Clients!$I$13*12</f>
        <v>1350453.9103370216</v>
      </c>
      <c r="F222" s="265">
        <f>+(F215+F207+F203)/F60</f>
        <v>996728.82613797893</v>
      </c>
      <c r="G222" s="265">
        <f>+(G215+G207+G203)/G60</f>
        <v>1067308.1119115322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83959.500699168697</v>
      </c>
      <c r="D223" s="265">
        <f>+(D215+D207+D203)/D60/12</f>
        <v>88315.322920173232</v>
      </c>
      <c r="E223" s="265">
        <f>+(E215+E207+E203)/E60/Clients!$I$13</f>
        <v>112537.82586141846</v>
      </c>
      <c r="F223" s="265">
        <f>+(F215+F207+F203)/F60/9</f>
        <v>110747.64734866432</v>
      </c>
      <c r="G223" s="265">
        <f>+(G215+G207+G203)/G60/12</f>
        <v>88942.342659294358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927084.07000000007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851120.24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ANGERS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923176.19000000006</v>
      </c>
      <c r="D233" s="176">
        <f t="shared" si="21"/>
        <v>1259000</v>
      </c>
      <c r="E233" s="175">
        <f t="shared" si="21"/>
        <v>1208308.3</v>
      </c>
      <c r="F233" s="206">
        <f t="shared" si="21"/>
        <v>1250766.1300000001</v>
      </c>
      <c r="G233" s="206">
        <f t="shared" si="21"/>
        <v>1257860</v>
      </c>
      <c r="H233" s="313"/>
      <c r="I233" s="281">
        <f>+I51</f>
        <v>3.5138242450209169E-2</v>
      </c>
      <c r="J233" s="192">
        <f t="shared" si="21"/>
        <v>5.6716198415125603E-3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0.375</v>
      </c>
      <c r="D235" s="191">
        <f>+D60</f>
        <v>0.375</v>
      </c>
      <c r="E235" s="197">
        <f>+E60</f>
        <v>0.36</v>
      </c>
      <c r="F235" s="224">
        <f>+F60</f>
        <v>0.375</v>
      </c>
      <c r="G235" s="224">
        <f>+G60</f>
        <v>0.375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346191.07125000004</v>
      </c>
      <c r="D236" s="170">
        <f>+D62</f>
        <v>472125</v>
      </c>
      <c r="E236" s="169">
        <f>+E62</f>
        <v>434990.98800000001</v>
      </c>
      <c r="F236" s="223">
        <f>+F62</f>
        <v>469037.29875000007</v>
      </c>
      <c r="G236" s="223">
        <f>+G62</f>
        <v>471697.5</v>
      </c>
      <c r="H236" s="309"/>
      <c r="I236" s="226">
        <f>+IF((E236)=0,,(F236-E236)/E236)</f>
        <v>7.8269002552301292E-2</v>
      </c>
      <c r="J236" s="283">
        <f>+IF((F236)=0,,(G236-F236)/F236)</f>
        <v>5.6716198415124978E-3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61949.759999999995</v>
      </c>
      <c r="D238" s="294">
        <f>+D103</f>
        <v>89602.308569770685</v>
      </c>
      <c r="E238" s="293">
        <f>+E103</f>
        <v>88290.62000000001</v>
      </c>
      <c r="F238" s="295">
        <f>+F103</f>
        <v>82599.72</v>
      </c>
      <c r="G238" s="295">
        <f>+G103</f>
        <v>88796.679770961287</v>
      </c>
      <c r="H238" s="388"/>
      <c r="I238" s="415">
        <f t="shared" ref="I238:J243" si="22">+IF((E238)=0,,(F238-E238)/E238)</f>
        <v>-6.4456450753205816E-2</v>
      </c>
      <c r="J238" s="297">
        <f t="shared" si="22"/>
        <v>7.502398035927102E-2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19260.670000000002</v>
      </c>
      <c r="D239" s="294">
        <f>+D116</f>
        <v>28100</v>
      </c>
      <c r="E239" s="293">
        <f>+E116</f>
        <v>28444.699999999997</v>
      </c>
      <c r="F239" s="295">
        <f>+F116</f>
        <v>23344.346666666665</v>
      </c>
      <c r="G239" s="295">
        <f>+G116</f>
        <v>27100</v>
      </c>
      <c r="H239" s="388"/>
      <c r="I239" s="415">
        <f t="shared" si="22"/>
        <v>-0.17930768590750942</v>
      </c>
      <c r="J239" s="297">
        <f t="shared" si="22"/>
        <v>0.16088063576848879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9391.19</v>
      </c>
      <c r="D240" s="294">
        <f>+D129</f>
        <v>12063.918</v>
      </c>
      <c r="E240" s="293">
        <f>+E129</f>
        <v>11802.45</v>
      </c>
      <c r="F240" s="295">
        <f>+F129</f>
        <v>8725.3466666666664</v>
      </c>
      <c r="G240" s="295">
        <f>+G129</f>
        <v>8567.344000000001</v>
      </c>
      <c r="H240" s="388"/>
      <c r="I240" s="415">
        <f t="shared" si="22"/>
        <v>-0.26071733693710492</v>
      </c>
      <c r="J240" s="297">
        <f t="shared" si="22"/>
        <v>-1.8108468660652879E-2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141047.92000000001</v>
      </c>
      <c r="D241" s="294">
        <f>+D154</f>
        <v>180878.38819669944</v>
      </c>
      <c r="E241" s="293">
        <f>+E154</f>
        <v>175488.01840000003</v>
      </c>
      <c r="F241" s="295">
        <f>+F154</f>
        <v>188063.89333333334</v>
      </c>
      <c r="G241" s="295">
        <f>+G154</f>
        <v>189207.85942497005</v>
      </c>
      <c r="H241" s="388"/>
      <c r="I241" s="415">
        <f t="shared" si="22"/>
        <v>7.1662299500518542E-2</v>
      </c>
      <c r="J241" s="297">
        <f t="shared" si="22"/>
        <v>6.0828587101995927E-3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5694.66</v>
      </c>
      <c r="D242" s="294">
        <f>+D168</f>
        <v>18663.946221291077</v>
      </c>
      <c r="E242" s="293">
        <f>+E168</f>
        <v>4031.7299999999996</v>
      </c>
      <c r="F242" s="295">
        <f>+F168</f>
        <v>7592.88</v>
      </c>
      <c r="G242" s="295">
        <f>+G168</f>
        <v>18884.996699200001</v>
      </c>
      <c r="H242" s="388"/>
      <c r="I242" s="415">
        <f t="shared" si="22"/>
        <v>0.88328087446331993</v>
      </c>
      <c r="J242" s="297">
        <f t="shared" si="22"/>
        <v>1.4871980986397784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9867.33</v>
      </c>
      <c r="D243" s="294">
        <f>+D185-D201</f>
        <v>13545.921784219861</v>
      </c>
      <c r="E243" s="293">
        <f>+E185-E201</f>
        <v>11457.550000000001</v>
      </c>
      <c r="F243" s="295">
        <f>+F185-F201</f>
        <v>11550.779999999999</v>
      </c>
      <c r="G243" s="295">
        <f>+G185-G201</f>
        <v>11488.559733333333</v>
      </c>
      <c r="H243" s="388"/>
      <c r="I243" s="415">
        <f t="shared" si="22"/>
        <v>8.1369926380419674E-3</v>
      </c>
      <c r="J243" s="297">
        <f t="shared" si="22"/>
        <v>-5.3866722997637688E-3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247211.53000000003</v>
      </c>
      <c r="D245" s="300">
        <f>+D203</f>
        <v>342854.4827719811</v>
      </c>
      <c r="E245" s="299">
        <f>+E203</f>
        <v>319515.06839999999</v>
      </c>
      <c r="F245" s="301">
        <f>+F203</f>
        <v>321876.96666666662</v>
      </c>
      <c r="G245" s="301">
        <f>+G203</f>
        <v>344045.43962846469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98979.541250000009</v>
      </c>
      <c r="D247" s="178">
        <f>+D205</f>
        <v>129270.5172280189</v>
      </c>
      <c r="E247" s="177">
        <f>+E205</f>
        <v>135044.8391000001</v>
      </c>
      <c r="F247" s="228">
        <f>+F205</f>
        <v>147160.33208333346</v>
      </c>
      <c r="G247" s="228">
        <f>+G205</f>
        <v>127652.06037153531</v>
      </c>
      <c r="H247" s="314"/>
      <c r="I247" s="226">
        <f>+IF((E247)=0,,(F247-E247)/E247)</f>
        <v>8.9714594530797956E-2</v>
      </c>
      <c r="J247" s="283">
        <f>+IF((F247)=0,,(G247-F247)/F247)</f>
        <v>-0.13256474374324648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36151.784859694329</v>
      </c>
      <c r="D249" s="181">
        <f>+D207+D215</f>
        <v>54564.470368798437</v>
      </c>
      <c r="E249" s="180">
        <f>+E207+E215</f>
        <v>45107.487390995826</v>
      </c>
      <c r="F249" s="230">
        <f>+F207+F215</f>
        <v>51896.343135075462</v>
      </c>
      <c r="G249" s="230">
        <f>+G207+G215</f>
        <v>56195.102338359888</v>
      </c>
      <c r="H249" s="316"/>
      <c r="I249" s="281">
        <f>+I67</f>
        <v>-0.19919249356558874</v>
      </c>
      <c r="J249" s="192">
        <f>+J67</f>
        <v>3.3493288372997809E-2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62827.756390305687</v>
      </c>
      <c r="D251" s="178">
        <f>+D217</f>
        <v>74706.046859220456</v>
      </c>
      <c r="E251" s="177">
        <f>+E217</f>
        <v>89937.351709004288</v>
      </c>
      <c r="F251" s="228">
        <f>+F217</f>
        <v>95263.988948257989</v>
      </c>
      <c r="G251" s="228">
        <f>+G217</f>
        <v>71456.958033175411</v>
      </c>
      <c r="H251" s="314"/>
      <c r="I251" s="226">
        <f>+IF((E251)=0,,(F251-E251)/E251)</f>
        <v>5.922608502514326E-2</v>
      </c>
      <c r="J251" s="283">
        <f>+IF((F251)=0,,(G251-F251)/F251)</f>
        <v>-0.24990587920912288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226621.93</v>
      </c>
      <c r="D253" s="294">
        <v>265000</v>
      </c>
      <c r="E253" s="293">
        <f>+E28</f>
        <v>250635.77</v>
      </c>
      <c r="F253" s="295"/>
      <c r="G253" s="399">
        <f>+G28</f>
        <v>250000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1007514.0083900243</v>
      </c>
      <c r="D254" s="294">
        <f>+D222</f>
        <v>1059783.8750420788</v>
      </c>
      <c r="E254" s="293">
        <f>+E222</f>
        <v>1350453.9103370216</v>
      </c>
      <c r="F254" s="295">
        <f>+F222</f>
        <v>996728.82613797893</v>
      </c>
      <c r="G254" s="295">
        <f>+G222</f>
        <v>1067308.1119115322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35000</v>
      </c>
      <c r="E255" s="293"/>
      <c r="F255" s="295"/>
      <c r="G255" s="399">
        <v>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 enableFormatConditionsCalculation="0">
    <tabColor indexed="42"/>
    <pageSetUpPr fitToPage="1"/>
  </sheetPr>
  <dimension ref="A1:O257"/>
  <sheetViews>
    <sheetView topLeftCell="H1" workbookViewId="0">
      <selection activeCell="L1" sqref="L1:O1048576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206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-IF(ISNA(VLOOKUP("THO707130000",Balance!C:G,5,FALSE))=TRUE,0,VLOOKUP("THO707130000",Balance!C:G,5,FALSE))</f>
        <v>680799.3899999999</v>
      </c>
      <c r="D8" s="117">
        <f>+[2]Thouars!$H8</f>
        <v>930000</v>
      </c>
      <c r="E8" s="160">
        <f>-IF(ISNA(VLOOKUP("THO707130000",Balanceanp!C:G,5,FALSE))=TRUE,0,VLOOKUP("THO707130000",Balanceanp!C:G,5,FALSE))</f>
        <v>621747.64</v>
      </c>
      <c r="F8" s="368">
        <v>898000</v>
      </c>
      <c r="G8" s="570">
        <v>891400</v>
      </c>
      <c r="H8" s="401"/>
      <c r="I8" s="149">
        <f>+IF((E8)=0,,(F8-E8)/E8)</f>
        <v>0.44431589639809488</v>
      </c>
      <c r="J8" s="271">
        <f>+IF((F8)=0,,(G8-F8)/F8)</f>
        <v>-7.3496659242761695E-3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891400</v>
      </c>
    </row>
    <row r="9" spans="1:15" ht="12.75">
      <c r="A9" s="5" t="s">
        <v>422</v>
      </c>
      <c r="B9" s="92"/>
      <c r="C9" s="160">
        <f>-IF(ISNA(VLOOKUP("THO707131000",Balance!C:G,5,FALSE))=TRUE,0,VLOOKUP("THO707131000",Balance!C:G,5,FALSE))</f>
        <v>0</v>
      </c>
      <c r="D9" s="117">
        <f>+[2]Thouars!$H9</f>
        <v>0</v>
      </c>
      <c r="E9" s="160">
        <f>-IF(ISNA(VLOOKUP("THO707131000",Balanceanp!C:G,5,FALSE))=TRUE,0,VLOOKUP("THO707131000",Balanceanp!C:G,5,FALSE))</f>
        <v>230692.72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-IF(ISNA(VLOOKUP("THO707300000",Balance!C:G,5,FALSE))=TRUE,0,VLOOKUP("THO707300000",Balance!C:G,5,FALSE))</f>
        <v>0</v>
      </c>
      <c r="D10" s="117">
        <f>+[2]Thouars!$H10</f>
        <v>0</v>
      </c>
      <c r="E10" s="160">
        <f>-IF(ISNA(VLOOKUP("THO707300000",Balanceanp!C:G,5,FALSE))=TRUE,0,VLOOKUP("THO707300000",Balanceanp!C:G,5,FALSE))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-IF(ISNA(VLOOKUP("THO707110000",Balance!C:G,5,FALSE))=TRUE,0,VLOOKUP("THO707110000",Balance!C:G,5,FALSE))</f>
        <v>0</v>
      </c>
      <c r="D11" s="117">
        <f>+[2]Thouars!$H11</f>
        <v>0</v>
      </c>
      <c r="E11" s="160">
        <f>-IF(ISNA(VLOOKUP("THO707110000",Balanceanp!C:G,5,FALSE))=TRUE,0,VLOOKUP("THO707110000",Balanceanp!C:G,5,FALSE))</f>
        <v>300</v>
      </c>
      <c r="F11" s="368">
        <f t="shared" si="2"/>
        <v>0</v>
      </c>
      <c r="G11" s="570">
        <v>0</v>
      </c>
      <c r="H11" s="401"/>
      <c r="I11" s="149">
        <f t="shared" si="1"/>
        <v>-1</v>
      </c>
      <c r="J11" s="271">
        <f t="shared" si="1"/>
        <v>0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-IF(ISNA(VLOOKUP("THO707120000",Balance!C:G,5,FALSE))=TRUE,0,VLOOKUP("THO707120000",Balance!C:G,5,FALSE))</f>
        <v>0</v>
      </c>
      <c r="D12" s="117">
        <f>+[2]Thouars!$H12</f>
        <v>0</v>
      </c>
      <c r="E12" s="160">
        <f>-IF(ISNA(VLOOKUP("THO707120000",Balanceanp!C:G,5,FALSE))=TRUE,0,VLOOKUP("THO707120000",Balanceanp!C:G,5,FALSE))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-IF(ISNA(VLOOKUP("THO707230000",Balance!C:G,5,FALSE))=TRUE,0,VLOOKUP("THO707230000",Balance!C:G,5,FALSE))</f>
        <v>0</v>
      </c>
      <c r="D13" s="117">
        <f>+[2]Thouars!$H13</f>
        <v>0</v>
      </c>
      <c r="E13" s="160">
        <f>-IF(ISNA(VLOOKUP("THO707230000",Balanceanp!C:G,5,FALSE))=TRUE,0,VLOOKUP("THO707230000",Balanceanp!C:G,5,FALSE))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-IF(ISNA(VLOOKUP("THO708820000",Balance!C:G,5,FALSE))=TRUE,0,VLOOKUP("THO708820000",Balance!C:G,5,FALSE))</f>
        <v>96.36</v>
      </c>
      <c r="D14" s="117">
        <f>+[2]Thouars!$H14</f>
        <v>0</v>
      </c>
      <c r="E14" s="160">
        <f>-IF(ISNA(VLOOKUP("THO708820000",Balanceanp!C:G,5,FALSE))=TRUE,0,VLOOKUP("THO708820000",Balanceanp!C:G,5,FALSE))</f>
        <v>0</v>
      </c>
      <c r="F14" s="368">
        <f t="shared" si="2"/>
        <v>96.36</v>
      </c>
      <c r="G14" s="570">
        <v>0</v>
      </c>
      <c r="H14" s="401"/>
      <c r="I14" s="149">
        <f t="shared" si="1"/>
        <v>0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-IF(ISNA(VLOOKUP("THO708500000",Balance!C:G,5,FALSE))=TRUE,0,VLOOKUP("THO708500000",Balance!C:G,5,FALSE))</f>
        <v>1656</v>
      </c>
      <c r="D15" s="117">
        <f>+[2]Thouars!$H15</f>
        <v>0</v>
      </c>
      <c r="E15" s="160">
        <f>-IF(ISNA(VLOOKUP("THO708500000",Balanceanp!C:G,5,FALSE))=TRUE,0,VLOOKUP("THO708500000",Balanceanp!C:G,5,FALSE))</f>
        <v>2271</v>
      </c>
      <c r="F15" s="368">
        <f t="shared" si="2"/>
        <v>1656</v>
      </c>
      <c r="G15" s="570">
        <v>0</v>
      </c>
      <c r="H15" s="401"/>
      <c r="I15" s="149">
        <f t="shared" si="1"/>
        <v>-0.27080581241743723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IF(ISNA(VLOOKUP("THO706000000",Balance!C:G,5,FALSE))=TRUE,0,-VLOOKUP("THO706000000",Balance!C:G,5,FALSE))+IF(ISNA(VLOOKUP("THO706010000",Balance!C:G,5,FALSE))=TRUE,0,-VLOOKUP("THO706010000",Balance!C:G,5,FALSE))</f>
        <v>0</v>
      </c>
      <c r="D16" s="117">
        <f>+[2]Thouars!$H16</f>
        <v>0</v>
      </c>
      <c r="E16" s="160">
        <f>IF(ISNA(VLOOKUP("THO706000000",Balanceanp!C:G,5,FALSE))=TRUE,0,-VLOOKUP("THO706000000",Balanceanp!C:G,5,FALSE))+IF(ISNA(VLOOKUP("THO706010000",Balanceanp!C:G,5,FALSE))=TRUE,0,-VLOOKUP("THO706010000",Balanceanp!C:G,5,FALSE))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IF(ISNA(VLOOKUP("THO707500000",Balance!C:G,5,FALSE))=TRUE,0,-VLOOKUP("THO707500000",Balance!C:G,5,FALSE))</f>
        <v>0</v>
      </c>
      <c r="D17" s="117">
        <f>+[2]Thouars!$H17</f>
        <v>0</v>
      </c>
      <c r="E17" s="160">
        <f>IF(ISNA(VLOOKUP("THO707500000",Balanceanp!C:G,5,FALSE))=TRUE,0,-VLOOKUP("THO707500000",Balanceanp!C:G,5,FALSE))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IF(ISNA(VLOOKUP("THO707510000",Balance!C:G,5,FALSE))=TRUE,0,-VLOOKUP("THO707510000",Balance!C:G,5,FALSE))</f>
        <v>0</v>
      </c>
      <c r="D18" s="117">
        <f>+[2]Thouars!$H18</f>
        <v>0</v>
      </c>
      <c r="E18" s="160">
        <f>IF(ISNA(VLOOKUP("THO707510000",Balanceanp!C:G,5,FALSE))=TRUE,0,-VLOOKUP("THO707510000",Balanceanp!C:G,5,FALSE))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IF(ISNA(VLOOKUP("THO708300000",Balance!C:G,5,FALSE))=TRUE,0,-VLOOKUP("THO708300000",Balance!C:G,5,FALSE))</f>
        <v>0</v>
      </c>
      <c r="D19" s="117">
        <f>+[2]Thouars!$H19</f>
        <v>0</v>
      </c>
      <c r="E19" s="160">
        <f>IF(ISNA(VLOOKUP("THO708300000",Balanceanp!C:G,5,FALSE))=TRUE,0,-VLOOKUP("THO708300000",Balanceanp!C:G,5,FALSE))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682551.74999999988</v>
      </c>
      <c r="D21" s="118">
        <f>SUM(D7:D20)</f>
        <v>930000</v>
      </c>
      <c r="E21" s="163">
        <f>SUM(E7:E20)</f>
        <v>855011.36</v>
      </c>
      <c r="F21" s="136">
        <f>SUM(F7:F20)</f>
        <v>899752.36</v>
      </c>
      <c r="G21" s="136">
        <f>SUM(G7:G20)</f>
        <v>891400</v>
      </c>
      <c r="H21" s="312"/>
      <c r="I21" s="272">
        <f>+IF((E21)=0,,(F21-E21)/E21)</f>
        <v>5.2327959712722416E-2</v>
      </c>
      <c r="J21" s="188">
        <f>+IF((F21)=0,,(G21-F21)/F21)</f>
        <v>-9.2829542564356118E-3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IF(ISNA(VLOOKUP("THO602650000",Balance!C:G,5,FALSE))=TRUE,0,VLOOKUP("THO602650000",Balance!C:G,5,FALSE))</f>
        <v>0</v>
      </c>
      <c r="D23" s="115"/>
      <c r="E23" s="160">
        <f>IF(ISNA(VLOOKUP("THO602650000",Balanceanp!C:G,5,FALSE))=TRUE,0,VLOOKUP("THO602650000",Balanceanp!C:G,5,FALSE))</f>
        <v>0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IF(ISNA(VLOOKUP("tho607100000",Balance!C:G,5,FALSE))=TRUE,0,VLOOKUP("tho607100000",Balance!C:G,5,FALSE))</f>
        <v>203377.25</v>
      </c>
      <c r="D24" s="115"/>
      <c r="E24" s="160">
        <f>IF(ISNA(VLOOKUP("tho607100000",Balanceanp!C:G,5,FALSE))=TRUE,0,VLOOKUP("tho607100000",Balanceanp!C:G,5,FALSE))</f>
        <v>257506.97999999998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IF(ISNA(VLOOKUP("tho607110000",Balance!C:G,5,FALSE))=TRUE,0,VLOOKUP("tho607110000",Balance!C:G,5,FALSE))+IF(ISNA(VLOOKUP("tho607120000",Balance!C:G,5,FALSE))=TRUE,0,VLOOKUP("tho607120000",Balance!C:G,5,FALSE))</f>
        <v>10442.76</v>
      </c>
      <c r="D25" s="115"/>
      <c r="E25" s="160">
        <f>IF(ISNA(VLOOKUP("tho607110000",Balanceanp!C:G,5,FALSE))=TRUE,0,VLOOKUP("tho607110000",Balanceanp!C:G,5,FALSE))+IF(ISNA(VLOOKUP("tho607120000",Balanceanp!C:G,5,FALSE))=TRUE,0,VLOOKUP("tho607120000",Balanceanp!C:G,5,FALSE))</f>
        <v>8978.98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IF(ISNA(VLOOKUP("tho607130000",Balance!C:G,5,FALSE))=TRUE,0,VLOOKUP("tho607130000",Balance!C:G,5,FALSE))</f>
        <v>61417.93</v>
      </c>
      <c r="D26" s="115"/>
      <c r="E26" s="160">
        <f>IF(ISNA(VLOOKUP("tho607130000",Balanceanp!C:G,5,FALSE))=TRUE,0,VLOOKUP("tho607130000",Balanceanp!C:G,5,FALSE))</f>
        <v>82684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IF(ISNA(VLOOKUP("tho607140000",Balance!C:G,5,FALSE))=TRUE,0,VLOOKUP("tho607140000",Balance!C:G,5,FALSE))</f>
        <v>-30751.279999999999</v>
      </c>
      <c r="D27" s="115"/>
      <c r="E27" s="160">
        <f>IF(ISNA(VLOOKUP("tho607140000",Balanceanp!C:G,5,FALSE))=TRUE,0,VLOOKUP("tho607140000",Balanceanp!C:G,5,FALSE))</f>
        <v>-45256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IF(ISNA(VLOOKUP("THO607200000",Balance!C:G,5,FALSE))=TRUE,0,VLOOKUP("THO607200000",Balance!C:G,5,FALSE))</f>
        <v>198747.93</v>
      </c>
      <c r="D28" s="115"/>
      <c r="E28" s="160">
        <f>IF(ISNA(VLOOKUP("THO607200000",Balanceanp!C:G,5,FALSE))=TRUE,0,VLOOKUP("THO607200000",Balanceanp!C:G,5,FALSE))</f>
        <v>221470.67</v>
      </c>
      <c r="F28" s="134"/>
      <c r="G28" s="1161">
        <v>210000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210000</v>
      </c>
    </row>
    <row r="29" spans="1:13" ht="12.75">
      <c r="A29" s="5" t="s">
        <v>293</v>
      </c>
      <c r="B29" s="92"/>
      <c r="C29" s="160">
        <f>IF(ISNA(VLOOKUP("THO607150000",Balance!C:G,5,FALSE))=TRUE,0,VLOOKUP("THO607150000",Balance!C:G,5,FALSE))</f>
        <v>0</v>
      </c>
      <c r="D29" s="115"/>
      <c r="E29" s="357">
        <f>IF(ISNA(VLOOKUP("THO607150000",Balanceanp!C:G,5,FALSE))=TRUE,0,VLOOKUP("THO607150000",Balanceanp!C:G,5,FALSE))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443234.58999999997</v>
      </c>
      <c r="D30" s="119"/>
      <c r="E30" s="164">
        <f>SUM(E23:E29)</f>
        <v>525384.63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242033.9599999999</v>
      </c>
      <c r="D32" s="120"/>
      <c r="E32" s="166">
        <f>+E21-E30-E38</f>
        <v>302539.14170000004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0.35460162544451751</v>
      </c>
      <c r="D33" s="120"/>
      <c r="E33" s="196">
        <f>+E32/E21</f>
        <v>0.3538422480141083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IF(ISNA(VLOOKUP("THO607400000",Balance!C:G,5,FALSE))=TRUE,0,VLOOKUP("THO607400000",Balance!C:G,5,FALSE))</f>
        <v>7211.61</v>
      </c>
      <c r="D35" s="115"/>
      <c r="E35" s="160">
        <f>IF(ISNA(VLOOKUP("THO607400000",Balanceanp!C:G,5,FALSE))=TRUE,0,VLOOKUP("THO607400000",Balanceanp!C:G,5,FALSE))</f>
        <v>8494.59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IF(ISNA(VLOOKUP("THO608000000",Balance!C:G,5,FALSE))=TRUE,0,VLOOKUP("THO608000000",Balance!C:G,5,FALSE))</f>
        <v>5037.03</v>
      </c>
      <c r="D36" s="115"/>
      <c r="E36" s="160">
        <f>IF(ISNA(VLOOKUP("THO608000000",Balanceanp!C:G,5,FALSE))=TRUE,0,VLOOKUP("THO608000000",Balanceanp!C:G,5,FALSE))</f>
        <v>8414.4699999999993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IF(ISNA(VLOOKUP("THO608100000",Balance!C:G,5,FALSE))=TRUE,0,VLOOKUP("THO608100000",Balance!C:G,5,FALSE))</f>
        <v>0</v>
      </c>
      <c r="D37" s="115"/>
      <c r="E37" s="160">
        <f>IF(ISNA(VLOOKUP("THO608100000",Balanceanp!C:G,5,FALSE))=TRUE,0,VLOOKUP("THO608100000",Balanceanp!C:G,5,FALSE))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-2716.8000000000029</v>
      </c>
      <c r="D38" s="115"/>
      <c r="E38" s="160">
        <f>+E56-E57</f>
        <v>27087.588299999974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IF(ISNA(VLOOKUP("THO681730000",Balance!C:G,5,FALSE))=TRUE,0,VLOOKUP("THO681730000",Balance!C:G,5,FALSE))</f>
        <v>0</v>
      </c>
      <c r="D39" s="115"/>
      <c r="E39" s="160">
        <f>IF(ISNA(VLOOKUP("THO681730000",Balanceanp!C:G,5,FALSE))=TRUE,0,VLOOKUP("THO681730000",Balanceanp!C:G,5,FALSE))</f>
        <v>11341.72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IF(ISNA(VLOOKUP("THO781730000",Balance!C:G,5,FALSE))=TRUE,0,VLOOKUP("THO781730000",Balance!C:G,5,FALSE))</f>
        <v>-5732.24</v>
      </c>
      <c r="D40" s="115"/>
      <c r="E40" s="160">
        <f>IF(ISNA(VLOOKUP("THO781730000",Balanceanp!C:G,5,FALSE))=TRUE,0,VLOOKUP("THO781730000",Balanceanp!C:G,5,FALSE))</f>
        <v>-9617.52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IF(ISNA(VLOOKUP("tho609110000",Balance!C:G,5,FALSE))=TRUE,0,VLOOKUP("tho609110000",Balance!C:G,5,FALSE))</f>
        <v>-441.64</v>
      </c>
      <c r="D41" s="115"/>
      <c r="E41" s="160">
        <f>IF(ISNA(VLOOKUP("tho609110000",Balanceanp!C:G,5,FALSE))=TRUE,0,VLOOKUP("tho609110000",Balanceanp!C:G,5,FALSE))</f>
        <v>-4696.1400000000003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IF(ISNA(VLOOKUP("tho609120000",Balance!C:G,5,FALSE))=TRUE,0,VLOOKUP("tho609120000",Balance!C:G,5,FALSE))</f>
        <v>-13739.81</v>
      </c>
      <c r="D42" s="115"/>
      <c r="E42" s="160">
        <f>IF(ISNA(VLOOKUP("tho609120000",Balanceanp!C:G,5,FALSE))=TRUE,0,VLOOKUP("tho609120000",Balanceanp!C:G,5,FALSE))</f>
        <v>-16117.37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432852.74</v>
      </c>
      <c r="D44" s="121"/>
      <c r="E44" s="163">
        <f>+E30+SUM(E34:E43)</f>
        <v>550291.96829999995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249699.00999999989</v>
      </c>
      <c r="D46" s="120"/>
      <c r="E46" s="166">
        <f>+E21-E44</f>
        <v>304719.39170000004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0.36583161643054896</v>
      </c>
      <c r="D47" s="120"/>
      <c r="E47" s="196">
        <f>+E46/E21</f>
        <v>0.35639221413385669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1.0988177819484019E-2</v>
      </c>
      <c r="C49" s="160">
        <f>IF(ISNA(VLOOKUP("THO709700000",Balance!C:G,5,FALSE))=TRUE,0,VLOOKUP("THO709700000",Balance!C:G,5,FALSE))</f>
        <v>7500</v>
      </c>
      <c r="D49" s="117">
        <f>+[2]Thouars!$H49</f>
        <v>10000</v>
      </c>
      <c r="E49" s="160">
        <f>IF(ISNA(VLOOKUP("THO709700000",Balanceanp!C:G,5,FALSE))=TRUE,0,VLOOKUP("THO709700000",Balanceanp!C:G,5,FALSE))</f>
        <v>8171.4</v>
      </c>
      <c r="F49" s="135">
        <v>8000</v>
      </c>
      <c r="G49" s="425">
        <v>10000</v>
      </c>
      <c r="H49" s="419"/>
      <c r="I49" s="149">
        <f>+IF((E49)=0,,(F49-E49)/E49)</f>
        <v>-2.0975597816775538E-2</v>
      </c>
      <c r="J49" s="271">
        <f>+IF((F49)=0,,(G49-F49)/F49)</f>
        <v>0.25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10000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675051.74999999988</v>
      </c>
      <c r="D51" s="118">
        <f>+D21-D49</f>
        <v>920000</v>
      </c>
      <c r="E51" s="163">
        <f>+E21-E49</f>
        <v>846839.96</v>
      </c>
      <c r="F51" s="136">
        <f>+F21-F49</f>
        <v>891752.36</v>
      </c>
      <c r="G51" s="136">
        <f>+G21-G49</f>
        <v>881400</v>
      </c>
      <c r="H51" s="312"/>
      <c r="I51" s="272">
        <f>+IF((E51)=0,,(F51-E51)/E51)</f>
        <v>5.3035286620154325E-2</v>
      </c>
      <c r="J51" s="188">
        <f>+IF((F51)=0,,(G51-F51)/F51)</f>
        <v>-1.1609007684599775E-2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242199.00999999989</v>
      </c>
      <c r="D53" s="122"/>
      <c r="E53" s="169">
        <f>+E51-E44</f>
        <v>296547.99170000001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0.35878584123365348</v>
      </c>
      <c r="D54" s="123"/>
      <c r="E54" s="197">
        <f>+E53/E51</f>
        <v>0.35018185927362239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+[2]Thouars!$C56</f>
        <v>108769.2</v>
      </c>
      <c r="D56" s="115"/>
      <c r="E56" s="160">
        <f>+[1]Thouars!$G56</f>
        <v>132707.16489999997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+[2]Thouars!$C57</f>
        <v>111486</v>
      </c>
      <c r="D57" s="115"/>
      <c r="E57" s="160">
        <f>+[1]Thouars!$G57</f>
        <v>105619.5766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+[2]Thouars!$C60</f>
        <v>0.35499999999999998</v>
      </c>
      <c r="D60" s="123">
        <f>+[2]Thouars!$H60</f>
        <v>0.38</v>
      </c>
      <c r="E60" s="197">
        <v>0.34</v>
      </c>
      <c r="F60" s="141">
        <f>+C60</f>
        <v>0.35499999999999998</v>
      </c>
      <c r="G60" s="141">
        <v>0.36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+[2]Thouars!$C61</f>
        <v>0.38400000000000001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239643.37124999994</v>
      </c>
      <c r="D62" s="122">
        <f>D51*D60</f>
        <v>349600</v>
      </c>
      <c r="E62" s="169">
        <f>+E51*E60</f>
        <v>287925.58640000003</v>
      </c>
      <c r="F62" s="140">
        <f>+F51*F60</f>
        <v>316572.08779999998</v>
      </c>
      <c r="G62" s="140">
        <f>+G51*G60</f>
        <v>317304</v>
      </c>
      <c r="H62" s="405"/>
      <c r="I62" s="224">
        <f>+IF((E62)=0,,(F62-E62)/E62)</f>
        <v>9.949272573574916E-2</v>
      </c>
      <c r="J62" s="123">
        <f>+IF((F62)=0,,(G62-F62)/F62)</f>
        <v>2.3119922071664738E-3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IF(ISNA(VLOOKUP("THO613520000",Balance!C:G,5,FALSE))=TRUE,0,VLOOKUP("THO613520000",Balance!C:G,5,FALSE))</f>
        <v>2056.2399999999998</v>
      </c>
      <c r="D64" s="117">
        <f>+[2]Thouars!$H64</f>
        <v>3972.96</v>
      </c>
      <c r="E64" s="160">
        <f>IF(ISNA(VLOOKUP("THO613520000",Balanceanp!C:G,5,FALSE))=TRUE,0,VLOOKUP("THO613520000",Balanceanp!C:G,5,FALSE))</f>
        <v>2540.34</v>
      </c>
      <c r="F64" s="368">
        <f>+C64+C64/9*(12-Clients!$I$14)</f>
        <v>2741.6533333333332</v>
      </c>
      <c r="G64" s="570">
        <f>331.08*12</f>
        <v>3972.96</v>
      </c>
      <c r="H64" s="401"/>
      <c r="I64" s="149">
        <f t="shared" ref="I64:J68" si="4">+IF((E64)=0,,(F64-E64)/E64)</f>
        <v>7.924661003382738E-2</v>
      </c>
      <c r="J64" s="271">
        <f t="shared" si="4"/>
        <v>0.44911099871610327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3972.96</v>
      </c>
    </row>
    <row r="65" spans="1:13" ht="12.75">
      <c r="A65" s="5" t="s">
        <v>314</v>
      </c>
      <c r="B65" s="92"/>
      <c r="C65" s="160"/>
      <c r="D65" s="117">
        <f>+[2]Thouars!$H65</f>
        <v>0</v>
      </c>
      <c r="E65" s="160"/>
      <c r="F65" s="368">
        <f>+C65+C65/9*(12-Clients!$I$14)</f>
        <v>0</v>
      </c>
      <c r="G65" s="570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IF(ISNA(VLOOKUP("THO616120000",Balance!C:G,5,FALSE))=TRUE,0,VLOOKUP("THO616120000",Balance!C:G,5,FALSE))</f>
        <v>1047.42</v>
      </c>
      <c r="D66" s="117">
        <f>+[2]Thouars!$H66</f>
        <v>1315.3455000000001</v>
      </c>
      <c r="E66" s="160">
        <f>IF(ISNA(VLOOKUP("THO616120000",Balanceanp!C:G,5,FALSE))=TRUE,0,VLOOKUP("THO616120000",Balanceanp!C:G,5,FALSE))</f>
        <v>1233.3</v>
      </c>
      <c r="F66" s="368">
        <f>+C66+C66/9*(12-Clients!$I$14)</f>
        <v>1396.5600000000002</v>
      </c>
      <c r="G66" s="570">
        <f>+F66*1.05</f>
        <v>1466.3880000000001</v>
      </c>
      <c r="H66" s="401"/>
      <c r="I66" s="149">
        <f t="shared" si="4"/>
        <v>0.13237655071758714</v>
      </c>
      <c r="J66" s="271">
        <f t="shared" si="4"/>
        <v>4.9999999999999975E-2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1466.3880000000001</v>
      </c>
    </row>
    <row r="67" spans="1:13" ht="12.75">
      <c r="A67" s="5" t="s">
        <v>107</v>
      </c>
      <c r="B67" s="92"/>
      <c r="C67" s="160">
        <f>IF(ISNA(VLOOKUP("THO615520000",Balance!C:G,5,FALSE))=TRUE,0,VLOOKUP("THO615520000",Balance!C:G,5,FALSE))</f>
        <v>857.21</v>
      </c>
      <c r="D67" s="117">
        <f>+[2]Thouars!$H67</f>
        <v>1500</v>
      </c>
      <c r="E67" s="160">
        <f>IF(ISNA(VLOOKUP("THO615520000",Balanceanp!C:G,5,FALSE))=TRUE,0,VLOOKUP("THO615520000",Balanceanp!C:G,5,FALSE))</f>
        <v>1199.07</v>
      </c>
      <c r="F67" s="368">
        <f>+C67+C67/9*(12-Clients!$I$14)</f>
        <v>1142.9466666666667</v>
      </c>
      <c r="G67" s="570">
        <v>1500</v>
      </c>
      <c r="H67" s="401"/>
      <c r="I67" s="149">
        <f t="shared" si="4"/>
        <v>-4.6805718876573699E-2</v>
      </c>
      <c r="J67" s="271">
        <f t="shared" si="4"/>
        <v>0.31239719555301498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1500</v>
      </c>
    </row>
    <row r="68" spans="1:13" ht="12.75">
      <c r="A68" s="5" t="s">
        <v>125</v>
      </c>
      <c r="B68" s="92"/>
      <c r="C68" s="160">
        <f>IF(ISNA(VLOOKUP("THO606130000",Balance!C:G,5,FALSE))=TRUE,0,VLOOKUP("THO606130000",Balance!C:G,5,FALSE))</f>
        <v>1948.76</v>
      </c>
      <c r="D68" s="117">
        <f>+[2]Thouars!$H68</f>
        <v>2680.3793000000001</v>
      </c>
      <c r="E68" s="160">
        <f>IF(ISNA(VLOOKUP("THO606130000",Balanceanp!C:G,5,FALSE))=TRUE,0,VLOOKUP("THO606130000",Balanceanp!C:G,5,FALSE))</f>
        <v>2360.1799999999998</v>
      </c>
      <c r="F68" s="368">
        <f>+C68+C68/9*(12-Clients!$I$14)</f>
        <v>2598.3466666666668</v>
      </c>
      <c r="G68" s="368">
        <f>+F68*1.03</f>
        <v>2676.297066666667</v>
      </c>
      <c r="H68" s="410"/>
      <c r="I68" s="149">
        <f t="shared" si="4"/>
        <v>0.10091038254144472</v>
      </c>
      <c r="J68" s="271">
        <f t="shared" si="4"/>
        <v>3.0000000000000065E-2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2676.297066666667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5909.63</v>
      </c>
      <c r="D70" s="125">
        <f>SUM(D64:D69)</f>
        <v>9468.6848000000009</v>
      </c>
      <c r="E70" s="276">
        <f>SUM(E64:E69)</f>
        <v>7332.8899999999994</v>
      </c>
      <c r="F70" s="370">
        <f>SUM(F64:F69)</f>
        <v>7879.5066666666662</v>
      </c>
      <c r="G70" s="359">
        <f>SUM(G64:G69)</f>
        <v>9615.6450666666678</v>
      </c>
      <c r="H70" s="412"/>
      <c r="I70" s="384">
        <f>+IF((E70)=0,,(F70-E70)/E70)</f>
        <v>7.4543142835453255E-2</v>
      </c>
      <c r="J70" s="279">
        <f>+IF((F70)=0,,(G70-F70)/F70)</f>
        <v>0.22033592627626455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IF(ISNA(VLOOKUP("tho602220000",Balance!C:G,5,FALSE))=TRUE,0,VLOOKUP("tho602220000",Balance!C:G,5,FALSE))</f>
        <v>24.64</v>
      </c>
      <c r="D72" s="117">
        <f>+[2]Thouars!$H72</f>
        <v>43.770385595922917</v>
      </c>
      <c r="E72" s="160">
        <f>IF(ISNA(VLOOKUP("tho602220000",Balanceanp!C:G,5,FALSE))=TRUE,0,VLOOKUP("tho602220000",Balanceanp!C:G,5,FALSE))</f>
        <v>40.85</v>
      </c>
      <c r="F72" s="368">
        <f>+C72+C72/9*(12-Clients!$I$14)</f>
        <v>32.853333333333332</v>
      </c>
      <c r="G72" s="396">
        <f>+F72*1.03</f>
        <v>33.83893333333333</v>
      </c>
      <c r="H72" s="409"/>
      <c r="I72" s="149">
        <f t="shared" ref="I72:J87" si="5">+IF((E72)=0,,(F72-E72)/E72)</f>
        <v>-0.1957568339453285</v>
      </c>
      <c r="J72" s="271">
        <f t="shared" si="5"/>
        <v>2.999999999999994E-2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33.83893333333333</v>
      </c>
    </row>
    <row r="73" spans="1:13" ht="12.75">
      <c r="A73" s="5" t="s">
        <v>123</v>
      </c>
      <c r="B73" s="92"/>
      <c r="C73" s="160">
        <f>IF(ISNA(VLOOKUP("THO606100000",Balance!C:G,5,FALSE))=TRUE,0,VLOOKUP("THO606100000",Balance!C:G,5,FALSE))</f>
        <v>1295.3</v>
      </c>
      <c r="D73" s="117">
        <f>+[2]Thouars!$H73</f>
        <v>2191.1372429980697</v>
      </c>
      <c r="E73" s="160">
        <f>IF(ISNA(VLOOKUP("THO606100000",Balanceanp!C:G,5,FALSE))=TRUE,0,VLOOKUP("THO606100000",Balanceanp!C:G,5,FALSE))</f>
        <v>2002.76</v>
      </c>
      <c r="F73" s="368">
        <f>+C73+C73/9*(12-Clients!$I$14)</f>
        <v>1727.0666666666666</v>
      </c>
      <c r="G73" s="396">
        <f t="shared" ref="G73:G101" si="6">+F73*1.03</f>
        <v>1778.8786666666667</v>
      </c>
      <c r="H73" s="409"/>
      <c r="I73" s="149">
        <f t="shared" si="5"/>
        <v>-0.13765670042008699</v>
      </c>
      <c r="J73" s="271">
        <f t="shared" si="5"/>
        <v>3.0000000000000075E-2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1778.8786666666667</v>
      </c>
    </row>
    <row r="74" spans="1:13" ht="12.75">
      <c r="A74" s="5" t="s">
        <v>124</v>
      </c>
      <c r="B74" s="92"/>
      <c r="C74" s="160">
        <f>IF(ISNA(VLOOKUP("THO606110000",Balance!C:G,5,FALSE))=TRUE,0,VLOOKUP("THO606110000",Balance!C:G,5,FALSE))</f>
        <v>1634.47</v>
      </c>
      <c r="D74" s="117">
        <f>+[2]Thouars!$H74</f>
        <v>3870.9041907918013</v>
      </c>
      <c r="E74" s="160">
        <f>IF(ISNA(VLOOKUP("THO606110000",Balanceanp!C:G,5,FALSE))=TRUE,0,VLOOKUP("THO606110000",Balanceanp!C:G,5,FALSE))</f>
        <v>4677.12</v>
      </c>
      <c r="F74" s="368">
        <v>3500</v>
      </c>
      <c r="G74" s="396">
        <v>3600</v>
      </c>
      <c r="H74" s="409"/>
      <c r="I74" s="149">
        <f t="shared" si="5"/>
        <v>-0.25167624521072796</v>
      </c>
      <c r="J74" s="271">
        <f t="shared" si="5"/>
        <v>2.8571428571428571E-2</v>
      </c>
      <c r="K74" s="2" t="s">
        <v>717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3600</v>
      </c>
    </row>
    <row r="75" spans="1:13" ht="12.75">
      <c r="A75" s="5" t="s">
        <v>360</v>
      </c>
      <c r="B75" s="92"/>
      <c r="C75" s="160">
        <f>IF(ISNA(VLOOKUP("tho606140000",Balance!C:G,5,FALSE))=TRUE,0,VLOOKUP("tho606140000",Balance!C:G,5,FALSE))</f>
        <v>0</v>
      </c>
      <c r="D75" s="117">
        <f>+[2]Thouars!$H75</f>
        <v>0</v>
      </c>
      <c r="E75" s="160">
        <f>IF(ISNA(VLOOKUP("tho606140000",Balanceanp!C:G,5,FALSE))=TRUE,0,VLOOKUP("tho606140000",Balanceanp!C:G,5,FALSE))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IF(ISNA(VLOOKUP("THO606310000",Balance!C:G,5,FALSE))=TRUE,0,VLOOKUP("THO606310000",Balance!C:G,5,FALSE))</f>
        <v>15.01</v>
      </c>
      <c r="D76" s="117">
        <f>+[2]Thouars!$H76</f>
        <v>7.0891472987576396</v>
      </c>
      <c r="E76" s="160">
        <f>IF(ISNA(VLOOKUP("THO606310000",Balanceanp!C:G,5,FALSE))=TRUE,0,VLOOKUP("THO606310000",Balanceanp!C:G,5,FALSE))</f>
        <v>0</v>
      </c>
      <c r="F76" s="368">
        <f>+C76+C76/9*(12-Clients!$I$14)</f>
        <v>20.013333333333335</v>
      </c>
      <c r="G76" s="396">
        <f t="shared" si="6"/>
        <v>20.613733333333336</v>
      </c>
      <c r="H76" s="409"/>
      <c r="I76" s="149">
        <f t="shared" si="5"/>
        <v>0</v>
      </c>
      <c r="J76" s="271">
        <f t="shared" si="5"/>
        <v>3.000000000000002E-2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20.613733333333336</v>
      </c>
    </row>
    <row r="77" spans="1:13" ht="12.75">
      <c r="A77" s="5" t="s">
        <v>127</v>
      </c>
      <c r="B77" s="92"/>
      <c r="C77" s="160">
        <f>IF(ISNA(VLOOKUP("THO606410000",Balance!C:G,5,FALSE))=TRUE,0,VLOOKUP("THO606410000",Balance!C:G,5,FALSE))</f>
        <v>1876.43</v>
      </c>
      <c r="D77" s="117">
        <f>+[2]Thouars!$H77</f>
        <v>1929.6196472904167</v>
      </c>
      <c r="E77" s="160">
        <f>IF(ISNA(VLOOKUP("THO606410000",Balanceanp!C:G,5,FALSE))=TRUE,0,VLOOKUP("THO606410000",Balanceanp!C:G,5,FALSE))</f>
        <v>2446.54</v>
      </c>
      <c r="F77" s="368">
        <f>+C77+C77/9*(12-Clients!$I$14)</f>
        <v>2501.9066666666668</v>
      </c>
      <c r="G77" s="396">
        <f t="shared" si="6"/>
        <v>2576.9638666666669</v>
      </c>
      <c r="H77" s="409"/>
      <c r="I77" s="149">
        <f t="shared" si="5"/>
        <v>2.2630599404328884E-2</v>
      </c>
      <c r="J77" s="271">
        <f t="shared" si="5"/>
        <v>3.0000000000000075E-2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2576.9638666666669</v>
      </c>
    </row>
    <row r="78" spans="1:13" ht="12.75">
      <c r="A78" s="5" t="s">
        <v>101</v>
      </c>
      <c r="B78" s="92"/>
      <c r="C78" s="160">
        <f>IF(ISNA(VLOOKUP("THO611000000",Balance!C:G,5,FALSE))=TRUE,0,VLOOKUP("THO611000000",Balance!C:G,5,FALSE))</f>
        <v>0</v>
      </c>
      <c r="D78" s="117">
        <f>+[2]Thouars!$H78</f>
        <v>3620.3166507775863</v>
      </c>
      <c r="E78" s="160">
        <f>IF(ISNA(VLOOKUP("THO611000000",Balanceanp!C:G,5,FALSE))=TRUE,0,VLOOKUP("THO611000000",Balanceanp!C:G,5,FALSE))</f>
        <v>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0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IF(ISNA(VLOOKUP("THO613200000",Balance!C:G,5,FALSE))=TRUE,0,VLOOKUP("THO613200000",Balance!C:G,5,FALSE))</f>
        <v>24877.35</v>
      </c>
      <c r="D79" s="117">
        <f>+[2]Thouars!$H79</f>
        <v>33169.827599999997</v>
      </c>
      <c r="E79" s="160">
        <f>IF(ISNA(VLOOKUP("THO613200000",Balanceanp!C:G,5,FALSE))=TRUE,0,VLOOKUP("THO613200000",Balanceanp!C:G,5,FALSE))</f>
        <v>31769.38</v>
      </c>
      <c r="F79" s="425">
        <f>7632.57/3*9.5+8100.08/3*2.5</f>
        <v>30919.871666666666</v>
      </c>
      <c r="G79" s="425">
        <f>7632.57/3*2.5+7632.57/3*9.5*1.05</f>
        <v>31738.770250000001</v>
      </c>
      <c r="H79" s="413"/>
      <c r="I79" s="149">
        <f t="shared" si="5"/>
        <v>-2.6739846145355527E-2</v>
      </c>
      <c r="J79" s="271">
        <f t="shared" si="5"/>
        <v>2.648454017408337E-2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31738.770250000001</v>
      </c>
    </row>
    <row r="80" spans="1:13" ht="12.75">
      <c r="A80" s="5" t="s">
        <v>325</v>
      </c>
      <c r="B80" s="92"/>
      <c r="C80" s="160">
        <f>IF(ISNA(VLOOKUP("tho614000000",Balance!C:G,5,FALSE))=TRUE,0,VLOOKUP("tho614000000",Balance!C:G,5,FALSE))</f>
        <v>0</v>
      </c>
      <c r="D80" s="117">
        <f>+[2]Thouars!$H80</f>
        <v>0</v>
      </c>
      <c r="E80" s="160">
        <f>IF(ISNA(VLOOKUP("tho614000000",Balanceanp!C:G,5,FALSE))=TRUE,0,VLOOKUP("tho614000000",Balanceanp!C:G,5,FALSE))</f>
        <v>0</v>
      </c>
      <c r="F80" s="368">
        <f>+C80+C80/9*(12-Clients!$I$14)</f>
        <v>0</v>
      </c>
      <c r="G80" s="396">
        <f t="shared" si="6"/>
        <v>0</v>
      </c>
      <c r="H80" s="409"/>
      <c r="I80" s="149">
        <f t="shared" si="5"/>
        <v>0</v>
      </c>
      <c r="J80" s="271">
        <f t="shared" si="5"/>
        <v>0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0</v>
      </c>
    </row>
    <row r="81" spans="1:13" ht="12.75">
      <c r="A81" s="5" t="s">
        <v>103</v>
      </c>
      <c r="B81" s="92"/>
      <c r="C81" s="160">
        <f>IF(ISNA(VLOOKUP("THO613510000",Balance!C:G,5,FALSE))=TRUE,0,VLOOKUP("THO613510000",Balance!C:G,5,FALSE))</f>
        <v>0</v>
      </c>
      <c r="D81" s="117">
        <f>+[2]Thouars!$H81</f>
        <v>0</v>
      </c>
      <c r="E81" s="160">
        <f>IF(ISNA(VLOOKUP("THO613510000",Balanceanp!C:G,5,FALSE))=TRUE,0,VLOOKUP("THO613510000",Balanceanp!C:G,5,FALSE))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IF(ISNA(VLOOKUP("THO613530000",Balance!C:G,5,FALSE))=TRUE,0,VLOOKUP("THO613530000",Balance!C:G,5,FALSE))</f>
        <v>500.67</v>
      </c>
      <c r="D82" s="117">
        <f>+[2]Thouars!$H82</f>
        <v>351.71959708103122</v>
      </c>
      <c r="E82" s="160">
        <f>IF(ISNA(VLOOKUP("THO613530000",Balanceanp!C:G,5,FALSE))=TRUE,0,VLOOKUP("THO613530000",Balanceanp!C:G,5,FALSE))</f>
        <v>370.32</v>
      </c>
      <c r="F82" s="368">
        <f>+C82+C82/9*(12-Clients!$I$14)</f>
        <v>667.56000000000006</v>
      </c>
      <c r="G82" s="396">
        <f t="shared" si="6"/>
        <v>687.58680000000004</v>
      </c>
      <c r="H82" s="409"/>
      <c r="I82" s="149">
        <f t="shared" si="5"/>
        <v>0.80265716137394705</v>
      </c>
      <c r="J82" s="271">
        <f t="shared" si="5"/>
        <v>2.9999999999999968E-2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687.58680000000004</v>
      </c>
    </row>
    <row r="83" spans="1:13" ht="12.75">
      <c r="A83" s="5" t="s">
        <v>287</v>
      </c>
      <c r="B83" s="92"/>
      <c r="C83" s="160">
        <f>IF(ISNA(VLOOKUP("tho613540000",Balance!C:G,5,FALSE))=TRUE,0,VLOOKUP("tho613540000",Balance!C:G,5,FALSE))</f>
        <v>0</v>
      </c>
      <c r="D83" s="117">
        <f>+[2]Thouars!$H83</f>
        <v>39.674532363835759</v>
      </c>
      <c r="E83" s="160">
        <f>IF(ISNA(VLOOKUP("tho613540000",Balanceanp!C:G,5,FALSE))=TRUE,0,VLOOKUP("tho613540000",Balanceanp!C:G,5,FALSE))</f>
        <v>23.79</v>
      </c>
      <c r="F83" s="368">
        <f>+C83+C83/9*(12-Clients!$I$14)</f>
        <v>0</v>
      </c>
      <c r="G83" s="396">
        <f t="shared" si="6"/>
        <v>0</v>
      </c>
      <c r="H83" s="409"/>
      <c r="I83" s="149">
        <f t="shared" si="5"/>
        <v>-1</v>
      </c>
      <c r="J83" s="271">
        <f t="shared" si="5"/>
        <v>0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0</v>
      </c>
    </row>
    <row r="84" spans="1:13" ht="12.75">
      <c r="A84" s="5" t="s">
        <v>108</v>
      </c>
      <c r="B84" s="92"/>
      <c r="C84" s="160">
        <f>IF(ISNA(VLOOKUP("THO615200000",Balance!C:G,5,FALSE))=TRUE,0,VLOOKUP("THO615200000",Balance!C:G,5,FALSE))</f>
        <v>1911.55</v>
      </c>
      <c r="D84" s="117">
        <f>+[2]Thouars!$H84</f>
        <v>1676.688724040981</v>
      </c>
      <c r="E84" s="160">
        <f>IF(ISNA(VLOOKUP("THO615200000",Balanceanp!C:G,5,FALSE))=TRUE,0,VLOOKUP("THO615200000",Balanceanp!C:G,5,FALSE))</f>
        <v>1601.32</v>
      </c>
      <c r="F84" s="368">
        <f>+C84+C84/9*(12-Clients!$I$14)</f>
        <v>2548.7333333333336</v>
      </c>
      <c r="G84" s="396">
        <f t="shared" si="6"/>
        <v>2625.1953333333336</v>
      </c>
      <c r="H84" s="409"/>
      <c r="I84" s="149">
        <f t="shared" si="5"/>
        <v>0.59164522602186553</v>
      </c>
      <c r="J84" s="271">
        <f t="shared" si="5"/>
        <v>2.9999999999999992E-2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2625.1953333333336</v>
      </c>
    </row>
    <row r="85" spans="1:13" ht="12.75">
      <c r="A85" s="5" t="s">
        <v>109</v>
      </c>
      <c r="B85" s="92"/>
      <c r="C85" s="160">
        <f>IF(ISNA(VLOOKUP("THO615500000",Balance!C:G,5,FALSE))=TRUE,0,VLOOKUP("THO615500000",Balance!C:G,5,FALSE))</f>
        <v>0</v>
      </c>
      <c r="D85" s="117">
        <f>+[2]Thouars!$H85</f>
        <v>664.90075755574799</v>
      </c>
      <c r="E85" s="160">
        <f>IF(ISNA(VLOOKUP("THO615500000",Balanceanp!C:G,5,FALSE))=TRUE,0,VLOOKUP("THO615500000",Balanceanp!C:G,5,FALSE))</f>
        <v>571.59</v>
      </c>
      <c r="F85" s="368">
        <f>+C85+C85/9*(12-Clients!$I$14)</f>
        <v>0</v>
      </c>
      <c r="G85" s="396">
        <f t="shared" si="6"/>
        <v>0</v>
      </c>
      <c r="H85" s="409"/>
      <c r="I85" s="149">
        <f t="shared" si="5"/>
        <v>-1</v>
      </c>
      <c r="J85" s="271">
        <f t="shared" si="5"/>
        <v>0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0</v>
      </c>
    </row>
    <row r="86" spans="1:13" ht="12.75">
      <c r="A86" s="5" t="s">
        <v>106</v>
      </c>
      <c r="B86" s="92"/>
      <c r="C86" s="160">
        <f>IF(ISNA(VLOOKUP("THO615510000",Balance!C:G,5,FALSE))=TRUE,0,VLOOKUP("THO615510000",Balance!C:G,5,FALSE))</f>
        <v>226.92</v>
      </c>
      <c r="D86" s="117">
        <f>+[2]Thouars!$H86</f>
        <v>439.9409785165476</v>
      </c>
      <c r="E86" s="160">
        <f>IF(ISNA(VLOOKUP("THO615510000",Balanceanp!C:G,5,FALSE))=TRUE,0,VLOOKUP("THO615510000",Balanceanp!C:G,5,FALSE))</f>
        <v>116.76</v>
      </c>
      <c r="F86" s="368">
        <f>+C86+C86/9*(12-Clients!$I$14)</f>
        <v>302.55999999999995</v>
      </c>
      <c r="G86" s="396">
        <f t="shared" si="6"/>
        <v>311.63679999999994</v>
      </c>
      <c r="H86" s="409"/>
      <c r="I86" s="149">
        <f t="shared" si="5"/>
        <v>1.5912983898595405</v>
      </c>
      <c r="J86" s="271">
        <f t="shared" si="5"/>
        <v>2.9999999999999978E-2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311.63679999999994</v>
      </c>
    </row>
    <row r="87" spans="1:13" ht="12.75">
      <c r="A87" s="5" t="s">
        <v>363</v>
      </c>
      <c r="B87" s="92"/>
      <c r="C87" s="160">
        <f>IF(ISNA(VLOOKUP("tho615530000",Balance!C:G,5,FALSE))=TRUE,0,VLOOKUP("tho615530000",Balance!C:G,5,FALSE))</f>
        <v>0</v>
      </c>
      <c r="D87" s="117">
        <f>+[2]Thouars!$H87</f>
        <v>0</v>
      </c>
      <c r="E87" s="160">
        <f>IF(ISNA(VLOOKUP("tho615530000",Balanceanp!C:G,5,FALSE))=TRUE,0,VLOOKUP("tho615530000",Balanceanp!C:G,5,FALSE))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IF(ISNA(VLOOKUP("THO616130000",Balance!C:G,5,FALSE))=TRUE,0,VLOOKUP("THO616130000",Balance!C:G,5,FALSE))</f>
        <v>1937.34</v>
      </c>
      <c r="D88" s="117">
        <f>+[2]Thouars!$H88</f>
        <v>2583.1685250000005</v>
      </c>
      <c r="E88" s="160">
        <f>IF(ISNA(VLOOKUP("THO616130000",Balanceanp!C:G,5,FALSE))=TRUE,0,VLOOKUP("THO616130000",Balanceanp!C:G,5,FALSE))</f>
        <v>2286.12</v>
      </c>
      <c r="F88" s="368">
        <f>+C88+C88/9*(12-Clients!$I$14)</f>
        <v>2583.12</v>
      </c>
      <c r="G88" s="397">
        <f>+E88*1.05*1.05</f>
        <v>2520.4472999999998</v>
      </c>
      <c r="H88" s="413"/>
      <c r="I88" s="149">
        <f t="shared" ref="I88:I101" si="7">+IF((E88)=0,,(F88-E88)/E88)</f>
        <v>0.12991444018686685</v>
      </c>
      <c r="J88" s="271">
        <f t="shared" ref="J88:J101" si="8">+IF((F88)=0,,(G88-F88)/F88)</f>
        <v>-2.4262403604942889E-2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2520.4472999999998</v>
      </c>
    </row>
    <row r="89" spans="1:13" ht="12.75">
      <c r="A89" s="5" t="s">
        <v>315</v>
      </c>
      <c r="B89" s="92"/>
      <c r="C89" s="160"/>
      <c r="D89" s="117">
        <f>+[2]Thouars!$H89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IF(ISNA(VLOOKUP("THO618100000",Balance!C:G,5,FALSE))=TRUE,0,VLOOKUP("THO618100000",Balance!C:G,5,FALSE))</f>
        <v>111.66</v>
      </c>
      <c r="D90" s="117">
        <f>+[2]Thouars!$H90</f>
        <v>232.66784824028056</v>
      </c>
      <c r="E90" s="160">
        <f>IF(ISNA(VLOOKUP("THO618100000",Balanceanp!C:G,5,FALSE))=TRUE,0,VLOOKUP("THO618100000",Balanceanp!C:G,5,FALSE))</f>
        <v>200.26</v>
      </c>
      <c r="F90" s="368">
        <f>+C90+C90/9*(12-Clients!$I$14)</f>
        <v>148.88</v>
      </c>
      <c r="G90" s="396">
        <f t="shared" si="6"/>
        <v>153.34639999999999</v>
      </c>
      <c r="H90" s="409"/>
      <c r="I90" s="149">
        <f t="shared" si="7"/>
        <v>-0.25656646359732349</v>
      </c>
      <c r="J90" s="271">
        <f t="shared" si="8"/>
        <v>2.9999999999999954E-2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153.34639999999999</v>
      </c>
    </row>
    <row r="91" spans="1:13" ht="12.75">
      <c r="A91" s="5" t="s">
        <v>113</v>
      </c>
      <c r="B91" s="92"/>
      <c r="C91" s="160">
        <f>IF(ISNA(VLOOKUP("THO618500000",Balance!C:G,5,FALSE))=TRUE,0,VLOOKUP("THO618500000",Balance!C:G,5,FALSE))</f>
        <v>1093.4199999999998</v>
      </c>
      <c r="D91" s="117">
        <f>+[2]Thouars!$H91</f>
        <v>1081.0777000000003</v>
      </c>
      <c r="E91" s="160">
        <f>IF(ISNA(VLOOKUP("THO618500000",Balanceanp!C:G,5,FALSE))=TRUE,0,VLOOKUP("THO618500000",Balanceanp!C:G,5,FALSE))</f>
        <v>934.59</v>
      </c>
      <c r="F91" s="368">
        <f>+C91+C91/9*(12-Clients!$I$14)</f>
        <v>1457.8933333333332</v>
      </c>
      <c r="G91" s="396">
        <f t="shared" si="6"/>
        <v>1501.6301333333333</v>
      </c>
      <c r="H91" s="409"/>
      <c r="I91" s="149">
        <f t="shared" si="7"/>
        <v>0.55992823947756043</v>
      </c>
      <c r="J91" s="271">
        <f t="shared" si="8"/>
        <v>3.0000000000000093E-2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1501.6301333333333</v>
      </c>
    </row>
    <row r="92" spans="1:13" ht="12.75">
      <c r="A92" s="5" t="s">
        <v>309</v>
      </c>
      <c r="B92" s="92"/>
      <c r="C92" s="160">
        <f>IF(ISNA(VLOOKUP("THO622200000",Balance!C:G,5,FALSE))=TRUE,0,VLOOKUP("THO622200000",Balance!C:G,5,FALSE))</f>
        <v>0</v>
      </c>
      <c r="D92" s="117">
        <f>+[2]Thouars!$H92</f>
        <v>0</v>
      </c>
      <c r="E92" s="160">
        <f>IF(ISNA(VLOOKUP("THO622200000",Balanceanp!C:G,5,FALSE))=TRUE,0,VLOOKUP("THO622200000",Balanceanp!C:G,5,FALSE))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IF(ISNA(VLOOKUP("THO622600000",Balance!C:G,5,FALSE))=TRUE,0,VLOOKUP("THO622600000",Balance!C:G,5,FALSE))</f>
        <v>0</v>
      </c>
      <c r="D93" s="117">
        <f>+[2]Thouars!$H93</f>
        <v>0.5862025052083335</v>
      </c>
      <c r="E93" s="160">
        <f>IF(ISNA(VLOOKUP("THO622600000",Balanceanp!C:G,5,FALSE))=TRUE,0,VLOOKUP("THO622600000",Balanceanp!C:G,5,FALSE))</f>
        <v>0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0</v>
      </c>
      <c r="J93" s="271">
        <f t="shared" si="8"/>
        <v>0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0</v>
      </c>
    </row>
    <row r="94" spans="1:13" ht="12.75">
      <c r="A94" s="5" t="s">
        <v>42</v>
      </c>
      <c r="B94" s="92"/>
      <c r="C94" s="160">
        <f>IF(ISNA(VLOOKUP("THO622710000",Balance!C:G,5,FALSE))=TRUE,0,VLOOKUP("THO622710000",Balance!C:G,5,FALSE))</f>
        <v>0</v>
      </c>
      <c r="D94" s="117">
        <f>+[2]Thouars!$H94</f>
        <v>5.5175201001875003</v>
      </c>
      <c r="E94" s="160">
        <f>IF(ISNA(VLOOKUP("THO622710000",Balanceanp!C:G,5,FALSE))=TRUE,0,VLOOKUP("THO622710000",Balanceanp!C:G,5,FALSE))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1.6954626517330006E-2</v>
      </c>
      <c r="C95" s="160">
        <f>IF(ISNA(VLOOKUP("THO624200000",Balance!C:G,5,FALSE))=TRUE,0,VLOOKUP("THO624200000",Balance!C:G,5,FALSE))</f>
        <v>11572.41</v>
      </c>
      <c r="D95" s="117">
        <f>+[2]Thouars!$H95</f>
        <v>20985.897046359372</v>
      </c>
      <c r="E95" s="160">
        <f>IF(ISNA(VLOOKUP("THO624200000",Balanceanp!C:G,5,FALSE))=TRUE,0,VLOOKUP("THO624200000",Balanceanp!C:G,5,FALSE))</f>
        <v>17303.580000000002</v>
      </c>
      <c r="F95" s="368">
        <f>+C95+C95/9*(12-Clients!$I$14)</f>
        <v>15429.88</v>
      </c>
      <c r="G95" s="396">
        <f t="shared" si="6"/>
        <v>15892.776399999999</v>
      </c>
      <c r="H95" s="420">
        <f>+G95/$G$21</f>
        <v>1.78290065066188E-2</v>
      </c>
      <c r="I95" s="149">
        <f t="shared" si="7"/>
        <v>-0.10828395048885851</v>
      </c>
      <c r="J95" s="271">
        <f t="shared" si="8"/>
        <v>2.9999999999999978E-2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15892.776400000001</v>
      </c>
    </row>
    <row r="96" spans="1:13" ht="12.75">
      <c r="A96" s="5" t="s">
        <v>118</v>
      </c>
      <c r="B96" s="92"/>
      <c r="C96" s="160">
        <f>IF(ISNA(VLOOKUP("THO625100000",Balance!C:G,5,FALSE))=TRUE,0,VLOOKUP("THO625100000",Balance!C:G,5,FALSE))</f>
        <v>7336.8899999999994</v>
      </c>
      <c r="D96" s="117">
        <f>+[2]Thouars!$H96</f>
        <v>8000</v>
      </c>
      <c r="E96" s="160">
        <f>IF(ISNA(VLOOKUP("THO625100000",Balanceanp!C:G,5,FALSE))=TRUE,0,VLOOKUP("THO625100000",Balanceanp!C:G,5,FALSE))</f>
        <v>6949.8600000000042</v>
      </c>
      <c r="F96" s="368">
        <f>+C96+C96/9*(12-Clients!$I$14)</f>
        <v>9782.5199999999986</v>
      </c>
      <c r="G96" s="570">
        <v>9000</v>
      </c>
      <c r="H96" s="401"/>
      <c r="I96" s="149">
        <f t="shared" si="7"/>
        <v>0.40758518876639138</v>
      </c>
      <c r="J96" s="271">
        <f t="shared" si="8"/>
        <v>-7.9991658591037768E-2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9000</v>
      </c>
    </row>
    <row r="97" spans="1:13" ht="12.75">
      <c r="A97" s="5" t="s">
        <v>7</v>
      </c>
      <c r="B97" s="92"/>
      <c r="C97" s="160">
        <f>IF(ISNA(VLOOKUP("THO625200000",Balance!C:G,5,FALSE))=TRUE,0,VLOOKUP("THO625200000",Balance!C:G,5,FALSE))</f>
        <v>0</v>
      </c>
      <c r="D97" s="117">
        <f>+[2]Thouars!$H97</f>
        <v>0</v>
      </c>
      <c r="E97" s="160">
        <f>IF(ISNA(VLOOKUP("THO625200000",Balanceanp!C:G,5,FALSE))=TRUE,0,VLOOKUP("THO625200000",Balanceanp!C:G,5,FALSE))</f>
        <v>0</v>
      </c>
      <c r="F97" s="368">
        <f>+C97+C97/9*(12-Clients!$I$14)</f>
        <v>0</v>
      </c>
      <c r="G97" s="395">
        <f t="shared" si="6"/>
        <v>0</v>
      </c>
      <c r="H97" s="401"/>
      <c r="I97" s="149">
        <f t="shared" si="7"/>
        <v>0</v>
      </c>
      <c r="J97" s="271">
        <f t="shared" si="8"/>
        <v>0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0</v>
      </c>
    </row>
    <row r="98" spans="1:13" ht="12.75">
      <c r="A98" s="5" t="s">
        <v>307</v>
      </c>
      <c r="B98" s="92"/>
      <c r="C98" s="160">
        <f>IF(ISNA(VLOOKUP("tho625510000",Balance!C:G,5,FALSE))=TRUE,0,VLOOKUP("tho625510000",Balance!C:G,5,FALSE))</f>
        <v>0</v>
      </c>
      <c r="D98" s="117">
        <f>+[2]Thouars!$H98</f>
        <v>0</v>
      </c>
      <c r="E98" s="160">
        <f>IF(ISNA(VLOOKUP("tho625510000",Balanceanp!C:G,5,FALSE))=TRUE,0,VLOOKUP("tho625510000",Balanceanp!C:G,5,FALSE))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IF(ISNA(VLOOKUP("THO626000000",Balance!C:G,5,FALSE))=TRUE,0,VLOOKUP("THO626000000",Balance!C:G,5,FALSE))</f>
        <v>2966.56</v>
      </c>
      <c r="D99" s="117">
        <f>+[2]Thouars!$H99</f>
        <v>4449.7477648087561</v>
      </c>
      <c r="E99" s="160">
        <f>IF(ISNA(VLOOKUP("THO626000000",Balanceanp!C:G,5,FALSE))=TRUE,0,VLOOKUP("THO626000000",Balanceanp!C:G,5,FALSE))</f>
        <v>4200.2700000000004</v>
      </c>
      <c r="F99" s="368">
        <f>+C99+C99/9*(12-Clients!$I$14)</f>
        <v>3955.413333333333</v>
      </c>
      <c r="G99" s="396">
        <f>+F99</f>
        <v>3955.413333333333</v>
      </c>
      <c r="H99" s="409"/>
      <c r="I99" s="149">
        <f t="shared" si="7"/>
        <v>-5.8295458783998992E-2</v>
      </c>
      <c r="J99" s="271">
        <f t="shared" si="8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3955.413333333333</v>
      </c>
    </row>
    <row r="100" spans="1:13" ht="12.75">
      <c r="A100" s="5" t="s">
        <v>120</v>
      </c>
      <c r="B100" s="92"/>
      <c r="C100" s="160">
        <f>IF(ISNA(VLOOKUP("THO626100000",Balance!C:G,5,FALSE))=TRUE,0,VLOOKUP("THO626100000",Balance!C:G,5,FALSE))</f>
        <v>1388.24</v>
      </c>
      <c r="D100" s="117">
        <f>+[2]Thouars!$H100</f>
        <v>923.7451418690531</v>
      </c>
      <c r="E100" s="160">
        <f>IF(ISNA(VLOOKUP("THO626100000",Balanceanp!C:G,5,FALSE))=TRUE,0,VLOOKUP("THO626100000",Balanceanp!C:G,5,FALSE))</f>
        <v>958.95</v>
      </c>
      <c r="F100" s="368">
        <f>+C100+C100/9*(12-Clients!$I$14)</f>
        <v>1850.9866666666667</v>
      </c>
      <c r="G100" s="396">
        <f t="shared" si="6"/>
        <v>1906.5162666666668</v>
      </c>
      <c r="H100" s="409"/>
      <c r="I100" s="149">
        <f t="shared" si="7"/>
        <v>0.93022229174270465</v>
      </c>
      <c r="J100" s="271">
        <f t="shared" si="8"/>
        <v>3.0000000000000041E-2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1906.5162666666668</v>
      </c>
    </row>
    <row r="101" spans="1:13" ht="12.75">
      <c r="A101" s="5" t="s">
        <v>121</v>
      </c>
      <c r="B101" s="92"/>
      <c r="C101" s="160">
        <f>IF(ISNA(VLOOKUP("THO628400000",Balance!C:G,5,FALSE))=TRUE,0,VLOOKUP("THO628400000",Balance!C:G,5,FALSE))</f>
        <v>0</v>
      </c>
      <c r="D101" s="117">
        <f>+[2]Thouars!$H101</f>
        <v>0</v>
      </c>
      <c r="E101" s="160">
        <f>IF(ISNA(VLOOKUP("THO628400000",Balanceanp!C:G,5,FALSE))=TRUE,0,VLOOKUP("THO628400000",Balanceanp!C:G,5,FALSE))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9.4759833228762524E-2</v>
      </c>
      <c r="C103" s="163">
        <f>SUM(C70:C102)</f>
        <v>64678.49</v>
      </c>
      <c r="D103" s="118">
        <f>SUM(D70:D102)</f>
        <v>95736.682003193535</v>
      </c>
      <c r="E103" s="163">
        <f>SUM(E70:E102)</f>
        <v>83786.95</v>
      </c>
      <c r="F103" s="136">
        <f>SUM(F70:F102)</f>
        <v>85308.764999999999</v>
      </c>
      <c r="G103" s="136">
        <f>SUM(G70:G102)</f>
        <v>87919.259283333347</v>
      </c>
      <c r="H103" s="421">
        <f>+G103/$G$21</f>
        <v>9.863053543115699E-2</v>
      </c>
      <c r="I103" s="272">
        <f>+IF((E103)=0,,(F103-E103)/E103)</f>
        <v>1.8162912004793138E-2</v>
      </c>
      <c r="J103" s="188">
        <f>+IF((F103)=0,,(G103-F103)/F103)</f>
        <v>3.0600540089091056E-2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IF(ISNA(VLOOKUP("THO623100000",Balance!C:G,5,FALSE))=TRUE,0,VLOOKUP("THO623100000",Balance!C:G,5,FALSE))</f>
        <v>0</v>
      </c>
      <c r="D105" s="117">
        <f>+[2]Thouars!$H105</f>
        <v>1000</v>
      </c>
      <c r="E105" s="160">
        <f>IF(ISNA(VLOOKUP("THO623100000",Balanceanp!C:G,5,FALSE))=TRUE,0,VLOOKUP("THO623100000",Balanceanp!C:G,5,FALSE))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IF(ISNA(VLOOKUP("THO623200000",Balance!C:G,5,FALSE))=TRUE,0,VLOOKUP("THO623200000",Balance!C:G,5,FALSE))</f>
        <v>3911.66</v>
      </c>
      <c r="D106" s="117">
        <f>+[2]Thouars!$H106</f>
        <v>3000</v>
      </c>
      <c r="E106" s="160">
        <f>IF(ISNA(VLOOKUP("THO623200000",Balanceanp!C:G,5,FALSE))=TRUE,0,VLOOKUP("THO623200000",Balanceanp!C:G,5,FALSE))</f>
        <v>4723.93</v>
      </c>
      <c r="F106" s="368">
        <f>+C106+C106/9*(12-Clients!$I$14)</f>
        <v>5215.5466666666662</v>
      </c>
      <c r="G106" s="570">
        <v>4000</v>
      </c>
      <c r="H106" s="401"/>
      <c r="I106" s="149">
        <f t="shared" si="9"/>
        <v>0.10406942242299649</v>
      </c>
      <c r="J106" s="271">
        <f t="shared" si="9"/>
        <v>-0.23306217820567221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4000</v>
      </c>
    </row>
    <row r="107" spans="1:13" ht="12.75">
      <c r="A107" s="5" t="s">
        <v>131</v>
      </c>
      <c r="B107" s="92"/>
      <c r="C107" s="160">
        <f>IF(ISNA(VLOOKUP("THO629000000",Balance!C:G,5,FALSE))=TRUE,0,VLOOKUP("THO629000000",Balance!C:G,5,FALSE))</f>
        <v>0</v>
      </c>
      <c r="D107" s="117">
        <f>+[2]Thouars!$H107</f>
        <v>0</v>
      </c>
      <c r="E107" s="160">
        <f>IF(ISNA(VLOOKUP("THO629000000",Balanceanp!C:G,5,FALSE))=TRUE,0,VLOOKUP("THO629000000",Balanceanp!C:G,5,FALSE))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IF(ISNA(VLOOKUP("THO623300000",Balance!C:G,5,FALSE))=TRUE,0,VLOOKUP("THO623300000",Balance!C:G,5,FALSE))</f>
        <v>628.5</v>
      </c>
      <c r="D108" s="117">
        <f>+[2]Thouars!$H108</f>
        <v>300</v>
      </c>
      <c r="E108" s="160">
        <f>IF(ISNA(VLOOKUP("THO623300000",Balanceanp!C:G,5,FALSE))=TRUE,0,VLOOKUP("THO623300000",Balanceanp!C:G,5,FALSE))</f>
        <v>0</v>
      </c>
      <c r="F108" s="368">
        <f>+C108+C108/9*(12-Clients!$I$14)</f>
        <v>838</v>
      </c>
      <c r="G108" s="570">
        <v>300</v>
      </c>
      <c r="H108" s="401"/>
      <c r="I108" s="149">
        <f t="shared" si="9"/>
        <v>0</v>
      </c>
      <c r="J108" s="271">
        <f t="shared" si="9"/>
        <v>-0.64200477326968974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300</v>
      </c>
    </row>
    <row r="109" spans="1:13" ht="12.75">
      <c r="A109" s="5" t="s">
        <v>133</v>
      </c>
      <c r="B109" s="92"/>
      <c r="C109" s="160">
        <f>IF(ISNA(VLOOKUP("THO623700000",Balance!C:G,5,FALSE))=TRUE,0,VLOOKUP("THO623700000",Balance!C:G,5,FALSE))</f>
        <v>1655.37</v>
      </c>
      <c r="D109" s="117">
        <f>+[2]Thouars!$H109</f>
        <v>4500</v>
      </c>
      <c r="E109" s="160">
        <f>IF(ISNA(VLOOKUP("THO623700000",Balanceanp!C:G,5,FALSE))=TRUE,0,VLOOKUP("THO623700000",Balanceanp!C:G,5,FALSE))</f>
        <v>2380.98</v>
      </c>
      <c r="F109" s="368">
        <f>+C109+C109/9*(12-Clients!$I$14)</f>
        <v>2207.16</v>
      </c>
      <c r="G109" s="570">
        <v>4500</v>
      </c>
      <c r="H109" s="401"/>
      <c r="I109" s="149">
        <f t="shared" si="9"/>
        <v>-7.300355315878343E-2</v>
      </c>
      <c r="J109" s="271">
        <f t="shared" si="9"/>
        <v>1.0388191159680316</v>
      </c>
      <c r="K109" s="2" t="s">
        <v>718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4500</v>
      </c>
    </row>
    <row r="110" spans="1:13" ht="12.75">
      <c r="A110" s="5" t="s">
        <v>134</v>
      </c>
      <c r="B110" s="92"/>
      <c r="C110" s="160">
        <f>IF(ISNA(VLOOKUP("THO623410000",Balance!C:G,5,FALSE))=TRUE,0,VLOOKUP("THO623410000",Balance!C:G,5,FALSE))+IF(ISNA(VLOOKUP("THO623420000",Balance!C:G,5,FALSE))=TRUE,0,VLOOKUP("THO623420000",Balance!C:G,5,FALSE))</f>
        <v>5941.94</v>
      </c>
      <c r="D110" s="117">
        <f>+[2]Thouars!$H110</f>
        <v>8000</v>
      </c>
      <c r="E110" s="160">
        <f>IF(ISNA(VLOOKUP("tho623410000",Balanceanp!C:G,5,FALSE))=TRUE,0,VLOOKUP("tho623410000",Balanceanp!C:G,5,FALSE))+IF(ISNA(VLOOKUP("tho623420000",Balanceanp!C:G,5,FALSE))=TRUE,0,VLOOKUP("tho623420000",Balanceanp!C:G,5,FALSE))</f>
        <v>3129.44</v>
      </c>
      <c r="F110" s="368">
        <v>7000</v>
      </c>
      <c r="G110" s="570">
        <v>8000</v>
      </c>
      <c r="H110" s="401"/>
      <c r="I110" s="149">
        <f t="shared" si="9"/>
        <v>1.2368219234112172</v>
      </c>
      <c r="J110" s="271">
        <f t="shared" si="9"/>
        <v>0.14285714285714285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8000</v>
      </c>
    </row>
    <row r="111" spans="1:13" ht="12.75">
      <c r="A111" s="5" t="s">
        <v>135</v>
      </c>
      <c r="B111" s="92"/>
      <c r="C111" s="160">
        <f>IF(ISNA(VLOOKUP("THO623800000",Balance!C:G,5,FALSE))=TRUE,0,VLOOKUP("THO623800000",Balance!C:G,5,FALSE))+IF(ISNA(VLOOKUP("THO623820000",Balance!C:G,5,FALSE))=TRUE,0,VLOOKUP("THO623820000",Balance!C:G,5,FALSE))</f>
        <v>50</v>
      </c>
      <c r="D111" s="117">
        <f>+[2]Thouars!$H111</f>
        <v>150</v>
      </c>
      <c r="E111" s="160">
        <f>IF(ISNA(VLOOKUP("THO623800000",Balanceanp!C:G,5,FALSE))=TRUE,0,VLOOKUP("THO623800000",Balanceanp!C:G,5,FALSE))</f>
        <v>100</v>
      </c>
      <c r="F111" s="368">
        <f>+C111+C111/9*(12-Clients!$I$14)</f>
        <v>66.666666666666657</v>
      </c>
      <c r="G111" s="570">
        <v>150</v>
      </c>
      <c r="H111" s="401"/>
      <c r="I111" s="149">
        <f t="shared" si="9"/>
        <v>-0.33333333333333343</v>
      </c>
      <c r="J111" s="271">
        <f t="shared" si="9"/>
        <v>1.2500000000000002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150</v>
      </c>
    </row>
    <row r="112" spans="1:13" ht="12.75">
      <c r="A112" s="5" t="s">
        <v>136</v>
      </c>
      <c r="B112" s="92"/>
      <c r="C112" s="160">
        <f>IF(ISNA(VLOOKUP("THO625600000",Balance!C:G,5,FALSE))=TRUE,0,VLOOKUP("THO625600000",Balance!C:G,5,FALSE))</f>
        <v>0</v>
      </c>
      <c r="D112" s="117">
        <f>+[2]Thouars!$H112</f>
        <v>0</v>
      </c>
      <c r="E112" s="160">
        <f>IF(ISNA(VLOOKUP("THO625600000",Balanceanp!C:G,5,FALSE))=TRUE,0,VLOOKUP("THO625600000",Balanceanp!C:G,5,FALSE))</f>
        <v>25.23</v>
      </c>
      <c r="F112" s="368">
        <f>+C112+C112/9*(12-Clients!$I$14)</f>
        <v>0</v>
      </c>
      <c r="G112" s="570">
        <v>0</v>
      </c>
      <c r="H112" s="401"/>
      <c r="I112" s="149">
        <f t="shared" si="9"/>
        <v>-1</v>
      </c>
      <c r="J112" s="271">
        <f t="shared" si="9"/>
        <v>0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0</v>
      </c>
    </row>
    <row r="113" spans="1:13" ht="12.75">
      <c r="A113" s="5" t="s">
        <v>137</v>
      </c>
      <c r="B113" s="92"/>
      <c r="C113" s="160">
        <f>IF(ISNA(VLOOKUP("tho625700000",Balance!C:G,5,FALSE))=TRUE,0,VLOOKUP("tho625700000",Balance!C:G,5,FALSE))+IF(ISNA(VLOOKUP("tho625710000",Balance!C:G,5,FALSE))=TRUE,0,VLOOKUP("tho625710000",Balance!C:G,5,FALSE))</f>
        <v>4556.12</v>
      </c>
      <c r="D113" s="117">
        <f>+[2]Thouars!$H113</f>
        <v>6000</v>
      </c>
      <c r="E113" s="160">
        <f>IF(ISNA(VLOOKUP("tho625700000",Balanceanp!C:G,5,FALSE))=TRUE,0,VLOOKUP("tho625700000",Balanceanp!C:G,5,FALSE))+IF(ISNA(VLOOKUP("tho625710000",Balanceanp!C:G,5,FALSE))=TRUE,0,VLOOKUP("tho625710000",Balanceanp!C:G,5,FALSE))</f>
        <v>2103.56</v>
      </c>
      <c r="F113" s="368">
        <v>4048.52</v>
      </c>
      <c r="G113" s="570">
        <f>+F113*1.03</f>
        <v>4169.9755999999998</v>
      </c>
      <c r="H113" s="401"/>
      <c r="I113" s="149">
        <f t="shared" si="9"/>
        <v>0.92460400463975356</v>
      </c>
      <c r="J113" s="271">
        <f t="shared" si="9"/>
        <v>2.9999999999999943E-2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4169.9755999999998</v>
      </c>
    </row>
    <row r="114" spans="1:13" ht="12.75">
      <c r="A114" s="5" t="s">
        <v>138</v>
      </c>
      <c r="B114" s="92"/>
      <c r="C114" s="160">
        <f>IF(ISNA(VLOOKUP("THO623810000",Balance!C:G,5,FALSE))=TRUE,0,VLOOKUP("THO623810000",Balance!C:G,5,FALSE))</f>
        <v>0</v>
      </c>
      <c r="D114" s="117">
        <f>+[2]Thouars!$H114</f>
        <v>0</v>
      </c>
      <c r="E114" s="160">
        <f>IF(ISNA(VLOOKUP("THO623810000",Balanceanp!C:G,5,FALSE))=TRUE,0,VLOOKUP("THO623810000",Balanceanp!C:G,5,FALSE))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2.4530872567537925E-2</v>
      </c>
      <c r="C116" s="163">
        <f>SUM(C104:C115)</f>
        <v>16743.59</v>
      </c>
      <c r="D116" s="118">
        <f>SUM(D104:D115)</f>
        <v>22950</v>
      </c>
      <c r="E116" s="163">
        <f>SUM(E104:E115)</f>
        <v>13237.44</v>
      </c>
      <c r="F116" s="136">
        <f>SUM(F104:F115)</f>
        <v>19375.89333333333</v>
      </c>
      <c r="G116" s="136">
        <f>SUM(G104:G115)</f>
        <v>22119.975599999998</v>
      </c>
      <c r="H116" s="421">
        <f>+G116/$G$21</f>
        <v>2.4814870540722456E-2</v>
      </c>
      <c r="I116" s="272">
        <f>+IF((E116)=0,,(F116-E116)/E116)</f>
        <v>0.46371906753370207</v>
      </c>
      <c r="J116" s="188">
        <f>+IF((F116)=0,,(G116-F116)/F116)</f>
        <v>0.14162352256274474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IF(ISNA(VLOOKUP("THO633300000",Balance!C:G,5,FALSE))=TRUE,0,VLOOKUP("THO633300000",Balance!C:G,5,FALSE))</f>
        <v>1977.27</v>
      </c>
      <c r="D118" s="117">
        <f>+[2]Thouars!$H118</f>
        <v>594.99999999999989</v>
      </c>
      <c r="E118" s="160">
        <f>IF(ISNA(VLOOKUP("THO633300000",Balanceanp!C:G,5,FALSE))=TRUE,0,VLOOKUP("THO633300000",Balanceanp!C:G,5,FALSE))</f>
        <v>1173</v>
      </c>
      <c r="F118" s="368">
        <f>+C118+C118/9*(12-Clients!$I$14)</f>
        <v>2636.3599999999997</v>
      </c>
      <c r="G118" s="396">
        <f>G131*(0.2+0.5)%</f>
        <v>664.99999999999989</v>
      </c>
      <c r="H118" s="409"/>
      <c r="I118" s="149">
        <f t="shared" ref="I118:J127" si="10">+IF((E118)=0,,(F118-E118)/E118)</f>
        <v>1.2475362318840577</v>
      </c>
      <c r="J118" s="271">
        <f t="shared" si="10"/>
        <v>-0.74775827277003137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664.99999999999989</v>
      </c>
    </row>
    <row r="119" spans="1:13" ht="12.75">
      <c r="A119" s="5" t="s">
        <v>140</v>
      </c>
      <c r="B119" s="92"/>
      <c r="C119" s="160">
        <f>IF(ISNA(VLOOKUP("THO633400000",Balance!C:G,5,FALSE))=TRUE,0,VLOOKUP("THO633400000",Balance!C:G,5,FALSE))</f>
        <v>0</v>
      </c>
      <c r="D119" s="117">
        <f>+[2]Thouars!$H119</f>
        <v>382.50000000000006</v>
      </c>
      <c r="E119" s="160">
        <f>IF(ISNA(VLOOKUP("THO633400000",Balanceanp!C:G,5,FALSE))=TRUE,0,VLOOKUP("THO633400000",Balanceanp!C:G,5,FALSE))</f>
        <v>646</v>
      </c>
      <c r="F119" s="368">
        <f>+C119+C119/9*(12-Clients!$I$14)</f>
        <v>0</v>
      </c>
      <c r="G119" s="396">
        <f>+G131*0.45%</f>
        <v>427.50000000000006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427.50000000000006</v>
      </c>
    </row>
    <row r="120" spans="1:13" ht="12.75">
      <c r="A120" s="5" t="s">
        <v>141</v>
      </c>
      <c r="B120" s="92"/>
      <c r="C120" s="160">
        <f>IF(ISNA(VLOOKUP("THO633500000",Balance!C:G,5,FALSE))=TRUE,0,VLOOKUP("THO633500000",Balance!C:G,5,FALSE))</f>
        <v>0</v>
      </c>
      <c r="D120" s="117">
        <f>+[2]Thouars!$H120</f>
        <v>663</v>
      </c>
      <c r="E120" s="160">
        <f>IF(ISNA(VLOOKUP("THO633500000",Balanceanp!C:G,5,FALSE))=TRUE,0,VLOOKUP("THO633500000",Balanceanp!C:G,5,FALSE))</f>
        <v>976</v>
      </c>
      <c r="F120" s="368">
        <f>+C120+C120/9*(12-Clients!$I$14)</f>
        <v>0</v>
      </c>
      <c r="G120" s="396">
        <f>+G131*(0.6+0.18)%</f>
        <v>741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741</v>
      </c>
    </row>
    <row r="121" spans="1:13" ht="12.75">
      <c r="A121" s="5" t="s">
        <v>706</v>
      </c>
      <c r="B121" s="92"/>
      <c r="C121" s="160">
        <f>IF(ISNA(VLOOKUP("THO635110000",Balance!C:G,5,FALSE))=TRUE,0,VLOOKUP("THO635110000",Balance!C:G,5,FALSE))</f>
        <v>2162.52</v>
      </c>
      <c r="D121" s="117">
        <f>+[2]Thouars!$H121</f>
        <v>2883.3</v>
      </c>
      <c r="E121" s="160">
        <f>IF(ISNA(VLOOKUP("THO635110000",Balanceanp!C:G,5,FALSE))=TRUE,0,VLOOKUP("THO635110000",Balanceanp!C:G,5,FALSE))</f>
        <v>2746</v>
      </c>
      <c r="F121" s="570">
        <v>457</v>
      </c>
      <c r="G121" s="570">
        <f>+F121*1.05</f>
        <v>479.85</v>
      </c>
      <c r="H121" s="413"/>
      <c r="I121" s="149">
        <f t="shared" si="10"/>
        <v>-0.83357611070648219</v>
      </c>
      <c r="J121" s="271">
        <f t="shared" si="10"/>
        <v>5.0000000000000051E-2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479.85</v>
      </c>
    </row>
    <row r="122" spans="1:13" ht="12.75">
      <c r="A122" s="5" t="s">
        <v>143</v>
      </c>
      <c r="B122" s="92"/>
      <c r="C122" s="160">
        <f>IF(ISNA(VLOOKUP("THO635120000",Balance!C:G,5,FALSE))=TRUE,0,VLOOKUP("THO635120000",Balance!C:G,5,FALSE))</f>
        <v>524.52</v>
      </c>
      <c r="D122" s="117">
        <f>+[2]Thouars!$H122</f>
        <v>699.36299999999994</v>
      </c>
      <c r="E122" s="160">
        <f>IF(ISNA(VLOOKUP("THO635120000",Balanceanp!C:G,5,FALSE))=TRUE,0,VLOOKUP("THO635120000",Balanceanp!C:G,5,FALSE))</f>
        <v>666.06</v>
      </c>
      <c r="F122" s="425">
        <v>695.47</v>
      </c>
      <c r="G122" s="425">
        <f>+F122*1.05</f>
        <v>730.24350000000004</v>
      </c>
      <c r="H122" s="413"/>
      <c r="I122" s="149">
        <f t="shared" si="10"/>
        <v>4.4155181214905692E-2</v>
      </c>
      <c r="J122" s="271">
        <f t="shared" si="10"/>
        <v>5.0000000000000017E-2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730.24350000000004</v>
      </c>
    </row>
    <row r="123" spans="1:13" ht="12.75">
      <c r="A123" s="5" t="s">
        <v>144</v>
      </c>
      <c r="B123" s="92"/>
      <c r="C123" s="160">
        <f>IF(ISNA(VLOOKUP("THO635130000",Balance!C:G,5,FALSE))=TRUE,0,VLOOKUP("THO635130000",Balance!C:G,5,FALSE))</f>
        <v>0</v>
      </c>
      <c r="D123" s="117">
        <f>+[2]Thouars!$H123</f>
        <v>50</v>
      </c>
      <c r="E123" s="160">
        <f>IF(ISNA(VLOOKUP("THO635130000",Balanceanp!C:G,5,FALSE))=TRUE,0,VLOOKUP("THO635130000",Balanceanp!C:G,5,FALSE))</f>
        <v>0</v>
      </c>
      <c r="F123" s="368"/>
      <c r="G123" s="397">
        <v>50</v>
      </c>
      <c r="H123" s="413"/>
      <c r="I123" s="149">
        <f t="shared" si="10"/>
        <v>0</v>
      </c>
      <c r="J123" s="271">
        <f t="shared" si="10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50</v>
      </c>
    </row>
    <row r="124" spans="1:13" ht="12.75">
      <c r="A124" s="5" t="s">
        <v>145</v>
      </c>
      <c r="B124" s="92"/>
      <c r="C124" s="160">
        <f>IF(ISNA(VLOOKUP("THO635140000",Balance!C:G,5,FALSE))=TRUE,0,VLOOKUP("THO635140000",Balance!C:G,5,FALSE))</f>
        <v>0</v>
      </c>
      <c r="D124" s="117">
        <f>+[2]Thouars!$H124</f>
        <v>0</v>
      </c>
      <c r="E124" s="160">
        <f>IF(ISNA(VLOOKUP("THO635140000",Balanceanp!C:G,5,FALSE))=TRUE,0,VLOOKUP("THO635140000",Balanceanp!C:G,5,FALSE))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0"/>
        <v>0</v>
      </c>
      <c r="J124" s="271">
        <f t="shared" si="10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IF(ISNA(VLOOKUP("THO635300000",Balance!C:G,5,FALSE))=TRUE,0,VLOOKUP("THO635300000",Balance!C:G,5,FALSE))</f>
        <v>0</v>
      </c>
      <c r="D125" s="117">
        <f>+[2]Thouars!$H125</f>
        <v>0</v>
      </c>
      <c r="E125" s="160">
        <f>IF(ISNA(VLOOKUP("THO635300000",Balanceanp!C:G,5,FALSE))=TRUE,0,VLOOKUP("THO635300000",Balanceanp!C:G,5,FALSE))</f>
        <v>0</v>
      </c>
      <c r="F125" s="368">
        <f>+C125+C125/9*(12-Clients!$I$14)</f>
        <v>0</v>
      </c>
      <c r="G125" s="397">
        <v>0</v>
      </c>
      <c r="H125" s="413"/>
      <c r="I125" s="149">
        <f t="shared" si="10"/>
        <v>0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IF(ISNA(VLOOKUP("tho635400000",Balance!C:G,5,FALSE))=TRUE,0,VLOOKUP("tho635400000",Balance!C:G,5,FALSE))</f>
        <v>0</v>
      </c>
      <c r="D126" s="117">
        <f>+[2]Thouars!$H126</f>
        <v>0</v>
      </c>
      <c r="E126" s="160">
        <f>IF(ISNA(VLOOKUP("tho635400000",Balanceanp!C:G,5,FALSE))=TRUE,0,VLOOKUP("tho635400000",Balanceanp!C:G,5,FALSE))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IF(ISNA(VLOOKUP("THO637100000",Balance!C:G,5,FALSE))=TRUE,0,VLOOKUP("THO637100000",Balance!C:G,5,FALSE))</f>
        <v>1156.9000000000001</v>
      </c>
      <c r="D127" s="117">
        <f>+[2]Thouars!$H127</f>
        <v>1472</v>
      </c>
      <c r="E127" s="160">
        <f>IF(ISNA(VLOOKUP("THO637100000",Balanceanp!C:G,5,FALSE))=TRUE,0,VLOOKUP("THO637100000",Balanceanp!C:G,5,FALSE))</f>
        <v>1354.94</v>
      </c>
      <c r="F127" s="368">
        <f>+C127+C127/9*(12-Clients!$I$14)</f>
        <v>1542.5333333333333</v>
      </c>
      <c r="G127" s="396">
        <f>+G51*0.16%</f>
        <v>1410.24</v>
      </c>
      <c r="H127" s="409"/>
      <c r="I127" s="149">
        <f t="shared" si="10"/>
        <v>0.13845139514172822</v>
      </c>
      <c r="J127" s="271">
        <f t="shared" si="10"/>
        <v>-8.5763678796784482E-2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1410.24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8.528598747274475E-3</v>
      </c>
      <c r="C129" s="163">
        <f>SUM(C117:C128)</f>
        <v>5821.2099999999991</v>
      </c>
      <c r="D129" s="118">
        <f>SUM(D117:D128)</f>
        <v>6745.1630000000005</v>
      </c>
      <c r="E129" s="163">
        <f>SUM(E117:E128)</f>
        <v>7562</v>
      </c>
      <c r="F129" s="136">
        <f>SUM(F117:F128)</f>
        <v>5331.3633333333328</v>
      </c>
      <c r="G129" s="136">
        <f>SUM(G117:G128)</f>
        <v>4503.8334999999997</v>
      </c>
      <c r="H129" s="421">
        <f>+G129/$G$21</f>
        <v>5.0525392640789766E-3</v>
      </c>
      <c r="I129" s="272">
        <f>+IF((E129)=0,,(F129-E129)/E129)</f>
        <v>-0.29497972317729004</v>
      </c>
      <c r="J129" s="188">
        <f>+IF((F129)=0,,(G129-F129)/F129)</f>
        <v>-0.15521917783381234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4503.8334999999997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IF(ISNA(VLOOKUP("THO641100000",Balance!C:G,5,FALSE))=TRUE,0,VLOOKUP("THO641100000",Balance!C:G,5,FALSE))</f>
        <v>72230.720000000001</v>
      </c>
      <c r="D131" s="117">
        <f>+[2]Thouars!$H131</f>
        <v>85000</v>
      </c>
      <c r="E131" s="160">
        <f>IF(ISNA(VLOOKUP("THO641100000",Balanceanp!C:G,5,FALSE))=TRUE,0,VLOOKUP("THO641100000",Balanceanp!C:G,5,FALSE))</f>
        <v>84117.279999999984</v>
      </c>
      <c r="F131" s="368">
        <f>+C131+C131/9*(12-Clients!$I$14)</f>
        <v>96307.626666666663</v>
      </c>
      <c r="G131" s="570">
        <v>95000</v>
      </c>
      <c r="H131" s="401"/>
      <c r="I131" s="149">
        <f t="shared" ref="I131:J146" si="11">+IF((E131)=0,,(F131-E131)/E131)</f>
        <v>0.1449208375100417</v>
      </c>
      <c r="J131" s="271">
        <f t="shared" si="11"/>
        <v>-1.3577602438408444E-2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95000</v>
      </c>
    </row>
    <row r="132" spans="1:13" ht="12.75">
      <c r="A132" s="5" t="s">
        <v>149</v>
      </c>
      <c r="B132" s="92"/>
      <c r="C132" s="160">
        <f>IF(ISNA(VLOOKUP("THO641110000",Balance!C:G,5,FALSE))=TRUE,0,VLOOKUP("THO641110000",Balance!C:G,5,FALSE))</f>
        <v>-6050</v>
      </c>
      <c r="D132" s="117">
        <f>+[2]Thouars!$H132</f>
        <v>0</v>
      </c>
      <c r="E132" s="160">
        <f>IF(ISNA(VLOOKUP("THO641110000",Balanceanp!C:G,5,FALSE))=TRUE,0,VLOOKUP("THO641110000",Balanceanp!C:G,5,FALSE))</f>
        <v>400</v>
      </c>
      <c r="F132" s="368">
        <f>+C132+C132/9*(12-Clients!$I$14)</f>
        <v>-8066.6666666666661</v>
      </c>
      <c r="G132" s="570">
        <v>0</v>
      </c>
      <c r="H132" s="401"/>
      <c r="I132" s="149">
        <f t="shared" si="11"/>
        <v>-21.166666666666664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IF(ISNA(VLOOKUP("THO641111000",Balance!C:G,5,FALSE))=TRUE,0,VLOOKUP("THO641111000",Balance!C:G,5,FALSE))</f>
        <v>0</v>
      </c>
      <c r="D133" s="117">
        <f>+[2]Thouars!$H133</f>
        <v>0</v>
      </c>
      <c r="E133" s="160">
        <f>IF(ISNA(VLOOKUP("THO641111000",Balanceanp!C:G,5,FALSE))=TRUE,0,VLOOKUP("THO641111000",Balanceanp!C:G,5,FALSE))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IF(ISNA(VLOOKUP("THO641200000",Balance!C:G,5,FALSE))=TRUE,0,VLOOKUP("THO641200000",Balance!C:G,5,FALSE))</f>
        <v>0</v>
      </c>
      <c r="D134" s="117">
        <f>+[2]Thouars!$H134</f>
        <v>0</v>
      </c>
      <c r="E134" s="160">
        <f>IF(ISNA(VLOOKUP("THO641200000",Balanceanp!C:G,5,FALSE))=TRUE,0,VLOOKUP("THO641200000",Balanceanp!C:G,5,FALSE))</f>
        <v>-1025.42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IF(ISNA(VLOOKUP("THO621100000",Balance!C:G,5,FALSE))=TRUE,0,VLOOKUP("THO621100000",Balance!C:G,5,FALSE))</f>
        <v>0</v>
      </c>
      <c r="D135" s="117">
        <f>+[2]Thouars!$H135</f>
        <v>0</v>
      </c>
      <c r="E135" s="160">
        <f>IF(ISNA(VLOOKUP("THO621100000",Balanceanp!C:G,5,FALSE))=TRUE,0,VLOOKUP("THO621100000",Balanceanp!C:G,5,FALSE))</f>
        <v>0</v>
      </c>
      <c r="F135" s="368">
        <f>+C135+C135/9*(12-Clients!$I$14)</f>
        <v>0</v>
      </c>
      <c r="G135" s="570">
        <f t="shared" si="12"/>
        <v>0</v>
      </c>
      <c r="H135" s="401"/>
      <c r="I135" s="149">
        <f t="shared" si="11"/>
        <v>0</v>
      </c>
      <c r="J135" s="271">
        <f t="shared" si="11"/>
        <v>0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0</v>
      </c>
    </row>
    <row r="136" spans="1:13" ht="12.75">
      <c r="A136" s="5" t="s">
        <v>338</v>
      </c>
      <c r="B136" s="92"/>
      <c r="C136" s="160">
        <f>IF(ISNA(VLOOKUP("THO621200000",Balance!C:G,5,FALSE))=TRUE,0,VLOOKUP("THO621200000",Balance!C:G,5,FALSE))</f>
        <v>0</v>
      </c>
      <c r="D136" s="117">
        <f>+[2]Thouars!$H136</f>
        <v>0</v>
      </c>
      <c r="E136" s="160">
        <f>IF(ISNA(VLOOKUP("THO621200000",Balanceanp!C:G,5,FALSE))=TRUE,0,VLOOKUP("THO621200000",Balanceanp!C:G,5,FALSE))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-IF(ISNA(VLOOKUP("THO706100000",Balance!C:G,5,FALSE))=TRUE,0,-VLOOKUP("THO706100000",Balance!C:G,5,FALSE))</f>
        <v>-8656.42</v>
      </c>
      <c r="D137" s="117">
        <f>+[2]Thouars!$H137</f>
        <v>0</v>
      </c>
      <c r="E137" s="160">
        <f>IF(ISNA(VLOOKUP("THO706100000",Balanceanp!C:G,5,FALSE))=TRUE,0,-VLOOKUP("THO706100000",Balanceanp!C:G,5,FALSE))</f>
        <v>0</v>
      </c>
      <c r="F137" s="368">
        <f>+C137+C137/9*(12-Clients!$I$14)</f>
        <v>-11541.893333333333</v>
      </c>
      <c r="G137" s="570">
        <f t="shared" si="12"/>
        <v>-11888.150133333334</v>
      </c>
      <c r="H137" s="401"/>
      <c r="I137" s="149">
        <f t="shared" si="11"/>
        <v>0</v>
      </c>
      <c r="J137" s="271">
        <f t="shared" si="11"/>
        <v>3.0000000000000089E-2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-11888.150133333334</v>
      </c>
    </row>
    <row r="138" spans="1:13" ht="12.75">
      <c r="A138" s="5" t="s">
        <v>152</v>
      </c>
      <c r="B138" s="92"/>
      <c r="C138" s="160">
        <f>IF(ISNA(VLOOKUP("THO641210000",Balance!C:G,5,FALSE))=TRUE,0,VLOOKUP("THO641210000",Balance!C:G,5,FALSE))</f>
        <v>0</v>
      </c>
      <c r="D138" s="117">
        <f>+[2]Thouars!$H138</f>
        <v>0</v>
      </c>
      <c r="E138" s="160">
        <f>IF(ISNA(VLOOKUP("THO641210000",Balanceanp!C:G,5,FALSE))=TRUE,0,VLOOKUP("THO641210000",Balanceanp!C:G,5,FALSE))</f>
        <v>-223.05000000000018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IF(ISNA(VLOOKUP("THO641400000",Balance!C:G,5,FALSE))=TRUE,0,VLOOKUP("THO641400000",Balance!C:G,5,FALSE))</f>
        <v>0</v>
      </c>
      <c r="D139" s="117">
        <f>+[2]Thouars!$H139</f>
        <v>0</v>
      </c>
      <c r="E139" s="160">
        <f>IF(ISNA(VLOOKUP("THO641400000",Balanceanp!C:G,5,FALSE))=TRUE,0,VLOOKUP("THO641400000",Balanceanp!C:G,5,FALSE))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IF(ISNA(VLOOKUP("THO641600000",Balance!C:G,5,FALSE))=TRUE,0,VLOOKUP("THO641600000",Balance!C:G,5,FALSE))</f>
        <v>0</v>
      </c>
      <c r="D140" s="117">
        <f>+[2]Thouars!$H140</f>
        <v>0</v>
      </c>
      <c r="E140" s="160">
        <f>IF(ISNA(VLOOKUP("THO641600000",Balanceanp!C:G,5,FALSE))=TRUE,0,VLOOKUP("THO641600000",Balanceanp!C:G,5,FALSE))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IF(ISNA(VLOOKUP("THO645100000",Balance!C:G,5,FALSE))=TRUE,0,VLOOKUP("THO645100000",Balance!C:G,5,FALSE))</f>
        <v>18772.609999999997</v>
      </c>
      <c r="D141" s="117">
        <f>+[2]Thouars!$H141</f>
        <v>17044.03317445334</v>
      </c>
      <c r="E141" s="160">
        <f>IF(ISNA(VLOOKUP("THO645100000",Balanceanp!C:G,5,FALSE))=TRUE,0,VLOOKUP("THO645100000",Balanceanp!C:G,5,FALSE))</f>
        <v>20042.25</v>
      </c>
      <c r="F141" s="368">
        <f>+C141+C141/9*(12-Clients!$I$14)</f>
        <v>25030.14666666666</v>
      </c>
      <c r="G141" s="396">
        <f t="shared" ref="G141:G146" si="13">+($G$131/$C$131*C141)*1.01</f>
        <v>24937.200259114124</v>
      </c>
      <c r="H141" s="409"/>
      <c r="I141" s="149">
        <f t="shared" si="11"/>
        <v>0.24886909736514914</v>
      </c>
      <c r="J141" s="271">
        <f t="shared" si="11"/>
        <v>-3.7133784627924288E-3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24937.200259114124</v>
      </c>
    </row>
    <row r="142" spans="1:13" ht="12.75">
      <c r="A142" s="5" t="s">
        <v>156</v>
      </c>
      <c r="B142" s="92"/>
      <c r="C142" s="160">
        <f>IF(ISNA(VLOOKUP("THO645200000",Balance!C:G,5,FALSE))=TRUE,0,VLOOKUP("THO645200000",Balance!C:G,5,FALSE))</f>
        <v>3081.66</v>
      </c>
      <c r="D142" s="117">
        <f>+[2]Thouars!$H142</f>
        <v>4638.9087702533143</v>
      </c>
      <c r="E142" s="160">
        <f>IF(ISNA(VLOOKUP("THO645200000",Balanceanp!C:G,5,FALSE))=TRUE,0,VLOOKUP("THO645200000",Balanceanp!C:G,5,FALSE))</f>
        <v>4564.8</v>
      </c>
      <c r="F142" s="368">
        <f>+C142+C142/9*(12-Clients!$I$14)</f>
        <v>4108.8799999999992</v>
      </c>
      <c r="G142" s="396">
        <f t="shared" si="13"/>
        <v>4093.6221735018007</v>
      </c>
      <c r="H142" s="409"/>
      <c r="I142" s="149">
        <f t="shared" si="11"/>
        <v>-9.9877322117069955E-2</v>
      </c>
      <c r="J142" s="271">
        <f t="shared" si="11"/>
        <v>-3.7133784627924118E-3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4093.6221735018007</v>
      </c>
    </row>
    <row r="143" spans="1:13" ht="12.75">
      <c r="A143" s="5" t="s">
        <v>157</v>
      </c>
      <c r="B143" s="92"/>
      <c r="C143" s="160">
        <f>IF(ISNA(VLOOKUP("THO645300000",Balance!C:G,5,FALSE))=TRUE,0,VLOOKUP("THO645300000",Balance!C:G,5,FALSE))</f>
        <v>8728.02</v>
      </c>
      <c r="D143" s="117">
        <f>+[2]Thouars!$H143</f>
        <v>11402.378849149467</v>
      </c>
      <c r="E143" s="160">
        <f>IF(ISNA(VLOOKUP("THO645300000",Balanceanp!C:G,5,FALSE))=TRUE,0,VLOOKUP("THO645300000",Balanceanp!C:G,5,FALSE))</f>
        <v>11449.32</v>
      </c>
      <c r="F143" s="368">
        <f>+C143+C143/9*(12-Clients!$I$14)</f>
        <v>11637.36</v>
      </c>
      <c r="G143" s="396">
        <f t="shared" si="13"/>
        <v>11594.146078012238</v>
      </c>
      <c r="H143" s="409"/>
      <c r="I143" s="149">
        <f t="shared" si="11"/>
        <v>1.642368280386965E-2</v>
      </c>
      <c r="J143" s="271">
        <f t="shared" si="11"/>
        <v>-3.7133784627924769E-3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11594.146078012238</v>
      </c>
    </row>
    <row r="144" spans="1:13" ht="12.75">
      <c r="A144" s="5" t="s">
        <v>326</v>
      </c>
      <c r="B144" s="92"/>
      <c r="C144" s="160">
        <f>IF(ISNA(VLOOKUP("THO645310000",Balance!C:G,5,FALSE))=TRUE,0,VLOOKUP("THO645310000",Balance!C:G,5,FALSE))</f>
        <v>259.64999999999998</v>
      </c>
      <c r="D144" s="117">
        <f>+[2]Thouars!$H144</f>
        <v>343.24392546236407</v>
      </c>
      <c r="E144" s="160">
        <f>IF(ISNA(VLOOKUP("THO645310000",Balanceanp!C:G,5,FALSE))=TRUE,0,VLOOKUP("THO645310000",Balanceanp!C:G,5,FALSE))</f>
        <v>1600.76</v>
      </c>
      <c r="F144" s="368">
        <f>+C144+C144/9*(12-Clients!$I$14)</f>
        <v>346.2</v>
      </c>
      <c r="G144" s="396">
        <f t="shared" si="13"/>
        <v>344.91442837618121</v>
      </c>
      <c r="H144" s="409"/>
      <c r="I144" s="149">
        <f t="shared" si="11"/>
        <v>-0.78372772932856893</v>
      </c>
      <c r="J144" s="271">
        <f t="shared" si="11"/>
        <v>-3.713378462792555E-3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344.91442837618121</v>
      </c>
    </row>
    <row r="145" spans="1:13" ht="12.75">
      <c r="A145" s="5" t="s">
        <v>158</v>
      </c>
      <c r="B145" s="92"/>
      <c r="C145" s="160">
        <f>IF(ISNA(VLOOKUP("THO645400000",Balance!C:G,5,FALSE))=TRUE,0,VLOOKUP("THO645400000",Balance!C:G,5,FALSE))</f>
        <v>4702.71</v>
      </c>
      <c r="D145" s="117">
        <f>+[2]Thouars!$H145</f>
        <v>6025.7711040411459</v>
      </c>
      <c r="E145" s="160">
        <f>IF(ISNA(VLOOKUP("THO645400000",Balanceanp!C:G,5,FALSE))=TRUE,0,VLOOKUP("THO645400000",Balanceanp!C:G,5,FALSE))</f>
        <v>6102.52</v>
      </c>
      <c r="F145" s="368">
        <f>+C145+C145/9*(12-Clients!$I$14)</f>
        <v>6270.28</v>
      </c>
      <c r="G145" s="396">
        <f t="shared" si="13"/>
        <v>6246.9960772923214</v>
      </c>
      <c r="H145" s="409"/>
      <c r="I145" s="149">
        <f t="shared" si="11"/>
        <v>2.7490282702883284E-2</v>
      </c>
      <c r="J145" s="271">
        <f t="shared" si="11"/>
        <v>-3.7133784627924682E-3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6246.9960772923214</v>
      </c>
    </row>
    <row r="146" spans="1:13" ht="12.75">
      <c r="A146" s="5" t="s">
        <v>159</v>
      </c>
      <c r="B146" s="92"/>
      <c r="C146" s="160">
        <f>IF(ISNA(VLOOKUP("THO645800000",Balance!C:G,5,FALSE))=TRUE,0,VLOOKUP("THO645800000",Balance!C:G,5,FALSE))</f>
        <v>0</v>
      </c>
      <c r="D146" s="117">
        <f>+[2]Thouars!$H146</f>
        <v>0</v>
      </c>
      <c r="E146" s="160">
        <f>IF(ISNA(VLOOKUP("THO645800000",Balanceanp!C:G,5,FALSE))=TRUE,0,VLOOKUP("THO645800000",Balanceanp!C:G,5,FALSE))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IF(ISNA(VLOOKUP("THO645900000",Balance!C:G,5,FALSE))=TRUE,0,VLOOKUP("THO645900000",Balance!C:G,5,FALSE))</f>
        <v>-2410.16</v>
      </c>
      <c r="D147" s="117">
        <f>+[2]Thouars!$H147</f>
        <v>763.05836659374995</v>
      </c>
      <c r="E147" s="160">
        <f>IF(ISNA(VLOOKUP("THO645900000",Balanceanp!C:G,5,FALSE))=TRUE,0,VLOOKUP("THO645900000",Balanceanp!C:G,5,FALSE))</f>
        <v>179.13</v>
      </c>
      <c r="F147" s="368">
        <f>+C147+C147/9*(12-Clients!$I$14)</f>
        <v>-3213.5466666666666</v>
      </c>
      <c r="G147" s="396">
        <f>+F147*1.03</f>
        <v>-3309.9530666666669</v>
      </c>
      <c r="H147" s="409"/>
      <c r="I147" s="149">
        <f t="shared" ref="I147:J152" si="14">+IF((E147)=0,,(F147-E147)/E147)</f>
        <v>-18.93974580844452</v>
      </c>
      <c r="J147" s="271">
        <f t="shared" si="14"/>
        <v>3.0000000000000096E-2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-3309.9530666666669</v>
      </c>
    </row>
    <row r="148" spans="1:13" ht="12.75">
      <c r="A148" s="5" t="s">
        <v>161</v>
      </c>
      <c r="B148" s="92"/>
      <c r="C148" s="160">
        <f>IF(ISNA(VLOOKUP("THO647100000",Balance!C:G,5,FALSE))=TRUE,0,VLOOKUP("THO647100000",Balance!C:G,5,FALSE))</f>
        <v>0</v>
      </c>
      <c r="D148" s="117">
        <f>+[2]Thouars!$H148</f>
        <v>0</v>
      </c>
      <c r="E148" s="160">
        <f>IF(ISNA(VLOOKUP("THO647100000",Balanceanp!C:G,5,FALSE))=TRUE,0,VLOOKUP("THO647100000",Balanceanp!C:G,5,FALSE))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0</v>
      </c>
    </row>
    <row r="149" spans="1:13" ht="12.75">
      <c r="A149" s="5" t="s">
        <v>162</v>
      </c>
      <c r="B149" s="92"/>
      <c r="C149" s="160">
        <f>IF(ISNA(VLOOKUP("THO647400000",Balance!C:G,5,FALSE))=TRUE,0,VLOOKUP("THO647400000",Balance!C:G,5,FALSE))</f>
        <v>0</v>
      </c>
      <c r="D149" s="117">
        <f>+[2]Thouars!$H149</f>
        <v>126.36318100000001</v>
      </c>
      <c r="E149" s="160">
        <f>IF(ISNA(VLOOKUP("THO647400000",Balanceanp!C:G,5,FALSE))=TRUE,0,VLOOKUP("THO647400000",Balanceanp!C:G,5,FALSE))</f>
        <v>160.62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-1</v>
      </c>
      <c r="J149" s="271">
        <f t="shared" si="14"/>
        <v>0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0</v>
      </c>
    </row>
    <row r="150" spans="1:13" ht="12.75">
      <c r="A150" s="5" t="s">
        <v>163</v>
      </c>
      <c r="B150" s="92"/>
      <c r="C150" s="160">
        <f>IF(ISNA(VLOOKUP("THO647500000",Balance!C:G,5,FALSE))=TRUE,0,VLOOKUP("THO647500000",Balance!C:G,5,FALSE))</f>
        <v>296</v>
      </c>
      <c r="D150" s="117">
        <f>+[2]Thouars!$H150</f>
        <v>461.98437356145831</v>
      </c>
      <c r="E150" s="160">
        <f>IF(ISNA(VLOOKUP("THO647500000",Balanceanp!C:G,5,FALSE))=TRUE,0,VLOOKUP("THO647500000",Balanceanp!C:G,5,FALSE))</f>
        <v>337</v>
      </c>
      <c r="F150" s="368">
        <f>+C150+C150/9*(12-Clients!$I$14)</f>
        <v>394.66666666666663</v>
      </c>
      <c r="G150" s="396">
        <f>+F150*1.03</f>
        <v>406.50666666666666</v>
      </c>
      <c r="H150" s="409"/>
      <c r="I150" s="149">
        <f t="shared" si="14"/>
        <v>0.17111770524233422</v>
      </c>
      <c r="J150" s="271">
        <f t="shared" si="14"/>
        <v>3.0000000000000082E-2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406.50666666666666</v>
      </c>
    </row>
    <row r="151" spans="1:13" ht="12.75">
      <c r="A151" s="5" t="s">
        <v>570</v>
      </c>
      <c r="B151" s="92"/>
      <c r="C151" s="160"/>
      <c r="D151" s="117">
        <f>+[2]Thouars!$H151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IF(ISNA(VLOOKUP("THO648000000",Balance!C:G,5,FALSE))=TRUE,0,VLOOKUP("THO648000000",Balance!C:G,5,FALSE))</f>
        <v>0</v>
      </c>
      <c r="D152" s="117">
        <f>+[2]Thouars!$H152</f>
        <v>1853.1539837499997</v>
      </c>
      <c r="E152" s="160">
        <f>IF(ISNA(VLOOKUP("THO648000000",Balanceanp!C:G,5,FALSE))=TRUE,0,VLOOKUP("THO648000000",Balanceanp!C:G,5,FALSE))</f>
        <v>3590.9912000000004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0.1332569874738436</v>
      </c>
      <c r="C154" s="163">
        <f>SUM(C130:C153)</f>
        <v>90954.790000000008</v>
      </c>
      <c r="D154" s="118">
        <f>SUM(D130:D153)</f>
        <v>127658.89572826482</v>
      </c>
      <c r="E154" s="163">
        <f>SUM(E130:E153)</f>
        <v>131335.80119999999</v>
      </c>
      <c r="F154" s="136">
        <f>SUM(F130:F153)</f>
        <v>121273.05333333333</v>
      </c>
      <c r="G154" s="136">
        <f>SUM(G130:G153)</f>
        <v>127425.28248296335</v>
      </c>
      <c r="H154" s="421">
        <f>+G154/$G$21</f>
        <v>0.14294961014467505</v>
      </c>
      <c r="I154" s="272">
        <f>+IF((E154)=0,,(F154-E154)/E154)</f>
        <v>-7.6618467887084082E-2</v>
      </c>
      <c r="J154" s="188">
        <f>+IF((F154)=0,,(G154-F154)/F154)</f>
        <v>5.0730388825289054E-2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0.67449999999999999</v>
      </c>
      <c r="C156" s="160">
        <f>IF(ISNA(VLOOKUP("THO681740000",Balance!C:G,5,FALSE))=TRUE,0,VLOOKUP("THO681740000",Balance!C:G,5,FALSE))</f>
        <v>2643.35</v>
      </c>
      <c r="D156" s="117">
        <f>+[2]Thouars!$H156</f>
        <v>10832.9655</v>
      </c>
      <c r="E156" s="160">
        <f>IF(ISNA(VLOOKUP("THO681740000",Balanceanp!C:G,5,FALSE))=TRUE,0,VLOOKUP("THO681740000",Balanceanp!C:G,5,FALSE))</f>
        <v>9587.69</v>
      </c>
      <c r="F156" s="368">
        <f>+C156+C156/9*(12-Clients!$I$14)</f>
        <v>3524.4666666666662</v>
      </c>
      <c r="G156" s="570">
        <f>+G21*B156*1.62%</f>
        <v>9740.2386600000027</v>
      </c>
      <c r="H156" s="413"/>
      <c r="I156" s="149">
        <f t="shared" ref="I156:J166" si="15">+IF((E156)=0,,(F156-E156)/E156)</f>
        <v>-0.63239668088281265</v>
      </c>
      <c r="J156" s="271">
        <f t="shared" si="15"/>
        <v>1.7636064066430865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IF(ISNA(VLOOKUP("THO781740000",Balance!C:G,5,FALSE))=TRUE,0,VLOOKUP("THO781740000",Balance!C:G,5,FALSE))</f>
        <v>-4873.6899999999996</v>
      </c>
      <c r="D157" s="117">
        <f>+[2]Thouars!$H157</f>
        <v>0</v>
      </c>
      <c r="E157" s="160">
        <f>IF(ISNA(VLOOKUP("THO781740000",Balanceanp!C:G,5,FALSE))=TRUE,0,VLOOKUP("THO781740000",Balanceanp!C:G,5,FALSE))</f>
        <v>-971.29</v>
      </c>
      <c r="F157" s="368">
        <f>+C157+C157/9*(12-Clients!$I$14)</f>
        <v>-6498.2533333333322</v>
      </c>
      <c r="G157" s="396">
        <v>0</v>
      </c>
      <c r="H157" s="409"/>
      <c r="I157" s="149">
        <f t="shared" si="15"/>
        <v>5.6903327876672591</v>
      </c>
      <c r="J157" s="271">
        <f t="shared" si="15"/>
        <v>-1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IF(ISNA(VLOOKUP("THO654400000",Balance!C:G,5,FALSE))=TRUE,0,VLOOKUP("THO654400000",Balance!C:G,5,FALSE))</f>
        <v>4873.6899999999996</v>
      </c>
      <c r="D158" s="117">
        <f>+[2]Thouars!$H158</f>
        <v>0</v>
      </c>
      <c r="E158" s="160">
        <f>IF(ISNA(VLOOKUP("THO654400000",Balanceanp!C:G,5,FALSE))=TRUE,0,VLOOKUP("THO654400000",Balanceanp!C:G,5,FALSE))</f>
        <v>0</v>
      </c>
      <c r="F158" s="368">
        <f>+C158+C158/9*(12-Clients!$I$14)</f>
        <v>6498.2533333333322</v>
      </c>
      <c r="G158" s="396">
        <v>0</v>
      </c>
      <c r="H158" s="409"/>
      <c r="I158" s="149">
        <f t="shared" si="15"/>
        <v>0</v>
      </c>
      <c r="J158" s="271">
        <f t="shared" si="15"/>
        <v>-1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IF(ISNA(VLOOKUP("THO791100000",Balance!C:G,5,FALSE))=TRUE,0,VLOOKUP("THO791100000",Balance!C:G,5,FALSE))</f>
        <v>0</v>
      </c>
      <c r="D159" s="117">
        <f>+[2]Thouars!$H159</f>
        <v>0</v>
      </c>
      <c r="E159" s="160">
        <f>IF(ISNA(VLOOKUP("THO791100000",Balanceanp!C:G,5,FALSE))=TRUE,0,VLOOKUP("THO791100000",Balanceanp!C:G,5,FALSE))</f>
        <v>-706.53</v>
      </c>
      <c r="F159" s="368">
        <f>+C159+C159/9*(12-Clients!$I$14)</f>
        <v>0</v>
      </c>
      <c r="G159" s="396">
        <v>0</v>
      </c>
      <c r="H159" s="409"/>
      <c r="I159" s="149">
        <f t="shared" si="15"/>
        <v>-1</v>
      </c>
      <c r="J159" s="271">
        <f t="shared" si="15"/>
        <v>0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IF(ISNA(VLOOKUP("THO654100000",Balance!C:G,5,FALSE))=TRUE,0,VLOOKUP("THO654100000",Balance!C:G,5,FALSE))</f>
        <v>0.9</v>
      </c>
      <c r="D160" s="117">
        <f>+[2]Thouars!$H160</f>
        <v>0</v>
      </c>
      <c r="E160" s="160">
        <f>IF(ISNA(VLOOKUP("THO654100000",Balanceanp!C:G,5,FALSE))=TRUE,0,VLOOKUP("THO654100000",Balanceanp!C:G,5,FALSE))</f>
        <v>6.0000000000000053E-2</v>
      </c>
      <c r="F160" s="368">
        <f>+C160+C160/9*(12-Clients!$I$14)</f>
        <v>1.2000000000000002</v>
      </c>
      <c r="G160" s="396">
        <v>0</v>
      </c>
      <c r="H160" s="409"/>
      <c r="I160" s="149">
        <f t="shared" si="15"/>
        <v>18.999999999999986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IF(ISNA(VLOOKUP("THO622700000",Balance!C:G,5,FALSE))=TRUE,0,VLOOKUP("THO622700000",Balance!C:G,5,FALSE))</f>
        <v>297.29000000000002</v>
      </c>
      <c r="D161" s="117">
        <f>+[2]Thouars!$H161</f>
        <v>273.62654984572913</v>
      </c>
      <c r="E161" s="160">
        <f>IF(ISNA(VLOOKUP("THO622700000",Balanceanp!C:G,5,FALSE))=TRUE,0,VLOOKUP("THO622700000",Balanceanp!C:G,5,FALSE))</f>
        <v>158.22999999999999</v>
      </c>
      <c r="F161" s="368">
        <f>+C161+C161/9*(12-Clients!$I$14)</f>
        <v>396.38666666666666</v>
      </c>
      <c r="G161" s="396">
        <f t="shared" ref="G161:G166" si="16">+F161*1.03</f>
        <v>408.27826666666664</v>
      </c>
      <c r="H161" s="409"/>
      <c r="I161" s="149">
        <f t="shared" si="15"/>
        <v>1.505129663569909</v>
      </c>
      <c r="J161" s="271">
        <f t="shared" si="15"/>
        <v>2.9999999999999957E-2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408.27826666666664</v>
      </c>
    </row>
    <row r="162" spans="1:13" ht="12.75">
      <c r="A162" s="5" t="s">
        <v>355</v>
      </c>
      <c r="B162" s="92"/>
      <c r="C162" s="160">
        <f>IF(ISNA(VLOOKUP("tho654200000",Balance!C:G,5,FALSE))=TRUE,0,VLOOKUP("tho654200000",Balance!C:G,5,FALSE))</f>
        <v>21.55</v>
      </c>
      <c r="D162" s="117">
        <f>+[2]Thouars!$H162</f>
        <v>18.58191397725972</v>
      </c>
      <c r="E162" s="160">
        <f>IF(ISNA(VLOOKUP("tho654200000",Balanceanp!C:G,5,FALSE))=TRUE,0,VLOOKUP("tho654200000",Balanceanp!C:G,5,FALSE))</f>
        <v>17.95</v>
      </c>
      <c r="F162" s="368">
        <f>+C162+C162/9*(12-Clients!$I$14)</f>
        <v>28.733333333333334</v>
      </c>
      <c r="G162" s="396">
        <f t="shared" si="16"/>
        <v>29.595333333333336</v>
      </c>
      <c r="H162" s="409"/>
      <c r="I162" s="149">
        <f t="shared" si="15"/>
        <v>0.60074280408542258</v>
      </c>
      <c r="J162" s="271">
        <f t="shared" si="15"/>
        <v>3.0000000000000065E-2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29.595333333333336</v>
      </c>
    </row>
    <row r="163" spans="1:13" ht="12.75">
      <c r="A163" s="5" t="s">
        <v>200</v>
      </c>
      <c r="B163" s="92"/>
      <c r="C163" s="160">
        <f>IF(ISNA(VLOOKUP("THO665000000",Balance!C:G,5,FALSE))=TRUE,0,VLOOKUP("THO665000000",Balance!C:G,5,FALSE))+IF(ISNA(VLOOKUP("THO665100000",Balance!C:G,5,FALSE))=TRUE,0,VLOOKUP("THO665100000",Balance!C:G,5,FALSE))</f>
        <v>18.79</v>
      </c>
      <c r="D163" s="117">
        <f>+[2]Thouars!$H163</f>
        <v>20.497677415442709</v>
      </c>
      <c r="E163" s="160">
        <f>IF(ISNA(VLOOKUP("THO665000000",Balanceanp!C:G,5,FALSE))=TRUE,0,VLOOKUP("THO665000000",Balanceanp!C:G,5,FALSE))+IF(ISNA(VLOOKUP("THO665100000",Balanceanp!C:G,5,FALSE))=TRUE,0,VLOOKUP("THO665100000",Balanceanp!C:G,5,FALSE))</f>
        <v>51.37</v>
      </c>
      <c r="F163" s="368">
        <f>+C163+C163/9*(12-Clients!$I$14)</f>
        <v>25.053333333333335</v>
      </c>
      <c r="G163" s="396">
        <f t="shared" si="16"/>
        <v>25.804933333333334</v>
      </c>
      <c r="H163" s="409"/>
      <c r="I163" s="149">
        <f t="shared" si="15"/>
        <v>-0.5122964116540133</v>
      </c>
      <c r="J163" s="271">
        <f t="shared" si="15"/>
        <v>2.9999999999999992E-2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25.804933333333334</v>
      </c>
    </row>
    <row r="164" spans="1:13" ht="12.75">
      <c r="A164" s="5" t="s">
        <v>271</v>
      </c>
      <c r="B164" s="92"/>
      <c r="C164" s="160">
        <f>IF(ISNA(VLOOKUP("THO763000000",Balance!C:G,5,FALSE))=TRUE,0,VLOOKUP("THO763000000",Balance!C:G,5,FALSE))</f>
        <v>-18</v>
      </c>
      <c r="D164" s="117">
        <f>+[2]Thouars!$H164</f>
        <v>-32.246593088114587</v>
      </c>
      <c r="E164" s="160">
        <f>IF(ISNA(VLOOKUP("THO763000000",Balanceanp!C:G,5,FALSE))=TRUE,0,VLOOKUP("THO763000000",Balanceanp!C:G,5,FALSE))</f>
        <v>-16</v>
      </c>
      <c r="F164" s="368">
        <f>+C164+C164/9*(12-Clients!$I$14)</f>
        <v>-24</v>
      </c>
      <c r="G164" s="396">
        <f t="shared" si="16"/>
        <v>-24.72</v>
      </c>
      <c r="H164" s="409"/>
      <c r="I164" s="149">
        <f t="shared" si="15"/>
        <v>0.5</v>
      </c>
      <c r="J164" s="271">
        <f t="shared" si="15"/>
        <v>2.9999999999999954E-2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-24.72</v>
      </c>
    </row>
    <row r="165" spans="1:13" ht="12.75">
      <c r="A165" s="5" t="s">
        <v>242</v>
      </c>
      <c r="B165" s="92"/>
      <c r="C165" s="160">
        <f>IF(ISNA(VLOOKUP("THO627520000",Balance!C:G,5,FALSE))=TRUE,0,VLOOKUP("THO627520000",Balance!C:G,5,FALSE))</f>
        <v>115</v>
      </c>
      <c r="D165" s="117">
        <f>+[2]Thouars!$H165</f>
        <v>151.32489924665626</v>
      </c>
      <c r="E165" s="160">
        <f>IF(ISNA(VLOOKUP("THO627520000",Balanceanp!C:G,5,FALSE))=TRUE,0,VLOOKUP("THO627520000",Balanceanp!C:G,5,FALSE))</f>
        <v>85.7</v>
      </c>
      <c r="F165" s="368">
        <f>+C165+C165/9*(12-Clients!$I$14)</f>
        <v>153.33333333333334</v>
      </c>
      <c r="G165" s="396">
        <f t="shared" si="16"/>
        <v>157.93333333333334</v>
      </c>
      <c r="H165" s="409"/>
      <c r="I165" s="149">
        <f t="shared" si="15"/>
        <v>0.78918708673667837</v>
      </c>
      <c r="J165" s="271">
        <f t="shared" si="15"/>
        <v>2.9999999999999961E-2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157.93333333333334</v>
      </c>
    </row>
    <row r="166" spans="1:13" ht="12.75">
      <c r="A166" s="5" t="s">
        <v>201</v>
      </c>
      <c r="B166" s="92"/>
      <c r="C166" s="160">
        <f>IF(ISNA(VLOOKUP("THO763100000",Balance!C:G,5,FALSE))=TRUE,0,VLOOKUP("THO763100000",Balance!C:G,5,FALSE))</f>
        <v>0</v>
      </c>
      <c r="D166" s="117">
        <f>+[2]Thouars!$H166</f>
        <v>0</v>
      </c>
      <c r="E166" s="160">
        <f>IF(ISNA(VLOOKUP("THO763100000",Balanceanp!C:G,5,FALSE))=TRUE,0,VLOOKUP("THO763100000",Balanceanp!C:G,5,FALSE))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4.5108374566470606E-3</v>
      </c>
      <c r="C168" s="163">
        <f>SUM(C155:C167)</f>
        <v>3078.88</v>
      </c>
      <c r="D168" s="118">
        <f>SUM(D155:D167)</f>
        <v>11264.749947396971</v>
      </c>
      <c r="E168" s="163">
        <f>SUM(E155:E167)</f>
        <v>8207.1800000000021</v>
      </c>
      <c r="F168" s="136">
        <f>SUM(F155:F167)</f>
        <v>4105.1733333333323</v>
      </c>
      <c r="G168" s="136">
        <f>SUM(G155:G167)</f>
        <v>10337.130526666668</v>
      </c>
      <c r="H168" s="421">
        <f>+G168/$G$21</f>
        <v>1.1596511696956101E-2</v>
      </c>
      <c r="I168" s="272">
        <f>+IF((E168)=0,,(F168-E168)/E168)</f>
        <v>-0.49980707949218472</v>
      </c>
      <c r="J168" s="188">
        <f>+IF((F168)=0,,(G168-F168)/F168)</f>
        <v>1.5180740707659937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IF(ISNA(VLOOKUP("THO651100000",Balance!C:G,5,FALSE))=TRUE,0,VLOOKUP("THO651100000",Balance!C:G,5,FALSE))</f>
        <v>0</v>
      </c>
      <c r="D170" s="117">
        <f>+[2]Thouars!$H170</f>
        <v>0</v>
      </c>
      <c r="E170" s="160">
        <f>IF(ISNA(VLOOKUP("THO651100000",Balanceanp!C:G,5,FALSE))=TRUE,0,VLOOKUP("THO651100000",Balanceanp!C:G,5,FALSE))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IF(ISNA(VLOOKUP("THO651600000",Balance!C:G,5,FALSE))=TRUE,0,VLOOKUP("THO651600000",Balance!C:G,5,FALSE))</f>
        <v>0</v>
      </c>
      <c r="D171" s="117">
        <f>+[2]Thouars!$H171</f>
        <v>0</v>
      </c>
      <c r="E171" s="160">
        <f>IF(ISNA(VLOOKUP("THO651600000",Balanceanp!C:G,5,FALSE))=TRUE,0,VLOOKUP("THO651600000",Balanceanp!C:G,5,FALSE))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0</v>
      </c>
    </row>
    <row r="172" spans="1:13" ht="12.75">
      <c r="A172" s="5" t="s">
        <v>169</v>
      </c>
      <c r="B172" s="92"/>
      <c r="C172" s="160">
        <f>IF(ISNA(VLOOKUP("THO671200000",Balance!C:G,5,FALSE))=TRUE,0,VLOOKUP("THO671200000",Balance!C:G,5,FALSE))</f>
        <v>0</v>
      </c>
      <c r="D172" s="117">
        <f>+[2]Thouars!$H172</f>
        <v>0</v>
      </c>
      <c r="E172" s="160">
        <f>IF(ISNA(VLOOKUP("THO671200000",Balanceanp!C:G,5,FALSE))=TRUE,0,VLOOKUP("THO671200000",Balanceanp!C:G,5,FALSE))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IF(ISNA(VLOOKUP("THO671800000",Balance!C:G,5,FALSE))=TRUE,0,VLOOKUP("THO671800000",Balance!C:G,5,FALSE))</f>
        <v>0</v>
      </c>
      <c r="D173" s="117">
        <f>+[2]Thouars!$H173</f>
        <v>0</v>
      </c>
      <c r="E173" s="160">
        <f>IF(ISNA(VLOOKUP("THO671800000",Balanceanp!C:G,5,FALSE))=TRUE,0,VLOOKUP("THO671800000",Balanceanp!C:G,5,FALSE))+IF(ISNA(VLOOKUP("THO658000000",Balanceanp!C:G,5,FALSE))=TRUE,0,VLOOKUP("THO658000000",Balanceanp!C:G,5,FALSE))</f>
        <v>1120.6600000000001</v>
      </c>
      <c r="F173" s="368">
        <f>+C173+C173/9*(12-Clients!$I$14)</f>
        <v>0</v>
      </c>
      <c r="G173" s="396">
        <v>0</v>
      </c>
      <c r="H173" s="409"/>
      <c r="I173" s="149">
        <f t="shared" si="18"/>
        <v>-1</v>
      </c>
      <c r="J173" s="271">
        <f t="shared" si="18"/>
        <v>0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0</v>
      </c>
    </row>
    <row r="174" spans="1:13" ht="12.75">
      <c r="A174" s="5" t="s">
        <v>171</v>
      </c>
      <c r="B174" s="92"/>
      <c r="C174" s="160">
        <f>IF(ISNA(VLOOKUP("THO672000000",Balance!C:G,5,FALSE))=TRUE,0,VLOOKUP("THO672000000",Balance!C:G,5,FALSE))</f>
        <v>0</v>
      </c>
      <c r="D174" s="117">
        <f>+[2]Thouars!$H174</f>
        <v>0</v>
      </c>
      <c r="E174" s="160">
        <f>IF(ISNA(VLOOKUP("THO672000000",Balanceanp!C:G,5,FALSE))=TRUE,0,VLOOKUP("THO672000000",Balanceanp!C:G,5,FALSE))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IF(ISNA(VLOOKUP("THO691100000",Balance!C:G,5,FALSE))=TRUE,0,VLOOKUP("THO691100000",Balance!C:G,5,FALSE))</f>
        <v>0</v>
      </c>
      <c r="D175" s="117">
        <f>+[2]Thouars!$H175</f>
        <v>0</v>
      </c>
      <c r="E175" s="160">
        <f>IF(ISNA(VLOOKUP("THO691100000",Balanceanp!C:G,5,FALSE))=TRUE,0,VLOOKUP("THO691100000",Balanceanp!C:G,5,FALSE))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IF(ISNA(VLOOKUP("THO675100000",Balance!C:G,5,FALSE))=TRUE,0,VLOOKUP("THO675100000",Balance!C:G,5,FALSE))</f>
        <v>0</v>
      </c>
      <c r="D176" s="117">
        <f>+[2]Thouars!$H176</f>
        <v>0</v>
      </c>
      <c r="E176" s="160">
        <f>IF(ISNA(VLOOKUP("THO675100000",Balanceanp!C:G,5,FALSE))=TRUE,0,VLOOKUP("THO675100000",Balanceanp!C:G,5,FALSE))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IF(ISNA(VLOOKUP("THO675200000",Balance!C:G,5,FALSE))=TRUE,0,VLOOKUP("THO675200000",Balance!C:G,5,FALSE))</f>
        <v>0</v>
      </c>
      <c r="D177" s="117">
        <f>+[2]Thouars!$H177</f>
        <v>0</v>
      </c>
      <c r="E177" s="160">
        <f>IF(ISNA(VLOOKUP("THO675200000",Balanceanp!C:G,5,FALSE))=TRUE,0,VLOOKUP("THO675200000",Balanceanp!C:G,5,FALSE))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IF(ISNA(VLOOKUP("THO681110000",Balance!C:G,5,FALSE))=TRUE,0,VLOOKUP("THO681110000",Balance!C:G,5,FALSE))</f>
        <v>0</v>
      </c>
      <c r="D178" s="117">
        <f>+[2]Thouars!$H178</f>
        <v>0</v>
      </c>
      <c r="E178" s="160">
        <f>IF(ISNA(VLOOKUP("THO681110000",Balanceanp!C:G,5,FALSE))=TRUE,0,VLOOKUP("THO681110000",Balanceanp!C:G,5,FALSE))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IF(ISNA(VLOOKUP("THO681120000",Balance!C:G,5,FALSE))=TRUE,0,VLOOKUP("THO681120000",Balance!C:G,5,FALSE))</f>
        <v>2475</v>
      </c>
      <c r="D179" s="117">
        <f>+[2]Thouars!$H179</f>
        <v>3300</v>
      </c>
      <c r="E179" s="160">
        <f>IF(ISNA(VLOOKUP("THO681120000",Balanceanp!C:G,5,FALSE))=TRUE,0,VLOOKUP("THO681120000",Balanceanp!C:G,5,FALSE))</f>
        <v>3099.3</v>
      </c>
      <c r="F179" s="425">
        <v>2243.94</v>
      </c>
      <c r="G179" s="570">
        <f>2243.93+500+G255/10</f>
        <v>4243.93</v>
      </c>
      <c r="H179" s="413"/>
      <c r="I179" s="149">
        <f t="shared" si="18"/>
        <v>-0.27598489981608754</v>
      </c>
      <c r="J179" s="271">
        <f t="shared" si="18"/>
        <v>0.89128497196894751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4243.93</v>
      </c>
    </row>
    <row r="180" spans="1:13" ht="12.75">
      <c r="A180" s="5" t="s">
        <v>78</v>
      </c>
      <c r="B180" s="92"/>
      <c r="C180" s="160">
        <f>IF(ISNA(VLOOKUP("THO687250000",Balance!C:G,5,FALSE))=TRUE,0,+VLOOKUP("THO687250000",Balance!C:G,5,FALSE))</f>
        <v>0</v>
      </c>
      <c r="D180" s="117">
        <f>+[2]Thouars!$H180</f>
        <v>0</v>
      </c>
      <c r="E180" s="160">
        <f>IF(ISNA(VLOOKUP("THO687250000",Balanceanp!C:G,5,FALSE))=TRUE,0,+VLOOKUP("THO687250000",Balanceanp!C:G,5,FALSE))</f>
        <v>50.87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IF(ISNA(VLOOKUP("THO661880000",Balance!C:G,5,FALSE))=TRUE,0,+VLOOKUP("THO661880000",Balance!C:G,5,FALSE))</f>
        <v>0</v>
      </c>
      <c r="D181" s="117">
        <f>+[2]Thouars!$H181</f>
        <v>0</v>
      </c>
      <c r="E181" s="160">
        <f>IF(ISNA(VLOOKUP("THO661880000",Balanceanp!C:G,5,FALSE))=TRUE,0,+VLOOKUP("THO661880000",Balanceanp!C:G,5,FALSE))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>
        <f>IF(ISNA(VLOOKUP("THO661610000",Balance!C:G,5,FALSE))=TRUE,0,+VLOOKUP("THO661610000",Balance!C:G,5,FALSE))</f>
        <v>0</v>
      </c>
      <c r="D182" s="117">
        <f>+[2]Thouars!$H182</f>
        <v>175.72897658125001</v>
      </c>
      <c r="E182" s="160">
        <f>IF(ISNA(VLOOKUP("THO661610000",Balanceanp!C:G,5,FALSE))=TRUE,0,+VLOOKUP("THO661610000",Balanceanp!C:G,5,FALSE))</f>
        <v>518.47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-1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IF(ISNA(VLOOKUP("tho681500000",Balance!C:G,5,FALSE))=TRUE,0,VLOOKUP("tho681500000",Balance!C:G,5,FALSE))</f>
        <v>0</v>
      </c>
      <c r="D183" s="117">
        <f>+[2]Thouars!$H183</f>
        <v>0</v>
      </c>
      <c r="E183" s="160">
        <f>IF(ISNA(VLOOKUP("tho681500000",Balanceanp!C:G,5,FALSE))=TRUE,0,VLOOKUP("tho681500000",Balanceanp!C:G,5,FALSE))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2475</v>
      </c>
      <c r="D185" s="118">
        <f>SUM(D169:D184)</f>
        <v>3475.7289765812502</v>
      </c>
      <c r="E185" s="280">
        <f>SUM(E169:E184)</f>
        <v>4789.3</v>
      </c>
      <c r="F185" s="136">
        <f>SUM(F169:F184)</f>
        <v>2243.94</v>
      </c>
      <c r="G185" s="136">
        <f>SUM(G169:G184)</f>
        <v>4243.93</v>
      </c>
      <c r="H185" s="421"/>
      <c r="I185" s="272">
        <f>+IF((E185)=0,,(F185-E185)/E185)</f>
        <v>-0.53146806422650494</v>
      </c>
      <c r="J185" s="188">
        <f>+IF((F185)=0,,(G185-F185)/F185)</f>
        <v>0.89128497196894751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IF(ISNA(VLOOKUP("THO740000000",Balance!C:G,5,FALSE))=TRUE,0,-VLOOKUP("THO740000000",Balance!C:G,5,FALSE))</f>
        <v>1475</v>
      </c>
      <c r="D187" s="117">
        <f>+[2]Thouars!$H187</f>
        <v>0</v>
      </c>
      <c r="E187" s="160">
        <f>IF(ISNA(VLOOKUP("THO740000000",Balanceanp!C:G,5,FALSE))=TRUE,0,-VLOOKUP("THO740000000",Balanceanp!C:G,5,FALSE))</f>
        <v>0</v>
      </c>
      <c r="F187" s="368">
        <f>+C187+C187/9*(12-Clients!$I$14)</f>
        <v>1966.6666666666665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-1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IF(ISNA(VLOOKUP("THO751100000",Balance!C:G,5,FALSE))=TRUE,0,-VLOOKUP("THO751100000",Balance!C:G,5,FALSE))</f>
        <v>0</v>
      </c>
      <c r="D188" s="117">
        <f>+[2]Thouars!$H188</f>
        <v>0</v>
      </c>
      <c r="E188" s="160">
        <f>IF(ISNA(VLOOKUP("THO751100000",Balanceanp!C:G,5,FALSE))=TRUE,0,-VLOOKUP("THO751100000",Balanceanp!C:G,5,FALSE))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IF(ISNA(VLOOKUP("THO758100000",Balance!C:G,5,FALSE))=TRUE,0,-VLOOKUP("THO758100000",Balance!C:G,5,FALSE))</f>
        <v>0</v>
      </c>
      <c r="D189" s="117">
        <f>+[2]Thouars!$H189</f>
        <v>0</v>
      </c>
      <c r="E189" s="160">
        <f>IF(ISNA(VLOOKUP("THO758100000",Balanceanp!C:G,5,FALSE))=TRUE,0,-VLOOKUP("THO758100000",Balanceanp!C:G,5,FALSE))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19"/>
        <v>0</v>
      </c>
      <c r="J189" s="271">
        <f t="shared" si="19"/>
        <v>0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IF(ISNA(VLOOKUP("THO763800000",Balance!C:G,5,FALSE))=TRUE,0,-VLOOKUP("THO763800000",Balance!C:G,5,FALSE))</f>
        <v>0</v>
      </c>
      <c r="D190" s="117">
        <f>+[2]Thouars!$H190</f>
        <v>0</v>
      </c>
      <c r="E190" s="160">
        <f>IF(ISNA(VLOOKUP("THO763800000",Balanceanp!C:G,5,FALSE))=TRUE,0,-VLOOKUP("THO763800000",Balanceanp!C:G,5,FALSE))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IF(ISNA(VLOOKUP("THO765000000",Balance!C:G,5,FALSE))=TRUE,0,-VLOOKUP("THO765000000",Balance!C:G,5,FALSE))</f>
        <v>0</v>
      </c>
      <c r="D191" s="117">
        <f>+[2]Thouars!$H191</f>
        <v>0</v>
      </c>
      <c r="E191" s="160">
        <f>IF(ISNA(VLOOKUP("THO765000000",Balanceanp!C:G,5,FALSE))=TRUE,0,-VLOOKUP("THO765000000",Balanceanp!C:G,5,FALSE))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IF(ISNA(VLOOKUP("THO771400000",Balance!C:G,5,FALSE))=TRUE,0,-VLOOKUP("THO771400000",Balance!C:G,5,FALSE))</f>
        <v>0</v>
      </c>
      <c r="D192" s="117">
        <f>+[2]Thouars!$H192</f>
        <v>0</v>
      </c>
      <c r="E192" s="160">
        <f>IF(ISNA(VLOOKUP("THO771400000",Balanceanp!C:G,5,FALSE))=TRUE,0,-VLOOKUP("THO771400000",Balanceanp!C:G,5,FALSE))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IF(ISNA(VLOOKUP("THO771800000",Balance!C:G,5,FALSE))=TRUE,0,-VLOOKUP("THO771800000",Balance!C:G,5,FALSE))</f>
        <v>373.71</v>
      </c>
      <c r="D193" s="117">
        <f>+[2]Thouars!$H193</f>
        <v>0</v>
      </c>
      <c r="E193" s="160">
        <f>IF(ISNA(VLOOKUP("THO771800000",Balanceanp!C:G,5,FALSE))=TRUE,0,-VLOOKUP("THO771800000",Balanceanp!C:G,5,FALSE))</f>
        <v>1600.1</v>
      </c>
      <c r="F193" s="368">
        <f>+C193+C193/9*(12-Clients!$I$14)</f>
        <v>498.28</v>
      </c>
      <c r="G193" s="368">
        <v>0</v>
      </c>
      <c r="H193" s="410"/>
      <c r="I193" s="149">
        <f t="shared" si="19"/>
        <v>-0.68859446284607218</v>
      </c>
      <c r="J193" s="271">
        <f t="shared" si="19"/>
        <v>-1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IF(ISNA(VLOOKUP("THO758000000",Balance!C:G,5,FALSE))=TRUE,0,-VLOOKUP("THO758000000",Balance!C:G,5,FALSE))</f>
        <v>0</v>
      </c>
      <c r="D194" s="117">
        <f>+[2]Thouars!$H194</f>
        <v>0</v>
      </c>
      <c r="E194" s="160">
        <f>IF(ISNA(VLOOKUP("THO758000000",Balanceanp!C:G,5,FALSE))=TRUE,0,-VLOOKUP("THO758000000",Balanceanp!C:G,5,FALSE))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IF(ISNA(VLOOKUP("THO775100000",Balance!C:G,5,FALSE))=TRUE,0,-VLOOKUP("THO775100000",Balance!C:G,5,FALSE))</f>
        <v>0</v>
      </c>
      <c r="D195" s="117">
        <f>+[2]Thouars!$H195</f>
        <v>0</v>
      </c>
      <c r="E195" s="160">
        <f>IF(ISNA(VLOOKUP("THO775100000",Balanceanp!C:G,5,FALSE))=TRUE,0,-VLOOKUP("THO775100000",Balanceanp!C:G,5,FALSE))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IF(ISNA(VLOOKUP("THO775200000",Balance!C:G,5,FALSE))=TRUE,0,-VLOOKUP("THO775200000",Balance!C:G,5,FALSE))</f>
        <v>0</v>
      </c>
      <c r="D196" s="117">
        <f>+[2]Thouars!$H196</f>
        <v>0</v>
      </c>
      <c r="E196" s="160">
        <f>IF(ISNA(VLOOKUP("THO775200000",Balanceanp!C:G,5,FALSE))=TRUE,0,-VLOOKUP("THO775200000",Balanceanp!C:G,5,FALSE))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IF(ISNA(VLOOKUP("THO791000000",Balance!C:G,5,FALSE))=TRUE,0,-VLOOKUP("THO791000000",Balance!C:G,5,FALSE))</f>
        <v>0</v>
      </c>
      <c r="D197" s="117">
        <f>+[2]Thouars!$H197</f>
        <v>0</v>
      </c>
      <c r="E197" s="160">
        <f>IF(ISNA(VLOOKUP("THO791000000",Balanceanp!C:G,5,FALSE))=TRUE,0,-VLOOKUP("THO791000000",Balanceanp!C:G,5,FALSE))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IF(ISNA(VLOOKUP("tho781500000",Balance!C:G,5,FALSE))=TRUE,0,-VLOOKUP("tho781500000",Balance!C:G,5,FALSE))</f>
        <v>0</v>
      </c>
      <c r="D198" s="117">
        <f>+[2]Thouars!$H198</f>
        <v>0</v>
      </c>
      <c r="E198" s="160">
        <f>IF(ISNA(VLOOKUP("tho781500000",Balanceanp!C:G,5,FALSE))=TRUE,0,-VLOOKUP("tho781500000",Balanceanp!C:G,5,FALSE))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IF(ISNA(VLOOKUP("tho787250000",Balance!C:G,5,FALSE))=TRUE,0,-VLOOKUP("tho787250000",Balance!C:G,5,FALSE))</f>
        <v>0</v>
      </c>
      <c r="D199" s="117">
        <f>+[2]Thouars!$H199</f>
        <v>0</v>
      </c>
      <c r="E199" s="160">
        <f>IF(ISNA(VLOOKUP("tho787250000",Balanceanp!C:G,5,FALSE))=TRUE,0,-VLOOKUP("tho787250000",Balanceanp!C:G,5,FALSE))</f>
        <v>587.89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1848.71</v>
      </c>
      <c r="D201" s="118">
        <f>SUM(D186:D200)</f>
        <v>0</v>
      </c>
      <c r="E201" s="163">
        <f>SUM(E186:E200)</f>
        <v>2187.9899999999998</v>
      </c>
      <c r="F201" s="136">
        <f>SUM(F186:F200)</f>
        <v>2464.9466666666667</v>
      </c>
      <c r="G201" s="136">
        <f>SUM(G186:G200)</f>
        <v>0</v>
      </c>
      <c r="H201" s="421"/>
      <c r="I201" s="272">
        <f>+IF((E201)=0,,(F201-E201)/E201)</f>
        <v>0.12658040789339392</v>
      </c>
      <c r="J201" s="188">
        <f>+IF((F201)=0,,(G201-F201)/F201)</f>
        <v>-1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0.26650470092560757</v>
      </c>
      <c r="C203" s="175">
        <f>+C103+C116+C129+C154+C168+C185-C201</f>
        <v>181903.25000000003</v>
      </c>
      <c r="D203" s="126">
        <f>+D103+D116+D129+D154+D168+D185-D201</f>
        <v>267831.21965543658</v>
      </c>
      <c r="E203" s="175">
        <f>+E103+E116+E129+E154+E168+E185-E201</f>
        <v>246730.68119999999</v>
      </c>
      <c r="F203" s="145">
        <f>+F103+F116+F129+F154+F168+F185-F201</f>
        <v>235173.24166666667</v>
      </c>
      <c r="G203" s="145">
        <f>+G103+G116+G129+G154+G168+G185-G201</f>
        <v>256549.41139296335</v>
      </c>
      <c r="H203" s="422">
        <f>+G203/$G$21</f>
        <v>0.28780503858308654</v>
      </c>
      <c r="I203" s="281">
        <f>+IF((E203)=0,,(F203-E203)/E203)</f>
        <v>-4.6842328149553712E-2</v>
      </c>
      <c r="J203" s="282">
        <f>+IF((F203)=0,,(G203-F203)/F203)</f>
        <v>9.0895416395183046E-2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8.4594495948475582E-2</v>
      </c>
      <c r="C205" s="177">
        <f>+C62-C203</f>
        <v>57740.121249999909</v>
      </c>
      <c r="D205" s="127">
        <f>+D62-D203</f>
        <v>81768.78034456342</v>
      </c>
      <c r="E205" s="177">
        <f>+E53-E203</f>
        <v>49817.310500000021</v>
      </c>
      <c r="F205" s="146">
        <f>+F62-F203</f>
        <v>81398.846133333311</v>
      </c>
      <c r="G205" s="146">
        <f>+G62-G203</f>
        <v>60754.588607036654</v>
      </c>
      <c r="H205" s="406">
        <f>+G205/$G$21</f>
        <v>6.8156370436433314E-2</v>
      </c>
      <c r="I205" s="226">
        <f>+IF((E205)=0,,(F205-E205)/E205)</f>
        <v>0.63394702195601815</v>
      </c>
      <c r="J205" s="283">
        <f>+IF((F205)=0,,(G205-F205)/F205)</f>
        <v>-0.25361855243599957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2.6574118886920598E-3</v>
      </c>
      <c r="C207" s="179">
        <f>+[2]Thouars!$C207</f>
        <v>1813.8211350975703</v>
      </c>
      <c r="D207" s="128">
        <f>+[2]Thouars!$H207</f>
        <v>5545.341808271698</v>
      </c>
      <c r="E207" s="284">
        <f>+[1]Thouars!$G$207</f>
        <v>1997.9605504218498</v>
      </c>
      <c r="F207" s="150">
        <f>+Repart!K11</f>
        <v>2417.138336666389</v>
      </c>
      <c r="G207" s="150">
        <f>+Repart!Q11</f>
        <v>3374.1296741904825</v>
      </c>
      <c r="H207" s="423">
        <f>+G207/$G$21</f>
        <v>3.785202685876691E-3</v>
      </c>
      <c r="I207" s="281">
        <f>+IF((E207)=0,,(F207-E207)/E207)</f>
        <v>0.20980283427319621</v>
      </c>
      <c r="J207" s="282">
        <f>+IF((F207)=0,,(G207-F207)/F207)</f>
        <v>0.39591914248645527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8.1937084059783519E-2</v>
      </c>
      <c r="C209" s="177">
        <f>+C205-C207</f>
        <v>55926.30011490234</v>
      </c>
      <c r="D209" s="127">
        <f>+D205-D207</f>
        <v>76223.438536291724</v>
      </c>
      <c r="E209" s="177">
        <f>+E205-E207</f>
        <v>47819.349949578173</v>
      </c>
      <c r="F209" s="146">
        <f>+F205-F207</f>
        <v>78981.707796666917</v>
      </c>
      <c r="G209" s="146">
        <f>+G205-G207</f>
        <v>57380.458932846173</v>
      </c>
      <c r="H209" s="406">
        <f>+G209/$G$21</f>
        <v>6.4371167750556624E-2</v>
      </c>
      <c r="I209" s="226">
        <f>+IF((E209)=0,,(F209-E209)/E209)</f>
        <v>0.65166837022977209</v>
      </c>
      <c r="J209" s="283">
        <f>+IF((F209)=0,,(G209-F209)/F209)</f>
        <v>-0.27349685726512402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9.5744570567064553E-3</v>
      </c>
      <c r="C211" s="160">
        <f>+[2]Thouars!$C211</f>
        <v>6535.0624193548392</v>
      </c>
      <c r="D211" s="117">
        <f>+[2]Thouars!$H211</f>
        <v>9026.0372215405096</v>
      </c>
      <c r="E211" s="160">
        <f>+[1]Thouars!$G211</f>
        <v>8095.0860719999991</v>
      </c>
      <c r="F211" s="368">
        <f>+Repart!I11</f>
        <v>8997.9607634408567</v>
      </c>
      <c r="G211" s="368">
        <f>+Repart!O11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3.88690367493656E-2</v>
      </c>
      <c r="C212" s="160">
        <f>+[2]Thouars!$C212</f>
        <v>26530.129054093795</v>
      </c>
      <c r="D212" s="117">
        <f>+[2]Thouars!$H212</f>
        <v>35124.534433421119</v>
      </c>
      <c r="E212" s="160">
        <f>+[1]Thouars!$G212</f>
        <v>30663.679697702279</v>
      </c>
      <c r="F212" s="368">
        <f>+Repart!J11</f>
        <v>36650.17500883196</v>
      </c>
      <c r="G212" s="368">
        <f>+Repart!P11</f>
        <v>36353.690811345077</v>
      </c>
      <c r="H212" s="410"/>
      <c r="I212" s="149">
        <f t="shared" si="20"/>
        <v>0.19523081933243217</v>
      </c>
      <c r="J212" s="271">
        <f t="shared" si="20"/>
        <v>-8.0895711252521006E-3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+[2]Thouars!$C213</f>
        <v>-7851.32</v>
      </c>
      <c r="D213" s="117">
        <f>+[2]Thouars!$H213</f>
        <v>-8800</v>
      </c>
      <c r="E213" s="160">
        <f>+[1]Thouars!$G213</f>
        <v>-9209.92</v>
      </c>
      <c r="F213" s="368">
        <f>+C213+C213/9*(12-Clients!$I$14)</f>
        <v>-10468.426666666666</v>
      </c>
      <c r="G213" s="368">
        <f>+G253*-4%</f>
        <v>-8400</v>
      </c>
      <c r="H213" s="410"/>
      <c r="I213" s="149">
        <f t="shared" si="20"/>
        <v>0.13664686193437794</v>
      </c>
      <c r="J213" s="271">
        <f t="shared" si="20"/>
        <v>-0.1975871573187693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3.6940600435715884E-2</v>
      </c>
      <c r="C215" s="180">
        <f>SUM(C210:C213)</f>
        <v>25213.871473448635</v>
      </c>
      <c r="D215" s="129">
        <f>SUM(D210:D213)</f>
        <v>35350.571654961626</v>
      </c>
      <c r="E215" s="180">
        <f>SUM(E210:E213)</f>
        <v>29548.845769702282</v>
      </c>
      <c r="F215" s="148">
        <f>SUM(F210:F213)</f>
        <v>35179.709105606147</v>
      </c>
      <c r="G215" s="148">
        <f>SUM(G210:G213)</f>
        <v>37598.375490655555</v>
      </c>
      <c r="H215" s="424">
        <f>+G215/$G$21</f>
        <v>4.217901670479645E-2</v>
      </c>
      <c r="I215" s="281">
        <f>+IF((E215)=0,,(F215-E215)/E215)</f>
        <v>0.19056119415931413</v>
      </c>
      <c r="J215" s="282">
        <f>+IF((F215)=0,,(G215-F215)/F215)</f>
        <v>6.8751744870567316E-2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4.4996483624067642E-2</v>
      </c>
      <c r="C217" s="177">
        <f>+C209-C215</f>
        <v>30712.428641453705</v>
      </c>
      <c r="D217" s="127">
        <f>+D209-D215</f>
        <v>40872.866881330097</v>
      </c>
      <c r="E217" s="177">
        <f>+E209-E215</f>
        <v>18270.50417987589</v>
      </c>
      <c r="F217" s="146">
        <f>+F209-F215</f>
        <v>43801.998691060769</v>
      </c>
      <c r="G217" s="146">
        <f>+G209-G215</f>
        <v>19782.083442190618</v>
      </c>
      <c r="H217" s="406">
        <f>+G217/$G$21</f>
        <v>2.2192151045760174E-2</v>
      </c>
      <c r="I217" s="226">
        <f>+IF((E217)=0,,(F217-E217)/E217)</f>
        <v>1.3974159804143025</v>
      </c>
      <c r="J217" s="283">
        <f>+IF((F217)=0,,(G217-F217)/F217)</f>
        <v>-0.5483748679662922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89" t="s">
        <v>43</v>
      </c>
      <c r="C218" s="17">
        <f>+C225-C226-C215-C207-C53+C62-C38+C213</f>
        <v>30712.428641453524</v>
      </c>
      <c r="D218" s="117">
        <f>+[2]Thouars!$H$217</f>
        <v>40872.866881330097</v>
      </c>
      <c r="E218" s="17">
        <f>+[1]Thouars!$G$217</f>
        <v>18270.50417987589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69.541479626535349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+B220/(C21*1.196)*Clients!K22</f>
        <v>91.993307677861381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784717.1553372629</v>
      </c>
      <c r="D222" s="265">
        <f>+(D215+D207+D203)/D60</f>
        <v>812439.82399649976</v>
      </c>
      <c r="E222" s="265">
        <f>+(E215+E207+E203)/E60/Clients!$I$13*12</f>
        <v>1091284.2647848004</v>
      </c>
      <c r="F222" s="265">
        <f>+(F215+F207+F203)/F60</f>
        <v>768366.44819419505</v>
      </c>
      <c r="G222" s="265">
        <f>+(G215+G207+G203)/G60</f>
        <v>826449.76821613719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65393.096278105244</v>
      </c>
      <c r="D223" s="265">
        <f>+(D215+D207+D203)/D60/12</f>
        <v>67703.31866637498</v>
      </c>
      <c r="E223" s="265">
        <f>+(E215+E207+E203)/E60/Clients!$I$13</f>
        <v>90940.355398733358</v>
      </c>
      <c r="F223" s="265">
        <f>+(F215+F207+F203)/F60/9</f>
        <v>85374.049799355009</v>
      </c>
      <c r="G223" s="265">
        <f>+(G215+G207+G203)/G60/12</f>
        <v>68870.814018011428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696180.80999999982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+C44-C38-C40+C103+C116+C129+C154+C156+C158+C160+C161+C162+C163+C165+C185+C213-C137</f>
        <v>630750.53000000014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THOUARS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675051.74999999988</v>
      </c>
      <c r="D233" s="176">
        <f t="shared" si="21"/>
        <v>920000</v>
      </c>
      <c r="E233" s="175">
        <f t="shared" si="21"/>
        <v>846839.96</v>
      </c>
      <c r="F233" s="206">
        <f t="shared" si="21"/>
        <v>891752.36</v>
      </c>
      <c r="G233" s="206">
        <f t="shared" si="21"/>
        <v>881400</v>
      </c>
      <c r="H233" s="313"/>
      <c r="I233" s="281">
        <f>+I51</f>
        <v>5.3035286620154325E-2</v>
      </c>
      <c r="J233" s="192">
        <f t="shared" si="21"/>
        <v>-1.1609007684599775E-2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0.35499999999999998</v>
      </c>
      <c r="D235" s="191">
        <f>+D60</f>
        <v>0.38</v>
      </c>
      <c r="E235" s="197">
        <f>+E60</f>
        <v>0.34</v>
      </c>
      <c r="F235" s="224">
        <f>+F60</f>
        <v>0.35499999999999998</v>
      </c>
      <c r="G235" s="224">
        <f>+G60</f>
        <v>0.36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239643.37124999994</v>
      </c>
      <c r="D236" s="170">
        <f>+D62</f>
        <v>349600</v>
      </c>
      <c r="E236" s="169">
        <f>+E62</f>
        <v>287925.58640000003</v>
      </c>
      <c r="F236" s="223">
        <f>+F62</f>
        <v>316572.08779999998</v>
      </c>
      <c r="G236" s="223">
        <f>+G62</f>
        <v>317304</v>
      </c>
      <c r="H236" s="309"/>
      <c r="I236" s="226">
        <f>+IF((E236)=0,,(F236-E236)/E236)</f>
        <v>9.949272573574916E-2</v>
      </c>
      <c r="J236" s="283">
        <f>+IF((F236)=0,,(G236-F236)/F236)</f>
        <v>2.3119922071664738E-3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64678.49</v>
      </c>
      <c r="D238" s="294">
        <f>+D103</f>
        <v>95736.682003193535</v>
      </c>
      <c r="E238" s="293">
        <f>+E103</f>
        <v>83786.95</v>
      </c>
      <c r="F238" s="295">
        <f>+F103</f>
        <v>85308.764999999999</v>
      </c>
      <c r="G238" s="295">
        <f>+G103</f>
        <v>87919.259283333347</v>
      </c>
      <c r="H238" s="388"/>
      <c r="I238" s="415">
        <f t="shared" ref="I238:J243" si="22">+IF((E238)=0,,(F238-E238)/E238)</f>
        <v>1.8162912004793138E-2</v>
      </c>
      <c r="J238" s="297">
        <f t="shared" si="22"/>
        <v>3.0600540089091056E-2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16743.59</v>
      </c>
      <c r="D239" s="294">
        <f>+D116</f>
        <v>22950</v>
      </c>
      <c r="E239" s="293">
        <f>+E116</f>
        <v>13237.44</v>
      </c>
      <c r="F239" s="295">
        <f>+F116</f>
        <v>19375.89333333333</v>
      </c>
      <c r="G239" s="295">
        <f>+G116</f>
        <v>22119.975599999998</v>
      </c>
      <c r="H239" s="388"/>
      <c r="I239" s="415">
        <f t="shared" si="22"/>
        <v>0.46371906753370207</v>
      </c>
      <c r="J239" s="297">
        <f t="shared" si="22"/>
        <v>0.14162352256274474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5821.2099999999991</v>
      </c>
      <c r="D240" s="294">
        <f>+D129</f>
        <v>6745.1630000000005</v>
      </c>
      <c r="E240" s="293">
        <f>+E129</f>
        <v>7562</v>
      </c>
      <c r="F240" s="295">
        <f>+F129</f>
        <v>5331.3633333333328</v>
      </c>
      <c r="G240" s="295">
        <f>+G129</f>
        <v>4503.8334999999997</v>
      </c>
      <c r="H240" s="388"/>
      <c r="I240" s="415">
        <f t="shared" si="22"/>
        <v>-0.29497972317729004</v>
      </c>
      <c r="J240" s="297">
        <f t="shared" si="22"/>
        <v>-0.15521917783381234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90954.790000000008</v>
      </c>
      <c r="D241" s="294">
        <f>+D154</f>
        <v>127658.89572826482</v>
      </c>
      <c r="E241" s="293">
        <f>+E154</f>
        <v>131335.80119999999</v>
      </c>
      <c r="F241" s="295">
        <f>+F154</f>
        <v>121273.05333333333</v>
      </c>
      <c r="G241" s="295">
        <f>+G154</f>
        <v>127425.28248296335</v>
      </c>
      <c r="H241" s="388"/>
      <c r="I241" s="415">
        <f t="shared" si="22"/>
        <v>-7.6618467887084082E-2</v>
      </c>
      <c r="J241" s="297">
        <f t="shared" si="22"/>
        <v>5.0730388825289054E-2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3078.88</v>
      </c>
      <c r="D242" s="294">
        <f>+D168</f>
        <v>11264.749947396971</v>
      </c>
      <c r="E242" s="293">
        <f>+E168</f>
        <v>8207.1800000000021</v>
      </c>
      <c r="F242" s="295">
        <f>+F168</f>
        <v>4105.1733333333323</v>
      </c>
      <c r="G242" s="295">
        <f>+G168</f>
        <v>10337.130526666668</v>
      </c>
      <c r="H242" s="388"/>
      <c r="I242" s="415">
        <f t="shared" si="22"/>
        <v>-0.49980707949218472</v>
      </c>
      <c r="J242" s="297">
        <f t="shared" si="22"/>
        <v>1.5180740707659937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626.29</v>
      </c>
      <c r="D243" s="294">
        <f>+D185-D201</f>
        <v>3475.7289765812502</v>
      </c>
      <c r="E243" s="293">
        <f>+E185-E201</f>
        <v>2601.3100000000004</v>
      </c>
      <c r="F243" s="295">
        <f>+F185-F201</f>
        <v>-221.00666666666666</v>
      </c>
      <c r="G243" s="295">
        <f>+G185-G201</f>
        <v>4243.93</v>
      </c>
      <c r="H243" s="388"/>
      <c r="I243" s="415">
        <f t="shared" si="22"/>
        <v>-1.0849597574555385</v>
      </c>
      <c r="J243" s="297">
        <f t="shared" si="22"/>
        <v>-20.202723899731531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181903.25000000003</v>
      </c>
      <c r="D245" s="300">
        <f>+D203</f>
        <v>267831.21965543658</v>
      </c>
      <c r="E245" s="299">
        <f>+E203</f>
        <v>246730.68119999999</v>
      </c>
      <c r="F245" s="301">
        <f>+F203</f>
        <v>235173.24166666667</v>
      </c>
      <c r="G245" s="301">
        <f>+G203</f>
        <v>256549.41139296335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57740.121249999909</v>
      </c>
      <c r="D247" s="178">
        <f>+D205</f>
        <v>81768.78034456342</v>
      </c>
      <c r="E247" s="177">
        <f>+E205</f>
        <v>49817.310500000021</v>
      </c>
      <c r="F247" s="228">
        <f>+F205</f>
        <v>81398.846133333311</v>
      </c>
      <c r="G247" s="228">
        <f>+G205</f>
        <v>60754.588607036654</v>
      </c>
      <c r="H247" s="314"/>
      <c r="I247" s="226">
        <f>+IF((E247)=0,,(F247-E247)/E247)</f>
        <v>0.63394702195601815</v>
      </c>
      <c r="J247" s="283">
        <f>+IF((F247)=0,,(G247-F247)/F247)</f>
        <v>-0.25361855243599957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27027.692608546204</v>
      </c>
      <c r="D249" s="181">
        <f>+D207+D215</f>
        <v>40895.913463233323</v>
      </c>
      <c r="E249" s="180">
        <f>+E207+E215</f>
        <v>31546.806320124131</v>
      </c>
      <c r="F249" s="230">
        <f>+F207+F215</f>
        <v>37596.847442272534</v>
      </c>
      <c r="G249" s="230">
        <f>+G207+G215</f>
        <v>40972.505164846036</v>
      </c>
      <c r="H249" s="316"/>
      <c r="I249" s="281">
        <f>+I67</f>
        <v>-4.6805718876573699E-2</v>
      </c>
      <c r="J249" s="192">
        <f>+J67</f>
        <v>0.31239719555301498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30712.428641453705</v>
      </c>
      <c r="D251" s="178">
        <f>+D217</f>
        <v>40872.866881330097</v>
      </c>
      <c r="E251" s="177">
        <f>+E217</f>
        <v>18270.50417987589</v>
      </c>
      <c r="F251" s="228">
        <f>+F217</f>
        <v>43801.998691060769</v>
      </c>
      <c r="G251" s="228">
        <f>+G217</f>
        <v>19782.083442190618</v>
      </c>
      <c r="H251" s="314"/>
      <c r="I251" s="226">
        <f>+IF((E251)=0,,(F251-E251)/E251)</f>
        <v>1.3974159804143025</v>
      </c>
      <c r="J251" s="283">
        <f>+IF((F251)=0,,(G251-F251)/F251)</f>
        <v>-0.5483748679662922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198747.93</v>
      </c>
      <c r="D253" s="294">
        <v>250000</v>
      </c>
      <c r="E253" s="293">
        <f>+E28</f>
        <v>221470.67</v>
      </c>
      <c r="F253" s="295"/>
      <c r="G253" s="399">
        <f>+G28</f>
        <v>210000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784717.1553372629</v>
      </c>
      <c r="D254" s="294">
        <f>+D222</f>
        <v>812439.82399649976</v>
      </c>
      <c r="E254" s="293">
        <f>+E222</f>
        <v>1091284.2647848004</v>
      </c>
      <c r="F254" s="295">
        <f>+F222</f>
        <v>768366.44819419505</v>
      </c>
      <c r="G254" s="295">
        <f>+G222</f>
        <v>826449.76821613719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399">
        <v>15000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 enableFormatConditionsCalculation="0">
    <tabColor indexed="42"/>
    <pageSetUpPr fitToPage="1"/>
  </sheetPr>
  <dimension ref="A1:O257"/>
  <sheetViews>
    <sheetView tabSelected="1" topLeftCell="H1" workbookViewId="0">
      <selection activeCell="M2" sqref="M2"/>
    </sheetView>
  </sheetViews>
  <sheetFormatPr baseColWidth="10" defaultRowHeight="11.25"/>
  <cols>
    <col min="1" max="1" width="60" style="2" customWidth="1"/>
    <col min="2" max="2" width="6.28515625" style="24" bestFit="1" customWidth="1"/>
    <col min="3" max="3" width="13.7109375" style="17" customWidth="1"/>
    <col min="4" max="4" width="10.85546875" style="2" customWidth="1"/>
    <col min="5" max="5" width="11" style="2" customWidth="1"/>
    <col min="6" max="7" width="13.7109375" style="58" customWidth="1"/>
    <col min="8" max="8" width="8.42578125" style="58" customWidth="1"/>
    <col min="9" max="9" width="9.5703125" style="66" customWidth="1"/>
    <col min="10" max="10" width="9.140625" style="66" bestFit="1" customWidth="1"/>
    <col min="11" max="11" width="11.42578125" style="2"/>
    <col min="12" max="12" width="11.5703125" style="2" customWidth="1"/>
    <col min="13" max="16384" width="11.42578125" style="2"/>
  </cols>
  <sheetData>
    <row r="1" spans="1:15" ht="12.75">
      <c r="A1" s="1" t="s">
        <v>515</v>
      </c>
      <c r="B1" s="22"/>
      <c r="C1" s="45" t="s">
        <v>299</v>
      </c>
    </row>
    <row r="2" spans="1:15">
      <c r="M2" s="2" t="s">
        <v>873</v>
      </c>
      <c r="O2" s="2" t="s">
        <v>872</v>
      </c>
    </row>
    <row r="3" spans="1:15" ht="12.75" customHeight="1">
      <c r="A3" s="6"/>
      <c r="B3" s="102" t="s">
        <v>198</v>
      </c>
      <c r="C3" s="155" t="s">
        <v>195</v>
      </c>
      <c r="D3" s="104" t="s">
        <v>196</v>
      </c>
      <c r="E3" s="267" t="s">
        <v>54</v>
      </c>
      <c r="F3" s="130" t="s">
        <v>364</v>
      </c>
      <c r="G3" s="130" t="s">
        <v>196</v>
      </c>
      <c r="H3" s="102" t="s">
        <v>198</v>
      </c>
      <c r="I3" s="151" t="s">
        <v>225</v>
      </c>
      <c r="J3" s="183" t="s">
        <v>225</v>
      </c>
      <c r="O3" s="2" t="s">
        <v>873</v>
      </c>
    </row>
    <row r="4" spans="1:15" ht="20.25" customHeight="1">
      <c r="A4" s="7" t="s">
        <v>207</v>
      </c>
      <c r="B4" s="90" t="s">
        <v>226</v>
      </c>
      <c r="C4" s="156" t="str">
        <f>+Clients!E13</f>
        <v>Septembre</v>
      </c>
      <c r="D4" s="105" t="s">
        <v>197</v>
      </c>
      <c r="E4" s="260" t="s">
        <v>390</v>
      </c>
      <c r="F4" s="131" t="s">
        <v>366</v>
      </c>
      <c r="G4" s="131" t="s">
        <v>197</v>
      </c>
      <c r="H4" s="90" t="s">
        <v>226</v>
      </c>
      <c r="I4" s="152"/>
      <c r="J4" s="184"/>
    </row>
    <row r="5" spans="1:15">
      <c r="A5" s="3"/>
      <c r="B5" s="90"/>
      <c r="C5" s="157"/>
      <c r="D5" s="106"/>
      <c r="E5" s="268"/>
      <c r="F5" s="132"/>
      <c r="G5" s="132"/>
      <c r="H5" s="90"/>
      <c r="I5" s="152"/>
      <c r="J5" s="184"/>
    </row>
    <row r="6" spans="1:15">
      <c r="A6" s="4"/>
      <c r="B6" s="91"/>
      <c r="C6" s="158">
        <f>+Clients!E14</f>
        <v>2010</v>
      </c>
      <c r="D6" s="107">
        <f>+Clients!E14</f>
        <v>2010</v>
      </c>
      <c r="E6" s="158">
        <f>+C6-1</f>
        <v>2009</v>
      </c>
      <c r="F6" s="133">
        <f>+Conso!G6</f>
        <v>2010</v>
      </c>
      <c r="G6" s="133">
        <f>+Conso!I6</f>
        <v>2011</v>
      </c>
      <c r="H6" s="91"/>
      <c r="I6" s="153" t="s">
        <v>367</v>
      </c>
      <c r="J6" s="185" t="s">
        <v>368</v>
      </c>
    </row>
    <row r="7" spans="1:15">
      <c r="A7" s="5"/>
      <c r="B7" s="92"/>
      <c r="C7" s="160"/>
      <c r="D7" s="115"/>
      <c r="E7" s="237"/>
      <c r="F7" s="134"/>
      <c r="G7" s="134"/>
      <c r="H7" s="400"/>
      <c r="I7" s="149"/>
      <c r="J7" s="186"/>
    </row>
    <row r="8" spans="1:15" ht="12.75">
      <c r="A8" s="5" t="s">
        <v>221</v>
      </c>
      <c r="B8" s="92"/>
      <c r="C8" s="160">
        <f>-IF(ISNA(VLOOKUP("CHA707130000",Balance!C:G,5,FALSE))=TRUE,0,VLOOKUP("CHA707130000",Balance!C:G,5,FALSE))</f>
        <v>355188.56</v>
      </c>
      <c r="D8" s="117">
        <f>+[2]Château!$H8</f>
        <v>567000</v>
      </c>
      <c r="E8" s="160">
        <f>-IF(ISNA(VLOOKUP("CHA707130000",Balanceanp!C:G,5,FALSE))=TRUE,0,VLOOKUP("CHA707130000",Balanceanp!C:G,5,FALSE))</f>
        <v>407525.84</v>
      </c>
      <c r="F8" s="368">
        <v>450000</v>
      </c>
      <c r="G8" s="570">
        <v>495500</v>
      </c>
      <c r="H8" s="401"/>
      <c r="I8" s="149">
        <f>+IF((E8)=0,,(F8-E8)/E8)</f>
        <v>0.10422445850304847</v>
      </c>
      <c r="J8" s="271">
        <f>+IF((F8)=0,,(G8-F8)/F8)</f>
        <v>0.10111111111111111</v>
      </c>
      <c r="L8" t="s">
        <v>733</v>
      </c>
      <c r="M8" s="2">
        <f ca="1">IF($M$2="Alimentation",_xll.PALO.SETDATA(G8,FALSE,"localhost/Bati_fin_dev","Reporting","décembre","2011",$A$4,+L8,"NA",+$G$3),_xll.PALO.DATAC("localhost/Bati_fin_dev","Reporting","décembre","2011",$A$4,+L8,"NA",+$G$3))</f>
        <v>495500</v>
      </c>
    </row>
    <row r="9" spans="1:15" ht="12.75">
      <c r="A9" s="5" t="s">
        <v>422</v>
      </c>
      <c r="B9" s="92"/>
      <c r="C9" s="160">
        <f>-IF(ISNA(VLOOKUP("CHA707131000",Balance!C:G,5,FALSE))=TRUE,0,VLOOKUP("CHA707131000",Balance!C:G,5,FALSE))</f>
        <v>0</v>
      </c>
      <c r="D9" s="117">
        <f>+[2]Château!$H9</f>
        <v>0</v>
      </c>
      <c r="E9" s="160">
        <f>-IF(ISNA(VLOOKUP("CHA707131000",Balanceanp!C:G,5,FALSE))=TRUE,0,VLOOKUP("CHA707131000",Balanceanp!C:G,5,FALSE))</f>
        <v>55901.68</v>
      </c>
      <c r="F9" s="368">
        <f>+C9</f>
        <v>0</v>
      </c>
      <c r="G9" s="570">
        <f t="shared" ref="G9:G19" si="0">+F9*1.03</f>
        <v>0</v>
      </c>
      <c r="H9" s="401"/>
      <c r="I9" s="149">
        <f t="shared" ref="I9:J19" si="1">+IF((E9)=0,,(F9-E9)/E9)</f>
        <v>-1</v>
      </c>
      <c r="J9" s="271">
        <f t="shared" si="1"/>
        <v>0</v>
      </c>
      <c r="L9" t="s">
        <v>737</v>
      </c>
      <c r="M9" s="2">
        <f ca="1">IF($M$2="Alimentation",_xll.PALO.SETDATA(G9,FALSE,"localhost/Bati_fin_dev","Reporting","décembre","2011",$A$4,+L9,"NA",+$G$3),_xll.PALO.DATAC("localhost/Bati_fin_dev","Reporting","décembre","2011",$A$4,+L9,"NA",+$G$3))</f>
        <v>0</v>
      </c>
    </row>
    <row r="10" spans="1:15" ht="12.75">
      <c r="A10" s="5" t="s">
        <v>84</v>
      </c>
      <c r="B10" s="92"/>
      <c r="C10" s="160">
        <f>-IF(ISNA(VLOOKUP("CHA707300000",Balance!C:G,5,FALSE))=TRUE,0,VLOOKUP("CHA707300000",Balance!C:G,5,FALSE))</f>
        <v>0</v>
      </c>
      <c r="D10" s="117">
        <f>+[2]Château!$H10</f>
        <v>0</v>
      </c>
      <c r="E10" s="160">
        <f>-IF(ISNA(VLOOKUP("CHA707300000",Balanceanp!C:G,5,FALSE))=TRUE,0,VLOOKUP("CHA707300000",Balanceanp!C:G,5,FALSE))</f>
        <v>0</v>
      </c>
      <c r="F10" s="368">
        <f t="shared" ref="F10:F19" si="2">+C10</f>
        <v>0</v>
      </c>
      <c r="G10" s="570">
        <f t="shared" si="0"/>
        <v>0</v>
      </c>
      <c r="H10" s="401"/>
      <c r="I10" s="149">
        <f t="shared" si="1"/>
        <v>0</v>
      </c>
      <c r="J10" s="271">
        <f t="shared" si="1"/>
        <v>0</v>
      </c>
      <c r="L10" t="s">
        <v>735</v>
      </c>
      <c r="M10" s="2">
        <f ca="1">IF($M$2="Alimentation",_xll.PALO.SETDATA(G10,FALSE,"localhost/Bati_fin_dev","Reporting","décembre","2011",$A$4,+L10,"NA",+$G$3),_xll.PALO.DATAC("localhost/Bati_fin_dev","Reporting","décembre","2011",$A$4,+L10,"NA",+$G$3))</f>
        <v>0</v>
      </c>
    </row>
    <row r="11" spans="1:15" ht="12.75">
      <c r="A11" s="5" t="s">
        <v>267</v>
      </c>
      <c r="B11" s="92"/>
      <c r="C11" s="160">
        <f>-IF(ISNA(VLOOKUP("CHA707110000",Balance!C:G,5,FALSE))=TRUE,0,VLOOKUP("CHA707110000",Balance!C:G,5,FALSE))</f>
        <v>94.08</v>
      </c>
      <c r="D11" s="117">
        <f>+[2]Château!$H11</f>
        <v>0</v>
      </c>
      <c r="E11" s="160">
        <f>-IF(ISNA(VLOOKUP("CHA707110000",Balanceanp!C:G,5,FALSE))=TRUE,0,VLOOKUP("CHA707110000",Balanceanp!C:G,5,FALSE))</f>
        <v>92.65</v>
      </c>
      <c r="F11" s="368">
        <f t="shared" si="2"/>
        <v>94.08</v>
      </c>
      <c r="G11" s="570">
        <v>0</v>
      </c>
      <c r="H11" s="401"/>
      <c r="I11" s="149">
        <f t="shared" si="1"/>
        <v>1.5434430652995062E-2</v>
      </c>
      <c r="J11" s="271">
        <f t="shared" si="1"/>
        <v>-1</v>
      </c>
      <c r="L11" t="s">
        <v>734</v>
      </c>
      <c r="M11" s="2">
        <f ca="1">IF($M$2="Alimentation",_xll.PALO.SETDATA(G11,FALSE,"localhost/Bati_fin_dev","Reporting","décembre","2011",$A$4,+L11,"NA",+$G$3),_xll.PALO.DATAC("localhost/Bati_fin_dev","Reporting","décembre","2011",$A$4,+L11,"NA",+$G$3))</f>
        <v>0</v>
      </c>
    </row>
    <row r="12" spans="1:15" ht="12.75">
      <c r="A12" s="5" t="s">
        <v>46</v>
      </c>
      <c r="B12" s="92"/>
      <c r="C12" s="160">
        <f>-IF(ISNA(VLOOKUP("CHA707120000",Balance!C:G,5,FALSE))=TRUE,0,VLOOKUP("CHA707120000",Balance!C:G,5,FALSE))</f>
        <v>0</v>
      </c>
      <c r="D12" s="117">
        <f>+[2]Château!$H12</f>
        <v>0</v>
      </c>
      <c r="E12" s="160">
        <f>-IF(ISNA(VLOOKUP("CHA707120000",Balanceanp!C:G,5,FALSE))=TRUE,0,VLOOKUP("CHA707120000",Balanceanp!C:G,5,FALSE))</f>
        <v>0</v>
      </c>
      <c r="F12" s="368">
        <f t="shared" si="2"/>
        <v>0</v>
      </c>
      <c r="G12" s="570">
        <f t="shared" si="0"/>
        <v>0</v>
      </c>
      <c r="H12" s="401"/>
      <c r="I12" s="149">
        <f t="shared" si="1"/>
        <v>0</v>
      </c>
      <c r="J12" s="271">
        <f t="shared" si="1"/>
        <v>0</v>
      </c>
      <c r="L12" t="s">
        <v>736</v>
      </c>
      <c r="M12" s="2">
        <f ca="1">IF($M$2="Alimentation",_xll.PALO.SETDATA(G12,FALSE,"localhost/Bati_fin_dev","Reporting","décembre","2011",$A$4,+L12,"NA",+$G$3),_xll.PALO.DATAC("localhost/Bati_fin_dev","Reporting","décembre","2011",$A$4,+L12,"NA",+$G$3))</f>
        <v>0</v>
      </c>
    </row>
    <row r="13" spans="1:15" ht="12.75">
      <c r="A13" s="5" t="s">
        <v>268</v>
      </c>
      <c r="B13" s="92"/>
      <c r="C13" s="160">
        <f>-IF(ISNA(VLOOKUP("CHA707230000",Balance!C:G,5,FALSE))=TRUE,0,VLOOKUP("CHA707230000",Balance!C:G,5,FALSE))</f>
        <v>0</v>
      </c>
      <c r="D13" s="117">
        <f>+[2]Château!$H13</f>
        <v>0</v>
      </c>
      <c r="E13" s="160">
        <f>-IF(ISNA(VLOOKUP("CHA707230000",Balanceanp!C:G,5,FALSE))=TRUE,0,VLOOKUP("CHA707230000",Balanceanp!C:G,5,FALSE))</f>
        <v>0</v>
      </c>
      <c r="F13" s="368">
        <f t="shared" si="2"/>
        <v>0</v>
      </c>
      <c r="G13" s="570">
        <f t="shared" si="0"/>
        <v>0</v>
      </c>
      <c r="H13" s="401"/>
      <c r="I13" s="149">
        <f t="shared" si="1"/>
        <v>0</v>
      </c>
      <c r="J13" s="271">
        <f t="shared" si="1"/>
        <v>0</v>
      </c>
      <c r="L13" t="s">
        <v>738</v>
      </c>
      <c r="M13" s="2">
        <f ca="1">IF($M$2="Alimentation",_xll.PALO.SETDATA(G13,FALSE,"localhost/Bati_fin_dev","Reporting","décembre","2011",$A$4,+L13,"NA",+$G$3),_xll.PALO.DATAC("localhost/Bati_fin_dev","Reporting","décembre","2011",$A$4,+L13,"NA",+$G$3))</f>
        <v>0</v>
      </c>
    </row>
    <row r="14" spans="1:15" ht="12.75">
      <c r="A14" s="5" t="s">
        <v>269</v>
      </c>
      <c r="B14" s="92"/>
      <c r="C14" s="160">
        <f>-IF(ISNA(VLOOKUP("CHA708820000",Balance!C:G,5,FALSE))=TRUE,0,VLOOKUP("CHA708820000",Balance!C:G,5,FALSE))</f>
        <v>28.66</v>
      </c>
      <c r="D14" s="117">
        <f>+[2]Château!$H14</f>
        <v>0</v>
      </c>
      <c r="E14" s="160">
        <f>-IF(ISNA(VLOOKUP("CHA708820000",Balanceanp!C:G,5,FALSE))=TRUE,0,VLOOKUP("CHA708820000",Balanceanp!C:G,5,FALSE))</f>
        <v>151.19</v>
      </c>
      <c r="F14" s="368">
        <f t="shared" si="2"/>
        <v>28.66</v>
      </c>
      <c r="G14" s="570">
        <v>0</v>
      </c>
      <c r="H14" s="401"/>
      <c r="I14" s="149">
        <f t="shared" si="1"/>
        <v>-0.81043719822739602</v>
      </c>
      <c r="J14" s="271">
        <f t="shared" si="1"/>
        <v>-1</v>
      </c>
      <c r="L14" t="s">
        <v>731</v>
      </c>
      <c r="M14" s="2">
        <f ca="1">IF($M$2="Alimentation",_xll.PALO.SETDATA(G14,FALSE,"localhost/Bati_fin_dev","Reporting","décembre","2011",$A$4,+L14,"NA",+$G$3),_xll.PALO.DATAC("localhost/Bati_fin_dev","Reporting","décembre","2011",$A$4,+L14,"NA",+$G$3))</f>
        <v>0</v>
      </c>
    </row>
    <row r="15" spans="1:15" ht="12.75">
      <c r="A15" s="5" t="s">
        <v>270</v>
      </c>
      <c r="B15" s="92"/>
      <c r="C15" s="160">
        <f>-IF(ISNA(VLOOKUP("CHA708500000",Balance!C:G,5,FALSE))=TRUE,0,VLOOKUP("CHA708500000",Balance!C:G,5,FALSE))</f>
        <v>126</v>
      </c>
      <c r="D15" s="117">
        <f>+[2]Château!$H15</f>
        <v>0</v>
      </c>
      <c r="E15" s="160">
        <f>-IF(ISNA(VLOOKUP("CHA708500000",Balanceanp!C:G,5,FALSE))=TRUE,0,VLOOKUP("CHA708500000",Balanceanp!C:G,5,FALSE))</f>
        <v>261</v>
      </c>
      <c r="F15" s="368">
        <f t="shared" si="2"/>
        <v>126</v>
      </c>
      <c r="G15" s="570">
        <v>0</v>
      </c>
      <c r="H15" s="401"/>
      <c r="I15" s="149">
        <f t="shared" si="1"/>
        <v>-0.51724137931034486</v>
      </c>
      <c r="J15" s="271">
        <f t="shared" si="1"/>
        <v>-1</v>
      </c>
      <c r="L15" t="s">
        <v>728</v>
      </c>
      <c r="M15" s="2">
        <f ca="1">IF($M$2="Alimentation",_xll.PALO.SETDATA(G15,FALSE,"localhost/Bati_fin_dev","Reporting","décembre","2011",$A$4,+L15,"NA",+$G$3),_xll.PALO.DATAC("localhost/Bati_fin_dev","Reporting","décembre","2011",$A$4,+L15,"NA",+$G$3))</f>
        <v>0</v>
      </c>
    </row>
    <row r="16" spans="1:15" ht="12.75">
      <c r="A16" s="5" t="s">
        <v>85</v>
      </c>
      <c r="B16" s="92"/>
      <c r="C16" s="160">
        <f>IF(ISNA(VLOOKUP("CHA706000000",Balance!C:G,5,FALSE))=TRUE,0,-VLOOKUP("CHA706000000",Balance!C:G,5,FALSE))+IF(ISNA(VLOOKUP("CHA706010000",Balance!C:G,5,FALSE))=TRUE,0,-VLOOKUP("CHA706010000",Balance!C:G,5,FALSE))</f>
        <v>0</v>
      </c>
      <c r="D16" s="117">
        <f>+[2]Château!$H16</f>
        <v>0</v>
      </c>
      <c r="E16" s="160">
        <f>IF(ISNA(VLOOKUP("CHA706000000",Balanceanp!C:G,5,FALSE))=TRUE,0,-VLOOKUP("CHA706000000",Balanceanp!C:G,5,FALSE))+IF(ISNA(VLOOKUP("CHA706010000",Balanceanp!C:G,5,FALSE))=TRUE,0,-VLOOKUP("CHA706010000",Balanceanp!C:G,5,FALSE))</f>
        <v>0</v>
      </c>
      <c r="F16" s="368">
        <f t="shared" si="2"/>
        <v>0</v>
      </c>
      <c r="G16" s="570">
        <f t="shared" si="0"/>
        <v>0</v>
      </c>
      <c r="H16" s="401"/>
      <c r="I16" s="149">
        <f t="shared" si="1"/>
        <v>0</v>
      </c>
      <c r="J16" s="271">
        <f t="shared" si="1"/>
        <v>0</v>
      </c>
      <c r="L16" t="s">
        <v>730</v>
      </c>
      <c r="M16" s="2">
        <f ca="1">IF($M$2="Alimentation",_xll.PALO.SETDATA(G16,FALSE,"localhost/Bati_fin_dev","Reporting","décembre","2011",$A$4,+L16,"NA",+$G$3),_xll.PALO.DATAC("localhost/Bati_fin_dev","Reporting","décembre","2011",$A$4,+L16,"NA",+$G$3))</f>
        <v>0</v>
      </c>
    </row>
    <row r="17" spans="1:13" ht="12.75">
      <c r="A17" s="5" t="s">
        <v>88</v>
      </c>
      <c r="B17" s="92"/>
      <c r="C17" s="160">
        <f>IF(ISNA(VLOOKUP("CHA707500000",Balance!C:G,5,FALSE))=TRUE,0,-VLOOKUP("CHA707500000",Balance!C:G,5,FALSE))</f>
        <v>0</v>
      </c>
      <c r="D17" s="117">
        <f>+[2]Château!$H17</f>
        <v>0</v>
      </c>
      <c r="E17" s="160">
        <f>IF(ISNA(VLOOKUP("CHA707500000",Balanceanp!C:G,5,FALSE))=TRUE,0,-VLOOKUP("CHA707500000",Balanceanp!C:G,5,FALSE))</f>
        <v>0</v>
      </c>
      <c r="F17" s="368">
        <f t="shared" si="2"/>
        <v>0</v>
      </c>
      <c r="G17" s="570">
        <f t="shared" si="0"/>
        <v>0</v>
      </c>
      <c r="H17" s="401"/>
      <c r="I17" s="149">
        <f t="shared" si="1"/>
        <v>0</v>
      </c>
      <c r="J17" s="271">
        <f t="shared" si="1"/>
        <v>0</v>
      </c>
      <c r="L17" t="s">
        <v>740</v>
      </c>
      <c r="M17" s="2">
        <f ca="1">IF($M$2="Alimentation",_xll.PALO.SETDATA(G17,FALSE,"localhost/Bati_fin_dev","Reporting","décembre","2011",$A$4,+L17,"NA",+$G$3),_xll.PALO.DATAC("localhost/Bati_fin_dev","Reporting","décembre","2011",$A$4,+L17,"NA",+$G$3))</f>
        <v>0</v>
      </c>
    </row>
    <row r="18" spans="1:13" ht="12.75">
      <c r="A18" s="5" t="s">
        <v>89</v>
      </c>
      <c r="B18" s="92"/>
      <c r="C18" s="160">
        <f>IF(ISNA(VLOOKUP("CHA707510000",Balance!C:G,5,FALSE))=TRUE,0,-VLOOKUP("CHA707510000",Balance!C:G,5,FALSE))</f>
        <v>0</v>
      </c>
      <c r="D18" s="117">
        <f>+[2]Château!$H18</f>
        <v>0</v>
      </c>
      <c r="E18" s="160">
        <f>IF(ISNA(VLOOKUP("CHA707510000",Balanceanp!C:G,5,FALSE))=TRUE,0,-VLOOKUP("CHA707510000",Balanceanp!C:G,5,FALSE))</f>
        <v>0</v>
      </c>
      <c r="F18" s="368">
        <f t="shared" si="2"/>
        <v>0</v>
      </c>
      <c r="G18" s="570">
        <f t="shared" si="0"/>
        <v>0</v>
      </c>
      <c r="H18" s="401"/>
      <c r="I18" s="149">
        <f t="shared" si="1"/>
        <v>0</v>
      </c>
      <c r="J18" s="271">
        <f t="shared" si="1"/>
        <v>0</v>
      </c>
      <c r="L18" t="s">
        <v>739</v>
      </c>
      <c r="M18" s="2">
        <f ca="1">IF($M$2="Alimentation",_xll.PALO.SETDATA(G18,FALSE,"localhost/Bati_fin_dev","Reporting","décembre","2011",$A$4,+L18,"NA",+$G$3),_xll.PALO.DATAC("localhost/Bati_fin_dev","Reporting","décembre","2011",$A$4,+L18,"NA",+$G$3))</f>
        <v>0</v>
      </c>
    </row>
    <row r="19" spans="1:13" ht="12.75">
      <c r="A19" s="5" t="s">
        <v>90</v>
      </c>
      <c r="B19" s="92"/>
      <c r="C19" s="160">
        <f>IF(ISNA(VLOOKUP("CHA708300000",Balance!C:G,5,FALSE))=TRUE,0,-VLOOKUP("CHA708300000",Balance!C:G,5,FALSE))</f>
        <v>0</v>
      </c>
      <c r="D19" s="117">
        <f>+[2]Château!$H19</f>
        <v>0</v>
      </c>
      <c r="E19" s="160">
        <f>IF(ISNA(VLOOKUP("CHA708300000",Balanceanp!C:G,5,FALSE))=TRUE,0,-VLOOKUP("CHA708300000",Balanceanp!C:G,5,FALSE))</f>
        <v>0</v>
      </c>
      <c r="F19" s="368">
        <f t="shared" si="2"/>
        <v>0</v>
      </c>
      <c r="G19" s="570">
        <f t="shared" si="0"/>
        <v>0</v>
      </c>
      <c r="H19" s="401"/>
      <c r="I19" s="149">
        <f t="shared" si="1"/>
        <v>0</v>
      </c>
      <c r="J19" s="271">
        <f t="shared" si="1"/>
        <v>0</v>
      </c>
      <c r="L19" t="s">
        <v>729</v>
      </c>
      <c r="M19" s="2">
        <f ca="1">IF($M$2="Alimentation",_xll.PALO.SETDATA(G19,FALSE,"localhost/Bati_fin_dev","Reporting","décembre","2011",$A$4,+L19,"NA",+$G$3),_xll.PALO.DATAC("localhost/Bati_fin_dev","Reporting","décembre","2011",$A$4,+L19,"NA",+$G$3))</f>
        <v>0</v>
      </c>
    </row>
    <row r="20" spans="1:13" ht="12.75">
      <c r="A20" s="5"/>
      <c r="B20" s="92"/>
      <c r="C20" s="160"/>
      <c r="D20" s="115"/>
      <c r="E20" s="160"/>
      <c r="F20" s="134"/>
      <c r="G20" s="134"/>
      <c r="H20" s="400"/>
      <c r="I20" s="149"/>
      <c r="J20" s="254"/>
      <c r="L20" t="s">
        <v>867</v>
      </c>
      <c r="M20" s="2" t="e">
        <f ca="1">IF($M$2="Alimentation",_xll.PALO.SETDATA(G20,FALSE,"localhost/Bati_fin_dev","Reporting","décembre","2011",$A$4,+L20,"NA",+$G$3),_xll.PALO.DATAC("localhost/Bati_fin_dev","Reporting","décembre","2011",$A$4,+L20,"NA",+$G$3))</f>
        <v>#VALUE!</v>
      </c>
    </row>
    <row r="21" spans="1:13" s="33" customFormat="1" ht="15" customHeight="1">
      <c r="A21" s="13" t="s">
        <v>222</v>
      </c>
      <c r="B21" s="93"/>
      <c r="C21" s="163">
        <f>SUM(C7:C20)</f>
        <v>355437.3</v>
      </c>
      <c r="D21" s="118">
        <f>SUM(D7:D20)</f>
        <v>567000</v>
      </c>
      <c r="E21" s="163">
        <f>SUM(E7:E20)</f>
        <v>463932.36000000004</v>
      </c>
      <c r="F21" s="136">
        <f>SUM(F7:F20)</f>
        <v>450248.74</v>
      </c>
      <c r="G21" s="136">
        <f>SUM(G7:G20)</f>
        <v>495500</v>
      </c>
      <c r="H21" s="312"/>
      <c r="I21" s="272">
        <f>+IF((E21)=0,,(F21-E21)/E21)</f>
        <v>-2.9494859983468392E-2</v>
      </c>
      <c r="J21" s="188">
        <f>+IF((F21)=0,,(G21-F21)/F21)</f>
        <v>0.10050280207336063</v>
      </c>
      <c r="L21" t="s">
        <v>867</v>
      </c>
      <c r="M21" s="2" t="e">
        <f ca="1">IF($M$2="Alimentation",_xll.PALO.SETDATA(G21,FALSE,"localhost/Bati_fin_dev","Reporting","décembre","2011",$A$4,+L21,"NA",+$G$3),_xll.PALO.DATAC("localhost/Bati_fin_dev","Reporting","décembre","2011",$A$4,+L21,"NA",+$G$3))</f>
        <v>#VALUE!</v>
      </c>
    </row>
    <row r="22" spans="1:13" ht="12.75">
      <c r="A22" s="5"/>
      <c r="B22" s="92"/>
      <c r="C22" s="160"/>
      <c r="D22" s="115"/>
      <c r="E22" s="160"/>
      <c r="F22" s="134"/>
      <c r="G22" s="134"/>
      <c r="H22" s="400"/>
      <c r="I22" s="149"/>
      <c r="J22" s="271"/>
      <c r="L22" t="s">
        <v>867</v>
      </c>
      <c r="M22" s="2" t="e">
        <f ca="1">IF($M$2="Alimentation",_xll.PALO.SETDATA(G22,FALSE,"localhost/Bati_fin_dev","Reporting","décembre","2011",$A$4,+L22,"NA",+$G$3),_xll.PALO.DATAC("localhost/Bati_fin_dev","Reporting","décembre","2011",$A$4,+L22,"NA",+$G$3))</f>
        <v>#VALUE!</v>
      </c>
    </row>
    <row r="23" spans="1:13" ht="12.75">
      <c r="A23" s="5" t="s">
        <v>92</v>
      </c>
      <c r="B23" s="92"/>
      <c r="C23" s="160">
        <f>IF(ISNA(VLOOKUP("CHA602650000",Balance!C:G,5,FALSE))=TRUE,0,VLOOKUP("CHA602650000",Balance!C:G,5,FALSE))</f>
        <v>0</v>
      </c>
      <c r="D23" s="115"/>
      <c r="E23" s="160">
        <f>IF(ISNA(VLOOKUP("CHA602650000",Balanceanp!C:G,5,FALSE))=TRUE,0,VLOOKUP("CHA602650000",Balanceanp!C:G,5,FALSE))</f>
        <v>0</v>
      </c>
      <c r="F23" s="134"/>
      <c r="G23" s="134"/>
      <c r="H23" s="400"/>
      <c r="I23" s="149"/>
      <c r="J23" s="271"/>
      <c r="L23" t="s">
        <v>748</v>
      </c>
      <c r="M23" s="2">
        <f ca="1">IF($M$2="Alimentation",_xll.PALO.SETDATA(G23,FALSE,"localhost/Bati_fin_dev","Reporting","décembre","2011",$A$4,+L23,"NA",+$G$3),_xll.PALO.DATAC("localhost/Bati_fin_dev","Reporting","décembre","2011",$A$4,+L23,"NA",+$G$3))</f>
        <v>0</v>
      </c>
    </row>
    <row r="24" spans="1:13" ht="12.75">
      <c r="A24" s="5" t="s">
        <v>93</v>
      </c>
      <c r="B24" s="92"/>
      <c r="C24" s="160">
        <f>IF(ISNA(VLOOKUP("cha607100000",Balance!C:G,5,FALSE))=TRUE,0,VLOOKUP("cha607100000",Balance!C:G,5,FALSE))</f>
        <v>110677.40000000001</v>
      </c>
      <c r="D24" s="115"/>
      <c r="E24" s="160">
        <f>IF(ISNA(VLOOKUP("cha607100000",Balanceanp!C:G,5,FALSE))=TRUE,0,VLOOKUP("cha607100000",Balanceanp!C:G,5,FALSE))</f>
        <v>143008.19</v>
      </c>
      <c r="F24" s="134"/>
      <c r="G24" s="134"/>
      <c r="H24" s="400"/>
      <c r="I24" s="149"/>
      <c r="J24" s="271"/>
      <c r="L24" t="s">
        <v>749</v>
      </c>
      <c r="M24" s="2">
        <f ca="1">IF($M$2="Alimentation",_xll.PALO.SETDATA(G24,FALSE,"localhost/Bati_fin_dev","Reporting","décembre","2011",$A$4,+L24,"NA",+$G$3),_xll.PALO.DATAC("localhost/Bati_fin_dev","Reporting","décembre","2011",$A$4,+L24,"NA",+$G$3))</f>
        <v>0</v>
      </c>
    </row>
    <row r="25" spans="1:13" ht="12.75">
      <c r="A25" s="5" t="s">
        <v>94</v>
      </c>
      <c r="B25" s="92"/>
      <c r="C25" s="160">
        <f>IF(ISNA(VLOOKUP("cha607110000",Balance!C:G,5,FALSE))=TRUE,0,VLOOKUP("cha607110000",Balance!C:G,5,FALSE))+IF(ISNA(VLOOKUP("cha607120000",Balance!C:G,5,FALSE))=TRUE,0,VLOOKUP("cha607120000",Balance!C:G,5,FALSE))</f>
        <v>25929.07</v>
      </c>
      <c r="D25" s="115"/>
      <c r="E25" s="160">
        <f>IF(ISNA(VLOOKUP("cha607110000",Balanceanp!C:G,5,FALSE))=TRUE,0,VLOOKUP("cha607110000",Balanceanp!C:G,5,FALSE))+IF(ISNA(VLOOKUP("cha607120000",Balanceanp!C:G,5,FALSE))=TRUE,0,VLOOKUP("cha607120000",Balanceanp!C:G,5,FALSE))</f>
        <v>20881.45</v>
      </c>
      <c r="F25" s="134"/>
      <c r="G25" s="134"/>
      <c r="H25" s="400"/>
      <c r="I25" s="149"/>
      <c r="J25" s="271"/>
      <c r="L25" t="s">
        <v>752</v>
      </c>
      <c r="M25" s="2">
        <f ca="1">IF($M$2="Alimentation",_xll.PALO.SETDATA(G25,FALSE,"localhost/Bati_fin_dev","Reporting","décembre","2011",$A$4,+L25,"NA",+$G$3),_xll.PALO.DATAC("localhost/Bati_fin_dev","Reporting","décembre","2011",$A$4,+L25,"NA",+$G$3))</f>
        <v>0</v>
      </c>
    </row>
    <row r="26" spans="1:13" ht="12.75">
      <c r="A26" s="5" t="s">
        <v>288</v>
      </c>
      <c r="B26" s="92"/>
      <c r="C26" s="160">
        <f>IF(ISNA(VLOOKUP("cha607130000",Balance!C:G,5,FALSE))=TRUE,0,VLOOKUP("cha607130000",Balance!C:G,5,FALSE))</f>
        <v>37961.61</v>
      </c>
      <c r="D26" s="115"/>
      <c r="E26" s="160">
        <f>IF(ISNA(VLOOKUP("cha607130000",Balanceanp!C:G,5,FALSE))=TRUE,0,VLOOKUP("cha607130000",Balanceanp!C:G,5,FALSE))</f>
        <v>55209</v>
      </c>
      <c r="F26" s="134"/>
      <c r="G26" s="134"/>
      <c r="H26" s="400"/>
      <c r="I26" s="149"/>
      <c r="J26" s="271"/>
      <c r="L26" t="s">
        <v>750</v>
      </c>
      <c r="M26" s="2">
        <f ca="1">IF($M$2="Alimentation",_xll.PALO.SETDATA(G26,FALSE,"localhost/Bati_fin_dev","Reporting","décembre","2011",$A$4,+L26,"NA",+$G$3),_xll.PALO.DATAC("localhost/Bati_fin_dev","Reporting","décembre","2011",$A$4,+L26,"NA",+$G$3))</f>
        <v>0</v>
      </c>
    </row>
    <row r="27" spans="1:13" ht="12.75">
      <c r="A27" s="5" t="s">
        <v>289</v>
      </c>
      <c r="B27" s="92"/>
      <c r="C27" s="160">
        <f>IF(ISNA(VLOOKUP("cha607140000",Balance!C:G,5,FALSE))=TRUE,0,VLOOKUP("cha607140000",Balance!C:G,5,FALSE))</f>
        <v>-21422.53</v>
      </c>
      <c r="D27" s="115"/>
      <c r="E27" s="160">
        <f>IF(ISNA(VLOOKUP("cha607140000",Balanceanp!C:G,5,FALSE))=TRUE,0,VLOOKUP("cha607140000",Balanceanp!C:G,5,FALSE))</f>
        <v>-27199</v>
      </c>
      <c r="F27" s="134"/>
      <c r="G27" s="134"/>
      <c r="H27" s="400"/>
      <c r="I27" s="149"/>
      <c r="J27" s="271"/>
      <c r="L27" t="s">
        <v>751</v>
      </c>
      <c r="M27" s="2">
        <f ca="1">IF($M$2="Alimentation",_xll.PALO.SETDATA(G27,FALSE,"localhost/Bati_fin_dev","Reporting","décembre","2011",$A$4,+L27,"NA",+$G$3),_xll.PALO.DATAC("localhost/Bati_fin_dev","Reporting","décembre","2011",$A$4,+L27,"NA",+$G$3))</f>
        <v>0</v>
      </c>
    </row>
    <row r="28" spans="1:13" ht="12.75">
      <c r="A28" s="5" t="s">
        <v>95</v>
      </c>
      <c r="B28" s="92"/>
      <c r="C28" s="160">
        <f>IF(ISNA(VLOOKUP("CHA607200000",Balance!C:G,5,FALSE))=TRUE,0,VLOOKUP("CHA607200000",Balance!C:G,5,FALSE))</f>
        <v>70818.570000000007</v>
      </c>
      <c r="D28" s="115"/>
      <c r="E28" s="160">
        <f>IF(ISNA(VLOOKUP("CHA607200000",Balanceanp!C:G,5,FALSE))=TRUE,0,VLOOKUP("CHA607200000",Balanceanp!C:G,5,FALSE))</f>
        <v>102230.8</v>
      </c>
      <c r="F28" s="134"/>
      <c r="G28" s="1161">
        <v>105000</v>
      </c>
      <c r="H28" s="400"/>
      <c r="I28" s="149"/>
      <c r="J28" s="271"/>
      <c r="L28" t="s">
        <v>754</v>
      </c>
      <c r="M28" s="2">
        <f ca="1">IF($M$2="Alimentation",_xll.PALO.SETDATA(G28,FALSE,"localhost/Bati_fin_dev","Reporting","décembre","2011",$A$4,+L28,"NA",+$G$3),_xll.PALO.DATAC("localhost/Bati_fin_dev","Reporting","décembre","2011",$A$4,+L28,"NA",+$G$3))</f>
        <v>105000</v>
      </c>
    </row>
    <row r="29" spans="1:13" ht="12.75">
      <c r="A29" s="5" t="s">
        <v>293</v>
      </c>
      <c r="B29" s="92"/>
      <c r="C29" s="160">
        <f>IF(ISNA(VLOOKUP("CHA607150000",Balance!C:G,5,FALSE))=TRUE,0,VLOOKUP("CHA607150000",Balance!C:G,5,FALSE))</f>
        <v>0</v>
      </c>
      <c r="D29" s="115"/>
      <c r="E29" s="357">
        <f>IF(ISNA(VLOOKUP("CHA607150000",Balanceanp!C:G,5,FALSE))=TRUE,0,VLOOKUP("CHA607150000",Balanceanp!C:G,5,FALSE))</f>
        <v>0</v>
      </c>
      <c r="F29" s="134"/>
      <c r="G29" s="134"/>
      <c r="H29" s="400"/>
      <c r="I29" s="149" t="str">
        <f>+IF((D28)=0,"",(C28-D28)/D28)</f>
        <v/>
      </c>
      <c r="J29" s="271"/>
      <c r="L29" t="s">
        <v>753</v>
      </c>
      <c r="M29" s="2">
        <f ca="1">IF($M$2="Alimentation",_xll.PALO.SETDATA(G29,FALSE,"localhost/Bati_fin_dev","Reporting","décembre","2011",$A$4,+L29,"NA",+$G$3),_xll.PALO.DATAC("localhost/Bati_fin_dev","Reporting","décembre","2011",$A$4,+L29,"NA",+$G$3))</f>
        <v>0</v>
      </c>
    </row>
    <row r="30" spans="1:13" s="43" customFormat="1" ht="15" customHeight="1">
      <c r="A30" s="42" t="s">
        <v>292</v>
      </c>
      <c r="B30" s="94"/>
      <c r="C30" s="164">
        <f>SUM(C23:C29)</f>
        <v>223964.12000000002</v>
      </c>
      <c r="D30" s="119"/>
      <c r="E30" s="164">
        <f>SUM(E23:E29)</f>
        <v>294130.44</v>
      </c>
      <c r="F30" s="137"/>
      <c r="G30" s="137"/>
      <c r="H30" s="402"/>
      <c r="I30" s="273"/>
      <c r="J30" s="342"/>
      <c r="L30" t="s">
        <v>867</v>
      </c>
      <c r="M30" s="2" t="e">
        <f ca="1">IF($M$2="Alimentation",_xll.PALO.SETDATA(G30,FALSE,"localhost/Bati_fin_dev","Reporting","décembre","2011",$A$4,+L30,"NA",+$G$3),_xll.PALO.DATAC("localhost/Bati_fin_dev","Reporting","décembre","2011",$A$4,+L30,"NA",+$G$3))</f>
        <v>#VALUE!</v>
      </c>
    </row>
    <row r="31" spans="1:13" ht="12.75">
      <c r="A31" s="5"/>
      <c r="B31" s="92"/>
      <c r="C31" s="160"/>
      <c r="D31" s="115"/>
      <c r="E31" s="160"/>
      <c r="F31" s="134"/>
      <c r="G31" s="134"/>
      <c r="H31" s="400"/>
      <c r="I31" s="149"/>
      <c r="J31" s="254"/>
      <c r="L31" t="s">
        <v>867</v>
      </c>
      <c r="M31" s="2" t="e">
        <f ca="1">IF($M$2="Alimentation",_xll.PALO.SETDATA(G31,FALSE,"localhost/Bati_fin_dev","Reporting","décembre","2011",$A$4,+L31,"NA",+$G$3),_xll.PALO.DATAC("localhost/Bati_fin_dev","Reporting","décembre","2011",$A$4,+L31,"NA",+$G$3))</f>
        <v>#VALUE!</v>
      </c>
    </row>
    <row r="32" spans="1:13" s="33" customFormat="1" ht="15" customHeight="1">
      <c r="A32" s="56" t="s">
        <v>336</v>
      </c>
      <c r="B32" s="95"/>
      <c r="C32" s="166">
        <f>+C21-C30-C38</f>
        <v>123743.95999999996</v>
      </c>
      <c r="D32" s="120"/>
      <c r="E32" s="166">
        <f>+E21-E30-E38</f>
        <v>171943.26610000004</v>
      </c>
      <c r="F32" s="138"/>
      <c r="G32" s="138"/>
      <c r="H32" s="403"/>
      <c r="I32" s="273"/>
      <c r="J32" s="274"/>
      <c r="L32" t="s">
        <v>867</v>
      </c>
      <c r="M32" s="2" t="e">
        <f ca="1">IF($M$2="Alimentation",_xll.PALO.SETDATA(G32,FALSE,"localhost/Bati_fin_dev","Reporting","décembre","2011",$A$4,+L32,"NA",+$G$3),_xll.PALO.DATAC("localhost/Bati_fin_dev","Reporting","décembre","2011",$A$4,+L32,"NA",+$G$3))</f>
        <v>#VALUE!</v>
      </c>
    </row>
    <row r="33" spans="1:13" s="33" customFormat="1" ht="15" customHeight="1">
      <c r="A33" s="56" t="s">
        <v>337</v>
      </c>
      <c r="B33" s="95"/>
      <c r="C33" s="196">
        <f>+C32/C21</f>
        <v>0.34814567857678408</v>
      </c>
      <c r="D33" s="120"/>
      <c r="E33" s="196">
        <f>+E32/E21</f>
        <v>0.37062141149196842</v>
      </c>
      <c r="F33" s="138"/>
      <c r="G33" s="138"/>
      <c r="H33" s="403"/>
      <c r="I33" s="273"/>
      <c r="J33" s="274"/>
      <c r="L33" t="s">
        <v>867</v>
      </c>
      <c r="M33" s="2" t="e">
        <f ca="1">IF($M$2="Alimentation",_xll.PALO.SETDATA(G33,FALSE,"localhost/Bati_fin_dev","Reporting","décembre","2011",$A$4,+L33,"NA",+$G$3),_xll.PALO.DATAC("localhost/Bati_fin_dev","Reporting","décembre","2011",$A$4,+L33,"NA",+$G$3))</f>
        <v>#VALUE!</v>
      </c>
    </row>
    <row r="34" spans="1:13" ht="12.75">
      <c r="A34" s="5"/>
      <c r="B34" s="92"/>
      <c r="C34" s="160"/>
      <c r="D34" s="115"/>
      <c r="E34" s="160"/>
      <c r="F34" s="134"/>
      <c r="G34" s="134"/>
      <c r="H34" s="400"/>
      <c r="I34" s="149" t="str">
        <f t="shared" ref="I34:I42" si="3">+IF((D33)=0,"",(C33-D33)/D33)</f>
        <v/>
      </c>
      <c r="J34" s="271"/>
      <c r="L34" t="s">
        <v>867</v>
      </c>
      <c r="M34" s="2" t="e">
        <f ca="1">IF($M$2="Alimentation",_xll.PALO.SETDATA(G34,FALSE,"localhost/Bati_fin_dev","Reporting","décembre","2011",$A$4,+L34,"NA",+$G$3),_xll.PALO.DATAC("localhost/Bati_fin_dev","Reporting","décembre","2011",$A$4,+L34,"NA",+$G$3))</f>
        <v>#VALUE!</v>
      </c>
    </row>
    <row r="35" spans="1:13" ht="12.75">
      <c r="A35" s="5" t="s">
        <v>96</v>
      </c>
      <c r="B35" s="92"/>
      <c r="C35" s="160">
        <f>IF(ISNA(VLOOKUP("CHA607400000",Balance!C:G,5,FALSE))=TRUE,0,VLOOKUP("CHA607400000",Balance!C:G,5,FALSE))</f>
        <v>3885.54</v>
      </c>
      <c r="D35" s="115"/>
      <c r="E35" s="160">
        <f>IF(ISNA(VLOOKUP("CHA607400000",Balanceanp!C:G,5,FALSE))=TRUE,0,VLOOKUP("CHA607400000",Balanceanp!C:G,5,FALSE))</f>
        <v>6886.52</v>
      </c>
      <c r="F35" s="134"/>
      <c r="G35" s="134"/>
      <c r="H35" s="400"/>
      <c r="I35" s="149" t="str">
        <f t="shared" si="3"/>
        <v/>
      </c>
      <c r="J35" s="271"/>
      <c r="L35" t="s">
        <v>743</v>
      </c>
      <c r="M35" s="2">
        <f ca="1">IF($M$2="Alimentation",_xll.PALO.SETDATA(G35,FALSE,"localhost/Bati_fin_dev","Reporting","décembre","2011",$A$4,+L35,"NA",+$G$3),_xll.PALO.DATAC("localhost/Bati_fin_dev","Reporting","décembre","2011",$A$4,+L35,"NA",+$G$3))</f>
        <v>0</v>
      </c>
    </row>
    <row r="36" spans="1:13" ht="12.75">
      <c r="A36" s="5" t="s">
        <v>97</v>
      </c>
      <c r="B36" s="92"/>
      <c r="C36" s="160">
        <f>IF(ISNA(VLOOKUP("CHA608000000",Balance!C:G,5,FALSE))=TRUE,0,VLOOKUP("CHA608000000",Balance!C:G,5,FALSE))</f>
        <v>4614.95</v>
      </c>
      <c r="D36" s="115"/>
      <c r="E36" s="160">
        <f>IF(ISNA(VLOOKUP("CHA608000000",Balanceanp!C:G,5,FALSE))=TRUE,0,VLOOKUP("CHA608000000",Balanceanp!C:G,5,FALSE))</f>
        <v>6580.5</v>
      </c>
      <c r="F36" s="134"/>
      <c r="G36" s="134"/>
      <c r="H36" s="400"/>
      <c r="I36" s="149" t="str">
        <f t="shared" si="3"/>
        <v/>
      </c>
      <c r="J36" s="271"/>
      <c r="L36" t="s">
        <v>744</v>
      </c>
      <c r="M36" s="2">
        <f ca="1">IF($M$2="Alimentation",_xll.PALO.SETDATA(G36,FALSE,"localhost/Bati_fin_dev","Reporting","décembre","2011",$A$4,+L36,"NA",+$G$3),_xll.PALO.DATAC("localhost/Bati_fin_dev","Reporting","décembre","2011",$A$4,+L36,"NA",+$G$3))</f>
        <v>0</v>
      </c>
    </row>
    <row r="37" spans="1:13" ht="12.75">
      <c r="A37" s="5" t="s">
        <v>98</v>
      </c>
      <c r="B37" s="92"/>
      <c r="C37" s="160">
        <f>IF(ISNA(VLOOKUP("CHA608100000",Balance!C:G,5,FALSE))=TRUE,0,VLOOKUP("CHA608100000",Balance!C:G,5,FALSE))</f>
        <v>0</v>
      </c>
      <c r="D37" s="115"/>
      <c r="E37" s="160">
        <f>IF(ISNA(VLOOKUP("CHA608100000",Balanceanp!C:G,5,FALSE))=TRUE,0,VLOOKUP("CHA608100000",Balanceanp!C:G,5,FALSE))</f>
        <v>0</v>
      </c>
      <c r="F37" s="134"/>
      <c r="G37" s="134"/>
      <c r="H37" s="400"/>
      <c r="I37" s="149" t="str">
        <f t="shared" si="3"/>
        <v/>
      </c>
      <c r="J37" s="271"/>
      <c r="L37" t="s">
        <v>742</v>
      </c>
      <c r="M37" s="2">
        <f ca="1">IF($M$2="Alimentation",_xll.PALO.SETDATA(G37,FALSE,"localhost/Bati_fin_dev","Reporting","décembre","2011",$A$4,+L37,"NA",+$G$3),_xll.PALO.DATAC("localhost/Bati_fin_dev","Reporting","décembre","2011",$A$4,+L37,"NA",+$G$3))</f>
        <v>0</v>
      </c>
    </row>
    <row r="38" spans="1:13" ht="12.75">
      <c r="A38" s="5" t="s">
        <v>99</v>
      </c>
      <c r="B38" s="92"/>
      <c r="C38" s="160">
        <f>+C56-C57</f>
        <v>7729.2200000000012</v>
      </c>
      <c r="D38" s="115"/>
      <c r="E38" s="160">
        <f>+E56-E57</f>
        <v>-2141.3460999999952</v>
      </c>
      <c r="F38" s="134"/>
      <c r="G38" s="134"/>
      <c r="H38" s="400"/>
      <c r="I38" s="149" t="str">
        <f t="shared" si="3"/>
        <v/>
      </c>
      <c r="J38" s="271"/>
      <c r="L38" t="s">
        <v>747</v>
      </c>
      <c r="M38" s="2">
        <f ca="1">IF($M$2="Alimentation",_xll.PALO.SETDATA(G38,FALSE,"localhost/Bati_fin_dev","Reporting","décembre","2011",$A$4,+L38,"NA",+$G$3),_xll.PALO.DATAC("localhost/Bati_fin_dev","Reporting","décembre","2011",$A$4,+L38,"NA",+$G$3))</f>
        <v>0</v>
      </c>
    </row>
    <row r="39" spans="1:13" ht="12.75">
      <c r="A39" s="5" t="s">
        <v>177</v>
      </c>
      <c r="B39" s="92"/>
      <c r="C39" s="160">
        <f>IF(ISNA(VLOOKUP("CHA681730000",Balance!C:G,5,FALSE))=TRUE,0,VLOOKUP("CHA681730000",Balance!C:G,5,FALSE))</f>
        <v>0</v>
      </c>
      <c r="D39" s="115"/>
      <c r="E39" s="160">
        <f>IF(ISNA(VLOOKUP("CHA681730000",Balanceanp!C:G,5,FALSE))=TRUE,0,VLOOKUP("CHA681730000",Balanceanp!C:G,5,FALSE))</f>
        <v>4433.42</v>
      </c>
      <c r="F39" s="134"/>
      <c r="G39" s="134"/>
      <c r="H39" s="400"/>
      <c r="I39" s="149" t="str">
        <f t="shared" si="3"/>
        <v/>
      </c>
      <c r="J39" s="271"/>
      <c r="L39" t="s">
        <v>741</v>
      </c>
      <c r="M39" s="2">
        <f ca="1">IF($M$2="Alimentation",_xll.PALO.SETDATA(G39,FALSE,"localhost/Bati_fin_dev","Reporting","décembre","2011",$A$4,+L39,"NA",+$G$3),_xll.PALO.DATAC("localhost/Bati_fin_dev","Reporting","décembre","2011",$A$4,+L39,"NA",+$G$3))</f>
        <v>0</v>
      </c>
    </row>
    <row r="40" spans="1:13" ht="12.75">
      <c r="A40" s="5" t="s">
        <v>176</v>
      </c>
      <c r="B40" s="92"/>
      <c r="C40" s="160">
        <f>IF(ISNA(VLOOKUP("CHA781730000",Balance!C:G,5,FALSE))=TRUE,0,VLOOKUP("CHA781730000",Balance!C:G,5,FALSE))</f>
        <v>-2418.58</v>
      </c>
      <c r="D40" s="115"/>
      <c r="E40" s="160">
        <f>IF(ISNA(VLOOKUP("CHA781730000",Balanceanp!C:G,5,FALSE))=TRUE,0,VLOOKUP("CHA781730000",Balanceanp!C:G,5,FALSE))</f>
        <v>-3666.59</v>
      </c>
      <c r="F40" s="134"/>
      <c r="G40" s="134"/>
      <c r="H40" s="400"/>
      <c r="I40" s="149" t="str">
        <f t="shared" si="3"/>
        <v/>
      </c>
      <c r="J40" s="271"/>
      <c r="L40" t="s">
        <v>745</v>
      </c>
      <c r="M40" s="2">
        <f ca="1">IF($M$2="Alimentation",_xll.PALO.SETDATA(G40,FALSE,"localhost/Bati_fin_dev","Reporting","décembre","2011",$A$4,+L40,"NA",+$G$3),_xll.PALO.DATAC("localhost/Bati_fin_dev","Reporting","décembre","2011",$A$4,+L40,"NA",+$G$3))</f>
        <v>0</v>
      </c>
    </row>
    <row r="41" spans="1:13" ht="12.75">
      <c r="A41" s="5" t="s">
        <v>317</v>
      </c>
      <c r="B41" s="92"/>
      <c r="C41" s="160">
        <f>IF(ISNA(VLOOKUP("cha609110000",Balance!C:G,5,FALSE))=TRUE,0,VLOOKUP("cha609110000",Balance!C:G,5,FALSE))</f>
        <v>-104.12</v>
      </c>
      <c r="D41" s="115"/>
      <c r="E41" s="160">
        <f>IF(ISNA(VLOOKUP("cha609110000",Balanceanp!C:G,5,FALSE))=TRUE,0,VLOOKUP("cha609110000",Balanceanp!C:G,5,FALSE))</f>
        <v>-3958.04</v>
      </c>
      <c r="F41" s="134"/>
      <c r="G41" s="134"/>
      <c r="H41" s="400"/>
      <c r="I41" s="149" t="str">
        <f t="shared" si="3"/>
        <v/>
      </c>
      <c r="J41" s="271"/>
      <c r="L41" t="s">
        <v>746</v>
      </c>
      <c r="M41" s="2">
        <f ca="1">IF($M$2="Alimentation",_xll.PALO.SETDATA(G41,FALSE,"localhost/Bati_fin_dev","Reporting","décembre","2011",$A$4,+L41,"NA",+$G$3),_xll.PALO.DATAC("localhost/Bati_fin_dev","Reporting","décembre","2011",$A$4,+L41,"NA",+$G$3))</f>
        <v>0</v>
      </c>
    </row>
    <row r="42" spans="1:13" ht="12.75">
      <c r="A42" s="5" t="s">
        <v>318</v>
      </c>
      <c r="B42" s="92"/>
      <c r="C42" s="160">
        <f>IF(ISNA(VLOOKUP("cha609120000",Balance!C:G,5,FALSE))=TRUE,0,VLOOKUP("cha609120000",Balance!C:G,5,FALSE))</f>
        <v>-4928.91</v>
      </c>
      <c r="D42" s="115"/>
      <c r="E42" s="160">
        <f>IF(ISNA(VLOOKUP("cha609120000",Balanceanp!C:G,5,FALSE))=TRUE,0,VLOOKUP("cha609120000",Balanceanp!C:G,5,FALSE))</f>
        <v>-7285.02</v>
      </c>
      <c r="F42" s="134"/>
      <c r="G42" s="134"/>
      <c r="H42" s="400"/>
      <c r="I42" s="149" t="str">
        <f t="shared" si="3"/>
        <v/>
      </c>
      <c r="J42" s="271"/>
      <c r="L42" t="s">
        <v>755</v>
      </c>
      <c r="M42" s="2">
        <f ca="1">IF($M$2="Alimentation",_xll.PALO.SETDATA(G42,FALSE,"localhost/Bati_fin_dev","Reporting","décembre","2011",$A$4,+L42,"NA",+$G$3),_xll.PALO.DATAC("localhost/Bati_fin_dev","Reporting","décembre","2011",$A$4,+L42,"NA",+$G$3))</f>
        <v>0</v>
      </c>
    </row>
    <row r="43" spans="1:13" ht="12.75">
      <c r="A43" s="5"/>
      <c r="B43" s="92"/>
      <c r="C43" s="160"/>
      <c r="D43" s="115"/>
      <c r="E43" s="160"/>
      <c r="F43" s="134"/>
      <c r="G43" s="134"/>
      <c r="H43" s="400"/>
      <c r="I43" s="149"/>
      <c r="J43" s="254"/>
      <c r="L43" t="s">
        <v>867</v>
      </c>
      <c r="M43" s="2" t="e">
        <f ca="1">IF($M$2="Alimentation",_xll.PALO.SETDATA(G43,FALSE,"localhost/Bati_fin_dev","Reporting","décembre","2011",$A$4,+L43,"NA",+$G$3),_xll.PALO.DATAC("localhost/Bati_fin_dev","Reporting","décembre","2011",$A$4,+L43,"NA",+$G$3))</f>
        <v>#VALUE!</v>
      </c>
    </row>
    <row r="44" spans="1:13" s="33" customFormat="1" ht="15" customHeight="1">
      <c r="A44" s="13" t="s">
        <v>291</v>
      </c>
      <c r="B44" s="93"/>
      <c r="C44" s="163">
        <f>+C30+SUM(C34:C43)</f>
        <v>232742.22000000003</v>
      </c>
      <c r="D44" s="121"/>
      <c r="E44" s="163">
        <f>+E30+SUM(E34:E43)</f>
        <v>294979.88390000002</v>
      </c>
      <c r="F44" s="139"/>
      <c r="G44" s="139"/>
      <c r="H44" s="404"/>
      <c r="I44" s="272"/>
      <c r="J44" s="188"/>
      <c r="L44" t="s">
        <v>867</v>
      </c>
      <c r="M44" s="2" t="e">
        <f ca="1">IF($M$2="Alimentation",_xll.PALO.SETDATA(G44,FALSE,"localhost/Bati_fin_dev","Reporting","décembre","2011",$A$4,+L44,"NA",+$G$3),_xll.PALO.DATAC("localhost/Bati_fin_dev","Reporting","décembre","2011",$A$4,+L44,"NA",+$G$3))</f>
        <v>#VALUE!</v>
      </c>
    </row>
    <row r="45" spans="1:13" ht="12.75">
      <c r="A45" s="5"/>
      <c r="B45" s="92"/>
      <c r="C45" s="160"/>
      <c r="D45" s="115"/>
      <c r="E45" s="160"/>
      <c r="F45" s="134"/>
      <c r="G45" s="134"/>
      <c r="H45" s="400"/>
      <c r="I45" s="149"/>
      <c r="J45" s="254"/>
      <c r="L45" t="s">
        <v>867</v>
      </c>
      <c r="M45" s="2" t="e">
        <f ca="1">IF($M$2="Alimentation",_xll.PALO.SETDATA(G45,FALSE,"localhost/Bati_fin_dev","Reporting","décembre","2011",$A$4,+L45,"NA",+$G$3),_xll.PALO.DATAC("localhost/Bati_fin_dev","Reporting","décembre","2011",$A$4,+L45,"NA",+$G$3))</f>
        <v>#VALUE!</v>
      </c>
    </row>
    <row r="46" spans="1:13" s="33" customFormat="1" ht="15" customHeight="1">
      <c r="A46" s="56" t="s">
        <v>339</v>
      </c>
      <c r="B46" s="95"/>
      <c r="C46" s="166">
        <f>+C21-C44</f>
        <v>122695.07999999996</v>
      </c>
      <c r="D46" s="120"/>
      <c r="E46" s="166">
        <f>+E21-E44</f>
        <v>168952.47610000003</v>
      </c>
      <c r="F46" s="138"/>
      <c r="G46" s="138"/>
      <c r="H46" s="403"/>
      <c r="I46" s="273"/>
      <c r="J46" s="274"/>
      <c r="L46" t="s">
        <v>867</v>
      </c>
      <c r="M46" s="2" t="e">
        <f ca="1">IF($M$2="Alimentation",_xll.PALO.SETDATA(G46,FALSE,"localhost/Bati_fin_dev","Reporting","décembre","2011",$A$4,+L46,"NA",+$G$3),_xll.PALO.DATAC("localhost/Bati_fin_dev","Reporting","décembre","2011",$A$4,+L46,"NA",+$G$3))</f>
        <v>#VALUE!</v>
      </c>
    </row>
    <row r="47" spans="1:13" s="33" customFormat="1" ht="15" customHeight="1">
      <c r="A47" s="56" t="s">
        <v>340</v>
      </c>
      <c r="B47" s="95"/>
      <c r="C47" s="196">
        <f>+C46/C21</f>
        <v>0.34519472210710572</v>
      </c>
      <c r="D47" s="120"/>
      <c r="E47" s="196">
        <f>+E46/E21</f>
        <v>0.36417480362870142</v>
      </c>
      <c r="F47" s="138"/>
      <c r="G47" s="138"/>
      <c r="H47" s="403"/>
      <c r="I47" s="273"/>
      <c r="J47" s="274"/>
      <c r="L47" t="s">
        <v>867</v>
      </c>
      <c r="M47" s="2" t="e">
        <f ca="1">IF($M$2="Alimentation",_xll.PALO.SETDATA(G47,FALSE,"localhost/Bati_fin_dev","Reporting","décembre","2011",$A$4,+L47,"NA",+$G$3),_xll.PALO.DATAC("localhost/Bati_fin_dev","Reporting","décembre","2011",$A$4,+L47,"NA",+$G$3))</f>
        <v>#VALUE!</v>
      </c>
    </row>
    <row r="48" spans="1:13" ht="12.75">
      <c r="A48" s="5"/>
      <c r="B48" s="92"/>
      <c r="C48" s="160"/>
      <c r="D48" s="115"/>
      <c r="E48" s="160"/>
      <c r="F48" s="134"/>
      <c r="G48" s="134"/>
      <c r="H48" s="400"/>
      <c r="I48" s="149" t="str">
        <f>+IF((D47)=0,"",(C47-D47)/D47)</f>
        <v/>
      </c>
      <c r="J48" s="271"/>
      <c r="L48" t="s">
        <v>867</v>
      </c>
      <c r="M48" s="2" t="e">
        <f ca="1">IF($M$2="Alimentation",_xll.PALO.SETDATA(G48,FALSE,"localhost/Bati_fin_dev","Reporting","décembre","2011",$A$4,+L48,"NA",+$G$3),_xll.PALO.DATAC("localhost/Bati_fin_dev","Reporting","décembre","2011",$A$4,+L48,"NA",+$G$3))</f>
        <v>#VALUE!</v>
      </c>
    </row>
    <row r="49" spans="1:13" ht="12.75">
      <c r="A49" s="5" t="s">
        <v>91</v>
      </c>
      <c r="B49" s="92">
        <f>+C49/C21</f>
        <v>2.5320921580261835E-2</v>
      </c>
      <c r="C49" s="160">
        <f>IF(ISNA(VLOOKUP("CHA709700000",Balance!C:G,5,FALSE))=TRUE,0,VLOOKUP("CHA709700000",Balance!C:G,5,FALSE))</f>
        <v>9000</v>
      </c>
      <c r="D49" s="117">
        <f>+[2]Château!$H49</f>
        <v>12000</v>
      </c>
      <c r="E49" s="160">
        <f>IF(ISNA(VLOOKUP("CHA709700000",Balanceanp!C:G,5,FALSE))=TRUE,0,VLOOKUP("CHA709700000",Balanceanp!C:G,5,FALSE))</f>
        <v>9448.18</v>
      </c>
      <c r="F49" s="135">
        <f>+C49+C49/9*(12-Clients!$I$14)</f>
        <v>12000</v>
      </c>
      <c r="G49" s="425">
        <v>12000</v>
      </c>
      <c r="H49" s="419"/>
      <c r="I49" s="149">
        <f>+IF((E49)=0,,(F49-E49)/E49)</f>
        <v>0.27008587897351655</v>
      </c>
      <c r="J49" s="271">
        <f>+IF((F49)=0,,(G49-F49)/F49)</f>
        <v>0</v>
      </c>
      <c r="L49" t="s">
        <v>732</v>
      </c>
      <c r="M49" s="2">
        <f ca="1">IF($M$2="Alimentation",_xll.PALO.SETDATA(G49,FALSE,"localhost/Bati_fin_dev","Reporting","décembre","2011",$A$4,+L49,"NA",+$G$3),_xll.PALO.DATAC("localhost/Bati_fin_dev","Reporting","décembre","2011",$A$4,+L49,"NA",+$G$3))</f>
        <v>12000</v>
      </c>
    </row>
    <row r="50" spans="1:13" ht="12.75">
      <c r="A50" s="5"/>
      <c r="B50" s="92"/>
      <c r="C50" s="160"/>
      <c r="D50" s="115"/>
      <c r="E50" s="160"/>
      <c r="F50" s="134"/>
      <c r="G50" s="134"/>
      <c r="H50" s="400"/>
      <c r="I50" s="149"/>
      <c r="J50" s="271"/>
      <c r="L50" t="s">
        <v>867</v>
      </c>
      <c r="M50" s="2" t="e">
        <f ca="1">IF($M$2="Alimentation",_xll.PALO.SETDATA(G50,FALSE,"localhost/Bati_fin_dev","Reporting","décembre","2011",$A$4,+L50,"NA",+$G$3),_xll.PALO.DATAC("localhost/Bati_fin_dev","Reporting","décembre","2011",$A$4,+L50,"NA",+$G$3))</f>
        <v>#VALUE!</v>
      </c>
    </row>
    <row r="51" spans="1:13" s="33" customFormat="1" ht="15" customHeight="1">
      <c r="A51" s="13" t="s">
        <v>223</v>
      </c>
      <c r="B51" s="93"/>
      <c r="C51" s="163">
        <f>+C21-C49</f>
        <v>346437.3</v>
      </c>
      <c r="D51" s="118">
        <f>+D21-D49</f>
        <v>555000</v>
      </c>
      <c r="E51" s="163">
        <f>+E21-E49</f>
        <v>454484.18000000005</v>
      </c>
      <c r="F51" s="136">
        <f>+F21-F49</f>
        <v>438248.74</v>
      </c>
      <c r="G51" s="136">
        <f>+G21-G49</f>
        <v>483500</v>
      </c>
      <c r="H51" s="312"/>
      <c r="I51" s="272">
        <f>+IF((E51)=0,,(F51-E51)/E51)</f>
        <v>-3.5722783574117054E-2</v>
      </c>
      <c r="J51" s="188">
        <f>+IF((F51)=0,,(G51-F51)/F51)</f>
        <v>0.10325474067535256</v>
      </c>
      <c r="L51" t="s">
        <v>867</v>
      </c>
      <c r="M51" s="2" t="e">
        <f ca="1">IF($M$2="Alimentation",_xll.PALO.SETDATA(G51,FALSE,"localhost/Bati_fin_dev","Reporting","décembre","2011",$A$4,+L51,"NA",+$G$3),_xll.PALO.DATAC("localhost/Bati_fin_dev","Reporting","décembre","2011",$A$4,+L51,"NA",+$G$3))</f>
        <v>#VALUE!</v>
      </c>
    </row>
    <row r="52" spans="1:13" ht="12.75">
      <c r="A52" s="5"/>
      <c r="B52" s="92"/>
      <c r="C52" s="160"/>
      <c r="D52" s="115"/>
      <c r="E52" s="160"/>
      <c r="F52" s="134"/>
      <c r="G52" s="134"/>
      <c r="H52" s="400"/>
      <c r="I52" s="149"/>
      <c r="J52" s="254"/>
      <c r="L52" t="s">
        <v>867</v>
      </c>
      <c r="M52" s="2" t="e">
        <f ca="1">IF($M$2="Alimentation",_xll.PALO.SETDATA(G52,FALSE,"localhost/Bati_fin_dev","Reporting","décembre","2011",$A$4,+L52,"NA",+$G$3),_xll.PALO.DATAC("localhost/Bati_fin_dev","Reporting","décembre","2011",$A$4,+L52,"NA",+$G$3))</f>
        <v>#VALUE!</v>
      </c>
    </row>
    <row r="53" spans="1:13" s="33" customFormat="1" ht="15" customHeight="1">
      <c r="A53" s="16" t="s">
        <v>3</v>
      </c>
      <c r="B53" s="96"/>
      <c r="C53" s="169">
        <f>+C51-C44</f>
        <v>113695.07999999996</v>
      </c>
      <c r="D53" s="122"/>
      <c r="E53" s="169">
        <f>+E51-E44</f>
        <v>159504.29610000004</v>
      </c>
      <c r="F53" s="140"/>
      <c r="G53" s="140"/>
      <c r="H53" s="405"/>
      <c r="I53" s="224"/>
      <c r="J53" s="123"/>
      <c r="K53" s="2"/>
      <c r="L53" t="s">
        <v>867</v>
      </c>
      <c r="M53" s="2" t="e">
        <f ca="1">IF($M$2="Alimentation",_xll.PALO.SETDATA(G53,FALSE,"localhost/Bati_fin_dev","Reporting","décembre","2011",$A$4,+L53,"NA",+$G$3),_xll.PALO.DATAC("localhost/Bati_fin_dev","Reporting","décembre","2011",$A$4,+L53,"NA",+$G$3))</f>
        <v>#VALUE!</v>
      </c>
    </row>
    <row r="54" spans="1:13" s="33" customFormat="1" ht="15" customHeight="1">
      <c r="A54" s="16" t="s">
        <v>4</v>
      </c>
      <c r="B54" s="96"/>
      <c r="C54" s="197">
        <f>+C53/C51</f>
        <v>0.3281837146288808</v>
      </c>
      <c r="D54" s="123"/>
      <c r="E54" s="197">
        <f>+E53/E51</f>
        <v>0.3509567617953171</v>
      </c>
      <c r="F54" s="141"/>
      <c r="G54" s="141"/>
      <c r="H54" s="406"/>
      <c r="I54" s="224"/>
      <c r="J54" s="123"/>
      <c r="K54" s="2"/>
      <c r="L54" t="s">
        <v>867</v>
      </c>
      <c r="M54" s="2" t="e">
        <f ca="1">IF($M$2="Alimentation",_xll.PALO.SETDATA(G54,FALSE,"localhost/Bati_fin_dev","Reporting","décembre","2011",$A$4,+L54,"NA",+$G$3),_xll.PALO.DATAC("localhost/Bati_fin_dev","Reporting","décembre","2011",$A$4,+L54,"NA",+$G$3))</f>
        <v>#VALUE!</v>
      </c>
    </row>
    <row r="55" spans="1:13" ht="12.75">
      <c r="A55" s="5"/>
      <c r="B55" s="92"/>
      <c r="C55" s="160"/>
      <c r="D55" s="115"/>
      <c r="E55" s="160"/>
      <c r="F55" s="134"/>
      <c r="G55" s="134"/>
      <c r="H55" s="400"/>
      <c r="I55" s="149" t="str">
        <f>+IF((D54)=0,"",(C54-D54)/D54)</f>
        <v/>
      </c>
      <c r="J55" s="271"/>
      <c r="L55" t="s">
        <v>867</v>
      </c>
      <c r="M55" s="2" t="e">
        <f ca="1">IF($M$2="Alimentation",_xll.PALO.SETDATA(G55,FALSE,"localhost/Bati_fin_dev","Reporting","décembre","2011",$A$4,+L55,"NA",+$G$3),_xll.PALO.DATAC("localhost/Bati_fin_dev","Reporting","décembre","2011",$A$4,+L55,"NA",+$G$3))</f>
        <v>#VALUE!</v>
      </c>
    </row>
    <row r="56" spans="1:13" ht="12.75">
      <c r="A56" s="5" t="s">
        <v>290</v>
      </c>
      <c r="B56" s="92"/>
      <c r="C56" s="160">
        <f>+[2]Château!$C56</f>
        <v>88338.22</v>
      </c>
      <c r="D56" s="115"/>
      <c r="E56" s="160">
        <f>+[1]Château!$G56</f>
        <v>83811.712800000008</v>
      </c>
      <c r="F56" s="134"/>
      <c r="G56" s="134"/>
      <c r="H56" s="400"/>
      <c r="I56" s="149" t="str">
        <f>+IF((D55)=0,"",(C55-D55)/D55)</f>
        <v/>
      </c>
      <c r="J56" s="271"/>
      <c r="L56" t="s">
        <v>868</v>
      </c>
      <c r="M56" s="2" t="e">
        <f ca="1">IF($M$2="Alimentation",_xll.PALO.SETDATA(G56,FALSE,"localhost/Bati_fin_dev","Reporting","décembre","2011",$A$4,+L56,"NA",+$G$3),_xll.PALO.DATAC("localhost/Bati_fin_dev","Reporting","décembre","2011",$A$4,+L56,"NA",+$G$3))</f>
        <v>#VALUE!</v>
      </c>
    </row>
    <row r="57" spans="1:13" ht="12.75">
      <c r="A57" s="5" t="s">
        <v>100</v>
      </c>
      <c r="B57" s="92"/>
      <c r="C57" s="160">
        <f>+[2]Château!$C57</f>
        <v>80609</v>
      </c>
      <c r="D57" s="115"/>
      <c r="E57" s="160">
        <f>+[1]Château!$G57</f>
        <v>85953.058900000004</v>
      </c>
      <c r="F57" s="134"/>
      <c r="G57" s="134"/>
      <c r="H57" s="400"/>
      <c r="I57" s="149" t="str">
        <f>+IF((D56)=0,"",(C56-D56)/D56)</f>
        <v/>
      </c>
      <c r="J57" s="271"/>
      <c r="L57" t="s">
        <v>869</v>
      </c>
      <c r="M57" s="2" t="e">
        <f ca="1">IF($M$2="Alimentation",_xll.PALO.SETDATA(G57,FALSE,"localhost/Bati_fin_dev","Reporting","décembre","2011",$A$4,+L57,"NA",+$G$3),_xll.PALO.DATAC("localhost/Bati_fin_dev","Reporting","décembre","2011",$A$4,+L57,"NA",+$G$3))</f>
        <v>#VALUE!</v>
      </c>
    </row>
    <row r="58" spans="1:13" ht="13.5" thickBot="1">
      <c r="A58" s="21"/>
      <c r="B58" s="97"/>
      <c r="C58" s="171"/>
      <c r="D58" s="124"/>
      <c r="E58" s="171"/>
      <c r="F58" s="142"/>
      <c r="G58" s="142"/>
      <c r="H58" s="407"/>
      <c r="I58" s="236" t="str">
        <f>+IF((D57)=0,"",(C57-D57)/D57)</f>
        <v/>
      </c>
      <c r="J58" s="275"/>
      <c r="L58" t="s">
        <v>867</v>
      </c>
      <c r="M58" s="2" t="e">
        <f ca="1">IF($M$2="Alimentation",_xll.PALO.SETDATA(G58,FALSE,"localhost/Bati_fin_dev","Reporting","décembre","2011",$A$4,+L58,"NA",+$G$3),_xll.PALO.DATAC("localhost/Bati_fin_dev","Reporting","décembre","2011",$A$4,+L58,"NA",+$G$3))</f>
        <v>#VALUE!</v>
      </c>
    </row>
    <row r="59" spans="1:13" ht="13.5" thickTop="1">
      <c r="A59" s="5"/>
      <c r="B59" s="92"/>
      <c r="C59" s="160"/>
      <c r="D59" s="115"/>
      <c r="E59" s="160"/>
      <c r="F59" s="134"/>
      <c r="G59" s="134"/>
      <c r="H59" s="400"/>
      <c r="I59" s="149"/>
      <c r="J59" s="254"/>
      <c r="L59" t="s">
        <v>867</v>
      </c>
      <c r="M59" s="2" t="e">
        <f ca="1">IF($M$2="Alimentation",_xll.PALO.SETDATA(G59,FALSE,"localhost/Bati_fin_dev","Reporting","décembre","2011",$A$4,+L59,"NA",+$G$3),_xll.PALO.DATAC("localhost/Bati_fin_dev","Reporting","décembre","2011",$A$4,+L59,"NA",+$G$3))</f>
        <v>#VALUE!</v>
      </c>
    </row>
    <row r="60" spans="1:13" s="33" customFormat="1" ht="15" customHeight="1">
      <c r="A60" s="16" t="s">
        <v>295</v>
      </c>
      <c r="B60" s="96"/>
      <c r="C60" s="197">
        <f>+[2]Château!$C60</f>
        <v>0.34</v>
      </c>
      <c r="D60" s="123">
        <f>+[2]Château!$H60</f>
        <v>0.35</v>
      </c>
      <c r="E60" s="197">
        <v>0.36</v>
      </c>
      <c r="F60" s="141">
        <f>+C60</f>
        <v>0.34</v>
      </c>
      <c r="G60" s="141">
        <v>0.35</v>
      </c>
      <c r="H60" s="406"/>
      <c r="I60" s="224"/>
      <c r="J60" s="123"/>
      <c r="L60" t="s">
        <v>867</v>
      </c>
      <c r="M60" s="2" t="e">
        <f ca="1">IF($M$2="Alimentation",_xll.PALO.SETDATA(G60,FALSE,"localhost/Bati_fin_dev","Reporting","décembre","2011",$A$4,+L60,"NA",+$G$3),_xll.PALO.DATAC("localhost/Bati_fin_dev","Reporting","décembre","2011",$A$4,+L60,"NA",+$G$3))</f>
        <v>#VALUE!</v>
      </c>
    </row>
    <row r="61" spans="1:13" ht="12.75">
      <c r="A61" s="5" t="s">
        <v>65</v>
      </c>
      <c r="B61" s="92"/>
      <c r="C61" s="92">
        <f>+[2]Château!$C61</f>
        <v>0.35099999999999998</v>
      </c>
      <c r="D61" s="117"/>
      <c r="E61" s="160"/>
      <c r="F61" s="135"/>
      <c r="G61" s="135"/>
      <c r="H61" s="408"/>
      <c r="I61" s="149"/>
      <c r="J61" s="254"/>
      <c r="L61" t="s">
        <v>870</v>
      </c>
      <c r="M61" s="2" t="e">
        <f ca="1">IF($M$2="Alimentation",_xll.PALO.SETDATA(G61,FALSE,"localhost/Bati_fin_dev","Reporting","décembre","2011",$A$4,+L61,"NA",+$G$3),_xll.PALO.DATAC("localhost/Bati_fin_dev","Reporting","décembre","2011",$A$4,+L61,"NA",+$G$3))</f>
        <v>#VALUE!</v>
      </c>
    </row>
    <row r="62" spans="1:13" s="33" customFormat="1" ht="15" customHeight="1">
      <c r="A62" s="16" t="s">
        <v>296</v>
      </c>
      <c r="B62" s="96"/>
      <c r="C62" s="169">
        <f>+C51*C60</f>
        <v>117788.682</v>
      </c>
      <c r="D62" s="122">
        <f>D51*D60</f>
        <v>194250</v>
      </c>
      <c r="E62" s="169">
        <f>+E51*E60</f>
        <v>163614.30480000001</v>
      </c>
      <c r="F62" s="140">
        <f>+F51*F60</f>
        <v>149004.5716</v>
      </c>
      <c r="G62" s="140">
        <f>+G51*G60</f>
        <v>169225</v>
      </c>
      <c r="H62" s="405"/>
      <c r="I62" s="224">
        <f>+IF((E62)=0,,(F62-E62)/E62)</f>
        <v>-8.9293740042221639E-2</v>
      </c>
      <c r="J62" s="123">
        <f>+IF((F62)=0,,(G62-F62)/F62)</f>
        <v>0.13570340951874529</v>
      </c>
      <c r="L62" t="s">
        <v>867</v>
      </c>
      <c r="M62" s="2" t="e">
        <f ca="1">IF($M$2="Alimentation",_xll.PALO.SETDATA(G62,FALSE,"localhost/Bati_fin_dev","Reporting","décembre","2011",$A$4,+L62,"NA",+$G$3),_xll.PALO.DATAC("localhost/Bati_fin_dev","Reporting","décembre","2011",$A$4,+L62,"NA",+$G$3))</f>
        <v>#VALUE!</v>
      </c>
    </row>
    <row r="63" spans="1:13" ht="12.75">
      <c r="A63" s="5"/>
      <c r="B63" s="92"/>
      <c r="C63" s="160"/>
      <c r="D63" s="115"/>
      <c r="E63" s="160"/>
      <c r="F63" s="134"/>
      <c r="G63" s="134"/>
      <c r="H63" s="400"/>
      <c r="I63" s="149"/>
      <c r="J63" s="271"/>
      <c r="L63" t="s">
        <v>867</v>
      </c>
      <c r="M63" s="2" t="e">
        <f ca="1">IF($M$2="Alimentation",_xll.PALO.SETDATA(G63,FALSE,"localhost/Bati_fin_dev","Reporting","décembre","2011",$A$4,+L63,"NA",+$G$3),_xll.PALO.DATAC("localhost/Bati_fin_dev","Reporting","décembre","2011",$A$4,+L63,"NA",+$G$3))</f>
        <v>#VALUE!</v>
      </c>
    </row>
    <row r="64" spans="1:13" ht="12.75">
      <c r="A64" s="5" t="s">
        <v>104</v>
      </c>
      <c r="B64" s="92"/>
      <c r="C64" s="160">
        <f>IF(ISNA(VLOOKUP("CHA613520000",Balance!C:G,5,FALSE))=TRUE,0,VLOOKUP("CHA613520000",Balance!C:G,5,FALSE))</f>
        <v>2669.04</v>
      </c>
      <c r="D64" s="117">
        <f>+[2]Château!$H64</f>
        <v>3165.6000000000004</v>
      </c>
      <c r="E64" s="160">
        <f>IF(ISNA(VLOOKUP("CHA613520000",Balanceanp!C:G,5,FALSE))=TRUE,0,VLOOKUP("CHA613520000",Balanceanp!C:G,5,FALSE))</f>
        <v>3887.12</v>
      </c>
      <c r="F64" s="368">
        <v>3500</v>
      </c>
      <c r="G64" s="570">
        <f>224.08*12*1.03</f>
        <v>2769.6288</v>
      </c>
      <c r="H64" s="401"/>
      <c r="I64" s="149">
        <f t="shared" ref="I64:J68" si="4">+IF((E64)=0,,(F64-E64)/E64)</f>
        <v>-9.9590442281174724E-2</v>
      </c>
      <c r="J64" s="271">
        <f t="shared" si="4"/>
        <v>-0.20867748571428574</v>
      </c>
      <c r="L64" t="s">
        <v>866</v>
      </c>
      <c r="M64" s="2">
        <f ca="1">IF($M$2="Alimentation",_xll.PALO.SETDATA(G64,FALSE,"localhost/Bati_fin_dev","Reporting","décembre","2011",$A$4,+L64,"NA",+$G$3),_xll.PALO.DATAC("localhost/Bati_fin_dev","Reporting","décembre","2011",$A$4,+L64,"NA",+$G$3))</f>
        <v>2769.6288</v>
      </c>
    </row>
    <row r="65" spans="1:13" ht="12.75">
      <c r="A65" s="5" t="s">
        <v>314</v>
      </c>
      <c r="B65" s="92"/>
      <c r="C65" s="160"/>
      <c r="D65" s="117">
        <f>+[2]Château!$H65</f>
        <v>0</v>
      </c>
      <c r="E65" s="160"/>
      <c r="F65" s="368">
        <f>+C65+C65/9*(12-Clients!$I$14)</f>
        <v>0</v>
      </c>
      <c r="G65" s="395">
        <f>+F65*1.03</f>
        <v>0</v>
      </c>
      <c r="H65" s="409"/>
      <c r="I65" s="149">
        <f t="shared" si="4"/>
        <v>0</v>
      </c>
      <c r="J65" s="271">
        <f t="shared" si="4"/>
        <v>0</v>
      </c>
      <c r="L65" t="s">
        <v>864</v>
      </c>
      <c r="M65" s="2">
        <f ca="1">IF($M$2="Alimentation",_xll.PALO.SETDATA(G65,FALSE,"localhost/Bati_fin_dev","Reporting","décembre","2011",$A$4,+L65,"NA",+$G$3),_xll.PALO.DATAC("localhost/Bati_fin_dev","Reporting","décembre","2011",$A$4,+L65,"NA",+$G$3))</f>
        <v>0</v>
      </c>
    </row>
    <row r="66" spans="1:13" ht="12.75">
      <c r="A66" s="5" t="s">
        <v>110</v>
      </c>
      <c r="B66" s="92"/>
      <c r="C66" s="160">
        <f>IF(ISNA(VLOOKUP("CHA616120000",Balance!C:G,5,FALSE))=TRUE,0,VLOOKUP("CHA616120000",Balance!C:G,5,FALSE))</f>
        <v>491.04</v>
      </c>
      <c r="D66" s="117">
        <f>+[2]Château!$H66</f>
        <v>583.90500000000009</v>
      </c>
      <c r="E66" s="160">
        <f>IF(ISNA(VLOOKUP("CHA616120000",Balanceanp!C:G,5,FALSE))=TRUE,0,VLOOKUP("CHA616120000",Balanceanp!C:G,5,FALSE))</f>
        <v>713.62</v>
      </c>
      <c r="F66" s="368">
        <f>+C66+C66/9*(12-Clients!$I$14)</f>
        <v>654.72</v>
      </c>
      <c r="G66" s="570">
        <f>+F66*1.05</f>
        <v>687.45600000000002</v>
      </c>
      <c r="H66" s="401"/>
      <c r="I66" s="149">
        <f t="shared" si="4"/>
        <v>-8.2536924413553397E-2</v>
      </c>
      <c r="J66" s="271">
        <f t="shared" si="4"/>
        <v>4.9999999999999982E-2</v>
      </c>
      <c r="L66" t="s">
        <v>862</v>
      </c>
      <c r="M66" s="2">
        <f ca="1">IF($M$2="Alimentation",_xll.PALO.SETDATA(G66,FALSE,"localhost/Bati_fin_dev","Reporting","décembre","2011",$A$4,+L66,"NA",+$G$3),_xll.PALO.DATAC("localhost/Bati_fin_dev","Reporting","décembre","2011",$A$4,+L66,"NA",+$G$3))</f>
        <v>687.45600000000002</v>
      </c>
    </row>
    <row r="67" spans="1:13" ht="12.75">
      <c r="A67" s="5" t="s">
        <v>107</v>
      </c>
      <c r="B67" s="92"/>
      <c r="C67" s="160">
        <f>IF(ISNA(VLOOKUP("CHA615520000",Balance!C:G,5,FALSE))=TRUE,0,VLOOKUP("CHA615520000",Balance!C:G,5,FALSE))</f>
        <v>316</v>
      </c>
      <c r="D67" s="117">
        <f>+[2]Château!$H67</f>
        <v>600</v>
      </c>
      <c r="E67" s="160">
        <f>IF(ISNA(VLOOKUP("CHA615520000",Balanceanp!C:G,5,FALSE))=TRUE,0,VLOOKUP("CHA615520000",Balanceanp!C:G,5,FALSE))</f>
        <v>1330.14</v>
      </c>
      <c r="F67" s="368">
        <f>+C67+C67/9*(12-Clients!$I$14)</f>
        <v>421.33333333333337</v>
      </c>
      <c r="G67" s="570">
        <v>600</v>
      </c>
      <c r="H67" s="401"/>
      <c r="I67" s="149">
        <f t="shared" si="4"/>
        <v>-0.68324136306453953</v>
      </c>
      <c r="J67" s="271">
        <f t="shared" si="4"/>
        <v>0.42405063291139228</v>
      </c>
      <c r="L67" t="s">
        <v>865</v>
      </c>
      <c r="M67" s="2">
        <f ca="1">IF($M$2="Alimentation",_xll.PALO.SETDATA(G67,FALSE,"localhost/Bati_fin_dev","Reporting","décembre","2011",$A$4,+L67,"NA",+$G$3),_xll.PALO.DATAC("localhost/Bati_fin_dev","Reporting","décembre","2011",$A$4,+L67,"NA",+$G$3))</f>
        <v>600</v>
      </c>
    </row>
    <row r="68" spans="1:13" ht="12.75">
      <c r="A68" s="5" t="s">
        <v>125</v>
      </c>
      <c r="B68" s="92"/>
      <c r="C68" s="160">
        <f>IF(ISNA(VLOOKUP("CHA606130000",Balance!C:G,5,FALSE))=TRUE,0,VLOOKUP("CHA606130000",Balance!C:G,5,FALSE))</f>
        <v>382.82</v>
      </c>
      <c r="D68" s="117">
        <f>+[2]Château!$H68</f>
        <v>1089.8533000000002</v>
      </c>
      <c r="E68" s="160">
        <f>IF(ISNA(VLOOKUP("CHA606130000",Balanceanp!C:G,5,FALSE))=TRUE,0,VLOOKUP("CHA606130000",Balanceanp!C:G,5,FALSE))</f>
        <v>987.57</v>
      </c>
      <c r="F68" s="368">
        <v>900</v>
      </c>
      <c r="G68" s="425">
        <v>1000</v>
      </c>
      <c r="H68" s="410"/>
      <c r="I68" s="149">
        <f t="shared" si="4"/>
        <v>-8.867219538868136E-2</v>
      </c>
      <c r="J68" s="271">
        <f t="shared" si="4"/>
        <v>0.1111111111111111</v>
      </c>
      <c r="L68" t="s">
        <v>863</v>
      </c>
      <c r="M68" s="2">
        <f ca="1">IF($M$2="Alimentation",_xll.PALO.SETDATA(G68,FALSE,"localhost/Bati_fin_dev","Reporting","décembre","2011",$A$4,+L68,"NA",+$G$3),_xll.PALO.DATAC("localhost/Bati_fin_dev","Reporting","décembre","2011",$A$4,+L68,"NA",+$G$3))</f>
        <v>1000</v>
      </c>
    </row>
    <row r="69" spans="1:13" ht="12.75">
      <c r="A69" s="5"/>
      <c r="B69" s="92"/>
      <c r="C69" s="160"/>
      <c r="D69" s="115"/>
      <c r="E69" s="357"/>
      <c r="F69" s="143"/>
      <c r="G69" s="143"/>
      <c r="H69" s="411"/>
      <c r="I69" s="149"/>
      <c r="J69" s="271"/>
      <c r="L69" t="s">
        <v>867</v>
      </c>
      <c r="M69" s="2" t="e">
        <f ca="1">IF($M$2="Alimentation",_xll.PALO.SETDATA(G69,FALSE,"localhost/Bati_fin_dev","Reporting","décembre","2011",$A$4,+L69,"NA",+$G$3),_xll.PALO.DATAC("localhost/Bati_fin_dev","Reporting","décembre","2011",$A$4,+L69,"NA",+$G$3))</f>
        <v>#VALUE!</v>
      </c>
    </row>
    <row r="70" spans="1:13" ht="12.75">
      <c r="A70" s="11" t="s">
        <v>128</v>
      </c>
      <c r="B70" s="98"/>
      <c r="C70" s="173">
        <f>SUM(C64:C69)</f>
        <v>3858.9</v>
      </c>
      <c r="D70" s="125">
        <f>SUM(D64:D69)</f>
        <v>5439.3583000000017</v>
      </c>
      <c r="E70" s="276">
        <f>SUM(E64:E69)</f>
        <v>6918.45</v>
      </c>
      <c r="F70" s="370">
        <f>SUM(F64:F69)</f>
        <v>5476.0533333333333</v>
      </c>
      <c r="G70" s="359">
        <f>SUM(G64:G69)</f>
        <v>5057.0848000000005</v>
      </c>
      <c r="H70" s="412"/>
      <c r="I70" s="384">
        <f>+IF((E70)=0,,(F70-E70)/E70)</f>
        <v>-0.20848552300973</v>
      </c>
      <c r="J70" s="279">
        <f>+IF((F70)=0,,(G70-F70)/F70)</f>
        <v>-7.6509213448127986E-2</v>
      </c>
      <c r="L70" t="s">
        <v>867</v>
      </c>
      <c r="M70" s="2" t="e">
        <f ca="1">IF($M$2="Alimentation",_xll.PALO.SETDATA(G70,FALSE,"localhost/Bati_fin_dev","Reporting","décembre","2011",$A$4,+L70,"NA",+$G$3),_xll.PALO.DATAC("localhost/Bati_fin_dev","Reporting","décembre","2011",$A$4,+L70,"NA",+$G$3))</f>
        <v>#VALUE!</v>
      </c>
    </row>
    <row r="71" spans="1:13" ht="12.75">
      <c r="A71" s="5"/>
      <c r="B71" s="92"/>
      <c r="C71" s="160"/>
      <c r="D71" s="115"/>
      <c r="E71" s="357"/>
      <c r="F71" s="143"/>
      <c r="G71" s="143"/>
      <c r="H71" s="411"/>
      <c r="I71" s="149"/>
      <c r="J71" s="271"/>
      <c r="L71" t="s">
        <v>867</v>
      </c>
      <c r="M71" s="2" t="e">
        <f ca="1">IF($M$2="Alimentation",_xll.PALO.SETDATA(G71,FALSE,"localhost/Bati_fin_dev","Reporting","décembre","2011",$A$4,+L71,"NA",+$G$3),_xll.PALO.DATAC("localhost/Bati_fin_dev","Reporting","décembre","2011",$A$4,+L71,"NA",+$G$3))</f>
        <v>#VALUE!</v>
      </c>
    </row>
    <row r="72" spans="1:13" ht="12.75">
      <c r="A72" s="5" t="s">
        <v>1</v>
      </c>
      <c r="B72" s="92"/>
      <c r="C72" s="160">
        <f>IF(ISNA(VLOOKUP("cha602220000",Balance!C:G,5,FALSE))=TRUE,0,VLOOKUP("cha602220000",Balance!C:G,5,FALSE))</f>
        <v>12.19</v>
      </c>
      <c r="D72" s="117">
        <f>+[2]Château!$H72</f>
        <v>13.166655134535416</v>
      </c>
      <c r="E72" s="160">
        <f>IF(ISNA(VLOOKUP("cha602220000",Balanceanp!C:G,5,FALSE))=TRUE,0,VLOOKUP("cha602220000",Balanceanp!C:G,5,FALSE))</f>
        <v>18.64</v>
      </c>
      <c r="F72" s="368">
        <f>+C72+C72/9*(12-Clients!$I$14)</f>
        <v>16.25333333333333</v>
      </c>
      <c r="G72" s="396">
        <f>+F72*1.03</f>
        <v>16.740933333333331</v>
      </c>
      <c r="H72" s="409"/>
      <c r="I72" s="149">
        <f t="shared" ref="I72:J87" si="5">+IF((E72)=0,,(F72-E72)/E72)</f>
        <v>-0.12804005722460676</v>
      </c>
      <c r="J72" s="271">
        <f t="shared" si="5"/>
        <v>3.0000000000000034E-2</v>
      </c>
      <c r="L72" t="s">
        <v>783</v>
      </c>
      <c r="M72" s="2">
        <f ca="1">IF($M$2="Alimentation",_xll.PALO.SETDATA(G72,FALSE,"localhost/Bati_fin_dev","Reporting","décembre","2011",$A$4,+L72,"NA",+$G$3),_xll.PALO.DATAC("localhost/Bati_fin_dev","Reporting","décembre","2011",$A$4,+L72,"NA",+$G$3))</f>
        <v>16.740933333333331</v>
      </c>
    </row>
    <row r="73" spans="1:13" ht="12.75">
      <c r="A73" s="5" t="s">
        <v>123</v>
      </c>
      <c r="B73" s="92"/>
      <c r="C73" s="160">
        <f>IF(ISNA(VLOOKUP("CHA606100000",Balance!C:G,5,FALSE))=TRUE,0,VLOOKUP("CHA606100000",Balance!C:G,5,FALSE))</f>
        <v>4054.36</v>
      </c>
      <c r="D73" s="117">
        <f>+[2]Château!$H73</f>
        <v>5892.1067080348193</v>
      </c>
      <c r="E73" s="160">
        <f>IF(ISNA(VLOOKUP("CHA606100000",Balanceanp!C:G,5,FALSE))=TRUE,0,VLOOKUP("CHA606100000",Balanceanp!C:G,5,FALSE))</f>
        <v>6752</v>
      </c>
      <c r="F73" s="368">
        <f>+C73+C73/9*(12-Clients!$I$14)</f>
        <v>5405.8133333333335</v>
      </c>
      <c r="G73" s="396">
        <f t="shared" ref="G73:G101" si="6">+F73*1.03</f>
        <v>5567.9877333333334</v>
      </c>
      <c r="H73" s="409"/>
      <c r="I73" s="149">
        <f t="shared" si="5"/>
        <v>-0.19937598736176931</v>
      </c>
      <c r="J73" s="271">
        <f t="shared" si="5"/>
        <v>2.9999999999999978E-2</v>
      </c>
      <c r="L73" t="s">
        <v>764</v>
      </c>
      <c r="M73" s="2">
        <f ca="1">IF($M$2="Alimentation",_xll.PALO.SETDATA(G73,FALSE,"localhost/Bati_fin_dev","Reporting","décembre","2011",$A$4,+L73,"NA",+$G$3),_xll.PALO.DATAC("localhost/Bati_fin_dev","Reporting","décembre","2011",$A$4,+L73,"NA",+$G$3))</f>
        <v>5567.9877333333334</v>
      </c>
    </row>
    <row r="74" spans="1:13" ht="12.75">
      <c r="A74" s="5" t="s">
        <v>124</v>
      </c>
      <c r="B74" s="92"/>
      <c r="C74" s="160">
        <f>IF(ISNA(VLOOKUP("CHA606110000",Balance!C:G,5,FALSE))=TRUE,0,VLOOKUP("CHA606110000",Balance!C:G,5,FALSE))</f>
        <v>0</v>
      </c>
      <c r="D74" s="117">
        <f>+[2]Château!$H74</f>
        <v>0</v>
      </c>
      <c r="E74" s="160">
        <f>IF(ISNA(VLOOKUP("CHA606110000",Balanceanp!C:G,5,FALSE))=TRUE,0,VLOOKUP("CHA606110000",Balanceanp!C:G,5,FALSE))</f>
        <v>0</v>
      </c>
      <c r="F74" s="368">
        <f>+C74+C74/9*(12-Clients!$I$14)</f>
        <v>0</v>
      </c>
      <c r="G74" s="396">
        <f t="shared" si="6"/>
        <v>0</v>
      </c>
      <c r="H74" s="409"/>
      <c r="I74" s="149">
        <f t="shared" si="5"/>
        <v>0</v>
      </c>
      <c r="J74" s="271">
        <f t="shared" si="5"/>
        <v>0</v>
      </c>
      <c r="L74" t="s">
        <v>760</v>
      </c>
      <c r="M74" s="2">
        <f ca="1">IF($M$2="Alimentation",_xll.PALO.SETDATA(G74,FALSE,"localhost/Bati_fin_dev","Reporting","décembre","2011",$A$4,+L74,"NA",+$G$3),_xll.PALO.DATAC("localhost/Bati_fin_dev","Reporting","décembre","2011",$A$4,+L74,"NA",+$G$3))</f>
        <v>0</v>
      </c>
    </row>
    <row r="75" spans="1:13" ht="12.75">
      <c r="A75" s="5" t="s">
        <v>360</v>
      </c>
      <c r="B75" s="92"/>
      <c r="C75" s="160">
        <f>IF(ISNA(VLOOKUP("cha606140000",Balance!C:G,5,FALSE))=TRUE,0,VLOOKUP("cha606140000",Balance!C:G,5,FALSE))</f>
        <v>0</v>
      </c>
      <c r="D75" s="117">
        <f>+[2]Château!$H75</f>
        <v>0</v>
      </c>
      <c r="E75" s="160">
        <f>IF(ISNA(VLOOKUP("cha606140000",Balanceanp!C:G,5,FALSE))=TRUE,0,VLOOKUP("cha606140000",Balanceanp!C:G,5,FALSE))</f>
        <v>0</v>
      </c>
      <c r="F75" s="368">
        <f>+C75+C75/9*(12-Clients!$I$14)</f>
        <v>0</v>
      </c>
      <c r="G75" s="396">
        <f t="shared" si="6"/>
        <v>0</v>
      </c>
      <c r="H75" s="409"/>
      <c r="I75" s="149">
        <f t="shared" si="5"/>
        <v>0</v>
      </c>
      <c r="J75" s="271">
        <f t="shared" si="5"/>
        <v>0</v>
      </c>
      <c r="L75" t="s">
        <v>761</v>
      </c>
      <c r="M75" s="2">
        <f ca="1">IF($M$2="Alimentation",_xll.PALO.SETDATA(G75,FALSE,"localhost/Bati_fin_dev","Reporting","décembre","2011",$A$4,+L75,"NA",+$G$3),_xll.PALO.DATAC("localhost/Bati_fin_dev","Reporting","décembre","2011",$A$4,+L75,"NA",+$G$3))</f>
        <v>0</v>
      </c>
    </row>
    <row r="76" spans="1:13" ht="12.75">
      <c r="A76" s="5" t="s">
        <v>126</v>
      </c>
      <c r="B76" s="92"/>
      <c r="C76" s="160">
        <f>IF(ISNA(VLOOKUP("CHA606310000",Balance!C:G,5,FALSE))=TRUE,0,VLOOKUP("CHA606310000",Balance!C:G,5,FALSE))</f>
        <v>0</v>
      </c>
      <c r="D76" s="117">
        <f>+[2]Château!$H76</f>
        <v>0.39080167013888889</v>
      </c>
      <c r="E76" s="160">
        <f>IF(ISNA(VLOOKUP("CHA606310000",Balanceanp!C:G,5,FALSE))=TRUE,0,VLOOKUP("CHA606310000",Balanceanp!C:G,5,FALSE))</f>
        <v>0</v>
      </c>
      <c r="F76" s="368">
        <f>+C76+C76/9*(12-Clients!$I$14)</f>
        <v>0</v>
      </c>
      <c r="G76" s="396">
        <f t="shared" si="6"/>
        <v>0</v>
      </c>
      <c r="H76" s="409"/>
      <c r="I76" s="149">
        <f t="shared" si="5"/>
        <v>0</v>
      </c>
      <c r="J76" s="271">
        <f t="shared" si="5"/>
        <v>0</v>
      </c>
      <c r="L76" t="s">
        <v>781</v>
      </c>
      <c r="M76" s="2">
        <f ca="1">IF($M$2="Alimentation",_xll.PALO.SETDATA(G76,FALSE,"localhost/Bati_fin_dev","Reporting","décembre","2011",$A$4,+L76,"NA",+$G$3),_xll.PALO.DATAC("localhost/Bati_fin_dev","Reporting","décembre","2011",$A$4,+L76,"NA",+$G$3))</f>
        <v>0</v>
      </c>
    </row>
    <row r="77" spans="1:13" ht="12.75">
      <c r="A77" s="5" t="s">
        <v>127</v>
      </c>
      <c r="B77" s="92"/>
      <c r="C77" s="160">
        <f>IF(ISNA(VLOOKUP("CHA606410000",Balance!C:G,5,FALSE))=TRUE,0,VLOOKUP("CHA606410000",Balance!C:G,5,FALSE))</f>
        <v>650.89</v>
      </c>
      <c r="D77" s="117">
        <f>+[2]Château!$H77</f>
        <v>1912.6458917720745</v>
      </c>
      <c r="E77" s="160">
        <f>IF(ISNA(VLOOKUP("CHA606410000",Balanceanp!C:G,5,FALSE))=TRUE,0,VLOOKUP("CHA606410000",Balanceanp!C:G,5,FALSE))</f>
        <v>2085.0500000000002</v>
      </c>
      <c r="F77" s="368">
        <f>+C77+C77/9*(12-Clients!$I$14)</f>
        <v>867.85333333333324</v>
      </c>
      <c r="G77" s="396">
        <f t="shared" si="6"/>
        <v>893.88893333333328</v>
      </c>
      <c r="H77" s="409"/>
      <c r="I77" s="149">
        <f t="shared" si="5"/>
        <v>-0.58377337074250824</v>
      </c>
      <c r="J77" s="271">
        <f t="shared" si="5"/>
        <v>3.0000000000000054E-2</v>
      </c>
      <c r="L77" t="s">
        <v>769</v>
      </c>
      <c r="M77" s="2">
        <f ca="1">IF($M$2="Alimentation",_xll.PALO.SETDATA(G77,FALSE,"localhost/Bati_fin_dev","Reporting","décembre","2011",$A$4,+L77,"NA",+$G$3),_xll.PALO.DATAC("localhost/Bati_fin_dev","Reporting","décembre","2011",$A$4,+L77,"NA",+$G$3))</f>
        <v>893.88893333333328</v>
      </c>
    </row>
    <row r="78" spans="1:13" ht="12.75">
      <c r="A78" s="5" t="s">
        <v>101</v>
      </c>
      <c r="B78" s="92"/>
      <c r="C78" s="160">
        <f>IF(ISNA(VLOOKUP("CHA611000000",Balance!C:G,5,FALSE))=TRUE,0,VLOOKUP("CHA611000000",Balance!C:G,5,FALSE))</f>
        <v>0</v>
      </c>
      <c r="D78" s="117">
        <f>+[2]Château!$H78</f>
        <v>0.54434764633645838</v>
      </c>
      <c r="E78" s="160">
        <f>IF(ISNA(VLOOKUP("CHA611000000",Balanceanp!C:G,5,FALSE))=TRUE,0,VLOOKUP("CHA611000000",Balanceanp!C:G,5,FALSE))</f>
        <v>0</v>
      </c>
      <c r="F78" s="368">
        <f>+C78+C78/9*(12-Clients!$I$14)</f>
        <v>0</v>
      </c>
      <c r="G78" s="368">
        <f t="shared" si="6"/>
        <v>0</v>
      </c>
      <c r="H78" s="410"/>
      <c r="I78" s="149">
        <f t="shared" si="5"/>
        <v>0</v>
      </c>
      <c r="J78" s="271">
        <f t="shared" si="5"/>
        <v>0</v>
      </c>
      <c r="L78" t="s">
        <v>782</v>
      </c>
      <c r="M78" s="2">
        <f ca="1">IF($M$2="Alimentation",_xll.PALO.SETDATA(G78,FALSE,"localhost/Bati_fin_dev","Reporting","décembre","2011",$A$4,+L78,"NA",+$G$3),_xll.PALO.DATAC("localhost/Bati_fin_dev","Reporting","décembre","2011",$A$4,+L78,"NA",+$G$3))</f>
        <v>0</v>
      </c>
    </row>
    <row r="79" spans="1:13" ht="12.75">
      <c r="A79" s="5" t="s">
        <v>102</v>
      </c>
      <c r="B79" s="92"/>
      <c r="C79" s="160">
        <f>IF(ISNA(VLOOKUP("CHA613200000",Balance!C:G,5,FALSE))=TRUE,0,VLOOKUP("CHA613200000",Balance!C:G,5,FALSE))</f>
        <v>12785.22</v>
      </c>
      <c r="D79" s="117">
        <f>+[2]Château!$H79</f>
        <v>17046.900000000001</v>
      </c>
      <c r="E79" s="160">
        <f>IF(ISNA(VLOOKUP("CHA613200000",Balanceanp!C:G,5,FALSE))=TRUE,0,VLOOKUP("CHA613200000",Balanceanp!C:G,5,FALSE))</f>
        <v>16560</v>
      </c>
      <c r="F79" s="425">
        <f>4186+4230*3</f>
        <v>16876</v>
      </c>
      <c r="G79" s="425">
        <f>4186*3+4186*1.05</f>
        <v>16953.3</v>
      </c>
      <c r="H79" s="413"/>
      <c r="I79" s="149">
        <f t="shared" si="5"/>
        <v>1.9082125603864734E-2</v>
      </c>
      <c r="J79" s="271">
        <f t="shared" si="5"/>
        <v>4.5804693055225927E-3</v>
      </c>
      <c r="L79" t="s">
        <v>780</v>
      </c>
      <c r="M79" s="2">
        <f ca="1">IF($M$2="Alimentation",_xll.PALO.SETDATA(G79,FALSE,"localhost/Bati_fin_dev","Reporting","décembre","2011",$A$4,+L79,"NA",+$G$3),_xll.PALO.DATAC("localhost/Bati_fin_dev","Reporting","décembre","2011",$A$4,+L79,"NA",+$G$3))</f>
        <v>16953.3</v>
      </c>
    </row>
    <row r="80" spans="1:13" ht="12.75">
      <c r="A80" s="5" t="s">
        <v>325</v>
      </c>
      <c r="B80" s="92"/>
      <c r="C80" s="160">
        <f>IF(ISNA(VLOOKUP("cha614000000",Balance!C:G,5,FALSE))=TRUE,0,VLOOKUP("cha614000000",Balance!C:G,5,FALSE))</f>
        <v>120</v>
      </c>
      <c r="D80" s="117">
        <f>+[2]Château!$H80</f>
        <v>74.293978486</v>
      </c>
      <c r="E80" s="160">
        <f>IF(ISNA(VLOOKUP("cha614000000",Balanceanp!C:G,5,FALSE))=TRUE,0,VLOOKUP("cha614000000",Balanceanp!C:G,5,FALSE))</f>
        <v>55.46</v>
      </c>
      <c r="F80" s="368">
        <f>+C80+C80/9*(12-Clients!$I$14)</f>
        <v>160</v>
      </c>
      <c r="G80" s="396">
        <f t="shared" si="6"/>
        <v>164.8</v>
      </c>
      <c r="H80" s="409"/>
      <c r="I80" s="149">
        <f t="shared" si="5"/>
        <v>1.8849621348719796</v>
      </c>
      <c r="J80" s="271">
        <f t="shared" si="5"/>
        <v>3.0000000000000072E-2</v>
      </c>
      <c r="L80" t="s">
        <v>759</v>
      </c>
      <c r="M80" s="2">
        <f ca="1">IF($M$2="Alimentation",_xll.PALO.SETDATA(G80,FALSE,"localhost/Bati_fin_dev","Reporting","décembre","2011",$A$4,+L80,"NA",+$G$3),_xll.PALO.DATAC("localhost/Bati_fin_dev","Reporting","décembre","2011",$A$4,+L80,"NA",+$G$3))</f>
        <v>164.8</v>
      </c>
    </row>
    <row r="81" spans="1:13" ht="12.75">
      <c r="A81" s="5" t="s">
        <v>103</v>
      </c>
      <c r="B81" s="92"/>
      <c r="C81" s="160">
        <f>IF(ISNA(VLOOKUP("CHA613510000",Balance!C:G,5,FALSE))=TRUE,0,VLOOKUP("CHA613510000",Balance!C:G,5,FALSE))</f>
        <v>0</v>
      </c>
      <c r="D81" s="117">
        <f>+[2]Château!$H81</f>
        <v>0</v>
      </c>
      <c r="E81" s="160">
        <f>IF(ISNA(VLOOKUP("CHA613510000",Balanceanp!C:G,5,FALSE))=TRUE,0,VLOOKUP("CHA613510000",Balanceanp!C:G,5,FALSE))</f>
        <v>0</v>
      </c>
      <c r="F81" s="368">
        <f>+C81+C81/9*(12-Clients!$I$14)</f>
        <v>0</v>
      </c>
      <c r="G81" s="396">
        <f t="shared" si="6"/>
        <v>0</v>
      </c>
      <c r="H81" s="409"/>
      <c r="I81" s="149">
        <f t="shared" si="5"/>
        <v>0</v>
      </c>
      <c r="J81" s="271">
        <f t="shared" si="5"/>
        <v>0</v>
      </c>
      <c r="L81" t="s">
        <v>777</v>
      </c>
      <c r="M81" s="2">
        <f ca="1">IF($M$2="Alimentation",_xll.PALO.SETDATA(G81,FALSE,"localhost/Bati_fin_dev","Reporting","décembre","2011",$A$4,+L81,"NA",+$G$3),_xll.PALO.DATAC("localhost/Bati_fin_dev","Reporting","décembre","2011",$A$4,+L81,"NA",+$G$3))</f>
        <v>0</v>
      </c>
    </row>
    <row r="82" spans="1:13" ht="12.75">
      <c r="A82" s="5" t="s">
        <v>105</v>
      </c>
      <c r="B82" s="92"/>
      <c r="C82" s="160">
        <f>IF(ISNA(VLOOKUP("CHA613530000",Balance!C:G,5,FALSE))=TRUE,0,VLOOKUP("CHA613530000",Balance!C:G,5,FALSE))</f>
        <v>135</v>
      </c>
      <c r="D82" s="117">
        <f>+[2]Château!$H82</f>
        <v>189.61060427187499</v>
      </c>
      <c r="E82" s="160">
        <f>IF(ISNA(VLOOKUP("CHA613530000",Balanceanp!C:G,5,FALSE))=TRUE,0,VLOOKUP("CHA613530000",Balanceanp!C:G,5,FALSE))</f>
        <v>180</v>
      </c>
      <c r="F82" s="368">
        <f>+C82+C82/9*(12-Clients!$I$14)</f>
        <v>180</v>
      </c>
      <c r="G82" s="396">
        <f t="shared" si="6"/>
        <v>185.4</v>
      </c>
      <c r="H82" s="409"/>
      <c r="I82" s="149">
        <f t="shared" si="5"/>
        <v>0</v>
      </c>
      <c r="J82" s="271">
        <f t="shared" si="5"/>
        <v>3.000000000000003E-2</v>
      </c>
      <c r="L82" t="s">
        <v>778</v>
      </c>
      <c r="M82" s="2">
        <f ca="1">IF($M$2="Alimentation",_xll.PALO.SETDATA(G82,FALSE,"localhost/Bati_fin_dev","Reporting","décembre","2011",$A$4,+L82,"NA",+$G$3),_xll.PALO.DATAC("localhost/Bati_fin_dev","Reporting","décembre","2011",$A$4,+L82,"NA",+$G$3))</f>
        <v>185.4</v>
      </c>
    </row>
    <row r="83" spans="1:13" ht="12.75">
      <c r="A83" s="5" t="s">
        <v>287</v>
      </c>
      <c r="B83" s="92"/>
      <c r="C83" s="160">
        <f>IF(ISNA(VLOOKUP("cha613540000",Balance!C:G,5,FALSE))=TRUE,0,VLOOKUP("cha613540000",Balance!C:G,5,FALSE))</f>
        <v>38</v>
      </c>
      <c r="D83" s="117">
        <f>+[2]Château!$H83</f>
        <v>2.2765145833333338</v>
      </c>
      <c r="E83" s="160">
        <f>IF(ISNA(VLOOKUP("cha613540000",Balanceanp!C:G,5,FALSE))=TRUE,0,VLOOKUP("cha613540000",Balanceanp!C:G,5,FALSE))</f>
        <v>0</v>
      </c>
      <c r="F83" s="368">
        <f>+C83+C83/9*(12-Clients!$I$14)</f>
        <v>50.666666666666671</v>
      </c>
      <c r="G83" s="396">
        <f t="shared" si="6"/>
        <v>52.186666666666675</v>
      </c>
      <c r="H83" s="409"/>
      <c r="I83" s="149">
        <f t="shared" si="5"/>
        <v>0</v>
      </c>
      <c r="J83" s="271">
        <f t="shared" si="5"/>
        <v>3.0000000000000058E-2</v>
      </c>
      <c r="L83" t="s">
        <v>779</v>
      </c>
      <c r="M83" s="2">
        <f ca="1">IF($M$2="Alimentation",_xll.PALO.SETDATA(G83,FALSE,"localhost/Bati_fin_dev","Reporting","décembre","2011",$A$4,+L83,"NA",+$G$3),_xll.PALO.DATAC("localhost/Bati_fin_dev","Reporting","décembre","2011",$A$4,+L83,"NA",+$G$3))</f>
        <v>52.186666666666675</v>
      </c>
    </row>
    <row r="84" spans="1:13" ht="12.75">
      <c r="A84" s="5" t="s">
        <v>108</v>
      </c>
      <c r="B84" s="92"/>
      <c r="C84" s="160">
        <f>IF(ISNA(VLOOKUP("CHA615200000",Balance!C:G,5,FALSE))=TRUE,0,VLOOKUP("CHA615200000",Balance!C:G,5,FALSE))</f>
        <v>1019.55</v>
      </c>
      <c r="D84" s="117">
        <f>+[2]Château!$H84</f>
        <v>1236.980949231099</v>
      </c>
      <c r="E84" s="160">
        <f>IF(ISNA(VLOOKUP("CHA615200000",Balanceanp!C:G,5,FALSE))=TRUE,0,VLOOKUP("CHA615200000",Balanceanp!C:G,5,FALSE))</f>
        <v>1805.91</v>
      </c>
      <c r="F84" s="368">
        <f>+C84+C84/9*(12-Clients!$I$14)</f>
        <v>1359.4</v>
      </c>
      <c r="G84" s="396">
        <f t="shared" si="6"/>
        <v>1400.182</v>
      </c>
      <c r="H84" s="409"/>
      <c r="I84" s="149">
        <f t="shared" si="5"/>
        <v>-0.24724930921252997</v>
      </c>
      <c r="J84" s="271">
        <f t="shared" si="5"/>
        <v>2.9999999999999943E-2</v>
      </c>
      <c r="L84" t="s">
        <v>766</v>
      </c>
      <c r="M84" s="2">
        <f ca="1">IF($M$2="Alimentation",_xll.PALO.SETDATA(G84,FALSE,"localhost/Bati_fin_dev","Reporting","décembre","2011",$A$4,+L84,"NA",+$G$3),_xll.PALO.DATAC("localhost/Bati_fin_dev","Reporting","décembre","2011",$A$4,+L84,"NA",+$G$3))</f>
        <v>1400.182</v>
      </c>
    </row>
    <row r="85" spans="1:13" ht="12.75">
      <c r="A85" s="5" t="s">
        <v>109</v>
      </c>
      <c r="B85" s="92"/>
      <c r="C85" s="160">
        <f>IF(ISNA(VLOOKUP("CHA615500000",Balance!C:G,5,FALSE))=TRUE,0,VLOOKUP("CHA615500000",Balance!C:G,5,FALSE))</f>
        <v>0</v>
      </c>
      <c r="D85" s="117">
        <f>+[2]Château!$H85</f>
        <v>667.06092742625003</v>
      </c>
      <c r="E85" s="160">
        <f>IF(ISNA(VLOOKUP("CHA615500000",Balanceanp!C:G,5,FALSE))=TRUE,0,VLOOKUP("CHA615500000",Balanceanp!C:G,5,FALSE))</f>
        <v>571.58000000000004</v>
      </c>
      <c r="F85" s="368">
        <f>+C85+C85/9*(12-Clients!$I$14)</f>
        <v>0</v>
      </c>
      <c r="G85" s="396">
        <f t="shared" si="6"/>
        <v>0</v>
      </c>
      <c r="H85" s="409"/>
      <c r="I85" s="149">
        <f t="shared" si="5"/>
        <v>-1</v>
      </c>
      <c r="J85" s="271">
        <f t="shared" si="5"/>
        <v>0</v>
      </c>
      <c r="L85" t="s">
        <v>767</v>
      </c>
      <c r="M85" s="2">
        <f ca="1">IF($M$2="Alimentation",_xll.PALO.SETDATA(G85,FALSE,"localhost/Bati_fin_dev","Reporting","décembre","2011",$A$4,+L85,"NA",+$G$3),_xll.PALO.DATAC("localhost/Bati_fin_dev","Reporting","décembre","2011",$A$4,+L85,"NA",+$G$3))</f>
        <v>0</v>
      </c>
    </row>
    <row r="86" spans="1:13" ht="12.75">
      <c r="A86" s="5" t="s">
        <v>106</v>
      </c>
      <c r="B86" s="92"/>
      <c r="C86" s="160">
        <f>IF(ISNA(VLOOKUP("CHA615510000",Balance!C:G,5,FALSE))=TRUE,0,VLOOKUP("CHA615510000",Balance!C:G,5,FALSE))</f>
        <v>358.17</v>
      </c>
      <c r="D86" s="117">
        <f>+[2]Château!$H86</f>
        <v>816.65015176680913</v>
      </c>
      <c r="E86" s="160">
        <f>IF(ISNA(VLOOKUP("CHA615510000",Balanceanp!C:G,5,FALSE))=TRUE,0,VLOOKUP("CHA615510000",Balanceanp!C:G,5,FALSE))</f>
        <v>351.58</v>
      </c>
      <c r="F86" s="368">
        <f>+C86+C86/9*(12-Clients!$I$14)</f>
        <v>477.56</v>
      </c>
      <c r="G86" s="396">
        <f t="shared" si="6"/>
        <v>491.88679999999999</v>
      </c>
      <c r="H86" s="409"/>
      <c r="I86" s="149">
        <f t="shared" si="5"/>
        <v>0.35832527447522616</v>
      </c>
      <c r="J86" s="271">
        <f t="shared" si="5"/>
        <v>2.9999999999999982E-2</v>
      </c>
      <c r="L86" t="s">
        <v>768</v>
      </c>
      <c r="M86" s="2">
        <f ca="1">IF($M$2="Alimentation",_xll.PALO.SETDATA(G86,FALSE,"localhost/Bati_fin_dev","Reporting","décembre","2011",$A$4,+L86,"NA",+$G$3),_xll.PALO.DATAC("localhost/Bati_fin_dev","Reporting","décembre","2011",$A$4,+L86,"NA",+$G$3))</f>
        <v>491.88679999999999</v>
      </c>
    </row>
    <row r="87" spans="1:13" ht="12.75">
      <c r="A87" s="5" t="s">
        <v>363</v>
      </c>
      <c r="B87" s="92"/>
      <c r="C87" s="160">
        <f>IF(ISNA(VLOOKUP("cha615530000",Balance!C:G,5,FALSE))=TRUE,0,VLOOKUP("cha615530000",Balance!C:G,5,FALSE))</f>
        <v>0</v>
      </c>
      <c r="D87" s="117">
        <f>+[2]Château!$H87</f>
        <v>0</v>
      </c>
      <c r="E87" s="160">
        <f>IF(ISNA(VLOOKUP("cha615530000",Balanceanp!C:G,5,FALSE))=TRUE,0,VLOOKUP("cha615530000",Balanceanp!C:G,5,FALSE))</f>
        <v>0</v>
      </c>
      <c r="F87" s="368">
        <f>+C87+C87/9*(12-Clients!$I$14)</f>
        <v>0</v>
      </c>
      <c r="G87" s="396">
        <f t="shared" si="6"/>
        <v>0</v>
      </c>
      <c r="H87" s="409"/>
      <c r="I87" s="149">
        <f t="shared" si="5"/>
        <v>0</v>
      </c>
      <c r="J87" s="271">
        <f t="shared" si="5"/>
        <v>0</v>
      </c>
      <c r="L87" t="s">
        <v>765</v>
      </c>
      <c r="M87" s="2">
        <f ca="1">IF($M$2="Alimentation",_xll.PALO.SETDATA(G87,FALSE,"localhost/Bati_fin_dev","Reporting","décembre","2011",$A$4,+L87,"NA",+$G$3),_xll.PALO.DATAC("localhost/Bati_fin_dev","Reporting","décembre","2011",$A$4,+L87,"NA",+$G$3))</f>
        <v>0</v>
      </c>
    </row>
    <row r="88" spans="1:13" ht="12.75">
      <c r="A88" s="5" t="s">
        <v>111</v>
      </c>
      <c r="B88" s="92"/>
      <c r="C88" s="160">
        <f>IF(ISNA(VLOOKUP("CHA616130000",Balance!C:G,5,FALSE))=TRUE,0,VLOOKUP("CHA616130000",Balance!C:G,5,FALSE))</f>
        <v>1720.08</v>
      </c>
      <c r="D88" s="117">
        <f>+[2]Château!$H88</f>
        <v>2293.4646000000002</v>
      </c>
      <c r="E88" s="160">
        <f>IF(ISNA(VLOOKUP("CHA616130000",Balanceanp!C:G,5,FALSE))=TRUE,0,VLOOKUP("CHA616130000",Balanceanp!C:G,5,FALSE))</f>
        <v>2044.64</v>
      </c>
      <c r="F88" s="368">
        <f>+C88+C88/9*(12-Clients!$I$14)</f>
        <v>2293.44</v>
      </c>
      <c r="G88" s="570">
        <f>+F88*1.05</f>
        <v>2408.1120000000001</v>
      </c>
      <c r="H88" s="413"/>
      <c r="I88" s="149">
        <f t="shared" ref="I88:I101" si="7">+IF((E88)=0,,(F88-E88)/E88)</f>
        <v>0.12168401283355502</v>
      </c>
      <c r="J88" s="271">
        <f t="shared" ref="J88:J101" si="8">+IF((F88)=0,,(G88-F88)/F88)</f>
        <v>5.000000000000001E-2</v>
      </c>
      <c r="L88" t="s">
        <v>758</v>
      </c>
      <c r="M88" s="2">
        <f ca="1">IF($M$2="Alimentation",_xll.PALO.SETDATA(G88,FALSE,"localhost/Bati_fin_dev","Reporting","décembre","2011",$A$4,+L88,"NA",+$G$3),_xll.PALO.DATAC("localhost/Bati_fin_dev","Reporting","décembre","2011",$A$4,+L88,"NA",+$G$3))</f>
        <v>2408.1120000000001</v>
      </c>
    </row>
    <row r="89" spans="1:13" ht="12.75">
      <c r="A89" s="5" t="s">
        <v>315</v>
      </c>
      <c r="B89" s="92"/>
      <c r="C89" s="160"/>
      <c r="D89" s="117">
        <f>+[2]Château!$H89</f>
        <v>0</v>
      </c>
      <c r="E89" s="160"/>
      <c r="F89" s="368">
        <f>+C89+C89/9*(12-Clients!$I$14)</f>
        <v>0</v>
      </c>
      <c r="G89" s="396">
        <f t="shared" si="6"/>
        <v>0</v>
      </c>
      <c r="H89" s="409"/>
      <c r="I89" s="149">
        <f t="shared" si="7"/>
        <v>0</v>
      </c>
      <c r="J89" s="271">
        <f t="shared" si="8"/>
        <v>0</v>
      </c>
      <c r="L89" t="s">
        <v>757</v>
      </c>
      <c r="M89" s="2">
        <f ca="1">IF($M$2="Alimentation",_xll.PALO.SETDATA(G89,FALSE,"localhost/Bati_fin_dev","Reporting","décembre","2011",$A$4,+L89,"NA",+$G$3),_xll.PALO.DATAC("localhost/Bati_fin_dev","Reporting","décembre","2011",$A$4,+L89,"NA",+$G$3))</f>
        <v>0</v>
      </c>
    </row>
    <row r="90" spans="1:13" ht="12.75">
      <c r="A90" s="5" t="s">
        <v>112</v>
      </c>
      <c r="B90" s="92"/>
      <c r="C90" s="160">
        <f>IF(ISNA(VLOOKUP("CHA618100000",Balance!C:G,5,FALSE))=TRUE,0,VLOOKUP("CHA618100000",Balance!C:G,5,FALSE))</f>
        <v>263.91000000000003</v>
      </c>
      <c r="D90" s="117">
        <f>+[2]Château!$H90</f>
        <v>427.23899364669694</v>
      </c>
      <c r="E90" s="160">
        <f>IF(ISNA(VLOOKUP("CHA618100000",Balanceanp!C:G,5,FALSE))=TRUE,0,VLOOKUP("CHA618100000",Balanceanp!C:G,5,FALSE))</f>
        <v>325.55</v>
      </c>
      <c r="F90" s="368">
        <f>+C90+C90/9*(12-Clients!$I$14)</f>
        <v>351.88000000000005</v>
      </c>
      <c r="G90" s="396">
        <f t="shared" si="6"/>
        <v>362.43640000000005</v>
      </c>
      <c r="H90" s="409"/>
      <c r="I90" s="149">
        <f t="shared" si="7"/>
        <v>8.0878513285209772E-2</v>
      </c>
      <c r="J90" s="271">
        <f t="shared" si="8"/>
        <v>2.9999999999999985E-2</v>
      </c>
      <c r="L90" t="s">
        <v>763</v>
      </c>
      <c r="M90" s="2">
        <f ca="1">IF($M$2="Alimentation",_xll.PALO.SETDATA(G90,FALSE,"localhost/Bati_fin_dev","Reporting","décembre","2011",$A$4,+L90,"NA",+$G$3),_xll.PALO.DATAC("localhost/Bati_fin_dev","Reporting","décembre","2011",$A$4,+L90,"NA",+$G$3))</f>
        <v>362.43640000000005</v>
      </c>
    </row>
    <row r="91" spans="1:13" ht="12.75">
      <c r="A91" s="5" t="s">
        <v>113</v>
      </c>
      <c r="B91" s="92"/>
      <c r="C91" s="160">
        <f>IF(ISNA(VLOOKUP("CHA618500000",Balance!C:G,5,FALSE))=TRUE,0,VLOOKUP("CHA618500000",Balance!C:G,5,FALSE))</f>
        <v>67.3</v>
      </c>
      <c r="D91" s="117">
        <f>+[2]Château!$H91</f>
        <v>496.07858149395838</v>
      </c>
      <c r="E91" s="160">
        <f>IF(ISNA(VLOOKUP("CHA618500000",Balanceanp!C:G,5,FALSE))=TRUE,0,VLOOKUP("CHA618500000",Balanceanp!C:G,5,FALSE))</f>
        <v>404.22</v>
      </c>
      <c r="F91" s="368">
        <f>+C91+C91/9*(12-Clients!$I$14)</f>
        <v>89.733333333333334</v>
      </c>
      <c r="G91" s="396">
        <f t="shared" si="6"/>
        <v>92.425333333333342</v>
      </c>
      <c r="H91" s="409"/>
      <c r="I91" s="149">
        <f t="shared" si="7"/>
        <v>-0.77800867514389849</v>
      </c>
      <c r="J91" s="271">
        <f t="shared" si="8"/>
        <v>3.0000000000000082E-2</v>
      </c>
      <c r="L91" t="s">
        <v>775</v>
      </c>
      <c r="M91" s="2">
        <f ca="1">IF($M$2="Alimentation",_xll.PALO.SETDATA(G91,FALSE,"localhost/Bati_fin_dev","Reporting","décembre","2011",$A$4,+L91,"NA",+$G$3),_xll.PALO.DATAC("localhost/Bati_fin_dev","Reporting","décembre","2011",$A$4,+L91,"NA",+$G$3))</f>
        <v>92.425333333333342</v>
      </c>
    </row>
    <row r="92" spans="1:13" ht="12.75">
      <c r="A92" s="5" t="s">
        <v>309</v>
      </c>
      <c r="B92" s="92"/>
      <c r="C92" s="160">
        <f>IF(ISNA(VLOOKUP("CHA622200000",Balance!C:G,5,FALSE))=TRUE,0,VLOOKUP("CHA622200000",Balance!C:G,5,FALSE))</f>
        <v>0</v>
      </c>
      <c r="D92" s="117">
        <f>+[2]Château!$H92</f>
        <v>0</v>
      </c>
      <c r="E92" s="160">
        <f>IF(ISNA(VLOOKUP("CHA622200000",Balanceanp!C:G,5,FALSE))=TRUE,0,VLOOKUP("CHA622200000",Balanceanp!C:G,5,FALSE))</f>
        <v>0</v>
      </c>
      <c r="F92" s="368">
        <f>+C92+C92/9*(12-Clients!$I$14)</f>
        <v>0</v>
      </c>
      <c r="G92" s="396">
        <f t="shared" si="6"/>
        <v>0</v>
      </c>
      <c r="H92" s="409"/>
      <c r="I92" s="149">
        <f t="shared" si="7"/>
        <v>0</v>
      </c>
      <c r="J92" s="271">
        <f t="shared" si="8"/>
        <v>0</v>
      </c>
      <c r="L92" t="s">
        <v>762</v>
      </c>
      <c r="M92" s="2">
        <f ca="1">IF($M$2="Alimentation",_xll.PALO.SETDATA(G92,FALSE,"localhost/Bati_fin_dev","Reporting","décembre","2011",$A$4,+L92,"NA",+$G$3),_xll.PALO.DATAC("localhost/Bati_fin_dev","Reporting","décembre","2011",$A$4,+L92,"NA",+$G$3))</f>
        <v>0</v>
      </c>
    </row>
    <row r="93" spans="1:13" ht="12.75">
      <c r="A93" s="5" t="s">
        <v>115</v>
      </c>
      <c r="B93" s="92"/>
      <c r="C93" s="160">
        <f>IF(ISNA(VLOOKUP("CHA622600000",Balance!C:G,5,FALSE))=TRUE,0,VLOOKUP("CHA622600000",Balance!C:G,5,FALSE))</f>
        <v>0</v>
      </c>
      <c r="D93" s="117">
        <f>+[2]Château!$H93</f>
        <v>173.47170250520833</v>
      </c>
      <c r="E93" s="160">
        <f>IF(ISNA(VLOOKUP("CHA622600000",Balanceanp!C:G,5,FALSE))=TRUE,0,VLOOKUP("CHA622600000",Balanceanp!C:G,5,FALSE))</f>
        <v>167.85</v>
      </c>
      <c r="F93" s="368">
        <f>+C93+C93/9*(12-Clients!$I$14)</f>
        <v>0</v>
      </c>
      <c r="G93" s="396">
        <f t="shared" si="6"/>
        <v>0</v>
      </c>
      <c r="H93" s="409"/>
      <c r="I93" s="149">
        <f t="shared" si="7"/>
        <v>-1</v>
      </c>
      <c r="J93" s="271">
        <f t="shared" si="8"/>
        <v>0</v>
      </c>
      <c r="L93" t="s">
        <v>776</v>
      </c>
      <c r="M93" s="2">
        <f ca="1">IF($M$2="Alimentation",_xll.PALO.SETDATA(G93,FALSE,"localhost/Bati_fin_dev","Reporting","décembre","2011",$A$4,+L93,"NA",+$G$3),_xll.PALO.DATAC("localhost/Bati_fin_dev","Reporting","décembre","2011",$A$4,+L93,"NA",+$G$3))</f>
        <v>0</v>
      </c>
    </row>
    <row r="94" spans="1:13" ht="12.75">
      <c r="A94" s="5" t="s">
        <v>42</v>
      </c>
      <c r="B94" s="92"/>
      <c r="C94" s="160">
        <f>IF(ISNA(VLOOKUP("CHA622710000",Balance!C:G,5,FALSE))=TRUE,0,VLOOKUP("CHA622710000",Balance!C:G,5,FALSE))</f>
        <v>0</v>
      </c>
      <c r="D94" s="117">
        <f>+[2]Château!$H94</f>
        <v>0</v>
      </c>
      <c r="E94" s="160">
        <f>IF(ISNA(VLOOKUP("CHA622710000",Balanceanp!C:G,5,FALSE))=TRUE,0,VLOOKUP("CHA622710000",Balanceanp!C:G,5,FALSE))</f>
        <v>0</v>
      </c>
      <c r="F94" s="368">
        <f>+C94+C94/9*(12-Clients!$I$14)</f>
        <v>0</v>
      </c>
      <c r="G94" s="396">
        <f t="shared" si="6"/>
        <v>0</v>
      </c>
      <c r="H94" s="409"/>
      <c r="I94" s="149">
        <f t="shared" si="7"/>
        <v>0</v>
      </c>
      <c r="J94" s="271">
        <f t="shared" si="8"/>
        <v>0</v>
      </c>
      <c r="L94" t="s">
        <v>770</v>
      </c>
      <c r="M94" s="2">
        <f ca="1">IF($M$2="Alimentation",_xll.PALO.SETDATA(G94,FALSE,"localhost/Bati_fin_dev","Reporting","décembre","2011",$A$4,+L94,"NA",+$G$3),_xll.PALO.DATAC("localhost/Bati_fin_dev","Reporting","décembre","2011",$A$4,+L94,"NA",+$G$3))</f>
        <v>0</v>
      </c>
    </row>
    <row r="95" spans="1:13" ht="12.75">
      <c r="A95" s="5" t="s">
        <v>117</v>
      </c>
      <c r="B95" s="92">
        <f>+C95/$C$21</f>
        <v>9.5133234469201734E-3</v>
      </c>
      <c r="C95" s="160">
        <f>IF(ISNA(VLOOKUP("CHA624200000",Balance!C:G,5,FALSE))=TRUE,0,VLOOKUP("CHA624200000",Balance!C:G,5,FALSE))</f>
        <v>3381.39</v>
      </c>
      <c r="D95" s="117">
        <f>+[2]Château!$H95</f>
        <v>5169.5408059374995</v>
      </c>
      <c r="E95" s="160">
        <f>IF(ISNA(VLOOKUP("CHA624200000",Balanceanp!C:G,5,FALSE))=TRUE,0,VLOOKUP("CHA624200000",Balanceanp!C:G,5,FALSE))</f>
        <v>5019.1499999999996</v>
      </c>
      <c r="F95" s="368">
        <f>+C95+C95/9*(12-Clients!$I$14)</f>
        <v>4508.5199999999995</v>
      </c>
      <c r="G95" s="396">
        <f t="shared" si="6"/>
        <v>4643.7755999999999</v>
      </c>
      <c r="H95" s="420">
        <f>+G95/$G$21</f>
        <v>9.3718982845610501E-3</v>
      </c>
      <c r="I95" s="149">
        <f t="shared" si="7"/>
        <v>-0.10173634978034132</v>
      </c>
      <c r="J95" s="271">
        <f t="shared" si="8"/>
        <v>3.0000000000000096E-2</v>
      </c>
      <c r="L95" t="s">
        <v>785</v>
      </c>
      <c r="M95" s="2">
        <f ca="1">IF($M$2="Alimentation",_xll.PALO.SETDATA(G95,FALSE,"localhost/Bati_fin_dev","Reporting","décembre","2011",$A$4,+L95,"NA",+$G$3),_xll.PALO.DATAC("localhost/Bati_fin_dev","Reporting","décembre","2011",$A$4,+L95,"NA",+$G$3))</f>
        <v>4643.7755999999999</v>
      </c>
    </row>
    <row r="96" spans="1:13" ht="12.75">
      <c r="A96" s="5" t="s">
        <v>118</v>
      </c>
      <c r="B96" s="92"/>
      <c r="C96" s="160">
        <f>IF(ISNA(VLOOKUP("CHA625100000",Balance!C:G,5,FALSE))=TRUE,0,VLOOKUP("CHA625100000",Balance!C:G,5,FALSE))</f>
        <v>2652.61</v>
      </c>
      <c r="D96" s="117">
        <f>+[2]Château!$H96</f>
        <v>4500</v>
      </c>
      <c r="E96" s="160">
        <f>IF(ISNA(VLOOKUP("CHA625100000",Balanceanp!C:G,5,FALSE))=TRUE,0,VLOOKUP("CHA625100000",Balanceanp!C:G,5,FALSE))</f>
        <v>5047.0200000000004</v>
      </c>
      <c r="F96" s="368">
        <f>+C96+C96/9*(12-Clients!$I$14)</f>
        <v>3536.8133333333335</v>
      </c>
      <c r="G96" s="570">
        <v>4500</v>
      </c>
      <c r="H96" s="401"/>
      <c r="I96" s="149">
        <f t="shared" si="7"/>
        <v>-0.29922739887431926</v>
      </c>
      <c r="J96" s="271">
        <f t="shared" si="8"/>
        <v>0.27233177888947108</v>
      </c>
      <c r="L96" t="s">
        <v>772</v>
      </c>
      <c r="M96" s="2">
        <f ca="1">IF($M$2="Alimentation",_xll.PALO.SETDATA(G96,FALSE,"localhost/Bati_fin_dev","Reporting","décembre","2011",$A$4,+L96,"NA",+$G$3),_xll.PALO.DATAC("localhost/Bati_fin_dev","Reporting","décembre","2011",$A$4,+L96,"NA",+$G$3))</f>
        <v>4500</v>
      </c>
    </row>
    <row r="97" spans="1:13" ht="12.75">
      <c r="A97" s="5" t="s">
        <v>7</v>
      </c>
      <c r="B97" s="92"/>
      <c r="C97" s="160">
        <f>IF(ISNA(VLOOKUP("CHA625200000",Balance!C:G,5,FALSE))=TRUE,0,VLOOKUP("CHA625200000",Balance!C:G,5,FALSE))</f>
        <v>259.83</v>
      </c>
      <c r="D97" s="117">
        <f>+[2]Château!$H97</f>
        <v>0</v>
      </c>
      <c r="E97" s="160">
        <f>IF(ISNA(VLOOKUP("CHA625200000",Balanceanp!C:G,5,FALSE))=TRUE,0,VLOOKUP("CHA625200000",Balanceanp!C:G,5,FALSE))</f>
        <v>297.27</v>
      </c>
      <c r="F97" s="368">
        <f>+C97+C97/9*(12-Clients!$I$14)</f>
        <v>346.43999999999994</v>
      </c>
      <c r="G97" s="570">
        <v>200</v>
      </c>
      <c r="H97" s="401"/>
      <c r="I97" s="149">
        <f t="shared" si="7"/>
        <v>0.16540518720355221</v>
      </c>
      <c r="J97" s="271">
        <f t="shared" si="8"/>
        <v>-0.42269945733748981</v>
      </c>
      <c r="L97" t="s">
        <v>773</v>
      </c>
      <c r="M97" s="2">
        <f ca="1">IF($M$2="Alimentation",_xll.PALO.SETDATA(G97,FALSE,"localhost/Bati_fin_dev","Reporting","décembre","2011",$A$4,+L97,"NA",+$G$3),_xll.PALO.DATAC("localhost/Bati_fin_dev","Reporting","décembre","2011",$A$4,+L97,"NA",+$G$3))</f>
        <v>200</v>
      </c>
    </row>
    <row r="98" spans="1:13" ht="12.75">
      <c r="A98" s="5" t="s">
        <v>307</v>
      </c>
      <c r="B98" s="92"/>
      <c r="C98" s="160">
        <f>IF(ISNA(VLOOKUP("CHA625510000",Balance!C:G,5,FALSE))=TRUE,0,VLOOKUP("CHA625510000",Balance!C:G,5,FALSE))</f>
        <v>0</v>
      </c>
      <c r="D98" s="117">
        <f>+[2]Château!$H98</f>
        <v>0</v>
      </c>
      <c r="E98" s="160">
        <f>IF(ISNA(VLOOKUP("CHA625510000",Balanceanp!C:G,5,FALSE))=TRUE,0,VLOOKUP("CHA625510000",Balanceanp!C:G,5,FALSE))</f>
        <v>0</v>
      </c>
      <c r="F98" s="368">
        <f>+C98+C98/9*(12-Clients!$I$14)</f>
        <v>0</v>
      </c>
      <c r="G98" s="396">
        <f t="shared" si="6"/>
        <v>0</v>
      </c>
      <c r="H98" s="409"/>
      <c r="I98" s="149">
        <f t="shared" si="7"/>
        <v>0</v>
      </c>
      <c r="J98" s="271">
        <f t="shared" si="8"/>
        <v>0</v>
      </c>
      <c r="L98" t="s">
        <v>771</v>
      </c>
      <c r="M98" s="2">
        <f ca="1">IF($M$2="Alimentation",_xll.PALO.SETDATA(G98,FALSE,"localhost/Bati_fin_dev","Reporting","décembre","2011",$A$4,+L98,"NA",+$G$3),_xll.PALO.DATAC("localhost/Bati_fin_dev","Reporting","décembre","2011",$A$4,+L98,"NA",+$G$3))</f>
        <v>0</v>
      </c>
    </row>
    <row r="99" spans="1:13" ht="12.75">
      <c r="A99" s="5" t="s">
        <v>119</v>
      </c>
      <c r="B99" s="92"/>
      <c r="C99" s="160">
        <f>IF(ISNA(VLOOKUP("CHA626000000",Balance!C:G,5,FALSE))=TRUE,0,VLOOKUP("CHA626000000",Balance!C:G,5,FALSE))</f>
        <v>3043.08</v>
      </c>
      <c r="D99" s="117">
        <f>+[2]Château!$H99</f>
        <v>4247.260395440866</v>
      </c>
      <c r="E99" s="160">
        <f>IF(ISNA(VLOOKUP("CHA626000000",Balanceanp!C:G,5,FALSE))=TRUE,0,VLOOKUP("CHA626000000",Balanceanp!C:G,5,FALSE))</f>
        <v>4082.66</v>
      </c>
      <c r="F99" s="368">
        <f>+C99+C99/9*(12-Clients!$I$14)</f>
        <v>4057.44</v>
      </c>
      <c r="G99" s="396">
        <f>+F99</f>
        <v>4057.44</v>
      </c>
      <c r="H99" s="409"/>
      <c r="I99" s="149">
        <f t="shared" si="7"/>
        <v>-6.1773451622226198E-3</v>
      </c>
      <c r="J99" s="271">
        <f t="shared" si="8"/>
        <v>0</v>
      </c>
      <c r="L99" t="s">
        <v>784</v>
      </c>
      <c r="M99" s="2">
        <f ca="1">IF($M$2="Alimentation",_xll.PALO.SETDATA(G99,FALSE,"localhost/Bati_fin_dev","Reporting","décembre","2011",$A$4,+L99,"NA",+$G$3),_xll.PALO.DATAC("localhost/Bati_fin_dev","Reporting","décembre","2011",$A$4,+L99,"NA",+$G$3))</f>
        <v>4057.44</v>
      </c>
    </row>
    <row r="100" spans="1:13" ht="12.75">
      <c r="A100" s="5" t="s">
        <v>120</v>
      </c>
      <c r="B100" s="92"/>
      <c r="C100" s="160">
        <f>IF(ISNA(VLOOKUP("CHA626100000",Balance!C:G,5,FALSE))=TRUE,0,VLOOKUP("CHA626100000",Balance!C:G,5,FALSE))</f>
        <v>686.38</v>
      </c>
      <c r="D100" s="117">
        <f>+[2]Château!$H100</f>
        <v>1184.5362995282651</v>
      </c>
      <c r="E100" s="160">
        <f>IF(ISNA(VLOOKUP("CHA626100000",Balanceanp!C:G,5,FALSE))=TRUE,0,VLOOKUP("CHA626100000",Balanceanp!C:G,5,FALSE))</f>
        <v>1168.1199999999999</v>
      </c>
      <c r="F100" s="368">
        <f>+C100+C100/9*(12-Clients!$I$14)</f>
        <v>915.1733333333334</v>
      </c>
      <c r="G100" s="396">
        <f t="shared" si="6"/>
        <v>942.62853333333339</v>
      </c>
      <c r="H100" s="409"/>
      <c r="I100" s="149">
        <f t="shared" si="7"/>
        <v>-0.216541679507813</v>
      </c>
      <c r="J100" s="271">
        <f t="shared" si="8"/>
        <v>2.9999999999999988E-2</v>
      </c>
      <c r="L100" t="s">
        <v>756</v>
      </c>
      <c r="M100" s="2">
        <f ca="1">IF($M$2="Alimentation",_xll.PALO.SETDATA(G100,FALSE,"localhost/Bati_fin_dev","Reporting","décembre","2011",$A$4,+L100,"NA",+$G$3),_xll.PALO.DATAC("localhost/Bati_fin_dev","Reporting","décembre","2011",$A$4,+L100,"NA",+$G$3))</f>
        <v>942.62853333333339</v>
      </c>
    </row>
    <row r="101" spans="1:13" ht="12.75">
      <c r="A101" s="5" t="s">
        <v>121</v>
      </c>
      <c r="B101" s="92"/>
      <c r="C101" s="160">
        <f>IF(ISNA(VLOOKUP("CHA628400000",Balance!C:G,5,FALSE))=TRUE,0,VLOOKUP("CHA628400000",Balance!C:G,5,FALSE))</f>
        <v>0</v>
      </c>
      <c r="D101" s="117">
        <f>+[2]Château!$H101</f>
        <v>0</v>
      </c>
      <c r="E101" s="160">
        <f>IF(ISNA(VLOOKUP("CHA628400000",Balanceanp!C:G,5,FALSE))=TRUE,0,VLOOKUP("CHA628400000",Balanceanp!C:G,5,FALSE))</f>
        <v>0</v>
      </c>
      <c r="F101" s="368">
        <f>+C101+C101/9*(12-Clients!$I$14)</f>
        <v>0</v>
      </c>
      <c r="G101" s="396">
        <f t="shared" si="6"/>
        <v>0</v>
      </c>
      <c r="H101" s="409"/>
      <c r="I101" s="149">
        <f t="shared" si="7"/>
        <v>0</v>
      </c>
      <c r="J101" s="271">
        <f t="shared" si="8"/>
        <v>0</v>
      </c>
      <c r="L101" t="s">
        <v>774</v>
      </c>
      <c r="M101" s="2">
        <f ca="1">IF($M$2="Alimentation",_xll.PALO.SETDATA(G101,FALSE,"localhost/Bati_fin_dev","Reporting","décembre","2011",$A$4,+L101,"NA",+$G$3),_xll.PALO.DATAC("localhost/Bati_fin_dev","Reporting","décembre","2011",$A$4,+L101,"NA",+$G$3))</f>
        <v>0</v>
      </c>
    </row>
    <row r="102" spans="1:13" ht="12.75">
      <c r="A102" s="5"/>
      <c r="B102" s="92"/>
      <c r="C102" s="160"/>
      <c r="D102" s="115"/>
      <c r="E102" s="160"/>
      <c r="F102" s="143"/>
      <c r="G102" s="143"/>
      <c r="H102" s="411"/>
      <c r="I102" s="149"/>
      <c r="J102" s="254"/>
      <c r="L102" t="s">
        <v>867</v>
      </c>
      <c r="M102" s="2" t="e">
        <f ca="1">IF($M$2="Alimentation",_xll.PALO.SETDATA(G102,FALSE,"localhost/Bati_fin_dev","Reporting","décembre","2011",$A$4,+L102,"NA",+$G$3),_xll.PALO.DATAC("localhost/Bati_fin_dev","Reporting","décembre","2011",$A$4,+L102,"NA",+$G$3))</f>
        <v>#VALUE!</v>
      </c>
    </row>
    <row r="103" spans="1:13" s="33" customFormat="1" ht="15" customHeight="1">
      <c r="A103" s="13" t="s">
        <v>122</v>
      </c>
      <c r="B103" s="93">
        <f>+C103/$C$21</f>
        <v>9.8770894332136761E-2</v>
      </c>
      <c r="C103" s="163">
        <f>SUM(C70:C102)</f>
        <v>35106.859999999993</v>
      </c>
      <c r="D103" s="118">
        <f>SUM(D70:D102)</f>
        <v>51783.577208575764</v>
      </c>
      <c r="E103" s="163">
        <f>SUM(E70:E102)</f>
        <v>53855.15</v>
      </c>
      <c r="F103" s="136">
        <f>SUM(F70:F102)</f>
        <v>46969.039999999994</v>
      </c>
      <c r="G103" s="136">
        <f>SUM(G70:G102)</f>
        <v>47990.275733333336</v>
      </c>
      <c r="H103" s="421">
        <f>+G103/$G$21</f>
        <v>9.6852221459804919E-2</v>
      </c>
      <c r="I103" s="272">
        <f>+IF((E103)=0,,(F103-E103)/E103)</f>
        <v>-0.12786353765610173</v>
      </c>
      <c r="J103" s="188">
        <f>+IF((F103)=0,,(G103-F103)/F103)</f>
        <v>2.174274231138942E-2</v>
      </c>
      <c r="L103" t="s">
        <v>867</v>
      </c>
      <c r="M103" s="2" t="e">
        <f ca="1">IF($M$2="Alimentation",_xll.PALO.SETDATA(G103,FALSE,"localhost/Bati_fin_dev","Reporting","décembre","2011",$A$4,+L103,"NA",+$G$3),_xll.PALO.DATAC("localhost/Bati_fin_dev","Reporting","décembre","2011",$A$4,+L103,"NA",+$G$3))</f>
        <v>#VALUE!</v>
      </c>
    </row>
    <row r="104" spans="1:13" ht="12.75">
      <c r="A104" s="5"/>
      <c r="B104" s="92"/>
      <c r="C104" s="160"/>
      <c r="D104" s="115"/>
      <c r="E104" s="160"/>
      <c r="F104" s="143"/>
      <c r="G104" s="143"/>
      <c r="H104" s="411"/>
      <c r="I104" s="149"/>
      <c r="J104" s="254"/>
      <c r="L104" t="s">
        <v>867</v>
      </c>
      <c r="M104" s="2" t="e">
        <f ca="1">IF($M$2="Alimentation",_xll.PALO.SETDATA(G104,FALSE,"localhost/Bati_fin_dev","Reporting","décembre","2011",$A$4,+L104,"NA",+$G$3),_xll.PALO.DATAC("localhost/Bati_fin_dev","Reporting","décembre","2011",$A$4,+L104,"NA",+$G$3))</f>
        <v>#VALUE!</v>
      </c>
    </row>
    <row r="105" spans="1:13" ht="12.75">
      <c r="A105" s="5" t="s">
        <v>129</v>
      </c>
      <c r="B105" s="92"/>
      <c r="C105" s="160">
        <f>IF(ISNA(VLOOKUP("CHA623100000",Balance!C:G,5,FALSE))=TRUE,0,VLOOKUP("CHA623100000",Balance!C:G,5,FALSE))</f>
        <v>0</v>
      </c>
      <c r="D105" s="117">
        <f>+[2]Château!$H105</f>
        <v>1000</v>
      </c>
      <c r="E105" s="160">
        <f>IF(ISNA(VLOOKUP("CHA623100000",Balanceanp!C:G,5,FALSE))=TRUE,0,VLOOKUP("CHA623100000",Balanceanp!C:G,5,FALSE))</f>
        <v>774.3</v>
      </c>
      <c r="F105" s="368">
        <f>+C105+C105/9*(12-Clients!$I$14)</f>
        <v>0</v>
      </c>
      <c r="G105" s="570">
        <v>1000</v>
      </c>
      <c r="H105" s="401"/>
      <c r="I105" s="149">
        <f t="shared" ref="I105:J114" si="9">+IF((E105)=0,,(F105-E105)/E105)</f>
        <v>-1</v>
      </c>
      <c r="J105" s="271">
        <f t="shared" si="9"/>
        <v>0</v>
      </c>
      <c r="L105" t="s">
        <v>853</v>
      </c>
      <c r="M105" s="2">
        <f ca="1">IF($M$2="Alimentation",_xll.PALO.SETDATA(G105,FALSE,"localhost/Bati_fin_dev","Reporting","décembre","2011",$A$4,+L105,"NA",+$G$3),_xll.PALO.DATAC("localhost/Bati_fin_dev","Reporting","décembre","2011",$A$4,+L105,"NA",+$G$3))</f>
        <v>1000</v>
      </c>
    </row>
    <row r="106" spans="1:13" ht="12.75">
      <c r="A106" s="5" t="s">
        <v>130</v>
      </c>
      <c r="B106" s="92"/>
      <c r="C106" s="160">
        <f>IF(ISNA(VLOOKUP("CHA623200000",Balance!C:G,5,FALSE))=TRUE,0,VLOOKUP("CHA623200000",Balance!C:G,5,FALSE))</f>
        <v>1780.46</v>
      </c>
      <c r="D106" s="117">
        <f>+[2]Château!$H106</f>
        <v>1500</v>
      </c>
      <c r="E106" s="160">
        <f>IF(ISNA(VLOOKUP("CHA623200000",Balanceanp!C:G,5,FALSE))=TRUE,0,VLOOKUP("CHA623200000",Balanceanp!C:G,5,FALSE))</f>
        <v>3397.83</v>
      </c>
      <c r="F106" s="368">
        <f>+C106+C106/9*(12-Clients!$I$14)</f>
        <v>2373.9466666666667</v>
      </c>
      <c r="G106" s="570">
        <v>2500</v>
      </c>
      <c r="H106" s="401"/>
      <c r="I106" s="149">
        <f t="shared" si="9"/>
        <v>-0.30133447916268125</v>
      </c>
      <c r="J106" s="271">
        <f t="shared" si="9"/>
        <v>5.3098637430776294E-2</v>
      </c>
      <c r="L106" t="s">
        <v>855</v>
      </c>
      <c r="M106" s="2">
        <f ca="1">IF($M$2="Alimentation",_xll.PALO.SETDATA(G106,FALSE,"localhost/Bati_fin_dev","Reporting","décembre","2011",$A$4,+L106,"NA",+$G$3),_xll.PALO.DATAC("localhost/Bati_fin_dev","Reporting","décembre","2011",$A$4,+L106,"NA",+$G$3))</f>
        <v>2500</v>
      </c>
    </row>
    <row r="107" spans="1:13" ht="12.75">
      <c r="A107" s="5" t="s">
        <v>131</v>
      </c>
      <c r="B107" s="92"/>
      <c r="C107" s="160">
        <f>IF(ISNA(VLOOKUP("CHA629000000",Balance!C:G,5,FALSE))=TRUE,0,VLOOKUP("CHA629000000",Balance!C:G,5,FALSE))</f>
        <v>0</v>
      </c>
      <c r="D107" s="117">
        <f>+[2]Château!$H107</f>
        <v>0</v>
      </c>
      <c r="E107" s="160">
        <f>IF(ISNA(VLOOKUP("CHA629000000",Balanceanp!C:G,5,FALSE))=TRUE,0,VLOOKUP("CHA629000000",Balanceanp!C:G,5,FALSE))</f>
        <v>0</v>
      </c>
      <c r="F107" s="368">
        <f>+C107+C107/9*(12-Clients!$I$14)</f>
        <v>0</v>
      </c>
      <c r="G107" s="570">
        <f>+F107*1.03</f>
        <v>0</v>
      </c>
      <c r="H107" s="401"/>
      <c r="I107" s="149">
        <f t="shared" si="9"/>
        <v>0</v>
      </c>
      <c r="J107" s="271">
        <f t="shared" si="9"/>
        <v>0</v>
      </c>
      <c r="L107" t="s">
        <v>852</v>
      </c>
      <c r="M107" s="2">
        <f ca="1">IF($M$2="Alimentation",_xll.PALO.SETDATA(G107,FALSE,"localhost/Bati_fin_dev","Reporting","décembre","2011",$A$4,+L107,"NA",+$G$3),_xll.PALO.DATAC("localhost/Bati_fin_dev","Reporting","décembre","2011",$A$4,+L107,"NA",+$G$3))</f>
        <v>0</v>
      </c>
    </row>
    <row r="108" spans="1:13" ht="12.75">
      <c r="A108" s="5" t="s">
        <v>132</v>
      </c>
      <c r="B108" s="92"/>
      <c r="C108" s="160">
        <f>IF(ISNA(VLOOKUP("CHA623300000",Balance!C:G,5,FALSE))=TRUE,0,VLOOKUP("CHA623300000",Balance!C:G,5,FALSE))</f>
        <v>628.49</v>
      </c>
      <c r="D108" s="117">
        <f>+[2]Château!$H108</f>
        <v>0</v>
      </c>
      <c r="E108" s="160">
        <f>IF(ISNA(VLOOKUP("CHA623300000",Balanceanp!C:G,5,FALSE))=TRUE,0,VLOOKUP("CHA623300000",Balanceanp!C:G,5,FALSE))</f>
        <v>0</v>
      </c>
      <c r="F108" s="368">
        <f>+C108+C108/9*(12-Clients!$I$14)</f>
        <v>837.98666666666668</v>
      </c>
      <c r="G108" s="570">
        <v>150</v>
      </c>
      <c r="H108" s="401"/>
      <c r="I108" s="149">
        <f t="shared" si="9"/>
        <v>0</v>
      </c>
      <c r="J108" s="271">
        <f t="shared" si="9"/>
        <v>-0.82099953857658836</v>
      </c>
      <c r="L108" t="s">
        <v>857</v>
      </c>
      <c r="M108" s="2">
        <f ca="1">IF($M$2="Alimentation",_xll.PALO.SETDATA(G108,FALSE,"localhost/Bati_fin_dev","Reporting","décembre","2011",$A$4,+L108,"NA",+$G$3),_xll.PALO.DATAC("localhost/Bati_fin_dev","Reporting","décembre","2011",$A$4,+L108,"NA",+$G$3))</f>
        <v>150</v>
      </c>
    </row>
    <row r="109" spans="1:13" ht="12.75">
      <c r="A109" s="5" t="s">
        <v>133</v>
      </c>
      <c r="B109" s="92"/>
      <c r="C109" s="160">
        <f>IF(ISNA(VLOOKUP("CHA623700000",Balance!C:G,5,FALSE))=TRUE,0,VLOOKUP("CHA623700000",Balance!C:G,5,FALSE))</f>
        <v>1588.0300000000002</v>
      </c>
      <c r="D109" s="117">
        <f>+[2]Château!$H109</f>
        <v>4200</v>
      </c>
      <c r="E109" s="160">
        <f>IF(ISNA(VLOOKUP("CHA623700000",Balanceanp!C:G,5,FALSE))=TRUE,0,VLOOKUP("CHA623700000",Balanceanp!C:G,5,FALSE))</f>
        <v>1069.8700000000001</v>
      </c>
      <c r="F109" s="368">
        <f>+C109+C109/9*(12-Clients!$I$14)</f>
        <v>2117.3733333333334</v>
      </c>
      <c r="G109" s="570">
        <v>2500</v>
      </c>
      <c r="H109" s="401"/>
      <c r="I109" s="149">
        <f t="shared" si="9"/>
        <v>0.97909403323145172</v>
      </c>
      <c r="J109" s="271">
        <f t="shared" si="9"/>
        <v>0.18070817301940134</v>
      </c>
      <c r="L109" t="s">
        <v>859</v>
      </c>
      <c r="M109" s="2">
        <f ca="1">IF($M$2="Alimentation",_xll.PALO.SETDATA(G109,FALSE,"localhost/Bati_fin_dev","Reporting","décembre","2011",$A$4,+L109,"NA",+$G$3),_xll.PALO.DATAC("localhost/Bati_fin_dev","Reporting","décembre","2011",$A$4,+L109,"NA",+$G$3))</f>
        <v>2500</v>
      </c>
    </row>
    <row r="110" spans="1:13" ht="12.75">
      <c r="A110" s="5" t="s">
        <v>134</v>
      </c>
      <c r="B110" s="92"/>
      <c r="C110" s="160">
        <f>IF(ISNA(VLOOKUP("CHA623410000",Balance!C:G,5,FALSE))=TRUE,0,VLOOKUP("CHA623410000",Balance!C:G,5,FALSE))+IF(ISNA(VLOOKUP("CHA623420000",Balance!C:G,5,FALSE))=TRUE,0,VLOOKUP("CHA623420000",Balance!C:G,5,FALSE))</f>
        <v>8021.0000000000009</v>
      </c>
      <c r="D110" s="117">
        <f>+[2]Château!$H110</f>
        <v>10000</v>
      </c>
      <c r="E110" s="160">
        <f>IF(ISNA(VLOOKUP("cha623410000",Balanceanp!C:G,5,FALSE))=TRUE,0,VLOOKUP("cha623410000",Balanceanp!C:G,5,FALSE))+IF(ISNA(VLOOKUP("cha623420000",Balanceanp!C:G,5,FALSE))=TRUE,0,VLOOKUP("cha623420000",Balanceanp!C:G,5,FALSE))</f>
        <v>10524.1</v>
      </c>
      <c r="F110" s="368">
        <f>+C110+C110/9*(12-Clients!$I$14)</f>
        <v>10694.666666666668</v>
      </c>
      <c r="G110" s="570">
        <v>10000</v>
      </c>
      <c r="H110" s="401"/>
      <c r="I110" s="149">
        <f t="shared" si="9"/>
        <v>1.6207244958397156E-2</v>
      </c>
      <c r="J110" s="271">
        <f t="shared" si="9"/>
        <v>-6.4954494452063444E-2</v>
      </c>
      <c r="L110" t="s">
        <v>854</v>
      </c>
      <c r="M110" s="2">
        <f ca="1">IF($M$2="Alimentation",_xll.PALO.SETDATA(G110,FALSE,"localhost/Bati_fin_dev","Reporting","décembre","2011",$A$4,+L110,"NA",+$G$3),_xll.PALO.DATAC("localhost/Bati_fin_dev","Reporting","décembre","2011",$A$4,+L110,"NA",+$G$3))</f>
        <v>10000</v>
      </c>
    </row>
    <row r="111" spans="1:13" ht="12.75">
      <c r="A111" s="5" t="s">
        <v>135</v>
      </c>
      <c r="B111" s="92"/>
      <c r="C111" s="160">
        <f>IF(ISNA(VLOOKUP("CHA623800000",Balance!C:G,5,FALSE))=TRUE,0,VLOOKUP("CHA623800000",Balance!C:G,5,FALSE))+IF(ISNA(VLOOKUP("CHA623820000",Balance!C:G,5,FALSE))=TRUE,0,VLOOKUP("CHA623820000",Balance!C:G,5,FALSE))</f>
        <v>0</v>
      </c>
      <c r="D111" s="117">
        <f>+[2]Château!$H111</f>
        <v>20</v>
      </c>
      <c r="E111" s="160">
        <f>IF(ISNA(VLOOKUP("CHA623800000",Balanceanp!C:G,5,FALSE))=TRUE,0,VLOOKUP("CHA623800000",Balanceanp!C:G,5,FALSE))</f>
        <v>0</v>
      </c>
      <c r="F111" s="368">
        <f>+C111+C111/9*(12-Clients!$I$14)</f>
        <v>0</v>
      </c>
      <c r="G111" s="570">
        <v>20</v>
      </c>
      <c r="H111" s="401"/>
      <c r="I111" s="149">
        <f t="shared" si="9"/>
        <v>0</v>
      </c>
      <c r="J111" s="271">
        <f t="shared" si="9"/>
        <v>0</v>
      </c>
      <c r="L111" t="s">
        <v>856</v>
      </c>
      <c r="M111" s="2">
        <f ca="1">IF($M$2="Alimentation",_xll.PALO.SETDATA(G111,FALSE,"localhost/Bati_fin_dev","Reporting","décembre","2011",$A$4,+L111,"NA",+$G$3),_xll.PALO.DATAC("localhost/Bati_fin_dev","Reporting","décembre","2011",$A$4,+L111,"NA",+$G$3))</f>
        <v>20</v>
      </c>
    </row>
    <row r="112" spans="1:13" ht="12.75">
      <c r="A112" s="5" t="s">
        <v>136</v>
      </c>
      <c r="B112" s="92"/>
      <c r="C112" s="160">
        <f>IF(ISNA(VLOOKUP("CHA625600000",Balance!C:G,5,FALSE))=TRUE,0,VLOOKUP("CHA625600000",Balance!C:G,5,FALSE))</f>
        <v>375</v>
      </c>
      <c r="D112" s="117">
        <f>+[2]Château!$H112</f>
        <v>500</v>
      </c>
      <c r="E112" s="160">
        <f>IF(ISNA(VLOOKUP("CHA625600000",Balanceanp!C:G,5,FALSE))=TRUE,0,VLOOKUP("CHA625600000",Balanceanp!C:G,5,FALSE))</f>
        <v>25.23</v>
      </c>
      <c r="F112" s="368">
        <v>25.23</v>
      </c>
      <c r="G112" s="570">
        <v>500</v>
      </c>
      <c r="H112" s="401"/>
      <c r="I112" s="149">
        <f t="shared" si="9"/>
        <v>0</v>
      </c>
      <c r="J112" s="271">
        <f t="shared" si="9"/>
        <v>18.817677368212443</v>
      </c>
      <c r="L112" t="s">
        <v>861</v>
      </c>
      <c r="M112" s="2">
        <f ca="1">IF($M$2="Alimentation",_xll.PALO.SETDATA(G112,FALSE,"localhost/Bati_fin_dev","Reporting","décembre","2011",$A$4,+L112,"NA",+$G$3),_xll.PALO.DATAC("localhost/Bati_fin_dev","Reporting","décembre","2011",$A$4,+L112,"NA",+$G$3))</f>
        <v>500</v>
      </c>
    </row>
    <row r="113" spans="1:13" ht="12.75">
      <c r="A113" s="5" t="s">
        <v>137</v>
      </c>
      <c r="B113" s="92"/>
      <c r="C113" s="160">
        <f>IF(ISNA(VLOOKUP("cha625700000",Balance!C:G,5,FALSE))=TRUE,0,VLOOKUP("cha625700000",Balance!C:G,5,FALSE))+IF(ISNA(VLOOKUP("cha625710000",Balance!C:G,5,FALSE))=TRUE,0,VLOOKUP("cha625710000",Balance!C:G,5,FALSE))</f>
        <v>3315.24</v>
      </c>
      <c r="D113" s="117">
        <f>+[2]Château!$H113</f>
        <v>5000</v>
      </c>
      <c r="E113" s="160">
        <f>IF(ISNA(VLOOKUP("cha625700000",Balanceanp!C:G,5,FALSE))=TRUE,0,VLOOKUP("cha625700000",Balanceanp!C:G,5,FALSE))+IF(ISNA(VLOOKUP("cha625710000",Balanceanp!C:G,5,FALSE))=TRUE,0,VLOOKUP("cha625710000",Balanceanp!C:G,5,FALSE))</f>
        <v>8381.27</v>
      </c>
      <c r="F113" s="368">
        <v>4396.5600000000004</v>
      </c>
      <c r="G113" s="570">
        <v>4500</v>
      </c>
      <c r="H113" s="401"/>
      <c r="I113" s="149">
        <f t="shared" si="9"/>
        <v>-0.47543033454357153</v>
      </c>
      <c r="J113" s="271">
        <f t="shared" si="9"/>
        <v>2.352748512473379E-2</v>
      </c>
      <c r="L113" t="s">
        <v>860</v>
      </c>
      <c r="M113" s="2">
        <f ca="1">IF($M$2="Alimentation",_xll.PALO.SETDATA(G113,FALSE,"localhost/Bati_fin_dev","Reporting","décembre","2011",$A$4,+L113,"NA",+$G$3),_xll.PALO.DATAC("localhost/Bati_fin_dev","Reporting","décembre","2011",$A$4,+L113,"NA",+$G$3))</f>
        <v>4500</v>
      </c>
    </row>
    <row r="114" spans="1:13" ht="12.75">
      <c r="A114" s="5" t="s">
        <v>138</v>
      </c>
      <c r="B114" s="92"/>
      <c r="C114" s="160">
        <f>IF(ISNA(VLOOKUP("CHA623810000",Balance!C:G,5,FALSE))=TRUE,0,VLOOKUP("CHA623810000",Balance!C:G,5,FALSE))</f>
        <v>0</v>
      </c>
      <c r="D114" s="117">
        <f>+[2]Château!$H114</f>
        <v>0</v>
      </c>
      <c r="E114" s="160">
        <f>IF(ISNA(VLOOKUP("CHA623810000",Balanceanp!C:G,5,FALSE))=TRUE,0,VLOOKUP("CHA623810000",Balanceanp!C:G,5,FALSE))</f>
        <v>0</v>
      </c>
      <c r="F114" s="368">
        <f>+C114+C114/9*(12-Clients!$I$14)</f>
        <v>0</v>
      </c>
      <c r="G114" s="570">
        <f>+F114*1.03</f>
        <v>0</v>
      </c>
      <c r="H114" s="401"/>
      <c r="I114" s="149">
        <f t="shared" si="9"/>
        <v>0</v>
      </c>
      <c r="J114" s="271">
        <f t="shared" si="9"/>
        <v>0</v>
      </c>
      <c r="L114" t="s">
        <v>858</v>
      </c>
      <c r="M114" s="2">
        <f ca="1">IF($M$2="Alimentation",_xll.PALO.SETDATA(G114,FALSE,"localhost/Bati_fin_dev","Reporting","décembre","2011",$A$4,+L114,"NA",+$G$3),_xll.PALO.DATAC("localhost/Bati_fin_dev","Reporting","décembre","2011",$A$4,+L114,"NA",+$G$3))</f>
        <v>0</v>
      </c>
    </row>
    <row r="115" spans="1:13" ht="12.75">
      <c r="A115" s="5"/>
      <c r="B115" s="92"/>
      <c r="C115" s="160"/>
      <c r="D115" s="115"/>
      <c r="E115" s="160"/>
      <c r="F115" s="143"/>
      <c r="G115" s="143"/>
      <c r="H115" s="411"/>
      <c r="I115" s="149"/>
      <c r="J115" s="254"/>
      <c r="L115" t="s">
        <v>867</v>
      </c>
      <c r="M115" s="2" t="e">
        <f ca="1">IF($M$2="Alimentation",_xll.PALO.SETDATA(G115,FALSE,"localhost/Bati_fin_dev","Reporting","décembre","2011",$A$4,+L115,"NA",+$G$3),_xll.PALO.DATAC("localhost/Bati_fin_dev","Reporting","décembre","2011",$A$4,+L115,"NA",+$G$3))</f>
        <v>#VALUE!</v>
      </c>
    </row>
    <row r="116" spans="1:13" s="33" customFormat="1" ht="15" customHeight="1">
      <c r="A116" s="13" t="s">
        <v>133</v>
      </c>
      <c r="B116" s="93">
        <f>+C116/$C$21</f>
        <v>4.4194067420611181E-2</v>
      </c>
      <c r="C116" s="163">
        <f>SUM(C104:C115)</f>
        <v>15708.220000000001</v>
      </c>
      <c r="D116" s="118">
        <f>SUM(D104:D115)</f>
        <v>22220</v>
      </c>
      <c r="E116" s="163">
        <f>SUM(E104:E115)</f>
        <v>24172.6</v>
      </c>
      <c r="F116" s="136">
        <f>SUM(F104:F115)</f>
        <v>20445.763333333336</v>
      </c>
      <c r="G116" s="136">
        <f>SUM(G104:G115)</f>
        <v>21170</v>
      </c>
      <c r="H116" s="421">
        <f>+G116/$G$21</f>
        <v>4.2724520686175584E-2</v>
      </c>
      <c r="I116" s="272">
        <f>+IF((E116)=0,,(F116-E116)/E116)</f>
        <v>-0.15417607814908876</v>
      </c>
      <c r="J116" s="188">
        <f>+IF((F116)=0,,(G116-F116)/F116)</f>
        <v>3.5422334439620527E-2</v>
      </c>
      <c r="L116" t="s">
        <v>867</v>
      </c>
      <c r="M116" s="2" t="e">
        <f ca="1">IF($M$2="Alimentation",_xll.PALO.SETDATA(G116,FALSE,"localhost/Bati_fin_dev","Reporting","décembre","2011",$A$4,+L116,"NA",+$G$3),_xll.PALO.DATAC("localhost/Bati_fin_dev","Reporting","décembre","2011",$A$4,+L116,"NA",+$G$3))</f>
        <v>#VALUE!</v>
      </c>
    </row>
    <row r="117" spans="1:13" ht="12.75">
      <c r="A117" s="5"/>
      <c r="B117" s="92"/>
      <c r="C117" s="160"/>
      <c r="D117" s="115"/>
      <c r="E117" s="160"/>
      <c r="F117" s="143"/>
      <c r="G117" s="143"/>
      <c r="H117" s="411"/>
      <c r="I117" s="149"/>
      <c r="J117" s="254"/>
      <c r="L117" t="s">
        <v>867</v>
      </c>
      <c r="M117" s="2" t="e">
        <f ca="1">IF($M$2="Alimentation",_xll.PALO.SETDATA(G117,FALSE,"localhost/Bati_fin_dev","Reporting","décembre","2011",$A$4,+L117,"NA",+$G$3),_xll.PALO.DATAC("localhost/Bati_fin_dev","Reporting","décembre","2011",$A$4,+L117,"NA",+$G$3))</f>
        <v>#VALUE!</v>
      </c>
    </row>
    <row r="118" spans="1:13" ht="12.75">
      <c r="A118" s="5" t="s">
        <v>139</v>
      </c>
      <c r="B118" s="92"/>
      <c r="C118" s="160">
        <f>IF(ISNA(VLOOKUP("CHA633300000",Balance!C:G,5,FALSE))=TRUE,0,VLOOKUP("CHA633300000",Balance!C:G,5,FALSE))</f>
        <v>661.84</v>
      </c>
      <c r="D118" s="117">
        <f>+[2]Château!$H118</f>
        <v>377.99999999999994</v>
      </c>
      <c r="E118" s="160">
        <f>IF(ISNA(VLOOKUP("CHA633300000",Balanceanp!C:G,5,FALSE))=TRUE,0,VLOOKUP("CHA633300000",Balanceanp!C:G,5,FALSE))</f>
        <v>368</v>
      </c>
      <c r="F118" s="368">
        <f>+C118+C118/9*(12-Clients!$I$14)</f>
        <v>882.45333333333338</v>
      </c>
      <c r="G118" s="396">
        <f>G131*(0.2+0.5)%</f>
        <v>377.99999999999994</v>
      </c>
      <c r="H118" s="409"/>
      <c r="I118" s="149">
        <f t="shared" ref="I118:J127" si="10">+IF((E118)=0,,(F118-E118)/E118)</f>
        <v>1.3979710144927537</v>
      </c>
      <c r="J118" s="271">
        <f t="shared" si="10"/>
        <v>-0.57164873685482909</v>
      </c>
      <c r="L118" t="s">
        <v>823</v>
      </c>
      <c r="M118" s="2">
        <f ca="1">IF($M$2="Alimentation",_xll.PALO.SETDATA(G118,FALSE,"localhost/Bati_fin_dev","Reporting","décembre","2011",$A$4,+L118,"NA",+$G$3),_xll.PALO.DATAC("localhost/Bati_fin_dev","Reporting","décembre","2011",$A$4,+L118,"NA",+$G$3))</f>
        <v>377.99999999999994</v>
      </c>
    </row>
    <row r="119" spans="1:13" ht="12.75">
      <c r="A119" s="5" t="s">
        <v>140</v>
      </c>
      <c r="B119" s="92"/>
      <c r="C119" s="160">
        <f>IF(ISNA(VLOOKUP("CHA633400000",Balance!C:G,5,FALSE))=TRUE,0,VLOOKUP("CHA633400000",Balance!C:G,5,FALSE))</f>
        <v>0</v>
      </c>
      <c r="D119" s="117">
        <f>+[2]Château!$H119</f>
        <v>243.00000000000003</v>
      </c>
      <c r="E119" s="160">
        <f>IF(ISNA(VLOOKUP("CHA633400000",Balanceanp!C:G,5,FALSE))=TRUE,0,VLOOKUP("CHA633400000",Balanceanp!C:G,5,FALSE))</f>
        <v>203</v>
      </c>
      <c r="F119" s="368">
        <f>+C119+C119/9*(12-Clients!$I$14)</f>
        <v>0</v>
      </c>
      <c r="G119" s="396">
        <f>+G131*0.45%</f>
        <v>243.00000000000003</v>
      </c>
      <c r="H119" s="409"/>
      <c r="I119" s="149">
        <f t="shared" si="10"/>
        <v>-1</v>
      </c>
      <c r="J119" s="271">
        <f t="shared" si="10"/>
        <v>0</v>
      </c>
      <c r="L119" t="s">
        <v>811</v>
      </c>
      <c r="M119" s="2">
        <f ca="1">IF($M$2="Alimentation",_xll.PALO.SETDATA(G119,FALSE,"localhost/Bati_fin_dev","Reporting","décembre","2011",$A$4,+L119,"NA",+$G$3),_xll.PALO.DATAC("localhost/Bati_fin_dev","Reporting","décembre","2011",$A$4,+L119,"NA",+$G$3))</f>
        <v>243.00000000000003</v>
      </c>
    </row>
    <row r="120" spans="1:13" ht="12.75">
      <c r="A120" s="5" t="s">
        <v>141</v>
      </c>
      <c r="B120" s="92"/>
      <c r="C120" s="160">
        <f>IF(ISNA(VLOOKUP("CHA633500000",Balance!C:G,5,FALSE))=TRUE,0,VLOOKUP("CHA633500000",Balance!C:G,5,FALSE))</f>
        <v>0</v>
      </c>
      <c r="D120" s="117">
        <f>+[2]Château!$H120</f>
        <v>421.20000000000005</v>
      </c>
      <c r="E120" s="160">
        <f>IF(ISNA(VLOOKUP("CHA633500000",Balanceanp!C:G,5,FALSE))=TRUE,0,VLOOKUP("CHA633500000",Balanceanp!C:G,5,FALSE))</f>
        <v>307</v>
      </c>
      <c r="F120" s="368">
        <f>+C120+C120/9*(12-Clients!$I$14)</f>
        <v>0</v>
      </c>
      <c r="G120" s="396">
        <f>+G131*(0.6+0.18)%</f>
        <v>421.20000000000005</v>
      </c>
      <c r="H120" s="409"/>
      <c r="I120" s="149">
        <f t="shared" si="10"/>
        <v>-1</v>
      </c>
      <c r="J120" s="271">
        <f t="shared" si="10"/>
        <v>0</v>
      </c>
      <c r="L120" t="s">
        <v>839</v>
      </c>
      <c r="M120" s="2">
        <f ca="1">IF($M$2="Alimentation",_xll.PALO.SETDATA(G120,FALSE,"localhost/Bati_fin_dev","Reporting","décembre","2011",$A$4,+L120,"NA",+$G$3),_xll.PALO.DATAC("localhost/Bati_fin_dev","Reporting","décembre","2011",$A$4,+L120,"NA",+$G$3))</f>
        <v>421.2</v>
      </c>
    </row>
    <row r="121" spans="1:13" ht="12.75">
      <c r="A121" s="5" t="s">
        <v>706</v>
      </c>
      <c r="B121" s="92"/>
      <c r="C121" s="160">
        <f>IF(ISNA(VLOOKUP("CHA635110000",Balance!C:G,5,FALSE))=TRUE,0,VLOOKUP("CHA635110000",Balance!C:G,5,FALSE))</f>
        <v>2022.12</v>
      </c>
      <c r="D121" s="117">
        <f>+[2]Château!$H121</f>
        <v>2696.1375000000003</v>
      </c>
      <c r="E121" s="160">
        <f>IF(ISNA(VLOOKUP("CHA635110000",Balanceanp!C:G,5,FALSE))=TRUE,0,VLOOKUP("CHA635110000",Balanceanp!C:G,5,FALSE))</f>
        <v>2403</v>
      </c>
      <c r="F121" s="570">
        <v>659</v>
      </c>
      <c r="G121" s="570">
        <f>+F121*1.05</f>
        <v>691.95</v>
      </c>
      <c r="H121" s="413"/>
      <c r="I121" s="149">
        <f t="shared" si="10"/>
        <v>-0.72575946733250107</v>
      </c>
      <c r="J121" s="271">
        <f t="shared" si="10"/>
        <v>5.0000000000000072E-2</v>
      </c>
      <c r="L121" t="s">
        <v>817</v>
      </c>
      <c r="M121" s="2">
        <f ca="1">IF($M$2="Alimentation",_xll.PALO.SETDATA(G121,FALSE,"localhost/Bati_fin_dev","Reporting","décembre","2011",$A$4,+L121,"NA",+$G$3),_xll.PALO.DATAC("localhost/Bati_fin_dev","Reporting","décembre","2011",$A$4,+L121,"NA",+$G$3))</f>
        <v>691.95</v>
      </c>
    </row>
    <row r="122" spans="1:13" ht="12.75">
      <c r="A122" s="5" t="s">
        <v>143</v>
      </c>
      <c r="B122" s="92"/>
      <c r="C122" s="160">
        <f>IF(ISNA(VLOOKUP("CHA635120000",Balance!C:G,5,FALSE))=TRUE,0,VLOOKUP("CHA635120000",Balance!C:G,5,FALSE))</f>
        <v>1379.7</v>
      </c>
      <c r="D122" s="117">
        <f>+[2]Château!$H122</f>
        <v>1839.6000000000001</v>
      </c>
      <c r="E122" s="160">
        <f>IF(ISNA(VLOOKUP("CHA635120000",Balanceanp!C:G,5,FALSE))=TRUE,0,VLOOKUP("CHA635120000",Balanceanp!C:G,5,FALSE))</f>
        <v>1752</v>
      </c>
      <c r="F122" s="425">
        <v>1791</v>
      </c>
      <c r="G122" s="425">
        <f>+F122*1.05</f>
        <v>1880.5500000000002</v>
      </c>
      <c r="H122" s="413"/>
      <c r="I122" s="149">
        <f t="shared" si="10"/>
        <v>2.2260273972602738E-2</v>
      </c>
      <c r="J122" s="271">
        <f t="shared" si="10"/>
        <v>5.00000000000001E-2</v>
      </c>
      <c r="L122" t="s">
        <v>828</v>
      </c>
      <c r="M122" s="2">
        <f ca="1">IF($M$2="Alimentation",_xll.PALO.SETDATA(G122,FALSE,"localhost/Bati_fin_dev","Reporting","décembre","2011",$A$4,+L122,"NA",+$G$3),_xll.PALO.DATAC("localhost/Bati_fin_dev","Reporting","décembre","2011",$A$4,+L122,"NA",+$G$3))</f>
        <v>1880.55</v>
      </c>
    </row>
    <row r="123" spans="1:13" ht="12.75">
      <c r="A123" s="5" t="s">
        <v>144</v>
      </c>
      <c r="B123" s="92"/>
      <c r="C123" s="160">
        <f>IF(ISNA(VLOOKUP("CHA635130000",Balance!C:G,5,FALSE))=TRUE,0,VLOOKUP("CHA635130000",Balance!C:G,5,FALSE))</f>
        <v>0</v>
      </c>
      <c r="D123" s="117">
        <f>+[2]Château!$H123</f>
        <v>50</v>
      </c>
      <c r="E123" s="160">
        <f>IF(ISNA(VLOOKUP("CHA635130000",Balanceanp!C:G,5,FALSE))=TRUE,0,VLOOKUP("CHA635130000",Balanceanp!C:G,5,FALSE))</f>
        <v>0</v>
      </c>
      <c r="F123" s="368">
        <f>+C123+C123/9*(12-Clients!$I$14)</f>
        <v>0</v>
      </c>
      <c r="G123" s="397">
        <v>50</v>
      </c>
      <c r="H123" s="413"/>
      <c r="I123" s="149">
        <f t="shared" si="10"/>
        <v>0</v>
      </c>
      <c r="J123" s="271">
        <f t="shared" si="10"/>
        <v>0</v>
      </c>
      <c r="L123" t="s">
        <v>815</v>
      </c>
      <c r="M123" s="2">
        <f ca="1">IF($M$2="Alimentation",_xll.PALO.SETDATA(G123,FALSE,"localhost/Bati_fin_dev","Reporting","décembre","2011",$A$4,+L123,"NA",+$G$3),_xll.PALO.DATAC("localhost/Bati_fin_dev","Reporting","décembre","2011",$A$4,+L123,"NA",+$G$3))</f>
        <v>50</v>
      </c>
    </row>
    <row r="124" spans="1:13" ht="12.75">
      <c r="A124" s="5" t="s">
        <v>145</v>
      </c>
      <c r="B124" s="92"/>
      <c r="C124" s="160">
        <f>IF(ISNA(VLOOKUP("CHA635140000",Balance!C:G,5,FALSE))=TRUE,0,VLOOKUP("CHA635140000",Balance!C:G,5,FALSE))</f>
        <v>0</v>
      </c>
      <c r="D124" s="117">
        <f>+[2]Château!$H124</f>
        <v>0</v>
      </c>
      <c r="E124" s="160">
        <f>IF(ISNA(VLOOKUP("CHA635140000",Balanceanp!C:G,5,FALSE))=TRUE,0,VLOOKUP("CHA635140000",Balanceanp!C:G,5,FALSE))</f>
        <v>0</v>
      </c>
      <c r="F124" s="368">
        <f>+C124+C124/9*(12-Clients!$I$14)</f>
        <v>0</v>
      </c>
      <c r="G124" s="397">
        <f>+F124*1.03</f>
        <v>0</v>
      </c>
      <c r="H124" s="413"/>
      <c r="I124" s="149">
        <f t="shared" si="10"/>
        <v>0</v>
      </c>
      <c r="J124" s="271">
        <f t="shared" si="10"/>
        <v>0</v>
      </c>
      <c r="L124" t="s">
        <v>840</v>
      </c>
      <c r="M124" s="2">
        <f ca="1">IF($M$2="Alimentation",_xll.PALO.SETDATA(G124,FALSE,"localhost/Bati_fin_dev","Reporting","décembre","2011",$A$4,+L124,"NA",+$G$3),_xll.PALO.DATAC("localhost/Bati_fin_dev","Reporting","décembre","2011",$A$4,+L124,"NA",+$G$3))</f>
        <v>0</v>
      </c>
    </row>
    <row r="125" spans="1:13" ht="12.75">
      <c r="A125" s="5" t="s">
        <v>286</v>
      </c>
      <c r="B125" s="92"/>
      <c r="C125" s="160">
        <f>IF(ISNA(VLOOKUP("CHA635300000",Balance!C:G,5,FALSE))=TRUE,0,VLOOKUP("CHA635300000",Balance!C:G,5,FALSE))</f>
        <v>0</v>
      </c>
      <c r="D125" s="117">
        <f>+[2]Château!$H125</f>
        <v>0</v>
      </c>
      <c r="E125" s="160">
        <f>IF(ISNA(VLOOKUP("CHA635300000",Balanceanp!C:G,5,FALSE))=TRUE,0,VLOOKUP("CHA635300000",Balanceanp!C:G,5,FALSE))</f>
        <v>0</v>
      </c>
      <c r="F125" s="368">
        <f>+C125+C125/9*(12-Clients!$I$14)</f>
        <v>0</v>
      </c>
      <c r="G125" s="397">
        <f>+F125*1.03</f>
        <v>0</v>
      </c>
      <c r="H125" s="413"/>
      <c r="I125" s="149">
        <f t="shared" si="10"/>
        <v>0</v>
      </c>
      <c r="J125" s="271">
        <f t="shared" si="10"/>
        <v>0</v>
      </c>
      <c r="L125" t="s">
        <v>814</v>
      </c>
      <c r="M125" s="2">
        <f ca="1">IF($M$2="Alimentation",_xll.PALO.SETDATA(G125,FALSE,"localhost/Bati_fin_dev","Reporting","décembre","2011",$A$4,+L125,"NA",+$G$3),_xll.PALO.DATAC("localhost/Bati_fin_dev","Reporting","décembre","2011",$A$4,+L125,"NA",+$G$3))</f>
        <v>0</v>
      </c>
    </row>
    <row r="126" spans="1:13" ht="12.75">
      <c r="A126" s="5" t="s">
        <v>361</v>
      </c>
      <c r="B126" s="92"/>
      <c r="C126" s="160">
        <f>IF(ISNA(VLOOKUP("cha635400000",Balance!C:G,5,FALSE))=TRUE,0,VLOOKUP("cha635400000",Balance!C:G,5,FALSE))</f>
        <v>0</v>
      </c>
      <c r="D126" s="117">
        <f>+[2]Château!$H126</f>
        <v>0</v>
      </c>
      <c r="E126" s="160">
        <f>IF(ISNA(VLOOKUP("cha635400000",Balanceanp!C:G,5,FALSE))=TRUE,0,VLOOKUP("cha635400000",Balanceanp!C:G,5,FALSE))</f>
        <v>0</v>
      </c>
      <c r="F126" s="368">
        <f>+C126+C126/9*(12-Clients!$I$14)</f>
        <v>0</v>
      </c>
      <c r="G126" s="397">
        <f>+F126*1.03</f>
        <v>0</v>
      </c>
      <c r="H126" s="413"/>
      <c r="I126" s="149">
        <f t="shared" si="10"/>
        <v>0</v>
      </c>
      <c r="J126" s="271">
        <f t="shared" si="10"/>
        <v>0</v>
      </c>
      <c r="L126" t="s">
        <v>822</v>
      </c>
      <c r="M126" s="2">
        <f ca="1">IF($M$2="Alimentation",_xll.PALO.SETDATA(G126,FALSE,"localhost/Bati_fin_dev","Reporting","décembre","2011",$A$4,+L126,"NA",+$G$3),_xll.PALO.DATAC("localhost/Bati_fin_dev","Reporting","décembre","2011",$A$4,+L126,"NA",+$G$3))</f>
        <v>0</v>
      </c>
    </row>
    <row r="127" spans="1:13" ht="12.75">
      <c r="A127" s="5" t="s">
        <v>146</v>
      </c>
      <c r="B127" s="92"/>
      <c r="C127" s="160">
        <f>IF(ISNA(VLOOKUP("CHA637100000",Balance!C:G,5,FALSE))=TRUE,0,VLOOKUP("CHA637100000",Balance!C:G,5,FALSE))</f>
        <v>612.89</v>
      </c>
      <c r="D127" s="117">
        <f>+[2]Château!$H127</f>
        <v>888</v>
      </c>
      <c r="E127" s="160">
        <f>IF(ISNA(VLOOKUP("CHA637100000",Balanceanp!C:G,5,FALSE))=TRUE,0,VLOOKUP("CHA637100000",Balanceanp!C:G,5,FALSE))</f>
        <v>727.17</v>
      </c>
      <c r="F127" s="368">
        <f>+C127+C127/9*(12-Clients!$I$14)</f>
        <v>817.18666666666672</v>
      </c>
      <c r="G127" s="396">
        <f>+G51*0.16%</f>
        <v>773.6</v>
      </c>
      <c r="H127" s="409"/>
      <c r="I127" s="149">
        <f t="shared" si="10"/>
        <v>0.12379040206095791</v>
      </c>
      <c r="J127" s="271">
        <f t="shared" si="10"/>
        <v>-5.3337466755861609E-2</v>
      </c>
      <c r="L127" t="s">
        <v>833</v>
      </c>
      <c r="M127" s="2">
        <f ca="1">IF($M$2="Alimentation",_xll.PALO.SETDATA(G127,FALSE,"localhost/Bati_fin_dev","Reporting","décembre","2011",$A$4,+L127,"NA",+$G$3),_xll.PALO.DATAC("localhost/Bati_fin_dev","Reporting","décembre","2011",$A$4,+L127,"NA",+$G$3))</f>
        <v>773.6</v>
      </c>
    </row>
    <row r="128" spans="1:13" ht="12.75">
      <c r="A128" s="5"/>
      <c r="B128" s="92"/>
      <c r="C128" s="160"/>
      <c r="D128" s="115"/>
      <c r="E128" s="160"/>
      <c r="F128" s="143"/>
      <c r="G128" s="143"/>
      <c r="H128" s="411"/>
      <c r="I128" s="149"/>
      <c r="J128" s="254"/>
      <c r="L128" t="s">
        <v>867</v>
      </c>
      <c r="M128" s="2" t="e">
        <f ca="1">IF($M$2="Alimentation",_xll.PALO.SETDATA(G128,FALSE,"localhost/Bati_fin_dev","Reporting","décembre","2011",$A$4,+L128,"NA",+$G$3),_xll.PALO.DATAC("localhost/Bati_fin_dev","Reporting","décembre","2011",$A$4,+L128,"NA",+$G$3))</f>
        <v>#VALUE!</v>
      </c>
    </row>
    <row r="129" spans="1:13" s="33" customFormat="1" ht="15" customHeight="1">
      <c r="A129" s="13" t="s">
        <v>147</v>
      </c>
      <c r="B129" s="93">
        <f>+C129/$C$21</f>
        <v>1.3157172868463721E-2</v>
      </c>
      <c r="C129" s="163">
        <f>SUM(C117:C128)</f>
        <v>4676.55</v>
      </c>
      <c r="D129" s="118">
        <f>SUM(D117:D128)</f>
        <v>6515.9375000000009</v>
      </c>
      <c r="E129" s="163">
        <f>SUM(E117:E128)</f>
        <v>5760.17</v>
      </c>
      <c r="F129" s="136">
        <f>SUM(F117:F128)</f>
        <v>4149.6400000000003</v>
      </c>
      <c r="G129" s="136">
        <f>SUM(G117:G128)</f>
        <v>4438.3</v>
      </c>
      <c r="H129" s="421">
        <f>+G129/$G$21</f>
        <v>8.9572149344096883E-3</v>
      </c>
      <c r="I129" s="272">
        <f>+IF((E129)=0,,(F129-E129)/E129)</f>
        <v>-0.27959765076377951</v>
      </c>
      <c r="J129" s="188">
        <f>+IF((F129)=0,,(G129-F129)/F129)</f>
        <v>6.9562660857327346E-2</v>
      </c>
      <c r="L129" t="s">
        <v>827</v>
      </c>
      <c r="M129" s="2">
        <f ca="1">IF($M$2="Alimentation",_xll.PALO.SETDATA(G129,FALSE,"localhost/Bati_fin_dev","Reporting","décembre","2011",$A$4,+L129,"NA",+$G$3),_xll.PALO.DATAC("localhost/Bati_fin_dev","Reporting","décembre","2011",$A$4,+L129,"NA",+$G$3))</f>
        <v>4438.3</v>
      </c>
    </row>
    <row r="130" spans="1:13" ht="12.75">
      <c r="A130" s="5"/>
      <c r="B130" s="92"/>
      <c r="C130" s="160"/>
      <c r="D130" s="115"/>
      <c r="E130" s="160"/>
      <c r="F130" s="143"/>
      <c r="G130" s="143"/>
      <c r="H130" s="411"/>
      <c r="I130" s="149"/>
      <c r="J130" s="254"/>
      <c r="L130" t="s">
        <v>867</v>
      </c>
      <c r="M130" s="2" t="e">
        <f ca="1">IF($M$2="Alimentation",_xll.PALO.SETDATA(G130,FALSE,"localhost/Bati_fin_dev","Reporting","décembre","2011",$A$4,+L130,"NA",+$G$3),_xll.PALO.DATAC("localhost/Bati_fin_dev","Reporting","décembre","2011",$A$4,+L130,"NA",+$G$3))</f>
        <v>#VALUE!</v>
      </c>
    </row>
    <row r="131" spans="1:13" ht="12.75">
      <c r="A131" s="5" t="s">
        <v>148</v>
      </c>
      <c r="B131" s="92"/>
      <c r="C131" s="160">
        <f>IF(ISNA(VLOOKUP("CHA641100000",Balance!C:G,5,FALSE))=TRUE,0,VLOOKUP("CHA641100000",Balance!C:G,5,FALSE))</f>
        <v>37993.339999999997</v>
      </c>
      <c r="D131" s="117">
        <f>+[2]Château!$H131</f>
        <v>54000</v>
      </c>
      <c r="E131" s="160">
        <f>IF(ISNA(VLOOKUP("CHA641100000",Balanceanp!C:G,5,FALSE))=TRUE,0,VLOOKUP("CHA641100000",Balanceanp!C:G,5,FALSE))</f>
        <v>49043.55</v>
      </c>
      <c r="F131" s="368">
        <f>+C131+C131/9*(12-Clients!$I$14)</f>
        <v>50657.786666666667</v>
      </c>
      <c r="G131" s="570">
        <v>54000</v>
      </c>
      <c r="H131" s="401"/>
      <c r="I131" s="149">
        <f t="shared" ref="I131:J146" si="11">+IF((E131)=0,,(F131-E131)/E131)</f>
        <v>3.2914351972209675E-2</v>
      </c>
      <c r="J131" s="271">
        <f t="shared" si="11"/>
        <v>6.5976300056799428E-2</v>
      </c>
      <c r="L131" t="s">
        <v>837</v>
      </c>
      <c r="M131" s="2">
        <f ca="1">IF($M$2="Alimentation",_xll.PALO.SETDATA(G131,FALSE,"localhost/Bati_fin_dev","Reporting","décembre","2011",$A$4,+L131,"NA",+$G$3),_xll.PALO.DATAC("localhost/Bati_fin_dev","Reporting","décembre","2011",$A$4,+L131,"NA",+$G$3))</f>
        <v>54000</v>
      </c>
    </row>
    <row r="132" spans="1:13" ht="12.75">
      <c r="A132" s="5" t="s">
        <v>149</v>
      </c>
      <c r="B132" s="92"/>
      <c r="C132" s="160">
        <f>IF(ISNA(VLOOKUP("CHA641110000",Balance!C:G,5,FALSE))=TRUE,0,VLOOKUP("CHA641110000",Balance!C:G,5,FALSE))</f>
        <v>-100</v>
      </c>
      <c r="D132" s="117">
        <f>+[2]Château!$H132</f>
        <v>0</v>
      </c>
      <c r="E132" s="160">
        <f>IF(ISNA(VLOOKUP("CHA641110000",Balanceanp!C:G,5,FALSE))=TRUE,0,VLOOKUP("CHA641110000",Balanceanp!C:G,5,FALSE))</f>
        <v>0</v>
      </c>
      <c r="F132" s="368">
        <f>+C132+C132/9*(12-Clients!$I$14)</f>
        <v>-133.33333333333331</v>
      </c>
      <c r="G132" s="570">
        <v>0</v>
      </c>
      <c r="H132" s="401"/>
      <c r="I132" s="149">
        <f t="shared" si="11"/>
        <v>0</v>
      </c>
      <c r="J132" s="271">
        <f t="shared" si="11"/>
        <v>-1</v>
      </c>
      <c r="L132" t="s">
        <v>838</v>
      </c>
      <c r="M132" s="2">
        <f ca="1">IF($M$2="Alimentation",_xll.PALO.SETDATA(G132,FALSE,"localhost/Bati_fin_dev","Reporting","décembre","2011",$A$4,+L132,"NA",+$G$3),_xll.PALO.DATAC("localhost/Bati_fin_dev","Reporting","décembre","2011",$A$4,+L132,"NA",+$G$3))</f>
        <v>0</v>
      </c>
    </row>
    <row r="133" spans="1:13" ht="12.75">
      <c r="A133" s="5" t="s">
        <v>150</v>
      </c>
      <c r="B133" s="92"/>
      <c r="C133" s="160">
        <f>IF(ISNA(VLOOKUP("CHA641111000",Balance!C:G,5,FALSE))=TRUE,0,VLOOKUP("CHA641111000",Balance!C:G,5,FALSE))</f>
        <v>0</v>
      </c>
      <c r="D133" s="117">
        <f>+[2]Château!$H133</f>
        <v>0</v>
      </c>
      <c r="E133" s="160">
        <f>IF(ISNA(VLOOKUP("CHA641111000",Balanceanp!C:G,5,FALSE))=TRUE,0,VLOOKUP("CHA641111000",Balanceanp!C:G,5,FALSE))</f>
        <v>0</v>
      </c>
      <c r="F133" s="368">
        <f>+C133+C133/9*(12-Clients!$I$14)</f>
        <v>0</v>
      </c>
      <c r="G133" s="570">
        <f t="shared" ref="G133:G140" si="12">+F133*1.03</f>
        <v>0</v>
      </c>
      <c r="H133" s="401"/>
      <c r="I133" s="149">
        <f t="shared" si="11"/>
        <v>0</v>
      </c>
      <c r="J133" s="271">
        <f t="shared" si="11"/>
        <v>0</v>
      </c>
      <c r="L133" t="s">
        <v>826</v>
      </c>
      <c r="M133" s="2">
        <f ca="1">IF($M$2="Alimentation",_xll.PALO.SETDATA(G133,FALSE,"localhost/Bati_fin_dev","Reporting","décembre","2011",$A$4,+L133,"NA",+$G$3),_xll.PALO.DATAC("localhost/Bati_fin_dev","Reporting","décembre","2011",$A$4,+L133,"NA",+$G$3))</f>
        <v>0</v>
      </c>
    </row>
    <row r="134" spans="1:13" ht="12.75">
      <c r="A134" s="5" t="s">
        <v>151</v>
      </c>
      <c r="B134" s="92"/>
      <c r="C134" s="160">
        <f>IF(ISNA(VLOOKUP("CHA641200000",Balance!C:G,5,FALSE))=TRUE,0,VLOOKUP("CHA641200000",Balance!C:G,5,FALSE))</f>
        <v>0</v>
      </c>
      <c r="D134" s="117">
        <f>+[2]Château!$H134</f>
        <v>0</v>
      </c>
      <c r="E134" s="160">
        <f>IF(ISNA(VLOOKUP("CHA641200000",Balanceanp!C:G,5,FALSE))=TRUE,0,VLOOKUP("CHA641200000",Balanceanp!C:G,5,FALSE))</f>
        <v>529.88000000000011</v>
      </c>
      <c r="F134" s="368">
        <f>+C134+C134/9*(12-Clients!$I$14)</f>
        <v>0</v>
      </c>
      <c r="G134" s="570">
        <f t="shared" si="12"/>
        <v>0</v>
      </c>
      <c r="H134" s="401"/>
      <c r="I134" s="149">
        <f t="shared" si="11"/>
        <v>-1</v>
      </c>
      <c r="J134" s="271">
        <f t="shared" si="11"/>
        <v>0</v>
      </c>
      <c r="L134" t="s">
        <v>821</v>
      </c>
      <c r="M134" s="2">
        <f ca="1">IF($M$2="Alimentation",_xll.PALO.SETDATA(G134,FALSE,"localhost/Bati_fin_dev","Reporting","décembre","2011",$A$4,+L134,"NA",+$G$3),_xll.PALO.DATAC("localhost/Bati_fin_dev","Reporting","décembre","2011",$A$4,+L134,"NA",+$G$3))</f>
        <v>0</v>
      </c>
    </row>
    <row r="135" spans="1:13" ht="12.75">
      <c r="A135" s="5" t="s">
        <v>114</v>
      </c>
      <c r="B135" s="92"/>
      <c r="C135" s="160">
        <f>IF(ISNA(VLOOKUP("CHA621100000",Balance!C:G,5,FALSE))=TRUE,0,VLOOKUP("CHA621100000",Balance!C:G,5,FALSE))</f>
        <v>1557.05</v>
      </c>
      <c r="D135" s="117">
        <f>+[2]Château!$H135</f>
        <v>3000</v>
      </c>
      <c r="E135" s="160">
        <f>IF(ISNA(VLOOKUP("CHA621100000",Balanceanp!C:G,5,FALSE))=TRUE,0,VLOOKUP("CHA621100000",Balanceanp!C:G,5,FALSE))</f>
        <v>8195.64</v>
      </c>
      <c r="F135" s="368">
        <f>+C135+C135/9*(12-Clients!$I$14)</f>
        <v>2076.0666666666666</v>
      </c>
      <c r="G135" s="570">
        <v>2500</v>
      </c>
      <c r="H135" s="401"/>
      <c r="I135" s="149">
        <f t="shared" si="11"/>
        <v>-0.74668644954309038</v>
      </c>
      <c r="J135" s="271">
        <f t="shared" si="11"/>
        <v>0.20420025047365215</v>
      </c>
      <c r="L135" t="s">
        <v>835</v>
      </c>
      <c r="M135" s="2">
        <f ca="1">IF($M$2="Alimentation",_xll.PALO.SETDATA(G135,FALSE,"localhost/Bati_fin_dev","Reporting","décembre","2011",$A$4,+L135,"NA",+$G$3),_xll.PALO.DATAC("localhost/Bati_fin_dev","Reporting","décembre","2011",$A$4,+L135,"NA",+$G$3))</f>
        <v>2500</v>
      </c>
    </row>
    <row r="136" spans="1:13" ht="12.75">
      <c r="A136" s="5" t="s">
        <v>338</v>
      </c>
      <c r="B136" s="92"/>
      <c r="C136" s="160">
        <f>IF(ISNA(VLOOKUP("CHA621200000",Balance!C:G,5,FALSE))=TRUE,0,VLOOKUP("CHA621200000",Balance!C:G,5,FALSE))</f>
        <v>0</v>
      </c>
      <c r="D136" s="117">
        <f>+[2]Château!$H136</f>
        <v>0</v>
      </c>
      <c r="E136" s="160">
        <f>IF(ISNA(VLOOKUP("CHA621200000",Balanceanp!C:G,5,FALSE))=TRUE,0,VLOOKUP("CHA621200000",Balanceanp!C:G,5,FALSE))</f>
        <v>0</v>
      </c>
      <c r="F136" s="368">
        <f>+C136+C136/9*(12-Clients!$I$14)</f>
        <v>0</v>
      </c>
      <c r="G136" s="570">
        <f t="shared" si="12"/>
        <v>0</v>
      </c>
      <c r="H136" s="401"/>
      <c r="I136" s="149">
        <f t="shared" si="11"/>
        <v>0</v>
      </c>
      <c r="J136" s="271">
        <f t="shared" si="11"/>
        <v>0</v>
      </c>
      <c r="L136" t="s">
        <v>834</v>
      </c>
      <c r="M136" s="2">
        <f ca="1">IF($M$2="Alimentation",_xll.PALO.SETDATA(G136,FALSE,"localhost/Bati_fin_dev","Reporting","décembre","2011",$A$4,+L136,"NA",+$G$3),_xll.PALO.DATAC("localhost/Bati_fin_dev","Reporting","décembre","2011",$A$4,+L136,"NA",+$G$3))</f>
        <v>0</v>
      </c>
    </row>
    <row r="137" spans="1:13" ht="12.75">
      <c r="A137" s="5" t="s">
        <v>87</v>
      </c>
      <c r="B137" s="92"/>
      <c r="C137" s="160">
        <f>IF(ISNA(VLOOKUP("CHA706100000",Balance!C:G,5,FALSE))=TRUE,0,-VLOOKUP("CHA706100000",Balance!C:G,5,FALSE))</f>
        <v>0</v>
      </c>
      <c r="D137" s="117">
        <f>+[2]Château!$H137</f>
        <v>0</v>
      </c>
      <c r="E137" s="160">
        <f>IF(ISNA(VLOOKUP("CHA706100000",Balanceanp!C:G,5,FALSE))=TRUE,0,-VLOOKUP("CHA706100000",Balanceanp!C:G,5,FALSE))</f>
        <v>0</v>
      </c>
      <c r="F137" s="368">
        <f>+C137+C137/9*(12-Clients!$I$14)</f>
        <v>0</v>
      </c>
      <c r="G137" s="570">
        <f t="shared" si="12"/>
        <v>0</v>
      </c>
      <c r="H137" s="401"/>
      <c r="I137" s="149">
        <f t="shared" si="11"/>
        <v>0</v>
      </c>
      <c r="J137" s="271">
        <f t="shared" si="11"/>
        <v>0</v>
      </c>
      <c r="L137" t="s">
        <v>836</v>
      </c>
      <c r="M137" s="2">
        <f ca="1">IF($M$2="Alimentation",_xll.PALO.SETDATA(G137,FALSE,"localhost/Bati_fin_dev","Reporting","décembre","2011",$A$4,+L137,"NA",+$G$3),_xll.PALO.DATAC("localhost/Bati_fin_dev","Reporting","décembre","2011",$A$4,+L137,"NA",+$G$3))</f>
        <v>0</v>
      </c>
    </row>
    <row r="138" spans="1:13" ht="12.75">
      <c r="A138" s="5" t="s">
        <v>152</v>
      </c>
      <c r="B138" s="92"/>
      <c r="C138" s="160">
        <f>IF(ISNA(VLOOKUP("CHA641210000",Balance!C:G,5,FALSE))=TRUE,0,VLOOKUP("CHA641210000",Balance!C:G,5,FALSE))</f>
        <v>0</v>
      </c>
      <c r="D138" s="117">
        <f>+[2]Château!$H138</f>
        <v>0</v>
      </c>
      <c r="E138" s="160">
        <f>IF(ISNA(VLOOKUP("CHA641210000",Balanceanp!C:G,5,FALSE))=TRUE,0,VLOOKUP("CHA641210000",Balanceanp!C:G,5,FALSE))</f>
        <v>166.69000000000005</v>
      </c>
      <c r="F138" s="368">
        <f>+C138+C138/9*(12-Clients!$I$14)</f>
        <v>0</v>
      </c>
      <c r="G138" s="570">
        <f t="shared" si="12"/>
        <v>0</v>
      </c>
      <c r="H138" s="401"/>
      <c r="I138" s="149">
        <f t="shared" si="11"/>
        <v>-1</v>
      </c>
      <c r="J138" s="271">
        <f t="shared" si="11"/>
        <v>0</v>
      </c>
      <c r="L138" t="s">
        <v>819</v>
      </c>
      <c r="M138" s="2">
        <f ca="1">IF($M$2="Alimentation",_xll.PALO.SETDATA(G138,FALSE,"localhost/Bati_fin_dev","Reporting","décembre","2011",$A$4,+L138,"NA",+$G$3),_xll.PALO.DATAC("localhost/Bati_fin_dev","Reporting","décembre","2011",$A$4,+L138,"NA",+$G$3))</f>
        <v>0</v>
      </c>
    </row>
    <row r="139" spans="1:13" ht="12.75">
      <c r="A139" s="5" t="s">
        <v>153</v>
      </c>
      <c r="B139" s="92"/>
      <c r="C139" s="160">
        <f>IF(ISNA(VLOOKUP("CHA641400000",Balance!C:G,5,FALSE))=TRUE,0,VLOOKUP("CHA641400000",Balance!C:G,5,FALSE))</f>
        <v>0</v>
      </c>
      <c r="D139" s="117">
        <f>+[2]Château!$H139</f>
        <v>0</v>
      </c>
      <c r="E139" s="160">
        <f>IF(ISNA(VLOOKUP("CHA641400000",Balanceanp!C:G,5,FALSE))=TRUE,0,VLOOKUP("CHA641400000",Balanceanp!C:G,5,FALSE))</f>
        <v>0</v>
      </c>
      <c r="F139" s="368">
        <f>+C139+C139/9*(12-Clients!$I$14)</f>
        <v>0</v>
      </c>
      <c r="G139" s="570">
        <f t="shared" si="12"/>
        <v>0</v>
      </c>
      <c r="H139" s="401"/>
      <c r="I139" s="149">
        <f t="shared" si="11"/>
        <v>0</v>
      </c>
      <c r="J139" s="271">
        <f t="shared" si="11"/>
        <v>0</v>
      </c>
      <c r="L139" t="s">
        <v>816</v>
      </c>
      <c r="M139" s="2">
        <f ca="1">IF($M$2="Alimentation",_xll.PALO.SETDATA(G139,FALSE,"localhost/Bati_fin_dev","Reporting","décembre","2011",$A$4,+L139,"NA",+$G$3),_xll.PALO.DATAC("localhost/Bati_fin_dev","Reporting","décembre","2011",$A$4,+L139,"NA",+$G$3))</f>
        <v>0</v>
      </c>
    </row>
    <row r="140" spans="1:13" ht="12.75">
      <c r="A140" s="5" t="s">
        <v>154</v>
      </c>
      <c r="B140" s="92"/>
      <c r="C140" s="160">
        <f>IF(ISNA(VLOOKUP("CHA641600000",Balance!C:G,5,FALSE))=TRUE,0,VLOOKUP("CHA641600000",Balance!C:G,5,FALSE))</f>
        <v>0</v>
      </c>
      <c r="D140" s="117">
        <f>+[2]Château!$H140</f>
        <v>0</v>
      </c>
      <c r="E140" s="160">
        <f>IF(ISNA(VLOOKUP("CHA641600000",Balanceanp!C:G,5,FALSE))=TRUE,0,VLOOKUP("CHA641600000",Balanceanp!C:G,5,FALSE))</f>
        <v>0</v>
      </c>
      <c r="F140" s="368">
        <f>+C140+C140/9*(12-Clients!$I$14)</f>
        <v>0</v>
      </c>
      <c r="G140" s="570">
        <f t="shared" si="12"/>
        <v>0</v>
      </c>
      <c r="H140" s="401"/>
      <c r="I140" s="149">
        <f t="shared" si="11"/>
        <v>0</v>
      </c>
      <c r="J140" s="271">
        <f t="shared" si="11"/>
        <v>0</v>
      </c>
      <c r="L140" t="s">
        <v>818</v>
      </c>
      <c r="M140" s="2">
        <f ca="1">IF($M$2="Alimentation",_xll.PALO.SETDATA(G140,FALSE,"localhost/Bati_fin_dev","Reporting","décembre","2011",$A$4,+L140,"NA",+$G$3),_xll.PALO.DATAC("localhost/Bati_fin_dev","Reporting","décembre","2011",$A$4,+L140,"NA",+$G$3))</f>
        <v>0</v>
      </c>
    </row>
    <row r="141" spans="1:13" ht="12.75">
      <c r="A141" s="5" t="s">
        <v>155</v>
      </c>
      <c r="B141" s="92"/>
      <c r="C141" s="160">
        <f>IF(ISNA(VLOOKUP("CHA645100000",Balance!C:G,5,FALSE))=TRUE,0,VLOOKUP("CHA645100000",Balance!C:G,5,FALSE))</f>
        <v>9628.5499999999993</v>
      </c>
      <c r="D141" s="117">
        <f>+[2]Château!$H141</f>
        <v>13929.668546230943</v>
      </c>
      <c r="E141" s="160">
        <f>IF(ISNA(VLOOKUP("CHA645100000",Balanceanp!C:G,5,FALSE))=TRUE,0,VLOOKUP("CHA645100000",Balanceanp!C:G,5,FALSE))</f>
        <v>12694.54</v>
      </c>
      <c r="F141" s="368">
        <f>+C141+C141/9*(12-Clients!$I$14)</f>
        <v>12838.066666666666</v>
      </c>
      <c r="G141" s="396">
        <f t="shared" ref="G141:G146" si="13">+($G$131/$C$131*C141)*1.01</f>
        <v>13821.92555326802</v>
      </c>
      <c r="H141" s="409"/>
      <c r="I141" s="149">
        <f t="shared" si="11"/>
        <v>1.130617310014107E-2</v>
      </c>
      <c r="J141" s="271">
        <f t="shared" si="11"/>
        <v>7.663606305736749E-2</v>
      </c>
      <c r="L141" t="s">
        <v>841</v>
      </c>
      <c r="M141" s="2">
        <f ca="1">IF($M$2="Alimentation",_xll.PALO.SETDATA(G141,FALSE,"localhost/Bati_fin_dev","Reporting","décembre","2011",$A$4,+L141,"NA",+$G$3),_xll.PALO.DATAC("localhost/Bati_fin_dev","Reporting","décembre","2011",$A$4,+L141,"NA",+$G$3))</f>
        <v>13821.92555326802</v>
      </c>
    </row>
    <row r="142" spans="1:13" ht="12.75">
      <c r="A142" s="5" t="s">
        <v>156</v>
      </c>
      <c r="B142" s="92"/>
      <c r="C142" s="160">
        <f>IF(ISNA(VLOOKUP("CHA645200000",Balance!C:G,5,FALSE))=TRUE,0,VLOOKUP("CHA645200000",Balance!C:G,5,FALSE))</f>
        <v>1108.69</v>
      </c>
      <c r="D142" s="117">
        <f>+[2]Château!$H142</f>
        <v>1674.4455961175379</v>
      </c>
      <c r="E142" s="160">
        <f>IF(ISNA(VLOOKUP("CHA645200000",Balanceanp!C:G,5,FALSE))=TRUE,0,VLOOKUP("CHA645200000",Balanceanp!C:G,5,FALSE))</f>
        <v>1465.67</v>
      </c>
      <c r="F142" s="368">
        <f>+C142+C142/9*(12-Clients!$I$14)</f>
        <v>1478.2533333333333</v>
      </c>
      <c r="G142" s="396">
        <f t="shared" si="13"/>
        <v>1591.5408490014306</v>
      </c>
      <c r="H142" s="409"/>
      <c r="I142" s="149">
        <f t="shared" si="11"/>
        <v>8.5853796102350853E-3</v>
      </c>
      <c r="J142" s="271">
        <f t="shared" si="11"/>
        <v>7.663606305736767E-2</v>
      </c>
      <c r="L142" t="s">
        <v>831</v>
      </c>
      <c r="M142" s="2">
        <f ca="1">IF($M$2="Alimentation",_xll.PALO.SETDATA(G142,FALSE,"localhost/Bati_fin_dev","Reporting","décembre","2011",$A$4,+L142,"NA",+$G$3),_xll.PALO.DATAC("localhost/Bati_fin_dev","Reporting","décembre","2011",$A$4,+L142,"NA",+$G$3))</f>
        <v>1591.5408490014306</v>
      </c>
    </row>
    <row r="143" spans="1:13" ht="12.75">
      <c r="A143" s="5" t="s">
        <v>157</v>
      </c>
      <c r="B143" s="92"/>
      <c r="C143" s="160">
        <f>IF(ISNA(VLOOKUP("CHA645300000",Balance!C:G,5,FALSE))=TRUE,0,VLOOKUP("CHA645300000",Balance!C:G,5,FALSE))</f>
        <v>2438.15</v>
      </c>
      <c r="D143" s="117">
        <f>+[2]Château!$H143</f>
        <v>3462.0607458280006</v>
      </c>
      <c r="E143" s="160">
        <f>IF(ISNA(VLOOKUP("CHA645300000",Balanceanp!C:G,5,FALSE))=TRUE,0,VLOOKUP("CHA645300000",Balanceanp!C:G,5,FALSE))</f>
        <v>3090.97</v>
      </c>
      <c r="F143" s="368">
        <f>+C143+C143/9*(12-Clients!$I$14)</f>
        <v>3250.8666666666668</v>
      </c>
      <c r="G143" s="396">
        <f t="shared" si="13"/>
        <v>3500.0002895244279</v>
      </c>
      <c r="H143" s="409"/>
      <c r="I143" s="149">
        <f t="shared" si="11"/>
        <v>5.1730255119482559E-2</v>
      </c>
      <c r="J143" s="271">
        <f t="shared" si="11"/>
        <v>7.6636063057367601E-2</v>
      </c>
      <c r="L143" t="s">
        <v>871</v>
      </c>
      <c r="M143" s="2">
        <f ca="1">IF($M$2="Alimentation",_xll.PALO.SETDATA(G143,FALSE,"localhost/Bati_fin_dev","Reporting","décembre","2011",$A$4,+L143,"NA",+$G$3),_xll.PALO.DATAC("localhost/Bati_fin_dev","Reporting","décembre","2011",$A$4,+L143,"NA",+$G$3))</f>
        <v>3500.0002895244279</v>
      </c>
    </row>
    <row r="144" spans="1:13" ht="12.75">
      <c r="A144" s="5" t="s">
        <v>326</v>
      </c>
      <c r="B144" s="92"/>
      <c r="C144" s="160">
        <f>IF(ISNA(VLOOKUP("CHA645310000",Balance!C:G,5,FALSE))=TRUE,0,VLOOKUP("CHA645310000",Balance!C:G,5,FALSE))</f>
        <v>0</v>
      </c>
      <c r="D144" s="117">
        <f>+[2]Château!$H144</f>
        <v>0</v>
      </c>
      <c r="E144" s="160">
        <f>IF(ISNA(VLOOKUP("CHA645310000",Balanceanp!C:G,5,FALSE))=TRUE,0,VLOOKUP("CHA645310000",Balanceanp!C:G,5,FALSE))</f>
        <v>0</v>
      </c>
      <c r="F144" s="368">
        <f>+C144+C144/9*(12-Clients!$I$14)</f>
        <v>0</v>
      </c>
      <c r="G144" s="396">
        <f t="shared" si="13"/>
        <v>0</v>
      </c>
      <c r="H144" s="409"/>
      <c r="I144" s="149">
        <f t="shared" si="11"/>
        <v>0</v>
      </c>
      <c r="J144" s="271">
        <f t="shared" si="11"/>
        <v>0</v>
      </c>
      <c r="L144" t="s">
        <v>825</v>
      </c>
      <c r="M144" s="2">
        <f ca="1">IF($M$2="Alimentation",_xll.PALO.SETDATA(G144,FALSE,"localhost/Bati_fin_dev","Reporting","décembre","2011",$A$4,+L144,"NA",+$G$3),_xll.PALO.DATAC("localhost/Bati_fin_dev","Reporting","décembre","2011",$A$4,+L144,"NA",+$G$3))</f>
        <v>0</v>
      </c>
    </row>
    <row r="145" spans="1:13" ht="12.75">
      <c r="A145" s="5" t="s">
        <v>158</v>
      </c>
      <c r="B145" s="92"/>
      <c r="C145" s="160">
        <f>IF(ISNA(VLOOKUP("CHA645400000",Balance!C:G,5,FALSE))=TRUE,0,VLOOKUP("CHA645400000",Balance!C:G,5,FALSE))</f>
        <v>1574.1</v>
      </c>
      <c r="D145" s="117">
        <f>+[2]Château!$H145</f>
        <v>2111.6587893916544</v>
      </c>
      <c r="E145" s="160">
        <f>IF(ISNA(VLOOKUP("CHA645400000",Balanceanp!C:G,5,FALSE))=TRUE,0,VLOOKUP("CHA645400000",Balanceanp!C:G,5,FALSE))</f>
        <v>1919.5</v>
      </c>
      <c r="F145" s="368">
        <f>+C145+C145/9*(12-Clients!$I$14)</f>
        <v>2098.7999999999997</v>
      </c>
      <c r="G145" s="396">
        <f t="shared" si="13"/>
        <v>2259.6437691448027</v>
      </c>
      <c r="H145" s="409"/>
      <c r="I145" s="149">
        <f t="shared" si="11"/>
        <v>9.3409742120343697E-2</v>
      </c>
      <c r="J145" s="271">
        <f t="shared" si="11"/>
        <v>7.6636063057367546E-2</v>
      </c>
      <c r="L145" t="s">
        <v>812</v>
      </c>
      <c r="M145" s="2">
        <f ca="1">IF($M$2="Alimentation",_xll.PALO.SETDATA(G145,FALSE,"localhost/Bati_fin_dev","Reporting","décembre","2011",$A$4,+L145,"NA",+$G$3),_xll.PALO.DATAC("localhost/Bati_fin_dev","Reporting","décembre","2011",$A$4,+L145,"NA",+$G$3))</f>
        <v>2259.6437691448027</v>
      </c>
    </row>
    <row r="146" spans="1:13" ht="12.75">
      <c r="A146" s="5" t="s">
        <v>159</v>
      </c>
      <c r="B146" s="92"/>
      <c r="C146" s="160">
        <f>IF(ISNA(VLOOKUP("CHA645800000",Balance!C:G,5,FALSE))=TRUE,0,VLOOKUP("CHA645800000",Balance!C:G,5,FALSE))</f>
        <v>0</v>
      </c>
      <c r="D146" s="117">
        <f>+[2]Château!$H146</f>
        <v>0</v>
      </c>
      <c r="E146" s="160">
        <f>IF(ISNA(VLOOKUP("CHA645800000",Balanceanp!C:G,5,FALSE))=TRUE,0,VLOOKUP("CHA645800000",Balanceanp!C:G,5,FALSE))</f>
        <v>0</v>
      </c>
      <c r="F146" s="368">
        <f>+C146+C146/9*(12-Clients!$I$14)</f>
        <v>0</v>
      </c>
      <c r="G146" s="396">
        <f t="shared" si="13"/>
        <v>0</v>
      </c>
      <c r="H146" s="409"/>
      <c r="I146" s="149">
        <f t="shared" si="11"/>
        <v>0</v>
      </c>
      <c r="J146" s="271">
        <f t="shared" si="11"/>
        <v>0</v>
      </c>
      <c r="L146" t="s">
        <v>829</v>
      </c>
      <c r="M146" s="2">
        <f ca="1">IF($M$2="Alimentation",_xll.PALO.SETDATA(G146,FALSE,"localhost/Bati_fin_dev","Reporting","décembre","2011",$A$4,+L146,"NA",+$G$3),_xll.PALO.DATAC("localhost/Bati_fin_dev","Reporting","décembre","2011",$A$4,+L146,"NA",+$G$3))</f>
        <v>0</v>
      </c>
    </row>
    <row r="147" spans="1:13" ht="12.75">
      <c r="A147" s="5" t="s">
        <v>160</v>
      </c>
      <c r="B147" s="92"/>
      <c r="C147" s="160">
        <f>IF(ISNA(VLOOKUP("CHA645900000",Balance!C:G,5,FALSE))=TRUE,0,VLOOKUP("CHA645900000",Balance!C:G,5,FALSE))</f>
        <v>351.52</v>
      </c>
      <c r="D147" s="117">
        <f>+[2]Château!$H147</f>
        <v>76.271500000000003</v>
      </c>
      <c r="E147" s="160">
        <f>IF(ISNA(VLOOKUP("CHA645900000",Balanceanp!C:G,5,FALSE))=TRUE,0,VLOOKUP("CHA645900000",Balanceanp!C:G,5,FALSE))</f>
        <v>-0.96</v>
      </c>
      <c r="F147" s="368">
        <f>+C147+C147/9*(12-Clients!$I$14)</f>
        <v>468.69333333333327</v>
      </c>
      <c r="G147" s="396">
        <f>+F147*1.03</f>
        <v>482.7541333333333</v>
      </c>
      <c r="H147" s="409"/>
      <c r="I147" s="149">
        <f t="shared" ref="I147:J152" si="14">+IF((E147)=0,,(F147-E147)/E147)</f>
        <v>-489.22222222222217</v>
      </c>
      <c r="J147" s="271">
        <f t="shared" si="14"/>
        <v>3.0000000000000065E-2</v>
      </c>
      <c r="L147" t="s">
        <v>820</v>
      </c>
      <c r="M147" s="2">
        <f ca="1">IF($M$2="Alimentation",_xll.PALO.SETDATA(G147,FALSE,"localhost/Bati_fin_dev","Reporting","décembre","2011",$A$4,+L147,"NA",+$G$3),_xll.PALO.DATAC("localhost/Bati_fin_dev","Reporting","décembre","2011",$A$4,+L147,"NA",+$G$3))</f>
        <v>482.7541333333333</v>
      </c>
    </row>
    <row r="148" spans="1:13" ht="12.75">
      <c r="A148" s="5" t="s">
        <v>161</v>
      </c>
      <c r="B148" s="92"/>
      <c r="C148" s="160">
        <f>IF(ISNA(VLOOKUP("CHA647100000",Balance!C:G,5,FALSE))=TRUE,0,VLOOKUP("CHA647100000",Balance!C:G,5,FALSE))</f>
        <v>0</v>
      </c>
      <c r="D148" s="117">
        <f>+[2]Château!$H148</f>
        <v>18.677144500000001</v>
      </c>
      <c r="E148" s="160">
        <f>IF(ISNA(VLOOKUP("CHA647100000",Balanceanp!C:G,5,FALSE))=TRUE,0,VLOOKUP("CHA647100000",Balanceanp!C:G,5,FALSE))</f>
        <v>39.6</v>
      </c>
      <c r="F148" s="368">
        <f>+C148+C148/9*(12-Clients!$I$14)</f>
        <v>0</v>
      </c>
      <c r="G148" s="396">
        <f>+F148*1.03</f>
        <v>0</v>
      </c>
      <c r="H148" s="409"/>
      <c r="I148" s="149">
        <f t="shared" si="14"/>
        <v>-1</v>
      </c>
      <c r="J148" s="271">
        <f t="shared" si="14"/>
        <v>0</v>
      </c>
      <c r="L148" t="s">
        <v>824</v>
      </c>
      <c r="M148" s="2">
        <f ca="1">IF($M$2="Alimentation",_xll.PALO.SETDATA(G148,FALSE,"localhost/Bati_fin_dev","Reporting","décembre","2011",$A$4,+L148,"NA",+$G$3),_xll.PALO.DATAC("localhost/Bati_fin_dev","Reporting","décembre","2011",$A$4,+L148,"NA",+$G$3))</f>
        <v>0</v>
      </c>
    </row>
    <row r="149" spans="1:13" ht="12.75">
      <c r="A149" s="5" t="s">
        <v>162</v>
      </c>
      <c r="B149" s="92"/>
      <c r="C149" s="160">
        <f>IF(ISNA(VLOOKUP("CHA647400000",Balance!C:G,5,FALSE))=TRUE,0,VLOOKUP("CHA647400000",Balance!C:G,5,FALSE))</f>
        <v>0</v>
      </c>
      <c r="D149" s="117">
        <f>+[2]Château!$H149</f>
        <v>0</v>
      </c>
      <c r="E149" s="160">
        <f>IF(ISNA(VLOOKUP("CHA647400000",Balanceanp!C:G,5,FALSE))=TRUE,0,VLOOKUP("CHA647400000",Balanceanp!C:G,5,FALSE))</f>
        <v>0</v>
      </c>
      <c r="F149" s="368">
        <f>+C149+C149/9*(12-Clients!$I$14)</f>
        <v>0</v>
      </c>
      <c r="G149" s="396">
        <f>+F149*1.03</f>
        <v>0</v>
      </c>
      <c r="H149" s="409"/>
      <c r="I149" s="149">
        <f t="shared" si="14"/>
        <v>0</v>
      </c>
      <c r="J149" s="271">
        <f t="shared" si="14"/>
        <v>0</v>
      </c>
      <c r="L149" t="s">
        <v>832</v>
      </c>
      <c r="M149" s="2">
        <f ca="1">IF($M$2="Alimentation",_xll.PALO.SETDATA(G149,FALSE,"localhost/Bati_fin_dev","Reporting","décembre","2011",$A$4,+L149,"NA",+$G$3),_xll.PALO.DATAC("localhost/Bati_fin_dev","Reporting","décembre","2011",$A$4,+L149,"NA",+$G$3))</f>
        <v>0</v>
      </c>
    </row>
    <row r="150" spans="1:13" ht="12.75">
      <c r="A150" s="5" t="s">
        <v>163</v>
      </c>
      <c r="B150" s="92"/>
      <c r="C150" s="160">
        <f>IF(ISNA(VLOOKUP("CHA647500000",Balance!C:G,5,FALSE))=TRUE,0,VLOOKUP("CHA647500000",Balance!C:G,5,FALSE))</f>
        <v>117.05</v>
      </c>
      <c r="D150" s="117">
        <f>+[2]Château!$H150</f>
        <v>162.4355974525302</v>
      </c>
      <c r="E150" s="160">
        <f>IF(ISNA(VLOOKUP("CHA647500000",Balanceanp!C:G,5,FALSE))=TRUE,0,VLOOKUP("CHA647500000",Balanceanp!C:G,5,FALSE))</f>
        <v>110.33</v>
      </c>
      <c r="F150" s="368">
        <f>+C150+C150/9*(12-Clients!$I$14)</f>
        <v>156.06666666666666</v>
      </c>
      <c r="G150" s="396">
        <f>+F150*1.03</f>
        <v>160.74866666666668</v>
      </c>
      <c r="H150" s="409"/>
      <c r="I150" s="149">
        <f t="shared" si="14"/>
        <v>0.41454424604972956</v>
      </c>
      <c r="J150" s="271">
        <f t="shared" si="14"/>
        <v>3.0000000000000106E-2</v>
      </c>
      <c r="L150" t="s">
        <v>830</v>
      </c>
      <c r="M150" s="2">
        <f ca="1">IF($M$2="Alimentation",_xll.PALO.SETDATA(G150,FALSE,"localhost/Bati_fin_dev","Reporting","décembre","2011",$A$4,+L150,"NA",+$G$3),_xll.PALO.DATAC("localhost/Bati_fin_dev","Reporting","décembre","2011",$A$4,+L150,"NA",+$G$3))</f>
        <v>160.74866666666668</v>
      </c>
    </row>
    <row r="151" spans="1:13" ht="12.75">
      <c r="A151" s="5" t="s">
        <v>570</v>
      </c>
      <c r="B151" s="92"/>
      <c r="C151" s="160"/>
      <c r="D151" s="117">
        <f>+[2]Château!$H151</f>
        <v>0</v>
      </c>
      <c r="E151" s="160"/>
      <c r="F151" s="368"/>
      <c r="G151" s="395"/>
      <c r="H151" s="409"/>
      <c r="I151" s="149"/>
      <c r="J151" s="271"/>
      <c r="L151" t="s">
        <v>867</v>
      </c>
      <c r="M151" s="2" t="e">
        <f ca="1">IF($M$2="Alimentation",_xll.PALO.SETDATA(G151,FALSE,"localhost/Bati_fin_dev","Reporting","décembre","2011",$A$4,+L151,"NA",+$G$3),_xll.PALO.DATAC("localhost/Bati_fin_dev","Reporting","décembre","2011",$A$4,+L151,"NA",+$G$3))</f>
        <v>#VALUE!</v>
      </c>
    </row>
    <row r="152" spans="1:13" ht="12.75">
      <c r="A152" s="5" t="s">
        <v>58</v>
      </c>
      <c r="B152" s="92"/>
      <c r="C152" s="160">
        <f>IF(ISNA(VLOOKUP("CHA648000000",Balance!C:G,5,FALSE))=TRUE,0,VLOOKUP("CHA648000000",Balance!C:G,5,FALSE))</f>
        <v>0</v>
      </c>
      <c r="D152" s="117">
        <f>+[2]Château!$H152</f>
        <v>0</v>
      </c>
      <c r="E152" s="160">
        <f>IF(ISNA(VLOOKUP("CHA648000000",Balanceanp!C:G,5,FALSE))=TRUE,0,VLOOKUP("CHA648000000",Balanceanp!C:G,5,FALSE))</f>
        <v>164.11199999999999</v>
      </c>
      <c r="F152" s="368">
        <f>+C152+C152/9*(12-Clients!$I$14)</f>
        <v>0</v>
      </c>
      <c r="G152" s="396">
        <f>+F152*1.03</f>
        <v>0</v>
      </c>
      <c r="H152" s="409"/>
      <c r="I152" s="149">
        <f t="shared" si="14"/>
        <v>-1</v>
      </c>
      <c r="J152" s="271">
        <f t="shared" si="14"/>
        <v>0</v>
      </c>
      <c r="L152" t="s">
        <v>813</v>
      </c>
      <c r="M152" s="2">
        <f ca="1">IF($M$2="Alimentation",_xll.PALO.SETDATA(G152,FALSE,"localhost/Bati_fin_dev","Reporting","décembre","2011",$A$4,+L152,"NA",+$G$3),_xll.PALO.DATAC("localhost/Bati_fin_dev","Reporting","décembre","2011",$A$4,+L152,"NA",+$G$3))</f>
        <v>0</v>
      </c>
    </row>
    <row r="153" spans="1:13" ht="12.75">
      <c r="A153" s="5"/>
      <c r="B153" s="92"/>
      <c r="C153" s="160"/>
      <c r="D153" s="117"/>
      <c r="E153" s="160"/>
      <c r="F153" s="143"/>
      <c r="G153" s="143"/>
      <c r="H153" s="411"/>
      <c r="I153" s="149"/>
      <c r="J153" s="254"/>
      <c r="L153" t="e">
        <v>#N/A</v>
      </c>
      <c r="M153" s="2" t="e">
        <f ca="1">IF($M$2="Alimentation",_xll.PALO.SETDATA(G153,FALSE,"localhost/Bati_fin_dev","Reporting","décembre","2011",$A$4,+L153,"NA",+$G$3),_xll.PALO.DATAC("localhost/Bati_fin_dev","Reporting","décembre","2011",$A$4,+L153,"NA",+$G$3))</f>
        <v>#VALUE!</v>
      </c>
    </row>
    <row r="154" spans="1:13" s="33" customFormat="1" ht="15" customHeight="1">
      <c r="A154" s="13" t="s">
        <v>164</v>
      </c>
      <c r="B154" s="93">
        <f>+C154/$C$21</f>
        <v>0.1538061705960517</v>
      </c>
      <c r="C154" s="163">
        <f>SUM(C130:C153)</f>
        <v>54668.450000000004</v>
      </c>
      <c r="D154" s="118">
        <f>SUM(D130:D153)</f>
        <v>78435.21791952067</v>
      </c>
      <c r="E154" s="163">
        <f>SUM(E130:E153)</f>
        <v>77419.521999999997</v>
      </c>
      <c r="F154" s="136">
        <f>SUM(F130:F153)</f>
        <v>72891.266666666663</v>
      </c>
      <c r="G154" s="136">
        <f>SUM(G130:G153)</f>
        <v>78316.613260938699</v>
      </c>
      <c r="H154" s="421">
        <f>+G154/$G$21</f>
        <v>0.15805572807454835</v>
      </c>
      <c r="I154" s="272">
        <f>+IF((E154)=0,,(F154-E154)/E154)</f>
        <v>-5.8489838432912757E-2</v>
      </c>
      <c r="J154" s="188">
        <f>+IF((F154)=0,,(G154-F154)/F154)</f>
        <v>7.4430680688843884E-2</v>
      </c>
      <c r="L154" t="e">
        <v>#N/A</v>
      </c>
      <c r="M154" s="2" t="e">
        <f ca="1">IF($M$2="Alimentation",_xll.PALO.SETDATA(G154,FALSE,"localhost/Bati_fin_dev","Reporting","décembre","2011",$A$4,+L154,"NA",+$G$3),_xll.PALO.DATAC("localhost/Bati_fin_dev","Reporting","décembre","2011",$A$4,+L154,"NA",+$G$3))</f>
        <v>#VALUE!</v>
      </c>
    </row>
    <row r="155" spans="1:13" ht="12.75">
      <c r="A155" s="5"/>
      <c r="B155" s="92"/>
      <c r="C155" s="160"/>
      <c r="D155" s="115"/>
      <c r="E155" s="160"/>
      <c r="F155" s="143"/>
      <c r="G155" s="143"/>
      <c r="H155" s="411"/>
      <c r="I155" s="149"/>
      <c r="J155" s="254"/>
      <c r="L155" t="e">
        <v>#N/A</v>
      </c>
      <c r="M155" s="2" t="e">
        <f ca="1">IF($M$2="Alimentation",_xll.PALO.SETDATA(G155,FALSE,"localhost/Bati_fin_dev","Reporting","décembre","2011",$A$4,+L155,"NA",+$G$3),_xll.PALO.DATAC("localhost/Bati_fin_dev","Reporting","décembre","2011",$A$4,+L155,"NA",+$G$3))</f>
        <v>#VALUE!</v>
      </c>
    </row>
    <row r="156" spans="1:13" ht="12.75">
      <c r="A156" s="5" t="s">
        <v>545</v>
      </c>
      <c r="B156" s="92">
        <v>0.89449999999999996</v>
      </c>
      <c r="C156" s="160">
        <f>IF(ISNA(VLOOKUP("CHA681740000",Balance!C:G,5,FALSE))=TRUE,0,VLOOKUP("CHA681740000",Balance!C:G,5,FALSE))</f>
        <v>3553.82</v>
      </c>
      <c r="D156" s="117">
        <f>+[2]Château!$H156</f>
        <v>7932.8402999999998</v>
      </c>
      <c r="E156" s="160">
        <f>IF(ISNA(VLOOKUP("CHA681740000",Balanceanp!C:G,5,FALSE))=TRUE,0,VLOOKUP("CHA681740000",Balanceanp!C:G,5,FALSE))</f>
        <v>5519.8</v>
      </c>
      <c r="F156" s="368">
        <f>+C156+C156/9*(12-Clients!$I$14)</f>
        <v>4738.4266666666672</v>
      </c>
      <c r="G156" s="570">
        <f>+G21*B156*1.62%</f>
        <v>7180.2409500000012</v>
      </c>
      <c r="H156" s="413"/>
      <c r="I156" s="149">
        <f t="shared" ref="I156:J166" si="15">+IF((E156)=0,,(F156-E156)/E156)</f>
        <v>-0.14155826901940885</v>
      </c>
      <c r="J156" s="271">
        <f t="shared" si="15"/>
        <v>0.515321741815849</v>
      </c>
      <c r="L156" t="e">
        <v>#N/A</v>
      </c>
      <c r="M156" s="2" t="e">
        <f ca="1">IF($M$2="Alimentation",_xll.PALO.SETDATA(G156,FALSE,"localhost/Bati_fin_dev","Reporting","décembre","2011",$A$4,+L156,"NA",+$G$3),_xll.PALO.DATAC("localhost/Bati_fin_dev","Reporting","décembre","2011",$A$4,+L156,"NA",+$G$3))</f>
        <v>#VALUE!</v>
      </c>
    </row>
    <row r="157" spans="1:13" ht="12.75">
      <c r="A157" s="5" t="s">
        <v>165</v>
      </c>
      <c r="B157" s="92"/>
      <c r="C157" s="160">
        <f>IF(ISNA(VLOOKUP("CHA781740000",Balance!C:G,5,FALSE))=TRUE,0,VLOOKUP("CHA781740000",Balance!C:G,5,FALSE))</f>
        <v>0</v>
      </c>
      <c r="D157" s="117">
        <f>+[2]Château!$H157</f>
        <v>0</v>
      </c>
      <c r="E157" s="160">
        <f>IF(ISNA(VLOOKUP("CHA781740000",Balanceanp!C:G,5,FALSE))=TRUE,0,VLOOKUP("CHA781740000",Balanceanp!C:G,5,FALSE))</f>
        <v>-52.25</v>
      </c>
      <c r="F157" s="368">
        <f>+C157+C157/9*(12-Clients!$I$14)</f>
        <v>0</v>
      </c>
      <c r="G157" s="396">
        <v>0</v>
      </c>
      <c r="H157" s="409"/>
      <c r="I157" s="149">
        <f t="shared" si="15"/>
        <v>-1</v>
      </c>
      <c r="J157" s="271">
        <f t="shared" si="15"/>
        <v>0</v>
      </c>
      <c r="L157" t="s">
        <v>851</v>
      </c>
      <c r="M157" s="2">
        <f ca="1">IF($M$2="Alimentation",_xll.PALO.SETDATA(G157,FALSE,"localhost/Bati_fin_dev","Reporting","décembre","2011",$A$4,+L157,"NA",+$G$3),_xll.PALO.DATAC("localhost/Bati_fin_dev","Reporting","décembre","2011",$A$4,+L157,"NA",+$G$3))</f>
        <v>0</v>
      </c>
    </row>
    <row r="158" spans="1:13" ht="12.75">
      <c r="A158" s="5" t="s">
        <v>166</v>
      </c>
      <c r="B158" s="92"/>
      <c r="C158" s="160">
        <f>IF(ISNA(VLOOKUP("CHA654400000",Balance!C:G,5,FALSE))=TRUE,0,VLOOKUP("CHA654400000",Balance!C:G,5,FALSE))</f>
        <v>0</v>
      </c>
      <c r="D158" s="117">
        <f>+[2]Château!$H158</f>
        <v>0</v>
      </c>
      <c r="E158" s="160">
        <f>IF(ISNA(VLOOKUP("CHA654400000",Balanceanp!C:G,5,FALSE))=TRUE,0,VLOOKUP("CHA654400000",Balanceanp!C:G,5,FALSE))</f>
        <v>191.7</v>
      </c>
      <c r="F158" s="368">
        <f>+C158+C158/9*(12-Clients!$I$14)</f>
        <v>0</v>
      </c>
      <c r="G158" s="396">
        <v>0</v>
      </c>
      <c r="H158" s="409"/>
      <c r="I158" s="149">
        <f t="shared" si="15"/>
        <v>-1</v>
      </c>
      <c r="J158" s="271">
        <f t="shared" si="15"/>
        <v>0</v>
      </c>
      <c r="L158" t="s">
        <v>844</v>
      </c>
      <c r="M158" s="2">
        <f ca="1">IF($M$2="Alimentation",_xll.PALO.SETDATA(G158,FALSE,"localhost/Bati_fin_dev","Reporting","décembre","2011",$A$4,+L158,"NA",+$G$3),_xll.PALO.DATAC("localhost/Bati_fin_dev","Reporting","décembre","2011",$A$4,+L158,"NA",+$G$3))</f>
        <v>0</v>
      </c>
    </row>
    <row r="159" spans="1:13" ht="12.75">
      <c r="A159" s="5" t="s">
        <v>60</v>
      </c>
      <c r="B159" s="92"/>
      <c r="C159" s="160">
        <f>IF(ISNA(VLOOKUP("CHA791100000",Balance!C:G,5,FALSE))=TRUE,0,VLOOKUP("CHA791100000",Balance!C:G,5,FALSE))</f>
        <v>0</v>
      </c>
      <c r="D159" s="117">
        <f>+[2]Château!$H159</f>
        <v>0</v>
      </c>
      <c r="E159" s="160">
        <f>IF(ISNA(VLOOKUP("CHA791100000",Balanceanp!C:G,5,FALSE))=TRUE,0,VLOOKUP("CHA791100000",Balanceanp!C:G,5,FALSE))</f>
        <v>0</v>
      </c>
      <c r="F159" s="368">
        <f>+C159+C159/9*(12-Clients!$I$14)</f>
        <v>0</v>
      </c>
      <c r="G159" s="396">
        <v>0</v>
      </c>
      <c r="H159" s="409"/>
      <c r="I159" s="149">
        <f t="shared" si="15"/>
        <v>0</v>
      </c>
      <c r="J159" s="271">
        <f t="shared" si="15"/>
        <v>0</v>
      </c>
      <c r="L159" t="s">
        <v>849</v>
      </c>
      <c r="M159" s="2">
        <f ca="1">IF($M$2="Alimentation",_xll.PALO.SETDATA(G159,FALSE,"localhost/Bati_fin_dev","Reporting","décembre","2011",$A$4,+L159,"NA",+$G$3),_xll.PALO.DATAC("localhost/Bati_fin_dev","Reporting","décembre","2011",$A$4,+L159,"NA",+$G$3))</f>
        <v>0</v>
      </c>
    </row>
    <row r="160" spans="1:13" ht="12.75">
      <c r="A160" s="5" t="s">
        <v>199</v>
      </c>
      <c r="B160" s="92"/>
      <c r="C160" s="160">
        <f>IF(ISNA(VLOOKUP("CHA654100000",Balance!C:G,5,FALSE))=TRUE,0,VLOOKUP("CHA654100000",Balance!C:G,5,FALSE))</f>
        <v>0.52</v>
      </c>
      <c r="D160" s="117">
        <f>+[2]Château!$H160</f>
        <v>0</v>
      </c>
      <c r="E160" s="160">
        <f>IF(ISNA(VLOOKUP("CHA654100000",Balanceanp!C:G,5,FALSE))=TRUE,0,VLOOKUP("CHA654100000",Balanceanp!C:G,5,FALSE))</f>
        <v>-5.9999999999999942E-2</v>
      </c>
      <c r="F160" s="368">
        <f>+C160+C160/9*(12-Clients!$I$14)</f>
        <v>0.69333333333333336</v>
      </c>
      <c r="G160" s="396">
        <v>0</v>
      </c>
      <c r="H160" s="409"/>
      <c r="I160" s="149">
        <f t="shared" si="15"/>
        <v>-12.555555555555568</v>
      </c>
      <c r="J160" s="271">
        <f t="shared" si="15"/>
        <v>-1</v>
      </c>
      <c r="L160" t="s">
        <v>850</v>
      </c>
      <c r="M160" s="2">
        <f ca="1">IF($M$2="Alimentation",_xll.PALO.SETDATA(G160,FALSE,"localhost/Bati_fin_dev","Reporting","décembre","2011",$A$4,+L160,"NA",+$G$3),_xll.PALO.DATAC("localhost/Bati_fin_dev","Reporting","décembre","2011",$A$4,+L160,"NA",+$G$3))</f>
        <v>0</v>
      </c>
    </row>
    <row r="161" spans="1:13" ht="12.75">
      <c r="A161" s="5" t="s">
        <v>41</v>
      </c>
      <c r="B161" s="92"/>
      <c r="C161" s="160">
        <f>IF(ISNA(VLOOKUP("CHA622700000",Balance!C:G,5,FALSE))=TRUE,0,VLOOKUP("CHA622700000",Balance!C:G,5,FALSE))</f>
        <v>0</v>
      </c>
      <c r="D161" s="117">
        <f>+[2]Château!$H161</f>
        <v>81.724649022234388</v>
      </c>
      <c r="E161" s="160">
        <f>IF(ISNA(VLOOKUP("CHA622700000",Balanceanp!C:G,5,FALSE))=TRUE,0,VLOOKUP("CHA622700000",Balanceanp!C:G,5,FALSE))</f>
        <v>0</v>
      </c>
      <c r="F161" s="368">
        <f>+C161+C161/9*(12-Clients!$I$14)</f>
        <v>0</v>
      </c>
      <c r="G161" s="396">
        <f t="shared" ref="G161:G166" si="16">+F161*1.03</f>
        <v>0</v>
      </c>
      <c r="H161" s="409"/>
      <c r="I161" s="149">
        <f t="shared" si="15"/>
        <v>0</v>
      </c>
      <c r="J161" s="271">
        <f t="shared" si="15"/>
        <v>0</v>
      </c>
      <c r="L161" t="s">
        <v>846</v>
      </c>
      <c r="M161" s="2">
        <f ca="1">IF($M$2="Alimentation",_xll.PALO.SETDATA(G161,FALSE,"localhost/Bati_fin_dev","Reporting","décembre","2011",$A$4,+L161,"NA",+$G$3),_xll.PALO.DATAC("localhost/Bati_fin_dev","Reporting","décembre","2011",$A$4,+L161,"NA",+$G$3))</f>
        <v>0</v>
      </c>
    </row>
    <row r="162" spans="1:13" ht="12.75">
      <c r="A162" s="5" t="s">
        <v>355</v>
      </c>
      <c r="B162" s="92"/>
      <c r="C162" s="160">
        <f>IF(ISNA(VLOOKUP("CHA654200000",Balance!C:G,5,FALSE))=TRUE,0,VLOOKUP("CHA654200000",Balance!C:G,5,FALSE))</f>
        <v>0</v>
      </c>
      <c r="D162" s="117">
        <f>+[2]Château!$H162</f>
        <v>0.13420129352569446</v>
      </c>
      <c r="E162" s="160">
        <f>IF(ISNA(VLOOKUP("CHA654200000",Balanceanp!C:G,5,FALSE))=TRUE,0,VLOOKUP("CHA654200000",Balanceanp!C:G,5,FALSE))</f>
        <v>0</v>
      </c>
      <c r="F162" s="368">
        <f>+C162+C162/9*(12-Clients!$I$14)</f>
        <v>0</v>
      </c>
      <c r="G162" s="396">
        <f t="shared" si="16"/>
        <v>0</v>
      </c>
      <c r="H162" s="409"/>
      <c r="I162" s="149">
        <f t="shared" si="15"/>
        <v>0</v>
      </c>
      <c r="J162" s="271">
        <f t="shared" si="15"/>
        <v>0</v>
      </c>
      <c r="L162" t="s">
        <v>847</v>
      </c>
      <c r="M162" s="2">
        <f ca="1">IF($M$2="Alimentation",_xll.PALO.SETDATA(G162,FALSE,"localhost/Bati_fin_dev","Reporting","décembre","2011",$A$4,+L162,"NA",+$G$3),_xll.PALO.DATAC("localhost/Bati_fin_dev","Reporting","décembre","2011",$A$4,+L162,"NA",+$G$3))</f>
        <v>0</v>
      </c>
    </row>
    <row r="163" spans="1:13" ht="12.75">
      <c r="A163" s="5" t="s">
        <v>200</v>
      </c>
      <c r="B163" s="92"/>
      <c r="C163" s="160">
        <f>IF(ISNA(VLOOKUP("CHA665000000",Balance!C:G,5,FALSE))=TRUE,0,VLOOKUP("CHA665000000",Balance!C:G,5,FALSE))+IF(ISNA(VLOOKUP("CHA665100000",Balance!C:G,5,FALSE))=TRUE,0,VLOOKUP("CHA665100000",Balance!C:G,5,FALSE))</f>
        <v>13.7</v>
      </c>
      <c r="D163" s="117">
        <f>+[2]Château!$H163</f>
        <v>1.9883218350694445</v>
      </c>
      <c r="E163" s="160">
        <f>IF(ISNA(VLOOKUP("CHA665000000",Balanceanp!C:G,5,FALSE))=TRUE,0,VLOOKUP("CHA665000000",Balanceanp!C:G,5,FALSE))+IF(ISNA(VLOOKUP("CHA665100000",Balanceanp!C:G,5,FALSE))=TRUE,0,VLOOKUP("CHA665100000",Balanceanp!C:G,5,FALSE))</f>
        <v>0</v>
      </c>
      <c r="F163" s="368">
        <f>+C163+C163/9*(12-Clients!$I$14)</f>
        <v>18.266666666666666</v>
      </c>
      <c r="G163" s="396">
        <f t="shared" si="16"/>
        <v>18.814666666666668</v>
      </c>
      <c r="H163" s="409"/>
      <c r="I163" s="149">
        <f t="shared" si="15"/>
        <v>0</v>
      </c>
      <c r="J163" s="271">
        <f t="shared" si="15"/>
        <v>3.00000000000001E-2</v>
      </c>
      <c r="L163" t="s">
        <v>845</v>
      </c>
      <c r="M163" s="2">
        <f ca="1">IF($M$2="Alimentation",_xll.PALO.SETDATA(G163,FALSE,"localhost/Bati_fin_dev","Reporting","décembre","2011",$A$4,+L163,"NA",+$G$3),_xll.PALO.DATAC("localhost/Bati_fin_dev","Reporting","décembre","2011",$A$4,+L163,"NA",+$G$3))</f>
        <v>18.814666666666668</v>
      </c>
    </row>
    <row r="164" spans="1:13" ht="12.75">
      <c r="A164" s="5" t="s">
        <v>271</v>
      </c>
      <c r="B164" s="92"/>
      <c r="C164" s="160">
        <f>IF(ISNA(VLOOKUP("CHA763000000",Balance!C:G,5,FALSE))=TRUE,0,VLOOKUP("CHA763000000",Balance!C:G,5,FALSE))</f>
        <v>-34.5</v>
      </c>
      <c r="D164" s="117">
        <f>+[2]Château!$H164</f>
        <v>-5.085667767853125</v>
      </c>
      <c r="E164" s="160">
        <f>IF(ISNA(VLOOKUP("CHA763000000",Balanceanp!C:G,5,FALSE))=TRUE,0,VLOOKUP("CHA763000000",Balanceanp!C:G,5,FALSE))</f>
        <v>-20.799999999999997</v>
      </c>
      <c r="F164" s="368">
        <f>+C164+C164/9*(12-Clients!$I$14)</f>
        <v>-46</v>
      </c>
      <c r="G164" s="396">
        <f t="shared" si="16"/>
        <v>-47.38</v>
      </c>
      <c r="H164" s="409"/>
      <c r="I164" s="149">
        <f t="shared" si="15"/>
        <v>1.2115384615384619</v>
      </c>
      <c r="J164" s="271">
        <f t="shared" si="15"/>
        <v>3.0000000000000054E-2</v>
      </c>
      <c r="L164" t="s">
        <v>848</v>
      </c>
      <c r="M164" s="2">
        <f ca="1">IF($M$2="Alimentation",_xll.PALO.SETDATA(G164,FALSE,"localhost/Bati_fin_dev","Reporting","décembre","2011",$A$4,+L164,"NA",+$G$3),_xll.PALO.DATAC("localhost/Bati_fin_dev","Reporting","décembre","2011",$A$4,+L164,"NA",+$G$3))</f>
        <v>-47.38</v>
      </c>
    </row>
    <row r="165" spans="1:13" ht="12.75">
      <c r="A165" s="5" t="s">
        <v>242</v>
      </c>
      <c r="B165" s="92"/>
      <c r="C165" s="160">
        <f>IF(ISNA(VLOOKUP("CHA627520000",Balance!C:G,5,FALSE))=TRUE,0,VLOOKUP("CHA627520000",Balance!C:G,5,FALSE))</f>
        <v>106.5</v>
      </c>
      <c r="D165" s="117">
        <f>+[2]Château!$H165</f>
        <v>173.78359401583955</v>
      </c>
      <c r="E165" s="160">
        <f>IF(ISNA(VLOOKUP("CHA627520000",Balanceanp!C:G,5,FALSE))=TRUE,0,VLOOKUP("CHA627520000",Balanceanp!C:G,5,FALSE))</f>
        <v>169.7</v>
      </c>
      <c r="F165" s="368">
        <f>+C165+C165/9*(12-Clients!$I$14)</f>
        <v>142</v>
      </c>
      <c r="G165" s="396">
        <f t="shared" si="16"/>
        <v>146.26</v>
      </c>
      <c r="H165" s="409"/>
      <c r="I165" s="149">
        <f t="shared" si="15"/>
        <v>-0.16322922804949905</v>
      </c>
      <c r="J165" s="271">
        <f t="shared" si="15"/>
        <v>2.9999999999999936E-2</v>
      </c>
      <c r="L165" t="s">
        <v>843</v>
      </c>
      <c r="M165" s="2">
        <f ca="1">IF($M$2="Alimentation",_xll.PALO.SETDATA(G165,FALSE,"localhost/Bati_fin_dev","Reporting","décembre","2011",$A$4,+L165,"NA",+$G$3),_xll.PALO.DATAC("localhost/Bati_fin_dev","Reporting","décembre","2011",$A$4,+L165,"NA",+$G$3))</f>
        <v>146.26</v>
      </c>
    </row>
    <row r="166" spans="1:13" ht="12.75">
      <c r="A166" s="5" t="s">
        <v>201</v>
      </c>
      <c r="B166" s="92"/>
      <c r="C166" s="160">
        <f>IF(ISNA(VLOOKUP("CHA763100000",Balance!C:G,5,FALSE))=TRUE,0,VLOOKUP("CHA763100000",Balance!C:G,5,FALSE))</f>
        <v>0</v>
      </c>
      <c r="D166" s="117">
        <f>+[2]Château!$H166</f>
        <v>0</v>
      </c>
      <c r="E166" s="160">
        <f>IF(ISNA(VLOOKUP("CHA763100000",Balanceanp!C:G,5,FALSE))=TRUE,0,VLOOKUP("CHA763100000",Balanceanp!C:G,5,FALSE))</f>
        <v>0</v>
      </c>
      <c r="F166" s="368">
        <f>+C166+C166/9*(12-Clients!$I$14)</f>
        <v>0</v>
      </c>
      <c r="G166" s="396">
        <f t="shared" si="16"/>
        <v>0</v>
      </c>
      <c r="H166" s="409"/>
      <c r="I166" s="149">
        <f t="shared" si="15"/>
        <v>0</v>
      </c>
      <c r="J166" s="271">
        <f t="shared" si="15"/>
        <v>0</v>
      </c>
      <c r="L166" t="s">
        <v>842</v>
      </c>
      <c r="M166" s="2">
        <f ca="1">IF($M$2="Alimentation",_xll.PALO.SETDATA(G166,FALSE,"localhost/Bati_fin_dev","Reporting","décembre","2011",$A$4,+L166,"NA",+$G$3),_xll.PALO.DATAC("localhost/Bati_fin_dev","Reporting","décembre","2011",$A$4,+L166,"NA",+$G$3))</f>
        <v>0</v>
      </c>
    </row>
    <row r="167" spans="1:13" ht="12.75">
      <c r="A167" s="5"/>
      <c r="B167" s="92"/>
      <c r="C167" s="160"/>
      <c r="D167" s="115"/>
      <c r="E167" s="160"/>
      <c r="F167" s="143"/>
      <c r="G167" s="143"/>
      <c r="H167" s="411"/>
      <c r="I167" s="149"/>
      <c r="J167" s="254"/>
      <c r="L167" t="e">
        <v>#N/A</v>
      </c>
      <c r="M167" s="2" t="e">
        <f ca="1">IF($M$2="Alimentation",_xll.PALO.SETDATA(G167,FALSE,"localhost/Bati_fin_dev","Reporting","décembre","2011",$A$4,+L167,"NA",+$G$3),_xll.PALO.DATAC("localhost/Bati_fin_dev","Reporting","décembre","2011",$A$4,+L167,"NA",+$G$3))</f>
        <v>#VALUE!</v>
      </c>
    </row>
    <row r="168" spans="1:13" s="33" customFormat="1" ht="15" customHeight="1">
      <c r="A168" s="13" t="s">
        <v>74</v>
      </c>
      <c r="B168" s="93">
        <f>+C168/$C$21</f>
        <v>1.0241018598779588E-2</v>
      </c>
      <c r="C168" s="163">
        <f>SUM(C155:C167)</f>
        <v>3640.04</v>
      </c>
      <c r="D168" s="118">
        <f>SUM(D155:D167)</f>
        <v>8185.3853983988156</v>
      </c>
      <c r="E168" s="163">
        <f>SUM(E155:E167)</f>
        <v>5808.0899999999992</v>
      </c>
      <c r="F168" s="136">
        <f>SUM(F155:F167)</f>
        <v>4853.3866666666672</v>
      </c>
      <c r="G168" s="136">
        <f>SUM(G155:G167)</f>
        <v>7297.9356166666685</v>
      </c>
      <c r="H168" s="421">
        <f>+G168/$G$21</f>
        <v>1.4728427077026577E-2</v>
      </c>
      <c r="I168" s="272">
        <f>+IF((E168)=0,,(F168-E168)/E168)</f>
        <v>-0.16437474855474557</v>
      </c>
      <c r="J168" s="188">
        <f>+IF((F168)=0,,(G168-F168)/F168)</f>
        <v>0.50367900146701705</v>
      </c>
      <c r="L168" t="e">
        <v>#N/A</v>
      </c>
      <c r="M168" s="2" t="e">
        <f ca="1">IF($M$2="Alimentation",_xll.PALO.SETDATA(G168,FALSE,"localhost/Bati_fin_dev","Reporting","décembre","2011",$A$4,+L168,"NA",+$G$3),_xll.PALO.DATAC("localhost/Bati_fin_dev","Reporting","décembre","2011",$A$4,+L168,"NA",+$G$3))</f>
        <v>#VALUE!</v>
      </c>
    </row>
    <row r="169" spans="1:13" ht="12.75">
      <c r="A169" s="5"/>
      <c r="B169" s="92"/>
      <c r="C169" s="160"/>
      <c r="D169" s="115"/>
      <c r="E169" s="160"/>
      <c r="F169" s="143"/>
      <c r="G169" s="143"/>
      <c r="H169" s="411"/>
      <c r="I169" s="149"/>
      <c r="J169" s="271"/>
      <c r="L169" t="e">
        <v>#N/A</v>
      </c>
      <c r="M169" s="2" t="e">
        <f ca="1">IF($M$2="Alimentation",_xll.PALO.SETDATA(G169,FALSE,"localhost/Bati_fin_dev","Reporting","décembre","2011",$A$4,+L169,"NA",+$G$3),_xll.PALO.DATAC("localhost/Bati_fin_dev","Reporting","décembre","2011",$A$4,+L169,"NA",+$G$3))</f>
        <v>#VALUE!</v>
      </c>
    </row>
    <row r="170" spans="1:13" ht="12.75">
      <c r="A170" s="5" t="s">
        <v>167</v>
      </c>
      <c r="B170" s="92"/>
      <c r="C170" s="160">
        <f>IF(ISNA(VLOOKUP("CHA651100000",Balance!C:G,5,FALSE))=TRUE,0,VLOOKUP("CHA651100000",Balance!C:G,5,FALSE))</f>
        <v>0</v>
      </c>
      <c r="D170" s="117">
        <f>+[2]Château!$H170</f>
        <v>0</v>
      </c>
      <c r="E170" s="160">
        <f>IF(ISNA(VLOOKUP("CHA651100000",Balanceanp!C:G,5,FALSE))=TRUE,0,VLOOKUP("CHA651100000",Balanceanp!C:G,5,FALSE))</f>
        <v>0</v>
      </c>
      <c r="F170" s="368">
        <f>+C170+C170/9*(12-Clients!$I$14)</f>
        <v>0</v>
      </c>
      <c r="G170" s="396">
        <f t="shared" ref="G170:G183" si="17">+F170*1.03</f>
        <v>0</v>
      </c>
      <c r="H170" s="409"/>
      <c r="I170" s="149">
        <f t="shared" ref="I170:J183" si="18">+IF((E170)=0,,(F170-E170)/E170)</f>
        <v>0</v>
      </c>
      <c r="J170" s="271">
        <f t="shared" si="18"/>
        <v>0</v>
      </c>
      <c r="L170" t="e">
        <v>#N/A</v>
      </c>
      <c r="M170" s="2" t="e">
        <f ca="1">IF($M$2="Alimentation",_xll.PALO.SETDATA(G170,FALSE,"localhost/Bati_fin_dev","Reporting","décembre","2011",$A$4,+L170,"NA",+$G$3),_xll.PALO.DATAC("localhost/Bati_fin_dev","Reporting","décembre","2011",$A$4,+L170,"NA",+$G$3))</f>
        <v>#VALUE!</v>
      </c>
    </row>
    <row r="171" spans="1:13" ht="12.75">
      <c r="A171" s="5" t="s">
        <v>168</v>
      </c>
      <c r="B171" s="92"/>
      <c r="C171" s="160">
        <f>IF(ISNA(VLOOKUP("CHA651600000",Balance!C:G,5,FALSE))=TRUE,0,VLOOKUP("CHA651600000",Balance!C:G,5,FALSE))</f>
        <v>0</v>
      </c>
      <c r="D171" s="117">
        <f>+[2]Château!$H171</f>
        <v>0</v>
      </c>
      <c r="E171" s="160">
        <f>IF(ISNA(VLOOKUP("CHA651600000",Balanceanp!C:G,5,FALSE))=TRUE,0,VLOOKUP("CHA651600000",Balanceanp!C:G,5,FALSE))</f>
        <v>0</v>
      </c>
      <c r="F171" s="368">
        <f>+C171+C171/9*(12-Clients!$I$14)</f>
        <v>0</v>
      </c>
      <c r="G171" s="396">
        <f t="shared" si="17"/>
        <v>0</v>
      </c>
      <c r="H171" s="409"/>
      <c r="I171" s="149">
        <f t="shared" si="18"/>
        <v>0</v>
      </c>
      <c r="J171" s="271">
        <f t="shared" si="18"/>
        <v>0</v>
      </c>
      <c r="L171" t="s">
        <v>792</v>
      </c>
      <c r="M171" s="2">
        <f ca="1">IF($M$2="Alimentation",_xll.PALO.SETDATA(G171,FALSE,"localhost/Bati_fin_dev","Reporting","décembre","2011",$A$4,+L171,"NA",+$G$3),_xll.PALO.DATAC("localhost/Bati_fin_dev","Reporting","décembre","2011",$A$4,+L171,"NA",+$G$3))</f>
        <v>0</v>
      </c>
    </row>
    <row r="172" spans="1:13" ht="12.75">
      <c r="A172" s="5" t="s">
        <v>169</v>
      </c>
      <c r="B172" s="92"/>
      <c r="C172" s="160">
        <f>IF(ISNA(VLOOKUP("CHA671200000",Balance!C:G,5,FALSE))=TRUE,0,VLOOKUP("CHA671200000",Balance!C:G,5,FALSE))</f>
        <v>0</v>
      </c>
      <c r="D172" s="117">
        <f>+[2]Château!$H172</f>
        <v>23.870250000000002</v>
      </c>
      <c r="E172" s="160">
        <f>IF(ISNA(VLOOKUP("CHA671200000",Balanceanp!C:G,5,FALSE))=TRUE,0,VLOOKUP("CHA671200000",Balanceanp!C:G,5,FALSE))</f>
        <v>0</v>
      </c>
      <c r="F172" s="368">
        <f>+C172+C172/9*(12-Clients!$I$14)</f>
        <v>0</v>
      </c>
      <c r="G172" s="396">
        <f t="shared" si="17"/>
        <v>0</v>
      </c>
      <c r="H172" s="409"/>
      <c r="I172" s="149">
        <f t="shared" si="18"/>
        <v>0</v>
      </c>
      <c r="J172" s="271">
        <f t="shared" si="18"/>
        <v>0</v>
      </c>
      <c r="L172" t="s">
        <v>794</v>
      </c>
      <c r="M172" s="2">
        <f ca="1">IF($M$2="Alimentation",_xll.PALO.SETDATA(G172,FALSE,"localhost/Bati_fin_dev","Reporting","décembre","2011",$A$4,+L172,"NA",+$G$3),_xll.PALO.DATAC("localhost/Bati_fin_dev","Reporting","décembre","2011",$A$4,+L172,"NA",+$G$3))</f>
        <v>0</v>
      </c>
    </row>
    <row r="173" spans="1:13" ht="12.75">
      <c r="A173" s="5" t="s">
        <v>170</v>
      </c>
      <c r="B173" s="92"/>
      <c r="C173" s="160">
        <f>IF(ISNA(VLOOKUP("CHA671800000",Balance!C:G,5,FALSE))=TRUE,0,VLOOKUP("CHA671800000",Balance!C:G,5,FALSE))</f>
        <v>33.880000000000003</v>
      </c>
      <c r="D173" s="117">
        <f>+[2]Château!$H173</f>
        <v>0</v>
      </c>
      <c r="E173" s="160">
        <f>IF(ISNA(VLOOKUP("CHA671800000",Balanceanp!C:G,5,FALSE))=TRUE,0,VLOOKUP("CHA671800000",Balanceanp!C:G,5,FALSE))</f>
        <v>0</v>
      </c>
      <c r="F173" s="368">
        <f>+C173+C173/9*(12-Clients!$I$14)</f>
        <v>45.173333333333339</v>
      </c>
      <c r="G173" s="396">
        <f t="shared" si="17"/>
        <v>46.528533333333343</v>
      </c>
      <c r="H173" s="409"/>
      <c r="I173" s="149">
        <f t="shared" si="18"/>
        <v>0</v>
      </c>
      <c r="J173" s="271">
        <f t="shared" si="18"/>
        <v>3.0000000000000075E-2</v>
      </c>
      <c r="L173" t="s">
        <v>786</v>
      </c>
      <c r="M173" s="2">
        <f ca="1">IF($M$2="Alimentation",_xll.PALO.SETDATA(G173,FALSE,"localhost/Bati_fin_dev","Reporting","décembre","2011",$A$4,+L173,"NA",+$G$3),_xll.PALO.DATAC("localhost/Bati_fin_dev","Reporting","décembre","2011",$A$4,+L173,"NA",+$G$3))</f>
        <v>46.528533333333343</v>
      </c>
    </row>
    <row r="174" spans="1:13" ht="12.75">
      <c r="A174" s="5" t="s">
        <v>171</v>
      </c>
      <c r="B174" s="92"/>
      <c r="C174" s="160">
        <f>IF(ISNA(VLOOKUP("CHA672000000",Balance!C:G,5,FALSE))=TRUE,0,VLOOKUP("CHA672000000",Balance!C:G,5,FALSE))</f>
        <v>0</v>
      </c>
      <c r="D174" s="117">
        <f>+[2]Château!$H174</f>
        <v>0</v>
      </c>
      <c r="E174" s="160">
        <f>IF(ISNA(VLOOKUP("CHA672000000",Balanceanp!C:G,5,FALSE))=TRUE,0,VLOOKUP("CHA672000000",Balanceanp!C:G,5,FALSE))</f>
        <v>0</v>
      </c>
      <c r="F174" s="368">
        <f>+C174+C174/9*(12-Clients!$I$14)</f>
        <v>0</v>
      </c>
      <c r="G174" s="396">
        <f t="shared" si="17"/>
        <v>0</v>
      </c>
      <c r="H174" s="409"/>
      <c r="I174" s="149">
        <f t="shared" si="18"/>
        <v>0</v>
      </c>
      <c r="J174" s="271">
        <f t="shared" si="18"/>
        <v>0</v>
      </c>
      <c r="L174" t="s">
        <v>787</v>
      </c>
      <c r="M174" s="2">
        <f ca="1">IF($M$2="Alimentation",_xll.PALO.SETDATA(G174,FALSE,"localhost/Bati_fin_dev","Reporting","décembre","2011",$A$4,+L174,"NA",+$G$3),_xll.PALO.DATAC("localhost/Bati_fin_dev","Reporting","décembre","2011",$A$4,+L174,"NA",+$G$3))</f>
        <v>0</v>
      </c>
    </row>
    <row r="175" spans="1:13" ht="12.75">
      <c r="A175" s="5" t="s">
        <v>308</v>
      </c>
      <c r="B175" s="92"/>
      <c r="C175" s="160">
        <f>IF(ISNA(VLOOKUP("CHA691100000",Balance!C:G,5,FALSE))=TRUE,0,VLOOKUP("CHA691100000",Balance!C:G,5,FALSE))</f>
        <v>0</v>
      </c>
      <c r="D175" s="117">
        <f>+[2]Château!$H175</f>
        <v>0</v>
      </c>
      <c r="E175" s="160">
        <f>IF(ISNA(VLOOKUP("CHA691100000",Balanceanp!C:G,5,FALSE))=TRUE,0,VLOOKUP("CHA691100000",Balanceanp!C:G,5,FALSE))</f>
        <v>0</v>
      </c>
      <c r="F175" s="368">
        <f>+C175+C175/9*(12-Clients!$I$14)</f>
        <v>0</v>
      </c>
      <c r="G175" s="396">
        <f t="shared" si="17"/>
        <v>0</v>
      </c>
      <c r="H175" s="409"/>
      <c r="I175" s="149">
        <f t="shared" si="18"/>
        <v>0</v>
      </c>
      <c r="J175" s="271">
        <f t="shared" si="18"/>
        <v>0</v>
      </c>
      <c r="L175" t="s">
        <v>796</v>
      </c>
      <c r="M175" s="2">
        <f ca="1">IF($M$2="Alimentation",_xll.PALO.SETDATA(G175,FALSE,"localhost/Bati_fin_dev","Reporting","décembre","2011",$A$4,+L175,"NA",+$G$3),_xll.PALO.DATAC("localhost/Bati_fin_dev","Reporting","décembre","2011",$A$4,+L175,"NA",+$G$3))</f>
        <v>0</v>
      </c>
    </row>
    <row r="176" spans="1:13" ht="12.75">
      <c r="A176" s="5" t="s">
        <v>172</v>
      </c>
      <c r="B176" s="92"/>
      <c r="C176" s="160">
        <f>IF(ISNA(VLOOKUP("CHA675100000",Balance!C:G,5,FALSE))=TRUE,0,VLOOKUP("CHA675100000",Balance!C:G,5,FALSE))</f>
        <v>0</v>
      </c>
      <c r="D176" s="117">
        <f>+[2]Château!$H176</f>
        <v>0</v>
      </c>
      <c r="E176" s="160">
        <f>IF(ISNA(VLOOKUP("CHA675100000",Balanceanp!C:G,5,FALSE))=TRUE,0,VLOOKUP("CHA675100000",Balanceanp!C:G,5,FALSE))</f>
        <v>0</v>
      </c>
      <c r="F176" s="368">
        <f>+C176+C176/9*(12-Clients!$I$14)</f>
        <v>0</v>
      </c>
      <c r="G176" s="396">
        <f t="shared" si="17"/>
        <v>0</v>
      </c>
      <c r="H176" s="409"/>
      <c r="I176" s="149">
        <f t="shared" si="18"/>
        <v>0</v>
      </c>
      <c r="J176" s="271">
        <f t="shared" si="18"/>
        <v>0</v>
      </c>
      <c r="L176" t="s">
        <v>798</v>
      </c>
      <c r="M176" s="2">
        <f ca="1">IF($M$2="Alimentation",_xll.PALO.SETDATA(G176,FALSE,"localhost/Bati_fin_dev","Reporting","décembre","2011",$A$4,+L176,"NA",+$G$3),_xll.PALO.DATAC("localhost/Bati_fin_dev","Reporting","décembre","2011",$A$4,+L176,"NA",+$G$3))</f>
        <v>0</v>
      </c>
    </row>
    <row r="177" spans="1:13" ht="12.75">
      <c r="A177" s="5" t="s">
        <v>173</v>
      </c>
      <c r="B177" s="92"/>
      <c r="C177" s="160">
        <f>IF(ISNA(VLOOKUP("CHA675200000",Balance!C:G,5,FALSE))=TRUE,0,VLOOKUP("CHA675200000",Balance!C:G,5,FALSE))</f>
        <v>0</v>
      </c>
      <c r="D177" s="117">
        <f>+[2]Château!$H177</f>
        <v>0</v>
      </c>
      <c r="E177" s="160">
        <f>IF(ISNA(VLOOKUP("CHA675200000",Balanceanp!C:G,5,FALSE))=TRUE,0,VLOOKUP("CHA675200000",Balanceanp!C:G,5,FALSE))</f>
        <v>0</v>
      </c>
      <c r="F177" s="368">
        <f>+C177+C177/9*(12-Clients!$I$14)</f>
        <v>0</v>
      </c>
      <c r="G177" s="396">
        <f t="shared" si="17"/>
        <v>0</v>
      </c>
      <c r="H177" s="409"/>
      <c r="I177" s="149">
        <f t="shared" si="18"/>
        <v>0</v>
      </c>
      <c r="J177" s="271">
        <f t="shared" si="18"/>
        <v>0</v>
      </c>
      <c r="L177" t="s">
        <v>797</v>
      </c>
      <c r="M177" s="2">
        <f ca="1">IF($M$2="Alimentation",_xll.PALO.SETDATA(G177,FALSE,"localhost/Bati_fin_dev","Reporting","décembre","2011",$A$4,+L177,"NA",+$G$3),_xll.PALO.DATAC("localhost/Bati_fin_dev","Reporting","décembre","2011",$A$4,+L177,"NA",+$G$3))</f>
        <v>0</v>
      </c>
    </row>
    <row r="178" spans="1:13" ht="12.75">
      <c r="A178" s="5" t="s">
        <v>174</v>
      </c>
      <c r="B178" s="92"/>
      <c r="C178" s="160">
        <f>IF(ISNA(VLOOKUP("CHA681110000",Balance!C:G,5,FALSE))=TRUE,0,VLOOKUP("CHA681110000",Balance!C:G,5,FALSE))</f>
        <v>0</v>
      </c>
      <c r="D178" s="117">
        <f>+[2]Château!$H178</f>
        <v>0</v>
      </c>
      <c r="E178" s="160">
        <f>IF(ISNA(VLOOKUP("CHA681110000",Balanceanp!C:G,5,FALSE))=TRUE,0,VLOOKUP("CHA681110000",Balanceanp!C:G,5,FALSE))</f>
        <v>0</v>
      </c>
      <c r="F178" s="368">
        <f>+C178+C178/9*(12-Clients!$I$14)</f>
        <v>0</v>
      </c>
      <c r="G178" s="396">
        <f t="shared" si="17"/>
        <v>0</v>
      </c>
      <c r="H178" s="409"/>
      <c r="I178" s="149">
        <f t="shared" si="18"/>
        <v>0</v>
      </c>
      <c r="J178" s="271">
        <f t="shared" si="18"/>
        <v>0</v>
      </c>
      <c r="L178" t="s">
        <v>791</v>
      </c>
      <c r="M178" s="2">
        <f ca="1">IF($M$2="Alimentation",_xll.PALO.SETDATA(G178,FALSE,"localhost/Bati_fin_dev","Reporting","décembre","2011",$A$4,+L178,"NA",+$G$3),_xll.PALO.DATAC("localhost/Bati_fin_dev","Reporting","décembre","2011",$A$4,+L178,"NA",+$G$3))</f>
        <v>0</v>
      </c>
    </row>
    <row r="179" spans="1:13" ht="12.75">
      <c r="A179" s="5" t="s">
        <v>175</v>
      </c>
      <c r="B179" s="92"/>
      <c r="C179" s="160">
        <f>IF(ISNA(VLOOKUP("CHA681120000",Balance!C:G,5,FALSE))=TRUE,0,VLOOKUP("CHA681120000",Balance!C:G,5,FALSE))</f>
        <v>1950.03</v>
      </c>
      <c r="D179" s="117">
        <f>+[2]Château!$H179</f>
        <v>2600</v>
      </c>
      <c r="E179" s="160">
        <f>IF(ISNA(VLOOKUP("CHA681120000",Balanceanp!C:G,5,FALSE))=TRUE,0,VLOOKUP("CHA681120000",Balanceanp!C:G,5,FALSE))</f>
        <v>2289.3000000000002</v>
      </c>
      <c r="F179" s="425">
        <v>1594.06</v>
      </c>
      <c r="G179" s="570">
        <f>623.19+500+G255/10</f>
        <v>1123.19</v>
      </c>
      <c r="H179" s="413"/>
      <c r="I179" s="149">
        <f t="shared" si="18"/>
        <v>-0.30369108461101657</v>
      </c>
      <c r="J179" s="271">
        <f t="shared" si="18"/>
        <v>-0.29539038681103591</v>
      </c>
      <c r="L179" t="s">
        <v>790</v>
      </c>
      <c r="M179" s="2">
        <f ca="1">IF($M$2="Alimentation",_xll.PALO.SETDATA(G179,FALSE,"localhost/Bati_fin_dev","Reporting","décembre","2011",$A$4,+L179,"NA",+$G$3),_xll.PALO.DATAC("localhost/Bati_fin_dev","Reporting","décembre","2011",$A$4,+L179,"NA",+$G$3))</f>
        <v>1123.19</v>
      </c>
    </row>
    <row r="180" spans="1:13" ht="12.75">
      <c r="A180" s="5" t="s">
        <v>78</v>
      </c>
      <c r="B180" s="92"/>
      <c r="C180" s="160">
        <f>IF(ISNA(VLOOKUP("CHA687250000",Balance!C:G,5,FALSE))=TRUE,0,+VLOOKUP("CHA687250000",Balance!C:G,5,FALSE))</f>
        <v>0</v>
      </c>
      <c r="D180" s="117">
        <f>+[2]Château!$H180</f>
        <v>0</v>
      </c>
      <c r="E180" s="160">
        <f>IF(ISNA(VLOOKUP("CHA687250000",Balanceanp!C:G,5,FALSE))=TRUE,0,+VLOOKUP("CHA687250000",Balanceanp!C:G,5,FALSE))</f>
        <v>344.06</v>
      </c>
      <c r="F180" s="368">
        <f>+C180+C180/9*(12-Clients!$I$14)</f>
        <v>0</v>
      </c>
      <c r="G180" s="396">
        <f t="shared" si="17"/>
        <v>0</v>
      </c>
      <c r="H180" s="409"/>
      <c r="I180" s="149">
        <f t="shared" si="18"/>
        <v>-1</v>
      </c>
      <c r="J180" s="271">
        <f t="shared" si="18"/>
        <v>0</v>
      </c>
      <c r="L180" t="s">
        <v>789</v>
      </c>
      <c r="M180" s="2">
        <f ca="1">IF($M$2="Alimentation",_xll.PALO.SETDATA(G180,FALSE,"localhost/Bati_fin_dev","Reporting","décembre","2011",$A$4,+L180,"NA",+$G$3),_xll.PALO.DATAC("localhost/Bati_fin_dev","Reporting","décembre","2011",$A$4,+L180,"NA",+$G$3))</f>
        <v>0</v>
      </c>
    </row>
    <row r="181" spans="1:13" ht="12.75">
      <c r="A181" s="5" t="s">
        <v>327</v>
      </c>
      <c r="B181" s="92"/>
      <c r="C181" s="160">
        <f>IF(ISNA(VLOOKUP("CHA661880000",Balance!C:G,5,FALSE))=TRUE,0,+VLOOKUP("CHA661880000",Balance!C:G,5,FALSE))</f>
        <v>0</v>
      </c>
      <c r="D181" s="117">
        <f>+[2]Château!$H181</f>
        <v>0</v>
      </c>
      <c r="E181" s="160">
        <f>IF(ISNA(VLOOKUP("CHA661880000",Balanceanp!C:G,5,FALSE))=TRUE,0,+VLOOKUP("CHA661880000",Balanceanp!C:G,5,FALSE))</f>
        <v>0</v>
      </c>
      <c r="F181" s="368">
        <f>+C181+C181/9*(12-Clients!$I$14)</f>
        <v>0</v>
      </c>
      <c r="G181" s="396">
        <f t="shared" si="17"/>
        <v>0</v>
      </c>
      <c r="H181" s="409"/>
      <c r="I181" s="149">
        <f t="shared" si="18"/>
        <v>0</v>
      </c>
      <c r="J181" s="271">
        <f t="shared" si="18"/>
        <v>0</v>
      </c>
      <c r="L181" t="s">
        <v>793</v>
      </c>
      <c r="M181" s="2">
        <f ca="1">IF($M$2="Alimentation",_xll.PALO.SETDATA(G181,FALSE,"localhost/Bati_fin_dev","Reporting","décembre","2011",$A$4,+L181,"NA",+$G$3),_xll.PALO.DATAC("localhost/Bati_fin_dev","Reporting","décembre","2011",$A$4,+L181,"NA",+$G$3))</f>
        <v>0</v>
      </c>
    </row>
    <row r="182" spans="1:13" ht="12.75">
      <c r="A182" s="5" t="s">
        <v>82</v>
      </c>
      <c r="B182" s="92"/>
      <c r="C182" s="160">
        <f>IF(ISNA(VLOOKUP("CHA661610000",Balance!C:G,5,FALSE))=TRUE,0,+VLOOKUP("CHA661610000",Balance!C:G,5,FALSE))</f>
        <v>0</v>
      </c>
      <c r="D182" s="117">
        <f>+[2]Château!$H182</f>
        <v>1032.0806</v>
      </c>
      <c r="E182" s="160">
        <f>IF(ISNA(VLOOKUP("CHA661610000",Balanceanp!C:G,5,FALSE))=TRUE,0,+VLOOKUP("CHA661610000",Balanceanp!C:G,5,FALSE))</f>
        <v>1002.02</v>
      </c>
      <c r="F182" s="368">
        <f>+C182+C182/9*(12-Clients!$I$14)</f>
        <v>0</v>
      </c>
      <c r="G182" s="396">
        <f t="shared" si="17"/>
        <v>0</v>
      </c>
      <c r="H182" s="409"/>
      <c r="I182" s="149">
        <f t="shared" si="18"/>
        <v>-1</v>
      </c>
      <c r="J182" s="271">
        <f t="shared" si="18"/>
        <v>0</v>
      </c>
      <c r="L182" t="s">
        <v>788</v>
      </c>
      <c r="M182" s="2">
        <f ca="1">IF($M$2="Alimentation",_xll.PALO.SETDATA(G182,FALSE,"localhost/Bati_fin_dev","Reporting","décembre","2011",$A$4,+L182,"NA",+$G$3),_xll.PALO.DATAC("localhost/Bati_fin_dev","Reporting","décembre","2011",$A$4,+L182,"NA",+$G$3))</f>
        <v>0</v>
      </c>
    </row>
    <row r="183" spans="1:13" ht="12.75">
      <c r="A183" s="5" t="s">
        <v>331</v>
      </c>
      <c r="B183" s="92"/>
      <c r="C183" s="160">
        <f>IF(ISNA(VLOOKUP("CHA681500000",Balance!C:G,5,FALSE))=TRUE,0,VLOOKUP("CHA681500000",Balance!C:G,5,FALSE))</f>
        <v>0</v>
      </c>
      <c r="D183" s="117">
        <f>+[2]Château!$H183</f>
        <v>0</v>
      </c>
      <c r="E183" s="160">
        <f>IF(ISNA(VLOOKUP("CHA681500000",Balanceanp!C:G,5,FALSE))=TRUE,0,VLOOKUP("CHA681500000",Balanceanp!C:G,5,FALSE))</f>
        <v>0</v>
      </c>
      <c r="F183" s="368">
        <f>+C183+C183/9*(12-Clients!$I$14)</f>
        <v>0</v>
      </c>
      <c r="G183" s="396">
        <f t="shared" si="17"/>
        <v>0</v>
      </c>
      <c r="H183" s="409"/>
      <c r="I183" s="149">
        <f t="shared" si="18"/>
        <v>0</v>
      </c>
      <c r="J183" s="271">
        <f t="shared" si="18"/>
        <v>0</v>
      </c>
      <c r="L183" t="s">
        <v>795</v>
      </c>
      <c r="M183" s="2">
        <f ca="1">IF($M$2="Alimentation",_xll.PALO.SETDATA(G183,FALSE,"localhost/Bati_fin_dev","Reporting","décembre","2011",$A$4,+L183,"NA",+$G$3),_xll.PALO.DATAC("localhost/Bati_fin_dev","Reporting","décembre","2011",$A$4,+L183,"NA",+$G$3))</f>
        <v>0</v>
      </c>
    </row>
    <row r="184" spans="1:13" ht="12.75">
      <c r="A184" s="5"/>
      <c r="B184" s="92"/>
      <c r="C184" s="160"/>
      <c r="D184" s="115"/>
      <c r="E184" s="160"/>
      <c r="F184" s="143"/>
      <c r="G184" s="143"/>
      <c r="H184" s="411"/>
      <c r="I184" s="149"/>
      <c r="J184" s="254"/>
      <c r="L184" t="e">
        <v>#N/A</v>
      </c>
      <c r="M184" s="2" t="e">
        <f ca="1">IF($M$2="Alimentation",_xll.PALO.SETDATA(G184,FALSE,"localhost/Bati_fin_dev","Reporting","décembre","2011",$A$4,+L184,"NA",+$G$3),_xll.PALO.DATAC("localhost/Bati_fin_dev","Reporting","décembre","2011",$A$4,+L184,"NA",+$G$3))</f>
        <v>#VALUE!</v>
      </c>
    </row>
    <row r="185" spans="1:13" s="33" customFormat="1" ht="15" customHeight="1">
      <c r="A185" s="13" t="s">
        <v>178</v>
      </c>
      <c r="B185" s="93"/>
      <c r="C185" s="163">
        <f>SUM(C169:C184)</f>
        <v>1983.91</v>
      </c>
      <c r="D185" s="118">
        <f>SUM(D169:D184)</f>
        <v>3655.9508500000002</v>
      </c>
      <c r="E185" s="280">
        <f>SUM(E169:E184)</f>
        <v>3635.38</v>
      </c>
      <c r="F185" s="136">
        <f>SUM(F169:F184)</f>
        <v>1639.2333333333333</v>
      </c>
      <c r="G185" s="136">
        <f>SUM(G169:G184)</f>
        <v>1169.7185333333334</v>
      </c>
      <c r="H185" s="421"/>
      <c r="I185" s="272">
        <f>+IF((E185)=0,,(F185-E185)/E185)</f>
        <v>-0.54908886187046935</v>
      </c>
      <c r="J185" s="188">
        <f>+IF((F185)=0,,(G185-F185)/F185)</f>
        <v>-0.28642340931736376</v>
      </c>
      <c r="L185" t="e">
        <v>#N/A</v>
      </c>
      <c r="M185" s="2" t="e">
        <f ca="1">IF($M$2="Alimentation",_xll.PALO.SETDATA(G185,FALSE,"localhost/Bati_fin_dev","Reporting","décembre","2011",$A$4,+L185,"NA",+$G$3),_xll.PALO.DATAC("localhost/Bati_fin_dev","Reporting","décembre","2011",$A$4,+L185,"NA",+$G$3))</f>
        <v>#VALUE!</v>
      </c>
    </row>
    <row r="186" spans="1:13" ht="12.75">
      <c r="A186" s="5"/>
      <c r="B186" s="92"/>
      <c r="C186" s="160"/>
      <c r="D186" s="115"/>
      <c r="E186" s="160"/>
      <c r="F186" s="143"/>
      <c r="G186" s="143"/>
      <c r="H186" s="411"/>
      <c r="I186" s="149"/>
      <c r="J186" s="271"/>
      <c r="L186" t="e">
        <v>#N/A</v>
      </c>
      <c r="M186" s="2" t="e">
        <f ca="1">IF($M$2="Alimentation",_xll.PALO.SETDATA(G186,FALSE,"localhost/Bati_fin_dev","Reporting","décembre","2011",$A$4,+L186,"NA",+$G$3),_xll.PALO.DATAC("localhost/Bati_fin_dev","Reporting","décembre","2011",$A$4,+L186,"NA",+$G$3))</f>
        <v>#VALUE!</v>
      </c>
    </row>
    <row r="187" spans="1:13" ht="12.75">
      <c r="A187" s="5" t="s">
        <v>179</v>
      </c>
      <c r="B187" s="92"/>
      <c r="C187" s="160">
        <f>IF(ISNA(VLOOKUP("CHA740000000",Balance!C:G,5,FALSE))=TRUE,0,-VLOOKUP("CHA740000000",Balance!C:G,5,FALSE))</f>
        <v>0</v>
      </c>
      <c r="D187" s="117">
        <f>+[2]Château!$H187</f>
        <v>0</v>
      </c>
      <c r="E187" s="160">
        <f>IF(ISNA(VLOOKUP("CHA740000000",Balanceanp!C:G,5,FALSE))=TRUE,0,-VLOOKUP("CHA740000000",Balanceanp!C:G,5,FALSE))</f>
        <v>0</v>
      </c>
      <c r="F187" s="368">
        <f>+C187+C187/9*(12-Clients!$I$14)</f>
        <v>0</v>
      </c>
      <c r="G187" s="368">
        <v>0</v>
      </c>
      <c r="H187" s="410"/>
      <c r="I187" s="149">
        <f t="shared" ref="I187:J199" si="19">+IF((E187)=0,,(F187-E187)/E187)</f>
        <v>0</v>
      </c>
      <c r="J187" s="271">
        <f t="shared" si="19"/>
        <v>0</v>
      </c>
      <c r="L187" t="s">
        <v>809</v>
      </c>
      <c r="M187" s="2">
        <f ca="1">IF($M$2="Alimentation",_xll.PALO.SETDATA(G187,FALSE,"localhost/Bati_fin_dev","Reporting","décembre","2011",$A$4,+L187,"NA",+$G$3),_xll.PALO.DATAC("localhost/Bati_fin_dev","Reporting","décembre","2011",$A$4,+L187,"NA",+$G$3))</f>
        <v>0</v>
      </c>
    </row>
    <row r="188" spans="1:13" ht="12.75">
      <c r="A188" s="5" t="s">
        <v>167</v>
      </c>
      <c r="B188" s="92"/>
      <c r="C188" s="160">
        <f>IF(ISNA(VLOOKUP("CHA751100000",Balance!C:G,5,FALSE))=TRUE,0,-VLOOKUP("CHA751100000",Balance!C:G,5,FALSE))</f>
        <v>0</v>
      </c>
      <c r="D188" s="117">
        <f>+[2]Château!$H188</f>
        <v>0</v>
      </c>
      <c r="E188" s="160">
        <f>IF(ISNA(VLOOKUP("CHA751100000",Balanceanp!C:G,5,FALSE))=TRUE,0,-VLOOKUP("CHA751100000",Balanceanp!C:G,5,FALSE))</f>
        <v>0</v>
      </c>
      <c r="F188" s="368">
        <f>+C188+C188/9*(12-Clients!$I$14)</f>
        <v>0</v>
      </c>
      <c r="G188" s="368">
        <v>0</v>
      </c>
      <c r="H188" s="410"/>
      <c r="I188" s="149">
        <f t="shared" si="19"/>
        <v>0</v>
      </c>
      <c r="J188" s="271">
        <f t="shared" si="19"/>
        <v>0</v>
      </c>
      <c r="L188" t="e">
        <v>#N/A</v>
      </c>
      <c r="M188" s="2" t="e">
        <f ca="1">IF($M$2="Alimentation",_xll.PALO.SETDATA(G188,FALSE,"localhost/Bati_fin_dev","Reporting","décembre","2011",$A$4,+L188,"NA",+$G$3),_xll.PALO.DATAC("localhost/Bati_fin_dev","Reporting","décembre","2011",$A$4,+L188,"NA",+$G$3))</f>
        <v>#VALUE!</v>
      </c>
    </row>
    <row r="189" spans="1:13" ht="12.75">
      <c r="A189" s="5" t="s">
        <v>180</v>
      </c>
      <c r="B189" s="92"/>
      <c r="C189" s="160">
        <f>IF(ISNA(VLOOKUP("CHA758100000",Balance!C:G,5,FALSE))=TRUE,0,-VLOOKUP("CHA758100000",Balance!C:G,5,FALSE))</f>
        <v>0</v>
      </c>
      <c r="D189" s="117">
        <f>+[2]Château!$H189</f>
        <v>0</v>
      </c>
      <c r="E189" s="160">
        <f>IF(ISNA(VLOOKUP("CHA758100000",Balanceanp!C:G,5,FALSE))=TRUE,0,-VLOOKUP("CHA758100000",Balanceanp!C:G,5,FALSE))</f>
        <v>0</v>
      </c>
      <c r="F189" s="368">
        <f>+C189+C189/9*(12-Clients!$I$14)</f>
        <v>0</v>
      </c>
      <c r="G189" s="368">
        <v>0</v>
      </c>
      <c r="H189" s="410"/>
      <c r="I189" s="149">
        <f t="shared" si="19"/>
        <v>0</v>
      </c>
      <c r="J189" s="271">
        <f t="shared" si="19"/>
        <v>0</v>
      </c>
      <c r="L189" t="s">
        <v>804</v>
      </c>
      <c r="M189" s="2">
        <f ca="1">IF($M$2="Alimentation",_xll.PALO.SETDATA(G189,FALSE,"localhost/Bati_fin_dev","Reporting","décembre","2011",$A$4,+L189,"NA",+$G$3),_xll.PALO.DATAC("localhost/Bati_fin_dev","Reporting","décembre","2011",$A$4,+L189,"NA",+$G$3))</f>
        <v>0</v>
      </c>
    </row>
    <row r="190" spans="1:13" ht="12.75">
      <c r="A190" s="5" t="s">
        <v>181</v>
      </c>
      <c r="B190" s="92"/>
      <c r="C190" s="160">
        <f>IF(ISNA(VLOOKUP("CHA763800000",Balance!C:G,5,FALSE))=TRUE,0,-VLOOKUP("CHA763800000",Balance!C:G,5,FALSE))</f>
        <v>0</v>
      </c>
      <c r="D190" s="117">
        <f>+[2]Château!$H190</f>
        <v>0</v>
      </c>
      <c r="E190" s="160">
        <f>IF(ISNA(VLOOKUP("CHA763800000",Balanceanp!C:G,5,FALSE))=TRUE,0,-VLOOKUP("CHA763800000",Balanceanp!C:G,5,FALSE))</f>
        <v>0</v>
      </c>
      <c r="F190" s="368">
        <f>+C190+C190/9*(12-Clients!$I$14)</f>
        <v>0</v>
      </c>
      <c r="G190" s="368">
        <v>0</v>
      </c>
      <c r="H190" s="410"/>
      <c r="I190" s="149">
        <f t="shared" si="19"/>
        <v>0</v>
      </c>
      <c r="J190" s="271">
        <f t="shared" si="19"/>
        <v>0</v>
      </c>
      <c r="L190" t="s">
        <v>808</v>
      </c>
      <c r="M190" s="2">
        <f ca="1">IF($M$2="Alimentation",_xll.PALO.SETDATA(G190,FALSE,"localhost/Bati_fin_dev","Reporting","décembre","2011",$A$4,+L190,"NA",+$G$3),_xll.PALO.DATAC("localhost/Bati_fin_dev","Reporting","décembre","2011",$A$4,+L190,"NA",+$G$3))</f>
        <v>0</v>
      </c>
    </row>
    <row r="191" spans="1:13" ht="12.75">
      <c r="A191" s="5" t="s">
        <v>182</v>
      </c>
      <c r="B191" s="92"/>
      <c r="C191" s="160">
        <f>IF(ISNA(VLOOKUP("CHA765000000",Balance!C:G,5,FALSE))=TRUE,0,-VLOOKUP("CHA765000000",Balance!C:G,5,FALSE))</f>
        <v>0</v>
      </c>
      <c r="D191" s="117">
        <f>+[2]Château!$H191</f>
        <v>0</v>
      </c>
      <c r="E191" s="160">
        <f>IF(ISNA(VLOOKUP("CHA765000000",Balanceanp!C:G,5,FALSE))=TRUE,0,-VLOOKUP("CHA765000000",Balanceanp!C:G,5,FALSE))</f>
        <v>0</v>
      </c>
      <c r="F191" s="368">
        <f>+C191+C191/9*(12-Clients!$I$14)</f>
        <v>0</v>
      </c>
      <c r="G191" s="368">
        <v>0</v>
      </c>
      <c r="H191" s="410"/>
      <c r="I191" s="149">
        <f t="shared" si="19"/>
        <v>0</v>
      </c>
      <c r="J191" s="271">
        <f t="shared" si="19"/>
        <v>0</v>
      </c>
      <c r="L191" t="s">
        <v>799</v>
      </c>
      <c r="M191" s="2">
        <f ca="1">IF($M$2="Alimentation",_xll.PALO.SETDATA(G191,FALSE,"localhost/Bati_fin_dev","Reporting","décembre","2011",$A$4,+L191,"NA",+$G$3),_xll.PALO.DATAC("localhost/Bati_fin_dev","Reporting","décembre","2011",$A$4,+L191,"NA",+$G$3))</f>
        <v>0</v>
      </c>
    </row>
    <row r="192" spans="1:13" ht="12.75">
      <c r="A192" s="5" t="s">
        <v>183</v>
      </c>
      <c r="B192" s="92"/>
      <c r="C192" s="160">
        <f>IF(ISNA(VLOOKUP("CHA771400000",Balance!C:G,5,FALSE))=TRUE,0,-VLOOKUP("CHA771400000",Balance!C:G,5,FALSE))</f>
        <v>0</v>
      </c>
      <c r="D192" s="117">
        <f>+[2]Château!$H192</f>
        <v>0</v>
      </c>
      <c r="E192" s="160">
        <f>IF(ISNA(VLOOKUP("CHA771400000",Balanceanp!C:G,5,FALSE))=TRUE,0,-VLOOKUP("CHA771400000",Balanceanp!C:G,5,FALSE))</f>
        <v>0</v>
      </c>
      <c r="F192" s="368">
        <f>+C192+C192/9*(12-Clients!$I$14)</f>
        <v>0</v>
      </c>
      <c r="G192" s="368">
        <v>0</v>
      </c>
      <c r="H192" s="410"/>
      <c r="I192" s="149">
        <f t="shared" si="19"/>
        <v>0</v>
      </c>
      <c r="J192" s="271">
        <f t="shared" si="19"/>
        <v>0</v>
      </c>
      <c r="L192" t="s">
        <v>805</v>
      </c>
      <c r="M192" s="2">
        <f ca="1">IF($M$2="Alimentation",_xll.PALO.SETDATA(G192,FALSE,"localhost/Bati_fin_dev","Reporting","décembre","2011",$A$4,+L192,"NA",+$G$3),_xll.PALO.DATAC("localhost/Bati_fin_dev","Reporting","décembre","2011",$A$4,+L192,"NA",+$G$3))</f>
        <v>0</v>
      </c>
    </row>
    <row r="193" spans="1:13" ht="12.75">
      <c r="A193" s="5" t="s">
        <v>184</v>
      </c>
      <c r="B193" s="92"/>
      <c r="C193" s="160">
        <f>IF(ISNA(VLOOKUP("CHA771800000",Balance!C:G,5,FALSE))=TRUE,0,-VLOOKUP("CHA771800000",Balance!C:G,5,FALSE))</f>
        <v>0</v>
      </c>
      <c r="D193" s="117">
        <f>+[2]Château!$H193</f>
        <v>0</v>
      </c>
      <c r="E193" s="160">
        <f>IF(ISNA(VLOOKUP("CHA771800000",Balanceanp!C:G,5,FALSE))=TRUE,0,-VLOOKUP("CHA771800000",Balanceanp!C:G,5,FALSE))</f>
        <v>58</v>
      </c>
      <c r="F193" s="368">
        <f>+C193+C193/9*(12-Clients!$I$14)</f>
        <v>0</v>
      </c>
      <c r="G193" s="368">
        <v>0</v>
      </c>
      <c r="H193" s="410"/>
      <c r="I193" s="149">
        <f t="shared" si="19"/>
        <v>-1</v>
      </c>
      <c r="J193" s="271">
        <f t="shared" si="19"/>
        <v>0</v>
      </c>
      <c r="L193" t="s">
        <v>803</v>
      </c>
      <c r="M193" s="2">
        <f ca="1">IF($M$2="Alimentation",_xll.PALO.SETDATA(G193,FALSE,"localhost/Bati_fin_dev","Reporting","décembre","2011",$A$4,+L193,"NA",+$G$3),_xll.PALO.DATAC("localhost/Bati_fin_dev","Reporting","décembre","2011",$A$4,+L193,"NA",+$G$3))</f>
        <v>0</v>
      </c>
    </row>
    <row r="194" spans="1:13" ht="12.75">
      <c r="A194" s="5" t="s">
        <v>185</v>
      </c>
      <c r="B194" s="92"/>
      <c r="C194" s="160">
        <f>IF(ISNA(VLOOKUP("CHA758000000",Balance!C:G,5,FALSE))=TRUE,0,-VLOOKUP("CHA758000000",Balance!C:G,5,FALSE))</f>
        <v>0</v>
      </c>
      <c r="D194" s="117">
        <f>+[2]Château!$H194</f>
        <v>0</v>
      </c>
      <c r="E194" s="160">
        <f>IF(ISNA(VLOOKUP("CHA758000000",Balanceanp!C:G,5,FALSE))=TRUE,0,-VLOOKUP("CHA758000000",Balanceanp!C:G,5,FALSE))</f>
        <v>0</v>
      </c>
      <c r="F194" s="368">
        <f>+C194+C194/9*(12-Clients!$I$14)</f>
        <v>0</v>
      </c>
      <c r="G194" s="368">
        <v>0</v>
      </c>
      <c r="H194" s="410"/>
      <c r="I194" s="149">
        <f t="shared" si="19"/>
        <v>0</v>
      </c>
      <c r="J194" s="271">
        <f t="shared" si="19"/>
        <v>0</v>
      </c>
      <c r="L194" t="s">
        <v>800</v>
      </c>
      <c r="M194" s="2">
        <f ca="1">IF($M$2="Alimentation",_xll.PALO.SETDATA(G194,FALSE,"localhost/Bati_fin_dev","Reporting","décembre","2011",$A$4,+L194,"NA",+$G$3),_xll.PALO.DATAC("localhost/Bati_fin_dev","Reporting","décembre","2011",$A$4,+L194,"NA",+$G$3))</f>
        <v>0</v>
      </c>
    </row>
    <row r="195" spans="1:13" ht="12.75">
      <c r="A195" s="5" t="s">
        <v>186</v>
      </c>
      <c r="B195" s="92"/>
      <c r="C195" s="160">
        <f>IF(ISNA(VLOOKUP("CHA775100000",Balance!C:G,5,FALSE))=TRUE,0,-VLOOKUP("CHA775100000",Balance!C:G,5,FALSE))</f>
        <v>0</v>
      </c>
      <c r="D195" s="117">
        <f>+[2]Château!$H195</f>
        <v>0</v>
      </c>
      <c r="E195" s="160">
        <f>IF(ISNA(VLOOKUP("CHA775100000",Balanceanp!C:G,5,FALSE))=TRUE,0,-VLOOKUP("CHA775100000",Balanceanp!C:G,5,FALSE))</f>
        <v>0</v>
      </c>
      <c r="F195" s="368">
        <f>+C195+C195/9*(12-Clients!$I$14)</f>
        <v>0</v>
      </c>
      <c r="G195" s="368">
        <v>0</v>
      </c>
      <c r="H195" s="410"/>
      <c r="I195" s="149">
        <f t="shared" si="19"/>
        <v>0</v>
      </c>
      <c r="J195" s="271">
        <f t="shared" si="19"/>
        <v>0</v>
      </c>
      <c r="L195" t="s">
        <v>802</v>
      </c>
      <c r="M195" s="2">
        <f ca="1">IF($M$2="Alimentation",_xll.PALO.SETDATA(G195,FALSE,"localhost/Bati_fin_dev","Reporting","décembre","2011",$A$4,+L195,"NA",+$G$3),_xll.PALO.DATAC("localhost/Bati_fin_dev","Reporting","décembre","2011",$A$4,+L195,"NA",+$G$3))</f>
        <v>0</v>
      </c>
    </row>
    <row r="196" spans="1:13" ht="12.75">
      <c r="A196" s="5" t="s">
        <v>187</v>
      </c>
      <c r="B196" s="92"/>
      <c r="C196" s="160">
        <f>IF(ISNA(VLOOKUP("CHA775200000",Balance!C:G,5,FALSE))=TRUE,0,-VLOOKUP("CHA775200000",Balance!C:G,5,FALSE))</f>
        <v>0</v>
      </c>
      <c r="D196" s="117">
        <f>+[2]Château!$H196</f>
        <v>0</v>
      </c>
      <c r="E196" s="160">
        <f>IF(ISNA(VLOOKUP("CHA775200000",Balanceanp!C:G,5,FALSE))=TRUE,0,-VLOOKUP("CHA775200000",Balanceanp!C:G,5,FALSE))</f>
        <v>0</v>
      </c>
      <c r="F196" s="368">
        <f>+C196+C196/9*(12-Clients!$I$14)</f>
        <v>0</v>
      </c>
      <c r="G196" s="368">
        <v>0</v>
      </c>
      <c r="H196" s="410"/>
      <c r="I196" s="149">
        <f t="shared" si="19"/>
        <v>0</v>
      </c>
      <c r="J196" s="271">
        <f t="shared" si="19"/>
        <v>0</v>
      </c>
      <c r="L196" t="s">
        <v>801</v>
      </c>
      <c r="M196" s="2">
        <f ca="1">IF($M$2="Alimentation",_xll.PALO.SETDATA(G196,FALSE,"localhost/Bati_fin_dev","Reporting","décembre","2011",$A$4,+L196,"NA",+$G$3),_xll.PALO.DATAC("localhost/Bati_fin_dev","Reporting","décembre","2011",$A$4,+L196,"NA",+$G$3))</f>
        <v>0</v>
      </c>
    </row>
    <row r="197" spans="1:13" ht="12.75">
      <c r="A197" s="5" t="s">
        <v>328</v>
      </c>
      <c r="B197" s="92"/>
      <c r="C197" s="160">
        <f>IF(ISNA(VLOOKUP("CHA791000000",Balance!C:G,5,FALSE))=TRUE,0,-VLOOKUP("CHA791000000",Balance!C:G,5,FALSE))</f>
        <v>0</v>
      </c>
      <c r="D197" s="117">
        <f>+[2]Château!$H197</f>
        <v>0</v>
      </c>
      <c r="E197" s="160">
        <f>IF(ISNA(VLOOKUP("CHA791000000",Balanceanp!C:G,5,FALSE))=TRUE,0,-VLOOKUP("CHA791000000",Balanceanp!C:G,5,FALSE))</f>
        <v>0</v>
      </c>
      <c r="F197" s="368">
        <f>+C197+C197/9*(12-Clients!$I$14)</f>
        <v>0</v>
      </c>
      <c r="G197" s="368">
        <v>0</v>
      </c>
      <c r="H197" s="410"/>
      <c r="I197" s="149">
        <f t="shared" si="19"/>
        <v>0</v>
      </c>
      <c r="J197" s="271">
        <f t="shared" si="19"/>
        <v>0</v>
      </c>
      <c r="L197" t="s">
        <v>810</v>
      </c>
      <c r="M197" s="2">
        <f ca="1">IF($M$2="Alimentation",_xll.PALO.SETDATA(G197,FALSE,"localhost/Bati_fin_dev","Reporting","décembre","2011",$A$4,+L197,"NA",+$G$3),_xll.PALO.DATAC("localhost/Bati_fin_dev","Reporting","décembre","2011",$A$4,+L197,"NA",+$G$3))</f>
        <v>0</v>
      </c>
    </row>
    <row r="198" spans="1:13" ht="12.75">
      <c r="A198" s="5" t="s">
        <v>344</v>
      </c>
      <c r="B198" s="92"/>
      <c r="C198" s="160">
        <f>IF(ISNA(VLOOKUP("cha781500000",Balance!C:G,5,FALSE))=TRUE,0,-VLOOKUP("cha781500000",Balance!C:G,5,FALSE))</f>
        <v>0</v>
      </c>
      <c r="D198" s="117">
        <f>+[2]Château!$H198</f>
        <v>0</v>
      </c>
      <c r="E198" s="160">
        <f>IF(ISNA(VLOOKUP("cha781500000",Balanceanp!C:G,5,FALSE))=TRUE,0,-VLOOKUP("cha781500000",Balanceanp!C:G,5,FALSE))</f>
        <v>0</v>
      </c>
      <c r="F198" s="368">
        <f>+C198+C198/9*(12-Clients!$I$14)</f>
        <v>0</v>
      </c>
      <c r="G198" s="368">
        <v>0</v>
      </c>
      <c r="H198" s="410"/>
      <c r="I198" s="149">
        <f t="shared" si="19"/>
        <v>0</v>
      </c>
      <c r="J198" s="271">
        <f t="shared" si="19"/>
        <v>0</v>
      </c>
      <c r="L198" t="s">
        <v>807</v>
      </c>
      <c r="M198" s="2">
        <f ca="1">IF($M$2="Alimentation",_xll.PALO.SETDATA(G198,FALSE,"localhost/Bati_fin_dev","Reporting","décembre","2011",$A$4,+L198,"NA",+$G$3),_xll.PALO.DATAC("localhost/Bati_fin_dev","Reporting","décembre","2011",$A$4,+L198,"NA",+$G$3))</f>
        <v>0</v>
      </c>
    </row>
    <row r="199" spans="1:13" ht="12.75">
      <c r="A199" s="5" t="s">
        <v>77</v>
      </c>
      <c r="B199" s="92"/>
      <c r="C199" s="160">
        <f>IF(ISNA(VLOOKUP("CHA787250000",Balance!C:G,5,FALSE))=TRUE,0,-VLOOKUP("CHA787250000",Balance!C:G,5,FALSE))</f>
        <v>0</v>
      </c>
      <c r="D199" s="117">
        <f>+[2]Château!$H199</f>
        <v>0</v>
      </c>
      <c r="E199" s="160">
        <f>IF(ISNA(VLOOKUP("CHA787250000",Balanceanp!C:G,5,FALSE))=TRUE,0,-VLOOKUP("CHA787250000",Balanceanp!C:G,5,FALSE))</f>
        <v>611.32000000000005</v>
      </c>
      <c r="F199" s="368">
        <f>+C199+C199/9*(12-Clients!$I$14)</f>
        <v>0</v>
      </c>
      <c r="G199" s="368">
        <v>0</v>
      </c>
      <c r="H199" s="410"/>
      <c r="I199" s="149">
        <f t="shared" si="19"/>
        <v>-1</v>
      </c>
      <c r="J199" s="271">
        <f t="shared" si="19"/>
        <v>0</v>
      </c>
      <c r="L199" t="s">
        <v>806</v>
      </c>
      <c r="M199" s="2">
        <f ca="1">IF($M$2="Alimentation",_xll.PALO.SETDATA(G199,FALSE,"localhost/Bati_fin_dev","Reporting","décembre","2011",$A$4,+L199,"NA",+$G$3),_xll.PALO.DATAC("localhost/Bati_fin_dev","Reporting","décembre","2011",$A$4,+L199,"NA",+$G$3))</f>
        <v>0</v>
      </c>
    </row>
    <row r="200" spans="1:13">
      <c r="A200" s="5"/>
      <c r="B200" s="92"/>
      <c r="C200" s="160"/>
      <c r="D200" s="115"/>
      <c r="E200" s="160"/>
      <c r="F200" s="134"/>
      <c r="G200" s="134"/>
      <c r="H200" s="400"/>
      <c r="I200" s="149"/>
      <c r="J200" s="254"/>
      <c r="M200" s="2" t="e">
        <f ca="1">IF($M$2="Alimentation",_xll.PALO.SETDATA(G200,FALSE,"localhost/Bati_fin_dev","Reporting","décembre","2011",$A$4,+L200,"NA",+$G$3),_xll.PALO.DATAC("localhost/Bati_fin_dev","Reporting","décembre","2011",$A$4,+L200,"NA",+$G$3))</f>
        <v>#VALUE!</v>
      </c>
    </row>
    <row r="201" spans="1:13" s="33" customFormat="1" ht="15" customHeight="1">
      <c r="A201" s="13" t="s">
        <v>188</v>
      </c>
      <c r="B201" s="93"/>
      <c r="C201" s="163">
        <f>SUM(C186:C200)</f>
        <v>0</v>
      </c>
      <c r="D201" s="118">
        <f>SUM(D186:D200)</f>
        <v>0</v>
      </c>
      <c r="E201" s="163">
        <f>SUM(E186:E200)</f>
        <v>669.32</v>
      </c>
      <c r="F201" s="136">
        <f>SUM(F186:F200)</f>
        <v>0</v>
      </c>
      <c r="G201" s="136">
        <f>SUM(G186:G200)</f>
        <v>0</v>
      </c>
      <c r="H201" s="421"/>
      <c r="I201" s="272">
        <f>+IF((E201)=0,,(F201-E201)/E201)</f>
        <v>-1</v>
      </c>
      <c r="J201" s="188">
        <f>+IF((F201)=0,,(G201-F201)/F201)</f>
        <v>0</v>
      </c>
      <c r="M201" s="2" t="e">
        <f ca="1">IF($M$2="Alimentation",_xll.PALO.SETDATA(G201,FALSE,"localhost/Bati_fin_dev","Reporting","décembre","2011",$A$4,+L201,"NA",+$G$3),_xll.PALO.DATAC("localhost/Bati_fin_dev","Reporting","décembre","2011",$A$4,+L201,"NA",+$G$3))</f>
        <v>#VALUE!</v>
      </c>
    </row>
    <row r="202" spans="1:13">
      <c r="A202" s="5"/>
      <c r="B202" s="92"/>
      <c r="C202" s="160"/>
      <c r="D202" s="115"/>
      <c r="E202" s="160"/>
      <c r="F202" s="134"/>
      <c r="G202" s="134"/>
      <c r="H202" s="400"/>
      <c r="I202" s="149"/>
      <c r="J202" s="254"/>
      <c r="M202" s="2" t="e">
        <f ca="1">IF($M$2="Alimentation",_xll.PALO.SETDATA(G202,FALSE,"localhost/Bati_fin_dev","Reporting","décembre","2011",$A$4,+L202,"NA",+$G$3),_xll.PALO.DATAC("localhost/Bati_fin_dev","Reporting","décembre","2011",$A$4,+L202,"NA",+$G$3))</f>
        <v>#VALUE!</v>
      </c>
    </row>
    <row r="203" spans="1:13" s="33" customFormat="1" ht="15" customHeight="1">
      <c r="A203" s="14" t="s">
        <v>189</v>
      </c>
      <c r="B203" s="99">
        <f>+C203/$C$21</f>
        <v>0.32575092709740933</v>
      </c>
      <c r="C203" s="175">
        <f>+C103+C116+C129+C154+C168+C185-C201</f>
        <v>115784.03</v>
      </c>
      <c r="D203" s="126">
        <f>+D103+D116+D129+D154+D168+D185-D201</f>
        <v>170796.06887649524</v>
      </c>
      <c r="E203" s="175">
        <f>+E103+E116+E129+E154+E168+E185-E201</f>
        <v>169981.59199999998</v>
      </c>
      <c r="F203" s="145">
        <f>+F103+F116+F129+F154+F168+F185-F201</f>
        <v>150948.32999999999</v>
      </c>
      <c r="G203" s="145">
        <f>+G103+G116+G129+G154+G168+G185-G201</f>
        <v>160382.84314427202</v>
      </c>
      <c r="H203" s="422">
        <f>+G203/$G$21</f>
        <v>0.32367879544757217</v>
      </c>
      <c r="I203" s="281">
        <f>+IF((E203)=0,,(F203-E203)/E203)</f>
        <v>-0.11197248935049385</v>
      </c>
      <c r="J203" s="282">
        <f>+IF((F203)=0,,(G203-F203)/F203)</f>
        <v>6.2501606637662244E-2</v>
      </c>
      <c r="M203" s="2" t="e">
        <f ca="1">IF($M$2="Alimentation",_xll.PALO.SETDATA(G203,FALSE,"localhost/Bati_fin_dev","Reporting","décembre","2011",$A$4,+L203,"NA",+$G$3),_xll.PALO.DATAC("localhost/Bati_fin_dev","Reporting","décembre","2011",$A$4,+L203,"NA",+$G$3))</f>
        <v>#VALUE!</v>
      </c>
    </row>
    <row r="204" spans="1:13">
      <c r="A204" s="5"/>
      <c r="B204" s="92"/>
      <c r="C204" s="160"/>
      <c r="D204" s="115"/>
      <c r="E204" s="160"/>
      <c r="F204" s="134"/>
      <c r="G204" s="134"/>
      <c r="H204" s="400"/>
      <c r="I204" s="149"/>
      <c r="J204" s="254"/>
      <c r="M204" s="2" t="e">
        <f ca="1">IF($M$2="Alimentation",_xll.PALO.SETDATA(G204,FALSE,"localhost/Bati_fin_dev","Reporting","décembre","2011",$A$4,+L204,"NA",+$G$3),_xll.PALO.DATAC("localhost/Bati_fin_dev","Reporting","décembre","2011",$A$4,+L204,"NA",+$G$3))</f>
        <v>#VALUE!</v>
      </c>
    </row>
    <row r="205" spans="1:13" s="33" customFormat="1" ht="15" customHeight="1">
      <c r="A205" s="12" t="s">
        <v>228</v>
      </c>
      <c r="B205" s="100">
        <f>+C205/$C$21</f>
        <v>5.6399595653016778E-3</v>
      </c>
      <c r="C205" s="177">
        <f>+C62-C203</f>
        <v>2004.6520000000019</v>
      </c>
      <c r="D205" s="127">
        <f>+D62-D203</f>
        <v>23453.931123504764</v>
      </c>
      <c r="E205" s="177">
        <f>+E53-E203</f>
        <v>-10477.295899999939</v>
      </c>
      <c r="F205" s="146">
        <f>+F62-F203</f>
        <v>-1943.7583999999915</v>
      </c>
      <c r="G205" s="146">
        <f>+G62-G203</f>
        <v>8842.1568557279825</v>
      </c>
      <c r="H205" s="406">
        <f>+G205/$G$21</f>
        <v>1.7844917973214899E-2</v>
      </c>
      <c r="I205" s="226">
        <f>+IF((E205)=0,,(F205-E205)/E205)</f>
        <v>-0.81447900120869898</v>
      </c>
      <c r="J205" s="283">
        <f>+IF((F205)=0,,(G205-F205)/F205)</f>
        <v>-5.5489999455323362</v>
      </c>
      <c r="M205" s="2" t="e">
        <f ca="1">IF($M$2="Alimentation",_xll.PALO.SETDATA(G205,FALSE,"localhost/Bati_fin_dev","Reporting","décembre","2011",$A$4,+L205,"NA",+$G$3),_xll.PALO.DATAC("localhost/Bati_fin_dev","Reporting","décembre","2011",$A$4,+L205,"NA",+$G$3))</f>
        <v>#VALUE!</v>
      </c>
    </row>
    <row r="206" spans="1:13">
      <c r="A206" s="5"/>
      <c r="B206" s="92"/>
      <c r="C206" s="160"/>
      <c r="D206" s="115"/>
      <c r="E206" s="160"/>
      <c r="F206" s="134"/>
      <c r="G206" s="134"/>
      <c r="H206" s="400"/>
      <c r="I206" s="149"/>
      <c r="J206" s="254"/>
      <c r="M206" s="2" t="e">
        <f ca="1">IF($M$2="Alimentation",_xll.PALO.SETDATA(G206,FALSE,"localhost/Bati_fin_dev","Reporting","décembre","2011",$A$4,+L206,"NA",+$G$3),_xll.PALO.DATAC("localhost/Bati_fin_dev","Reporting","décembre","2011",$A$4,+L206,"NA",+$G$3))</f>
        <v>#VALUE!</v>
      </c>
    </row>
    <row r="207" spans="1:13" ht="15" customHeight="1">
      <c r="A207" s="63" t="s">
        <v>251</v>
      </c>
      <c r="B207" s="101">
        <f>+C207/$C$21</f>
        <v>2.599755112165585E-3</v>
      </c>
      <c r="C207" s="179">
        <f>+[2]Château!$C207</f>
        <v>924.04993772933267</v>
      </c>
      <c r="D207" s="128">
        <f>+[2]Château!$H207</f>
        <v>3380.8696831075836</v>
      </c>
      <c r="E207" s="284">
        <f>+[1]Château!$G$207</f>
        <v>1084.1008631091263</v>
      </c>
      <c r="F207" s="150">
        <f>+Repart!K12</f>
        <v>1187.4072674233419</v>
      </c>
      <c r="G207" s="150">
        <f>+Repart!Q12</f>
        <v>1875.5679308519004</v>
      </c>
      <c r="H207" s="423">
        <f>+G207/$G$21</f>
        <v>3.785202685876691E-3</v>
      </c>
      <c r="I207" s="281">
        <f>+IF((E207)=0,,(F207-E207)/E207)</f>
        <v>9.5292244319352307E-2</v>
      </c>
      <c r="J207" s="282">
        <f>+IF((F207)=0,,(G207-F207)/F207)</f>
        <v>0.57954897389322713</v>
      </c>
      <c r="M207" s="2" t="e">
        <f ca="1">IF($M$2="Alimentation",_xll.PALO.SETDATA(G207,FALSE,"localhost/Bati_fin_dev","Reporting","décembre","2011",$A$4,+L207,"NA",+$G$3),_xll.PALO.DATAC("localhost/Bati_fin_dev","Reporting","décembre","2011",$A$4,+L207,"NA",+$G$3))</f>
        <v>#VALUE!</v>
      </c>
    </row>
    <row r="208" spans="1:13">
      <c r="A208" s="5"/>
      <c r="B208" s="92"/>
      <c r="C208" s="160"/>
      <c r="D208" s="115"/>
      <c r="E208" s="160"/>
      <c r="F208" s="134"/>
      <c r="G208" s="134"/>
      <c r="H208" s="400"/>
      <c r="I208" s="149"/>
      <c r="J208" s="254"/>
      <c r="M208" s="2" t="e">
        <f ca="1">IF($M$2="Alimentation",_xll.PALO.SETDATA(G208,FALSE,"localhost/Bati_fin_dev","Reporting","décembre","2011",$A$4,+L208,"NA",+$G$3),_xll.PALO.DATAC("localhost/Bati_fin_dev","Reporting","décembre","2011",$A$4,+L208,"NA",+$G$3))</f>
        <v>#VALUE!</v>
      </c>
    </row>
    <row r="209" spans="1:13" s="33" customFormat="1" ht="15" customHeight="1">
      <c r="A209" s="12" t="s">
        <v>190</v>
      </c>
      <c r="B209" s="100">
        <f>+C209/$C$21</f>
        <v>3.0402044531360924E-3</v>
      </c>
      <c r="C209" s="177">
        <f>+C205-C207</f>
        <v>1080.6020622706692</v>
      </c>
      <c r="D209" s="127">
        <f>+D205-D207</f>
        <v>20073.061440397181</v>
      </c>
      <c r="E209" s="177">
        <f>+E205-E207</f>
        <v>-11561.396763109065</v>
      </c>
      <c r="F209" s="146">
        <f>+F205-F207</f>
        <v>-3131.1656674233336</v>
      </c>
      <c r="G209" s="146">
        <f>+G205-G207</f>
        <v>6966.5889248760823</v>
      </c>
      <c r="H209" s="406">
        <f>+G209/$G$21</f>
        <v>1.4059715287338209E-2</v>
      </c>
      <c r="I209" s="226">
        <f>+IF((E209)=0,,(F209-E209)/E209)</f>
        <v>-0.7291706416118785</v>
      </c>
      <c r="J209" s="283">
        <f>+IF((F209)=0,,(G209-F209)/F209)</f>
        <v>-3.2249186612374157</v>
      </c>
      <c r="M209" s="2" t="e">
        <f ca="1">IF($M$2="Alimentation",_xll.PALO.SETDATA(G209,FALSE,"localhost/Bati_fin_dev","Reporting","décembre","2011",$A$4,+L209,"NA",+$G$3),_xll.PALO.DATAC("localhost/Bati_fin_dev","Reporting","décembre","2011",$A$4,+L209,"NA",+$G$3))</f>
        <v>#VALUE!</v>
      </c>
    </row>
    <row r="210" spans="1:13">
      <c r="A210" s="5"/>
      <c r="B210" s="92"/>
      <c r="C210" s="160"/>
      <c r="D210" s="115"/>
      <c r="E210" s="160"/>
      <c r="F210" s="134"/>
      <c r="G210" s="134"/>
      <c r="H210" s="400"/>
      <c r="I210" s="149"/>
      <c r="J210" s="254"/>
      <c r="M210" s="2" t="e">
        <f ca="1">IF($M$2="Alimentation",_xll.PALO.SETDATA(G210,FALSE,"localhost/Bati_fin_dev","Reporting","décembre","2011",$A$4,+L210,"NA",+$G$3),_xll.PALO.DATAC("localhost/Bati_fin_dev","Reporting","décembre","2011",$A$4,+L210,"NA",+$G$3))</f>
        <v>#VALUE!</v>
      </c>
    </row>
    <row r="211" spans="1:13">
      <c r="A211" s="5" t="s">
        <v>191</v>
      </c>
      <c r="B211" s="92">
        <f>+C211/$C$21</f>
        <v>1.8385978115844453E-2</v>
      </c>
      <c r="C211" s="160">
        <f>+[2]Château!$C211</f>
        <v>6535.0624193548392</v>
      </c>
      <c r="D211" s="117">
        <f>+[2]Château!$H211</f>
        <v>9026.0372215405096</v>
      </c>
      <c r="E211" s="160">
        <f>+[1]Château!$G211</f>
        <v>8095.0860719999991</v>
      </c>
      <c r="F211" s="368">
        <f>+Repart!I12</f>
        <v>8997.9607634408567</v>
      </c>
      <c r="G211" s="368">
        <f>+Repart!O12</f>
        <v>9644.6846793104778</v>
      </c>
      <c r="H211" s="410"/>
      <c r="I211" s="149">
        <f t="shared" ref="I211:J213" si="20">+IF((E211)=0,,(F211-E211)/E211)</f>
        <v>0.11153367405984731</v>
      </c>
      <c r="J211" s="271">
        <f t="shared" si="20"/>
        <v>7.1874498330476308E-2</v>
      </c>
      <c r="M211" s="2" t="e">
        <f ca="1">IF($M$2="Alimentation",_xll.PALO.SETDATA(G211,FALSE,"localhost/Bati_fin_dev","Reporting","décembre","2011",$A$4,+L211,"NA",+$G$3),_xll.PALO.DATAC("localhost/Bati_fin_dev","Reporting","décembre","2011",$A$4,+L211,"NA",+$G$3))</f>
        <v>#VALUE!</v>
      </c>
    </row>
    <row r="212" spans="1:13">
      <c r="A212" s="5" t="s">
        <v>192</v>
      </c>
      <c r="B212" s="92">
        <f>+C212/$C$21</f>
        <v>3.9137768564630811E-2</v>
      </c>
      <c r="C212" s="160">
        <f>+[2]Château!$C212</f>
        <v>13911.022786637252</v>
      </c>
      <c r="D212" s="117">
        <f>+[2]Château!$H212</f>
        <v>21414.635509408359</v>
      </c>
      <c r="E212" s="160">
        <f>+[1]Château!$G212</f>
        <v>16638.227225938968</v>
      </c>
      <c r="F212" s="368">
        <f>+Repart!J12</f>
        <v>18328.580038593864</v>
      </c>
      <c r="G212" s="368">
        <f>+Repart!P12</f>
        <v>20207.823420486297</v>
      </c>
      <c r="H212" s="410"/>
      <c r="I212" s="149">
        <f t="shared" si="20"/>
        <v>0.10159452624974602</v>
      </c>
      <c r="J212" s="271">
        <f t="shared" si="20"/>
        <v>0.10253076768278691</v>
      </c>
      <c r="M212" s="2" t="e">
        <f ca="1">IF($M$2="Alimentation",_xll.PALO.SETDATA(G212,FALSE,"localhost/Bati_fin_dev","Reporting","décembre","2011",$A$4,+L212,"NA",+$G$3),_xll.PALO.DATAC("localhost/Bati_fin_dev","Reporting","décembre","2011",$A$4,+L212,"NA",+$G$3))</f>
        <v>#VALUE!</v>
      </c>
    </row>
    <row r="213" spans="1:13">
      <c r="A213" s="5" t="s">
        <v>193</v>
      </c>
      <c r="B213" s="92"/>
      <c r="C213" s="160">
        <f>+[2]Château!$C213</f>
        <v>-2816.52</v>
      </c>
      <c r="D213" s="117">
        <f>+[2]Château!$H213</f>
        <v>-4200</v>
      </c>
      <c r="E213" s="160">
        <f>+[1]Château!$G213</f>
        <v>-4162.8599999999997</v>
      </c>
      <c r="F213" s="368">
        <f>+C213+C213/9*(12-Clients!$I$14)</f>
        <v>-3755.3599999999997</v>
      </c>
      <c r="G213" s="368">
        <f>+G253*-4%</f>
        <v>-4200</v>
      </c>
      <c r="H213" s="410"/>
      <c r="I213" s="149">
        <f t="shared" si="20"/>
        <v>-9.7889431784878675E-2</v>
      </c>
      <c r="J213" s="271">
        <f t="shared" si="20"/>
        <v>0.11840143155383248</v>
      </c>
      <c r="M213" s="2" t="e">
        <f ca="1">IF($M$2="Alimentation",_xll.PALO.SETDATA(G213,FALSE,"localhost/Bati_fin_dev","Reporting","décembre","2011",$A$4,+L213,"NA",+$G$3),_xll.PALO.DATAC("localhost/Bati_fin_dev","Reporting","décembre","2011",$A$4,+L213,"NA",+$G$3))</f>
        <v>#VALUE!</v>
      </c>
    </row>
    <row r="214" spans="1:13">
      <c r="A214" s="5"/>
      <c r="B214" s="92"/>
      <c r="C214" s="160"/>
      <c r="D214" s="115"/>
      <c r="E214" s="160"/>
      <c r="F214" s="134"/>
      <c r="G214" s="134"/>
      <c r="H214" s="400"/>
      <c r="I214" s="149"/>
      <c r="J214" s="254"/>
      <c r="M214" s="2" t="e">
        <f ca="1">IF($M$2="Alimentation",_xll.PALO.SETDATA(G214,FALSE,"localhost/Bati_fin_dev","Reporting","décembre","2011",$A$4,+L214,"NA",+$G$3),_xll.PALO.DATAC("localhost/Bati_fin_dev","Reporting","décembre","2011",$A$4,+L214,"NA",+$G$3))</f>
        <v>#VALUE!</v>
      </c>
    </row>
    <row r="215" spans="1:13" s="33" customFormat="1" ht="15" customHeight="1">
      <c r="A215" s="20" t="s">
        <v>194</v>
      </c>
      <c r="B215" s="103">
        <f>+C215/$C$21</f>
        <v>4.9599648675004257E-2</v>
      </c>
      <c r="C215" s="180">
        <f>SUM(C210:C213)</f>
        <v>17629.56520599209</v>
      </c>
      <c r="D215" s="129">
        <f>SUM(D210:D213)</f>
        <v>26240.672730948871</v>
      </c>
      <c r="E215" s="180">
        <f>SUM(E210:E213)</f>
        <v>20570.453297938966</v>
      </c>
      <c r="F215" s="148">
        <f>SUM(F210:F213)</f>
        <v>23571.18080203472</v>
      </c>
      <c r="G215" s="148">
        <f>SUM(G210:G213)</f>
        <v>25652.508099796774</v>
      </c>
      <c r="H215" s="424">
        <f>+G215/$G$21</f>
        <v>5.1770954792728099E-2</v>
      </c>
      <c r="I215" s="281">
        <f>+IF((E215)=0,,(F215-E215)/E215)</f>
        <v>0.14587561395141488</v>
      </c>
      <c r="J215" s="282">
        <f>+IF((F215)=0,,(G215-F215)/F215)</f>
        <v>8.8299662000063631E-2</v>
      </c>
      <c r="M215" s="2" t="e">
        <f ca="1">IF($M$2="Alimentation",_xll.PALO.SETDATA(G215,FALSE,"localhost/Bati_fin_dev","Reporting","décembre","2011",$A$4,+L215,"NA",+$G$3),_xll.PALO.DATAC("localhost/Bati_fin_dev","Reporting","décembre","2011",$A$4,+L215,"NA",+$G$3))</f>
        <v>#VALUE!</v>
      </c>
    </row>
    <row r="216" spans="1:13">
      <c r="A216" s="5"/>
      <c r="B216" s="92"/>
      <c r="C216" s="160"/>
      <c r="D216" s="115"/>
      <c r="E216" s="160"/>
      <c r="F216" s="134"/>
      <c r="G216" s="134"/>
      <c r="H216" s="400"/>
      <c r="I216" s="149"/>
      <c r="J216" s="254"/>
      <c r="M216" s="2" t="e">
        <f ca="1">IF($M$2="Alimentation",_xll.PALO.SETDATA(G216,FALSE,"localhost/Bati_fin_dev","Reporting","décembre","2011",$A$4,+L216,"NA",+$G$3),_xll.PALO.DATAC("localhost/Bati_fin_dev","Reporting","décembre","2011",$A$4,+L216,"NA",+$G$3))</f>
        <v>#VALUE!</v>
      </c>
    </row>
    <row r="217" spans="1:13" s="33" customFormat="1" ht="20.100000000000001" customHeight="1">
      <c r="A217" s="12" t="s">
        <v>86</v>
      </c>
      <c r="B217" s="100">
        <f>+C217/$C$21</f>
        <v>-4.6559444221868161E-2</v>
      </c>
      <c r="C217" s="177">
        <f>+C209-C215</f>
        <v>-16548.963143721419</v>
      </c>
      <c r="D217" s="127">
        <f>+D209-D215</f>
        <v>-6167.6112905516893</v>
      </c>
      <c r="E217" s="177">
        <f>+E209-E215</f>
        <v>-32131.850061048033</v>
      </c>
      <c r="F217" s="146">
        <f>+F209-F215</f>
        <v>-26702.346469458054</v>
      </c>
      <c r="G217" s="146">
        <f>+G209-G215</f>
        <v>-18685.919174920691</v>
      </c>
      <c r="H217" s="406">
        <f>+G217/$G$21</f>
        <v>-3.771123950538989E-2</v>
      </c>
      <c r="I217" s="226">
        <f>+IF((E217)=0,,(F217-E217)/E217)</f>
        <v>-0.168975754003406</v>
      </c>
      <c r="J217" s="283">
        <f>+IF((F217)=0,,(G217-F217)/F217)</f>
        <v>-0.30021433897977817</v>
      </c>
      <c r="M217" s="2" t="e">
        <f ca="1">IF($M$2="Alimentation",_xll.PALO.SETDATA(G217,FALSE,"localhost/Bati_fin_dev","Reporting","décembre","2011",$A$4,+L217,"NA",+$G$3),_xll.PALO.DATAC("localhost/Bati_fin_dev","Reporting","décembre","2011",$A$4,+L217,"NA",+$G$3))</f>
        <v>#VALUE!</v>
      </c>
    </row>
    <row r="218" spans="1:13">
      <c r="A218" s="2" t="s">
        <v>43</v>
      </c>
      <c r="C218" s="17">
        <f>+C225-C226-C215-C207-C53+C62-C38+C213</f>
        <v>-16548.963143721408</v>
      </c>
      <c r="D218" s="117">
        <f>+[2]Château!$H$217</f>
        <v>-6167.6112905516893</v>
      </c>
      <c r="E218" s="17">
        <f>+[1]Château!$G$217</f>
        <v>-32131.850061048033</v>
      </c>
      <c r="F218" s="87"/>
      <c r="G218" s="398"/>
      <c r="H218" s="414"/>
      <c r="M218" s="2" t="e">
        <f ca="1">IF($M$2="Alimentation",_xll.PALO.SETDATA(G218,FALSE,"localhost/Bati_fin_dev","Reporting","décembre","2011",$A$4,+L218,"NA",+$G$3),_xll.PALO.DATAC("localhost/Bati_fin_dev","Reporting","décembre","2011",$A$4,+L218,"NA",+$G$3))</f>
        <v>#VALUE!</v>
      </c>
    </row>
    <row r="219" spans="1:13">
      <c r="A219" s="2" t="s">
        <v>346</v>
      </c>
      <c r="B219" s="58">
        <f>+Clients!K13</f>
        <v>270</v>
      </c>
      <c r="C219" s="17">
        <f>+B219/C44*C57</f>
        <v>93.513029135839631</v>
      </c>
      <c r="M219" s="2" t="e">
        <f ca="1">IF($M$2="Alimentation",_xll.PALO.SETDATA(G219,FALSE,"localhost/Bati_fin_dev","Reporting","décembre","2011",$A$4,+L219,"NA",+$G$3),_xll.PALO.DATAC("localhost/Bati_fin_dev","Reporting","décembre","2011",$A$4,+L219,"NA",+$G$3))</f>
        <v>#VALUE!</v>
      </c>
    </row>
    <row r="220" spans="1:13">
      <c r="A220" s="2" t="s">
        <v>354</v>
      </c>
      <c r="B220" s="58">
        <f>+Clients!K13</f>
        <v>270</v>
      </c>
      <c r="C220" s="17">
        <f>+B220/(C21*1.196)*Clients!K23</f>
        <v>118.18829983219683</v>
      </c>
      <c r="M220" s="2" t="e">
        <f ca="1">IF($M$2="Alimentation",_xll.PALO.SETDATA(G220,FALSE,"localhost/Bati_fin_dev","Reporting","décembre","2011",$A$4,+L220,"NA",+$G$3),_xll.PALO.DATAC("localhost/Bati_fin_dev","Reporting","décembre","2011",$A$4,+L220,"NA",+$G$3))</f>
        <v>#VALUE!</v>
      </c>
    </row>
    <row r="221" spans="1:13">
      <c r="M221" s="2" t="e">
        <f ca="1">IF($M$2="Alimentation",_xll.PALO.SETDATA(G221,FALSE,"localhost/Bati_fin_dev","Reporting","décembre","2011",$A$4,+L221,"NA",+$G$3),_xll.PALO.DATAC("localhost/Bati_fin_dev","Reporting","décembre","2011",$A$4,+L221,"NA",+$G$3))</f>
        <v>#VALUE!</v>
      </c>
    </row>
    <row r="222" spans="1:13">
      <c r="A222" s="264" t="s">
        <v>67</v>
      </c>
      <c r="B222" s="265"/>
      <c r="C222" s="265">
        <f>+(C215+C207+C203)/C60/Clients!$I$13*12</f>
        <v>526814.29468126048</v>
      </c>
      <c r="D222" s="265">
        <f>+(D215+D207+D203)/D60</f>
        <v>572621.74654443341</v>
      </c>
      <c r="E222" s="265">
        <f>+(E215+E207+E203)/E60/Clients!$I$13*12</f>
        <v>709763.50430017803</v>
      </c>
      <c r="F222" s="265">
        <f>+(F215+F207+F203)/F60</f>
        <v>516785.0531454648</v>
      </c>
      <c r="G222" s="265">
        <f>+(G215+G207+G203)/G60</f>
        <v>536888.34049977339</v>
      </c>
      <c r="H222" s="265"/>
      <c r="I222" s="265"/>
      <c r="J222" s="265"/>
      <c r="M222" s="2" t="e">
        <f ca="1">IF($M$2="Alimentation",_xll.PALO.SETDATA(G222,FALSE,"localhost/Bati_fin_dev","Reporting","décembre","2011",$A$4,+L222,"NA",+$G$3),_xll.PALO.DATAC("localhost/Bati_fin_dev","Reporting","décembre","2011",$A$4,+L222,"NA",+$G$3))</f>
        <v>#VALUE!</v>
      </c>
    </row>
    <row r="223" spans="1:13">
      <c r="A223" s="264" t="s">
        <v>66</v>
      </c>
      <c r="B223" s="265"/>
      <c r="C223" s="265">
        <f>+(C215+C207+C203)/C60/Clients!$I$13</f>
        <v>43901.191223438371</v>
      </c>
      <c r="D223" s="265">
        <f>+(D215+D207+D203)/D60/12</f>
        <v>47718.478878702786</v>
      </c>
      <c r="E223" s="265">
        <f>+(E215+E207+E203)/E60/Clients!$I$13</f>
        <v>59146.958691681502</v>
      </c>
      <c r="F223" s="265">
        <f>+(F215+F207+F203)/F60/9</f>
        <v>57420.561460607198</v>
      </c>
      <c r="G223" s="265">
        <f>+(G215+G207+G203)/G60/12</f>
        <v>44740.695041647785</v>
      </c>
      <c r="H223" s="265"/>
      <c r="I223" s="265"/>
      <c r="J223" s="265"/>
      <c r="M223" s="2" t="e">
        <f ca="1">IF($M$2="Alimentation",_xll.PALO.SETDATA(G223,FALSE,"localhost/Bati_fin_dev","Reporting","décembre","2011",$A$4,+L223,"NA",+$G$3),_xll.PALO.DATAC("localhost/Bati_fin_dev","Reporting","décembre","2011",$A$4,+L223,"NA",+$G$3))</f>
        <v>#VALUE!</v>
      </c>
    </row>
    <row r="224" spans="1:13">
      <c r="B224" s="17"/>
      <c r="D224" s="17"/>
      <c r="E224" s="17"/>
      <c r="F224" s="17"/>
      <c r="G224" s="17"/>
      <c r="H224" s="17"/>
      <c r="I224" s="17"/>
      <c r="J224" s="17"/>
      <c r="M224" s="2" t="e">
        <f ca="1">IF($M$2="Alimentation",_xll.PALO.SETDATA(G224,FALSE,"localhost/Bati_fin_dev","Reporting","décembre","2011",$A$4,+L224,"NA",+$G$3),_xll.PALO.DATAC("localhost/Bati_fin_dev","Reporting","décembre","2011",$A$4,+L224,"NA",+$G$3))</f>
        <v>#VALUE!</v>
      </c>
    </row>
    <row r="225" spans="1:13">
      <c r="A225" s="2" t="s">
        <v>215</v>
      </c>
      <c r="C225" s="17">
        <f>+C51-C40-C157-C166+C201-C164-C159-C137</f>
        <v>348890.38</v>
      </c>
      <c r="D225" s="17"/>
      <c r="M225" s="2" t="e">
        <f ca="1">IF($M$2="Alimentation",_xll.PALO.SETDATA(G225,FALSE,"localhost/Bati_fin_dev","Reporting","décembre","2011",$A$4,+L225,"NA",+$G$3),_xll.PALO.DATAC("localhost/Bati_fin_dev","Reporting","décembre","2011",$A$4,+L225,"NA",+$G$3))</f>
        <v>#VALUE!</v>
      </c>
    </row>
    <row r="226" spans="1:13">
      <c r="A226" s="2" t="s">
        <v>216</v>
      </c>
      <c r="C226" s="17">
        <f>+C44-C38-C40+C103+C116+C129+C154+C156+C158+C160+C161+C162+C163+C165+C185+C213</f>
        <v>340433.59</v>
      </c>
      <c r="D226" s="17"/>
      <c r="M226" s="2" t="e">
        <f ca="1">IF($M$2="Alimentation",_xll.PALO.SETDATA(G226,FALSE,"localhost/Bati_fin_dev","Reporting","décembre","2011",$A$4,+L226,"NA",+$G$3),_xll.PALO.DATAC("localhost/Bati_fin_dev","Reporting","décembre","2011",$A$4,+L226,"NA",+$G$3))</f>
        <v>#VALUE!</v>
      </c>
    </row>
    <row r="227" spans="1:13">
      <c r="M227" s="2" t="e">
        <f ca="1">IF($M$2="Alimentation",_xll.PALO.SETDATA(G227,FALSE,"localhost/Bati_fin_dev","Reporting","décembre","2011",$A$4,+L227,"NA",+$G$3),_xll.PALO.DATAC("localhost/Bati_fin_dev","Reporting","décembre","2011",$A$4,+L227,"NA",+$G$3))</f>
        <v>#VALUE!</v>
      </c>
    </row>
    <row r="228" spans="1:13" ht="12.75" customHeight="1">
      <c r="A228" s="6"/>
      <c r="B228" s="102" t="s">
        <v>198</v>
      </c>
      <c r="C228" s="155" t="s">
        <v>195</v>
      </c>
      <c r="D228" s="104" t="s">
        <v>196</v>
      </c>
      <c r="E228" s="267" t="s">
        <v>54</v>
      </c>
      <c r="F228" s="130" t="s">
        <v>364</v>
      </c>
      <c r="G228" s="130" t="s">
        <v>196</v>
      </c>
      <c r="H228" s="8"/>
      <c r="I228" s="151" t="s">
        <v>225</v>
      </c>
      <c r="J228" s="183" t="s">
        <v>225</v>
      </c>
      <c r="M228" s="2" t="e">
        <f ca="1">IF($M$2="Alimentation",_xll.PALO.SETDATA(G228,FALSE,"localhost/Bati_fin_dev","Reporting","décembre","2011",$A$4,+L228,"NA",+$G$3),_xll.PALO.DATAC("localhost/Bati_fin_dev","Reporting","décembre","2011",$A$4,+L228,"NA",+$G$3))</f>
        <v>#VALUE!</v>
      </c>
    </row>
    <row r="229" spans="1:13" ht="20.25" customHeight="1">
      <c r="A229" s="7" t="str">
        <f>+A4</f>
        <v>CHATEAUROUX</v>
      </c>
      <c r="B229" s="90" t="s">
        <v>226</v>
      </c>
      <c r="C229" s="156" t="s">
        <v>387</v>
      </c>
      <c r="D229" s="105" t="s">
        <v>197</v>
      </c>
      <c r="E229" s="260" t="s">
        <v>390</v>
      </c>
      <c r="F229" s="131" t="s">
        <v>366</v>
      </c>
      <c r="G229" s="131" t="s">
        <v>197</v>
      </c>
      <c r="H229" s="9"/>
      <c r="I229" s="152" t="s">
        <v>55</v>
      </c>
      <c r="J229" s="184" t="s">
        <v>56</v>
      </c>
      <c r="M229" s="2" t="e">
        <f ca="1">IF($M$2="Alimentation",_xll.PALO.SETDATA(G229,FALSE,"localhost/Bati_fin_dev","Reporting","décembre","2011",$A$4,+L229,"NA",+$G$3),_xll.PALO.DATAC("localhost/Bati_fin_dev","Reporting","décembre","2011",$A$4,+L229,"NA",+$G$3))</f>
        <v>#VALUE!</v>
      </c>
    </row>
    <row r="230" spans="1:13">
      <c r="A230" s="3"/>
      <c r="B230" s="90"/>
      <c r="C230" s="157"/>
      <c r="D230" s="106"/>
      <c r="E230" s="268"/>
      <c r="F230" s="132"/>
      <c r="G230" s="132"/>
      <c r="H230" s="10"/>
      <c r="I230" s="152"/>
      <c r="J230" s="184"/>
      <c r="M230" s="2" t="e">
        <f ca="1">IF($M$2="Alimentation",_xll.PALO.SETDATA(G230,FALSE,"localhost/Bati_fin_dev","Reporting","décembre","2011",$A$4,+L230,"NA",+$G$3),_xll.PALO.DATAC("localhost/Bati_fin_dev","Reporting","décembre","2011",$A$4,+L230,"NA",+$G$3))</f>
        <v>#VALUE!</v>
      </c>
    </row>
    <row r="231" spans="1:13">
      <c r="A231" s="4"/>
      <c r="B231" s="91"/>
      <c r="C231" s="158">
        <v>2009</v>
      </c>
      <c r="D231" s="159">
        <v>2009</v>
      </c>
      <c r="E231" s="158">
        <v>2008</v>
      </c>
      <c r="F231" s="133">
        <v>2009</v>
      </c>
      <c r="G231" s="133">
        <v>2010</v>
      </c>
      <c r="H231" s="4"/>
      <c r="I231" s="153" t="s">
        <v>196</v>
      </c>
      <c r="J231" s="185" t="s">
        <v>57</v>
      </c>
      <c r="M231" s="2" t="e">
        <f ca="1">IF($M$2="Alimentation",_xll.PALO.SETDATA(G231,FALSE,"localhost/Bati_fin_dev","Reporting","décembre","2011",$A$4,+L231,"NA",+$G$3),_xll.PALO.DATAC("localhost/Bati_fin_dev","Reporting","décembre","2011",$A$4,+L231,"NA",+$G$3))</f>
        <v>#VALUE!</v>
      </c>
    </row>
    <row r="232" spans="1:13" ht="11.25" customHeight="1">
      <c r="B232" s="360"/>
      <c r="C232" s="248"/>
      <c r="D232" s="286"/>
      <c r="E232" s="361"/>
      <c r="F232" s="287"/>
      <c r="G232" s="287"/>
      <c r="H232" s="417"/>
      <c r="I232" s="253"/>
      <c r="J232" s="289"/>
      <c r="M232" s="2" t="e">
        <f ca="1">IF($M$2="Alimentation",_xll.PALO.SETDATA(G232,FALSE,"localhost/Bati_fin_dev","Reporting","décembre","2011",$A$4,+L232,"NA",+$G$3),_xll.PALO.DATAC("localhost/Bati_fin_dev","Reporting","décembre","2011",$A$4,+L232,"NA",+$G$3))</f>
        <v>#VALUE!</v>
      </c>
    </row>
    <row r="233" spans="1:13" s="33" customFormat="1" ht="15" customHeight="1">
      <c r="A233" s="245" t="s">
        <v>223</v>
      </c>
      <c r="B233" s="363"/>
      <c r="C233" s="175">
        <f t="shared" ref="C233:J233" si="21">+C51</f>
        <v>346437.3</v>
      </c>
      <c r="D233" s="176">
        <f t="shared" si="21"/>
        <v>555000</v>
      </c>
      <c r="E233" s="175">
        <f t="shared" si="21"/>
        <v>454484.18000000005</v>
      </c>
      <c r="F233" s="206">
        <f t="shared" si="21"/>
        <v>438248.74</v>
      </c>
      <c r="G233" s="206">
        <f t="shared" si="21"/>
        <v>483500</v>
      </c>
      <c r="H233" s="313"/>
      <c r="I233" s="281">
        <f>+I51</f>
        <v>-3.5722783574117054E-2</v>
      </c>
      <c r="J233" s="192">
        <f t="shared" si="21"/>
        <v>0.10325474067535256</v>
      </c>
      <c r="K233" s="58"/>
      <c r="M233" s="2" t="e">
        <f ca="1">IF($M$2="Alimentation",_xll.PALO.SETDATA(G233,FALSE,"localhost/Bati_fin_dev","Reporting","décembre","2011",$A$4,+L233,"NA",+$G$3),_xll.PALO.DATAC("localhost/Bati_fin_dev","Reporting","décembre","2011",$A$4,+L233,"NA",+$G$3))</f>
        <v>#VALUE!</v>
      </c>
    </row>
    <row r="234" spans="1:13" ht="11.25" customHeight="1">
      <c r="B234" s="23"/>
      <c r="C234" s="160"/>
      <c r="D234" s="162"/>
      <c r="E234" s="160"/>
      <c r="F234" s="113"/>
      <c r="G234" s="113"/>
      <c r="H234" s="18"/>
      <c r="I234" s="149"/>
      <c r="J234" s="186"/>
      <c r="M234" s="2" t="e">
        <f ca="1">IF($M$2="Alimentation",_xll.PALO.SETDATA(G234,FALSE,"localhost/Bati_fin_dev","Reporting","décembre","2011",$A$4,+L234,"NA",+$G$3),_xll.PALO.DATAC("localhost/Bati_fin_dev","Reporting","décembre","2011",$A$4,+L234,"NA",+$G$3))</f>
        <v>#VALUE!</v>
      </c>
    </row>
    <row r="235" spans="1:13" s="33" customFormat="1" ht="15" customHeight="1">
      <c r="A235" s="246" t="s">
        <v>295</v>
      </c>
      <c r="B235" s="364"/>
      <c r="C235" s="197">
        <f>+C60</f>
        <v>0.34</v>
      </c>
      <c r="D235" s="191">
        <f>+D60</f>
        <v>0.35</v>
      </c>
      <c r="E235" s="197">
        <f>+E60</f>
        <v>0.36</v>
      </c>
      <c r="F235" s="224">
        <f>+F60</f>
        <v>0.34</v>
      </c>
      <c r="G235" s="224">
        <f>+G60</f>
        <v>0.35</v>
      </c>
      <c r="H235" s="15"/>
      <c r="I235" s="224"/>
      <c r="J235" s="191"/>
      <c r="M235" s="2" t="e">
        <f ca="1">IF($M$2="Alimentation",_xll.PALO.SETDATA(G235,FALSE,"localhost/Bati_fin_dev","Reporting","décembre","2011",$A$4,+L235,"NA",+$G$3),_xll.PALO.DATAC("localhost/Bati_fin_dev","Reporting","décembre","2011",$A$4,+L235,"NA",+$G$3))</f>
        <v>#VALUE!</v>
      </c>
    </row>
    <row r="236" spans="1:13" s="33" customFormat="1" ht="15" customHeight="1">
      <c r="A236" s="246" t="s">
        <v>296</v>
      </c>
      <c r="B236" s="364"/>
      <c r="C236" s="169">
        <f>+C62</f>
        <v>117788.682</v>
      </c>
      <c r="D236" s="170">
        <f>+D62</f>
        <v>194250</v>
      </c>
      <c r="E236" s="169">
        <f>+E62</f>
        <v>163614.30480000001</v>
      </c>
      <c r="F236" s="223">
        <f>+F62</f>
        <v>149004.5716</v>
      </c>
      <c r="G236" s="223">
        <f>+G62</f>
        <v>169225</v>
      </c>
      <c r="H236" s="309"/>
      <c r="I236" s="226">
        <f>+IF((E236)=0,,(F236-E236)/E236)</f>
        <v>-8.9293740042221639E-2</v>
      </c>
      <c r="J236" s="283">
        <f>+IF((F236)=0,,(G236-F236)/F236)</f>
        <v>0.13570340951874529</v>
      </c>
      <c r="M236" s="2" t="e">
        <f ca="1">IF($M$2="Alimentation",_xll.PALO.SETDATA(G236,FALSE,"localhost/Bati_fin_dev","Reporting","décembre","2011",$A$4,+L236,"NA",+$G$3),_xll.PALO.DATAC("localhost/Bati_fin_dev","Reporting","décembre","2011",$A$4,+L236,"NA",+$G$3))</f>
        <v>#VALUE!</v>
      </c>
    </row>
    <row r="237" spans="1:13" s="25" customFormat="1" ht="11.25" customHeight="1">
      <c r="B237" s="23"/>
      <c r="C237" s="160"/>
      <c r="D237" s="162"/>
      <c r="E237" s="160"/>
      <c r="F237" s="113"/>
      <c r="G237" s="113"/>
      <c r="H237" s="18"/>
      <c r="I237" s="149"/>
      <c r="J237" s="186"/>
      <c r="M237" s="2" t="e">
        <f ca="1">IF($M$2="Alimentation",_xll.PALO.SETDATA(G237,FALSE,"localhost/Bati_fin_dev","Reporting","décembre","2011",$A$4,+L237,"NA",+$G$3),_xll.PALO.DATAC("localhost/Bati_fin_dev","Reporting","décembre","2011",$A$4,+L237,"NA",+$G$3))</f>
        <v>#VALUE!</v>
      </c>
    </row>
    <row r="238" spans="1:13" s="298" customFormat="1" ht="15" customHeight="1">
      <c r="A238" s="292" t="s">
        <v>122</v>
      </c>
      <c r="B238" s="365"/>
      <c r="C238" s="293">
        <f>+C103</f>
        <v>35106.859999999993</v>
      </c>
      <c r="D238" s="294">
        <f>+D103</f>
        <v>51783.577208575764</v>
      </c>
      <c r="E238" s="293">
        <f>+E103</f>
        <v>53855.15</v>
      </c>
      <c r="F238" s="295">
        <f>+F103</f>
        <v>46969.039999999994</v>
      </c>
      <c r="G238" s="295">
        <f>+G103</f>
        <v>47990.275733333336</v>
      </c>
      <c r="H238" s="388"/>
      <c r="I238" s="415">
        <f t="shared" ref="I238:J243" si="22">+IF((E238)=0,,(F238-E238)/E238)</f>
        <v>-0.12786353765610173</v>
      </c>
      <c r="J238" s="297">
        <f t="shared" si="22"/>
        <v>2.174274231138942E-2</v>
      </c>
      <c r="M238" s="2" t="e">
        <f ca="1">IF($M$2="Alimentation",_xll.PALO.SETDATA(G238,FALSE,"localhost/Bati_fin_dev","Reporting","décembre","2011",$A$4,+L238,"NA",+$G$3),_xll.PALO.DATAC("localhost/Bati_fin_dev","Reporting","décembre","2011",$A$4,+L238,"NA",+$G$3))</f>
        <v>#VALUE!</v>
      </c>
    </row>
    <row r="239" spans="1:13" s="298" customFormat="1" ht="15" customHeight="1">
      <c r="A239" s="292" t="s">
        <v>133</v>
      </c>
      <c r="B239" s="365"/>
      <c r="C239" s="293">
        <f>+C116</f>
        <v>15708.220000000001</v>
      </c>
      <c r="D239" s="294">
        <f>+D116</f>
        <v>22220</v>
      </c>
      <c r="E239" s="293">
        <f>+E116</f>
        <v>24172.6</v>
      </c>
      <c r="F239" s="295">
        <f>+F116</f>
        <v>20445.763333333336</v>
      </c>
      <c r="G239" s="295">
        <f>+G116</f>
        <v>21170</v>
      </c>
      <c r="H239" s="388"/>
      <c r="I239" s="415">
        <f t="shared" si="22"/>
        <v>-0.15417607814908876</v>
      </c>
      <c r="J239" s="297">
        <f t="shared" si="22"/>
        <v>3.5422334439620527E-2</v>
      </c>
      <c r="M239" s="2" t="e">
        <f ca="1">IF($M$2="Alimentation",_xll.PALO.SETDATA(G239,FALSE,"localhost/Bati_fin_dev","Reporting","décembre","2011",$A$4,+L239,"NA",+$G$3),_xll.PALO.DATAC("localhost/Bati_fin_dev","Reporting","décembre","2011",$A$4,+L239,"NA",+$G$3))</f>
        <v>#VALUE!</v>
      </c>
    </row>
    <row r="240" spans="1:13" s="298" customFormat="1" ht="15" customHeight="1">
      <c r="A240" s="292" t="s">
        <v>147</v>
      </c>
      <c r="B240" s="365"/>
      <c r="C240" s="293">
        <f>+C129</f>
        <v>4676.55</v>
      </c>
      <c r="D240" s="294">
        <f>+D129</f>
        <v>6515.9375000000009</v>
      </c>
      <c r="E240" s="293">
        <f>+E129</f>
        <v>5760.17</v>
      </c>
      <c r="F240" s="295">
        <f>+F129</f>
        <v>4149.6400000000003</v>
      </c>
      <c r="G240" s="295">
        <f>+G129</f>
        <v>4438.3</v>
      </c>
      <c r="H240" s="388"/>
      <c r="I240" s="415">
        <f t="shared" si="22"/>
        <v>-0.27959765076377951</v>
      </c>
      <c r="J240" s="297">
        <f t="shared" si="22"/>
        <v>6.9562660857327346E-2</v>
      </c>
      <c r="M240" s="2" t="e">
        <f ca="1">IF($M$2="Alimentation",_xll.PALO.SETDATA(G240,FALSE,"localhost/Bati_fin_dev","Reporting","décembre","2011",$A$4,+L240,"NA",+$G$3),_xll.PALO.DATAC("localhost/Bati_fin_dev","Reporting","décembre","2011",$A$4,+L240,"NA",+$G$3))</f>
        <v>#VALUE!</v>
      </c>
    </row>
    <row r="241" spans="1:13" s="298" customFormat="1" ht="15" customHeight="1">
      <c r="A241" s="292" t="s">
        <v>164</v>
      </c>
      <c r="B241" s="365"/>
      <c r="C241" s="293">
        <f>+C154</f>
        <v>54668.450000000004</v>
      </c>
      <c r="D241" s="294">
        <f>+D154</f>
        <v>78435.21791952067</v>
      </c>
      <c r="E241" s="293">
        <f>+E154</f>
        <v>77419.521999999997</v>
      </c>
      <c r="F241" s="295">
        <f>+F154</f>
        <v>72891.266666666663</v>
      </c>
      <c r="G241" s="295">
        <f>+G154</f>
        <v>78316.613260938699</v>
      </c>
      <c r="H241" s="388"/>
      <c r="I241" s="415">
        <f t="shared" si="22"/>
        <v>-5.8489838432912757E-2</v>
      </c>
      <c r="J241" s="297">
        <f t="shared" si="22"/>
        <v>7.4430680688843884E-2</v>
      </c>
      <c r="M241" s="2" t="e">
        <f ca="1">IF($M$2="Alimentation",_xll.PALO.SETDATA(G241,FALSE,"localhost/Bati_fin_dev","Reporting","décembre","2011",$A$4,+L241,"NA",+$G$3),_xll.PALO.DATAC("localhost/Bati_fin_dev","Reporting","décembre","2011",$A$4,+L241,"NA",+$G$3))</f>
        <v>#VALUE!</v>
      </c>
    </row>
    <row r="242" spans="1:13" s="298" customFormat="1" ht="15" customHeight="1">
      <c r="A242" s="292" t="s">
        <v>74</v>
      </c>
      <c r="B242" s="365"/>
      <c r="C242" s="293">
        <f>+C168</f>
        <v>3640.04</v>
      </c>
      <c r="D242" s="294">
        <f>+D168</f>
        <v>8185.3853983988156</v>
      </c>
      <c r="E242" s="293">
        <f>+E168</f>
        <v>5808.0899999999992</v>
      </c>
      <c r="F242" s="295">
        <f>+F168</f>
        <v>4853.3866666666672</v>
      </c>
      <c r="G242" s="295">
        <f>+G168</f>
        <v>7297.9356166666685</v>
      </c>
      <c r="H242" s="388"/>
      <c r="I242" s="415">
        <f t="shared" si="22"/>
        <v>-0.16437474855474557</v>
      </c>
      <c r="J242" s="297">
        <f t="shared" si="22"/>
        <v>0.50367900146701705</v>
      </c>
      <c r="M242" s="2" t="e">
        <f ca="1">IF($M$2="Alimentation",_xll.PALO.SETDATA(G242,FALSE,"localhost/Bati_fin_dev","Reporting","décembre","2011",$A$4,+L242,"NA",+$G$3),_xll.PALO.DATAC("localhost/Bati_fin_dev","Reporting","décembre","2011",$A$4,+L242,"NA",+$G$3))</f>
        <v>#VALUE!</v>
      </c>
    </row>
    <row r="243" spans="1:13" s="298" customFormat="1" ht="15" customHeight="1">
      <c r="A243" s="292" t="s">
        <v>369</v>
      </c>
      <c r="B243" s="365"/>
      <c r="C243" s="293">
        <f>+C185-C201</f>
        <v>1983.91</v>
      </c>
      <c r="D243" s="294">
        <f>+D185-D201</f>
        <v>3655.9508500000002</v>
      </c>
      <c r="E243" s="293">
        <f>+E185-E201</f>
        <v>2966.06</v>
      </c>
      <c r="F243" s="295">
        <f>+F185-F201</f>
        <v>1639.2333333333333</v>
      </c>
      <c r="G243" s="295">
        <f>+G185-G201</f>
        <v>1169.7185333333334</v>
      </c>
      <c r="H243" s="388"/>
      <c r="I243" s="415">
        <f t="shared" si="22"/>
        <v>-0.447336421605317</v>
      </c>
      <c r="J243" s="297">
        <f t="shared" si="22"/>
        <v>-0.28642340931736376</v>
      </c>
      <c r="M243" s="2" t="e">
        <f ca="1">IF($M$2="Alimentation",_xll.PALO.SETDATA(G243,FALSE,"localhost/Bati_fin_dev","Reporting","décembre","2011",$A$4,+L243,"NA",+$G$3),_xll.PALO.DATAC("localhost/Bati_fin_dev","Reporting","décembre","2011",$A$4,+L243,"NA",+$G$3))</f>
        <v>#VALUE!</v>
      </c>
    </row>
    <row r="244" spans="1:13" s="25" customFormat="1">
      <c r="B244" s="23"/>
      <c r="C244" s="160"/>
      <c r="D244" s="162"/>
      <c r="E244" s="160"/>
      <c r="F244" s="113"/>
      <c r="G244" s="113"/>
      <c r="H244" s="18"/>
      <c r="I244" s="149"/>
      <c r="J244" s="186"/>
      <c r="M244" s="2" t="e">
        <f ca="1">IF($M$2="Alimentation",_xll.PALO.SETDATA(G244,FALSE,"localhost/Bati_fin_dev","Reporting","décembre","2011",$A$4,+L244,"NA",+$G$3),_xll.PALO.DATAC("localhost/Bati_fin_dev","Reporting","décembre","2011",$A$4,+L244,"NA",+$G$3))</f>
        <v>#VALUE!</v>
      </c>
    </row>
    <row r="245" spans="1:13" s="33" customFormat="1" ht="15" customHeight="1">
      <c r="A245" s="245" t="s">
        <v>189</v>
      </c>
      <c r="B245" s="363"/>
      <c r="C245" s="299">
        <f>+C203</f>
        <v>115784.03</v>
      </c>
      <c r="D245" s="300">
        <f>+D203</f>
        <v>170796.06887649524</v>
      </c>
      <c r="E245" s="299">
        <f>+E203</f>
        <v>169981.59199999998</v>
      </c>
      <c r="F245" s="301">
        <f>+F203</f>
        <v>150948.32999999999</v>
      </c>
      <c r="G245" s="301">
        <f>+G203</f>
        <v>160382.84314427202</v>
      </c>
      <c r="H245" s="389"/>
      <c r="I245" s="281">
        <f>+I63</f>
        <v>0</v>
      </c>
      <c r="J245" s="192">
        <f>+J63</f>
        <v>0</v>
      </c>
      <c r="K245" s="58"/>
      <c r="M245" s="2" t="e">
        <f ca="1">IF($M$2="Alimentation",_xll.PALO.SETDATA(G245,FALSE,"localhost/Bati_fin_dev","Reporting","décembre","2011",$A$4,+L245,"NA",+$G$3),_xll.PALO.DATAC("localhost/Bati_fin_dev","Reporting","décembre","2011",$A$4,+L245,"NA",+$G$3))</f>
        <v>#VALUE!</v>
      </c>
    </row>
    <row r="246" spans="1:13">
      <c r="B246" s="23"/>
      <c r="C246" s="160"/>
      <c r="D246" s="162"/>
      <c r="E246" s="160"/>
      <c r="F246" s="113"/>
      <c r="G246" s="113"/>
      <c r="H246" s="18"/>
      <c r="I246" s="149"/>
      <c r="J246" s="186"/>
      <c r="M246" s="2" t="e">
        <f ca="1">IF($M$2="Alimentation",_xll.PALO.SETDATA(G246,FALSE,"localhost/Bati_fin_dev","Reporting","décembre","2011",$A$4,+L246,"NA",+$G$3),_xll.PALO.DATAC("localhost/Bati_fin_dev","Reporting","décembre","2011",$A$4,+L246,"NA",+$G$3))</f>
        <v>#VALUE!</v>
      </c>
    </row>
    <row r="247" spans="1:13" s="33" customFormat="1" ht="15" customHeight="1">
      <c r="A247" s="246" t="s">
        <v>228</v>
      </c>
      <c r="B247" s="366"/>
      <c r="C247" s="177">
        <f>+C205</f>
        <v>2004.6520000000019</v>
      </c>
      <c r="D247" s="178">
        <f>+D205</f>
        <v>23453.931123504764</v>
      </c>
      <c r="E247" s="177">
        <f>+E205</f>
        <v>-10477.295899999939</v>
      </c>
      <c r="F247" s="228">
        <f>+F205</f>
        <v>-1943.7583999999915</v>
      </c>
      <c r="G247" s="228">
        <f>+G205</f>
        <v>8842.1568557279825</v>
      </c>
      <c r="H247" s="314"/>
      <c r="I247" s="226">
        <f>+IF((E247)=0,,(F247-E247)/E247)</f>
        <v>-0.81447900120869898</v>
      </c>
      <c r="J247" s="283">
        <f>+IF((F247)=0,,(G247-F247)/F247)</f>
        <v>-5.5489999455323362</v>
      </c>
      <c r="M247" s="2" t="e">
        <f ca="1">IF($M$2="Alimentation",_xll.PALO.SETDATA(G247,FALSE,"localhost/Bati_fin_dev","Reporting","décembre","2011",$A$4,+L247,"NA",+$G$3),_xll.PALO.DATAC("localhost/Bati_fin_dev","Reporting","décembre","2011",$A$4,+L247,"NA",+$G$3))</f>
        <v>#VALUE!</v>
      </c>
    </row>
    <row r="248" spans="1:13">
      <c r="B248" s="23"/>
      <c r="C248" s="160"/>
      <c r="D248" s="162"/>
      <c r="E248" s="160"/>
      <c r="F248" s="113"/>
      <c r="G248" s="113"/>
      <c r="H248" s="18"/>
      <c r="I248" s="149"/>
      <c r="J248" s="186"/>
      <c r="M248" s="2" t="e">
        <f ca="1">IF($M$2="Alimentation",_xll.PALO.SETDATA(G248,FALSE,"localhost/Bati_fin_dev","Reporting","décembre","2011",$A$4,+L248,"NA",+$G$3),_xll.PALO.DATAC("localhost/Bati_fin_dev","Reporting","décembre","2011",$A$4,+L248,"NA",+$G$3))</f>
        <v>#VALUE!</v>
      </c>
    </row>
    <row r="249" spans="1:13" s="33" customFormat="1" ht="15" customHeight="1">
      <c r="A249" s="247" t="s">
        <v>370</v>
      </c>
      <c r="B249" s="367"/>
      <c r="C249" s="180">
        <f>+C207+C215</f>
        <v>18553.615143721421</v>
      </c>
      <c r="D249" s="181">
        <f>+D207+D215</f>
        <v>29621.542414056454</v>
      </c>
      <c r="E249" s="180">
        <f>+E207+E215</f>
        <v>21654.554161048094</v>
      </c>
      <c r="F249" s="230">
        <f>+F207+F215</f>
        <v>24758.588069458063</v>
      </c>
      <c r="G249" s="230">
        <f>+G207+G215</f>
        <v>27528.076030648674</v>
      </c>
      <c r="H249" s="316"/>
      <c r="I249" s="281">
        <f>+I67</f>
        <v>-0.68324136306453953</v>
      </c>
      <c r="J249" s="192">
        <f>+J67</f>
        <v>0.42405063291139228</v>
      </c>
      <c r="M249" s="2" t="e">
        <f ca="1">IF($M$2="Alimentation",_xll.PALO.SETDATA(G249,FALSE,"localhost/Bati_fin_dev","Reporting","décembre","2011",$A$4,+L249,"NA",+$G$3),_xll.PALO.DATAC("localhost/Bati_fin_dev","Reporting","décembre","2011",$A$4,+L249,"NA",+$G$3))</f>
        <v>#VALUE!</v>
      </c>
    </row>
    <row r="250" spans="1:13">
      <c r="B250" s="23"/>
      <c r="C250" s="160"/>
      <c r="D250" s="162"/>
      <c r="E250" s="160"/>
      <c r="F250" s="113"/>
      <c r="G250" s="113"/>
      <c r="H250" s="18"/>
      <c r="I250" s="149"/>
      <c r="J250" s="186"/>
      <c r="M250" s="2" t="e">
        <f ca="1">IF($M$2="Alimentation",_xll.PALO.SETDATA(G250,FALSE,"localhost/Bati_fin_dev","Reporting","décembre","2011",$A$4,+L250,"NA",+$G$3),_xll.PALO.DATAC("localhost/Bati_fin_dev","Reporting","décembre","2011",$A$4,+L250,"NA",+$G$3))</f>
        <v>#VALUE!</v>
      </c>
    </row>
    <row r="251" spans="1:13" s="33" customFormat="1" ht="20.100000000000001" customHeight="1">
      <c r="A251" s="246" t="s">
        <v>86</v>
      </c>
      <c r="B251" s="366"/>
      <c r="C251" s="177">
        <f>+C217</f>
        <v>-16548.963143721419</v>
      </c>
      <c r="D251" s="178">
        <f>+D217</f>
        <v>-6167.6112905516893</v>
      </c>
      <c r="E251" s="177">
        <f>+E217</f>
        <v>-32131.850061048033</v>
      </c>
      <c r="F251" s="228">
        <f>+F217</f>
        <v>-26702.346469458054</v>
      </c>
      <c r="G251" s="228">
        <f>+G217</f>
        <v>-18685.919174920691</v>
      </c>
      <c r="H251" s="314"/>
      <c r="I251" s="226">
        <f>+IF((E251)=0,,(F251-E251)/E251)</f>
        <v>-0.168975754003406</v>
      </c>
      <c r="J251" s="283">
        <f>+IF((F251)=0,,(G251-F251)/F251)</f>
        <v>-0.30021433897977817</v>
      </c>
      <c r="M251" s="2" t="e">
        <f ca="1">IF($M$2="Alimentation",_xll.PALO.SETDATA(G251,FALSE,"localhost/Bati_fin_dev","Reporting","décembre","2011",$A$4,+L251,"NA",+$G$3),_xll.PALO.DATAC("localhost/Bati_fin_dev","Reporting","décembre","2011",$A$4,+L251,"NA",+$G$3))</f>
        <v>#VALUE!</v>
      </c>
    </row>
    <row r="252" spans="1:13">
      <c r="F252" s="2"/>
      <c r="G252" s="2"/>
      <c r="H252" s="5"/>
      <c r="I252" s="24"/>
      <c r="M252" s="2" t="e">
        <f ca="1">IF($M$2="Alimentation",_xll.PALO.SETDATA(G252,FALSE,"localhost/Bati_fin_dev","Reporting","décembre","2011",$A$4,+L252,"NA",+$G$3),_xll.PALO.DATAC("localhost/Bati_fin_dev","Reporting","décembre","2011",$A$4,+L252,"NA",+$G$3))</f>
        <v>#VALUE!</v>
      </c>
    </row>
    <row r="253" spans="1:13" s="298" customFormat="1" ht="15" customHeight="1">
      <c r="A253" s="292" t="s">
        <v>95</v>
      </c>
      <c r="B253" s="365"/>
      <c r="C253" s="293">
        <f>+C28</f>
        <v>70818.570000000007</v>
      </c>
      <c r="D253" s="294">
        <v>120000</v>
      </c>
      <c r="E253" s="293">
        <f>+E28</f>
        <v>102230.8</v>
      </c>
      <c r="F253" s="295"/>
      <c r="G253" s="1162">
        <f>+G28</f>
        <v>105000</v>
      </c>
      <c r="H253" s="418"/>
      <c r="I253" s="415"/>
      <c r="J253" s="297"/>
      <c r="M253" s="2" t="e">
        <f ca="1">IF($M$2="Alimentation",_xll.PALO.SETDATA(G253,FALSE,"localhost/Bati_fin_dev","Reporting","décembre","2011",$A$4,+L253,"NA",+$G$3),_xll.PALO.DATAC("localhost/Bati_fin_dev","Reporting","décembre","2011",$A$4,+L253,"NA",+$G$3))</f>
        <v>#VALUE!</v>
      </c>
    </row>
    <row r="254" spans="1:13" s="298" customFormat="1" ht="15" customHeight="1">
      <c r="A254" s="292" t="s">
        <v>371</v>
      </c>
      <c r="B254" s="365"/>
      <c r="C254" s="293">
        <f>+C222</f>
        <v>526814.29468126048</v>
      </c>
      <c r="D254" s="294">
        <f>+D222</f>
        <v>572621.74654443341</v>
      </c>
      <c r="E254" s="293">
        <f>+E222</f>
        <v>709763.50430017803</v>
      </c>
      <c r="F254" s="295">
        <f>+F222</f>
        <v>516785.0531454648</v>
      </c>
      <c r="G254" s="295">
        <f>+G222</f>
        <v>536888.34049977339</v>
      </c>
      <c r="H254" s="388"/>
      <c r="I254" s="415"/>
      <c r="J254" s="297"/>
      <c r="M254" s="2" t="e">
        <f ca="1">IF($M$2="Alimentation",_xll.PALO.SETDATA(G254,FALSE,"localhost/Bati_fin_dev","Reporting","décembre","2011",$A$4,+L254,"NA",+$G$3),_xll.PALO.DATAC("localhost/Bati_fin_dev","Reporting","décembre","2011",$A$4,+L254,"NA",+$G$3))</f>
        <v>#VALUE!</v>
      </c>
    </row>
    <row r="255" spans="1:13" s="298" customFormat="1" ht="15" customHeight="1">
      <c r="A255" s="292" t="s">
        <v>372</v>
      </c>
      <c r="B255" s="365"/>
      <c r="C255" s="293"/>
      <c r="D255" s="294">
        <v>0</v>
      </c>
      <c r="E255" s="293"/>
      <c r="F255" s="295"/>
      <c r="G255" s="1162">
        <v>0</v>
      </c>
      <c r="H255" s="418"/>
      <c r="I255" s="415"/>
      <c r="J255" s="297"/>
      <c r="M255" s="2" t="e">
        <f ca="1">IF($M$2="Alimentation",_xll.PALO.SETDATA(G255,FALSE,"localhost/Bati_fin_dev","Reporting","décembre","2011",$A$4,+L255,"NA",+$G$3),_xll.PALO.DATAC("localhost/Bati_fin_dev","Reporting","décembre","2011",$A$4,+L255,"NA",+$G$3))</f>
        <v>#VALUE!</v>
      </c>
    </row>
    <row r="256" spans="1:13">
      <c r="F256" s="2"/>
      <c r="G256" s="2"/>
      <c r="H256" s="2"/>
      <c r="I256" s="24"/>
      <c r="M256" s="2" t="e">
        <f ca="1">IF($M$2="Alimentation",_xll.PALO.SETDATA(G256,FALSE,"localhost/Bati_fin_dev","Reporting","décembre","2011",$A$4,+L256,"NA",+$G$3),_xll.PALO.DATAC("localhost/Bati_fin_dev","Reporting","décembre","2011",$A$4,+L256,"NA",+$G$3))</f>
        <v>#VALUE!</v>
      </c>
    </row>
    <row r="257" spans="13:13">
      <c r="M257" s="2" t="e">
        <f ca="1">IF($M$2="Alimentation",_xll.PALO.SETDATA(G257,FALSE,"localhost/Bati_fin_dev","Reporting","décembre","2011",$A$4,+L257,"NA",+$G$3),_xll.PALO.DATAC("localhost/Bati_fin_dev","Reporting","décembre","2011",$A$4,+L257,"NA",+$G$3))</f>
        <v>#VALUE!</v>
      </c>
    </row>
  </sheetData>
  <phoneticPr fontId="0" type="noConversion"/>
  <dataValidations count="1">
    <dataValidation type="list" allowBlank="1" showInputMessage="1" showErrorMessage="1" sqref="M2">
      <formula1>$O$2:$O$3</formula1>
    </dataValidation>
  </dataValidations>
  <hyperlinks>
    <hyperlink ref="C1" location="Sommaire!A1" display="Retour au sommaire"/>
  </hyperlinks>
  <pageMargins left="0.39370078740157483" right="0.39370078740157483" top="0" bottom="0" header="0.51181102362204722" footer="0.51181102362204722"/>
  <pageSetup paperSize="9" scale="79" fitToHeight="2" orientation="landscape" horizontalDpi="4294967293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56</vt:i4>
      </vt:variant>
      <vt:variant>
        <vt:lpstr>Plages nommées</vt:lpstr>
      </vt:variant>
      <vt:variant>
        <vt:i4>79</vt:i4>
      </vt:variant>
    </vt:vector>
  </HeadingPairs>
  <TitlesOfParts>
    <vt:vector size="135" baseType="lpstr">
      <vt:lpstr>Balanceanp</vt:lpstr>
      <vt:lpstr>Sommaire</vt:lpstr>
      <vt:lpstr>Balance</vt:lpstr>
      <vt:lpstr>Vannes</vt:lpstr>
      <vt:lpstr>Rennes</vt:lpstr>
      <vt:lpstr>Orléans</vt:lpstr>
      <vt:lpstr>Angers</vt:lpstr>
      <vt:lpstr>Thouars</vt:lpstr>
      <vt:lpstr>Château</vt:lpstr>
      <vt:lpstr>Chartres</vt:lpstr>
      <vt:lpstr>Bosc</vt:lpstr>
      <vt:lpstr>Cham</vt:lpstr>
      <vt:lpstr>Saumur</vt:lpstr>
      <vt:lpstr>Mans</vt:lpstr>
      <vt:lpstr>Chalette</vt:lpstr>
      <vt:lpstr>Tourcoing</vt:lpstr>
      <vt:lpstr>Boulogne</vt:lpstr>
      <vt:lpstr>StOmer</vt:lpstr>
      <vt:lpstr>Béthune</vt:lpstr>
      <vt:lpstr>Calais</vt:lpstr>
      <vt:lpstr>Compiègne</vt:lpstr>
      <vt:lpstr>Amiens</vt:lpstr>
      <vt:lpstr>Cambrai</vt:lpstr>
      <vt:lpstr>Caudry</vt:lpstr>
      <vt:lpstr>Eu</vt:lpstr>
      <vt:lpstr>Dijon</vt:lpstr>
      <vt:lpstr>Nancy</vt:lpstr>
      <vt:lpstr>Roanne</vt:lpstr>
      <vt:lpstr>Madeleine</vt:lpstr>
      <vt:lpstr>Lens</vt:lpstr>
      <vt:lpstr>Bois</vt:lpstr>
      <vt:lpstr>Montpe</vt:lpstr>
      <vt:lpstr>Grenoble</vt:lpstr>
      <vt:lpstr>STMarcelin</vt:lpstr>
      <vt:lpstr>PSA</vt:lpstr>
      <vt:lpstr>Lille</vt:lpstr>
      <vt:lpstr>Repart</vt:lpstr>
      <vt:lpstr>Région Bretagne +</vt:lpstr>
      <vt:lpstr>Pays de la Loire</vt:lpstr>
      <vt:lpstr>Région Centre 2</vt:lpstr>
      <vt:lpstr>Picardie</vt:lpstr>
      <vt:lpstr>Cambraisi</vt:lpstr>
      <vt:lpstr>CB</vt:lpstr>
      <vt:lpstr>PB</vt:lpstr>
      <vt:lpstr>TS</vt:lpstr>
      <vt:lpstr>DF</vt:lpstr>
      <vt:lpstr>CT</vt:lpstr>
      <vt:lpstr>Sous Région Sud</vt:lpstr>
      <vt:lpstr>Bretagne</vt:lpstr>
      <vt:lpstr>Centre</vt:lpstr>
      <vt:lpstr>Nord</vt:lpstr>
      <vt:lpstr>Sud</vt:lpstr>
      <vt:lpstr>Conso</vt:lpstr>
      <vt:lpstr>Clients</vt:lpstr>
      <vt:lpstr>Stocks</vt:lpstr>
      <vt:lpstr>CA</vt:lpstr>
      <vt:lpstr>Amiens!Impression_des_titres</vt:lpstr>
      <vt:lpstr>Béthune!Impression_des_titres</vt:lpstr>
      <vt:lpstr>Bois!Impression_des_titres</vt:lpstr>
      <vt:lpstr>Boulogne!Impression_des_titres</vt:lpstr>
      <vt:lpstr>Bretagne!Impression_des_titres</vt:lpstr>
      <vt:lpstr>Calais!Impression_des_titres</vt:lpstr>
      <vt:lpstr>Cambrai!Impression_des_titres</vt:lpstr>
      <vt:lpstr>Caudry!Impression_des_titres</vt:lpstr>
      <vt:lpstr>CB!Impression_des_titres</vt:lpstr>
      <vt:lpstr>Centre!Impression_des_titres</vt:lpstr>
      <vt:lpstr>Compiègne!Impression_des_titres</vt:lpstr>
      <vt:lpstr>Conso!Impression_des_titres</vt:lpstr>
      <vt:lpstr>CT!Impression_des_titres</vt:lpstr>
      <vt:lpstr>DF!Impression_des_titres</vt:lpstr>
      <vt:lpstr>Dijon!Impression_des_titres</vt:lpstr>
      <vt:lpstr>Eu!Impression_des_titres</vt:lpstr>
      <vt:lpstr>Grenoble!Impression_des_titres</vt:lpstr>
      <vt:lpstr>Lens!Impression_des_titres</vt:lpstr>
      <vt:lpstr>Madeleine!Impression_des_titres</vt:lpstr>
      <vt:lpstr>Montpe!Impression_des_titres</vt:lpstr>
      <vt:lpstr>Nancy!Impression_des_titres</vt:lpstr>
      <vt:lpstr>Nord!Impression_des_titres</vt:lpstr>
      <vt:lpstr>PB!Impression_des_titres</vt:lpstr>
      <vt:lpstr>PSA!Impression_des_titres</vt:lpstr>
      <vt:lpstr>Roanne!Impression_des_titres</vt:lpstr>
      <vt:lpstr>STMarcelin!Impression_des_titres</vt:lpstr>
      <vt:lpstr>StOmer!Impression_des_titres</vt:lpstr>
      <vt:lpstr>Sud!Impression_des_titres</vt:lpstr>
      <vt:lpstr>TS!Impression_des_titres</vt:lpstr>
      <vt:lpstr>Amiens!Zone_d_impression</vt:lpstr>
      <vt:lpstr>Angers!Zone_d_impression</vt:lpstr>
      <vt:lpstr>Balance!Zone_d_impression</vt:lpstr>
      <vt:lpstr>Balanceanp!Zone_d_impression</vt:lpstr>
      <vt:lpstr>Béthune!Zone_d_impression</vt:lpstr>
      <vt:lpstr>Bois!Zone_d_impression</vt:lpstr>
      <vt:lpstr>Bosc!Zone_d_impression</vt:lpstr>
      <vt:lpstr>Boulogne!Zone_d_impression</vt:lpstr>
      <vt:lpstr>Bretagne!Zone_d_impression</vt:lpstr>
      <vt:lpstr>Calais!Zone_d_impression</vt:lpstr>
      <vt:lpstr>Cambrai!Zone_d_impression</vt:lpstr>
      <vt:lpstr>Caudry!Zone_d_impression</vt:lpstr>
      <vt:lpstr>CB!Zone_d_impression</vt:lpstr>
      <vt:lpstr>Centre!Zone_d_impression</vt:lpstr>
      <vt:lpstr>Chalette!Zone_d_impression</vt:lpstr>
      <vt:lpstr>Cham!Zone_d_impression</vt:lpstr>
      <vt:lpstr>Chartres!Zone_d_impression</vt:lpstr>
      <vt:lpstr>Château!Zone_d_impression</vt:lpstr>
      <vt:lpstr>Compiègne!Zone_d_impression</vt:lpstr>
      <vt:lpstr>Conso!Zone_d_impression</vt:lpstr>
      <vt:lpstr>CT!Zone_d_impression</vt:lpstr>
      <vt:lpstr>DF!Zone_d_impression</vt:lpstr>
      <vt:lpstr>Dijon!Zone_d_impression</vt:lpstr>
      <vt:lpstr>Eu!Zone_d_impression</vt:lpstr>
      <vt:lpstr>Grenoble!Zone_d_impression</vt:lpstr>
      <vt:lpstr>Lens!Zone_d_impression</vt:lpstr>
      <vt:lpstr>Lille!Zone_d_impression</vt:lpstr>
      <vt:lpstr>Madeleine!Zone_d_impression</vt:lpstr>
      <vt:lpstr>Mans!Zone_d_impression</vt:lpstr>
      <vt:lpstr>Montpe!Zone_d_impression</vt:lpstr>
      <vt:lpstr>Nancy!Zone_d_impression</vt:lpstr>
      <vt:lpstr>Nord!Zone_d_impression</vt:lpstr>
      <vt:lpstr>Orléans!Zone_d_impression</vt:lpstr>
      <vt:lpstr>'Pays de la Loire'!Zone_d_impression</vt:lpstr>
      <vt:lpstr>PB!Zone_d_impression</vt:lpstr>
      <vt:lpstr>PSA!Zone_d_impression</vt:lpstr>
      <vt:lpstr>'Région Bretagne +'!Zone_d_impression</vt:lpstr>
      <vt:lpstr>'Région Centre 2'!Zone_d_impression</vt:lpstr>
      <vt:lpstr>Rennes!Zone_d_impression</vt:lpstr>
      <vt:lpstr>Repart!Zone_d_impression</vt:lpstr>
      <vt:lpstr>Roanne!Zone_d_impression</vt:lpstr>
      <vt:lpstr>Saumur!Zone_d_impression</vt:lpstr>
      <vt:lpstr>Sommaire!Zone_d_impression</vt:lpstr>
      <vt:lpstr>STMarcelin!Zone_d_impression</vt:lpstr>
      <vt:lpstr>StOmer!Zone_d_impression</vt:lpstr>
      <vt:lpstr>Sud!Zone_d_impression</vt:lpstr>
      <vt:lpstr>Thouars!Zone_d_impression</vt:lpstr>
      <vt:lpstr>Tourcoing!Zone_d_impression</vt:lpstr>
      <vt:lpstr>TS!Zone_d_impression</vt:lpstr>
      <vt:lpstr>Vannes!Zone_d_impression</vt:lpstr>
    </vt:vector>
  </TitlesOfParts>
  <Company>Dell Computer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BATI PEINTRE</dc:creator>
  <cp:lastModifiedBy>Previsea</cp:lastModifiedBy>
  <cp:lastPrinted>2010-12-27T16:25:50Z</cp:lastPrinted>
  <dcterms:created xsi:type="dcterms:W3CDTF">2000-03-13T14:15:49Z</dcterms:created>
  <dcterms:modified xsi:type="dcterms:W3CDTF">2011-04-06T09:43:18Z</dcterms:modified>
</cp:coreProperties>
</file>